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C:\Users\6222568\Downloads\"/>
    </mc:Choice>
  </mc:AlternateContent>
  <xr:revisionPtr revIDLastSave="0" documentId="13_ncr:1_{D5182ED5-83A1-4B22-9B7D-23AEA5219704}" xr6:coauthVersionLast="47" xr6:coauthVersionMax="47" xr10:uidLastSave="{00000000-0000-0000-0000-000000000000}"/>
  <bookViews>
    <workbookView xWindow="-108" yWindow="-108" windowWidth="23256" windowHeight="12456" tabRatio="851" firstSheet="2" activeTab="2" xr2:uid="{00000000-000D-0000-FFFF-FFFF00000000}"/>
  </bookViews>
  <sheets>
    <sheet name="BG 2023" sheetId="32" state="hidden" r:id="rId1"/>
    <sheet name="BG 12.2023" sheetId="31" state="hidden" r:id="rId2"/>
    <sheet name="BG 12.2024" sheetId="16" r:id="rId3"/>
    <sheet name="No usar" sheetId="19" state="hidden" r:id="rId4"/>
    <sheet name="Índice" sheetId="1" state="hidden" r:id="rId5"/>
    <sheet name="Información general" sheetId="2" state="hidden" r:id="rId6"/>
    <sheet name="Hoja1" sheetId="33" state="hidden" r:id="rId7"/>
    <sheet name="Composición" sheetId="4" r:id="rId8"/>
    <sheet name="CA FE" sheetId="22" state="hidden" r:id="rId9"/>
    <sheet name="Balance General" sheetId="20" r:id="rId10"/>
    <sheet name="Estado de Resultados" sheetId="6" r:id="rId11"/>
    <sheet name="Flujo de Efectivo" sheetId="21" r:id="rId12"/>
    <sheet name="Variación Patrimonio Neto" sheetId="23" r:id="rId13"/>
    <sheet name="Notas" sheetId="10" r:id="rId14"/>
    <sheet name="Costeo de Títulos" sheetId="47" state="hidden" r:id="rId15"/>
    <sheet name="Control de Activos " sheetId="36" state="hidden" r:id="rId16"/>
    <sheet name="12 Cartera Propia AFS" sheetId="35" state="hidden" r:id="rId17"/>
    <sheet name="12 Cartera Propia" sheetId="34" state="hidden" r:id="rId18"/>
    <sheet name="Auxiliares" sheetId="46" state="hidden" r:id="rId19"/>
    <sheet name="12 Cartera Propia AFS 2023 " sheetId="45" state="hidden" r:id="rId20"/>
    <sheet name="Intereses 2023" sheetId="37" state="hidden" r:id="rId21"/>
    <sheet name="12 Cartera Propia 2023" sheetId="41" state="hidden" r:id="rId22"/>
    <sheet name="Intereses 2024" sheetId="38" state="hidden" r:id="rId23"/>
  </sheets>
  <externalReferences>
    <externalReference r:id="rId24"/>
  </externalReferences>
  <definedNames>
    <definedName name="\a" localSheetId="12">#REF!</definedName>
    <definedName name="\a">#REF!</definedName>
    <definedName name="_____DAT23">#REF!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12">#REF!</definedName>
    <definedName name="__DAT23">#REF!</definedName>
    <definedName name="__DAT24" localSheetId="12">#REF!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 localSheetId="12">#REF!</definedName>
    <definedName name="_DAT13">#REF!</definedName>
    <definedName name="_DAT14" localSheetId="12">#REF!</definedName>
    <definedName name="_DAT14">#REF!</definedName>
    <definedName name="_DAT15">#REF!</definedName>
    <definedName name="_DAT16">#REF!</definedName>
    <definedName name="_DAT17" localSheetId="12">#REF!</definedName>
    <definedName name="_DAT17">#REF!</definedName>
    <definedName name="_DAT18" localSheetId="12">#REF!</definedName>
    <definedName name="_DAT18">#REF!</definedName>
    <definedName name="_DAT19" localSheetId="12">#REF!</definedName>
    <definedName name="_DAT19">#REF!</definedName>
    <definedName name="_DAT2">#REF!</definedName>
    <definedName name="_DAT20" localSheetId="12">#REF!</definedName>
    <definedName name="_DAT20">#REF!</definedName>
    <definedName name="_DAT22" localSheetId="12">#REF!</definedName>
    <definedName name="_DAT22">#REF!</definedName>
    <definedName name="_DAT23" localSheetId="12">#REF!</definedName>
    <definedName name="_DAT23">#REF!</definedName>
    <definedName name="_DAT24" localSheetId="12">#REF!</definedName>
    <definedName name="_DAT24">#REF!</definedName>
    <definedName name="_DAT3" localSheetId="12">#REF!</definedName>
    <definedName name="_DAT3">#REF!</definedName>
    <definedName name="_DAT4" localSheetId="12">#REF!</definedName>
    <definedName name="_DAT4">#REF!</definedName>
    <definedName name="_DAT5" localSheetId="12">#REF!</definedName>
    <definedName name="_DAT5">#REF!</definedName>
    <definedName name="_DAT6">#REF!</definedName>
    <definedName name="_DAT7">#REF!</definedName>
    <definedName name="_DAT8">#REF!</definedName>
    <definedName name="_xlnm._FilterDatabase" localSheetId="21" hidden="1">'12 Cartera Propia 2023'!$A$11:$S$64</definedName>
    <definedName name="_xlnm._FilterDatabase" localSheetId="19" hidden="1">'12 Cartera Propia AFS 2023 '!$A$23:$O$59</definedName>
    <definedName name="_xlnm._FilterDatabase" localSheetId="1" hidden="1">'BG 12.2023'!#REF!</definedName>
    <definedName name="_xlnm._FilterDatabase" localSheetId="2" hidden="1">'BG 12.2024'!$A$4:$F$866</definedName>
    <definedName name="_xlnm._FilterDatabase" localSheetId="0" hidden="1">'BG 2023'!$A$4:$H$794</definedName>
    <definedName name="_xlnm._FilterDatabase" localSheetId="8" hidden="1">'CA FE'!$A$2:$AA$1516</definedName>
    <definedName name="_xlnm._FilterDatabase" localSheetId="7" hidden="1">Composición!$A$4:$K$1768</definedName>
    <definedName name="_xlnm._FilterDatabase" localSheetId="15" hidden="1">'Control de Activos '!$B$1:$E$43</definedName>
    <definedName name="_xlnm._FilterDatabase" localSheetId="14" hidden="1">'Costeo de Títulos'!$A$2:$M$174</definedName>
    <definedName name="_xlnm._FilterDatabase" localSheetId="3" hidden="1">'No usar'!$8:$9</definedName>
    <definedName name="_xlnm._FilterDatabase" localSheetId="13" hidden="1">Notas!$A$399:$AA$591</definedName>
    <definedName name="_Key1" localSheetId="21" hidden="1">'12 Cartera Propia 2023'!#REF!</definedName>
    <definedName name="_Key1" localSheetId="19" hidden="1">'12 Cartera Propia AFS 2023 '!#REF!</definedName>
    <definedName name="_Key1" localSheetId="12" hidden="1">#REF!</definedName>
    <definedName name="_Key1" hidden="1">#REF!</definedName>
    <definedName name="_Key2" localSheetId="12" hidden="1">#REF!</definedName>
    <definedName name="_Key2" hidden="1">#REF!</definedName>
    <definedName name="_Order1" hidden="1">255</definedName>
    <definedName name="_Order2" hidden="1">255</definedName>
    <definedName name="_Parse_In" localSheetId="12" hidden="1">#REF!</definedName>
    <definedName name="_Parse_In" hidden="1">#REF!</definedName>
    <definedName name="_Parse_Out" localSheetId="12" hidden="1">#REF!</definedName>
    <definedName name="_Parse_Out" hidden="1">#REF!</definedName>
    <definedName name="_RSE1">#REF!</definedName>
    <definedName name="_RSE2">#REF!</definedName>
    <definedName name="_TPy530231">#REF!</definedName>
    <definedName name="a" localSheetId="21" hidden="1">{#N/A,#N/A,FALSE,"Aging Summary";#N/A,#N/A,FALSE,"Ratio Analysis";#N/A,#N/A,FALSE,"Test 120 Day Accts";#N/A,#N/A,FALSE,"Tickmarks"}</definedName>
    <definedName name="a" localSheetId="19" hidden="1">{#N/A,#N/A,FALSE,"Aging Summary";#N/A,#N/A,FALSE,"Ratio Analysis";#N/A,#N/A,FALSE,"Test 120 Day Accts";#N/A,#N/A,FALSE,"Tickmarks"}</definedName>
    <definedName name="a" localSheetId="10" hidden="1">{#N/A,#N/A,FALSE,"Aging Summary";#N/A,#N/A,FALSE,"Ratio Analysis";#N/A,#N/A,FALSE,"Test 120 Day Accts";#N/A,#N/A,FALSE,"Tickmarks"}</definedName>
    <definedName name="a" localSheetId="11" hidden="1">{#N/A,#N/A,FALSE,"Aging Summary";#N/A,#N/A,FALSE,"Ratio Analysis";#N/A,#N/A,FALSE,"Test 120 Day Accts";#N/A,#N/A,FALSE,"Tickmarks"}</definedName>
    <definedName name="A" localSheetId="12">#REF!</definedName>
    <definedName name="a" hidden="1">{#N/A,#N/A,FALSE,"Aging Summary";#N/A,#N/A,FALSE,"Ratio Analysis";#N/A,#N/A,FALSE,"Test 120 Day Accts";#N/A,#N/A,FALSE,"Tickmarks"}</definedName>
    <definedName name="A_impresión_IM" localSheetId="12">#REF!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V_PROM" localSheetId="12">#REF!</definedName>
    <definedName name="ADV_PROM">#REF!</definedName>
    <definedName name="APSUMMARY">#REF!</definedName>
    <definedName name="AR_Balance">#REF!</definedName>
    <definedName name="ARA_Threshold">#REF!</definedName>
    <definedName name="_xlnm.Print_Area" localSheetId="10">'Estado de Resultados'!$A$1:$G$86</definedName>
    <definedName name="_xlnm.Print_Area" localSheetId="13">Notas!$B$4:$M$264</definedName>
    <definedName name="_xlnm.Print_Area" localSheetId="12">'Variación Patrimonio Neto'!$B$4:$I$33</definedName>
    <definedName name="Area_de_impresión2" localSheetId="12">#REF!</definedName>
    <definedName name="Area_de_impresión2">#REF!</definedName>
    <definedName name="Area_de_impresión3" localSheetId="12">#REF!</definedName>
    <definedName name="Area_de_impresión3">#REF!</definedName>
    <definedName name="ARGENTINA" localSheetId="12">#REF!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12" hidden="1">#REF!</definedName>
    <definedName name="AS2StaticLS" hidden="1">#REF!</definedName>
    <definedName name="AS2SyncStepLS" hidden="1">0</definedName>
    <definedName name="AS2TickmarkLS" localSheetId="12" hidden="1">#REF!</definedName>
    <definedName name="AS2TickmarkLS" hidden="1">#REF!</definedName>
    <definedName name="AS2VersionLS" hidden="1">300</definedName>
    <definedName name="assssssssssssssssssssssssssssssssssssssssss" hidden="1">#REF!</definedName>
    <definedName name="B" localSheetId="12">#REF!</definedName>
    <definedName name="B">#REF!</definedName>
    <definedName name="_xlnm.Database" localSheetId="12">#REF!</definedName>
    <definedName name="_xlnm.Database">#REF!</definedName>
    <definedName name="basemeta" localSheetId="12">#REF!</definedName>
    <definedName name="basemeta">#REF!</definedName>
    <definedName name="basenueva" localSheetId="12">#REF!</definedName>
    <definedName name="basenueva">#REF!</definedName>
    <definedName name="BB">#REF!</definedName>
    <definedName name="BCDE" localSheetId="21" hidden="1">{#N/A,#N/A,FALSE,"Aging Summary";#N/A,#N/A,FALSE,"Ratio Analysis";#N/A,#N/A,FALSE,"Test 120 Day Accts";#N/A,#N/A,FALSE,"Tickmarks"}</definedName>
    <definedName name="BCDE" localSheetId="19" hidden="1">{#N/A,#N/A,FALSE,"Aging Summary";#N/A,#N/A,FALSE,"Ratio Analysis";#N/A,#N/A,FALSE,"Test 120 Day Accts";#N/A,#N/A,FALSE,"Tickmarks"}</definedName>
    <definedName name="BCDE" localSheetId="11" hidden="1">{#N/A,#N/A,FALSE,"Aging Summary";#N/A,#N/A,FALSE,"Ratio Analysis";#N/A,#N/A,FALSE,"Test 120 Day Accts";#N/A,#N/A,FALSE,"Tickmarks"}</definedName>
    <definedName name="BCDE" localSheetId="12"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 localSheetId="12">#REF!</definedName>
    <definedName name="BRASIL">#REF!</definedName>
    <definedName name="bsusocomb1">#REF!</definedName>
    <definedName name="bsusonorte1">#REF!</definedName>
    <definedName name="bsusosur1">#REF!</definedName>
    <definedName name="BuiltIn_Print_Area" localSheetId="12">#REF!</definedName>
    <definedName name="BuiltIn_Print_Area">#REF!</definedName>
    <definedName name="BuiltIn_Print_Area___0___0___0___0___0" localSheetId="12">#REF!</definedName>
    <definedName name="BuiltIn_Print_Area___0___0___0___0___0">#REF!</definedName>
    <definedName name="BuiltIn_Print_Area___0___0___0___0___0___0___0___0" localSheetId="12">#REF!</definedName>
    <definedName name="BuiltIn_Print_Area___0___0___0___0___0___0___0___0">#REF!</definedName>
    <definedName name="canal" localSheetId="12">#REF!</definedName>
    <definedName name="canal">#REF!</definedName>
    <definedName name="Capitali">#REF!</definedName>
    <definedName name="CC" localSheetId="12">#REF!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 localSheetId="12">#REF!</definedName>
    <definedName name="chart1">#REF!</definedName>
    <definedName name="cliente" localSheetId="12">#REF!</definedName>
    <definedName name="cliente">#REF!</definedName>
    <definedName name="cliente2" localSheetId="12">#REF!</definedName>
    <definedName name="cliente2">#REF!</definedName>
    <definedName name="Clientes" localSheetId="12">#REF!</definedName>
    <definedName name="Clientes">#REF!</definedName>
    <definedName name="Clients_Population_Total" localSheetId="12">#REF!</definedName>
    <definedName name="Clients_Population_Total">#REF!</definedName>
    <definedName name="cndsuuuuuuuuuuuuuuuuuuuuuuuuuuuuuuuuuuuuuuuuuuuuuuuuuuuuu" hidden="1">#REF!</definedName>
    <definedName name="co" localSheetId="12">#REF!</definedName>
    <definedName name="co">#REF!</definedName>
    <definedName name="COMPAÑIAS" localSheetId="12">#REF!</definedName>
    <definedName name="COMPAÑIAS">#REF!</definedName>
    <definedName name="Compilacion">#REF!</definedName>
    <definedName name="complacu" localSheetId="12">#REF!</definedName>
    <definedName name="complacu">#REF!</definedName>
    <definedName name="complemes" localSheetId="12">#REF!</definedName>
    <definedName name="complemes">#REF!</definedName>
    <definedName name="Computed_Sample_Population_Total" localSheetId="12">#REF!</definedName>
    <definedName name="Computed_Sample_Population_Total">#REF!</definedName>
    <definedName name="COST_MP" localSheetId="12">#REF!</definedName>
    <definedName name="COST_MP">#REF!</definedName>
    <definedName name="crin0010">#REF!</definedName>
    <definedName name="Customer">#REF!</definedName>
    <definedName name="customerld">#REF!</definedName>
    <definedName name="CustomerPCS">#REF!</definedName>
    <definedName name="CY_Accounts_Receivable" localSheetId="12">#REF!</definedName>
    <definedName name="CY_Administration" localSheetId="12">#REF!</definedName>
    <definedName name="CY_Administration">#REF!</definedName>
    <definedName name="CY_Cash" localSheetId="12">#REF!</definedName>
    <definedName name="CY_Cash_Div_Dec" localSheetId="12">#REF!</definedName>
    <definedName name="CY_CASH_DIVIDENDS_DECLARED__per_common_share" localSheetId="12">#REF!</definedName>
    <definedName name="CY_Common_Equity" localSheetId="12">#REF!</definedName>
    <definedName name="CY_Cost_of_Sales" localSheetId="12">#REF!</definedName>
    <definedName name="CY_Current_Liabilities" localSheetId="12">#REF!</definedName>
    <definedName name="CY_Depreciation" localSheetId="12">#REF!</definedName>
    <definedName name="CY_Disc._Ops." localSheetId="12">#REF!</definedName>
    <definedName name="CY_Disc_mnth">#REF!</definedName>
    <definedName name="CY_Disc_pd">#REF!</definedName>
    <definedName name="CY_Discounts">#REF!</definedName>
    <definedName name="CY_Earnings_per_share" localSheetId="12">#REF!</definedName>
    <definedName name="CY_Extraord." localSheetId="12">#REF!</definedName>
    <definedName name="CY_Gross_Profit" localSheetId="12">#REF!</definedName>
    <definedName name="CY_INC_AFT_TAX" localSheetId="12">#REF!</definedName>
    <definedName name="CY_INC_BEF_EXTRAORD" localSheetId="12">#REF!</definedName>
    <definedName name="CY_Inc_Bef_Tax" localSheetId="12">#REF!</definedName>
    <definedName name="CY_Intangible_Assets" localSheetId="12">#REF!</definedName>
    <definedName name="CY_Intangible_Assets">#REF!</definedName>
    <definedName name="CY_Interest_Expense" localSheetId="12">#REF!</definedName>
    <definedName name="CY_Inventory" localSheetId="12">#REF!</definedName>
    <definedName name="CY_LIABIL_EQUITY" localSheetId="12">#REF!</definedName>
    <definedName name="CY_LIABIL_EQUITY">#REF!</definedName>
    <definedName name="CY_Long_term_Debt__excl_Dfd_Taxes" localSheetId="12">#REF!</definedName>
    <definedName name="CY_LT_Debt" localSheetId="12">#REF!</definedName>
    <definedName name="CY_Market_Value_of_Equity" localSheetId="12">#REF!</definedName>
    <definedName name="CY_Marketable_Sec" localSheetId="12">#REF!</definedName>
    <definedName name="CY_Marketable_Sec">#REF!</definedName>
    <definedName name="CY_NET_INCOME" localSheetId="12">#REF!</definedName>
    <definedName name="CY_NET_PROFIT">#REF!</definedName>
    <definedName name="CY_Net_Revenue" localSheetId="12">#REF!</definedName>
    <definedName name="CY_Operating_Income" localSheetId="12">#REF!</definedName>
    <definedName name="CY_Operating_Income">#REF!</definedName>
    <definedName name="CY_Other" localSheetId="12">#REF!</definedName>
    <definedName name="CY_Other">#REF!</definedName>
    <definedName name="CY_Other_Curr_Assets" localSheetId="12">#REF!</definedName>
    <definedName name="CY_Other_Curr_Assets">#REF!</definedName>
    <definedName name="CY_Other_LT_Assets" localSheetId="12">#REF!</definedName>
    <definedName name="CY_Other_LT_Assets">#REF!</definedName>
    <definedName name="CY_Other_LT_Liabilities" localSheetId="12">#REF!</definedName>
    <definedName name="CY_Other_LT_Liabilities">#REF!</definedName>
    <definedName name="CY_Preferred_Stock" localSheetId="12">#REF!</definedName>
    <definedName name="CY_Preferred_Stock">#REF!</definedName>
    <definedName name="CY_QUICK_ASSETS" localSheetId="12">#REF!</definedName>
    <definedName name="CY_Ret_mnth">#REF!</definedName>
    <definedName name="CY_Ret_pd">#REF!</definedName>
    <definedName name="CY_Retained_Earnings" localSheetId="12">#REF!</definedName>
    <definedName name="CY_Retained_Earnings">#REF!</definedName>
    <definedName name="CY_Returns">#REF!</definedName>
    <definedName name="CY_Selling" localSheetId="12">#REF!</definedName>
    <definedName name="CY_Selling">#REF!</definedName>
    <definedName name="CY_Tangible_Assets" localSheetId="12">#REF!</definedName>
    <definedName name="CY_Tangible_Assets">#REF!</definedName>
    <definedName name="CY_Tangible_Net_Worth" localSheetId="12">#REF!</definedName>
    <definedName name="CY_Taxes" localSheetId="12">#REF!</definedName>
    <definedName name="CY_TOTAL_ASSETS" localSheetId="12">#REF!</definedName>
    <definedName name="CY_TOTAL_CURR_ASSETS" localSheetId="12">#REF!</definedName>
    <definedName name="CY_TOTAL_DEBT" localSheetId="12">#REF!</definedName>
    <definedName name="CY_TOTAL_EQUITY" localSheetId="12">#REF!</definedName>
    <definedName name="CY_Trade_Payables" localSheetId="12">#REF!</definedName>
    <definedName name="CY_Weighted_Average" localSheetId="12">#REF!</definedName>
    <definedName name="CY_Working_Capital" localSheetId="12">#REF!</definedName>
    <definedName name="CY_Year_Income_Statement" localSheetId="12">#REF!</definedName>
    <definedName name="da" localSheetId="21" hidden="1">{#N/A,#N/A,FALSE,"Aging Summary";#N/A,#N/A,FALSE,"Ratio Analysis";#N/A,#N/A,FALSE,"Test 120 Day Accts";#N/A,#N/A,FALSE,"Tickmarks"}</definedName>
    <definedName name="da" localSheetId="19" hidden="1">{#N/A,#N/A,FALSE,"Aging Summary";#N/A,#N/A,FALSE,"Ratio Analysis";#N/A,#N/A,FALSE,"Test 120 Day Accts";#N/A,#N/A,FALSE,"Tickmarks"}</definedName>
    <definedName name="da" localSheetId="10" hidden="1">{#N/A,#N/A,FALSE,"Aging Summary";#N/A,#N/A,FALSE,"Ratio Analysis";#N/A,#N/A,FALSE,"Test 120 Day Accts";#N/A,#N/A,FALSE,"Tickmarks"}</definedName>
    <definedName name="da" localSheetId="11" hidden="1">{#N/A,#N/A,FALSE,"Aging Summary";#N/A,#N/A,FALSE,"Ratio Analysis";#N/A,#N/A,FALSE,"Test 120 Day Accts";#N/A,#N/A,FALSE,"Tickmarks"}</definedName>
    <definedName name="da" localSheetId="12" hidden="1">{#N/A,#N/A,FALSE,"Aging Summary";#N/A,#N/A,FALSE,"Ratio Analysis";#N/A,#N/A,FALSE,"Test 120 Day Accts";#N/A,#N/A,FALSE,"Tickmarks"}</definedName>
    <definedName name="da" hidden="1">{#N/A,#N/A,FALSE,"Aging Summary";#N/A,#N/A,FALSE,"Ratio Analysis";#N/A,#N/A,FALSE,"Test 120 Day Accts";#N/A,#N/A,FALSE,"Tickmarks"}</definedName>
    <definedName name="DAFDFAD" localSheetId="21" hidden="1">{#N/A,#N/A,FALSE,"VOL"}</definedName>
    <definedName name="DAFDFAD" localSheetId="19" hidden="1">{#N/A,#N/A,FALSE,"VOL"}</definedName>
    <definedName name="DAFDFAD" localSheetId="10" hidden="1">{#N/A,#N/A,FALSE,"VOL"}</definedName>
    <definedName name="DAFDFAD" localSheetId="11" hidden="1">{#N/A,#N/A,FALSE,"VOL"}</definedName>
    <definedName name="DAFDFAD" localSheetId="12" hidden="1">{#N/A,#N/A,FALSE,"VOL"}</definedName>
    <definedName name="DAFDFAD" hidden="1">{#N/A,#N/A,FALSE,"VOL"}</definedName>
    <definedName name="DASA" localSheetId="12">#REF!</definedName>
    <definedName name="DASA">#REF!</definedName>
    <definedName name="data" localSheetId="12">#REF!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12">#REF!</definedName>
    <definedName name="datos">#REF!</definedName>
    <definedName name="Definición">#REF!</definedName>
    <definedName name="desc" localSheetId="12">#REF!</definedName>
    <definedName name="desc">#REF!</definedName>
    <definedName name="detaacu" localSheetId="12">#REF!</definedName>
    <definedName name="detaacu">#REF!</definedName>
    <definedName name="detames" localSheetId="12">#REF!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 localSheetId="12">#REF!</definedName>
    <definedName name="Dist">#REF!</definedName>
    <definedName name="distribuidores" localSheetId="12">#REF!</definedName>
    <definedName name="distribuidores">#REF!</definedName>
    <definedName name="Dollar_Threshold" localSheetId="12">#REF!</definedName>
    <definedName name="Dollar_Threshold">#REF!</definedName>
    <definedName name="dtt" hidden="1">#REF!</definedName>
    <definedName name="Edesa" localSheetId="12">#REF!</definedName>
    <definedName name="Edesa">#REF!</definedName>
    <definedName name="Enriputo" localSheetId="12">#REF!</definedName>
    <definedName name="Enriputo">#REF!</definedName>
    <definedName name="eoafh">#REF!</definedName>
    <definedName name="eoafn">#REF!</definedName>
    <definedName name="eoafs">#REF!</definedName>
    <definedName name="est" localSheetId="12">#REF!</definedName>
    <definedName name="est">#REF!</definedName>
    <definedName name="ESTBF" localSheetId="12">#REF!</definedName>
    <definedName name="ESTBF">#REF!</definedName>
    <definedName name="ESTIMADO" localSheetId="12">#REF!</definedName>
    <definedName name="ESTIMADO">#REF!</definedName>
    <definedName name="EV__LASTREFTIME__" hidden="1">38972.3597337963</definedName>
    <definedName name="EX" localSheetId="12">#REF!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 localSheetId="12">#REF!</definedName>
    <definedName name="GASTOS">#REF!</definedName>
    <definedName name="grandes3">#REF!</definedName>
    <definedName name="histor" localSheetId="12">#REF!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 localSheetId="12">#REF!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21" hidden="1">{#N/A,#N/A,FALSE,"VOL"}</definedName>
    <definedName name="liq" localSheetId="19" hidden="1">{#N/A,#N/A,FALSE,"VOL"}</definedName>
    <definedName name="liq" localSheetId="10" hidden="1">{#N/A,#N/A,FALSE,"VOL"}</definedName>
    <definedName name="liq" localSheetId="11" hidden="1">{#N/A,#N/A,FALSE,"VOL"}</definedName>
    <definedName name="liq" localSheetId="12" hidden="1">{#N/A,#N/A,FALSE,"VOL"}</definedName>
    <definedName name="liq" hidden="1">{#N/A,#N/A,FALSE,"VOL"}</definedName>
    <definedName name="listasuper" localSheetId="12">#REF!</definedName>
    <definedName name="listasuper">#REF!</definedName>
    <definedName name="Maintenance">#REF!</definedName>
    <definedName name="maintenanceld">#REF!</definedName>
    <definedName name="MaintenancePCS">#REF!</definedName>
    <definedName name="marca" localSheetId="12">#REF!</definedName>
    <definedName name="marca">#REF!</definedName>
    <definedName name="Marcas" localSheetId="12">#REF!</definedName>
    <definedName name="Marcas">#REF!</definedName>
    <definedName name="Minimis">#REF!</definedName>
    <definedName name="MKT">#REF!</definedName>
    <definedName name="mktld">#REF!</definedName>
    <definedName name="MKTPCS">#REF!</definedName>
    <definedName name="MP" localSheetId="12">#REF!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21" hidden="1">{#N/A,#N/A,FALSE,"Aging Summary";#N/A,#N/A,FALSE,"Ratio Analysis";#N/A,#N/A,FALSE,"Test 120 Day Accts";#N/A,#N/A,FALSE,"Tickmarks"}</definedName>
    <definedName name="new" localSheetId="19" hidden="1">{#N/A,#N/A,FALSE,"Aging Summary";#N/A,#N/A,FALSE,"Ratio Analysis";#N/A,#N/A,FALSE,"Test 120 Day Accts";#N/A,#N/A,FALSE,"Tickmarks"}</definedName>
    <definedName name="new" localSheetId="11" hidden="1">{#N/A,#N/A,FALSE,"Aging Summary";#N/A,#N/A,FALSE,"Ratio Analysis";#N/A,#N/A,FALSE,"Test 120 Day Accts";#N/A,#N/A,FALSE,"Tickmarks"}</definedName>
    <definedName name="new" localSheetId="12"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hidden="1">#REF!</definedName>
    <definedName name="nmm" localSheetId="21" hidden="1">{#N/A,#N/A,FALSE,"VOL"}</definedName>
    <definedName name="nmm" localSheetId="19" hidden="1">{#N/A,#N/A,FALSE,"VOL"}</definedName>
    <definedName name="nmm" localSheetId="10" hidden="1">{#N/A,#N/A,FALSE,"VOL"}</definedName>
    <definedName name="nmm" localSheetId="11" hidden="1">{#N/A,#N/A,FALSE,"VOL"}</definedName>
    <definedName name="nmm" localSheetId="12" hidden="1">{#N/A,#N/A,FALSE,"VOL"}</definedName>
    <definedName name="nmm" hidden="1">{#N/A,#N/A,FALSE,"VOL"}</definedName>
    <definedName name="NO" localSheetId="21" hidden="1">{#N/A,#N/A,FALSE,"VOL"}</definedName>
    <definedName name="NO" localSheetId="19" hidden="1">{#N/A,#N/A,FALSE,"VOL"}</definedName>
    <definedName name="NO" localSheetId="10" hidden="1">{#N/A,#N/A,FALSE,"VOL"}</definedName>
    <definedName name="NO" localSheetId="11" hidden="1">{#N/A,#N/A,FALSE,"VOL"}</definedName>
    <definedName name="NO" localSheetId="12" hidden="1">{#N/A,#N/A,FALSE,"VOL"}</definedName>
    <definedName name="NO" hidden="1">{#N/A,#N/A,FALSE,"VOL"}</definedName>
    <definedName name="NonTop_Stratum_Value" localSheetId="12">#REF!</definedName>
    <definedName name="NonTop_Stratum_Value">#REF!</definedName>
    <definedName name="Number_of_Selections">#REF!</definedName>
    <definedName name="Numof_Selections2">#REF!</definedName>
    <definedName name="ñfdsl">#REF!</definedName>
    <definedName name="ññ">#REF!</definedName>
    <definedName name="OPPROD" localSheetId="12">#REF!</definedName>
    <definedName name="OPPROD">#REF!</definedName>
    <definedName name="opt">#REF!</definedName>
    <definedName name="optr">#REF!</definedName>
    <definedName name="Others">#REF!</definedName>
    <definedName name="othersld">#REF!</definedName>
    <definedName name="OthersPCS">#REF!</definedName>
    <definedName name="PARAGUAY" localSheetId="12">#REF!</definedName>
    <definedName name="PARAGUAY">#REF!</definedName>
    <definedName name="participa" localSheetId="12">#REF!</definedName>
    <definedName name="participa">#REF!</definedName>
    <definedName name="Partidas_seleccionadas_test_de_">#REF!</definedName>
    <definedName name="Partidas_Selecionadas">#REF!</definedName>
    <definedName name="Percent_Threshold" localSheetId="12">#REF!</definedName>
    <definedName name="Percent_Threshold">#REF!</definedName>
    <definedName name="PL_Dollar_Threshold" localSheetId="12">#REF!</definedName>
    <definedName name="PL_Dollar_Threshold">#REF!</definedName>
    <definedName name="PL_Percent_Threshold" localSheetId="12">#REF!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12">#REF!</definedName>
    <definedName name="POLYAR">#REF!</definedName>
    <definedName name="potir">#REF!</definedName>
    <definedName name="ppc" localSheetId="12">#REF!</definedName>
    <definedName name="ppc">#REF!</definedName>
    <definedName name="pr" localSheetId="12">#REF!</definedName>
    <definedName name="pr">#REF!</definedName>
    <definedName name="previs">#REF!</definedName>
    <definedName name="PS_Test_de_Gastos">#REF!</definedName>
    <definedName name="PY_Accounts_Receivable" localSheetId="12">#REF!</definedName>
    <definedName name="PY_Administration" localSheetId="12">#REF!</definedName>
    <definedName name="PY_Administration">#REF!</definedName>
    <definedName name="PY_Cash" localSheetId="12">#REF!</definedName>
    <definedName name="PY_Cash_Div_Dec" localSheetId="12">#REF!</definedName>
    <definedName name="PY_CASH_DIVIDENDS_DECLARED__per_common_share" localSheetId="12">#REF!</definedName>
    <definedName name="PY_Common_Equity" localSheetId="12">#REF!</definedName>
    <definedName name="PY_Cost_of_Sales" localSheetId="12">#REF!</definedName>
    <definedName name="PY_Current_Liabilities" localSheetId="12">#REF!</definedName>
    <definedName name="PY_Depreciation" localSheetId="12">#REF!</definedName>
    <definedName name="PY_Disc._Ops." localSheetId="12">#REF!</definedName>
    <definedName name="PY_Disc_allow">#REF!</definedName>
    <definedName name="PY_Disc_mnth">#REF!</definedName>
    <definedName name="PY_Disc_pd">#REF!</definedName>
    <definedName name="PY_Discounts">#REF!</definedName>
    <definedName name="PY_Earnings_per_share" localSheetId="12">#REF!</definedName>
    <definedName name="PY_Extraord." localSheetId="12">#REF!</definedName>
    <definedName name="PY_Gross_Profit" localSheetId="12">#REF!</definedName>
    <definedName name="PY_INC_AFT_TAX" localSheetId="12">#REF!</definedName>
    <definedName name="PY_INC_BEF_EXTRAORD" localSheetId="12">#REF!</definedName>
    <definedName name="PY_Inc_Bef_Tax" localSheetId="12">#REF!</definedName>
    <definedName name="PY_Intangible_Assets" localSheetId="12">#REF!</definedName>
    <definedName name="PY_Intangible_Assets">#REF!</definedName>
    <definedName name="PY_Interest_Expense" localSheetId="12">#REF!</definedName>
    <definedName name="PY_Inventory" localSheetId="12">#REF!</definedName>
    <definedName name="PY_LIABIL_EQUITY" localSheetId="12">#REF!</definedName>
    <definedName name="PY_LIABIL_EQUITY">#REF!</definedName>
    <definedName name="PY_Long_term_Debt__excl_Dfd_Taxes" localSheetId="12">#REF!</definedName>
    <definedName name="PY_LT_Debt" localSheetId="12">#REF!</definedName>
    <definedName name="PY_Market_Value_of_Equity" localSheetId="12">#REF!</definedName>
    <definedName name="PY_Marketable_Sec" localSheetId="12">#REF!</definedName>
    <definedName name="PY_Marketable_Sec">#REF!</definedName>
    <definedName name="PY_NET_INCOME" localSheetId="12">#REF!</definedName>
    <definedName name="PY_NET_PROFIT">#REF!</definedName>
    <definedName name="PY_Net_Revenue" localSheetId="12">#REF!</definedName>
    <definedName name="PY_Operating_Inc" localSheetId="12">#REF!</definedName>
    <definedName name="PY_Operating_Inc">#REF!</definedName>
    <definedName name="PY_Operating_Income" localSheetId="12">#REF!</definedName>
    <definedName name="PY_Operating_Income">#REF!</definedName>
    <definedName name="PY_Other_Curr_Assets" localSheetId="12">#REF!</definedName>
    <definedName name="PY_Other_Curr_Assets">#REF!</definedName>
    <definedName name="PY_Other_Exp" localSheetId="12">#REF!</definedName>
    <definedName name="PY_Other_Exp">#REF!</definedName>
    <definedName name="PY_Other_LT_Assets" localSheetId="12">#REF!</definedName>
    <definedName name="PY_Other_LT_Assets">#REF!</definedName>
    <definedName name="PY_Other_LT_Liabilities" localSheetId="12">#REF!</definedName>
    <definedName name="PY_Other_LT_Liabilities">#REF!</definedName>
    <definedName name="PY_Preferred_Stock" localSheetId="12">#REF!</definedName>
    <definedName name="PY_Preferred_Stock">#REF!</definedName>
    <definedName name="PY_QUICK_ASSETS" localSheetId="12">#REF!</definedName>
    <definedName name="PY_Ret_allow">#REF!</definedName>
    <definedName name="PY_Ret_mnth">#REF!</definedName>
    <definedName name="PY_Ret_pd">#REF!</definedName>
    <definedName name="PY_Retained_Earnings" localSheetId="12">#REF!</definedName>
    <definedName name="PY_Retained_Earnings">#REF!</definedName>
    <definedName name="PY_Returns">#REF!</definedName>
    <definedName name="PY_Selling" localSheetId="12">#REF!</definedName>
    <definedName name="PY_Selling">#REF!</definedName>
    <definedName name="PY_Tangible_Assets" localSheetId="12">#REF!</definedName>
    <definedName name="PY_Tangible_Assets">#REF!</definedName>
    <definedName name="PY_Tangible_Net_Worth" localSheetId="12">#REF!</definedName>
    <definedName name="PY_Taxes" localSheetId="12">#REF!</definedName>
    <definedName name="PY_TOTAL_ASSETS" localSheetId="12">#REF!</definedName>
    <definedName name="PY_TOTAL_CURR_ASSETS" localSheetId="12">#REF!</definedName>
    <definedName name="PY_TOTAL_DEBT" localSheetId="12">#REF!</definedName>
    <definedName name="PY_TOTAL_EQUITY" localSheetId="12">#REF!</definedName>
    <definedName name="PY_Trade_Payables" localSheetId="12">#REF!</definedName>
    <definedName name="PY_Weighted_Average" localSheetId="12">#REF!</definedName>
    <definedName name="PY_Working_Capital" localSheetId="12">#REF!</definedName>
    <definedName name="PY_Year_Income_Statement" localSheetId="12">#REF!</definedName>
    <definedName name="PY2_Accounts_Receivable" localSheetId="12">#REF!</definedName>
    <definedName name="PY2_Administration" localSheetId="12">#REF!</definedName>
    <definedName name="PY2_Cash" localSheetId="12">#REF!</definedName>
    <definedName name="PY2_Cash_Div_Dec" localSheetId="12">#REF!</definedName>
    <definedName name="PY2_CASH_DIVIDENDS_DECLARED__per_common_share" localSheetId="12">#REF!</definedName>
    <definedName name="PY2_Common_Equity" localSheetId="12">#REF!</definedName>
    <definedName name="PY2_Cost_of_Sales" localSheetId="12">#REF!</definedName>
    <definedName name="PY2_Current_Liabilities" localSheetId="12">#REF!</definedName>
    <definedName name="PY2_Depreciation" localSheetId="12">#REF!</definedName>
    <definedName name="PY2_Disc._Ops." localSheetId="12">#REF!</definedName>
    <definedName name="PY2_Earnings_per_share" localSheetId="12">#REF!</definedName>
    <definedName name="PY2_Extraord." localSheetId="12">#REF!</definedName>
    <definedName name="PY2_Gross_Profit" localSheetId="12">#REF!</definedName>
    <definedName name="PY2_INC_AFT_TAX" localSheetId="12">#REF!</definedName>
    <definedName name="PY2_INC_BEF_EXTRAORD" localSheetId="12">#REF!</definedName>
    <definedName name="PY2_Inc_Bef_Tax" localSheetId="12">#REF!</definedName>
    <definedName name="PY2_Intangible_Assets" localSheetId="12">#REF!</definedName>
    <definedName name="PY2_Interest_Expense" localSheetId="12">#REF!</definedName>
    <definedName name="PY2_Inventory" localSheetId="12">#REF!</definedName>
    <definedName name="PY2_LIABIL_EQUITY" localSheetId="12">#REF!</definedName>
    <definedName name="PY2_Long_term_Debt__excl_Dfd_Taxes" localSheetId="12">#REF!</definedName>
    <definedName name="PY2_LT_Debt" localSheetId="12">#REF!</definedName>
    <definedName name="PY2_Market_Value_of_Equity" localSheetId="12">#REF!</definedName>
    <definedName name="PY2_Marketable_Sec" localSheetId="12">#REF!</definedName>
    <definedName name="PY2_NET_INCOME" localSheetId="12">#REF!</definedName>
    <definedName name="PY2_Net_Revenue" localSheetId="12">#REF!</definedName>
    <definedName name="PY2_Operating_Inc" localSheetId="12">#REF!</definedName>
    <definedName name="PY2_Operating_Income" localSheetId="12">#REF!</definedName>
    <definedName name="PY2_Other_Curr_Assets" localSheetId="12">#REF!</definedName>
    <definedName name="PY2_Other_Exp." localSheetId="12">#REF!</definedName>
    <definedName name="PY2_Other_LT_Assets" localSheetId="12">#REF!</definedName>
    <definedName name="PY2_Other_LT_Liabilities" localSheetId="12">#REF!</definedName>
    <definedName name="PY2_Preferred_Stock" localSheetId="12">#REF!</definedName>
    <definedName name="PY2_QUICK_ASSETS" localSheetId="12">#REF!</definedName>
    <definedName name="PY2_Retained_Earnings" localSheetId="12">#REF!</definedName>
    <definedName name="PY2_Selling" localSheetId="12">#REF!</definedName>
    <definedName name="PY2_Tangible_Assets" localSheetId="12">#REF!</definedName>
    <definedName name="PY2_Tangible_Net_Worth" localSheetId="12">#REF!</definedName>
    <definedName name="PY2_Taxes" localSheetId="12">#REF!</definedName>
    <definedName name="PY2_TOTAL_ASSETS" localSheetId="12">#REF!</definedName>
    <definedName name="PY2_TOTAL_CURR_ASSETS" localSheetId="12">#REF!</definedName>
    <definedName name="PY2_TOTAL_DEBT" localSheetId="12">#REF!</definedName>
    <definedName name="PY2_TOTAL_EQUITY" localSheetId="12">#REF!</definedName>
    <definedName name="PY2_Trade_Payables" localSheetId="12">#REF!</definedName>
    <definedName name="PY2_Weighted_Average" localSheetId="12">#REF!</definedName>
    <definedName name="PY2_Working_Capital" localSheetId="12">#REF!</definedName>
    <definedName name="PY2_Year_Income_Statement" localSheetId="12">#REF!</definedName>
    <definedName name="PY3_Accounts_Receivable" localSheetId="12">#REF!</definedName>
    <definedName name="PY3_Administration" localSheetId="12">#REF!</definedName>
    <definedName name="PY3_Cash" localSheetId="12">#REF!</definedName>
    <definedName name="PY3_Common_Equity" localSheetId="12">#REF!</definedName>
    <definedName name="PY3_Cost_of_Sales" localSheetId="12">#REF!</definedName>
    <definedName name="PY3_Current_Liabilities" localSheetId="12">#REF!</definedName>
    <definedName name="PY3_Depreciation" localSheetId="12">#REF!</definedName>
    <definedName name="PY3_Disc._Ops." localSheetId="12">#REF!</definedName>
    <definedName name="PY3_Extraord." localSheetId="12">#REF!</definedName>
    <definedName name="PY3_Gross_Profit" localSheetId="12">#REF!</definedName>
    <definedName name="PY3_INC_AFT_TAX" localSheetId="12">#REF!</definedName>
    <definedName name="PY3_INC_BEF_EXTRAORD" localSheetId="12">#REF!</definedName>
    <definedName name="PY3_Inc_Bef_Tax" localSheetId="12">#REF!</definedName>
    <definedName name="PY3_Intangible_Assets" localSheetId="12">#REF!</definedName>
    <definedName name="PY3_Intangible_Assets">#REF!</definedName>
    <definedName name="PY3_Interest_Expense" localSheetId="12">#REF!</definedName>
    <definedName name="PY3_Inventory" localSheetId="12">#REF!</definedName>
    <definedName name="PY3_LIABIL_EQUITY" localSheetId="12">#REF!</definedName>
    <definedName name="PY3_Long_term_Debt__excl_Dfd_Taxes" localSheetId="12">#REF!</definedName>
    <definedName name="PY3_Marketable_Sec" localSheetId="12">#REF!</definedName>
    <definedName name="PY3_Marketable_Sec">#REF!</definedName>
    <definedName name="PY3_NET_INCOME" localSheetId="12">#REF!</definedName>
    <definedName name="PY3_Net_Revenue" localSheetId="12">#REF!</definedName>
    <definedName name="PY3_Operating_Inc" localSheetId="12">#REF!</definedName>
    <definedName name="PY3_Other_Curr_Assets" localSheetId="12">#REF!</definedName>
    <definedName name="PY3_Other_Curr_Assets">#REF!</definedName>
    <definedName name="PY3_Other_Exp." localSheetId="12">#REF!</definedName>
    <definedName name="PY3_Other_LT_Assets" localSheetId="12">#REF!</definedName>
    <definedName name="PY3_Other_LT_Assets">#REF!</definedName>
    <definedName name="PY3_Other_LT_Liabilities" localSheetId="12">#REF!</definedName>
    <definedName name="PY3_Other_LT_Liabilities">#REF!</definedName>
    <definedName name="PY3_Preferred_Stock" localSheetId="12">#REF!</definedName>
    <definedName name="PY3_Preferred_Stock">#REF!</definedName>
    <definedName name="PY3_QUICK_ASSETS" localSheetId="12">#REF!</definedName>
    <definedName name="PY3_Retained_Earnings" localSheetId="12">#REF!</definedName>
    <definedName name="PY3_Retained_Earnings">#REF!</definedName>
    <definedName name="PY3_Selling" localSheetId="12">#REF!</definedName>
    <definedName name="PY3_Tangible_Assets" localSheetId="12">#REF!</definedName>
    <definedName name="PY3_Tangible_Assets">#REF!</definedName>
    <definedName name="PY3_Taxes" localSheetId="12">#REF!</definedName>
    <definedName name="PY3_TOTAL_ASSETS" localSheetId="12">#REF!</definedName>
    <definedName name="PY3_TOTAL_CURR_ASSETS" localSheetId="12">#REF!</definedName>
    <definedName name="PY3_TOTAL_DEBT" localSheetId="12">#REF!</definedName>
    <definedName name="PY3_TOTAL_EQUITY" localSheetId="12">#REF!</definedName>
    <definedName name="PY3_Trade_Payables" localSheetId="12">#REF!</definedName>
    <definedName name="PY3_Year_Income_Statement" localSheetId="12">#REF!</definedName>
    <definedName name="PY4_Accounts_Receivable" localSheetId="12">#REF!</definedName>
    <definedName name="PY4_Administration" localSheetId="12">#REF!</definedName>
    <definedName name="PY4_Cash" localSheetId="12">#REF!</definedName>
    <definedName name="PY4_Common_Equity" localSheetId="12">#REF!</definedName>
    <definedName name="PY4_Cost_of_Sales" localSheetId="12">#REF!</definedName>
    <definedName name="PY4_Current_Liabilities" localSheetId="12">#REF!</definedName>
    <definedName name="PY4_Depreciation" localSheetId="12">#REF!</definedName>
    <definedName name="PY4_Disc._Ops." localSheetId="12">#REF!</definedName>
    <definedName name="PY4_Extraord." localSheetId="12">#REF!</definedName>
    <definedName name="PY4_Gross_Profit" localSheetId="12">#REF!</definedName>
    <definedName name="PY4_INC_AFT_TAX" localSheetId="12">#REF!</definedName>
    <definedName name="PY4_INC_BEF_EXTRAORD" localSheetId="12">#REF!</definedName>
    <definedName name="PY4_Inc_Bef_Tax" localSheetId="12">#REF!</definedName>
    <definedName name="PY4_Intangible_Assets" localSheetId="12">#REF!</definedName>
    <definedName name="PY4_Intangible_Assets">#REF!</definedName>
    <definedName name="PY4_Interest_Expense" localSheetId="12">#REF!</definedName>
    <definedName name="PY4_Inventory" localSheetId="12">#REF!</definedName>
    <definedName name="PY4_LIABIL_EQUITY" localSheetId="12">#REF!</definedName>
    <definedName name="PY4_Long_term_Debt__excl_Dfd_Taxes" localSheetId="12">#REF!</definedName>
    <definedName name="PY4_Marketable_Sec" localSheetId="12">#REF!</definedName>
    <definedName name="PY4_Marketable_Sec">#REF!</definedName>
    <definedName name="PY4_NET_INCOME" localSheetId="12">#REF!</definedName>
    <definedName name="PY4_Net_Revenue" localSheetId="12">#REF!</definedName>
    <definedName name="PY4_Operating_Inc" localSheetId="12">#REF!</definedName>
    <definedName name="PY4_Other_Cur_Assets" localSheetId="12">#REF!</definedName>
    <definedName name="PY4_Other_Cur_Assets">#REF!</definedName>
    <definedName name="PY4_Other_Exp." localSheetId="12">#REF!</definedName>
    <definedName name="PY4_Other_LT_Assets" localSheetId="12">#REF!</definedName>
    <definedName name="PY4_Other_LT_Assets">#REF!</definedName>
    <definedName name="PY4_Other_LT_Liabilities" localSheetId="12">#REF!</definedName>
    <definedName name="PY4_Other_LT_Liabilities">#REF!</definedName>
    <definedName name="PY4_Preferred_Stock" localSheetId="12">#REF!</definedName>
    <definedName name="PY4_Preferred_Stock">#REF!</definedName>
    <definedName name="PY4_QUICK_ASSETS" localSheetId="12">#REF!</definedName>
    <definedName name="PY4_Retained_Earnings" localSheetId="12">#REF!</definedName>
    <definedName name="PY4_Retained_Earnings">#REF!</definedName>
    <definedName name="PY4_Selling" localSheetId="12">#REF!</definedName>
    <definedName name="PY4_Tangible_Assets" localSheetId="12">#REF!</definedName>
    <definedName name="PY4_Tangible_Assets">#REF!</definedName>
    <definedName name="PY4_Taxes" localSheetId="12">#REF!</definedName>
    <definedName name="PY4_TOTAL_ASSETS" localSheetId="12">#REF!</definedName>
    <definedName name="PY4_TOTAL_CURR_ASSETS" localSheetId="12">#REF!</definedName>
    <definedName name="PY4_TOTAL_DEBT" localSheetId="12">#REF!</definedName>
    <definedName name="PY4_TOTAL_EQUITY" localSheetId="12">#REF!</definedName>
    <definedName name="PY4_Trade_Payables" localSheetId="12">#REF!</definedName>
    <definedName name="PY4_Year_Income_Statement" localSheetId="12">#REF!</definedName>
    <definedName name="PY5_Accounts_Receivable" localSheetId="12">#REF!</definedName>
    <definedName name="PY5_Accounts_Receivable">#REF!</definedName>
    <definedName name="PY5_Administration" localSheetId="12">#REF!</definedName>
    <definedName name="PY5_Cash" localSheetId="12">#REF!</definedName>
    <definedName name="PY5_Common_Equity" localSheetId="12">#REF!</definedName>
    <definedName name="PY5_Cost_of_Sales" localSheetId="12">#REF!</definedName>
    <definedName name="PY5_Current_Liabilities" localSheetId="12">#REF!</definedName>
    <definedName name="PY5_Depreciation" localSheetId="12">#REF!</definedName>
    <definedName name="PY5_Disc._Ops." localSheetId="12">#REF!</definedName>
    <definedName name="PY5_Extraord." localSheetId="12">#REF!</definedName>
    <definedName name="PY5_Gross_Profit" localSheetId="12">#REF!</definedName>
    <definedName name="PY5_INC_AFT_TAX" localSheetId="12">#REF!</definedName>
    <definedName name="PY5_INC_BEF_EXTRAORD" localSheetId="12">#REF!</definedName>
    <definedName name="PY5_Inc_Bef_Tax" localSheetId="12">#REF!</definedName>
    <definedName name="PY5_Intangible_Assets" localSheetId="12">#REF!</definedName>
    <definedName name="PY5_Intangible_Assets">#REF!</definedName>
    <definedName name="PY5_Interest_Expense" localSheetId="12">#REF!</definedName>
    <definedName name="PY5_Inventory" localSheetId="12">#REF!</definedName>
    <definedName name="PY5_Inventory">#REF!</definedName>
    <definedName name="PY5_LIABIL_EQUITY" localSheetId="12">#REF!</definedName>
    <definedName name="PY5_Long_term_Debt__excl_Dfd_Taxes" localSheetId="12">#REF!</definedName>
    <definedName name="PY5_Marketable_Sec" localSheetId="12">#REF!</definedName>
    <definedName name="PY5_Marketable_Sec">#REF!</definedName>
    <definedName name="PY5_NET_INCOME" localSheetId="12">#REF!</definedName>
    <definedName name="PY5_Net_Revenue" localSheetId="12">#REF!</definedName>
    <definedName name="PY5_Operating_Inc" localSheetId="12">#REF!</definedName>
    <definedName name="PY5_Other_Curr_Assets" localSheetId="12">#REF!</definedName>
    <definedName name="PY5_Other_Curr_Assets">#REF!</definedName>
    <definedName name="PY5_Other_Exp." localSheetId="12">#REF!</definedName>
    <definedName name="PY5_Other_LT_Assets" localSheetId="12">#REF!</definedName>
    <definedName name="PY5_Other_LT_Assets">#REF!</definedName>
    <definedName name="PY5_Other_LT_Liabilities" localSheetId="12">#REF!</definedName>
    <definedName name="PY5_Other_LT_Liabilities">#REF!</definedName>
    <definedName name="PY5_Preferred_Stock" localSheetId="12">#REF!</definedName>
    <definedName name="PY5_Preferred_Stock">#REF!</definedName>
    <definedName name="PY5_QUICK_ASSETS" localSheetId="12">#REF!</definedName>
    <definedName name="PY5_Retained_Earnings" localSheetId="12">#REF!</definedName>
    <definedName name="PY5_Retained_Earnings">#REF!</definedName>
    <definedName name="PY5_Selling" localSheetId="12">#REF!</definedName>
    <definedName name="PY5_Tangible_Assets" localSheetId="12">#REF!</definedName>
    <definedName name="PY5_Tangible_Assets">#REF!</definedName>
    <definedName name="PY5_Taxes" localSheetId="12">#REF!</definedName>
    <definedName name="PY5_TOTAL_ASSETS" localSheetId="12">#REF!</definedName>
    <definedName name="PY5_TOTAL_CURR_ASSETS" localSheetId="12">#REF!</definedName>
    <definedName name="PY5_TOTAL_DEBT" localSheetId="12">#REF!</definedName>
    <definedName name="PY5_TOTAL_EQUITY" localSheetId="12">#REF!</definedName>
    <definedName name="PY5_Trade_Payables" localSheetId="12">#REF!</definedName>
    <definedName name="PY5_Year_Income_Statement" localSheetId="12">#REF!</definedName>
    <definedName name="QGPL_CLTESLB">#REF!</definedName>
    <definedName name="quarter" localSheetId="12">#REF!</definedName>
    <definedName name="quarter">#REF!</definedName>
    <definedName name="R_Factor" localSheetId="12">#REF!</definedName>
    <definedName name="R_Factor">#REF!</definedName>
    <definedName name="R_Factor_AR_Balance">#REF!</definedName>
    <definedName name="R_Factor_SRD">#REF!</definedName>
    <definedName name="Ret_Allowance">#REF!</definedName>
    <definedName name="roie">#REF!</definedName>
    <definedName name="rr" localSheetId="21" hidden="1">{#N/A,#N/A,FALSE,"VOL"}</definedName>
    <definedName name="rr" localSheetId="19" hidden="1">{#N/A,#N/A,FALSE,"VOL"}</definedName>
    <definedName name="rr" localSheetId="12" hidden="1">{#N/A,#N/A,FALSE,"VOL"}</definedName>
    <definedName name="rr" hidden="1">{#N/A,#N/A,FALSE,"VOL"}</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localSheetId="12" hidden="1">1</definedName>
    <definedName name="SAPBEXrevision" hidden="1">3</definedName>
    <definedName name="SAPBEXsysID" hidden="1">"PLW"</definedName>
    <definedName name="SAPBEXwbID" localSheetId="12" hidden="1">"0B3C5WPQ1PKHTD1CRY997L2MI"</definedName>
    <definedName name="SAPBEXwbID" hidden="1">"14RHU0IXG8KL7C7PJMON454VM"</definedName>
    <definedName name="sdfnlsd" hidden="1">#REF!</definedName>
    <definedName name="sectores">#REF!</definedName>
    <definedName name="sedal" localSheetId="12">#REF!</definedName>
    <definedName name="sedal">#REF!</definedName>
    <definedName name="Selection_Remainder" localSheetId="12">#REF!</definedName>
    <definedName name="Selection_Remainder">#REF!</definedName>
    <definedName name="sku" localSheetId="12">#REF!</definedName>
    <definedName name="sku">#REF!</definedName>
    <definedName name="skus" localSheetId="12">#REF!</definedName>
    <definedName name="skus">#REF!</definedName>
    <definedName name="Starting_Point" localSheetId="12">#REF!</definedName>
    <definedName name="Starting_Point">#REF!</definedName>
    <definedName name="STKDIARIO" localSheetId="12">#REF!</definedName>
    <definedName name="STKDIARIO">#REF!</definedName>
    <definedName name="STKDIARIOPX01" localSheetId="12">#REF!</definedName>
    <definedName name="STKDIARIOPX01">#REF!</definedName>
    <definedName name="STKDIARIOPX04" localSheetId="12">#REF!</definedName>
    <definedName name="STKDIARIOPX04">#REF!</definedName>
    <definedName name="Suma_de_ABR_U_3">#REF!</definedName>
    <definedName name="SUMMARY" localSheetId="12">#REF!</definedName>
    <definedName name="SUMMARY">#REF!</definedName>
    <definedName name="super" localSheetId="12">#REF!</definedName>
    <definedName name="super">#REF!</definedName>
    <definedName name="tablasun" localSheetId="12">#REF!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12">#REF!</definedName>
    <definedName name="TEST0">#REF!</definedName>
    <definedName name="TEST1" localSheetId="12">#REF!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 localSheetId="12">#REF!</definedName>
    <definedName name="TESTKEYS">#REF!</definedName>
    <definedName name="TextRefCopy1">#REF!</definedName>
    <definedName name="TextRefCopy10" localSheetId="12">#REF!</definedName>
    <definedName name="TextRefCopy10">#REF!</definedName>
    <definedName name="TextRefCopy100" localSheetId="12">#REF!</definedName>
    <definedName name="TextRefCopy100">#REF!</definedName>
    <definedName name="TextRefCopy102" localSheetId="12">#REF!</definedName>
    <definedName name="TextRefCopy102">#REF!</definedName>
    <definedName name="TextRefCopy103" localSheetId="12">#REF!</definedName>
    <definedName name="TextRefCopy103">#REF!</definedName>
    <definedName name="TextRefCopy104" localSheetId="12">#REF!</definedName>
    <definedName name="TextRefCopy104">#REF!</definedName>
    <definedName name="TextRefCopy105" localSheetId="12">#REF!</definedName>
    <definedName name="TextRefCopy105">#REF!</definedName>
    <definedName name="TextRefCopy107" localSheetId="12">#REF!</definedName>
    <definedName name="TextRefCopy107">#REF!</definedName>
    <definedName name="TextRefCopy108" localSheetId="12">#REF!</definedName>
    <definedName name="TextRefCopy108">#REF!</definedName>
    <definedName name="TextRefCopy109" localSheetId="12">#REF!</definedName>
    <definedName name="TextRefCopy109">#REF!</definedName>
    <definedName name="TextRefCopy11" localSheetId="12">#REF!</definedName>
    <definedName name="TextRefCopy111">#REF!</definedName>
    <definedName name="TextRefCopy112" localSheetId="12">#REF!</definedName>
    <definedName name="TextRefCopy112">#REF!</definedName>
    <definedName name="TextRefCopy113" localSheetId="12">#REF!</definedName>
    <definedName name="TextRefCopy113">#REF!</definedName>
    <definedName name="TextRefCopy114">#REF!</definedName>
    <definedName name="TextRefCopy116" localSheetId="12">#REF!</definedName>
    <definedName name="TextRefCopy116">#REF!</definedName>
    <definedName name="TextRefCopy118" localSheetId="12">#REF!</definedName>
    <definedName name="TextRefCopy118">#REF!</definedName>
    <definedName name="TextRefCopy119" localSheetId="12">#REF!</definedName>
    <definedName name="TextRefCopy119">#REF!</definedName>
    <definedName name="TextRefCopy12" localSheetId="12">#REF!</definedName>
    <definedName name="TextRefCopy120" localSheetId="12">#REF!</definedName>
    <definedName name="TextRefCopy120">#REF!</definedName>
    <definedName name="TextRefCopy121" localSheetId="12">#REF!</definedName>
    <definedName name="TextRefCopy121">#REF!</definedName>
    <definedName name="TextRefCopy122">#REF!</definedName>
    <definedName name="TextRefCopy123">#REF!</definedName>
    <definedName name="TextRefCopy127" localSheetId="12">#REF!</definedName>
    <definedName name="TextRefCopy127">#REF!</definedName>
    <definedName name="TextRefCopy13" localSheetId="12">#REF!</definedName>
    <definedName name="TextRefCopy14" localSheetId="12">#REF!</definedName>
    <definedName name="TextRefCopy15" localSheetId="12">#REF!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12">#REF!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12">#REF!</definedName>
    <definedName name="TextRefCopy4">#REF!</definedName>
    <definedName name="TextRefCopy41">#REF!</definedName>
    <definedName name="TextRefCopy42" localSheetId="12">#REF!</definedName>
    <definedName name="TextRefCopy42">#REF!</definedName>
    <definedName name="TextRefCopy43" localSheetId="12">#REF!</definedName>
    <definedName name="TextRefCopy44" localSheetId="12">#REF!</definedName>
    <definedName name="TextRefCopy44">#REF!</definedName>
    <definedName name="TextRefCopy46">#REF!</definedName>
    <definedName name="TextRefCopy53" localSheetId="12">#REF!</definedName>
    <definedName name="TextRefCopy53">#REF!</definedName>
    <definedName name="TextRefCopy54" localSheetId="12">#REF!</definedName>
    <definedName name="TextRefCopy54">#REF!</definedName>
    <definedName name="TextRefCopy55" localSheetId="12">#REF!</definedName>
    <definedName name="TextRefCopy55">#REF!</definedName>
    <definedName name="TextRefCopy56" localSheetId="12">#REF!</definedName>
    <definedName name="TextRefCopy56">#REF!</definedName>
    <definedName name="TextRefCopy6">#REF!</definedName>
    <definedName name="TextRefCopy63" localSheetId="12">#REF!</definedName>
    <definedName name="TextRefCopy63">#REF!</definedName>
    <definedName name="TextRefCopy65" localSheetId="12">#REF!</definedName>
    <definedName name="TextRefCopy65">#REF!</definedName>
    <definedName name="TextRefCopy66" localSheetId="12">#REF!</definedName>
    <definedName name="TextRefCopy66">#REF!</definedName>
    <definedName name="TextRefCopy67" localSheetId="12">#REF!</definedName>
    <definedName name="TextRefCopy67">#REF!</definedName>
    <definedName name="TextRefCopy68" localSheetId="12">#REF!</definedName>
    <definedName name="TextRefCopy68">#REF!</definedName>
    <definedName name="TextRefCopy7" localSheetId="12">#REF!</definedName>
    <definedName name="TextRefCopy7">#REF!</definedName>
    <definedName name="TextRefCopy70" localSheetId="12">#REF!</definedName>
    <definedName name="TextRefCopy70">#REF!</definedName>
    <definedName name="TextRefCopy71" localSheetId="12">#REF!</definedName>
    <definedName name="TextRefCopy71">#REF!</definedName>
    <definedName name="TextRefCopy73" localSheetId="12">#REF!</definedName>
    <definedName name="TextRefCopy73">#REF!</definedName>
    <definedName name="TextRefCopy75" localSheetId="12">#REF!</definedName>
    <definedName name="TextRefCopy75">#REF!</definedName>
    <definedName name="TextRefCopy77" localSheetId="12">#REF!</definedName>
    <definedName name="TextRefCopy77">#REF!</definedName>
    <definedName name="TextRefCopy79" localSheetId="12">#REF!</definedName>
    <definedName name="TextRefCopy79">#REF!</definedName>
    <definedName name="TextRefCopy8" localSheetId="12">#REF!</definedName>
    <definedName name="TextRefCopy8">#REF!</definedName>
    <definedName name="TextRefCopy80" localSheetId="12">#REF!</definedName>
    <definedName name="TextRefCopy80">#REF!</definedName>
    <definedName name="TextRefCopy82" localSheetId="12">#REF!</definedName>
    <definedName name="TextRefCopy82">#REF!</definedName>
    <definedName name="TextRefCopy85" localSheetId="12">#REF!</definedName>
    <definedName name="TextRefCopy86" localSheetId="12">#REF!</definedName>
    <definedName name="TextRefCopy88" localSheetId="12">#REF!</definedName>
    <definedName name="TextRefCopy89" localSheetId="12">#REF!</definedName>
    <definedName name="TextRefCopy90" localSheetId="12">#REF!</definedName>
    <definedName name="TextRefCopy91" localSheetId="12">#REF!</definedName>
    <definedName name="TextRefCopy92" localSheetId="12">#REF!</definedName>
    <definedName name="TextRefCopy93" localSheetId="12">#REF!</definedName>
    <definedName name="TextRefCopy97" localSheetId="12">#REF!</definedName>
    <definedName name="TextRefCopy97">#REF!</definedName>
    <definedName name="TextRefCopy98">#REF!</definedName>
    <definedName name="TextRefCopyRangeCount" localSheetId="12" hidden="1">12</definedName>
    <definedName name="TextRefCopyRangeCount" hidden="1">1</definedName>
    <definedName name="TítuloDeColumna1">#REF!</definedName>
    <definedName name="Top_Stratum_Number" localSheetId="12">#REF!</definedName>
    <definedName name="Top_Stratum_Number">#REF!</definedName>
    <definedName name="Top_Stratum_Value" localSheetId="12">#REF!</definedName>
    <definedName name="Top_Stratum_Value">#REF!</definedName>
    <definedName name="Total_Amount">#REF!</definedName>
    <definedName name="Total_Number_Selections" localSheetId="12">#REF!</definedName>
    <definedName name="Total_Number_Selections">#REF!</definedName>
    <definedName name="tp" localSheetId="12">#REF!</definedName>
    <definedName name="tp">#REF!</definedName>
    <definedName name="Unidades" localSheetId="12">#REF!</definedName>
    <definedName name="Unidades">#REF!</definedName>
    <definedName name="URUGUAY" localSheetId="12">#REF!</definedName>
    <definedName name="URUGUAY">#REF!</definedName>
    <definedName name="v">#REF!</definedName>
    <definedName name="vencidos">#REF!</definedName>
    <definedName name="vigencia" localSheetId="12">#REF!</definedName>
    <definedName name="vigencia">#REF!</definedName>
    <definedName name="vpphold">#REF!</definedName>
    <definedName name="VTADIAR" localSheetId="12">#REF!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21"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21" hidden="1">{#N/A,#N/A,FALSE,"VOL"}</definedName>
    <definedName name="wrn.Volumen." localSheetId="19" hidden="1">{#N/A,#N/A,FALSE,"VOL"}</definedName>
    <definedName name="wrn.Volumen." localSheetId="10" hidden="1">{#N/A,#N/A,FALSE,"VOL"}</definedName>
    <definedName name="wrn.Volumen." localSheetId="11" hidden="1">{#N/A,#N/A,FALSE,"VOL"}</definedName>
    <definedName name="wrn.Volumen." localSheetId="12" hidden="1">{#N/A,#N/A,FALSE,"VOL"}</definedName>
    <definedName name="wrn.Volumen." hidden="1">{#N/A,#N/A,FALSE,"VOL"}</definedName>
    <definedName name="xdc">#REF!</definedName>
    <definedName name="XREF_COLUMN_1" hidden="1">#REF!</definedName>
    <definedName name="XREF_COLUMN_10" hidden="1">#REF!</definedName>
    <definedName name="XREF_COLUMN_11" localSheetId="12" hidden="1">'Variación Patrimonio Neto'!#REF!</definedName>
    <definedName name="XREF_COLUMN_12" localSheetId="12" hidden="1">'Variación Patrimonio Neto'!#REF!</definedName>
    <definedName name="XREF_COLUMN_12" hidden="1">#REF!</definedName>
    <definedName name="XREF_COLUMN_13" localSheetId="12" hidden="1">'Variación Patrimonio Neto'!#REF!</definedName>
    <definedName name="XREF_COLUMN_13" hidden="1">#REF!</definedName>
    <definedName name="XREF_COLUMN_14" localSheetId="12" hidden="1">'Variación Patrimonio Neto'!#REF!</definedName>
    <definedName name="XREF_COLUMN_14" hidden="1">#REF!</definedName>
    <definedName name="XREF_COLUMN_15" localSheetId="12" hidden="1">#REF!</definedName>
    <definedName name="XREF_COLUMN_15" hidden="1">#REF!</definedName>
    <definedName name="XREF_COLUMN_17" localSheetId="12" hidden="1">#REF!</definedName>
    <definedName name="XREF_COLUMN_17" hidden="1">#REF!</definedName>
    <definedName name="XREF_COLUMN_2" hidden="1">#REF!</definedName>
    <definedName name="XREF_COLUMN_24" hidden="1">#REF!</definedName>
    <definedName name="XREF_COLUMN_4" localSheetId="12" hidden="1">#REF!</definedName>
    <definedName name="XREF_COLUMN_5" localSheetId="12" hidden="1">'Variación Patrimonio Neto'!$D:$D</definedName>
    <definedName name="XREF_COLUMN_7" hidden="1">#REF!</definedName>
    <definedName name="XREF_COLUMN_9" hidden="1">#REF!</definedName>
    <definedName name="XRefActiveRow" localSheetId="12" hidden="1">#REF!</definedName>
    <definedName name="XRefActiveRow" hidden="1">#REF!</definedName>
    <definedName name="XRefColumnsCount" localSheetId="12" hidden="1">14</definedName>
    <definedName name="XRefColumnsCount" hidden="1">2</definedName>
    <definedName name="XRefCopy1" localSheetId="12" hidden="1">#REF!</definedName>
    <definedName name="XRefCopy1" hidden="1">#REF!</definedName>
    <definedName name="XRefCopy10" localSheetId="12" hidden="1">#REF!</definedName>
    <definedName name="XRefCopy100" localSheetId="12" hidden="1">#REF!</definedName>
    <definedName name="XRefCopy100" hidden="1">#REF!</definedName>
    <definedName name="XRefCopy100Row" localSheetId="12" hidden="1">#REF!</definedName>
    <definedName name="XRefCopy100Row" hidden="1">#REF!</definedName>
    <definedName name="XRefCopy101" localSheetId="12" hidden="1">#REF!</definedName>
    <definedName name="XRefCopy101" hidden="1">#REF!</definedName>
    <definedName name="XRefCopy101Row" localSheetId="12" hidden="1">#REF!</definedName>
    <definedName name="XRefCopy101Row" hidden="1">#REF!</definedName>
    <definedName name="XRefCopy102" localSheetId="12" hidden="1">#REF!</definedName>
    <definedName name="XRefCopy102" hidden="1">#REF!</definedName>
    <definedName name="XRefCopy102Row" localSheetId="12" hidden="1">#REF!</definedName>
    <definedName name="XRefCopy102Row" hidden="1">#REF!</definedName>
    <definedName name="XRefCopy103" localSheetId="12" hidden="1">#REF!</definedName>
    <definedName name="XRefCopy103" hidden="1">#REF!</definedName>
    <definedName name="XRefCopy103Row" localSheetId="12" hidden="1">#REF!</definedName>
    <definedName name="XRefCopy103Row" hidden="1">#REF!</definedName>
    <definedName name="XRefCopy104" localSheetId="12" hidden="1">#REF!</definedName>
    <definedName name="XRefCopy104" hidden="1">#REF!</definedName>
    <definedName name="XRefCopy104Row" localSheetId="12" hidden="1">#REF!</definedName>
    <definedName name="XRefCopy104Row" hidden="1">#REF!</definedName>
    <definedName name="XRefCopy105" hidden="1">#REF!</definedName>
    <definedName name="XRefCopy105Row" localSheetId="12" hidden="1">#REF!</definedName>
    <definedName name="XRefCopy105Row" hidden="1">#REF!</definedName>
    <definedName name="XRefCopy106" hidden="1">#REF!</definedName>
    <definedName name="XRefCopy106Row" localSheetId="12" hidden="1">#REF!</definedName>
    <definedName name="XRefCopy106Row" hidden="1">#REF!</definedName>
    <definedName name="XRefCopy107" hidden="1">#REF!</definedName>
    <definedName name="XRefCopy107Row" localSheetId="12" hidden="1">#REF!</definedName>
    <definedName name="XRefCopy107Row" hidden="1">#REF!</definedName>
    <definedName name="XRefCopy108" hidden="1">#REF!</definedName>
    <definedName name="XRefCopy108Row" localSheetId="12" hidden="1">#REF!</definedName>
    <definedName name="XRefCopy108Row" hidden="1">#REF!</definedName>
    <definedName name="XRefCopy109" hidden="1">#REF!</definedName>
    <definedName name="XRefCopy109Row" localSheetId="12" hidden="1">#REF!</definedName>
    <definedName name="XRefCopy109Row" hidden="1">#REF!</definedName>
    <definedName name="XRefCopy10Row" localSheetId="12" hidden="1">#REF!</definedName>
    <definedName name="XRefCopy10Row" hidden="1">#REF!</definedName>
    <definedName name="XRefCopy11" localSheetId="12" hidden="1">#REF!</definedName>
    <definedName name="XRefCopy110Row" localSheetId="12" hidden="1">#REF!</definedName>
    <definedName name="XRefCopy110Row" hidden="1">#REF!</definedName>
    <definedName name="XRefCopy111Row" localSheetId="12" hidden="1">#REF!</definedName>
    <definedName name="XRefCopy111Row" hidden="1">#REF!</definedName>
    <definedName name="XRefCopy112" hidden="1">#REF!</definedName>
    <definedName name="XRefCopy112Row" localSheetId="12" hidden="1">#REF!</definedName>
    <definedName name="XRefCopy112Row" hidden="1">#REF!</definedName>
    <definedName name="XRefCopy113" hidden="1">#REF!</definedName>
    <definedName name="XRefCopy113Row" localSheetId="12" hidden="1">#REF!</definedName>
    <definedName name="XRefCopy113Row" hidden="1">#REF!</definedName>
    <definedName name="XRefCopy114" hidden="1">#REF!</definedName>
    <definedName name="XRefCopy114Row" localSheetId="12" hidden="1">#REF!</definedName>
    <definedName name="XRefCopy114Row" hidden="1">#REF!</definedName>
    <definedName name="XRefCopy115" hidden="1">#REF!</definedName>
    <definedName name="XRefCopy115Row" localSheetId="12" hidden="1">#REF!</definedName>
    <definedName name="XRefCopy115Row" hidden="1">#REF!</definedName>
    <definedName name="XRefCopy116" hidden="1">#REF!</definedName>
    <definedName name="XRefCopy116Row" localSheetId="12" hidden="1">#REF!</definedName>
    <definedName name="XRefCopy116Row" hidden="1">#REF!</definedName>
    <definedName name="XRefCopy117" hidden="1">#REF!</definedName>
    <definedName name="XRefCopy117Row" localSheetId="12" hidden="1">#REF!</definedName>
    <definedName name="XRefCopy117Row" hidden="1">#REF!</definedName>
    <definedName name="XRefCopy118" localSheetId="12" hidden="1">#REF!</definedName>
    <definedName name="XRefCopy118" hidden="1">#REF!</definedName>
    <definedName name="XRefCopy118Row" localSheetId="12" hidden="1">#REF!</definedName>
    <definedName name="XRefCopy118Row" hidden="1">#REF!</definedName>
    <definedName name="XRefCopy119" localSheetId="12" hidden="1">#REF!</definedName>
    <definedName name="XRefCopy119" hidden="1">#REF!</definedName>
    <definedName name="XRefCopy119Row" localSheetId="12" hidden="1">#REF!</definedName>
    <definedName name="XRefCopy119Row" hidden="1">#REF!</definedName>
    <definedName name="XRefCopy11Row" localSheetId="12" hidden="1">#REF!</definedName>
    <definedName name="XRefCopy11Row" hidden="1">#REF!</definedName>
    <definedName name="XRefCopy12" hidden="1">#REF!</definedName>
    <definedName name="XRefCopy120" localSheetId="12" hidden="1">#REF!</definedName>
    <definedName name="XRefCopy120" hidden="1">#REF!</definedName>
    <definedName name="XRefCopy120Row" localSheetId="12" hidden="1">#REF!</definedName>
    <definedName name="XRefCopy120Row" hidden="1">#REF!</definedName>
    <definedName name="XRefCopy121" localSheetId="12" hidden="1">#REF!</definedName>
    <definedName name="XRefCopy121" hidden="1">#REF!</definedName>
    <definedName name="XRefCopy121Row" localSheetId="12" hidden="1">#REF!</definedName>
    <definedName name="XRefCopy121Row" hidden="1">#REF!</definedName>
    <definedName name="XRefCopy122" localSheetId="12" hidden="1">#REF!</definedName>
    <definedName name="XRefCopy122" hidden="1">#REF!</definedName>
    <definedName name="XRefCopy122Row" localSheetId="12" hidden="1">#REF!</definedName>
    <definedName name="XRefCopy122Row" hidden="1">#REF!</definedName>
    <definedName name="XRefCopy123" hidden="1">#REF!</definedName>
    <definedName name="XRefCopy123Row" localSheetId="12" hidden="1">#REF!</definedName>
    <definedName name="XRefCopy123Row" hidden="1">#REF!</definedName>
    <definedName name="XRefCopy124" hidden="1">#REF!</definedName>
    <definedName name="XRefCopy124Row" localSheetId="12" hidden="1">#REF!</definedName>
    <definedName name="XRefCopy124Row" hidden="1">#REF!</definedName>
    <definedName name="XRefCopy125" hidden="1">#REF!</definedName>
    <definedName name="XRefCopy125Row" localSheetId="12" hidden="1">#REF!</definedName>
    <definedName name="XRefCopy125Row" hidden="1">#REF!</definedName>
    <definedName name="XRefCopy126" hidden="1">#REF!</definedName>
    <definedName name="XRefCopy126Row" localSheetId="12" hidden="1">#REF!</definedName>
    <definedName name="XRefCopy126Row" hidden="1">#REF!</definedName>
    <definedName name="XRefCopy127" hidden="1">#REF!</definedName>
    <definedName name="XRefCopy127Row" localSheetId="12" hidden="1">#REF!</definedName>
    <definedName name="XRefCopy127Row" hidden="1">#REF!</definedName>
    <definedName name="XRefCopy128" hidden="1">#REF!</definedName>
    <definedName name="XRefCopy129" hidden="1">#REF!</definedName>
    <definedName name="XRefCopy129Row" localSheetId="12" hidden="1">#REF!</definedName>
    <definedName name="XRefCopy129Row" hidden="1">#REF!</definedName>
    <definedName name="XRefCopy12Row" localSheetId="12" hidden="1">#REF!</definedName>
    <definedName name="XRefCopy12Row" hidden="1">#REF!</definedName>
    <definedName name="XRefCopy13" localSheetId="12" hidden="1">#REF!</definedName>
    <definedName name="XRefCopy130" hidden="1">#REF!</definedName>
    <definedName name="XRefCopy130Row" localSheetId="12" hidden="1">#REF!</definedName>
    <definedName name="XRefCopy130Row" hidden="1">#REF!</definedName>
    <definedName name="XRefCopy131" hidden="1">#REF!</definedName>
    <definedName name="XRefCopy131Row" localSheetId="12" hidden="1">#REF!</definedName>
    <definedName name="XRefCopy131Row" hidden="1">#REF!</definedName>
    <definedName name="XRefCopy132" localSheetId="12" hidden="1">#REF!</definedName>
    <definedName name="XRefCopy132" hidden="1">#REF!</definedName>
    <definedName name="XRefCopy132Row" localSheetId="12" hidden="1">#REF!</definedName>
    <definedName name="XRefCopy132Row" hidden="1">#REF!</definedName>
    <definedName name="XRefCopy133" localSheetId="12" hidden="1">#REF!</definedName>
    <definedName name="XRefCopy133" hidden="1">#REF!</definedName>
    <definedName name="XRefCopy133Row" localSheetId="12" hidden="1">#REF!</definedName>
    <definedName name="XRefCopy133Row" hidden="1">#REF!</definedName>
    <definedName name="XRefCopy134" hidden="1">#REF!</definedName>
    <definedName name="XRefCopy134Row" localSheetId="12" hidden="1">#REF!</definedName>
    <definedName name="XRefCopy134Row" hidden="1">#REF!</definedName>
    <definedName name="XRefCopy135" hidden="1">#REF!</definedName>
    <definedName name="XRefCopy135Row" localSheetId="12" hidden="1">#REF!</definedName>
    <definedName name="XRefCopy135Row" hidden="1">#REF!</definedName>
    <definedName name="XRefCopy136" hidden="1">#REF!</definedName>
    <definedName name="XRefCopy136Row" localSheetId="12" hidden="1">#REF!</definedName>
    <definedName name="XRefCopy136Row" hidden="1">#REF!</definedName>
    <definedName name="XRefCopy137" hidden="1">#REF!</definedName>
    <definedName name="XRefCopy137Row" localSheetId="12" hidden="1">#REF!</definedName>
    <definedName name="XRefCopy137Row" hidden="1">#REF!</definedName>
    <definedName name="XRefCopy138" hidden="1">#REF!</definedName>
    <definedName name="XRefCopy138Row" localSheetId="12" hidden="1">#REF!</definedName>
    <definedName name="XRefCopy138Row" hidden="1">#REF!</definedName>
    <definedName name="XRefCopy139" hidden="1">#REF!</definedName>
    <definedName name="XRefCopy139Row" localSheetId="12" hidden="1">#REF!</definedName>
    <definedName name="XRefCopy139Row" hidden="1">#REF!</definedName>
    <definedName name="XRefCopy13Row" localSheetId="12" hidden="1">#REF!</definedName>
    <definedName name="XRefCopy13Row" hidden="1">#REF!</definedName>
    <definedName name="XRefCopy140" hidden="1">#REF!</definedName>
    <definedName name="XRefCopy140Row" localSheetId="12" hidden="1">#REF!</definedName>
    <definedName name="XRefCopy140Row" hidden="1">#REF!</definedName>
    <definedName name="XRefCopy141Row" localSheetId="12" hidden="1">#REF!</definedName>
    <definedName name="XRefCopy141Row" hidden="1">#REF!</definedName>
    <definedName name="XRefCopy142" localSheetId="12" hidden="1">#REF!</definedName>
    <definedName name="XRefCopy142Row" localSheetId="12" hidden="1">#REF!</definedName>
    <definedName name="XRefCopy142Row" hidden="1">#REF!</definedName>
    <definedName name="XRefCopy143" localSheetId="12" hidden="1">#REF!</definedName>
    <definedName name="XRefCopy143Row" localSheetId="12" hidden="1">#REF!</definedName>
    <definedName name="XRefCopy143Row" hidden="1">#REF!</definedName>
    <definedName name="XRefCopy144Row" localSheetId="12" hidden="1">#REF!</definedName>
    <definedName name="XRefCopy144Row" hidden="1">#REF!</definedName>
    <definedName name="XRefCopy145Row" localSheetId="12" hidden="1">#REF!</definedName>
    <definedName name="XRefCopy145Row" hidden="1">#REF!</definedName>
    <definedName name="XRefCopy146" localSheetId="12" hidden="1">#REF!</definedName>
    <definedName name="XRefCopy146Row" localSheetId="12" hidden="1">#REF!</definedName>
    <definedName name="XRefCopy146Row" hidden="1">#REF!</definedName>
    <definedName name="XRefCopy147" localSheetId="12" hidden="1">#REF!</definedName>
    <definedName name="XRefCopy147Row" localSheetId="12" hidden="1">#REF!</definedName>
    <definedName name="XRefCopy147Row" hidden="1">#REF!</definedName>
    <definedName name="XRefCopy148" localSheetId="12" hidden="1">#REF!</definedName>
    <definedName name="XRefCopy148Row" localSheetId="12" hidden="1">#REF!</definedName>
    <definedName name="XRefCopy148Row" hidden="1">#REF!</definedName>
    <definedName name="XRefCopy149" localSheetId="12" hidden="1">#REF!</definedName>
    <definedName name="XRefCopy149" hidden="1">#REF!</definedName>
    <definedName name="XRefCopy149Row" localSheetId="12" hidden="1">#REF!</definedName>
    <definedName name="XRefCopy149Row" hidden="1">#REF!</definedName>
    <definedName name="XRefCopy14Row" hidden="1">#REF!</definedName>
    <definedName name="XRefCopy150" localSheetId="12" hidden="1">#REF!</definedName>
    <definedName name="XRefCopy150" hidden="1">#REF!</definedName>
    <definedName name="XRefCopy150Row" localSheetId="12" hidden="1">#REF!</definedName>
    <definedName name="XRefCopy150Row" hidden="1">#REF!</definedName>
    <definedName name="XRefCopy151" localSheetId="12" hidden="1">#REF!</definedName>
    <definedName name="XRefCopy151" hidden="1">#REF!</definedName>
    <definedName name="XRefCopy151Row" localSheetId="12" hidden="1">#REF!</definedName>
    <definedName name="XRefCopy151Row" hidden="1">#REF!</definedName>
    <definedName name="XRefCopy152" localSheetId="12" hidden="1">#REF!</definedName>
    <definedName name="XRefCopy152" hidden="1">#REF!</definedName>
    <definedName name="XRefCopy152Row" localSheetId="12" hidden="1">#REF!</definedName>
    <definedName name="XRefCopy152Row" hidden="1">#REF!</definedName>
    <definedName name="XRefCopy153" localSheetId="12" hidden="1">#REF!</definedName>
    <definedName name="XRefCopy153" hidden="1">#REF!</definedName>
    <definedName name="XRefCopy153Row" localSheetId="12" hidden="1">#REF!</definedName>
    <definedName name="XRefCopy153Row" hidden="1">#REF!</definedName>
    <definedName name="XRefCopy154" localSheetId="12" hidden="1">#REF!</definedName>
    <definedName name="XRefCopy154" hidden="1">#REF!</definedName>
    <definedName name="XRefCopy154Row" localSheetId="12" hidden="1">#REF!</definedName>
    <definedName name="XRefCopy154Row" hidden="1">#REF!</definedName>
    <definedName name="XRefCopy155" localSheetId="12" hidden="1">#REF!</definedName>
    <definedName name="XRefCopy155" hidden="1">#REF!</definedName>
    <definedName name="XRefCopy155Row" localSheetId="12" hidden="1">#REF!</definedName>
    <definedName name="XRefCopy155Row" hidden="1">#REF!</definedName>
    <definedName name="XRefCopy156" localSheetId="12" hidden="1">#REF!</definedName>
    <definedName name="XRefCopy156" hidden="1">#REF!</definedName>
    <definedName name="XRefCopy156Row" localSheetId="12" hidden="1">#REF!</definedName>
    <definedName name="XRefCopy156Row" hidden="1">#REF!</definedName>
    <definedName name="XRefCopy157" localSheetId="12" hidden="1">#REF!</definedName>
    <definedName name="XRefCopy157" hidden="1">#REF!</definedName>
    <definedName name="XRefCopy157Row" localSheetId="12" hidden="1">#REF!</definedName>
    <definedName name="XRefCopy157Row" hidden="1">#REF!</definedName>
    <definedName name="XRefCopy158" localSheetId="12" hidden="1">#REF!</definedName>
    <definedName name="XRefCopy158" hidden="1">#REF!</definedName>
    <definedName name="XRefCopy158Row" localSheetId="12" hidden="1">#REF!</definedName>
    <definedName name="XRefCopy158Row" hidden="1">#REF!</definedName>
    <definedName name="XRefCopy159" localSheetId="12" hidden="1">#REF!</definedName>
    <definedName name="XRefCopy159" hidden="1">#REF!</definedName>
    <definedName name="XRefCopy159Row" localSheetId="12" hidden="1">#REF!</definedName>
    <definedName name="XRefCopy159Row" hidden="1">#REF!</definedName>
    <definedName name="XRefCopy15Row" localSheetId="12" hidden="1">#REF!</definedName>
    <definedName name="XRefCopy160" localSheetId="12" hidden="1">#REF!</definedName>
    <definedName name="XRefCopy160" hidden="1">#REF!</definedName>
    <definedName name="XRefCopy160Row" localSheetId="12" hidden="1">#REF!</definedName>
    <definedName name="XRefCopy160Row" hidden="1">#REF!</definedName>
    <definedName name="XRefCopy161" localSheetId="12" hidden="1">#REF!</definedName>
    <definedName name="XRefCopy161" hidden="1">#REF!</definedName>
    <definedName name="XRefCopy161Row" localSheetId="12" hidden="1">#REF!</definedName>
    <definedName name="XRefCopy161Row" hidden="1">#REF!</definedName>
    <definedName name="XRefCopy162" localSheetId="12" hidden="1">#REF!</definedName>
    <definedName name="XRefCopy162" hidden="1">#REF!</definedName>
    <definedName name="XRefCopy162Row" localSheetId="12" hidden="1">#REF!</definedName>
    <definedName name="XRefCopy162Row" hidden="1">#REF!</definedName>
    <definedName name="XRefCopy163" localSheetId="12" hidden="1">#REF!</definedName>
    <definedName name="XRefCopy163" hidden="1">#REF!</definedName>
    <definedName name="XRefCopy163Row" localSheetId="12" hidden="1">#REF!</definedName>
    <definedName name="XRefCopy163Row" hidden="1">#REF!</definedName>
    <definedName name="XRefCopy164" localSheetId="12" hidden="1">#REF!</definedName>
    <definedName name="XRefCopy164" hidden="1">#REF!</definedName>
    <definedName name="XRefCopy164Row" localSheetId="12" hidden="1">#REF!</definedName>
    <definedName name="XRefCopy164Row" hidden="1">#REF!</definedName>
    <definedName name="XRefCopy165" localSheetId="12" hidden="1">#REF!</definedName>
    <definedName name="XRefCopy165" hidden="1">#REF!</definedName>
    <definedName name="XRefCopy165Row" hidden="1">#REF!</definedName>
    <definedName name="XRefCopy166" localSheetId="12" hidden="1">#REF!</definedName>
    <definedName name="XRefCopy166" hidden="1">#REF!</definedName>
    <definedName name="XRefCopy166Row" hidden="1">#REF!</definedName>
    <definedName name="XRefCopy167" localSheetId="12"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12"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12"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12"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12" hidden="1">#REF!</definedName>
    <definedName name="XRefCopy19Row" hidden="1">#REF!</definedName>
    <definedName name="XRefCopy1Row" localSheetId="12" hidden="1">#REF!</definedName>
    <definedName name="XRefCopy1Row" hidden="1">#REF!</definedName>
    <definedName name="XRefCopy2" localSheetId="12" hidden="1">#REF!</definedName>
    <definedName name="XRefCopy2" hidden="1">#REF!</definedName>
    <definedName name="XRefCopy20" localSheetId="12"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12"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12"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12"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12"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12"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12"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12"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12"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12"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12" hidden="1">#REF!</definedName>
    <definedName name="XRefCopy29Row" hidden="1">#REF!</definedName>
    <definedName name="XRefCopy2Row" localSheetId="12" hidden="1">#REF!</definedName>
    <definedName name="XRefCopy2Row" hidden="1">#REF!</definedName>
    <definedName name="XRefCopy30Row" localSheetId="12" hidden="1">#REF!</definedName>
    <definedName name="XRefCopy30Row" hidden="1">#REF!</definedName>
    <definedName name="XRefCopy31Row" localSheetId="12" hidden="1">#REF!</definedName>
    <definedName name="XRefCopy31Row" hidden="1">#REF!</definedName>
    <definedName name="XRefCopy32Row" localSheetId="12" hidden="1">#REF!</definedName>
    <definedName name="XRefCopy32Row" hidden="1">#REF!</definedName>
    <definedName name="XRefCopy33Row" localSheetId="12" hidden="1">#REF!</definedName>
    <definedName name="XRefCopy33Row" hidden="1">#REF!</definedName>
    <definedName name="XRefCopy34Row" localSheetId="12" hidden="1">#REF!</definedName>
    <definedName name="XRefCopy34Row" hidden="1">#REF!</definedName>
    <definedName name="XRefCopy35Row" localSheetId="12" hidden="1">#REF!</definedName>
    <definedName name="XRefCopy35Row" hidden="1">#REF!</definedName>
    <definedName name="XRefCopy36Row" localSheetId="12" hidden="1">#REF!</definedName>
    <definedName name="XRefCopy36Row" hidden="1">#REF!</definedName>
    <definedName name="XRefCopy37Row" localSheetId="12" hidden="1">#REF!</definedName>
    <definedName name="XRefCopy37Row" hidden="1">#REF!</definedName>
    <definedName name="XRefCopy38Row" localSheetId="12" hidden="1">#REF!</definedName>
    <definedName name="XRefCopy38Row" hidden="1">#REF!</definedName>
    <definedName name="XRefCopy39Row" localSheetId="12" hidden="1">#REF!</definedName>
    <definedName name="XRefCopy39Row" hidden="1">#REF!</definedName>
    <definedName name="XRefCopy3Row" localSheetId="12" hidden="1">#REF!</definedName>
    <definedName name="XRefCopy40Row" localSheetId="12" hidden="1">#REF!</definedName>
    <definedName name="XRefCopy40Row" hidden="1">#REF!</definedName>
    <definedName name="XRefCopy41Row" localSheetId="12" hidden="1">#REF!</definedName>
    <definedName name="XRefCopy41Row" hidden="1">#REF!</definedName>
    <definedName name="XRefCopy42Row" localSheetId="12" hidden="1">#REF!</definedName>
    <definedName name="XRefCopy42Row" hidden="1">#REF!</definedName>
    <definedName name="XRefCopy43Row" localSheetId="12" hidden="1">#REF!</definedName>
    <definedName name="XRefCopy43Row" hidden="1">#REF!</definedName>
    <definedName name="XRefCopy44Row" localSheetId="12" hidden="1">#REF!</definedName>
    <definedName name="XRefCopy44Row" hidden="1">#REF!</definedName>
    <definedName name="XRefCopy45Row" localSheetId="12" hidden="1">#REF!</definedName>
    <definedName name="XRefCopy45Row" hidden="1">#REF!</definedName>
    <definedName name="XRefCopy46Row" localSheetId="12" hidden="1">#REF!</definedName>
    <definedName name="XRefCopy46Row" hidden="1">#REF!</definedName>
    <definedName name="XRefCopy47Row" localSheetId="12" hidden="1">#REF!</definedName>
    <definedName name="XRefCopy47Row" hidden="1">#REF!</definedName>
    <definedName name="XRefCopy48Row" localSheetId="12" hidden="1">#REF!</definedName>
    <definedName name="XRefCopy48Row" hidden="1">#REF!</definedName>
    <definedName name="XRefCopy49Row" localSheetId="12" hidden="1">#REF!</definedName>
    <definedName name="XRefCopy49Row" hidden="1">#REF!</definedName>
    <definedName name="XRefCopy4Row" localSheetId="12" hidden="1">#REF!</definedName>
    <definedName name="XRefCopy50Row" localSheetId="12" hidden="1">#REF!</definedName>
    <definedName name="XRefCopy50Row" hidden="1">#REF!</definedName>
    <definedName name="XRefCopy51Row" localSheetId="12" hidden="1">#REF!</definedName>
    <definedName name="XRefCopy51Row" hidden="1">#REF!</definedName>
    <definedName name="XRefCopy52Row" localSheetId="12" hidden="1">#REF!</definedName>
    <definedName name="XRefCopy52Row" hidden="1">#REF!</definedName>
    <definedName name="XRefCopy53" localSheetId="12" hidden="1">#REF!</definedName>
    <definedName name="XRefCopy53" hidden="1">#REF!</definedName>
    <definedName name="XRefCopy53Row" localSheetId="12" hidden="1">#REF!</definedName>
    <definedName name="XRefCopy53Row" hidden="1">#REF!</definedName>
    <definedName name="XRefCopy54" hidden="1">#REF!</definedName>
    <definedName name="XRefCopy54Row" localSheetId="12" hidden="1">#REF!</definedName>
    <definedName name="XRefCopy54Row" hidden="1">#REF!</definedName>
    <definedName name="XRefCopy55" hidden="1">#REF!</definedName>
    <definedName name="XRefCopy55Row" localSheetId="12" hidden="1">#REF!</definedName>
    <definedName name="XRefCopy55Row" hidden="1">#REF!</definedName>
    <definedName name="XRefCopy56" hidden="1">#REF!</definedName>
    <definedName name="XRefCopy56Row" localSheetId="12" hidden="1">#REF!</definedName>
    <definedName name="XRefCopy56Row" hidden="1">#REF!</definedName>
    <definedName name="XRefCopy57" hidden="1">#REF!</definedName>
    <definedName name="XRefCopy57Row" localSheetId="12" hidden="1">#REF!</definedName>
    <definedName name="XRefCopy57Row" hidden="1">#REF!</definedName>
    <definedName name="XRefCopy58" hidden="1">#REF!</definedName>
    <definedName name="XRefCopy58Row" localSheetId="12" hidden="1">#REF!</definedName>
    <definedName name="XRefCopy58Row" hidden="1">#REF!</definedName>
    <definedName name="XRefCopy59" hidden="1">#REF!</definedName>
    <definedName name="XRefCopy59Row" localSheetId="12" hidden="1">#REF!</definedName>
    <definedName name="XRefCopy59Row" hidden="1">#REF!</definedName>
    <definedName name="XRefCopy60" hidden="1">#REF!</definedName>
    <definedName name="XRefCopy60Row" localSheetId="12" hidden="1">#REF!</definedName>
    <definedName name="XRefCopy60Row" hidden="1">#REF!</definedName>
    <definedName name="XRefCopy61" hidden="1">#REF!</definedName>
    <definedName name="XRefCopy61Row" localSheetId="12" hidden="1">#REF!</definedName>
    <definedName name="XRefCopy61Row" hidden="1">#REF!</definedName>
    <definedName name="XRefCopy62" hidden="1">#REF!</definedName>
    <definedName name="XRefCopy62Row" localSheetId="12" hidden="1">#REF!</definedName>
    <definedName name="XRefCopy62Row" hidden="1">#REF!</definedName>
    <definedName name="XRefCopy63" hidden="1">#REF!</definedName>
    <definedName name="XRefCopy63Row" localSheetId="12" hidden="1">#REF!</definedName>
    <definedName name="XRefCopy63Row" hidden="1">#REF!</definedName>
    <definedName name="XRefCopy64" hidden="1">#REF!</definedName>
    <definedName name="XRefCopy64Row" localSheetId="12" hidden="1">#REF!</definedName>
    <definedName name="XRefCopy64Row" hidden="1">#REF!</definedName>
    <definedName name="XRefCopy65" hidden="1">#REF!</definedName>
    <definedName name="XRefCopy65Row" localSheetId="12" hidden="1">#REF!</definedName>
    <definedName name="XRefCopy65Row" hidden="1">#REF!</definedName>
    <definedName name="XRefCopy66" hidden="1">#REF!</definedName>
    <definedName name="XRefCopy66Row" localSheetId="12" hidden="1">#REF!</definedName>
    <definedName name="XRefCopy66Row" hidden="1">#REF!</definedName>
    <definedName name="XRefCopy67" hidden="1">#REF!</definedName>
    <definedName name="XRefCopy67Row" localSheetId="12" hidden="1">#REF!</definedName>
    <definedName name="XRefCopy67Row" hidden="1">#REF!</definedName>
    <definedName name="XRefCopy68" hidden="1">#REF!</definedName>
    <definedName name="XRefCopy68Row" localSheetId="12" hidden="1">#REF!</definedName>
    <definedName name="XRefCopy68Row" hidden="1">#REF!</definedName>
    <definedName name="XRefCopy69" hidden="1">#REF!</definedName>
    <definedName name="XRefCopy69Row" localSheetId="12" hidden="1">#REF!</definedName>
    <definedName name="XRefCopy69Row" hidden="1">#REF!</definedName>
    <definedName name="XRefCopy7" localSheetId="12" hidden="1">'Variación Patrimonio Neto'!#REF!</definedName>
    <definedName name="XRefCopy70" hidden="1">#REF!</definedName>
    <definedName name="XRefCopy70Row" localSheetId="12" hidden="1">#REF!</definedName>
    <definedName name="XRefCopy70Row" hidden="1">#REF!</definedName>
    <definedName name="XRefCopy71" hidden="1">#REF!</definedName>
    <definedName name="XRefCopy71Row" localSheetId="12" hidden="1">#REF!</definedName>
    <definedName name="XRefCopy71Row" hidden="1">#REF!</definedName>
    <definedName name="XRefCopy72" hidden="1">#REF!</definedName>
    <definedName name="XRefCopy72Row" localSheetId="12" hidden="1">#REF!</definedName>
    <definedName name="XRefCopy72Row" hidden="1">#REF!</definedName>
    <definedName name="XRefCopy73" hidden="1">#REF!</definedName>
    <definedName name="XRefCopy73Row" localSheetId="12" hidden="1">#REF!</definedName>
    <definedName name="XRefCopy73Row" hidden="1">#REF!</definedName>
    <definedName name="XRefCopy74" hidden="1">#REF!</definedName>
    <definedName name="XRefCopy74Row" localSheetId="12" hidden="1">#REF!</definedName>
    <definedName name="XRefCopy74Row" hidden="1">#REF!</definedName>
    <definedName name="XRefCopy75" localSheetId="12" hidden="1">'Variación Patrimonio Neto'!#REF!</definedName>
    <definedName name="XRefCopy75" hidden="1">#REF!</definedName>
    <definedName name="XRefCopy75Row" localSheetId="12" hidden="1">#REF!</definedName>
    <definedName name="XRefCopy75Row" hidden="1">#REF!</definedName>
    <definedName name="XRefCopy76" localSheetId="12" hidden="1">'Variación Patrimonio Neto'!#REF!</definedName>
    <definedName name="XRefCopy76" hidden="1">#REF!</definedName>
    <definedName name="XRefCopy76Row" localSheetId="12" hidden="1">#REF!</definedName>
    <definedName name="XRefCopy76Row" hidden="1">#REF!</definedName>
    <definedName name="XRefCopy77" hidden="1">#REF!</definedName>
    <definedName name="XRefCopy77Row" localSheetId="12" hidden="1">#REF!</definedName>
    <definedName name="XRefCopy77Row" hidden="1">#REF!</definedName>
    <definedName name="XRefCopy78" hidden="1">#REF!</definedName>
    <definedName name="XRefCopy78Row" localSheetId="12" hidden="1">#REF!</definedName>
    <definedName name="XRefCopy78Row" hidden="1">#REF!</definedName>
    <definedName name="XRefCopy79" hidden="1">#REF!</definedName>
    <definedName name="XRefCopy79Row" localSheetId="12" hidden="1">#REF!</definedName>
    <definedName name="XRefCopy79Row" hidden="1">#REF!</definedName>
    <definedName name="XRefCopy7Row" localSheetId="12" hidden="1">#REF!</definedName>
    <definedName name="XRefCopy7Row" hidden="1">#REF!</definedName>
    <definedName name="XRefCopy8" localSheetId="12" hidden="1">'Variación Patrimonio Neto'!#REF!</definedName>
    <definedName name="XRefCopy80Row" localSheetId="12" hidden="1">#REF!</definedName>
    <definedName name="XRefCopy80Row" hidden="1">#REF!</definedName>
    <definedName name="XRefCopy81Row" localSheetId="12" hidden="1">#REF!</definedName>
    <definedName name="XRefCopy81Row" hidden="1">#REF!</definedName>
    <definedName name="XRefCopy82Row" localSheetId="12" hidden="1">#REF!</definedName>
    <definedName name="XRefCopy82Row" hidden="1">#REF!</definedName>
    <definedName name="XRefCopy83Row" localSheetId="12" hidden="1">#REF!</definedName>
    <definedName name="XRefCopy83Row" hidden="1">#REF!</definedName>
    <definedName name="XRefCopy84Row" localSheetId="12" hidden="1">#REF!</definedName>
    <definedName name="XRefCopy84Row" hidden="1">#REF!</definedName>
    <definedName name="XRefCopy85" hidden="1">#REF!</definedName>
    <definedName name="XRefCopy85Row" localSheetId="12" hidden="1">#REF!</definedName>
    <definedName name="XRefCopy85Row" hidden="1">#REF!</definedName>
    <definedName name="XRefCopy86" hidden="1">#REF!</definedName>
    <definedName name="XRefCopy86Row" localSheetId="12" hidden="1">#REF!</definedName>
    <definedName name="XRefCopy86Row" hidden="1">#REF!</definedName>
    <definedName name="XRefCopy87" hidden="1">#REF!</definedName>
    <definedName name="XRefCopy87Row" localSheetId="12" hidden="1">#REF!</definedName>
    <definedName name="XRefCopy87Row" hidden="1">#REF!</definedName>
    <definedName name="XRefCopy88" hidden="1">#REF!</definedName>
    <definedName name="XRefCopy88Row" localSheetId="12" hidden="1">#REF!</definedName>
    <definedName name="XRefCopy88Row" hidden="1">#REF!</definedName>
    <definedName name="XRefCopy89" hidden="1">#REF!</definedName>
    <definedName name="XRefCopy89Row" localSheetId="12" hidden="1">#REF!</definedName>
    <definedName name="XRefCopy89Row" hidden="1">#REF!</definedName>
    <definedName name="XRefCopy8Row" localSheetId="12" hidden="1">#REF!</definedName>
    <definedName name="XRefCopy8Row" hidden="1">#REF!</definedName>
    <definedName name="XRefCopy9" localSheetId="12" hidden="1">'Variación Patrimonio Neto'!#REF!</definedName>
    <definedName name="XRefCopy90" hidden="1">#REF!</definedName>
    <definedName name="XRefCopy90Row" localSheetId="12" hidden="1">#REF!</definedName>
    <definedName name="XRefCopy90Row" hidden="1">#REF!</definedName>
    <definedName name="XRefCopy91" hidden="1">#REF!</definedName>
    <definedName name="XRefCopy91Row" localSheetId="12" hidden="1">#REF!</definedName>
    <definedName name="XRefCopy91Row" hidden="1">#REF!</definedName>
    <definedName name="XRefCopy92" localSheetId="12" hidden="1">#REF!</definedName>
    <definedName name="XRefCopy92" hidden="1">#REF!</definedName>
    <definedName name="XRefCopy92Row" localSheetId="12" hidden="1">#REF!</definedName>
    <definedName name="XRefCopy92Row" hidden="1">#REF!</definedName>
    <definedName name="XRefCopy93" localSheetId="12" hidden="1">#REF!</definedName>
    <definedName name="XRefCopy93" hidden="1">#REF!</definedName>
    <definedName name="XRefCopy93Row" localSheetId="12" hidden="1">#REF!</definedName>
    <definedName name="XRefCopy93Row" hidden="1">#REF!</definedName>
    <definedName name="XRefCopy94" localSheetId="12" hidden="1">#REF!</definedName>
    <definedName name="XRefCopy94" hidden="1">#REF!</definedName>
    <definedName name="XRefCopy94Row" localSheetId="12" hidden="1">#REF!</definedName>
    <definedName name="XRefCopy94Row" hidden="1">#REF!</definedName>
    <definedName name="XRefCopy95" hidden="1">#REF!</definedName>
    <definedName name="XRefCopy95Row" localSheetId="12" hidden="1">#REF!</definedName>
    <definedName name="XRefCopy95Row" hidden="1">#REF!</definedName>
    <definedName name="XRefCopy96" hidden="1">#REF!</definedName>
    <definedName name="XRefCopy96Row" localSheetId="12" hidden="1">#REF!</definedName>
    <definedName name="XRefCopy96Row" hidden="1">#REF!</definedName>
    <definedName name="XRefCopy97" hidden="1">#REF!</definedName>
    <definedName name="XRefCopy97Row" localSheetId="12" hidden="1">#REF!</definedName>
    <definedName name="XRefCopy97Row" hidden="1">#REF!</definedName>
    <definedName name="XRefCopy98" hidden="1">#REF!</definedName>
    <definedName name="XRefCopy98Row" localSheetId="12" hidden="1">#REF!</definedName>
    <definedName name="XRefCopy98Row" hidden="1">#REF!</definedName>
    <definedName name="XRefCopy99" hidden="1">#REF!</definedName>
    <definedName name="XRefCopy99Row" localSheetId="12" hidden="1">#REF!</definedName>
    <definedName name="XRefCopy99Row" hidden="1">#REF!</definedName>
    <definedName name="XRefCopy9Row" localSheetId="12" hidden="1">#REF!</definedName>
    <definedName name="XRefCopy9Row" hidden="1">#REF!</definedName>
    <definedName name="XRefCopyRangeCount" localSheetId="12" hidden="1">76</definedName>
    <definedName name="XRefCopyRangeCount" hidden="1">4</definedName>
    <definedName name="XRefPaste1" hidden="1">#REF!</definedName>
    <definedName name="XRefPaste10" hidden="1">#REF!</definedName>
    <definedName name="XRefPaste100" localSheetId="12" hidden="1">#REF!</definedName>
    <definedName name="XRefPaste100" hidden="1">#REF!</definedName>
    <definedName name="XRefPaste100Row" localSheetId="12" hidden="1">#REF!</definedName>
    <definedName name="XRefPaste100Row" hidden="1">#REF!</definedName>
    <definedName name="XRefPaste101" localSheetId="12" hidden="1">#REF!</definedName>
    <definedName name="XRefPaste101" hidden="1">#REF!</definedName>
    <definedName name="XRefPaste101Row" localSheetId="12" hidden="1">#REF!</definedName>
    <definedName name="XRefPaste101Row" hidden="1">#REF!</definedName>
    <definedName name="XRefPaste102" localSheetId="12" hidden="1">#REF!</definedName>
    <definedName name="XRefPaste102" hidden="1">#REF!</definedName>
    <definedName name="XRefPaste102Row" localSheetId="12" hidden="1">#REF!</definedName>
    <definedName name="XRefPaste102Row" hidden="1">#REF!</definedName>
    <definedName name="XRefPaste103" localSheetId="12" hidden="1">#REF!</definedName>
    <definedName name="XRefPaste103" hidden="1">#REF!</definedName>
    <definedName name="XRefPaste103Row" localSheetId="12" hidden="1">#REF!</definedName>
    <definedName name="XRefPaste103Row" hidden="1">#REF!</definedName>
    <definedName name="XRefPaste104" localSheetId="12" hidden="1">#REF!</definedName>
    <definedName name="XRefPaste104" hidden="1">#REF!</definedName>
    <definedName name="XRefPaste104Row" localSheetId="12" hidden="1">#REF!</definedName>
    <definedName name="XRefPaste104Row" hidden="1">#REF!</definedName>
    <definedName name="XRefPaste105" localSheetId="12" hidden="1">#REF!</definedName>
    <definedName name="XRefPaste105" hidden="1">#REF!</definedName>
    <definedName name="XRefPaste105Row" localSheetId="12" hidden="1">#REF!</definedName>
    <definedName name="XRefPaste105Row" hidden="1">#REF!</definedName>
    <definedName name="XRefPaste106" localSheetId="12" hidden="1">#REF!</definedName>
    <definedName name="XRefPaste106" hidden="1">#REF!</definedName>
    <definedName name="XRefPaste106Row" localSheetId="12" hidden="1">#REF!</definedName>
    <definedName name="XRefPaste106Row" hidden="1">#REF!</definedName>
    <definedName name="XRefPaste107" localSheetId="12" hidden="1">#REF!</definedName>
    <definedName name="XRefPaste107" hidden="1">#REF!</definedName>
    <definedName name="XRefPaste107Row" localSheetId="12" hidden="1">#REF!</definedName>
    <definedName name="XRefPaste107Row" hidden="1">#REF!</definedName>
    <definedName name="XRefPaste108" localSheetId="12" hidden="1">#REF!</definedName>
    <definedName name="XRefPaste108" hidden="1">#REF!</definedName>
    <definedName name="XRefPaste108Row" localSheetId="12" hidden="1">#REF!</definedName>
    <definedName name="XRefPaste108Row" hidden="1">#REF!</definedName>
    <definedName name="XRefPaste109" localSheetId="12" hidden="1">#REF!</definedName>
    <definedName name="XRefPaste109" hidden="1">#REF!</definedName>
    <definedName name="XRefPaste109Row" localSheetId="12" hidden="1">#REF!</definedName>
    <definedName name="XRefPaste109Row" hidden="1">#REF!</definedName>
    <definedName name="XRefPaste10Row" localSheetId="12" hidden="1">#REF!</definedName>
    <definedName name="XRefPaste10Row" hidden="1">#REF!</definedName>
    <definedName name="XRefPaste11" hidden="1">#REF!</definedName>
    <definedName name="XRefPaste110" localSheetId="12" hidden="1">#REF!</definedName>
    <definedName name="XRefPaste110" hidden="1">#REF!</definedName>
    <definedName name="XRefPaste110Row" localSheetId="12" hidden="1">#REF!</definedName>
    <definedName name="XRefPaste110Row" hidden="1">#REF!</definedName>
    <definedName name="XRefPaste111" localSheetId="12" hidden="1">#REF!</definedName>
    <definedName name="XRefPaste111" hidden="1">#REF!</definedName>
    <definedName name="XRefPaste111Row" localSheetId="12" hidden="1">#REF!</definedName>
    <definedName name="XRefPaste111Row" hidden="1">#REF!</definedName>
    <definedName name="XRefPaste112" localSheetId="12" hidden="1">#REF!</definedName>
    <definedName name="XRefPaste112" hidden="1">#REF!</definedName>
    <definedName name="XRefPaste112Row" localSheetId="12" hidden="1">#REF!</definedName>
    <definedName name="XRefPaste112Row" hidden="1">#REF!</definedName>
    <definedName name="XRefPaste113" localSheetId="12" hidden="1">#REF!</definedName>
    <definedName name="XRefPaste113" hidden="1">#REF!</definedName>
    <definedName name="XRefPaste113Row" localSheetId="12" hidden="1">#REF!</definedName>
    <definedName name="XRefPaste113Row" hidden="1">#REF!</definedName>
    <definedName name="XRefPaste114" localSheetId="12" hidden="1">#REF!</definedName>
    <definedName name="XRefPaste114" hidden="1">#REF!</definedName>
    <definedName name="XRefPaste114Row" localSheetId="12" hidden="1">#REF!</definedName>
    <definedName name="XRefPaste114Row" hidden="1">#REF!</definedName>
    <definedName name="XRefPaste115" localSheetId="12" hidden="1">#REF!</definedName>
    <definedName name="XRefPaste115" hidden="1">#REF!</definedName>
    <definedName name="XRefPaste115Row" localSheetId="12" hidden="1">#REF!</definedName>
    <definedName name="XRefPaste115Row" hidden="1">#REF!</definedName>
    <definedName name="XRefPaste116" localSheetId="12" hidden="1">#REF!</definedName>
    <definedName name="XRefPaste116" hidden="1">#REF!</definedName>
    <definedName name="XRefPaste116Row" localSheetId="12" hidden="1">#REF!</definedName>
    <definedName name="XRefPaste116Row" hidden="1">#REF!</definedName>
    <definedName name="XRefPaste117" localSheetId="12" hidden="1">#REF!</definedName>
    <definedName name="XRefPaste117" hidden="1">#REF!</definedName>
    <definedName name="XRefPaste117Row" localSheetId="12" hidden="1">#REF!</definedName>
    <definedName name="XRefPaste117Row" hidden="1">#REF!</definedName>
    <definedName name="XRefPaste118" localSheetId="12" hidden="1">#REF!</definedName>
    <definedName name="XRefPaste118" hidden="1">#REF!</definedName>
    <definedName name="XRefPaste118Row" localSheetId="12" hidden="1">#REF!</definedName>
    <definedName name="XRefPaste118Row" hidden="1">#REF!</definedName>
    <definedName name="XRefPaste119" localSheetId="12" hidden="1">#REF!</definedName>
    <definedName name="XRefPaste119" hidden="1">#REF!</definedName>
    <definedName name="XRefPaste119Row" localSheetId="12" hidden="1">#REF!</definedName>
    <definedName name="XRefPaste119Row" hidden="1">#REF!</definedName>
    <definedName name="XRefPaste11Row" localSheetId="12" hidden="1">#REF!</definedName>
    <definedName name="XRefPaste11Row" hidden="1">#REF!</definedName>
    <definedName name="XRefPaste12" localSheetId="12" hidden="1">#REF!</definedName>
    <definedName name="XRefPaste12" hidden="1">#REF!</definedName>
    <definedName name="XRefPaste120" localSheetId="12" hidden="1">#REF!</definedName>
    <definedName name="XRefPaste120" hidden="1">#REF!</definedName>
    <definedName name="XRefPaste120Row" localSheetId="12" hidden="1">#REF!</definedName>
    <definedName name="XRefPaste120Row" hidden="1">#REF!</definedName>
    <definedName name="XRefPaste121" localSheetId="12" hidden="1">#REF!</definedName>
    <definedName name="XRefPaste121" hidden="1">#REF!</definedName>
    <definedName name="XRefPaste121Row" localSheetId="12" hidden="1">#REF!</definedName>
    <definedName name="XRefPaste121Row" hidden="1">#REF!</definedName>
    <definedName name="XRefPaste122" localSheetId="12" hidden="1">#REF!</definedName>
    <definedName name="XRefPaste122" hidden="1">#REF!</definedName>
    <definedName name="XRefPaste122Row" localSheetId="12" hidden="1">#REF!</definedName>
    <definedName name="XRefPaste122Row" hidden="1">#REF!</definedName>
    <definedName name="XRefPaste123" localSheetId="12" hidden="1">#REF!</definedName>
    <definedName name="XRefPaste123" hidden="1">#REF!</definedName>
    <definedName name="XRefPaste123Row" localSheetId="12" hidden="1">#REF!</definedName>
    <definedName name="XRefPaste123Row" hidden="1">#REF!</definedName>
    <definedName name="XRefPaste124" localSheetId="12" hidden="1">#REF!</definedName>
    <definedName name="XRefPaste124" hidden="1">#REF!</definedName>
    <definedName name="XRefPaste124Row" localSheetId="12" hidden="1">#REF!</definedName>
    <definedName name="XRefPaste124Row" hidden="1">#REF!</definedName>
    <definedName name="XRefPaste125" localSheetId="12" hidden="1">#REF!</definedName>
    <definedName name="XRefPaste125" hidden="1">#REF!</definedName>
    <definedName name="XRefPaste125Row" localSheetId="12" hidden="1">#REF!</definedName>
    <definedName name="XRefPaste125Row" hidden="1">#REF!</definedName>
    <definedName name="XRefPaste126" localSheetId="12" hidden="1">#REF!</definedName>
    <definedName name="XRefPaste126" hidden="1">#REF!</definedName>
    <definedName name="XRefPaste126Row" localSheetId="12" hidden="1">#REF!</definedName>
    <definedName name="XRefPaste126Row" hidden="1">#REF!</definedName>
    <definedName name="XRefPaste127" localSheetId="12" hidden="1">#REF!</definedName>
    <definedName name="XRefPaste127" hidden="1">#REF!</definedName>
    <definedName name="XRefPaste127Row" localSheetId="12" hidden="1">#REF!</definedName>
    <definedName name="XRefPaste127Row" hidden="1">#REF!</definedName>
    <definedName name="XRefPaste128" localSheetId="12" hidden="1">#REF!</definedName>
    <definedName name="XRefPaste128" hidden="1">#REF!</definedName>
    <definedName name="XRefPaste128Row" localSheetId="12" hidden="1">#REF!</definedName>
    <definedName name="XRefPaste128Row" hidden="1">#REF!</definedName>
    <definedName name="XRefPaste129" localSheetId="12" hidden="1">#REF!</definedName>
    <definedName name="XRefPaste129" hidden="1">#REF!</definedName>
    <definedName name="XRefPaste129Row" localSheetId="12" hidden="1">#REF!</definedName>
    <definedName name="XRefPaste129Row" hidden="1">#REF!</definedName>
    <definedName name="XRefPaste12Row" localSheetId="12" hidden="1">#REF!</definedName>
    <definedName name="XRefPaste12Row" hidden="1">#REF!</definedName>
    <definedName name="XRefPaste130" localSheetId="12" hidden="1">#REF!</definedName>
    <definedName name="XRefPaste130" hidden="1">#REF!</definedName>
    <definedName name="XRefPaste130Row" localSheetId="12" hidden="1">#REF!</definedName>
    <definedName name="XRefPaste130Row" hidden="1">#REF!</definedName>
    <definedName name="XRefPaste131" localSheetId="12" hidden="1">#REF!</definedName>
    <definedName name="XRefPaste131" hidden="1">#REF!</definedName>
    <definedName name="XRefPaste131Row" localSheetId="12" hidden="1">#REF!</definedName>
    <definedName name="XRefPaste131Row" hidden="1">#REF!</definedName>
    <definedName name="XRefPaste132" localSheetId="12" hidden="1">#REF!</definedName>
    <definedName name="XRefPaste132" hidden="1">#REF!</definedName>
    <definedName name="XRefPaste132Row" localSheetId="12" hidden="1">#REF!</definedName>
    <definedName name="XRefPaste132Row" hidden="1">#REF!</definedName>
    <definedName name="XRefPaste133" localSheetId="12" hidden="1">#REF!</definedName>
    <definedName name="XRefPaste133" hidden="1">#REF!</definedName>
    <definedName name="XRefPaste133Row" localSheetId="12" hidden="1">#REF!</definedName>
    <definedName name="XRefPaste133Row" hidden="1">#REF!</definedName>
    <definedName name="XRefPaste134" localSheetId="12" hidden="1">#REF!</definedName>
    <definedName name="XRefPaste134" hidden="1">#REF!</definedName>
    <definedName name="XRefPaste134Row" localSheetId="12" hidden="1">#REF!</definedName>
    <definedName name="XRefPaste134Row" hidden="1">#REF!</definedName>
    <definedName name="XRefPaste135" localSheetId="12" hidden="1">#REF!</definedName>
    <definedName name="XRefPaste135" hidden="1">#REF!</definedName>
    <definedName name="XRefPaste135Row" localSheetId="12" hidden="1">#REF!</definedName>
    <definedName name="XRefPaste135Row" hidden="1">#REF!</definedName>
    <definedName name="XRefPaste136" localSheetId="12" hidden="1">#REF!</definedName>
    <definedName name="XRefPaste136" hidden="1">#REF!</definedName>
    <definedName name="XRefPaste136Row" localSheetId="12" hidden="1">#REF!</definedName>
    <definedName name="XRefPaste136Row" hidden="1">#REF!</definedName>
    <definedName name="XRefPaste137" localSheetId="12" hidden="1">#REF!</definedName>
    <definedName name="XRefPaste137" hidden="1">#REF!</definedName>
    <definedName name="XRefPaste137Row" localSheetId="12" hidden="1">#REF!</definedName>
    <definedName name="XRefPaste137Row" hidden="1">#REF!</definedName>
    <definedName name="XRefPaste138" localSheetId="12" hidden="1">#REF!</definedName>
    <definedName name="XRefPaste138" hidden="1">#REF!</definedName>
    <definedName name="XRefPaste138Row" localSheetId="12" hidden="1">#REF!</definedName>
    <definedName name="XRefPaste138Row" hidden="1">#REF!</definedName>
    <definedName name="XRefPaste139" localSheetId="12" hidden="1">#REF!</definedName>
    <definedName name="XRefPaste139" hidden="1">#REF!</definedName>
    <definedName name="XRefPaste139Row" localSheetId="12" hidden="1">#REF!</definedName>
    <definedName name="XRefPaste139Row" hidden="1">#REF!</definedName>
    <definedName name="XRefPaste13Row" localSheetId="12" hidden="1">#REF!</definedName>
    <definedName name="XRefPaste13Row" hidden="1">#REF!</definedName>
    <definedName name="XRefPaste14" localSheetId="12" hidden="1">#REF!</definedName>
    <definedName name="XRefPaste140" localSheetId="12" hidden="1">#REF!</definedName>
    <definedName name="XRefPaste140" hidden="1">#REF!</definedName>
    <definedName name="XRefPaste140Row" localSheetId="12" hidden="1">#REF!</definedName>
    <definedName name="XRefPaste140Row" hidden="1">#REF!</definedName>
    <definedName name="XRefPaste141" localSheetId="12" hidden="1">#REF!</definedName>
    <definedName name="XRefPaste141" hidden="1">#REF!</definedName>
    <definedName name="XRefPaste141Row" localSheetId="12" hidden="1">#REF!</definedName>
    <definedName name="XRefPaste141Row" hidden="1">#REF!</definedName>
    <definedName name="XRefPaste142" localSheetId="12" hidden="1">#REF!</definedName>
    <definedName name="XRefPaste142" hidden="1">#REF!</definedName>
    <definedName name="XRefPaste142Row" localSheetId="12" hidden="1">#REF!</definedName>
    <definedName name="XRefPaste142Row" hidden="1">#REF!</definedName>
    <definedName name="XRefPaste143" localSheetId="12" hidden="1">#REF!</definedName>
    <definedName name="XRefPaste143" hidden="1">#REF!</definedName>
    <definedName name="XRefPaste143Row" localSheetId="12" hidden="1">#REF!</definedName>
    <definedName name="XRefPaste143Row" hidden="1">#REF!</definedName>
    <definedName name="XRefPaste144" localSheetId="12" hidden="1">#REF!</definedName>
    <definedName name="XRefPaste144" hidden="1">#REF!</definedName>
    <definedName name="XRefPaste144Row" localSheetId="12" hidden="1">#REF!</definedName>
    <definedName name="XRefPaste144Row" hidden="1">#REF!</definedName>
    <definedName name="XRefPaste145" localSheetId="12" hidden="1">#REF!</definedName>
    <definedName name="XRefPaste145" hidden="1">#REF!</definedName>
    <definedName name="XRefPaste145Row" localSheetId="12" hidden="1">#REF!</definedName>
    <definedName name="XRefPaste145Row" hidden="1">#REF!</definedName>
    <definedName name="XRefPaste146" localSheetId="12" hidden="1">#REF!</definedName>
    <definedName name="XRefPaste146" hidden="1">#REF!</definedName>
    <definedName name="XRefPaste146Row" localSheetId="12" hidden="1">#REF!</definedName>
    <definedName name="XRefPaste146Row" hidden="1">#REF!</definedName>
    <definedName name="XRefPaste147" localSheetId="12" hidden="1">#REF!</definedName>
    <definedName name="XRefPaste147" hidden="1">#REF!</definedName>
    <definedName name="XRefPaste147Row" localSheetId="12" hidden="1">#REF!</definedName>
    <definedName name="XRefPaste147Row" hidden="1">#REF!</definedName>
    <definedName name="XRefPaste148" localSheetId="12" hidden="1">#REF!</definedName>
    <definedName name="XRefPaste148" hidden="1">#REF!</definedName>
    <definedName name="XRefPaste148Row" localSheetId="12" hidden="1">#REF!</definedName>
    <definedName name="XRefPaste148Row" hidden="1">#REF!</definedName>
    <definedName name="XRefPaste14Row" localSheetId="12" hidden="1">#REF!</definedName>
    <definedName name="XRefPaste14Row" hidden="1">#REF!</definedName>
    <definedName name="XRefPaste15" hidden="1">#REF!</definedName>
    <definedName name="XRefPaste15Row" localSheetId="12" hidden="1">#REF!</definedName>
    <definedName name="XRefPaste15Row" hidden="1">#REF!</definedName>
    <definedName name="XRefPaste16" hidden="1">#REF!</definedName>
    <definedName name="XRefPaste16Row" localSheetId="12" hidden="1">#REF!</definedName>
    <definedName name="XRefPaste17" hidden="1">#REF!</definedName>
    <definedName name="XRefPaste17Row" localSheetId="12" hidden="1">#REF!</definedName>
    <definedName name="XRefPaste17Row" hidden="1">#REF!</definedName>
    <definedName name="XRefPaste18" localSheetId="12" hidden="1">'Variación Patrimonio Neto'!#REF!</definedName>
    <definedName name="XRefPaste18" hidden="1">#REF!</definedName>
    <definedName name="XRefPaste18Row" localSheetId="12" hidden="1">#REF!</definedName>
    <definedName name="XRefPaste18Row" hidden="1">#REF!</definedName>
    <definedName name="XRefPaste19" localSheetId="12" hidden="1">#REF!</definedName>
    <definedName name="XRefPaste19" hidden="1">#REF!</definedName>
    <definedName name="XRefPaste19Row" localSheetId="12" hidden="1">#REF!</definedName>
    <definedName name="XRefPaste19Row" hidden="1">#REF!</definedName>
    <definedName name="XRefPaste1Row" localSheetId="12" hidden="1">#REF!</definedName>
    <definedName name="XRefPaste1Row" hidden="1">#REF!</definedName>
    <definedName name="XRefPaste20" localSheetId="12" hidden="1">#REF!</definedName>
    <definedName name="XRefPaste20" hidden="1">#REF!</definedName>
    <definedName name="XRefPaste20Row" localSheetId="12" hidden="1">#REF!</definedName>
    <definedName name="XRefPaste21" localSheetId="12" hidden="1">#REF!</definedName>
    <definedName name="XRefPaste21" hidden="1">#REF!</definedName>
    <definedName name="XRefPaste21Row" localSheetId="12" hidden="1">#REF!</definedName>
    <definedName name="XRefPaste21Row" hidden="1">#REF!</definedName>
    <definedName name="XRefPaste22" localSheetId="12" hidden="1">#REF!</definedName>
    <definedName name="XRefPaste22" hidden="1">#REF!</definedName>
    <definedName name="XRefPaste22Row" localSheetId="12" hidden="1">#REF!</definedName>
    <definedName name="XRefPaste23" localSheetId="12" hidden="1">#REF!</definedName>
    <definedName name="XRefPaste23" hidden="1">#REF!</definedName>
    <definedName name="XRefPaste23Row" localSheetId="12" hidden="1">#REF!</definedName>
    <definedName name="XRefPaste24" localSheetId="12" hidden="1">#REF!</definedName>
    <definedName name="XRefPaste24" hidden="1">#REF!</definedName>
    <definedName name="XRefPaste24Row" localSheetId="12" hidden="1">#REF!</definedName>
    <definedName name="XRefPaste24Row" hidden="1">#REF!</definedName>
    <definedName name="XRefPaste25" localSheetId="12" hidden="1">#REF!</definedName>
    <definedName name="XRefPaste25" hidden="1">#REF!</definedName>
    <definedName name="XRefPaste25Row" localSheetId="12" hidden="1">#REF!</definedName>
    <definedName name="XRefPaste25Row" hidden="1">#REF!</definedName>
    <definedName name="XRefPaste26" localSheetId="12" hidden="1">#REF!</definedName>
    <definedName name="XRefPaste26" hidden="1">#REF!</definedName>
    <definedName name="XRefPaste26Row" localSheetId="12" hidden="1">#REF!</definedName>
    <definedName name="XRefPaste26Row" hidden="1">#REF!</definedName>
    <definedName name="XRefPaste27" localSheetId="12" hidden="1">#REF!</definedName>
    <definedName name="XRefPaste27" hidden="1">#REF!</definedName>
    <definedName name="XRefPaste27Row" localSheetId="12" hidden="1">#REF!</definedName>
    <definedName name="XRefPaste27Row" hidden="1">#REF!</definedName>
    <definedName name="XRefPaste28" localSheetId="12" hidden="1">#REF!</definedName>
    <definedName name="XRefPaste28" hidden="1">#REF!</definedName>
    <definedName name="XRefPaste28Row" localSheetId="12" hidden="1">#REF!</definedName>
    <definedName name="XRefPaste28Row" hidden="1">#REF!</definedName>
    <definedName name="XRefPaste29" localSheetId="12" hidden="1">#REF!</definedName>
    <definedName name="XRefPaste29" hidden="1">#REF!</definedName>
    <definedName name="XRefPaste29Row" localSheetId="12" hidden="1">#REF!</definedName>
    <definedName name="XRefPaste29Row" hidden="1">#REF!</definedName>
    <definedName name="XRefPaste2Row" localSheetId="12" hidden="1">#REF!</definedName>
    <definedName name="XRefPaste2Row" hidden="1">#REF!</definedName>
    <definedName name="XRefPaste30" localSheetId="12" hidden="1">#REF!</definedName>
    <definedName name="XRefPaste30" hidden="1">#REF!</definedName>
    <definedName name="XRefPaste30Row" localSheetId="12" hidden="1">#REF!</definedName>
    <definedName name="XRefPaste31" localSheetId="12" hidden="1">#REF!</definedName>
    <definedName name="XRefPaste31" hidden="1">#REF!</definedName>
    <definedName name="XRefPaste31Row" localSheetId="12" hidden="1">#REF!</definedName>
    <definedName name="XRefPaste32" localSheetId="12" hidden="1">#REF!</definedName>
    <definedName name="XRefPaste32" hidden="1">#REF!</definedName>
    <definedName name="XRefPaste32Row" localSheetId="12" hidden="1">#REF!</definedName>
    <definedName name="XRefPaste32Row" hidden="1">#REF!</definedName>
    <definedName name="XRefPaste33" hidden="1">#REF!</definedName>
    <definedName name="XRefPaste33Row" localSheetId="12" hidden="1">#REF!</definedName>
    <definedName name="XRefPaste33Row" hidden="1">#REF!</definedName>
    <definedName name="XRefPaste34" localSheetId="12" hidden="1">#REF!</definedName>
    <definedName name="XRefPaste34" hidden="1">#REF!</definedName>
    <definedName name="XRefPaste34Row" localSheetId="12" hidden="1">#REF!</definedName>
    <definedName name="XRefPaste34Row" hidden="1">#REF!</definedName>
    <definedName name="XRefPaste35" hidden="1">#REF!</definedName>
    <definedName name="XRefPaste35Row" localSheetId="12" hidden="1">#REF!</definedName>
    <definedName name="XRefPaste35Row" hidden="1">#REF!</definedName>
    <definedName name="XRefPaste36" localSheetId="12" hidden="1">#REF!</definedName>
    <definedName name="XRefPaste36" hidden="1">#REF!</definedName>
    <definedName name="XRefPaste36Row" localSheetId="12" hidden="1">#REF!</definedName>
    <definedName name="XRefPaste36Row" hidden="1">#REF!</definedName>
    <definedName name="XRefPaste37" localSheetId="12" hidden="1">#REF!</definedName>
    <definedName name="XRefPaste37" hidden="1">#REF!</definedName>
    <definedName name="XRefPaste37Row" localSheetId="12" hidden="1">#REF!</definedName>
    <definedName name="XRefPaste37Row" hidden="1">#REF!</definedName>
    <definedName name="XRefPaste38" localSheetId="12" hidden="1">#REF!</definedName>
    <definedName name="XRefPaste38" hidden="1">#REF!</definedName>
    <definedName name="XRefPaste38Row" localSheetId="12" hidden="1">#REF!</definedName>
    <definedName name="XRefPaste38Row" hidden="1">#REF!</definedName>
    <definedName name="XRefPaste39" localSheetId="12" hidden="1">#REF!</definedName>
    <definedName name="XRefPaste39" hidden="1">#REF!</definedName>
    <definedName name="XRefPaste39Row" localSheetId="12" hidden="1">#REF!</definedName>
    <definedName name="XRefPaste39Row" hidden="1">#REF!</definedName>
    <definedName name="XRefPaste3Row" localSheetId="12" hidden="1">#REF!</definedName>
    <definedName name="XRefPaste40" localSheetId="12" hidden="1">#REF!</definedName>
    <definedName name="XRefPaste40" hidden="1">#REF!</definedName>
    <definedName name="XRefPaste40Row" localSheetId="12" hidden="1">#REF!</definedName>
    <definedName name="XRefPaste40Row" hidden="1">#REF!</definedName>
    <definedName name="XRefPaste41" localSheetId="12" hidden="1">#REF!</definedName>
    <definedName name="XRefPaste41" hidden="1">#REF!</definedName>
    <definedName name="XRefPaste41Row" localSheetId="12" hidden="1">#REF!</definedName>
    <definedName name="XRefPaste41Row" hidden="1">#REF!</definedName>
    <definedName name="XRefPaste42" localSheetId="12" hidden="1">#REF!</definedName>
    <definedName name="XRefPaste42" hidden="1">#REF!</definedName>
    <definedName name="XRefPaste42Row" localSheetId="12" hidden="1">#REF!</definedName>
    <definedName name="XRefPaste42Row" hidden="1">#REF!</definedName>
    <definedName name="XRefPaste43" localSheetId="12" hidden="1">#REF!</definedName>
    <definedName name="XRefPaste43" hidden="1">#REF!</definedName>
    <definedName name="XRefPaste43Row" localSheetId="12" hidden="1">#REF!</definedName>
    <definedName name="XRefPaste43Row" hidden="1">#REF!</definedName>
    <definedName name="XRefPaste44" localSheetId="12" hidden="1">#REF!</definedName>
    <definedName name="XRefPaste44" hidden="1">#REF!</definedName>
    <definedName name="XRefPaste44Row" localSheetId="12" hidden="1">#REF!</definedName>
    <definedName name="XRefPaste44Row" hidden="1">#REF!</definedName>
    <definedName name="XRefPaste45" localSheetId="12" hidden="1">#REF!</definedName>
    <definedName name="XRefPaste45" hidden="1">#REF!</definedName>
    <definedName name="XRefPaste45Row" localSheetId="12" hidden="1">#REF!</definedName>
    <definedName name="XRefPaste45Row" hidden="1">#REF!</definedName>
    <definedName name="XRefPaste46" localSheetId="12" hidden="1">#REF!</definedName>
    <definedName name="XRefPaste46" hidden="1">#REF!</definedName>
    <definedName name="XRefPaste46Row" localSheetId="12" hidden="1">#REF!</definedName>
    <definedName name="XRefPaste46Row" hidden="1">#REF!</definedName>
    <definedName name="XRefPaste47" localSheetId="12" hidden="1">#REF!</definedName>
    <definedName name="XRefPaste47" hidden="1">#REF!</definedName>
    <definedName name="XRefPaste47Row" localSheetId="12" hidden="1">#REF!</definedName>
    <definedName name="XRefPaste47Row" hidden="1">#REF!</definedName>
    <definedName name="XRefPaste48" localSheetId="12" hidden="1">#REF!</definedName>
    <definedName name="XRefPaste48" hidden="1">#REF!</definedName>
    <definedName name="XRefPaste48Row" localSheetId="12" hidden="1">#REF!</definedName>
    <definedName name="XRefPaste48Row" hidden="1">#REF!</definedName>
    <definedName name="XRefPaste49" localSheetId="12" hidden="1">#REF!</definedName>
    <definedName name="XRefPaste49" hidden="1">#REF!</definedName>
    <definedName name="XRefPaste49Row" localSheetId="12" hidden="1">#REF!</definedName>
    <definedName name="XRefPaste49Row" hidden="1">#REF!</definedName>
    <definedName name="XRefPaste4Row" localSheetId="12" hidden="1">#REF!</definedName>
    <definedName name="XRefPaste4Row" hidden="1">#REF!</definedName>
    <definedName name="XRefPaste5" localSheetId="12" hidden="1">'Variación Patrimonio Neto'!#REF!</definedName>
    <definedName name="XRefPaste50" localSheetId="12" hidden="1">#REF!</definedName>
    <definedName name="XRefPaste50" hidden="1">#REF!</definedName>
    <definedName name="XRefPaste50Row" localSheetId="12" hidden="1">#REF!</definedName>
    <definedName name="XRefPaste50Row" hidden="1">#REF!</definedName>
    <definedName name="XRefPaste51" localSheetId="12" hidden="1">#REF!</definedName>
    <definedName name="XRefPaste51" hidden="1">#REF!</definedName>
    <definedName name="XRefPaste51Row" localSheetId="12" hidden="1">#REF!</definedName>
    <definedName name="XRefPaste51Row" hidden="1">#REF!</definedName>
    <definedName name="XRefPaste52" localSheetId="12" hidden="1">#REF!</definedName>
    <definedName name="XRefPaste52" hidden="1">#REF!</definedName>
    <definedName name="XRefPaste52Row" localSheetId="12" hidden="1">#REF!</definedName>
    <definedName name="XRefPaste52Row" hidden="1">#REF!</definedName>
    <definedName name="XRefPaste53" localSheetId="12" hidden="1">#REF!</definedName>
    <definedName name="XRefPaste53" hidden="1">#REF!</definedName>
    <definedName name="XRefPaste53Row" localSheetId="12" hidden="1">#REF!</definedName>
    <definedName name="XRefPaste53Row" hidden="1">#REF!</definedName>
    <definedName name="XRefPaste54" localSheetId="12" hidden="1">#REF!</definedName>
    <definedName name="XRefPaste54" hidden="1">#REF!</definedName>
    <definedName name="XRefPaste54Row" localSheetId="12" hidden="1">#REF!</definedName>
    <definedName name="XRefPaste54Row" hidden="1">#REF!</definedName>
    <definedName name="XRefPaste55" localSheetId="12" hidden="1">#REF!</definedName>
    <definedName name="XRefPaste55" hidden="1">#REF!</definedName>
    <definedName name="XRefPaste55Row" localSheetId="12" hidden="1">#REF!</definedName>
    <definedName name="XRefPaste55Row" hidden="1">#REF!</definedName>
    <definedName name="XRefPaste56" localSheetId="12" hidden="1">#REF!</definedName>
    <definedName name="XRefPaste56" hidden="1">#REF!</definedName>
    <definedName name="XRefPaste56Row" localSheetId="12" hidden="1">#REF!</definedName>
    <definedName name="XRefPaste56Row" hidden="1">#REF!</definedName>
    <definedName name="XRefPaste57" localSheetId="12" hidden="1">#REF!</definedName>
    <definedName name="XRefPaste57" hidden="1">#REF!</definedName>
    <definedName name="XRefPaste57Row" localSheetId="12" hidden="1">#REF!</definedName>
    <definedName name="XRefPaste57Row" hidden="1">#REF!</definedName>
    <definedName name="XRefPaste58" hidden="1">#REF!</definedName>
    <definedName name="XRefPaste58Row" localSheetId="12" hidden="1">#REF!</definedName>
    <definedName name="XRefPaste58Row" hidden="1">#REF!</definedName>
    <definedName name="XRefPaste59" hidden="1">#REF!</definedName>
    <definedName name="XRefPaste59Row" localSheetId="12" hidden="1">#REF!</definedName>
    <definedName name="XRefPaste59Row" hidden="1">#REF!</definedName>
    <definedName name="XRefPaste5Row" localSheetId="12" hidden="1">#REF!</definedName>
    <definedName name="XRefPaste5Row" hidden="1">#REF!</definedName>
    <definedName name="XRefPaste6" localSheetId="12" hidden="1">#REF!</definedName>
    <definedName name="XRefPaste60" hidden="1">#REF!</definedName>
    <definedName name="XRefPaste60Row" localSheetId="12" hidden="1">#REF!</definedName>
    <definedName name="XRefPaste60Row" hidden="1">#REF!</definedName>
    <definedName name="XRefPaste61" hidden="1">#REF!</definedName>
    <definedName name="XRefPaste61Row" localSheetId="12" hidden="1">#REF!</definedName>
    <definedName name="XRefPaste61Row" hidden="1">#REF!</definedName>
    <definedName name="XRefPaste62" hidden="1">#REF!</definedName>
    <definedName name="XRefPaste62Row" localSheetId="12" hidden="1">#REF!</definedName>
    <definedName name="XRefPaste62Row" hidden="1">#REF!</definedName>
    <definedName name="XRefPaste63" hidden="1">#REF!</definedName>
    <definedName name="XRefPaste63Row" localSheetId="12" hidden="1">#REF!</definedName>
    <definedName name="XRefPaste63Row" hidden="1">#REF!</definedName>
    <definedName name="XRefPaste64" localSheetId="12" hidden="1">#REF!</definedName>
    <definedName name="XRefPaste64" hidden="1">#REF!</definedName>
    <definedName name="XRefPaste64Row" localSheetId="12" hidden="1">#REF!</definedName>
    <definedName name="XRefPaste64Row" hidden="1">#REF!</definedName>
    <definedName name="XRefPaste65" hidden="1">#REF!</definedName>
    <definedName name="XRefPaste65Row" localSheetId="12" hidden="1">#REF!</definedName>
    <definedName name="XRefPaste65Row" hidden="1">#REF!</definedName>
    <definedName name="XRefPaste66" hidden="1">#REF!</definedName>
    <definedName name="XRefPaste66Row" localSheetId="12" hidden="1">#REF!</definedName>
    <definedName name="XRefPaste66Row" hidden="1">#REF!</definedName>
    <definedName name="XRefPaste67" localSheetId="12" hidden="1">#REF!</definedName>
    <definedName name="XRefPaste67" hidden="1">#REF!</definedName>
    <definedName name="XRefPaste67Row" localSheetId="12" hidden="1">#REF!</definedName>
    <definedName name="XRefPaste67Row" hidden="1">#REF!</definedName>
    <definedName name="XRefPaste68" hidden="1">#REF!</definedName>
    <definedName name="XRefPaste68Row" localSheetId="12" hidden="1">#REF!</definedName>
    <definedName name="XRefPaste68Row" hidden="1">#REF!</definedName>
    <definedName name="XRefPaste69" hidden="1">#REF!</definedName>
    <definedName name="XRefPaste69Row" localSheetId="12" hidden="1">#REF!</definedName>
    <definedName name="XRefPaste69Row" hidden="1">#REF!</definedName>
    <definedName name="XRefPaste6Row" localSheetId="12" hidden="1">#REF!</definedName>
    <definedName name="XRefPaste6Row" hidden="1">#REF!</definedName>
    <definedName name="XRefPaste7" localSheetId="12" hidden="1">#REF!</definedName>
    <definedName name="XRefPaste7" hidden="1">#REF!</definedName>
    <definedName name="XRefPaste70" hidden="1">#REF!</definedName>
    <definedName name="XRefPaste70Row" localSheetId="12" hidden="1">#REF!</definedName>
    <definedName name="XRefPaste70Row" hidden="1">#REF!</definedName>
    <definedName name="XRefPaste71" hidden="1">#REF!</definedName>
    <definedName name="XRefPaste71Row" localSheetId="12" hidden="1">#REF!</definedName>
    <definedName name="XRefPaste71Row" hidden="1">#REF!</definedName>
    <definedName name="XRefPaste72" localSheetId="12" hidden="1">#REF!</definedName>
    <definedName name="XRefPaste72" hidden="1">#REF!</definedName>
    <definedName name="XRefPaste72Row" localSheetId="12" hidden="1">#REF!</definedName>
    <definedName name="XRefPaste72Row" hidden="1">#REF!</definedName>
    <definedName name="XRefPaste73" localSheetId="12" hidden="1">#REF!</definedName>
    <definedName name="XRefPaste73" hidden="1">#REF!</definedName>
    <definedName name="XRefPaste73Row" localSheetId="12" hidden="1">#REF!</definedName>
    <definedName name="XRefPaste73Row" hidden="1">#REF!</definedName>
    <definedName name="XRefPaste74" localSheetId="12" hidden="1">#REF!</definedName>
    <definedName name="XRefPaste74" hidden="1">#REF!</definedName>
    <definedName name="XRefPaste74Row" localSheetId="12" hidden="1">#REF!</definedName>
    <definedName name="XRefPaste74Row" hidden="1">#REF!</definedName>
    <definedName name="XRefPaste75" localSheetId="12" hidden="1">#REF!</definedName>
    <definedName name="XRefPaste75" hidden="1">#REF!</definedName>
    <definedName name="XRefPaste75Row" localSheetId="12" hidden="1">#REF!</definedName>
    <definedName name="XRefPaste75Row" hidden="1">#REF!</definedName>
    <definedName name="XRefPaste76" localSheetId="12" hidden="1">#REF!</definedName>
    <definedName name="XRefPaste76" hidden="1">#REF!</definedName>
    <definedName name="XRefPaste76Row" localSheetId="12" hidden="1">#REF!</definedName>
    <definedName name="XRefPaste76Row" hidden="1">#REF!</definedName>
    <definedName name="XRefPaste77" localSheetId="12" hidden="1">#REF!</definedName>
    <definedName name="XRefPaste77" hidden="1">#REF!</definedName>
    <definedName name="XRefPaste77Row" localSheetId="12" hidden="1">#REF!</definedName>
    <definedName name="XRefPaste77Row" hidden="1">#REF!</definedName>
    <definedName name="XRefPaste78" localSheetId="12" hidden="1">#REF!</definedName>
    <definedName name="XRefPaste78" hidden="1">#REF!</definedName>
    <definedName name="XRefPaste78Row" localSheetId="12" hidden="1">#REF!</definedName>
    <definedName name="XRefPaste78Row" hidden="1">#REF!</definedName>
    <definedName name="XRefPaste79" localSheetId="12" hidden="1">#REF!</definedName>
    <definedName name="XRefPaste79" hidden="1">#REF!</definedName>
    <definedName name="XRefPaste79Row" localSheetId="12" hidden="1">#REF!</definedName>
    <definedName name="XRefPaste79Row" hidden="1">#REF!</definedName>
    <definedName name="XRefPaste7Row" localSheetId="12" hidden="1">#REF!</definedName>
    <definedName name="XRefPaste7Row" hidden="1">#REF!</definedName>
    <definedName name="XRefPaste8" localSheetId="12" hidden="1">#REF!</definedName>
    <definedName name="XRefPaste8" hidden="1">#REF!</definedName>
    <definedName name="XRefPaste80" localSheetId="12" hidden="1">#REF!</definedName>
    <definedName name="XRefPaste80" hidden="1">#REF!</definedName>
    <definedName name="XRefPaste80Row" localSheetId="12" hidden="1">#REF!</definedName>
    <definedName name="XRefPaste80Row" hidden="1">#REF!</definedName>
    <definedName name="XRefPaste81" localSheetId="12" hidden="1">#REF!</definedName>
    <definedName name="XRefPaste81" hidden="1">#REF!</definedName>
    <definedName name="XRefPaste81Row" localSheetId="12" hidden="1">#REF!</definedName>
    <definedName name="XRefPaste81Row" hidden="1">#REF!</definedName>
    <definedName name="XRefPaste82" localSheetId="12" hidden="1">#REF!</definedName>
    <definedName name="XRefPaste82" hidden="1">#REF!</definedName>
    <definedName name="XRefPaste82Row" localSheetId="12" hidden="1">#REF!</definedName>
    <definedName name="XRefPaste82Row" hidden="1">#REF!</definedName>
    <definedName name="XRefPaste83" localSheetId="12" hidden="1">#REF!</definedName>
    <definedName name="XRefPaste83" hidden="1">#REF!</definedName>
    <definedName name="XRefPaste83Row" localSheetId="12" hidden="1">#REF!</definedName>
    <definedName name="XRefPaste83Row" hidden="1">#REF!</definedName>
    <definedName name="XRefPaste84" localSheetId="12" hidden="1">#REF!</definedName>
    <definedName name="XRefPaste84" hidden="1">#REF!</definedName>
    <definedName name="XRefPaste84Row" localSheetId="12" hidden="1">#REF!</definedName>
    <definedName name="XRefPaste84Row" hidden="1">#REF!</definedName>
    <definedName name="XRefPaste85" localSheetId="12" hidden="1">#REF!</definedName>
    <definedName name="XRefPaste85" hidden="1">#REF!</definedName>
    <definedName name="XRefPaste85Row" localSheetId="12" hidden="1">#REF!</definedName>
    <definedName name="XRefPaste85Row" hidden="1">#REF!</definedName>
    <definedName name="XRefPaste86" localSheetId="12" hidden="1">#REF!</definedName>
    <definedName name="XRefPaste86" hidden="1">#REF!</definedName>
    <definedName name="XRefPaste86Row" localSheetId="12" hidden="1">#REF!</definedName>
    <definedName name="XRefPaste86Row" hidden="1">#REF!</definedName>
    <definedName name="XRefPaste87" localSheetId="12" hidden="1">#REF!</definedName>
    <definedName name="XRefPaste87" hidden="1">#REF!</definedName>
    <definedName name="XRefPaste87Row" localSheetId="12" hidden="1">#REF!</definedName>
    <definedName name="XRefPaste87Row" hidden="1">#REF!</definedName>
    <definedName name="XRefPaste88" localSheetId="12" hidden="1">#REF!</definedName>
    <definedName name="XRefPaste88" hidden="1">#REF!</definedName>
    <definedName name="XRefPaste88Row" localSheetId="12" hidden="1">#REF!</definedName>
    <definedName name="XRefPaste88Row" hidden="1">#REF!</definedName>
    <definedName name="XRefPaste89" localSheetId="12" hidden="1">#REF!</definedName>
    <definedName name="XRefPaste89" hidden="1">#REF!</definedName>
    <definedName name="XRefPaste89Row" localSheetId="12" hidden="1">#REF!</definedName>
    <definedName name="XRefPaste89Row" hidden="1">#REF!</definedName>
    <definedName name="XRefPaste8Row" localSheetId="12" hidden="1">#REF!</definedName>
    <definedName name="XRefPaste8Row" hidden="1">#REF!</definedName>
    <definedName name="XRefPaste9" hidden="1">#REF!</definedName>
    <definedName name="XRefPaste90" localSheetId="12" hidden="1">#REF!</definedName>
    <definedName name="XRefPaste90" hidden="1">#REF!</definedName>
    <definedName name="XRefPaste90Row" localSheetId="12" hidden="1">#REF!</definedName>
    <definedName name="XRefPaste90Row" hidden="1">#REF!</definedName>
    <definedName name="XRefPaste91" localSheetId="12" hidden="1">#REF!</definedName>
    <definedName name="XRefPaste91" hidden="1">#REF!</definedName>
    <definedName name="XRefPaste91Row" localSheetId="12" hidden="1">#REF!</definedName>
    <definedName name="XRefPaste91Row" hidden="1">#REF!</definedName>
    <definedName name="XRefPaste92" localSheetId="12" hidden="1">#REF!</definedName>
    <definedName name="XRefPaste92" hidden="1">#REF!</definedName>
    <definedName name="XRefPaste92Row" localSheetId="12" hidden="1">#REF!</definedName>
    <definedName name="XRefPaste92Row" hidden="1">#REF!</definedName>
    <definedName name="XRefPaste93" localSheetId="12" hidden="1">#REF!</definedName>
    <definedName name="XRefPaste93" hidden="1">#REF!</definedName>
    <definedName name="XRefPaste93Row" localSheetId="12" hidden="1">#REF!</definedName>
    <definedName name="XRefPaste93Row" hidden="1">#REF!</definedName>
    <definedName name="XRefPaste94" localSheetId="12" hidden="1">#REF!</definedName>
    <definedName name="XRefPaste94" hidden="1">#REF!</definedName>
    <definedName name="XRefPaste94Row" localSheetId="12" hidden="1">#REF!</definedName>
    <definedName name="XRefPaste94Row" hidden="1">#REF!</definedName>
    <definedName name="XRefPaste95" localSheetId="12" hidden="1">#REF!</definedName>
    <definedName name="XRefPaste95" hidden="1">#REF!</definedName>
    <definedName name="XRefPaste95Row" localSheetId="12" hidden="1">#REF!</definedName>
    <definedName name="XRefPaste95Row" hidden="1">#REF!</definedName>
    <definedName name="XRefPaste96" localSheetId="12" hidden="1">#REF!</definedName>
    <definedName name="XRefPaste96" hidden="1">#REF!</definedName>
    <definedName name="XRefPaste96Row" localSheetId="12" hidden="1">#REF!</definedName>
    <definedName name="XRefPaste96Row" hidden="1">#REF!</definedName>
    <definedName name="XRefPaste97" localSheetId="12" hidden="1">#REF!</definedName>
    <definedName name="XRefPaste97" hidden="1">#REF!</definedName>
    <definedName name="XRefPaste97Row" localSheetId="12" hidden="1">#REF!</definedName>
    <definedName name="XRefPaste97Row" hidden="1">#REF!</definedName>
    <definedName name="XRefPaste98" localSheetId="12" hidden="1">#REF!</definedName>
    <definedName name="XRefPaste98" hidden="1">#REF!</definedName>
    <definedName name="XRefPaste98Row" localSheetId="12" hidden="1">#REF!</definedName>
    <definedName name="XRefPaste98Row" hidden="1">#REF!</definedName>
    <definedName name="XRefPaste99" localSheetId="12" hidden="1">#REF!</definedName>
    <definedName name="XRefPaste99" hidden="1">#REF!</definedName>
    <definedName name="XRefPaste99Row" localSheetId="12" hidden="1">#REF!</definedName>
    <definedName name="XRefPaste99Row" hidden="1">#REF!</definedName>
    <definedName name="XRefPaste9Row" localSheetId="12" hidden="1">#REF!</definedName>
    <definedName name="XRefPaste9Row" hidden="1">#REF!</definedName>
    <definedName name="XRefPasteRangeCount" localSheetId="12" hidden="1">6</definedName>
    <definedName name="XRefPasteRangeCount" hidden="1">1</definedName>
    <definedName name="xx">#REF!</definedName>
    <definedName name="Z_599159CD_1620_491F_A2F6_FFBFC633DFF1_.wvu.FilterData" localSheetId="1" hidden="1">'BG 12.2023'!#REF!</definedName>
    <definedName name="Z_599159CD_1620_491F_A2F6_FFBFC633DFF1_.wvu.FilterData" localSheetId="2" hidden="1">'BG 12.2024'!$B$4:$E$149</definedName>
    <definedName name="Z_599159CD_1620_491F_A2F6_FFBFC633DFF1_.wvu.FilterData" localSheetId="0" hidden="1">'BG 2023'!$B$4:$E$135</definedName>
    <definedName name="Z_599159CD_1620_491F_A2F6_FFBFC633DFF1_.wvu.FilterData" localSheetId="7" hidden="1">Composición!$A$4:$K$1768</definedName>
    <definedName name="Z_599159CD_1620_491F_A2F6_FFBFC633DFF1_.wvu.PrintArea" localSheetId="10" hidden="1">'Estado de Resultados'!$A$1:$G$86</definedName>
    <definedName name="Z_599159CD_1620_491F_A2F6_FFBFC633DFF1_.wvu.PrintArea" localSheetId="11" hidden="1">'Flujo de Efectivo'!$A$1:$F$49</definedName>
    <definedName name="Z_599159CD_1620_491F_A2F6_FFBFC633DFF1_.wvu.PrintArea" localSheetId="13" hidden="1">Notas!$B$4:$M$264</definedName>
    <definedName name="Z_599159CD_1620_491F_A2F6_FFBFC633DFF1_.wvu.PrintArea" localSheetId="12" hidden="1">'Variación Patrimonio Neto'!$B$4:$I$33</definedName>
    <definedName name="Z_599159CD_1620_491F_A2F6_FFBFC633DFF1_.wvu.Rows" localSheetId="11" hidden="1">'Flujo de Efectivo'!#REF!</definedName>
    <definedName name="Z_7304E215_0A5B_437F_BDA4_22E455009386_.wvu.Rows" localSheetId="3" hidden="1">'No usar'!#REF!</definedName>
    <definedName name="Z_7F8679DA_D059_4901_ACAC_85DFCE49504A_.wvu.FilterData" localSheetId="1" hidden="1">'BG 12.2023'!#REF!</definedName>
    <definedName name="Z_7F8679DA_D059_4901_ACAC_85DFCE49504A_.wvu.FilterData" localSheetId="2" hidden="1">'BG 12.2024'!$B$4:$E$149</definedName>
    <definedName name="Z_7F8679DA_D059_4901_ACAC_85DFCE49504A_.wvu.FilterData" localSheetId="0" hidden="1">'BG 2023'!$B$4:$E$135</definedName>
    <definedName name="Z_7F8679DA_D059_4901_ACAC_85DFCE49504A_.wvu.FilterData" localSheetId="7" hidden="1">Composición!$A$4:$K$1768</definedName>
    <definedName name="Z_7F8679DA_D059_4901_ACAC_85DFCE49504A_.wvu.PrintArea" localSheetId="10" hidden="1">'Estado de Resultados'!$A$1:$G$86</definedName>
    <definedName name="Z_7F8679DA_D059_4901_ACAC_85DFCE49504A_.wvu.PrintArea" localSheetId="11" hidden="1">'Flujo de Efectivo'!$A$1:$F$49</definedName>
    <definedName name="Z_7F8679DA_D059_4901_ACAC_85DFCE49504A_.wvu.PrintArea" localSheetId="13" hidden="1">Notas!$B$4:$M$264</definedName>
    <definedName name="Z_7F8679DA_D059_4901_ACAC_85DFCE49504A_.wvu.PrintArea" localSheetId="12" hidden="1">'Variación Patrimonio Neto'!$B$4:$I$33</definedName>
    <definedName name="Z_7F8679DA_D059_4901_ACAC_85DFCE49504A_.wvu.Rows" localSheetId="11" hidden="1">'Flujo de Efectivo'!#REF!</definedName>
    <definedName name="Z_970CBB53_F4B3_462F_AEFE_2BC403F5F0AD_.wvu.FilterData" localSheetId="1" hidden="1">'BG 12.2023'!#REF!</definedName>
    <definedName name="Z_970CBB53_F4B3_462F_AEFE_2BC403F5F0AD_.wvu.FilterData" localSheetId="2" hidden="1">'BG 12.2024'!$B$4:$E$149</definedName>
    <definedName name="Z_970CBB53_F4B3_462F_AEFE_2BC403F5F0AD_.wvu.FilterData" localSheetId="0" hidden="1">'BG 2023'!$B$4:$E$135</definedName>
    <definedName name="Z_970CBB53_F4B3_462F_AEFE_2BC403F5F0AD_.wvu.FilterData" localSheetId="7" hidden="1">Composición!$A$4:$I$606</definedName>
    <definedName name="Z_970CBB53_F4B3_462F_AEFE_2BC403F5F0AD_.wvu.PrintArea" localSheetId="10" hidden="1">'Estado de Resultados'!$A$1:$G$86</definedName>
    <definedName name="Z_970CBB53_F4B3_462F_AEFE_2BC403F5F0AD_.wvu.PrintArea" localSheetId="11" hidden="1">'Flujo de Efectivo'!$A$1:$F$49</definedName>
    <definedName name="Z_970CBB53_F4B3_462F_AEFE_2BC403F5F0AD_.wvu.PrintArea" localSheetId="13" hidden="1">Notas!$B$5:$M$264</definedName>
    <definedName name="Z_970CBB53_F4B3_462F_AEFE_2BC403F5F0AD_.wvu.PrintArea" localSheetId="12" hidden="1">'Variación Patrimonio Neto'!$B$4:$I$33</definedName>
    <definedName name="Z_970CBB53_F4B3_462F_AEFE_2BC403F5F0AD_.wvu.Rows" localSheetId="11" hidden="1">'Flujo de Efectivo'!#REF!</definedName>
    <definedName name="zdfd" hidden="1">#REF!</definedName>
  </definedNames>
  <calcPr calcId="191028"/>
  <customWorkbookViews>
    <customWorkbookView name="Galeano, Analia (LATCO - Asuncion) - Personal View" guid="{970CBB53-F4B3-462F-AEFE-2BC403F5F0AD}" mergeInterval="0" personalView="1" maximized="1" xWindow="-8" yWindow="-8" windowWidth="1382" windowHeight="744" tabRatio="954" activeSheetId="5" showComments="commIndAndComment"/>
    <customWorkbookView name="Jimmy Maubet - Vista personalizada" guid="{7F8679DA-D059-4901-ACAC-85DFCE49504A}" mergeInterval="0" personalView="1" maximized="1" xWindow="-8" yWindow="-8" windowWidth="1382" windowHeight="744" tabRatio="910" activeSheetId="12"/>
    <customWorkbookView name="Dahiana Sanchez - Vista personalizada" guid="{599159CD-1620-491F-A2F6-FFBFC633DFF1}" mergeInterval="0" personalView="1" maximized="1" xWindow="-9" yWindow="-9" windowWidth="1938" windowHeight="1048" tabRatio="910" activeSheetId="1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07" i="10" l="1"/>
  <c r="D794" i="10"/>
  <c r="H91" i="47"/>
  <c r="J91" i="47" s="1"/>
  <c r="L91" i="47" s="1"/>
  <c r="H90" i="47"/>
  <c r="J90" i="47" s="1"/>
  <c r="L90" i="47" s="1"/>
  <c r="H997" i="10"/>
  <c r="H989" i="10"/>
  <c r="I989" i="10" s="1"/>
  <c r="H5" i="47" l="1"/>
  <c r="J5" i="47" s="1"/>
  <c r="L5" i="47" s="1"/>
  <c r="D793" i="10" s="1"/>
  <c r="H72" i="47"/>
  <c r="J72" i="47" s="1"/>
  <c r="L72" i="47" s="1"/>
  <c r="D779" i="10" s="1"/>
  <c r="H86" i="47"/>
  <c r="J86" i="47" s="1"/>
  <c r="L86" i="47" s="1"/>
  <c r="D780" i="10" s="1"/>
  <c r="H181" i="47"/>
  <c r="J181" i="47" s="1"/>
  <c r="L181" i="47" s="1"/>
  <c r="D787" i="10" s="1"/>
  <c r="H180" i="47"/>
  <c r="J180" i="47" s="1"/>
  <c r="L180" i="47" s="1"/>
  <c r="D786" i="10" s="1"/>
  <c r="H179" i="47"/>
  <c r="J179" i="47" s="1"/>
  <c r="L179" i="47" s="1"/>
  <c r="D785" i="10" s="1"/>
  <c r="H178" i="47"/>
  <c r="J178" i="47" s="1"/>
  <c r="L178" i="47" s="1"/>
  <c r="D784" i="10" s="1"/>
  <c r="H177" i="47"/>
  <c r="J177" i="47" s="1"/>
  <c r="L177" i="47" s="1"/>
  <c r="D783" i="10" s="1"/>
  <c r="H176" i="47"/>
  <c r="J176" i="47" s="1"/>
  <c r="L176" i="47" s="1"/>
  <c r="D782" i="10" s="1"/>
  <c r="H175" i="47"/>
  <c r="J175" i="47" s="1"/>
  <c r="L175" i="47" s="1"/>
  <c r="D781" i="10" s="1"/>
  <c r="H183" i="47"/>
  <c r="J183" i="47" s="1"/>
  <c r="L183" i="47" s="1"/>
  <c r="D789" i="10" s="1"/>
  <c r="H182" i="47"/>
  <c r="J182" i="47" s="1"/>
  <c r="L182" i="47" s="1"/>
  <c r="D788" i="10" s="1"/>
  <c r="E1182" i="10"/>
  <c r="E1181" i="10"/>
  <c r="E1180" i="10"/>
  <c r="E1179" i="10"/>
  <c r="E1178" i="10"/>
  <c r="E1177" i="10"/>
  <c r="E1176" i="10"/>
  <c r="E1175" i="10"/>
  <c r="E1174" i="10"/>
  <c r="E1173" i="10"/>
  <c r="E1172" i="10"/>
  <c r="E1171" i="10"/>
  <c r="E1170" i="10"/>
  <c r="E1169" i="10"/>
  <c r="D1169" i="10"/>
  <c r="E1168" i="10"/>
  <c r="E1167" i="10"/>
  <c r="E1166" i="10"/>
  <c r="E1165" i="10"/>
  <c r="E1164" i="10"/>
  <c r="E1163" i="10"/>
  <c r="E1162" i="10"/>
  <c r="E1161" i="10"/>
  <c r="E1160" i="10"/>
  <c r="E1159" i="10"/>
  <c r="E1158" i="10"/>
  <c r="E1157" i="10"/>
  <c r="E1156" i="10"/>
  <c r="E1155" i="10"/>
  <c r="E1154" i="10"/>
  <c r="E1153" i="10"/>
  <c r="E1152" i="10"/>
  <c r="E1151" i="10"/>
  <c r="E1150" i="10"/>
  <c r="E1149" i="10"/>
  <c r="E1148" i="10"/>
  <c r="E1147" i="10"/>
  <c r="E383" i="10"/>
  <c r="D868" i="10"/>
  <c r="D866" i="10"/>
  <c r="G1003" i="10" l="1"/>
  <c r="D831" i="10" l="1"/>
  <c r="H7" i="46"/>
  <c r="I7" i="46"/>
  <c r="A26" i="36" l="1"/>
  <c r="F26" i="36" l="1"/>
  <c r="H1253" i="10"/>
  <c r="E804" i="10" l="1"/>
  <c r="E803" i="10"/>
  <c r="E1478" i="22" l="1"/>
  <c r="E1069" i="10" l="1"/>
  <c r="E1064" i="10"/>
  <c r="E882" i="10"/>
  <c r="I905" i="10"/>
  <c r="M430" i="10"/>
  <c r="M431" i="10"/>
  <c r="M432" i="10"/>
  <c r="M433" i="10"/>
  <c r="M434" i="10"/>
  <c r="M435" i="10"/>
  <c r="M436" i="10"/>
  <c r="M437" i="10"/>
  <c r="M438" i="10"/>
  <c r="M439" i="10"/>
  <c r="M440" i="10"/>
  <c r="M441" i="10"/>
  <c r="M442" i="10"/>
  <c r="M443" i="10"/>
  <c r="M444" i="10"/>
  <c r="L430" i="10"/>
  <c r="L431" i="10"/>
  <c r="L432" i="10"/>
  <c r="L433" i="10"/>
  <c r="L434" i="10"/>
  <c r="L435" i="10"/>
  <c r="L436" i="10"/>
  <c r="L437" i="10"/>
  <c r="L438" i="10"/>
  <c r="L439" i="10"/>
  <c r="L440" i="10"/>
  <c r="L441" i="10"/>
  <c r="L442" i="10"/>
  <c r="L443" i="10"/>
  <c r="L444" i="10"/>
  <c r="K430" i="10"/>
  <c r="K431" i="10"/>
  <c r="K432" i="10"/>
  <c r="K433" i="10"/>
  <c r="K434" i="10"/>
  <c r="K435" i="10"/>
  <c r="K436" i="10"/>
  <c r="K437" i="10"/>
  <c r="K438" i="10"/>
  <c r="K439" i="10"/>
  <c r="K440" i="10"/>
  <c r="K441" i="10"/>
  <c r="K442" i="10"/>
  <c r="K443" i="10"/>
  <c r="K444" i="10"/>
  <c r="K429" i="10"/>
  <c r="G1001" i="10"/>
  <c r="E20" i="23"/>
  <c r="C46" i="20" l="1"/>
  <c r="C45" i="20"/>
  <c r="P16" i="35" l="1"/>
  <c r="Q126" i="34"/>
  <c r="R137" i="34"/>
  <c r="Q137" i="34"/>
  <c r="Q136" i="34"/>
  <c r="Q187" i="34"/>
  <c r="Q153" i="34"/>
  <c r="Q144" i="34"/>
  <c r="G1000" i="10"/>
  <c r="G990" i="10"/>
  <c r="A37" i="36" l="1"/>
  <c r="A20" i="36"/>
  <c r="A19" i="36"/>
  <c r="A18" i="36"/>
  <c r="A17" i="36"/>
  <c r="A15" i="36"/>
  <c r="A13" i="36"/>
  <c r="A14" i="36"/>
  <c r="A11" i="36"/>
  <c r="A16" i="36"/>
  <c r="A12" i="36"/>
  <c r="A10" i="36"/>
  <c r="A9" i="36"/>
  <c r="A8" i="36"/>
  <c r="A7" i="36"/>
  <c r="A6" i="36"/>
  <c r="A30" i="36"/>
  <c r="H287" i="10" l="1"/>
  <c r="F287" i="10"/>
  <c r="D380" i="10" l="1"/>
  <c r="F6" i="31"/>
  <c r="I5" i="46" l="1"/>
  <c r="I8" i="46" s="1"/>
  <c r="H5" i="46"/>
  <c r="H4" i="46"/>
  <c r="H8" i="46" s="1"/>
  <c r="F780" i="31"/>
  <c r="F784" i="31"/>
  <c r="F783" i="31"/>
  <c r="F782" i="31"/>
  <c r="F781" i="31"/>
  <c r="F779" i="31"/>
  <c r="F778" i="31"/>
  <c r="F777" i="31"/>
  <c r="F776" i="31"/>
  <c r="F643" i="31"/>
  <c r="G643" i="31" s="1"/>
  <c r="A643" i="31"/>
  <c r="F642" i="31"/>
  <c r="G642" i="31" s="1"/>
  <c r="A642" i="31"/>
  <c r="F641" i="31"/>
  <c r="G641" i="31" s="1"/>
  <c r="A641" i="31"/>
  <c r="F640" i="31"/>
  <c r="G640" i="31" s="1"/>
  <c r="A640" i="31"/>
  <c r="F639" i="31"/>
  <c r="G639" i="31" s="1"/>
  <c r="A639" i="31"/>
  <c r="F572" i="31"/>
  <c r="A572" i="31"/>
  <c r="F571" i="31"/>
  <c r="A571" i="31"/>
  <c r="F570" i="31"/>
  <c r="G570" i="31" s="1"/>
  <c r="A570" i="31"/>
  <c r="F569" i="31"/>
  <c r="G569" i="31" s="1"/>
  <c r="A569" i="31"/>
  <c r="F568" i="31"/>
  <c r="A568" i="31"/>
  <c r="F567" i="31"/>
  <c r="G567" i="31" s="1"/>
  <c r="A567" i="31"/>
  <c r="F566" i="31"/>
  <c r="G566" i="31" s="1"/>
  <c r="A566" i="31"/>
  <c r="F565" i="31"/>
  <c r="A565" i="31"/>
  <c r="F564" i="31"/>
  <c r="A564" i="31"/>
  <c r="F563" i="31"/>
  <c r="A563" i="31"/>
  <c r="F562" i="31"/>
  <c r="A562" i="31"/>
  <c r="F561" i="31"/>
  <c r="G561" i="31" s="1"/>
  <c r="A561" i="31"/>
  <c r="F560" i="31"/>
  <c r="A560" i="31"/>
  <c r="F559" i="31"/>
  <c r="A559" i="31"/>
  <c r="F558" i="31"/>
  <c r="A558" i="31"/>
  <c r="F557" i="31"/>
  <c r="A557" i="31"/>
  <c r="F402" i="31"/>
  <c r="A402" i="31"/>
  <c r="F401" i="31"/>
  <c r="A401" i="31"/>
  <c r="F400" i="31"/>
  <c r="A400" i="31"/>
  <c r="F399" i="31"/>
  <c r="A399" i="31"/>
  <c r="J8" i="46" l="1"/>
  <c r="I385" i="31"/>
  <c r="D1213" i="10" l="1"/>
  <c r="I505" i="10"/>
  <c r="C806" i="22" l="1"/>
  <c r="F806" i="22" l="1"/>
  <c r="F781" i="22"/>
  <c r="F771" i="22"/>
  <c r="F768" i="22"/>
  <c r="F760" i="22"/>
  <c r="F230" i="16"/>
  <c r="F1258" i="4"/>
  <c r="K1258" i="4" s="1"/>
  <c r="F1257" i="4"/>
  <c r="K1257" i="4" s="1"/>
  <c r="N1291" i="4"/>
  <c r="M1291" i="4"/>
  <c r="F1291" i="4"/>
  <c r="G1291" i="4" s="1"/>
  <c r="C1281" i="22" s="1"/>
  <c r="G1281" i="22" s="1"/>
  <c r="F1301" i="4"/>
  <c r="G1301" i="4" s="1"/>
  <c r="N1308" i="4"/>
  <c r="M1308" i="4"/>
  <c r="F1308" i="4"/>
  <c r="G1308" i="4" s="1"/>
  <c r="C1298" i="22" s="1"/>
  <c r="G1298" i="22" s="1"/>
  <c r="N1307" i="4"/>
  <c r="M1307" i="4"/>
  <c r="F1307" i="4"/>
  <c r="G1307" i="4" s="1"/>
  <c r="C1297" i="22" s="1"/>
  <c r="G1297" i="22" s="1"/>
  <c r="N1517" i="4"/>
  <c r="M1517" i="4"/>
  <c r="F1517" i="4"/>
  <c r="K1517" i="4" s="1"/>
  <c r="N1758" i="4"/>
  <c r="M1758" i="4"/>
  <c r="F1758" i="4"/>
  <c r="K1758" i="4" s="1"/>
  <c r="N1757" i="4"/>
  <c r="M1757" i="4"/>
  <c r="F1757" i="4"/>
  <c r="K1757" i="4" s="1"/>
  <c r="N1760" i="4"/>
  <c r="M1760" i="4"/>
  <c r="F1760" i="4"/>
  <c r="K1760" i="4" s="1"/>
  <c r="N1759" i="4"/>
  <c r="M1759" i="4"/>
  <c r="F1759" i="4"/>
  <c r="K1759" i="4" s="1"/>
  <c r="N1756" i="4"/>
  <c r="M1756" i="4"/>
  <c r="F1756" i="4"/>
  <c r="K1756" i="4" s="1"/>
  <c r="N1755" i="4"/>
  <c r="M1755" i="4"/>
  <c r="F1755" i="4"/>
  <c r="K1755" i="4" s="1"/>
  <c r="N1754" i="4"/>
  <c r="M1754" i="4"/>
  <c r="F1754" i="4"/>
  <c r="K1754" i="4" s="1"/>
  <c r="N1753" i="4"/>
  <c r="M1753" i="4"/>
  <c r="F1753" i="4"/>
  <c r="K1753" i="4" s="1"/>
  <c r="S1298" i="22" l="1"/>
  <c r="AB1298" i="22" s="1"/>
  <c r="S1297" i="22"/>
  <c r="AA1297" i="22" s="1"/>
  <c r="S1281" i="22"/>
  <c r="AA1281" i="22" s="1"/>
  <c r="J1258" i="4"/>
  <c r="G1258" i="4"/>
  <c r="C1248" i="22" s="1"/>
  <c r="G1248" i="22" s="1"/>
  <c r="S1248" i="22" s="1"/>
  <c r="AA1248" i="22" s="1"/>
  <c r="H1258" i="4"/>
  <c r="K1307" i="4"/>
  <c r="G1257" i="4"/>
  <c r="C1247" i="22" s="1"/>
  <c r="G1247" i="22" s="1"/>
  <c r="S1247" i="22" s="1"/>
  <c r="AB1247" i="22" s="1"/>
  <c r="H1257" i="4"/>
  <c r="J1257" i="4"/>
  <c r="H1291" i="4"/>
  <c r="J1291" i="4"/>
  <c r="O1291" i="4" s="1"/>
  <c r="K1291" i="4"/>
  <c r="H1301" i="4"/>
  <c r="H1307" i="4"/>
  <c r="H1308" i="4"/>
  <c r="J1308" i="4"/>
  <c r="O1308" i="4" s="1"/>
  <c r="K1308" i="4"/>
  <c r="J1307" i="4"/>
  <c r="O1307" i="4" s="1"/>
  <c r="J1517" i="4"/>
  <c r="O1517" i="4" s="1"/>
  <c r="G1517" i="4"/>
  <c r="H1517" i="4"/>
  <c r="J1760" i="4"/>
  <c r="J1756" i="4"/>
  <c r="J1754" i="4"/>
  <c r="J1753" i="4"/>
  <c r="J1755" i="4"/>
  <c r="G1758" i="4"/>
  <c r="O1758" i="4" s="1"/>
  <c r="H1757" i="4"/>
  <c r="H1758" i="4"/>
  <c r="J1759" i="4"/>
  <c r="G1757" i="4"/>
  <c r="O1757" i="4" s="1"/>
  <c r="J1757" i="4"/>
  <c r="J1758" i="4"/>
  <c r="G1753" i="4"/>
  <c r="O1753" i="4" s="1"/>
  <c r="G1754" i="4"/>
  <c r="O1754" i="4" s="1"/>
  <c r="G1755" i="4"/>
  <c r="O1755" i="4" s="1"/>
  <c r="G1756" i="4"/>
  <c r="O1756" i="4" s="1"/>
  <c r="G1759" i="4"/>
  <c r="O1759" i="4" s="1"/>
  <c r="G1760" i="4"/>
  <c r="O1760" i="4" s="1"/>
  <c r="H1753" i="4"/>
  <c r="H1754" i="4"/>
  <c r="H1755" i="4"/>
  <c r="H1756" i="4"/>
  <c r="H1759" i="4"/>
  <c r="H1760" i="4"/>
  <c r="C1507" i="22" l="1"/>
  <c r="G1507" i="22" s="1"/>
  <c r="L1507" i="22" s="1"/>
  <c r="AB1507" i="22" s="1"/>
  <c r="D1198" i="10"/>
  <c r="AA1298" i="22"/>
  <c r="AB1297" i="22"/>
  <c r="AB1281" i="22"/>
  <c r="AA1247" i="22"/>
  <c r="AB1248" i="22"/>
  <c r="AA1507" i="22" l="1"/>
  <c r="N1639" i="4"/>
  <c r="M1639" i="4"/>
  <c r="F1639" i="4"/>
  <c r="K1639" i="4" s="1"/>
  <c r="F412" i="16"/>
  <c r="A412" i="16"/>
  <c r="N1638" i="4"/>
  <c r="M1638" i="4"/>
  <c r="F1638" i="4"/>
  <c r="K1638" i="4" s="1"/>
  <c r="N1640" i="4"/>
  <c r="M1640" i="4"/>
  <c r="F1640" i="4"/>
  <c r="K1640" i="4" s="1"/>
  <c r="N1637" i="4"/>
  <c r="M1637" i="4"/>
  <c r="F1637" i="4"/>
  <c r="K1637" i="4" s="1"/>
  <c r="N1636" i="4"/>
  <c r="M1636" i="4"/>
  <c r="F1636" i="4"/>
  <c r="K1636" i="4" s="1"/>
  <c r="N1635" i="4"/>
  <c r="M1635" i="4"/>
  <c r="F1635" i="4"/>
  <c r="K1635" i="4" s="1"/>
  <c r="N1634" i="4"/>
  <c r="M1634" i="4"/>
  <c r="F1634" i="4"/>
  <c r="K1634" i="4" s="1"/>
  <c r="N1633" i="4"/>
  <c r="M1633" i="4"/>
  <c r="F1633" i="4"/>
  <c r="K1633" i="4" s="1"/>
  <c r="S813" i="4"/>
  <c r="N813" i="4"/>
  <c r="O813" i="4" s="1"/>
  <c r="M813" i="4"/>
  <c r="F813" i="4"/>
  <c r="F788" i="4"/>
  <c r="H788" i="4" s="1"/>
  <c r="E306" i="10" s="1"/>
  <c r="F778" i="4"/>
  <c r="H778" i="4" s="1"/>
  <c r="F773" i="4"/>
  <c r="H773" i="4" s="1"/>
  <c r="F771" i="4"/>
  <c r="H771" i="4" s="1"/>
  <c r="F59" i="4"/>
  <c r="F51" i="4"/>
  <c r="F50" i="4"/>
  <c r="H50" i="4" l="1"/>
  <c r="J50" i="4"/>
  <c r="F50" i="22" s="1"/>
  <c r="H51" i="4"/>
  <c r="J51" i="4"/>
  <c r="F51" i="22" s="1"/>
  <c r="G59" i="4"/>
  <c r="J59" i="4"/>
  <c r="F59" i="22" s="1"/>
  <c r="G1639" i="4"/>
  <c r="O1639" i="4" s="1"/>
  <c r="H1639" i="4"/>
  <c r="J1639" i="4"/>
  <c r="H1634" i="4"/>
  <c r="H1640" i="4"/>
  <c r="I412" i="16" s="1"/>
  <c r="J412" i="16" s="1"/>
  <c r="H1636" i="4"/>
  <c r="H1633" i="4"/>
  <c r="H1638" i="4"/>
  <c r="J1638" i="4"/>
  <c r="H1635" i="4"/>
  <c r="H1637" i="4"/>
  <c r="G1638" i="4"/>
  <c r="O1638" i="4" s="1"/>
  <c r="G1633" i="4"/>
  <c r="O1633" i="4" s="1"/>
  <c r="G1634" i="4"/>
  <c r="O1634" i="4" s="1"/>
  <c r="G1635" i="4"/>
  <c r="O1635" i="4" s="1"/>
  <c r="G1636" i="4"/>
  <c r="O1636" i="4" s="1"/>
  <c r="G1637" i="4"/>
  <c r="O1637" i="4" s="1"/>
  <c r="G1640" i="4"/>
  <c r="J1633" i="4"/>
  <c r="J1634" i="4"/>
  <c r="J1635" i="4"/>
  <c r="J1636" i="4"/>
  <c r="J1637" i="4"/>
  <c r="J1640" i="4"/>
  <c r="G788" i="4"/>
  <c r="C781" i="22" s="1"/>
  <c r="G781" i="22" s="1"/>
  <c r="G778" i="4"/>
  <c r="C771" i="22" s="1"/>
  <c r="G771" i="22" s="1"/>
  <c r="G773" i="4"/>
  <c r="G771" i="4"/>
  <c r="H59" i="4"/>
  <c r="G50" i="4"/>
  <c r="C50" i="22" s="1"/>
  <c r="G51" i="4"/>
  <c r="C51" i="22" s="1"/>
  <c r="C59" i="22" l="1"/>
  <c r="G59" i="22" s="1"/>
  <c r="AA59" i="22" s="1"/>
  <c r="D363" i="10"/>
  <c r="G50" i="22"/>
  <c r="AA50" i="22" s="1"/>
  <c r="G51" i="22"/>
  <c r="AA51" i="22" s="1"/>
  <c r="S771" i="22"/>
  <c r="AA771" i="22" s="1"/>
  <c r="S781" i="22"/>
  <c r="AB781" i="22" s="1"/>
  <c r="O1640" i="4"/>
  <c r="H412" i="16"/>
  <c r="AB771" i="22" l="1"/>
  <c r="AA781" i="22"/>
  <c r="F782" i="10"/>
  <c r="G782" i="10"/>
  <c r="F783" i="10"/>
  <c r="G783" i="10"/>
  <c r="F784" i="10"/>
  <c r="G784" i="10"/>
  <c r="F785" i="10"/>
  <c r="G785" i="10"/>
  <c r="F786" i="10"/>
  <c r="G786" i="10"/>
  <c r="F787" i="10"/>
  <c r="G787" i="10"/>
  <c r="F788" i="10"/>
  <c r="G788" i="10"/>
  <c r="F789" i="10"/>
  <c r="G789" i="10"/>
  <c r="F790" i="10"/>
  <c r="G790" i="10"/>
  <c r="F791" i="10"/>
  <c r="G791" i="10"/>
  <c r="F792" i="10"/>
  <c r="G792" i="10"/>
  <c r="F793" i="10"/>
  <c r="G793" i="10"/>
  <c r="F794" i="10"/>
  <c r="G794" i="10"/>
  <c r="G781" i="10"/>
  <c r="F781" i="10"/>
  <c r="G707" i="10"/>
  <c r="G708" i="10"/>
  <c r="G709" i="10"/>
  <c r="G710" i="10"/>
  <c r="G711" i="10"/>
  <c r="G712" i="10"/>
  <c r="G713" i="10"/>
  <c r="G714" i="10"/>
  <c r="G715" i="10"/>
  <c r="G716" i="10"/>
  <c r="G717" i="10"/>
  <c r="G718" i="10"/>
  <c r="G719" i="10"/>
  <c r="G720" i="10"/>
  <c r="G721" i="10"/>
  <c r="G722" i="10"/>
  <c r="G723" i="10"/>
  <c r="G724" i="10"/>
  <c r="G725" i="10"/>
  <c r="G726" i="10"/>
  <c r="G727" i="10"/>
  <c r="G728" i="10"/>
  <c r="G729" i="10"/>
  <c r="G730" i="10"/>
  <c r="G731" i="10"/>
  <c r="G732" i="10"/>
  <c r="G733" i="10"/>
  <c r="G734" i="10"/>
  <c r="G735" i="10"/>
  <c r="G736" i="10"/>
  <c r="G737" i="10"/>
  <c r="G738" i="10"/>
  <c r="G739" i="10"/>
  <c r="G740" i="10"/>
  <c r="G741" i="10"/>
  <c r="G742" i="10"/>
  <c r="G743" i="10"/>
  <c r="G744" i="10"/>
  <c r="G745" i="10"/>
  <c r="G746" i="10"/>
  <c r="G747" i="10"/>
  <c r="G748" i="10"/>
  <c r="G749" i="10"/>
  <c r="G750" i="10"/>
  <c r="G751" i="10"/>
  <c r="G752" i="10"/>
  <c r="G753" i="10"/>
  <c r="G754" i="10"/>
  <c r="G755" i="10"/>
  <c r="G756" i="10"/>
  <c r="G757" i="10"/>
  <c r="G758" i="10"/>
  <c r="G759" i="10"/>
  <c r="G760" i="10"/>
  <c r="G761" i="10"/>
  <c r="G762" i="10"/>
  <c r="G763" i="10"/>
  <c r="G764" i="10"/>
  <c r="G765" i="10"/>
  <c r="G766" i="10"/>
  <c r="G767" i="10"/>
  <c r="G768" i="10"/>
  <c r="G769" i="10"/>
  <c r="G770" i="10"/>
  <c r="G771" i="10"/>
  <c r="G772" i="10"/>
  <c r="G773" i="10"/>
  <c r="G774" i="10"/>
  <c r="G775" i="10"/>
  <c r="G776" i="10"/>
  <c r="G777" i="10"/>
  <c r="G778" i="10"/>
  <c r="G779" i="10"/>
  <c r="G780" i="10"/>
  <c r="G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06" i="10"/>
  <c r="G616" i="10" l="1"/>
  <c r="G617" i="10"/>
  <c r="G618" i="10"/>
  <c r="G619" i="10"/>
  <c r="G620" i="10"/>
  <c r="G621" i="10"/>
  <c r="G622" i="10"/>
  <c r="G623" i="10"/>
  <c r="G624" i="10"/>
  <c r="G625" i="10"/>
  <c r="G626" i="10"/>
  <c r="G627" i="10"/>
  <c r="G628" i="10"/>
  <c r="G629" i="10"/>
  <c r="G630" i="10"/>
  <c r="G631" i="10"/>
  <c r="G632" i="10"/>
  <c r="G633" i="10"/>
  <c r="G634" i="10"/>
  <c r="G635" i="10"/>
  <c r="G636" i="10"/>
  <c r="G637" i="10"/>
  <c r="G638" i="10"/>
  <c r="G639" i="10"/>
  <c r="G640" i="10"/>
  <c r="G641" i="10"/>
  <c r="G642" i="10"/>
  <c r="G643" i="10"/>
  <c r="G644" i="10"/>
  <c r="G645" i="10"/>
  <c r="G646" i="10"/>
  <c r="G647" i="10"/>
  <c r="G648" i="10"/>
  <c r="G649" i="10"/>
  <c r="G650" i="10"/>
  <c r="G651" i="10"/>
  <c r="G652" i="10"/>
  <c r="G653" i="10"/>
  <c r="G654" i="10"/>
  <c r="G655" i="10"/>
  <c r="G656" i="10"/>
  <c r="G657" i="10"/>
  <c r="G658" i="10"/>
  <c r="G659" i="10"/>
  <c r="G660" i="10"/>
  <c r="G661" i="10"/>
  <c r="G662" i="10"/>
  <c r="G663" i="10"/>
  <c r="G664" i="10"/>
  <c r="G665" i="10"/>
  <c r="G666" i="10"/>
  <c r="G667" i="10"/>
  <c r="G668" i="10"/>
  <c r="G669" i="10"/>
  <c r="G670" i="10"/>
  <c r="G671" i="10"/>
  <c r="G672" i="10"/>
  <c r="G673" i="10"/>
  <c r="G674" i="10"/>
  <c r="G675" i="10"/>
  <c r="G676" i="10"/>
  <c r="G677" i="10"/>
  <c r="G678" i="10"/>
  <c r="G679" i="10"/>
  <c r="G680" i="10"/>
  <c r="G681" i="10"/>
  <c r="G682" i="10"/>
  <c r="G683" i="10"/>
  <c r="G684" i="10"/>
  <c r="G685" i="10"/>
  <c r="G686" i="10"/>
  <c r="G687" i="10"/>
  <c r="G688" i="10"/>
  <c r="G689" i="10"/>
  <c r="G690" i="10"/>
  <c r="G691" i="10"/>
  <c r="G692" i="10"/>
  <c r="G693" i="10"/>
  <c r="G694" i="10"/>
  <c r="G695" i="10"/>
  <c r="G696" i="10"/>
  <c r="G697" i="10"/>
  <c r="G698" i="10"/>
  <c r="G699" i="10"/>
  <c r="G700" i="10"/>
  <c r="G701" i="10"/>
  <c r="G702" i="10"/>
  <c r="G703" i="10"/>
  <c r="G704" i="10"/>
  <c r="G70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H4" i="47" l="1"/>
  <c r="J4" i="47" s="1"/>
  <c r="H74" i="47" l="1"/>
  <c r="J74" i="47" s="1"/>
  <c r="L74" i="47" s="1"/>
  <c r="D683" i="10" s="1"/>
  <c r="H65" i="47" l="1"/>
  <c r="H174" i="47"/>
  <c r="J174" i="47" s="1"/>
  <c r="L174" i="47" s="1"/>
  <c r="D792" i="10" s="1"/>
  <c r="H66" i="47" l="1"/>
  <c r="H3" i="47"/>
  <c r="M589" i="10" l="1"/>
  <c r="L589" i="10"/>
  <c r="K589" i="10"/>
  <c r="M480" i="10"/>
  <c r="L480" i="10"/>
  <c r="K480" i="10"/>
  <c r="M479" i="10"/>
  <c r="L479" i="10"/>
  <c r="K479" i="10"/>
  <c r="L478" i="10"/>
  <c r="K478" i="10" l="1"/>
  <c r="M478" i="10"/>
  <c r="M401" i="10" l="1"/>
  <c r="L401" i="10"/>
  <c r="K401" i="10"/>
  <c r="L477" i="10"/>
  <c r="M477" i="10"/>
  <c r="K477" i="10"/>
  <c r="K504" i="10" l="1"/>
  <c r="L504" i="10"/>
  <c r="M504" i="10"/>
  <c r="M503" i="10"/>
  <c r="L503" i="10"/>
  <c r="K503" i="10"/>
  <c r="M502" i="10"/>
  <c r="L502" i="10"/>
  <c r="K490" i="10"/>
  <c r="L490" i="10"/>
  <c r="M490" i="10"/>
  <c r="M489" i="10"/>
  <c r="L489" i="10"/>
  <c r="K489" i="10"/>
  <c r="K582" i="10"/>
  <c r="L582" i="10"/>
  <c r="M582" i="10"/>
  <c r="K583" i="10"/>
  <c r="L583" i="10"/>
  <c r="M583" i="10"/>
  <c r="K584" i="10"/>
  <c r="L584" i="10"/>
  <c r="M584" i="10"/>
  <c r="K585" i="10"/>
  <c r="L585" i="10"/>
  <c r="M585" i="10"/>
  <c r="K586" i="10"/>
  <c r="L586" i="10"/>
  <c r="M586" i="10"/>
  <c r="K518" i="10"/>
  <c r="L518" i="10"/>
  <c r="M518" i="10"/>
  <c r="K519" i="10"/>
  <c r="L519" i="10"/>
  <c r="M519" i="10"/>
  <c r="K520" i="10"/>
  <c r="L520" i="10"/>
  <c r="M520" i="10"/>
  <c r="K521" i="10"/>
  <c r="L521" i="10"/>
  <c r="M521" i="10"/>
  <c r="K522" i="10"/>
  <c r="L522" i="10"/>
  <c r="M522" i="10"/>
  <c r="K523" i="10"/>
  <c r="L523" i="10"/>
  <c r="M523" i="10"/>
  <c r="K524" i="10"/>
  <c r="L524" i="10"/>
  <c r="M524" i="10"/>
  <c r="K525" i="10"/>
  <c r="L525" i="10"/>
  <c r="M525" i="10"/>
  <c r="K526" i="10"/>
  <c r="L526" i="10"/>
  <c r="M526" i="10"/>
  <c r="K527" i="10"/>
  <c r="L527" i="10"/>
  <c r="M527" i="10"/>
  <c r="K528" i="10"/>
  <c r="L528" i="10"/>
  <c r="M528" i="10"/>
  <c r="K529" i="10"/>
  <c r="L529" i="10"/>
  <c r="M529" i="10"/>
  <c r="K530" i="10"/>
  <c r="L530" i="10"/>
  <c r="M530" i="10"/>
  <c r="K531" i="10"/>
  <c r="L531" i="10"/>
  <c r="M531" i="10"/>
  <c r="K532" i="10"/>
  <c r="L532" i="10"/>
  <c r="M532" i="10"/>
  <c r="K533" i="10"/>
  <c r="L533" i="10"/>
  <c r="M533" i="10"/>
  <c r="K534" i="10"/>
  <c r="L534" i="10"/>
  <c r="M534" i="10"/>
  <c r="K535" i="10"/>
  <c r="L535" i="10"/>
  <c r="M535" i="10"/>
  <c r="K536" i="10"/>
  <c r="L536" i="10"/>
  <c r="M536" i="10"/>
  <c r="K537" i="10"/>
  <c r="L537" i="10"/>
  <c r="M537" i="10"/>
  <c r="K538" i="10"/>
  <c r="L538" i="10"/>
  <c r="M538" i="10"/>
  <c r="K539" i="10"/>
  <c r="L539" i="10"/>
  <c r="M539" i="10"/>
  <c r="K540" i="10"/>
  <c r="L540" i="10"/>
  <c r="M540" i="10"/>
  <c r="K541" i="10"/>
  <c r="L541" i="10"/>
  <c r="M541" i="10"/>
  <c r="K542" i="10"/>
  <c r="L542" i="10"/>
  <c r="M542" i="10"/>
  <c r="K543" i="10"/>
  <c r="L543" i="10"/>
  <c r="M543" i="10"/>
  <c r="K544" i="10"/>
  <c r="L544" i="10"/>
  <c r="M544" i="10"/>
  <c r="K545" i="10"/>
  <c r="L545" i="10"/>
  <c r="M545" i="10"/>
  <c r="K546" i="10"/>
  <c r="L546" i="10"/>
  <c r="M546" i="10"/>
  <c r="K547" i="10"/>
  <c r="L547" i="10"/>
  <c r="M547" i="10"/>
  <c r="K548" i="10"/>
  <c r="L548" i="10"/>
  <c r="M548" i="10"/>
  <c r="K549" i="10"/>
  <c r="L549" i="10"/>
  <c r="M549" i="10"/>
  <c r="K550" i="10"/>
  <c r="L550" i="10"/>
  <c r="M550" i="10"/>
  <c r="K551" i="10"/>
  <c r="L551" i="10"/>
  <c r="M551" i="10"/>
  <c r="K552" i="10"/>
  <c r="L552" i="10"/>
  <c r="M552" i="10"/>
  <c r="K553" i="10"/>
  <c r="L553" i="10"/>
  <c r="M553" i="10"/>
  <c r="K554" i="10"/>
  <c r="L554" i="10"/>
  <c r="M554" i="10"/>
  <c r="K555" i="10"/>
  <c r="L555" i="10"/>
  <c r="M555" i="10"/>
  <c r="K556" i="10"/>
  <c r="L556" i="10"/>
  <c r="M556" i="10"/>
  <c r="K557" i="10"/>
  <c r="L557" i="10"/>
  <c r="M557" i="10"/>
  <c r="K558" i="10"/>
  <c r="L558" i="10"/>
  <c r="M558" i="10"/>
  <c r="K559" i="10"/>
  <c r="L559" i="10"/>
  <c r="M559" i="10"/>
  <c r="K560" i="10"/>
  <c r="L560" i="10"/>
  <c r="M560" i="10"/>
  <c r="K561" i="10"/>
  <c r="L561" i="10"/>
  <c r="M561" i="10"/>
  <c r="K562" i="10"/>
  <c r="L562" i="10"/>
  <c r="M562" i="10"/>
  <c r="K563" i="10"/>
  <c r="L563" i="10"/>
  <c r="M563" i="10"/>
  <c r="K564" i="10"/>
  <c r="L564" i="10"/>
  <c r="M564" i="10"/>
  <c r="K565" i="10"/>
  <c r="L565" i="10"/>
  <c r="M565" i="10"/>
  <c r="K566" i="10"/>
  <c r="L566" i="10"/>
  <c r="M566" i="10"/>
  <c r="K567" i="10"/>
  <c r="L567" i="10"/>
  <c r="M567" i="10"/>
  <c r="K568" i="10"/>
  <c r="L568" i="10"/>
  <c r="M568" i="10"/>
  <c r="K482" i="10"/>
  <c r="L482" i="10"/>
  <c r="M482" i="10"/>
  <c r="K483" i="10"/>
  <c r="L483" i="10"/>
  <c r="M483" i="10"/>
  <c r="K484" i="10"/>
  <c r="L484" i="10"/>
  <c r="M484" i="10"/>
  <c r="K580" i="10"/>
  <c r="L580" i="10"/>
  <c r="M580" i="10"/>
  <c r="K581" i="10"/>
  <c r="L581" i="10"/>
  <c r="M581" i="10"/>
  <c r="K488" i="10"/>
  <c r="L488" i="10"/>
  <c r="M488" i="10"/>
  <c r="M465" i="10"/>
  <c r="L465" i="10"/>
  <c r="K465" i="10"/>
  <c r="K587" i="10"/>
  <c r="L587" i="10"/>
  <c r="M587" i="10"/>
  <c r="K588" i="10"/>
  <c r="L588" i="10"/>
  <c r="M588" i="10"/>
  <c r="K485" i="10"/>
  <c r="L485" i="10"/>
  <c r="M485" i="10"/>
  <c r="K486" i="10"/>
  <c r="L486" i="10"/>
  <c r="M486" i="10"/>
  <c r="K487" i="10"/>
  <c r="L487" i="10"/>
  <c r="M487" i="10"/>
  <c r="K466" i="10"/>
  <c r="L466" i="10"/>
  <c r="M466" i="10"/>
  <c r="K467" i="10"/>
  <c r="L467" i="10"/>
  <c r="M467" i="10"/>
  <c r="K468" i="10"/>
  <c r="L468" i="10"/>
  <c r="M468" i="10"/>
  <c r="K469" i="10"/>
  <c r="L469" i="10"/>
  <c r="M469" i="10"/>
  <c r="K470" i="10"/>
  <c r="L470" i="10"/>
  <c r="M470" i="10"/>
  <c r="K471" i="10"/>
  <c r="L471" i="10"/>
  <c r="M471" i="10"/>
  <c r="K472" i="10"/>
  <c r="L472" i="10"/>
  <c r="M472" i="10"/>
  <c r="K473" i="10"/>
  <c r="L473" i="10"/>
  <c r="M473" i="10"/>
  <c r="K474" i="10"/>
  <c r="L474" i="10"/>
  <c r="M474" i="10"/>
  <c r="K458" i="10"/>
  <c r="L458" i="10"/>
  <c r="M458" i="10"/>
  <c r="K459" i="10"/>
  <c r="L459" i="10"/>
  <c r="M459" i="10"/>
  <c r="F287" i="31"/>
  <c r="A287" i="31"/>
  <c r="F286" i="31"/>
  <c r="A286" i="31"/>
  <c r="F285" i="31"/>
  <c r="A285" i="31"/>
  <c r="F284" i="31"/>
  <c r="A284" i="31"/>
  <c r="F283" i="31"/>
  <c r="G283" i="31" s="1"/>
  <c r="A283" i="31"/>
  <c r="F218" i="31"/>
  <c r="G218" i="31" s="1"/>
  <c r="A218" i="31"/>
  <c r="F217" i="31"/>
  <c r="A217" i="31"/>
  <c r="F216" i="31"/>
  <c r="G216" i="31" s="1"/>
  <c r="A216" i="31"/>
  <c r="F215" i="31"/>
  <c r="A215" i="31"/>
  <c r="F214" i="31"/>
  <c r="A214" i="31"/>
  <c r="F213" i="31"/>
  <c r="A213" i="31"/>
  <c r="F212" i="31"/>
  <c r="A212" i="31"/>
  <c r="F211" i="31"/>
  <c r="A211" i="31"/>
  <c r="F210" i="31"/>
  <c r="A210" i="31"/>
  <c r="F209" i="31"/>
  <c r="A209" i="31"/>
  <c r="F208" i="31"/>
  <c r="A208" i="31"/>
  <c r="F202" i="31"/>
  <c r="G202" i="31" s="1"/>
  <c r="A202" i="31"/>
  <c r="F201" i="31"/>
  <c r="A201" i="31"/>
  <c r="F200" i="31"/>
  <c r="G200" i="31" s="1"/>
  <c r="A200" i="31"/>
  <c r="F199" i="31"/>
  <c r="A199" i="31"/>
  <c r="F198" i="31"/>
  <c r="A198" i="31"/>
  <c r="F197" i="31"/>
  <c r="A197" i="31"/>
  <c r="F196" i="31"/>
  <c r="A196" i="31"/>
  <c r="F195" i="31"/>
  <c r="A195" i="31"/>
  <c r="F194" i="31"/>
  <c r="A194" i="31"/>
  <c r="F193" i="31"/>
  <c r="A193" i="31"/>
  <c r="F192" i="31"/>
  <c r="A192" i="31"/>
  <c r="F191" i="31"/>
  <c r="G191" i="31" s="1"/>
  <c r="A191" i="31"/>
  <c r="F190" i="31"/>
  <c r="A190" i="31"/>
  <c r="F189" i="31"/>
  <c r="A189" i="31"/>
  <c r="F188" i="31"/>
  <c r="A188" i="31"/>
  <c r="F187" i="31"/>
  <c r="A187" i="31"/>
  <c r="F219" i="31"/>
  <c r="A219" i="31"/>
  <c r="F207" i="31"/>
  <c r="G207" i="31" s="1"/>
  <c r="A207" i="31"/>
  <c r="F206" i="31"/>
  <c r="A206" i="31"/>
  <c r="F205" i="31"/>
  <c r="A205" i="31"/>
  <c r="F204" i="31"/>
  <c r="A204" i="31"/>
  <c r="F203" i="31"/>
  <c r="A203" i="31"/>
  <c r="F186" i="31"/>
  <c r="A186" i="31"/>
  <c r="F185" i="31"/>
  <c r="A185" i="31"/>
  <c r="F184" i="31"/>
  <c r="A184" i="31"/>
  <c r="K577" i="10"/>
  <c r="L577" i="10"/>
  <c r="M577" i="10"/>
  <c r="K578" i="10"/>
  <c r="L578" i="10"/>
  <c r="M578" i="10"/>
  <c r="K579" i="10"/>
  <c r="L579" i="10"/>
  <c r="M579" i="10"/>
  <c r="M457" i="10"/>
  <c r="L457" i="10"/>
  <c r="K457" i="10"/>
  <c r="L463" i="10"/>
  <c r="M463" i="10"/>
  <c r="L464" i="10"/>
  <c r="M464" i="10"/>
  <c r="K463" i="10"/>
  <c r="K464" i="10"/>
  <c r="P5" i="38" l="1"/>
  <c r="K460" i="10"/>
  <c r="L460" i="10"/>
  <c r="M460" i="10"/>
  <c r="K461" i="10"/>
  <c r="L461" i="10"/>
  <c r="M461" i="10"/>
  <c r="K462" i="10"/>
  <c r="L462" i="10"/>
  <c r="M462" i="10"/>
  <c r="K451" i="10"/>
  <c r="L451" i="10"/>
  <c r="M451" i="10"/>
  <c r="K452" i="10"/>
  <c r="L452" i="10"/>
  <c r="M452" i="10"/>
  <c r="K453" i="10"/>
  <c r="L453" i="10"/>
  <c r="M453" i="10"/>
  <c r="K454" i="10"/>
  <c r="L454" i="10"/>
  <c r="M454" i="10"/>
  <c r="K455" i="10"/>
  <c r="L455" i="10"/>
  <c r="M455" i="10"/>
  <c r="K456" i="10"/>
  <c r="L456" i="10"/>
  <c r="M456" i="10"/>
  <c r="K446" i="10"/>
  <c r="L446" i="10"/>
  <c r="M446" i="10"/>
  <c r="K447" i="10"/>
  <c r="L447" i="10"/>
  <c r="M447" i="10"/>
  <c r="K448" i="10"/>
  <c r="L448" i="10"/>
  <c r="M448" i="10"/>
  <c r="K449" i="10"/>
  <c r="L449" i="10"/>
  <c r="M449" i="10"/>
  <c r="K450" i="10"/>
  <c r="L450" i="10"/>
  <c r="M450" i="10"/>
  <c r="M445" i="10"/>
  <c r="L445" i="10"/>
  <c r="K445" i="10"/>
  <c r="M429" i="10"/>
  <c r="L429" i="10"/>
  <c r="K420" i="10"/>
  <c r="L420" i="10"/>
  <c r="M420" i="10"/>
  <c r="K421" i="10"/>
  <c r="L421" i="10"/>
  <c r="M421" i="10"/>
  <c r="K422" i="10"/>
  <c r="L422" i="10"/>
  <c r="M422" i="10"/>
  <c r="K423" i="10"/>
  <c r="L423" i="10"/>
  <c r="M423" i="10"/>
  <c r="K424" i="10"/>
  <c r="L424" i="10"/>
  <c r="M424" i="10"/>
  <c r="K425" i="10"/>
  <c r="L425" i="10"/>
  <c r="M425" i="10"/>
  <c r="K426" i="10"/>
  <c r="L426" i="10"/>
  <c r="M426" i="10"/>
  <c r="K427" i="10"/>
  <c r="L427" i="10"/>
  <c r="M427" i="10"/>
  <c r="K428" i="10"/>
  <c r="L428" i="10"/>
  <c r="M428" i="10"/>
  <c r="J229" i="38"/>
  <c r="J228" i="38"/>
  <c r="J227" i="38"/>
  <c r="J226" i="38"/>
  <c r="J225" i="38"/>
  <c r="J224" i="38"/>
  <c r="J223" i="38"/>
  <c r="J222" i="38"/>
  <c r="J221" i="38"/>
  <c r="J220" i="38"/>
  <c r="J219" i="38"/>
  <c r="J218" i="38"/>
  <c r="J217" i="38"/>
  <c r="J216" i="38"/>
  <c r="J215" i="38"/>
  <c r="K411" i="10" l="1"/>
  <c r="L411" i="10"/>
  <c r="M411" i="10"/>
  <c r="K412" i="10"/>
  <c r="L412" i="10"/>
  <c r="M412" i="10"/>
  <c r="K413" i="10"/>
  <c r="L413" i="10"/>
  <c r="M413" i="10"/>
  <c r="K414" i="10"/>
  <c r="L414" i="10"/>
  <c r="M414" i="10"/>
  <c r="K415" i="10"/>
  <c r="L415" i="10"/>
  <c r="M415" i="10"/>
  <c r="K416" i="10"/>
  <c r="L416" i="10"/>
  <c r="M416" i="10"/>
  <c r="K417" i="10"/>
  <c r="L417" i="10"/>
  <c r="M417" i="10"/>
  <c r="K418" i="10"/>
  <c r="L418" i="10"/>
  <c r="M418" i="10"/>
  <c r="K419" i="10"/>
  <c r="L419" i="10"/>
  <c r="M419" i="10"/>
  <c r="K410" i="10"/>
  <c r="L410" i="10"/>
  <c r="M410" i="10"/>
  <c r="K481" i="10"/>
  <c r="L481" i="10"/>
  <c r="M481" i="10"/>
  <c r="K404" i="10"/>
  <c r="L404" i="10"/>
  <c r="M404" i="10"/>
  <c r="K405" i="10"/>
  <c r="L405" i="10"/>
  <c r="M405" i="10"/>
  <c r="K406" i="10"/>
  <c r="L406" i="10"/>
  <c r="M406" i="10"/>
  <c r="K407" i="10"/>
  <c r="L407" i="10"/>
  <c r="M407" i="10"/>
  <c r="K408" i="10"/>
  <c r="L408" i="10"/>
  <c r="M408" i="10"/>
  <c r="K409" i="10"/>
  <c r="L409" i="10"/>
  <c r="M409" i="10"/>
  <c r="K575" i="10"/>
  <c r="L575" i="10"/>
  <c r="M575" i="10"/>
  <c r="K576" i="10"/>
  <c r="L576" i="10"/>
  <c r="M576" i="10"/>
  <c r="K402" i="10"/>
  <c r="L402" i="10"/>
  <c r="M402" i="10"/>
  <c r="K403" i="10"/>
  <c r="L403" i="10"/>
  <c r="M403" i="10"/>
  <c r="M574" i="10" l="1"/>
  <c r="L574" i="10"/>
  <c r="K574" i="10"/>
  <c r="M573" i="10"/>
  <c r="L573" i="10"/>
  <c r="K573" i="10"/>
  <c r="M572" i="10"/>
  <c r="L572" i="10"/>
  <c r="K572" i="10"/>
  <c r="M571" i="10"/>
  <c r="L571" i="10"/>
  <c r="K571" i="10"/>
  <c r="M570" i="10"/>
  <c r="L570" i="10"/>
  <c r="K570" i="10"/>
  <c r="M569" i="10"/>
  <c r="L569" i="10"/>
  <c r="K569" i="10"/>
  <c r="M476" i="10"/>
  <c r="L476" i="10"/>
  <c r="K476" i="10"/>
  <c r="M475" i="10"/>
  <c r="L475" i="10"/>
  <c r="K475" i="10"/>
  <c r="M397" i="10"/>
  <c r="L397" i="10"/>
  <c r="K397" i="10"/>
  <c r="I400" i="10"/>
  <c r="F12" i="36" s="1"/>
  <c r="I589" i="10" l="1"/>
  <c r="I588" i="10"/>
  <c r="I587" i="10"/>
  <c r="I586" i="10"/>
  <c r="I585" i="10"/>
  <c r="I584" i="10"/>
  <c r="I583" i="10"/>
  <c r="I582" i="10"/>
  <c r="I581" i="10"/>
  <c r="I580" i="10"/>
  <c r="I579" i="10"/>
  <c r="I578" i="10"/>
  <c r="I577" i="10"/>
  <c r="I576" i="10"/>
  <c r="I575" i="10"/>
  <c r="I574" i="10"/>
  <c r="I573" i="10"/>
  <c r="I572" i="10"/>
  <c r="I571" i="10"/>
  <c r="I570" i="10"/>
  <c r="I569" i="10"/>
  <c r="I568" i="10"/>
  <c r="I567" i="10"/>
  <c r="I566" i="10"/>
  <c r="I565" i="10"/>
  <c r="I564" i="10"/>
  <c r="I563" i="10"/>
  <c r="I562" i="10"/>
  <c r="I561" i="10"/>
  <c r="I560" i="10"/>
  <c r="I559" i="10"/>
  <c r="I558" i="10"/>
  <c r="I557" i="10"/>
  <c r="I556" i="10"/>
  <c r="I555" i="10"/>
  <c r="I554" i="10"/>
  <c r="I553" i="10"/>
  <c r="I552" i="10"/>
  <c r="I551" i="10"/>
  <c r="I550" i="10"/>
  <c r="I549" i="10"/>
  <c r="I548" i="10"/>
  <c r="I547" i="10"/>
  <c r="I546" i="10"/>
  <c r="I545" i="10"/>
  <c r="I544" i="10"/>
  <c r="I543" i="10"/>
  <c r="I542" i="10"/>
  <c r="I541" i="10"/>
  <c r="I540" i="10"/>
  <c r="I539" i="10"/>
  <c r="I538" i="10"/>
  <c r="I537" i="10"/>
  <c r="I536" i="10"/>
  <c r="I535" i="10"/>
  <c r="I534" i="10"/>
  <c r="I533" i="10"/>
  <c r="I532" i="10"/>
  <c r="I531" i="10"/>
  <c r="I530" i="10"/>
  <c r="I529" i="10"/>
  <c r="I528" i="10"/>
  <c r="I527" i="10"/>
  <c r="I526" i="10"/>
  <c r="I525" i="10"/>
  <c r="I524" i="10"/>
  <c r="I523" i="10"/>
  <c r="I522" i="10"/>
  <c r="I521" i="10"/>
  <c r="I520" i="10"/>
  <c r="I519" i="10"/>
  <c r="I518" i="10"/>
  <c r="I517" i="10"/>
  <c r="I516" i="10"/>
  <c r="F37" i="36" s="1"/>
  <c r="I515" i="10"/>
  <c r="P100" i="35"/>
  <c r="O100" i="35"/>
  <c r="Q100" i="35" s="1"/>
  <c r="P96" i="35"/>
  <c r="O96" i="35"/>
  <c r="Q96" i="35" s="1"/>
  <c r="P92" i="35"/>
  <c r="O92" i="35"/>
  <c r="Q92" i="35" s="1"/>
  <c r="P88" i="35"/>
  <c r="O88" i="35"/>
  <c r="Q88" i="35" s="1"/>
  <c r="P87" i="35"/>
  <c r="O87" i="35"/>
  <c r="Q87" i="35" s="1"/>
  <c r="P86" i="35"/>
  <c r="O86" i="35"/>
  <c r="Q86" i="35" s="1"/>
  <c r="P85" i="35"/>
  <c r="O85" i="35"/>
  <c r="Q85" i="35" s="1"/>
  <c r="P84" i="35"/>
  <c r="O84" i="35"/>
  <c r="Q84" i="35" s="1"/>
  <c r="Q83" i="35"/>
  <c r="P83" i="35"/>
  <c r="O83" i="35"/>
  <c r="P82" i="35"/>
  <c r="O82" i="35"/>
  <c r="Q82" i="35" s="1"/>
  <c r="P81" i="35"/>
  <c r="O81" i="35"/>
  <c r="Q81" i="35" s="1"/>
  <c r="P80" i="35"/>
  <c r="O80" i="35"/>
  <c r="Q80" i="35" s="1"/>
  <c r="P79" i="35"/>
  <c r="O79" i="35"/>
  <c r="Q79" i="35" s="1"/>
  <c r="P78" i="35"/>
  <c r="O78" i="35"/>
  <c r="Q78" i="35" s="1"/>
  <c r="P77" i="35"/>
  <c r="O77" i="35"/>
  <c r="Q77" i="35" s="1"/>
  <c r="P76" i="35"/>
  <c r="O76" i="35"/>
  <c r="Q76" i="35" s="1"/>
  <c r="Q75" i="35"/>
  <c r="P75" i="35"/>
  <c r="O75" i="35"/>
  <c r="P74" i="35"/>
  <c r="O74" i="35"/>
  <c r="Q74" i="35" s="1"/>
  <c r="P73" i="35"/>
  <c r="O73" i="35"/>
  <c r="Q73" i="35" s="1"/>
  <c r="P72" i="35"/>
  <c r="O72" i="35"/>
  <c r="Q72" i="35" s="1"/>
  <c r="P71" i="35"/>
  <c r="O71" i="35"/>
  <c r="Q71" i="35" s="1"/>
  <c r="P70" i="35"/>
  <c r="O70" i="35"/>
  <c r="Q70" i="35" s="1"/>
  <c r="P69" i="35"/>
  <c r="O69" i="35"/>
  <c r="Q69" i="35" s="1"/>
  <c r="P68" i="35"/>
  <c r="O68" i="35"/>
  <c r="Q68" i="35" s="1"/>
  <c r="Q67" i="35"/>
  <c r="P67" i="35"/>
  <c r="O67" i="35"/>
  <c r="P66" i="35"/>
  <c r="O66" i="35"/>
  <c r="Q66" i="35" s="1"/>
  <c r="P65" i="35"/>
  <c r="O65" i="35"/>
  <c r="Q65" i="35" s="1"/>
  <c r="P64" i="35"/>
  <c r="O64" i="35"/>
  <c r="Q64" i="35" s="1"/>
  <c r="P63" i="35"/>
  <c r="O63" i="35"/>
  <c r="Q63" i="35" s="1"/>
  <c r="P62" i="35"/>
  <c r="O62" i="35"/>
  <c r="Q62" i="35" s="1"/>
  <c r="P61" i="35"/>
  <c r="O61" i="35"/>
  <c r="Q61" i="35" s="1"/>
  <c r="P60" i="35"/>
  <c r="O60" i="35"/>
  <c r="Q60" i="35" s="1"/>
  <c r="Q59" i="35"/>
  <c r="P59" i="35"/>
  <c r="O59" i="35"/>
  <c r="P58" i="35"/>
  <c r="O58" i="35"/>
  <c r="Q58" i="35" s="1"/>
  <c r="P57" i="35"/>
  <c r="O57" i="35"/>
  <c r="Q57" i="35" s="1"/>
  <c r="P56" i="35"/>
  <c r="O56" i="35"/>
  <c r="Q56" i="35" s="1"/>
  <c r="P55" i="35"/>
  <c r="O55" i="35"/>
  <c r="Q55" i="35" s="1"/>
  <c r="P54" i="35"/>
  <c r="O54" i="35"/>
  <c r="Q54" i="35" s="1"/>
  <c r="P53" i="35"/>
  <c r="O53" i="35"/>
  <c r="Q53" i="35" s="1"/>
  <c r="P52" i="35"/>
  <c r="O52" i="35"/>
  <c r="Q52" i="35" s="1"/>
  <c r="Q51" i="35"/>
  <c r="P51" i="35"/>
  <c r="O51" i="35"/>
  <c r="P50" i="35"/>
  <c r="O50" i="35"/>
  <c r="Q50" i="35" s="1"/>
  <c r="P49" i="35"/>
  <c r="O49" i="35"/>
  <c r="Q49" i="35" s="1"/>
  <c r="P48" i="35"/>
  <c r="O48" i="35"/>
  <c r="Q48" i="35" s="1"/>
  <c r="P47" i="35"/>
  <c r="O47" i="35"/>
  <c r="Q47" i="35" s="1"/>
  <c r="P46" i="35"/>
  <c r="O46" i="35"/>
  <c r="Q46" i="35" s="1"/>
  <c r="P45" i="35"/>
  <c r="O45" i="35"/>
  <c r="Q45" i="35" s="1"/>
  <c r="P44" i="35"/>
  <c r="O44" i="35"/>
  <c r="Q44" i="35" s="1"/>
  <c r="Q43" i="35"/>
  <c r="P43" i="35"/>
  <c r="O43" i="35"/>
  <c r="P42" i="35"/>
  <c r="O42" i="35"/>
  <c r="Q42" i="35" s="1"/>
  <c r="P41" i="35"/>
  <c r="O41" i="35"/>
  <c r="Q41" i="35" s="1"/>
  <c r="P40" i="35"/>
  <c r="O40" i="35"/>
  <c r="Q40" i="35" s="1"/>
  <c r="P39" i="35"/>
  <c r="O39" i="35"/>
  <c r="Q39" i="35" s="1"/>
  <c r="P38" i="35"/>
  <c r="O38" i="35"/>
  <c r="Q38" i="35" s="1"/>
  <c r="P37" i="35"/>
  <c r="O37" i="35"/>
  <c r="Q37" i="35" s="1"/>
  <c r="P36" i="35"/>
  <c r="O36" i="35"/>
  <c r="Q36" i="35" s="1"/>
  <c r="Q35" i="35"/>
  <c r="P35" i="35"/>
  <c r="O35" i="35"/>
  <c r="P34" i="35"/>
  <c r="O34" i="35"/>
  <c r="Q34" i="35" s="1"/>
  <c r="P33" i="35"/>
  <c r="O33" i="35"/>
  <c r="Q33" i="35" s="1"/>
  <c r="P32" i="35"/>
  <c r="O32" i="35"/>
  <c r="Q32" i="35" s="1"/>
  <c r="P31" i="35"/>
  <c r="O31" i="35"/>
  <c r="Q31" i="35" s="1"/>
  <c r="P30" i="35"/>
  <c r="O30" i="35"/>
  <c r="Q30" i="35" s="1"/>
  <c r="P29" i="35"/>
  <c r="O29" i="35"/>
  <c r="Q29" i="35" s="1"/>
  <c r="P28" i="35"/>
  <c r="O28" i="35"/>
  <c r="Q28" i="35" s="1"/>
  <c r="Q27" i="35"/>
  <c r="P27" i="35"/>
  <c r="O27" i="35"/>
  <c r="P26" i="35"/>
  <c r="Q26" i="35" s="1"/>
  <c r="O26" i="35"/>
  <c r="P25" i="35"/>
  <c r="O25" i="35"/>
  <c r="Q25" i="35" s="1"/>
  <c r="P24" i="35"/>
  <c r="O24" i="35"/>
  <c r="Q24" i="35" s="1"/>
  <c r="P23" i="35"/>
  <c r="O23" i="35"/>
  <c r="Q23" i="35" s="1"/>
  <c r="P22" i="35"/>
  <c r="O22" i="35"/>
  <c r="Q22" i="35" s="1"/>
  <c r="P21" i="35"/>
  <c r="O21" i="35"/>
  <c r="Q21" i="35" s="1"/>
  <c r="P20" i="35"/>
  <c r="O20" i="35"/>
  <c r="Q20" i="35" s="1"/>
  <c r="P12" i="35"/>
  <c r="O12" i="35"/>
  <c r="Q12" i="35" s="1"/>
  <c r="I397" i="10" l="1"/>
  <c r="R127" i="34"/>
  <c r="T5" i="34"/>
  <c r="I490" i="10"/>
  <c r="I489" i="10"/>
  <c r="I488" i="10"/>
  <c r="I487" i="10"/>
  <c r="I486" i="10"/>
  <c r="I485" i="10"/>
  <c r="I484" i="10"/>
  <c r="I483" i="10"/>
  <c r="I482" i="10"/>
  <c r="I481" i="10"/>
  <c r="I480" i="10"/>
  <c r="I479" i="10"/>
  <c r="I478" i="10"/>
  <c r="I477" i="10"/>
  <c r="F7" i="36" s="1"/>
  <c r="I476" i="10"/>
  <c r="I475" i="10"/>
  <c r="I474" i="10"/>
  <c r="I473" i="10"/>
  <c r="I472" i="10"/>
  <c r="I471" i="10"/>
  <c r="I470" i="10"/>
  <c r="I469" i="10"/>
  <c r="I468" i="10"/>
  <c r="I467" i="10"/>
  <c r="I466" i="10"/>
  <c r="I465" i="10"/>
  <c r="I464" i="10"/>
  <c r="I463" i="10"/>
  <c r="I462" i="10"/>
  <c r="I461" i="10"/>
  <c r="I460" i="10"/>
  <c r="I459" i="10"/>
  <c r="I458" i="10"/>
  <c r="I457" i="10"/>
  <c r="F17" i="36" s="1"/>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I407" i="10"/>
  <c r="I406" i="10"/>
  <c r="I405" i="10"/>
  <c r="I404" i="10"/>
  <c r="I403" i="10"/>
  <c r="I402" i="10"/>
  <c r="I401" i="10"/>
  <c r="F13" i="36" s="1"/>
  <c r="F16" i="36" l="1"/>
  <c r="F15" i="36"/>
  <c r="F19" i="36"/>
  <c r="F14" i="36"/>
  <c r="F20" i="36"/>
  <c r="F11" i="36"/>
  <c r="F10" i="36"/>
  <c r="F1000" i="10" s="1"/>
  <c r="F18" i="36"/>
  <c r="F8" i="36"/>
  <c r="F6" i="36"/>
  <c r="F9" i="36"/>
  <c r="Q110" i="34"/>
  <c r="Q109" i="34"/>
  <c r="Q108" i="34"/>
  <c r="Q107" i="34" l="1"/>
  <c r="Q103" i="34"/>
  <c r="Q102" i="34"/>
  <c r="Q98" i="34"/>
  <c r="Q97" i="34"/>
  <c r="Q96" i="34"/>
  <c r="Q95" i="34"/>
  <c r="Q94" i="34"/>
  <c r="Q93" i="34"/>
  <c r="Q92" i="34"/>
  <c r="Q91" i="34"/>
  <c r="Q90" i="34"/>
  <c r="Q81" i="34"/>
  <c r="Q86" i="34"/>
  <c r="Q85" i="34"/>
  <c r="Q84" i="34"/>
  <c r="Q83" i="34"/>
  <c r="Q82" i="34"/>
  <c r="Q77" i="34"/>
  <c r="Q76" i="34"/>
  <c r="R72" i="34"/>
  <c r="Q72" i="34"/>
  <c r="S72" i="34" s="1"/>
  <c r="R71" i="34"/>
  <c r="Q71" i="34"/>
  <c r="S71" i="34" s="1"/>
  <c r="R70" i="34"/>
  <c r="S70" i="34" s="1"/>
  <c r="Q70" i="34"/>
  <c r="R69" i="34"/>
  <c r="Q69" i="34"/>
  <c r="S69" i="34" s="1"/>
  <c r="R68" i="34"/>
  <c r="Q68" i="34"/>
  <c r="S68" i="34" s="1"/>
  <c r="S67" i="34"/>
  <c r="R67" i="34"/>
  <c r="Q67" i="34"/>
  <c r="R66" i="34"/>
  <c r="Q66" i="34"/>
  <c r="S66" i="34" s="1"/>
  <c r="R65" i="34"/>
  <c r="Q65" i="34"/>
  <c r="S65" i="34" s="1"/>
  <c r="R64" i="34"/>
  <c r="Q64" i="34"/>
  <c r="S64" i="34" s="1"/>
  <c r="R63" i="34"/>
  <c r="Q63" i="34"/>
  <c r="S63" i="34" s="1"/>
  <c r="R62" i="34"/>
  <c r="S62" i="34" s="1"/>
  <c r="Q62" i="34"/>
  <c r="R61" i="34"/>
  <c r="Q61" i="34"/>
  <c r="S61" i="34" s="1"/>
  <c r="R60" i="34"/>
  <c r="Q60" i="34"/>
  <c r="S60" i="34" s="1"/>
  <c r="S59" i="34"/>
  <c r="R59" i="34"/>
  <c r="Q59" i="34"/>
  <c r="R58" i="34"/>
  <c r="Q58" i="34"/>
  <c r="S58" i="34" s="1"/>
  <c r="R57" i="34"/>
  <c r="Q57" i="34"/>
  <c r="S57" i="34" s="1"/>
  <c r="R56" i="34"/>
  <c r="Q56" i="34"/>
  <c r="S56" i="34" s="1"/>
  <c r="R55" i="34"/>
  <c r="Q55" i="34"/>
  <c r="S55" i="34" s="1"/>
  <c r="R54" i="34"/>
  <c r="S54" i="34" s="1"/>
  <c r="Q54" i="34"/>
  <c r="R53" i="34"/>
  <c r="Q53" i="34"/>
  <c r="S53" i="34" s="1"/>
  <c r="R52" i="34"/>
  <c r="Q52" i="34"/>
  <c r="S52" i="34" s="1"/>
  <c r="S51" i="34"/>
  <c r="R51" i="34"/>
  <c r="Q51" i="34"/>
  <c r="R50" i="34"/>
  <c r="Q50" i="34"/>
  <c r="S50" i="34" s="1"/>
  <c r="R49" i="34"/>
  <c r="Q49" i="34"/>
  <c r="S49" i="34" s="1"/>
  <c r="R48" i="34"/>
  <c r="Q48" i="34"/>
  <c r="S48" i="34" s="1"/>
  <c r="R47" i="34"/>
  <c r="Q47" i="34"/>
  <c r="S47" i="34" s="1"/>
  <c r="R46" i="34"/>
  <c r="S46" i="34" s="1"/>
  <c r="Q46" i="34"/>
  <c r="R45" i="34"/>
  <c r="Q45" i="34"/>
  <c r="S45" i="34" s="1"/>
  <c r="R44" i="34"/>
  <c r="Q44" i="34"/>
  <c r="S44" i="34" s="1"/>
  <c r="S43" i="34"/>
  <c r="R43" i="34"/>
  <c r="Q43" i="34"/>
  <c r="R42" i="34"/>
  <c r="Q42" i="34"/>
  <c r="S42" i="34" s="1"/>
  <c r="R41" i="34"/>
  <c r="Q41" i="34"/>
  <c r="S41" i="34" s="1"/>
  <c r="R40" i="34"/>
  <c r="Q40" i="34"/>
  <c r="S40" i="34" s="1"/>
  <c r="R39" i="34"/>
  <c r="Q39" i="34"/>
  <c r="S39" i="34" s="1"/>
  <c r="R38" i="34"/>
  <c r="S38" i="34" s="1"/>
  <c r="Q38" i="34"/>
  <c r="R37" i="34"/>
  <c r="Q37" i="34"/>
  <c r="S37" i="34" s="1"/>
  <c r="R36" i="34"/>
  <c r="Q36" i="34"/>
  <c r="S36" i="34" s="1"/>
  <c r="S35" i="34"/>
  <c r="R35" i="34"/>
  <c r="Q35" i="34"/>
  <c r="R34" i="34"/>
  <c r="Q34" i="34"/>
  <c r="S34" i="34" s="1"/>
  <c r="R33" i="34"/>
  <c r="Q33" i="34"/>
  <c r="S33" i="34" s="1"/>
  <c r="R32" i="34"/>
  <c r="Q32" i="34"/>
  <c r="S32" i="34" s="1"/>
  <c r="R31" i="34"/>
  <c r="Q31" i="34"/>
  <c r="S31" i="34" s="1"/>
  <c r="R30" i="34"/>
  <c r="S30" i="34" s="1"/>
  <c r="Q30" i="34"/>
  <c r="R29" i="34"/>
  <c r="Q29" i="34"/>
  <c r="S29" i="34" s="1"/>
  <c r="R28" i="34"/>
  <c r="Q28" i="34"/>
  <c r="S28" i="34" s="1"/>
  <c r="S27" i="34"/>
  <c r="R27" i="34"/>
  <c r="Q27" i="34"/>
  <c r="R26" i="34"/>
  <c r="Q26" i="34"/>
  <c r="S26" i="34" s="1"/>
  <c r="R25" i="34"/>
  <c r="Q25" i="34"/>
  <c r="S25" i="34" s="1"/>
  <c r="R24" i="34"/>
  <c r="Q24" i="34"/>
  <c r="S24" i="34" s="1"/>
  <c r="R23" i="34"/>
  <c r="Q23" i="34"/>
  <c r="S23" i="34" s="1"/>
  <c r="R22" i="34"/>
  <c r="S22" i="34" s="1"/>
  <c r="Q22" i="34"/>
  <c r="R21" i="34"/>
  <c r="Q21" i="34"/>
  <c r="S21" i="34" s="1"/>
  <c r="R20" i="34"/>
  <c r="Q20" i="34"/>
  <c r="S20" i="34" s="1"/>
  <c r="S19" i="34"/>
  <c r="R19" i="34"/>
  <c r="Q19" i="34"/>
  <c r="R18" i="34"/>
  <c r="Q18" i="34"/>
  <c r="S18" i="34" s="1"/>
  <c r="A280" i="31" l="1"/>
  <c r="F280" i="31"/>
  <c r="A281" i="31"/>
  <c r="F281" i="31"/>
  <c r="A282" i="31"/>
  <c r="F282" i="31"/>
  <c r="A288" i="31"/>
  <c r="F288" i="31"/>
  <c r="G288" i="31" s="1"/>
  <c r="A289" i="31"/>
  <c r="F289" i="31"/>
  <c r="A290" i="31"/>
  <c r="F290" i="31"/>
  <c r="A291" i="31"/>
  <c r="F291" i="31"/>
  <c r="A292" i="31"/>
  <c r="F292" i="31"/>
  <c r="A316" i="31"/>
  <c r="F316" i="31"/>
  <c r="G855" i="16" l="1"/>
  <c r="F855" i="16"/>
  <c r="A855" i="16"/>
  <c r="G854" i="16"/>
  <c r="F854" i="16"/>
  <c r="A854" i="16"/>
  <c r="G853" i="16"/>
  <c r="F853" i="16"/>
  <c r="A853" i="16"/>
  <c r="G852" i="16"/>
  <c r="F852" i="16"/>
  <c r="A852" i="16"/>
  <c r="G851" i="16"/>
  <c r="F851" i="16"/>
  <c r="A851" i="16"/>
  <c r="G850" i="16"/>
  <c r="F850" i="16"/>
  <c r="A850" i="16"/>
  <c r="G849" i="16"/>
  <c r="F849" i="16"/>
  <c r="A849" i="16"/>
  <c r="G848" i="16"/>
  <c r="F848" i="16"/>
  <c r="A848" i="16"/>
  <c r="G847" i="16"/>
  <c r="F847" i="16"/>
  <c r="A847" i="16"/>
  <c r="G843" i="16"/>
  <c r="F843" i="16"/>
  <c r="A843" i="16"/>
  <c r="G842" i="16"/>
  <c r="F842" i="16"/>
  <c r="A842" i="16"/>
  <c r="G841" i="16"/>
  <c r="F841" i="16"/>
  <c r="A841" i="16"/>
  <c r="G840" i="16"/>
  <c r="F840" i="16"/>
  <c r="A840" i="16"/>
  <c r="G839" i="16"/>
  <c r="F839" i="16"/>
  <c r="A839" i="16"/>
  <c r="G838" i="16"/>
  <c r="F838" i="16"/>
  <c r="A838" i="16"/>
  <c r="G837" i="16"/>
  <c r="F837" i="16"/>
  <c r="A837" i="16"/>
  <c r="G836" i="16"/>
  <c r="F836" i="16"/>
  <c r="A836" i="16"/>
  <c r="G835" i="16"/>
  <c r="F835" i="16"/>
  <c r="A835" i="16"/>
  <c r="G834" i="16"/>
  <c r="F834" i="16"/>
  <c r="A834" i="16"/>
  <c r="G833" i="16"/>
  <c r="F833" i="16"/>
  <c r="A833" i="16"/>
  <c r="G832" i="16"/>
  <c r="F832" i="16"/>
  <c r="A832" i="16"/>
  <c r="F451" i="16"/>
  <c r="A451" i="16"/>
  <c r="F450" i="16"/>
  <c r="A450" i="16"/>
  <c r="F449" i="16"/>
  <c r="A449" i="16"/>
  <c r="F448" i="16"/>
  <c r="A448" i="16"/>
  <c r="F447" i="16"/>
  <c r="A447" i="16"/>
  <c r="F446" i="16"/>
  <c r="A446" i="16"/>
  <c r="F445" i="16"/>
  <c r="A445" i="16"/>
  <c r="F444" i="16"/>
  <c r="A444" i="16"/>
  <c r="F443" i="16"/>
  <c r="A443" i="16"/>
  <c r="F442" i="16"/>
  <c r="A442" i="16"/>
  <c r="F441" i="16"/>
  <c r="A441" i="16"/>
  <c r="F440" i="16"/>
  <c r="A440" i="16"/>
  <c r="F439" i="16"/>
  <c r="A439" i="16"/>
  <c r="F438" i="16"/>
  <c r="A438" i="16"/>
  <c r="F437" i="16"/>
  <c r="A437" i="16"/>
  <c r="F436" i="16"/>
  <c r="A436" i="16"/>
  <c r="F435" i="16"/>
  <c r="A435" i="16"/>
  <c r="F434" i="16"/>
  <c r="A434" i="16"/>
  <c r="F433" i="16"/>
  <c r="A433" i="16"/>
  <c r="F432" i="16"/>
  <c r="A432" i="16"/>
  <c r="F431" i="16"/>
  <c r="A431" i="16"/>
  <c r="F430" i="16"/>
  <c r="A430" i="16"/>
  <c r="F429" i="16"/>
  <c r="A429" i="16"/>
  <c r="F428" i="16"/>
  <c r="A428" i="16"/>
  <c r="F427" i="16"/>
  <c r="A427" i="16"/>
  <c r="I456" i="16"/>
  <c r="J456" i="16" s="1"/>
  <c r="H456" i="16"/>
  <c r="F456" i="16"/>
  <c r="A456" i="16"/>
  <c r="I455" i="16"/>
  <c r="J455" i="16" s="1"/>
  <c r="H455" i="16"/>
  <c r="F455" i="16"/>
  <c r="A455" i="16"/>
  <c r="I454" i="16"/>
  <c r="J454" i="16" s="1"/>
  <c r="H454" i="16"/>
  <c r="F454" i="16"/>
  <c r="A454" i="16"/>
  <c r="F453" i="16"/>
  <c r="A453" i="16"/>
  <c r="F452" i="16"/>
  <c r="A452" i="16"/>
  <c r="F426" i="16"/>
  <c r="A426" i="16"/>
  <c r="F425" i="16"/>
  <c r="A425" i="16"/>
  <c r="F424" i="16"/>
  <c r="A424" i="16"/>
  <c r="F423" i="16"/>
  <c r="A423" i="16"/>
  <c r="F422" i="16"/>
  <c r="A422" i="16"/>
  <c r="F421" i="16"/>
  <c r="A421" i="16"/>
  <c r="F420" i="16"/>
  <c r="A420" i="16"/>
  <c r="F419" i="16"/>
  <c r="A419" i="16"/>
  <c r="F418" i="16"/>
  <c r="A418" i="16"/>
  <c r="F417" i="16"/>
  <c r="A417" i="16"/>
  <c r="F416" i="16"/>
  <c r="A416" i="16"/>
  <c r="F415" i="16"/>
  <c r="A415" i="16"/>
  <c r="F414" i="16"/>
  <c r="A414" i="16"/>
  <c r="F413" i="16"/>
  <c r="A413" i="16"/>
  <c r="I411" i="16"/>
  <c r="J411" i="16" s="1"/>
  <c r="H411" i="16"/>
  <c r="F411" i="16"/>
  <c r="A411" i="16"/>
  <c r="L215" i="34" l="1"/>
  <c r="K212" i="34" l="1"/>
  <c r="M212" i="34" s="1"/>
  <c r="O189" i="34"/>
  <c r="N189" i="34"/>
  <c r="M189" i="34"/>
  <c r="L189" i="34"/>
  <c r="K189" i="34"/>
  <c r="J189" i="34"/>
  <c r="I189" i="34"/>
  <c r="H189" i="34"/>
  <c r="R188" i="34"/>
  <c r="I506" i="10" s="1"/>
  <c r="P188" i="34"/>
  <c r="Q188" i="34" s="1"/>
  <c r="H506" i="10" s="1"/>
  <c r="R187" i="34"/>
  <c r="P187" i="34"/>
  <c r="I184" i="34"/>
  <c r="J184" i="34"/>
  <c r="K184" i="34"/>
  <c r="L184" i="34"/>
  <c r="M184" i="34"/>
  <c r="N184" i="34"/>
  <c r="O184" i="34"/>
  <c r="H184" i="34"/>
  <c r="R182" i="34"/>
  <c r="I503" i="10" s="1"/>
  <c r="P182" i="34"/>
  <c r="Q182" i="34" s="1"/>
  <c r="T171" i="34"/>
  <c r="T170" i="34"/>
  <c r="T169" i="34"/>
  <c r="T168" i="34"/>
  <c r="T167" i="34"/>
  <c r="T166" i="34"/>
  <c r="T165" i="34"/>
  <c r="T164" i="34"/>
  <c r="T163" i="34"/>
  <c r="P163" i="34" s="1"/>
  <c r="Q163" i="34" s="1"/>
  <c r="K138" i="34"/>
  <c r="J138" i="34"/>
  <c r="I138" i="34"/>
  <c r="H138" i="34"/>
  <c r="G138" i="34"/>
  <c r="L137" i="34"/>
  <c r="N137" i="34" s="1"/>
  <c r="H490" i="10" s="1"/>
  <c r="J490" i="10" s="1"/>
  <c r="E705" i="10" s="1"/>
  <c r="R136" i="34"/>
  <c r="L136" i="34"/>
  <c r="N136" i="34" s="1"/>
  <c r="J506" i="10" l="1"/>
  <c r="E794" i="10" s="1"/>
  <c r="R189" i="34"/>
  <c r="H503" i="10"/>
  <c r="J503" i="10" s="1"/>
  <c r="E791" i="10" s="1"/>
  <c r="S188" i="34"/>
  <c r="P189" i="34"/>
  <c r="S182" i="34"/>
  <c r="L138" i="34"/>
  <c r="R138" i="34"/>
  <c r="S137" i="34"/>
  <c r="N138" i="34"/>
  <c r="H489" i="10"/>
  <c r="L126" i="34"/>
  <c r="R126" i="34"/>
  <c r="H111" i="34"/>
  <c r="I111" i="34"/>
  <c r="J111" i="34"/>
  <c r="K111" i="34"/>
  <c r="M111" i="34"/>
  <c r="G111" i="34"/>
  <c r="R109" i="34"/>
  <c r="L109" i="34"/>
  <c r="N109" i="34" s="1"/>
  <c r="H479" i="10" s="1"/>
  <c r="J479" i="10" s="1"/>
  <c r="E694" i="10" s="1"/>
  <c r="R110" i="34"/>
  <c r="L110" i="34"/>
  <c r="N110" i="34" s="1"/>
  <c r="R108" i="34"/>
  <c r="L108" i="34"/>
  <c r="N108" i="34" s="1"/>
  <c r="H478" i="10" s="1"/>
  <c r="R94" i="34"/>
  <c r="L94" i="34"/>
  <c r="N94" i="34" s="1"/>
  <c r="H470" i="10" s="1"/>
  <c r="J470" i="10" s="1"/>
  <c r="E685" i="10" s="1"/>
  <c r="R93" i="34"/>
  <c r="L93" i="34"/>
  <c r="N93" i="34" s="1"/>
  <c r="H469" i="10" s="1"/>
  <c r="J469" i="10" s="1"/>
  <c r="E684" i="10" s="1"/>
  <c r="R92" i="34"/>
  <c r="L92" i="34"/>
  <c r="N92" i="34" s="1"/>
  <c r="H468" i="10" s="1"/>
  <c r="J468" i="10" s="1"/>
  <c r="E683" i="10" s="1"/>
  <c r="J489" i="10" l="1"/>
  <c r="E704" i="10" s="1"/>
  <c r="D15" i="36"/>
  <c r="J478" i="10"/>
  <c r="E693" i="10" s="1"/>
  <c r="S187" i="34"/>
  <c r="Q189" i="34"/>
  <c r="H505" i="10"/>
  <c r="J505" i="10" s="1"/>
  <c r="E793" i="10" s="1"/>
  <c r="S189" i="34"/>
  <c r="S110" i="34"/>
  <c r="H480" i="10"/>
  <c r="J480" i="10" s="1"/>
  <c r="E695" i="10" s="1"/>
  <c r="S136" i="34"/>
  <c r="S138" i="34" s="1"/>
  <c r="Q138" i="34"/>
  <c r="S109" i="34"/>
  <c r="N126" i="34"/>
  <c r="S108" i="34"/>
  <c r="S94" i="34"/>
  <c r="S92" i="34"/>
  <c r="S93" i="34"/>
  <c r="D6" i="36" l="1"/>
  <c r="S126" i="34"/>
  <c r="H486" i="10"/>
  <c r="J486" i="10" s="1"/>
  <c r="E701" i="10" s="1"/>
  <c r="H78" i="34"/>
  <c r="I78" i="34"/>
  <c r="J78" i="34"/>
  <c r="K78" i="34"/>
  <c r="M78" i="34"/>
  <c r="G78" i="34"/>
  <c r="R77" i="34"/>
  <c r="L77" i="34"/>
  <c r="N77" i="34" s="1"/>
  <c r="H459" i="10" s="1"/>
  <c r="J459" i="10" s="1"/>
  <c r="E674" i="10" s="1"/>
  <c r="R76" i="34"/>
  <c r="R78" i="34" s="1"/>
  <c r="L76" i="34"/>
  <c r="N76" i="34" s="1"/>
  <c r="H103" i="35"/>
  <c r="I103" i="35"/>
  <c r="J103" i="35"/>
  <c r="K103" i="35"/>
  <c r="L103" i="35"/>
  <c r="M103" i="35"/>
  <c r="N103" i="35"/>
  <c r="G103" i="35"/>
  <c r="M101" i="35"/>
  <c r="K101" i="35"/>
  <c r="J101" i="35"/>
  <c r="I101" i="35"/>
  <c r="H101" i="35"/>
  <c r="G101" i="35"/>
  <c r="P101" i="35"/>
  <c r="L100" i="35"/>
  <c r="N100" i="35" s="1"/>
  <c r="H458" i="10" l="1"/>
  <c r="Q78" i="34"/>
  <c r="N78" i="34"/>
  <c r="L78" i="34"/>
  <c r="S77" i="34"/>
  <c r="S76" i="34"/>
  <c r="S78" i="34" s="1"/>
  <c r="L101" i="35"/>
  <c r="O101" i="35"/>
  <c r="Q101" i="35"/>
  <c r="N101" i="35"/>
  <c r="J458" i="10" l="1"/>
  <c r="E673" i="10" s="1"/>
  <c r="D19" i="36"/>
  <c r="R101" i="35"/>
  <c r="E66" i="10" l="1"/>
  <c r="F280" i="10"/>
  <c r="H280" i="10"/>
  <c r="F327" i="10" s="1"/>
  <c r="F282" i="10"/>
  <c r="H282" i="10"/>
  <c r="F284" i="10"/>
  <c r="H284" i="10"/>
  <c r="I284" i="10" s="1"/>
  <c r="F286" i="10"/>
  <c r="H286" i="10"/>
  <c r="F288" i="10"/>
  <c r="H288" i="10"/>
  <c r="F289" i="10"/>
  <c r="H289" i="10"/>
  <c r="F290" i="10"/>
  <c r="H290" i="10"/>
  <c r="F291" i="10"/>
  <c r="H291" i="10"/>
  <c r="F292" i="10"/>
  <c r="H292" i="10"/>
  <c r="F293" i="10"/>
  <c r="H293" i="10"/>
  <c r="F294" i="10"/>
  <c r="F295" i="10"/>
  <c r="H295" i="10"/>
  <c r="F296" i="10"/>
  <c r="H296" i="10"/>
  <c r="F297" i="10"/>
  <c r="H297" i="10"/>
  <c r="F298" i="10"/>
  <c r="H298" i="10"/>
  <c r="F299" i="10"/>
  <c r="H299" i="10"/>
  <c r="A397" i="10"/>
  <c r="E397" i="10"/>
  <c r="K502" i="10"/>
  <c r="I509" i="10"/>
  <c r="I510" i="10"/>
  <c r="H518" i="10"/>
  <c r="J606" i="10"/>
  <c r="F614" i="10"/>
  <c r="G614" i="10"/>
  <c r="F615" i="10"/>
  <c r="G615" i="10"/>
  <c r="H799" i="10"/>
  <c r="I799" i="10"/>
  <c r="K800" i="10"/>
  <c r="G802" i="10"/>
  <c r="G803" i="10"/>
  <c r="G804" i="10"/>
  <c r="K806" i="10"/>
  <c r="D813" i="10"/>
  <c r="E813" i="10"/>
  <c r="D829" i="10"/>
  <c r="D830" i="10"/>
  <c r="D832" i="10"/>
  <c r="F995" i="10" s="1"/>
  <c r="D833" i="10"/>
  <c r="E835" i="10"/>
  <c r="D870" i="10"/>
  <c r="F870" i="10"/>
  <c r="E894" i="10"/>
  <c r="E951" i="10"/>
  <c r="E963" i="10"/>
  <c r="D972" i="10"/>
  <c r="E972" i="10"/>
  <c r="D973" i="10"/>
  <c r="D975" i="10"/>
  <c r="D976" i="10"/>
  <c r="G993" i="10"/>
  <c r="G998" i="10" s="1"/>
  <c r="H993" i="10"/>
  <c r="H991" i="10"/>
  <c r="E1075" i="10"/>
  <c r="D1114" i="10"/>
  <c r="D1132" i="10" s="1"/>
  <c r="E1114" i="10"/>
  <c r="E1213" i="10"/>
  <c r="F305" i="10"/>
  <c r="H305" i="10"/>
  <c r="F306" i="10"/>
  <c r="H306" i="10"/>
  <c r="F308" i="10"/>
  <c r="H308" i="10"/>
  <c r="I308" i="10" s="1"/>
  <c r="F309" i="10"/>
  <c r="H309" i="10"/>
  <c r="F311" i="10"/>
  <c r="H311" i="10"/>
  <c r="E313" i="10"/>
  <c r="F313" i="10"/>
  <c r="H313" i="10"/>
  <c r="I313" i="10"/>
  <c r="F314" i="10"/>
  <c r="H314" i="10"/>
  <c r="I314" i="10" s="1"/>
  <c r="F315" i="10"/>
  <c r="H315" i="10"/>
  <c r="I315" i="10" s="1"/>
  <c r="D327" i="10"/>
  <c r="D328" i="10"/>
  <c r="D331" i="10"/>
  <c r="D332" i="10"/>
  <c r="D346" i="10"/>
  <c r="D367" i="10"/>
  <c r="D381" i="10"/>
  <c r="P197" i="34"/>
  <c r="P178" i="34"/>
  <c r="Q178" i="34" s="1"/>
  <c r="H502" i="10" s="1"/>
  <c r="A38" i="36"/>
  <c r="F38" i="36" s="1"/>
  <c r="A39" i="36"/>
  <c r="F39" i="36" s="1"/>
  <c r="A36" i="36"/>
  <c r="F36" i="36" s="1"/>
  <c r="A35" i="36"/>
  <c r="F35" i="36" s="1"/>
  <c r="A34" i="36"/>
  <c r="F34" i="36" s="1"/>
  <c r="A31" i="36"/>
  <c r="F31" i="36" s="1"/>
  <c r="A32" i="36"/>
  <c r="F32" i="36" s="1"/>
  <c r="A33" i="36"/>
  <c r="F33" i="36" s="1"/>
  <c r="A25" i="36"/>
  <c r="F25" i="36" s="1"/>
  <c r="A24" i="36"/>
  <c r="F24" i="36" s="1"/>
  <c r="A23" i="36"/>
  <c r="F23" i="36" s="1"/>
  <c r="A22" i="36"/>
  <c r="F22" i="36" s="1"/>
  <c r="A21" i="36"/>
  <c r="F21" i="36" s="1"/>
  <c r="P204" i="34"/>
  <c r="P203" i="34"/>
  <c r="P202" i="34"/>
  <c r="Q202" i="34" s="1"/>
  <c r="H510" i="10" s="1"/>
  <c r="P170" i="34"/>
  <c r="Q170" i="34" s="1"/>
  <c r="H500" i="10" s="1"/>
  <c r="P164" i="34"/>
  <c r="Q164" i="34" s="1"/>
  <c r="H494" i="10" s="1"/>
  <c r="P165" i="34"/>
  <c r="Q165" i="34" s="1"/>
  <c r="H495" i="10" s="1"/>
  <c r="P166" i="34"/>
  <c r="Q166" i="34" s="1"/>
  <c r="H496" i="10" s="1"/>
  <c r="P167" i="34"/>
  <c r="Q167" i="34" s="1"/>
  <c r="H497" i="10" s="1"/>
  <c r="P168" i="34"/>
  <c r="Q168" i="34" s="1"/>
  <c r="H498" i="10" s="1"/>
  <c r="P169" i="34"/>
  <c r="Q169" i="34" s="1"/>
  <c r="H499" i="10" s="1"/>
  <c r="P171" i="34"/>
  <c r="Q171" i="34" s="1"/>
  <c r="H501" i="10" s="1"/>
  <c r="J3" i="47"/>
  <c r="L3" i="47" s="1"/>
  <c r="D614" i="10" s="1"/>
  <c r="L4" i="47"/>
  <c r="D615" i="10" s="1"/>
  <c r="H6" i="47"/>
  <c r="J6" i="47" s="1"/>
  <c r="L6" i="47" s="1"/>
  <c r="D616" i="10" s="1"/>
  <c r="H7" i="47"/>
  <c r="J7" i="47" s="1"/>
  <c r="L7" i="47" s="1"/>
  <c r="D617" i="10" s="1"/>
  <c r="H8" i="47"/>
  <c r="J8" i="47" s="1"/>
  <c r="L8" i="47" s="1"/>
  <c r="D618" i="10" s="1"/>
  <c r="H9" i="47"/>
  <c r="J9" i="47" s="1"/>
  <c r="L9" i="47" s="1"/>
  <c r="D619" i="10" s="1"/>
  <c r="H10" i="47"/>
  <c r="J10" i="47" s="1"/>
  <c r="L10" i="47" s="1"/>
  <c r="D620" i="10" s="1"/>
  <c r="H11" i="47"/>
  <c r="J11" i="47" s="1"/>
  <c r="L11" i="47" s="1"/>
  <c r="D621" i="10" s="1"/>
  <c r="H12" i="47"/>
  <c r="J12" i="47" s="1"/>
  <c r="L12" i="47" s="1"/>
  <c r="D622" i="10" s="1"/>
  <c r="H13" i="47"/>
  <c r="J13" i="47" s="1"/>
  <c r="L13" i="47" s="1"/>
  <c r="D623" i="10" s="1"/>
  <c r="H14" i="47"/>
  <c r="J14" i="47" s="1"/>
  <c r="L14" i="47" s="1"/>
  <c r="D624" i="10" s="1"/>
  <c r="H15" i="47"/>
  <c r="J15" i="47" s="1"/>
  <c r="L15" i="47" s="1"/>
  <c r="D625" i="10" s="1"/>
  <c r="H16" i="47"/>
  <c r="J16" i="47" s="1"/>
  <c r="L16" i="47" s="1"/>
  <c r="D626" i="10" s="1"/>
  <c r="H17" i="47"/>
  <c r="J17" i="47" s="1"/>
  <c r="L17" i="47" s="1"/>
  <c r="D627" i="10" s="1"/>
  <c r="H18" i="47"/>
  <c r="J18" i="47" s="1"/>
  <c r="L18" i="47" s="1"/>
  <c r="D628" i="10" s="1"/>
  <c r="H19" i="47"/>
  <c r="J19" i="47" s="1"/>
  <c r="L19" i="47" s="1"/>
  <c r="D629" i="10" s="1"/>
  <c r="H20" i="47"/>
  <c r="J20" i="47" s="1"/>
  <c r="L20" i="47" s="1"/>
  <c r="D630" i="10" s="1"/>
  <c r="H21" i="47"/>
  <c r="J21" i="47" s="1"/>
  <c r="L21" i="47" s="1"/>
  <c r="D631" i="10" s="1"/>
  <c r="H22" i="47"/>
  <c r="J22" i="47" s="1"/>
  <c r="L22" i="47" s="1"/>
  <c r="D632" i="10" s="1"/>
  <c r="H23" i="47"/>
  <c r="J23" i="47" s="1"/>
  <c r="L23" i="47" s="1"/>
  <c r="D633" i="10" s="1"/>
  <c r="H24" i="47"/>
  <c r="J24" i="47" s="1"/>
  <c r="L24" i="47" s="1"/>
  <c r="D634" i="10" s="1"/>
  <c r="H25" i="47"/>
  <c r="J25" i="47" s="1"/>
  <c r="L25" i="47" s="1"/>
  <c r="D635" i="10" s="1"/>
  <c r="H26" i="47"/>
  <c r="J26" i="47" s="1"/>
  <c r="L26" i="47" s="1"/>
  <c r="D636" i="10" s="1"/>
  <c r="H27" i="47"/>
  <c r="J27" i="47" s="1"/>
  <c r="L27" i="47" s="1"/>
  <c r="D637" i="10" s="1"/>
  <c r="H28" i="47"/>
  <c r="J28" i="47" s="1"/>
  <c r="L28" i="47" s="1"/>
  <c r="D638" i="10" s="1"/>
  <c r="H29" i="47"/>
  <c r="J29" i="47" s="1"/>
  <c r="L29" i="47" s="1"/>
  <c r="D639" i="10" s="1"/>
  <c r="H30" i="47"/>
  <c r="J30" i="47" s="1"/>
  <c r="L30" i="47" s="1"/>
  <c r="D640" i="10" s="1"/>
  <c r="H31" i="47"/>
  <c r="J31" i="47" s="1"/>
  <c r="L31" i="47" s="1"/>
  <c r="D641" i="10" s="1"/>
  <c r="H32" i="47"/>
  <c r="J32" i="47" s="1"/>
  <c r="L32" i="47" s="1"/>
  <c r="D642" i="10" s="1"/>
  <c r="H33" i="47"/>
  <c r="J33" i="47" s="1"/>
  <c r="L33" i="47" s="1"/>
  <c r="D643" i="10" s="1"/>
  <c r="H34" i="47"/>
  <c r="J34" i="47" s="1"/>
  <c r="L34" i="47" s="1"/>
  <c r="D644" i="10" s="1"/>
  <c r="H35" i="47"/>
  <c r="J35" i="47" s="1"/>
  <c r="L35" i="47" s="1"/>
  <c r="D645" i="10" s="1"/>
  <c r="H36" i="47"/>
  <c r="J36" i="47" s="1"/>
  <c r="L36" i="47" s="1"/>
  <c r="D646" i="10" s="1"/>
  <c r="H37" i="47"/>
  <c r="J37" i="47" s="1"/>
  <c r="L37" i="47" s="1"/>
  <c r="D647" i="10" s="1"/>
  <c r="H38" i="47"/>
  <c r="J38" i="47" s="1"/>
  <c r="L38" i="47" s="1"/>
  <c r="D648" i="10" s="1"/>
  <c r="H39" i="47"/>
  <c r="J39" i="47" s="1"/>
  <c r="L39" i="47" s="1"/>
  <c r="D649" i="10" s="1"/>
  <c r="H40" i="47"/>
  <c r="J40" i="47" s="1"/>
  <c r="L40" i="47" s="1"/>
  <c r="D650" i="10" s="1"/>
  <c r="H41" i="47"/>
  <c r="J41" i="47" s="1"/>
  <c r="L41" i="47" s="1"/>
  <c r="D651" i="10" s="1"/>
  <c r="H42" i="47"/>
  <c r="J42" i="47" s="1"/>
  <c r="L42" i="47" s="1"/>
  <c r="D652" i="10" s="1"/>
  <c r="H43" i="47"/>
  <c r="J43" i="47" s="1"/>
  <c r="L43" i="47" s="1"/>
  <c r="D653" i="10" s="1"/>
  <c r="H44" i="47"/>
  <c r="J44" i="47" s="1"/>
  <c r="L44" i="47" s="1"/>
  <c r="D654" i="10" s="1"/>
  <c r="H45" i="47"/>
  <c r="J45" i="47" s="1"/>
  <c r="L45" i="47" s="1"/>
  <c r="D655" i="10" s="1"/>
  <c r="H46" i="47"/>
  <c r="J46" i="47" s="1"/>
  <c r="L46" i="47" s="1"/>
  <c r="D656" i="10" s="1"/>
  <c r="H47" i="47"/>
  <c r="J47" i="47" s="1"/>
  <c r="L47" i="47" s="1"/>
  <c r="D657" i="10" s="1"/>
  <c r="H48" i="47"/>
  <c r="J48" i="47" s="1"/>
  <c r="L48" i="47" s="1"/>
  <c r="D658" i="10" s="1"/>
  <c r="H49" i="47"/>
  <c r="J49" i="47" s="1"/>
  <c r="L49" i="47" s="1"/>
  <c r="D659" i="10" s="1"/>
  <c r="H50" i="47"/>
  <c r="J50" i="47" s="1"/>
  <c r="L50" i="47" s="1"/>
  <c r="D660" i="10" s="1"/>
  <c r="H51" i="47"/>
  <c r="J51" i="47" s="1"/>
  <c r="L51" i="47" s="1"/>
  <c r="D661" i="10" s="1"/>
  <c r="H52" i="47"/>
  <c r="J52" i="47" s="1"/>
  <c r="L52" i="47" s="1"/>
  <c r="D662" i="10" s="1"/>
  <c r="H53" i="47"/>
  <c r="J53" i="47" s="1"/>
  <c r="L53" i="47" s="1"/>
  <c r="D663" i="10" s="1"/>
  <c r="H54" i="47"/>
  <c r="J54" i="47" s="1"/>
  <c r="L54" i="47" s="1"/>
  <c r="D664" i="10" s="1"/>
  <c r="H55" i="47"/>
  <c r="J55" i="47" s="1"/>
  <c r="L55" i="47" s="1"/>
  <c r="D665" i="10" s="1"/>
  <c r="H56" i="47"/>
  <c r="J56" i="47" s="1"/>
  <c r="L56" i="47" s="1"/>
  <c r="D666" i="10" s="1"/>
  <c r="H57" i="47"/>
  <c r="J57" i="47" s="1"/>
  <c r="L57" i="47" s="1"/>
  <c r="D667" i="10" s="1"/>
  <c r="H58" i="47"/>
  <c r="J58" i="47" s="1"/>
  <c r="L58" i="47" s="1"/>
  <c r="D668" i="10" s="1"/>
  <c r="H59" i="47"/>
  <c r="J59" i="47" s="1"/>
  <c r="L59" i="47" s="1"/>
  <c r="D669" i="10" s="1"/>
  <c r="H60" i="47"/>
  <c r="J60" i="47" s="1"/>
  <c r="L60" i="47" s="1"/>
  <c r="D670" i="10" s="1"/>
  <c r="H61" i="47"/>
  <c r="J61" i="47" s="1"/>
  <c r="L61" i="47" s="1"/>
  <c r="D671" i="10" s="1"/>
  <c r="H62" i="47"/>
  <c r="J62" i="47" s="1"/>
  <c r="L62" i="47" s="1"/>
  <c r="D672" i="10" s="1"/>
  <c r="H63" i="47"/>
  <c r="J63" i="47" s="1"/>
  <c r="L63" i="47" s="1"/>
  <c r="D673" i="10" s="1"/>
  <c r="H64" i="47"/>
  <c r="J64" i="47" s="1"/>
  <c r="L64" i="47" s="1"/>
  <c r="D674" i="10" s="1"/>
  <c r="J65" i="47"/>
  <c r="L65" i="47" s="1"/>
  <c r="D675" i="10" s="1"/>
  <c r="J66" i="47"/>
  <c r="L66" i="47" s="1"/>
  <c r="D676" i="10" s="1"/>
  <c r="H67" i="47"/>
  <c r="J67" i="47" s="1"/>
  <c r="L67" i="47" s="1"/>
  <c r="D677" i="10" s="1"/>
  <c r="H68" i="47"/>
  <c r="J68" i="47" s="1"/>
  <c r="L68" i="47" s="1"/>
  <c r="D678" i="10" s="1"/>
  <c r="H69" i="47"/>
  <c r="J69" i="47" s="1"/>
  <c r="L69" i="47" s="1"/>
  <c r="D679" i="10" s="1"/>
  <c r="H70" i="47"/>
  <c r="J70" i="47" s="1"/>
  <c r="L70" i="47" s="1"/>
  <c r="D680" i="10" s="1"/>
  <c r="H71" i="47"/>
  <c r="J71" i="47" s="1"/>
  <c r="L71" i="47" s="1"/>
  <c r="H73" i="47"/>
  <c r="J73" i="47" s="1"/>
  <c r="L73" i="47" s="1"/>
  <c r="D682" i="10" s="1"/>
  <c r="H75" i="47"/>
  <c r="J75" i="47" s="1"/>
  <c r="L75" i="47" s="1"/>
  <c r="D684" i="10" s="1"/>
  <c r="H76" i="47"/>
  <c r="J76" i="47" s="1"/>
  <c r="L76" i="47" s="1"/>
  <c r="D685" i="10" s="1"/>
  <c r="H77" i="47"/>
  <c r="J77" i="47" s="1"/>
  <c r="L77" i="47" s="1"/>
  <c r="D686" i="10" s="1"/>
  <c r="H78" i="47"/>
  <c r="J78" i="47" s="1"/>
  <c r="L78" i="47" s="1"/>
  <c r="D687" i="10" s="1"/>
  <c r="H79" i="47"/>
  <c r="J79" i="47" s="1"/>
  <c r="L79" i="47" s="1"/>
  <c r="D688" i="10" s="1"/>
  <c r="H80" i="47"/>
  <c r="J80" i="47" s="1"/>
  <c r="L80" i="47" s="1"/>
  <c r="D689" i="10" s="1"/>
  <c r="H81" i="47"/>
  <c r="J81" i="47" s="1"/>
  <c r="L81" i="47" s="1"/>
  <c r="D690" i="10" s="1"/>
  <c r="H82" i="47"/>
  <c r="J82" i="47" s="1"/>
  <c r="L82" i="47" s="1"/>
  <c r="D691" i="10" s="1"/>
  <c r="H83" i="47"/>
  <c r="J83" i="47" s="1"/>
  <c r="L83" i="47" s="1"/>
  <c r="D692" i="10" s="1"/>
  <c r="H84" i="47"/>
  <c r="J84" i="47" s="1"/>
  <c r="L84" i="47" s="1"/>
  <c r="D693" i="10" s="1"/>
  <c r="H85" i="47"/>
  <c r="J85" i="47" s="1"/>
  <c r="L85" i="47" s="1"/>
  <c r="D694" i="10" s="1"/>
  <c r="H87" i="47"/>
  <c r="J87" i="47" s="1"/>
  <c r="L87" i="47" s="1"/>
  <c r="D695" i="10" s="1"/>
  <c r="H88" i="47"/>
  <c r="J88" i="47" s="1"/>
  <c r="L88" i="47" s="1"/>
  <c r="D790" i="10" s="1"/>
  <c r="H89" i="47"/>
  <c r="J89" i="47" s="1"/>
  <c r="L89" i="47" s="1"/>
  <c r="D706" i="10" s="1"/>
  <c r="H92" i="47"/>
  <c r="J92" i="47" s="1"/>
  <c r="L92" i="47" s="1"/>
  <c r="D708" i="10" s="1"/>
  <c r="H93" i="47"/>
  <c r="J93" i="47" s="1"/>
  <c r="L93" i="47" s="1"/>
  <c r="D709" i="10" s="1"/>
  <c r="H94" i="47"/>
  <c r="J94" i="47" s="1"/>
  <c r="L94" i="47" s="1"/>
  <c r="D710" i="10" s="1"/>
  <c r="H95" i="47"/>
  <c r="J95" i="47" s="1"/>
  <c r="L95" i="47" s="1"/>
  <c r="D711" i="10" s="1"/>
  <c r="H96" i="47"/>
  <c r="J96" i="47" s="1"/>
  <c r="L96" i="47" s="1"/>
  <c r="D712" i="10" s="1"/>
  <c r="H97" i="47"/>
  <c r="J97" i="47" s="1"/>
  <c r="L97" i="47" s="1"/>
  <c r="D713" i="10" s="1"/>
  <c r="H98" i="47"/>
  <c r="J98" i="47" s="1"/>
  <c r="L98" i="47" s="1"/>
  <c r="D714" i="10" s="1"/>
  <c r="H99" i="47"/>
  <c r="J99" i="47" s="1"/>
  <c r="L99" i="47" s="1"/>
  <c r="D715" i="10" s="1"/>
  <c r="H100" i="47"/>
  <c r="J100" i="47" s="1"/>
  <c r="L100" i="47" s="1"/>
  <c r="D716" i="10" s="1"/>
  <c r="H101" i="47"/>
  <c r="J101" i="47" s="1"/>
  <c r="L101" i="47" s="1"/>
  <c r="D717" i="10" s="1"/>
  <c r="H102" i="47"/>
  <c r="J102" i="47" s="1"/>
  <c r="L102" i="47" s="1"/>
  <c r="D718" i="10" s="1"/>
  <c r="H103" i="47"/>
  <c r="J103" i="47" s="1"/>
  <c r="L103" i="47" s="1"/>
  <c r="D719" i="10" s="1"/>
  <c r="H104" i="47"/>
  <c r="J104" i="47" s="1"/>
  <c r="L104" i="47" s="1"/>
  <c r="D720" i="10" s="1"/>
  <c r="H105" i="47"/>
  <c r="J105" i="47" s="1"/>
  <c r="L105" i="47" s="1"/>
  <c r="D721" i="10" s="1"/>
  <c r="H106" i="47"/>
  <c r="J106" i="47" s="1"/>
  <c r="L106" i="47" s="1"/>
  <c r="D722" i="10" s="1"/>
  <c r="H107" i="47"/>
  <c r="J107" i="47" s="1"/>
  <c r="L107" i="47" s="1"/>
  <c r="D723" i="10" s="1"/>
  <c r="H108" i="47"/>
  <c r="J108" i="47" s="1"/>
  <c r="L108" i="47" s="1"/>
  <c r="D724" i="10" s="1"/>
  <c r="H109" i="47"/>
  <c r="J109" i="47" s="1"/>
  <c r="L109" i="47" s="1"/>
  <c r="D725" i="10" s="1"/>
  <c r="H110" i="47"/>
  <c r="J110" i="47" s="1"/>
  <c r="L110" i="47" s="1"/>
  <c r="D726" i="10" s="1"/>
  <c r="H111" i="47"/>
  <c r="J111" i="47" s="1"/>
  <c r="L111" i="47" s="1"/>
  <c r="D727" i="10" s="1"/>
  <c r="H112" i="47"/>
  <c r="J112" i="47" s="1"/>
  <c r="L112" i="47" s="1"/>
  <c r="D728" i="10" s="1"/>
  <c r="H113" i="47"/>
  <c r="J113" i="47" s="1"/>
  <c r="L113" i="47" s="1"/>
  <c r="D729" i="10" s="1"/>
  <c r="H114" i="47"/>
  <c r="J114" i="47" s="1"/>
  <c r="L114" i="47" s="1"/>
  <c r="D730" i="10" s="1"/>
  <c r="H115" i="47"/>
  <c r="J115" i="47" s="1"/>
  <c r="L115" i="47" s="1"/>
  <c r="D731" i="10" s="1"/>
  <c r="H116" i="47"/>
  <c r="J116" i="47" s="1"/>
  <c r="L116" i="47" s="1"/>
  <c r="D732" i="10" s="1"/>
  <c r="H117" i="47"/>
  <c r="J117" i="47" s="1"/>
  <c r="L117" i="47" s="1"/>
  <c r="D733" i="10" s="1"/>
  <c r="H118" i="47"/>
  <c r="J118" i="47" s="1"/>
  <c r="L118" i="47" s="1"/>
  <c r="D734" i="10" s="1"/>
  <c r="H119" i="47"/>
  <c r="J119" i="47" s="1"/>
  <c r="L119" i="47" s="1"/>
  <c r="D735" i="10" s="1"/>
  <c r="H120" i="47"/>
  <c r="J120" i="47" s="1"/>
  <c r="L120" i="47" s="1"/>
  <c r="D736" i="10" s="1"/>
  <c r="H121" i="47"/>
  <c r="J121" i="47" s="1"/>
  <c r="L121" i="47" s="1"/>
  <c r="D737" i="10" s="1"/>
  <c r="H122" i="47"/>
  <c r="J122" i="47" s="1"/>
  <c r="L122" i="47" s="1"/>
  <c r="D738" i="10" s="1"/>
  <c r="H123" i="47"/>
  <c r="J123" i="47" s="1"/>
  <c r="L123" i="47" s="1"/>
  <c r="D739" i="10" s="1"/>
  <c r="H124" i="47"/>
  <c r="J124" i="47" s="1"/>
  <c r="L124" i="47" s="1"/>
  <c r="D740" i="10" s="1"/>
  <c r="H125" i="47"/>
  <c r="J125" i="47" s="1"/>
  <c r="L125" i="47" s="1"/>
  <c r="D741" i="10" s="1"/>
  <c r="H126" i="47"/>
  <c r="J126" i="47" s="1"/>
  <c r="L126" i="47" s="1"/>
  <c r="D742" i="10" s="1"/>
  <c r="H127" i="47"/>
  <c r="J127" i="47" s="1"/>
  <c r="L127" i="47" s="1"/>
  <c r="D743" i="10" s="1"/>
  <c r="H128" i="47"/>
  <c r="J128" i="47" s="1"/>
  <c r="L128" i="47" s="1"/>
  <c r="D744" i="10" s="1"/>
  <c r="H129" i="47"/>
  <c r="J129" i="47" s="1"/>
  <c r="L129" i="47" s="1"/>
  <c r="D745" i="10" s="1"/>
  <c r="H130" i="47"/>
  <c r="J130" i="47" s="1"/>
  <c r="L130" i="47" s="1"/>
  <c r="D746" i="10" s="1"/>
  <c r="H131" i="47"/>
  <c r="J131" i="47" s="1"/>
  <c r="L131" i="47" s="1"/>
  <c r="D747" i="10" s="1"/>
  <c r="H132" i="47"/>
  <c r="J132" i="47" s="1"/>
  <c r="L132" i="47" s="1"/>
  <c r="D748" i="10" s="1"/>
  <c r="H133" i="47"/>
  <c r="J133" i="47" s="1"/>
  <c r="L133" i="47" s="1"/>
  <c r="D749" i="10" s="1"/>
  <c r="H134" i="47"/>
  <c r="J134" i="47" s="1"/>
  <c r="L134" i="47" s="1"/>
  <c r="D750" i="10" s="1"/>
  <c r="H135" i="47"/>
  <c r="J135" i="47" s="1"/>
  <c r="L135" i="47" s="1"/>
  <c r="D751" i="10" s="1"/>
  <c r="H136" i="47"/>
  <c r="J136" i="47" s="1"/>
  <c r="L136" i="47" s="1"/>
  <c r="D752" i="10" s="1"/>
  <c r="H137" i="47"/>
  <c r="J137" i="47" s="1"/>
  <c r="L137" i="47" s="1"/>
  <c r="D753" i="10" s="1"/>
  <c r="H138" i="47"/>
  <c r="J138" i="47" s="1"/>
  <c r="L138" i="47" s="1"/>
  <c r="D754" i="10" s="1"/>
  <c r="H139" i="47"/>
  <c r="J139" i="47" s="1"/>
  <c r="L139" i="47" s="1"/>
  <c r="D755" i="10" s="1"/>
  <c r="H140" i="47"/>
  <c r="J140" i="47" s="1"/>
  <c r="L140" i="47" s="1"/>
  <c r="D756" i="10" s="1"/>
  <c r="H141" i="47"/>
  <c r="J141" i="47" s="1"/>
  <c r="L141" i="47" s="1"/>
  <c r="D757" i="10" s="1"/>
  <c r="H142" i="47"/>
  <c r="J142" i="47" s="1"/>
  <c r="L142" i="47" s="1"/>
  <c r="D758" i="10" s="1"/>
  <c r="H143" i="47"/>
  <c r="J143" i="47" s="1"/>
  <c r="L143" i="47" s="1"/>
  <c r="D759" i="10" s="1"/>
  <c r="H144" i="47"/>
  <c r="J144" i="47" s="1"/>
  <c r="L144" i="47" s="1"/>
  <c r="D760" i="10" s="1"/>
  <c r="H145" i="47"/>
  <c r="J145" i="47" s="1"/>
  <c r="L145" i="47" s="1"/>
  <c r="D761" i="10" s="1"/>
  <c r="H146" i="47"/>
  <c r="J146" i="47" s="1"/>
  <c r="L146" i="47" s="1"/>
  <c r="D762" i="10" s="1"/>
  <c r="H147" i="47"/>
  <c r="J147" i="47" s="1"/>
  <c r="L147" i="47" s="1"/>
  <c r="D763" i="10" s="1"/>
  <c r="H148" i="47"/>
  <c r="J148" i="47" s="1"/>
  <c r="L148" i="47" s="1"/>
  <c r="D764" i="10" s="1"/>
  <c r="H149" i="47"/>
  <c r="J149" i="47" s="1"/>
  <c r="L149" i="47" s="1"/>
  <c r="D765" i="10" s="1"/>
  <c r="H150" i="47"/>
  <c r="J150" i="47" s="1"/>
  <c r="L150" i="47" s="1"/>
  <c r="D766" i="10" s="1"/>
  <c r="H151" i="47"/>
  <c r="J151" i="47" s="1"/>
  <c r="L151" i="47" s="1"/>
  <c r="D767" i="10" s="1"/>
  <c r="H152" i="47"/>
  <c r="J152" i="47" s="1"/>
  <c r="L152" i="47" s="1"/>
  <c r="D768" i="10" s="1"/>
  <c r="H153" i="47"/>
  <c r="J153" i="47" s="1"/>
  <c r="L153" i="47" s="1"/>
  <c r="D769" i="10" s="1"/>
  <c r="H154" i="47"/>
  <c r="J154" i="47" s="1"/>
  <c r="L154" i="47" s="1"/>
  <c r="D770" i="10" s="1"/>
  <c r="H155" i="47"/>
  <c r="J155" i="47" s="1"/>
  <c r="L155" i="47" s="1"/>
  <c r="D771" i="10" s="1"/>
  <c r="H156" i="47"/>
  <c r="J156" i="47" s="1"/>
  <c r="L156" i="47" s="1"/>
  <c r="D772" i="10" s="1"/>
  <c r="H157" i="47"/>
  <c r="J157" i="47" s="1"/>
  <c r="L157" i="47" s="1"/>
  <c r="D773" i="10" s="1"/>
  <c r="H158" i="47"/>
  <c r="J158" i="47" s="1"/>
  <c r="L158" i="47" s="1"/>
  <c r="D774" i="10" s="1"/>
  <c r="H159" i="47"/>
  <c r="J159" i="47" s="1"/>
  <c r="L159" i="47" s="1"/>
  <c r="D775" i="10" s="1"/>
  <c r="H160" i="47"/>
  <c r="J160" i="47" s="1"/>
  <c r="L160" i="47" s="1"/>
  <c r="D776" i="10" s="1"/>
  <c r="H161" i="47"/>
  <c r="J161" i="47" s="1"/>
  <c r="L161" i="47" s="1"/>
  <c r="D777" i="10" s="1"/>
  <c r="H162" i="47"/>
  <c r="J162" i="47" s="1"/>
  <c r="L162" i="47" s="1"/>
  <c r="D778" i="10" s="1"/>
  <c r="H163" i="47"/>
  <c r="J163" i="47" s="1"/>
  <c r="L163" i="47" s="1"/>
  <c r="D696" i="10" s="1"/>
  <c r="H164" i="47"/>
  <c r="J164" i="47" s="1"/>
  <c r="L164" i="47" s="1"/>
  <c r="D697" i="10" s="1"/>
  <c r="H165" i="47"/>
  <c r="J165" i="47" s="1"/>
  <c r="L165" i="47" s="1"/>
  <c r="D698" i="10" s="1"/>
  <c r="H166" i="47"/>
  <c r="J166" i="47" s="1"/>
  <c r="L166" i="47" s="1"/>
  <c r="D699" i="10" s="1"/>
  <c r="H167" i="47"/>
  <c r="J167" i="47" s="1"/>
  <c r="L167" i="47" s="1"/>
  <c r="D700" i="10" s="1"/>
  <c r="H168" i="47"/>
  <c r="J168" i="47" s="1"/>
  <c r="L168" i="47" s="1"/>
  <c r="D701" i="10" s="1"/>
  <c r="H169" i="47"/>
  <c r="J169" i="47" s="1"/>
  <c r="L169" i="47" s="1"/>
  <c r="D702" i="10" s="1"/>
  <c r="H170" i="47"/>
  <c r="J170" i="47" s="1"/>
  <c r="L170" i="47" s="1"/>
  <c r="D703" i="10" s="1"/>
  <c r="H171" i="47"/>
  <c r="J171" i="47" s="1"/>
  <c r="L171" i="47" s="1"/>
  <c r="D704" i="10" s="1"/>
  <c r="H172" i="47"/>
  <c r="J172" i="47" s="1"/>
  <c r="L172" i="47" s="1"/>
  <c r="D705" i="10" s="1"/>
  <c r="H173" i="47"/>
  <c r="J173" i="47" s="1"/>
  <c r="L173" i="47" s="1"/>
  <c r="D791" i="10" s="1"/>
  <c r="D681" i="10" l="1"/>
  <c r="F994" i="10"/>
  <c r="J518" i="10"/>
  <c r="E709" i="10" s="1"/>
  <c r="F331" i="10"/>
  <c r="F328" i="10"/>
  <c r="F332" i="10"/>
  <c r="Q172" i="34"/>
  <c r="H493" i="10"/>
  <c r="J510" i="10"/>
  <c r="I993" i="10"/>
  <c r="G972" i="10"/>
  <c r="I991" i="10"/>
  <c r="D978" i="10"/>
  <c r="G313" i="10"/>
  <c r="D27" i="36"/>
  <c r="E27" i="46"/>
  <c r="J9" i="46" s="1"/>
  <c r="D26" i="36" l="1"/>
  <c r="F989" i="10"/>
  <c r="G830" i="10"/>
  <c r="C1357" i="22"/>
  <c r="G1357" i="22" s="1"/>
  <c r="J1357" i="22" s="1"/>
  <c r="G864" i="16"/>
  <c r="G863" i="16"/>
  <c r="G862" i="16"/>
  <c r="G861" i="16"/>
  <c r="G860" i="16"/>
  <c r="G859" i="16"/>
  <c r="G858" i="16"/>
  <c r="G857" i="16"/>
  <c r="G856" i="16"/>
  <c r="G846" i="16"/>
  <c r="G845" i="16"/>
  <c r="G844" i="16"/>
  <c r="G831" i="16"/>
  <c r="G830" i="16"/>
  <c r="G829" i="16"/>
  <c r="G828" i="16"/>
  <c r="G827" i="16"/>
  <c r="G826" i="16"/>
  <c r="G825" i="16"/>
  <c r="G824" i="16"/>
  <c r="G823" i="16"/>
  <c r="G822" i="16"/>
  <c r="G821" i="16"/>
  <c r="G820" i="16"/>
  <c r="G819" i="16"/>
  <c r="G818" i="16"/>
  <c r="G817" i="16"/>
  <c r="G816" i="16"/>
  <c r="G815" i="16"/>
  <c r="G814" i="16"/>
  <c r="G813" i="16"/>
  <c r="G812" i="16"/>
  <c r="G811" i="16"/>
  <c r="G810" i="16"/>
  <c r="G809" i="16"/>
  <c r="G808" i="16"/>
  <c r="G807" i="16"/>
  <c r="G806" i="16"/>
  <c r="G805" i="16"/>
  <c r="G804" i="16"/>
  <c r="G803" i="16"/>
  <c r="G802" i="16"/>
  <c r="G801" i="16"/>
  <c r="G800" i="16"/>
  <c r="G799" i="16"/>
  <c r="G798" i="16"/>
  <c r="G797" i="16"/>
  <c r="G796" i="16"/>
  <c r="G795" i="16"/>
  <c r="G794" i="16"/>
  <c r="G793" i="16"/>
  <c r="G792" i="16"/>
  <c r="G791" i="16"/>
  <c r="G790" i="16"/>
  <c r="G789" i="16"/>
  <c r="G788" i="16"/>
  <c r="G787" i="16"/>
  <c r="G786" i="16"/>
  <c r="G785" i="16"/>
  <c r="G784" i="16"/>
  <c r="G783" i="16"/>
  <c r="G782" i="16"/>
  <c r="G781" i="16"/>
  <c r="G780" i="16"/>
  <c r="G779" i="16"/>
  <c r="G778" i="16"/>
  <c r="G777" i="16"/>
  <c r="G776" i="16"/>
  <c r="G775" i="16"/>
  <c r="G774" i="16"/>
  <c r="G773" i="16"/>
  <c r="G772" i="16"/>
  <c r="G771" i="16"/>
  <c r="G770" i="16"/>
  <c r="G769" i="16"/>
  <c r="G768" i="16"/>
  <c r="G767" i="16"/>
  <c r="G766" i="16"/>
  <c r="G765" i="16"/>
  <c r="G764" i="16"/>
  <c r="G763" i="16"/>
  <c r="G762" i="16"/>
  <c r="G761" i="16"/>
  <c r="G760" i="16"/>
  <c r="G759" i="16"/>
  <c r="G758" i="16"/>
  <c r="G757" i="16"/>
  <c r="G756" i="16"/>
  <c r="G755" i="16"/>
  <c r="G754" i="16"/>
  <c r="G753" i="16"/>
  <c r="G752" i="16"/>
  <c r="G751" i="16"/>
  <c r="G750" i="16"/>
  <c r="G749" i="16"/>
  <c r="G748" i="16"/>
  <c r="G747" i="16"/>
  <c r="G746" i="16"/>
  <c r="G745" i="16"/>
  <c r="G744" i="16"/>
  <c r="G743" i="16"/>
  <c r="G742" i="16"/>
  <c r="G741" i="16"/>
  <c r="G740" i="16"/>
  <c r="G739" i="16"/>
  <c r="G738" i="16"/>
  <c r="G737" i="16"/>
  <c r="G736" i="16"/>
  <c r="G735" i="16"/>
  <c r="G734" i="16"/>
  <c r="G733" i="16"/>
  <c r="G732" i="16"/>
  <c r="G731" i="16"/>
  <c r="G730" i="16"/>
  <c r="G729" i="16"/>
  <c r="G728" i="16"/>
  <c r="G727" i="16"/>
  <c r="G726" i="16"/>
  <c r="G725" i="16"/>
  <c r="G724" i="16"/>
  <c r="G723" i="16"/>
  <c r="G722" i="16"/>
  <c r="G721" i="16"/>
  <c r="G720" i="16"/>
  <c r="G719" i="16"/>
  <c r="G718" i="16"/>
  <c r="G717" i="16"/>
  <c r="G716" i="16"/>
  <c r="G715" i="16"/>
  <c r="G714" i="16"/>
  <c r="G713" i="16"/>
  <c r="G712" i="16"/>
  <c r="G711" i="16"/>
  <c r="G710" i="16"/>
  <c r="G709" i="16"/>
  <c r="G708" i="16"/>
  <c r="G707" i="16"/>
  <c r="G706" i="16"/>
  <c r="G705" i="16"/>
  <c r="G704" i="16"/>
  <c r="G703" i="16"/>
  <c r="G702" i="16"/>
  <c r="G701" i="16"/>
  <c r="G700" i="16"/>
  <c r="G699" i="16"/>
  <c r="G698" i="16"/>
  <c r="G697" i="16"/>
  <c r="G696" i="16"/>
  <c r="G695" i="16"/>
  <c r="G694" i="16"/>
  <c r="G693" i="16"/>
  <c r="G692" i="16"/>
  <c r="G691" i="16"/>
  <c r="G690" i="16"/>
  <c r="G689" i="16"/>
  <c r="G688" i="16"/>
  <c r="G687" i="16"/>
  <c r="G686" i="16"/>
  <c r="G685" i="16"/>
  <c r="G684" i="16"/>
  <c r="G683" i="16"/>
  <c r="G682" i="16"/>
  <c r="G681" i="16"/>
  <c r="G680" i="16"/>
  <c r="G679" i="16"/>
  <c r="G678" i="16"/>
  <c r="G677" i="16"/>
  <c r="G676" i="16"/>
  <c r="G675" i="16"/>
  <c r="G674" i="16"/>
  <c r="G673" i="16"/>
  <c r="G672" i="16"/>
  <c r="G671" i="16"/>
  <c r="G670" i="16"/>
  <c r="G669" i="16"/>
  <c r="G668" i="16"/>
  <c r="G667" i="16"/>
  <c r="G666" i="16"/>
  <c r="G665" i="16"/>
  <c r="G664" i="16"/>
  <c r="G663" i="16"/>
  <c r="G662" i="16"/>
  <c r="G661" i="16"/>
  <c r="G660" i="16"/>
  <c r="G659" i="16"/>
  <c r="G658" i="16"/>
  <c r="G657" i="16"/>
  <c r="G656" i="16"/>
  <c r="G655" i="16"/>
  <c r="G654" i="16"/>
  <c r="G653" i="16"/>
  <c r="G652" i="16"/>
  <c r="G651" i="16"/>
  <c r="G650" i="16"/>
  <c r="G649" i="16"/>
  <c r="G648" i="16"/>
  <c r="G647" i="16"/>
  <c r="G646" i="16"/>
  <c r="G645" i="16"/>
  <c r="G644" i="16"/>
  <c r="G643" i="16"/>
  <c r="G642" i="16"/>
  <c r="G641" i="16"/>
  <c r="G640" i="16"/>
  <c r="G639" i="16"/>
  <c r="G638" i="16"/>
  <c r="G637" i="16"/>
  <c r="G636" i="16"/>
  <c r="G635" i="16"/>
  <c r="G634" i="16"/>
  <c r="G633" i="16"/>
  <c r="G632" i="16"/>
  <c r="G631" i="16"/>
  <c r="G630" i="16"/>
  <c r="G629" i="16"/>
  <c r="G628" i="16"/>
  <c r="G627" i="16"/>
  <c r="G626" i="16"/>
  <c r="G625" i="16"/>
  <c r="G624" i="16"/>
  <c r="G623" i="16"/>
  <c r="G622" i="16"/>
  <c r="G621" i="16"/>
  <c r="G620" i="16"/>
  <c r="G619" i="16"/>
  <c r="G618" i="16"/>
  <c r="G617" i="16"/>
  <c r="G616" i="16"/>
  <c r="G615" i="16"/>
  <c r="G614" i="16"/>
  <c r="G613" i="16"/>
  <c r="G612" i="16"/>
  <c r="G611" i="16"/>
  <c r="G610" i="16"/>
  <c r="G609" i="16"/>
  <c r="G608" i="16"/>
  <c r="G607" i="16"/>
  <c r="G606" i="16"/>
  <c r="G605" i="16"/>
  <c r="G604" i="16"/>
  <c r="G603" i="16"/>
  <c r="G602" i="16"/>
  <c r="G601" i="16"/>
  <c r="G600" i="16"/>
  <c r="G599" i="16"/>
  <c r="G598" i="16"/>
  <c r="G597" i="16"/>
  <c r="G596" i="16"/>
  <c r="G595" i="16"/>
  <c r="G594" i="16"/>
  <c r="G593" i="16"/>
  <c r="G592" i="16"/>
  <c r="G591" i="16"/>
  <c r="G590" i="16"/>
  <c r="G589" i="16"/>
  <c r="G588" i="16"/>
  <c r="G587" i="16"/>
  <c r="G586" i="16"/>
  <c r="G585" i="16"/>
  <c r="G584" i="16"/>
  <c r="G583" i="16"/>
  <c r="G582" i="16"/>
  <c r="G581" i="16"/>
  <c r="G580" i="16"/>
  <c r="G579" i="16"/>
  <c r="G578" i="16"/>
  <c r="G577" i="16"/>
  <c r="G576" i="16"/>
  <c r="G575" i="16"/>
  <c r="G574" i="16"/>
  <c r="G573" i="16"/>
  <c r="G572" i="16"/>
  <c r="G571" i="16"/>
  <c r="G570" i="16"/>
  <c r="G569" i="16"/>
  <c r="G568" i="16"/>
  <c r="G567" i="16"/>
  <c r="G566" i="16"/>
  <c r="G565" i="16"/>
  <c r="G564" i="16"/>
  <c r="G563" i="16"/>
  <c r="G562" i="16"/>
  <c r="G561" i="16"/>
  <c r="G560" i="16"/>
  <c r="G559" i="16"/>
  <c r="G558" i="16"/>
  <c r="G557" i="16"/>
  <c r="G556" i="16"/>
  <c r="G555" i="16"/>
  <c r="G554" i="16"/>
  <c r="G553" i="16"/>
  <c r="G552" i="16"/>
  <c r="G551" i="16"/>
  <c r="G550" i="16"/>
  <c r="G549" i="16"/>
  <c r="G548" i="16"/>
  <c r="G547" i="16"/>
  <c r="G546" i="16"/>
  <c r="G545" i="16"/>
  <c r="G544" i="16"/>
  <c r="G543" i="16"/>
  <c r="G542" i="16"/>
  <c r="G541" i="16"/>
  <c r="G540" i="16"/>
  <c r="G539" i="16"/>
  <c r="G538" i="16"/>
  <c r="G537" i="16"/>
  <c r="G536" i="16"/>
  <c r="G535" i="16"/>
  <c r="G534" i="16"/>
  <c r="G533" i="16"/>
  <c r="G532" i="16"/>
  <c r="G531" i="16"/>
  <c r="G530" i="16"/>
  <c r="G529" i="16"/>
  <c r="G528" i="16"/>
  <c r="G527" i="16"/>
  <c r="G526" i="16"/>
  <c r="G525" i="16"/>
  <c r="G524" i="16"/>
  <c r="G523" i="16"/>
  <c r="G522" i="16"/>
  <c r="G521" i="16"/>
  <c r="G520" i="16"/>
  <c r="G519" i="16"/>
  <c r="G518" i="16"/>
  <c r="G517" i="16"/>
  <c r="G516" i="16"/>
  <c r="G515" i="16"/>
  <c r="G514" i="16"/>
  <c r="G513" i="16"/>
  <c r="G512" i="16"/>
  <c r="G511" i="16"/>
  <c r="G510" i="16"/>
  <c r="G509" i="16"/>
  <c r="G508" i="16"/>
  <c r="G507" i="16"/>
  <c r="G506" i="16"/>
  <c r="G505" i="16"/>
  <c r="G504" i="16"/>
  <c r="G503" i="16"/>
  <c r="G502" i="16"/>
  <c r="G501" i="16"/>
  <c r="G500" i="16"/>
  <c r="G499" i="16"/>
  <c r="G498" i="16"/>
  <c r="G497" i="16"/>
  <c r="G496" i="16"/>
  <c r="G495" i="16"/>
  <c r="G494" i="16"/>
  <c r="G493" i="16"/>
  <c r="G492" i="16"/>
  <c r="G491" i="16"/>
  <c r="G490" i="16"/>
  <c r="G489" i="16"/>
  <c r="G488" i="16"/>
  <c r="G487" i="16"/>
  <c r="G486" i="16"/>
  <c r="G485" i="16"/>
  <c r="G484" i="16"/>
  <c r="G483" i="16"/>
  <c r="G482" i="16"/>
  <c r="G481" i="16"/>
  <c r="G480" i="16"/>
  <c r="G479" i="16"/>
  <c r="G478" i="16"/>
  <c r="G477" i="16"/>
  <c r="G476" i="16"/>
  <c r="G475" i="16"/>
  <c r="G474" i="16"/>
  <c r="G473" i="16"/>
  <c r="G472" i="16"/>
  <c r="G471" i="16"/>
  <c r="G470" i="16"/>
  <c r="G469" i="16"/>
  <c r="G468" i="16"/>
  <c r="K1367" i="4"/>
  <c r="N1367" i="4"/>
  <c r="M1367" i="4"/>
  <c r="H1367" i="4" l="1"/>
  <c r="J1367" i="4"/>
  <c r="O1367" i="4" s="1"/>
  <c r="AA670" i="22" l="1"/>
  <c r="G407" i="16"/>
  <c r="G406" i="16"/>
  <c r="G405" i="16"/>
  <c r="G404" i="16"/>
  <c r="G403" i="16"/>
  <c r="G402" i="16"/>
  <c r="G401" i="16"/>
  <c r="G400"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6" i="16"/>
  <c r="G365" i="16"/>
  <c r="G364" i="16"/>
  <c r="G363" i="16"/>
  <c r="G362" i="16"/>
  <c r="G361" i="16"/>
  <c r="G360" i="16"/>
  <c r="G359" i="16"/>
  <c r="G358" i="16"/>
  <c r="G357" i="16"/>
  <c r="G356" i="16"/>
  <c r="G355" i="16"/>
  <c r="G354" i="16"/>
  <c r="G353" i="16"/>
  <c r="G352" i="16"/>
  <c r="G351" i="16"/>
  <c r="G350" i="16"/>
  <c r="G349" i="16"/>
  <c r="G348" i="16"/>
  <c r="G347" i="16"/>
  <c r="G346" i="16"/>
  <c r="G345" i="16"/>
  <c r="G344" i="16"/>
  <c r="G343" i="16"/>
  <c r="G342" i="16"/>
  <c r="G341" i="16"/>
  <c r="G340" i="16"/>
  <c r="G339" i="16"/>
  <c r="G338" i="16"/>
  <c r="G337" i="16"/>
  <c r="G336" i="16"/>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282" i="16"/>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5" i="16"/>
  <c r="G14" i="16"/>
  <c r="G13" i="16"/>
  <c r="G12" i="16"/>
  <c r="G11" i="16"/>
  <c r="G10" i="16"/>
  <c r="G9" i="16"/>
  <c r="G8" i="16"/>
  <c r="G7" i="16"/>
  <c r="G6" i="16"/>
  <c r="R929" i="4"/>
  <c r="R928" i="4"/>
  <c r="R927" i="4"/>
  <c r="F759" i="22"/>
  <c r="F765" i="22"/>
  <c r="R1372" i="4"/>
  <c r="R1353" i="4"/>
  <c r="R1351" i="4"/>
  <c r="R1349" i="4"/>
  <c r="R1345" i="4"/>
  <c r="R682" i="4"/>
  <c r="F786" i="4"/>
  <c r="H786" i="4" s="1"/>
  <c r="F772" i="4"/>
  <c r="H772" i="4" s="1"/>
  <c r="F777" i="4"/>
  <c r="H777" i="4" s="1"/>
  <c r="F783" i="4"/>
  <c r="G783" i="4" s="1"/>
  <c r="C777" i="22" s="1"/>
  <c r="A30" i="16"/>
  <c r="F30" i="16"/>
  <c r="A31" i="16"/>
  <c r="F31" i="16"/>
  <c r="A32" i="16"/>
  <c r="F32" i="16"/>
  <c r="A33" i="16"/>
  <c r="F33" i="16"/>
  <c r="A34" i="16"/>
  <c r="F34" i="16"/>
  <c r="A35" i="16"/>
  <c r="F35" i="16"/>
  <c r="A36" i="16"/>
  <c r="F36" i="16"/>
  <c r="A37" i="16"/>
  <c r="F37" i="16"/>
  <c r="A38" i="16"/>
  <c r="F38" i="16"/>
  <c r="E305" i="10" l="1"/>
  <c r="G777" i="22"/>
  <c r="R783" i="4"/>
  <c r="G786" i="4"/>
  <c r="C779" i="22" s="1"/>
  <c r="G779" i="22" s="1"/>
  <c r="H783" i="4"/>
  <c r="G772" i="4"/>
  <c r="G777" i="4"/>
  <c r="C765" i="22" s="1"/>
  <c r="C759" i="22" l="1"/>
  <c r="G759" i="22" s="1"/>
  <c r="C760" i="22"/>
  <c r="G760" i="22" s="1"/>
  <c r="S760" i="22" s="1"/>
  <c r="AA760" i="22" s="1"/>
  <c r="R777" i="4"/>
  <c r="R778" i="4"/>
  <c r="S779" i="22"/>
  <c r="AA779" i="22" s="1"/>
  <c r="S777" i="22"/>
  <c r="AA777" i="22" s="1"/>
  <c r="G765" i="22"/>
  <c r="R786" i="4"/>
  <c r="R771" i="4" l="1"/>
  <c r="R772" i="4"/>
  <c r="S765" i="22"/>
  <c r="AA765" i="22" s="1"/>
  <c r="S759" i="22"/>
  <c r="AA759" i="22" s="1"/>
  <c r="A864" i="16" l="1"/>
  <c r="A863" i="16"/>
  <c r="A862" i="16"/>
  <c r="A861" i="16"/>
  <c r="A860" i="16"/>
  <c r="A859" i="16"/>
  <c r="A858" i="16"/>
  <c r="A857" i="16"/>
  <c r="A856" i="16"/>
  <c r="A846" i="16"/>
  <c r="A845" i="16"/>
  <c r="A844" i="16"/>
  <c r="A831" i="16"/>
  <c r="A830" i="16"/>
  <c r="A829" i="16"/>
  <c r="A828" i="16"/>
  <c r="A827" i="16"/>
  <c r="A826" i="16"/>
  <c r="A825" i="16"/>
  <c r="A824" i="16"/>
  <c r="A823" i="16"/>
  <c r="A822" i="16"/>
  <c r="A821" i="16"/>
  <c r="A820" i="16"/>
  <c r="A819" i="16"/>
  <c r="A818" i="16"/>
  <c r="A817" i="16"/>
  <c r="A816" i="16"/>
  <c r="A815" i="16"/>
  <c r="A814" i="16"/>
  <c r="A813" i="16"/>
  <c r="A812" i="16"/>
  <c r="A811" i="16"/>
  <c r="A810" i="16"/>
  <c r="A809" i="16"/>
  <c r="A808" i="16"/>
  <c r="A807" i="16"/>
  <c r="A806" i="16"/>
  <c r="A805" i="16"/>
  <c r="A804" i="16"/>
  <c r="A803" i="16"/>
  <c r="A802" i="16"/>
  <c r="A801" i="16"/>
  <c r="A800" i="16"/>
  <c r="A799" i="16"/>
  <c r="A798" i="16"/>
  <c r="A797" i="16"/>
  <c r="A796" i="16"/>
  <c r="A795" i="16"/>
  <c r="A794" i="16"/>
  <c r="A793" i="16"/>
  <c r="A792" i="16"/>
  <c r="A791" i="16"/>
  <c r="A790" i="16"/>
  <c r="A789" i="16"/>
  <c r="A788" i="16"/>
  <c r="A787" i="16"/>
  <c r="A786" i="16"/>
  <c r="A785" i="16"/>
  <c r="A784" i="16"/>
  <c r="A783" i="16"/>
  <c r="A782" i="16"/>
  <c r="A781" i="16"/>
  <c r="A780" i="16"/>
  <c r="A779" i="16"/>
  <c r="A778" i="16"/>
  <c r="A777" i="16"/>
  <c r="A776" i="16"/>
  <c r="A775" i="16"/>
  <c r="A774" i="16"/>
  <c r="A773" i="16"/>
  <c r="A772" i="16"/>
  <c r="A771" i="16"/>
  <c r="A770" i="16"/>
  <c r="A769" i="16"/>
  <c r="A768" i="16"/>
  <c r="A767" i="16"/>
  <c r="A766" i="16"/>
  <c r="A765" i="16"/>
  <c r="A764" i="16"/>
  <c r="A763" i="16"/>
  <c r="A762" i="16"/>
  <c r="A761" i="16"/>
  <c r="A760" i="16"/>
  <c r="A759" i="16"/>
  <c r="A758" i="16"/>
  <c r="A757" i="16"/>
  <c r="A756" i="16"/>
  <c r="A755" i="16"/>
  <c r="A754" i="16"/>
  <c r="A753" i="16"/>
  <c r="A752" i="16"/>
  <c r="A751" i="16"/>
  <c r="A750" i="16"/>
  <c r="A749" i="16"/>
  <c r="A748" i="16"/>
  <c r="A747" i="16"/>
  <c r="A746" i="16"/>
  <c r="A745" i="16"/>
  <c r="A744" i="16"/>
  <c r="A743" i="16"/>
  <c r="A742" i="16"/>
  <c r="A741" i="16"/>
  <c r="A740" i="16"/>
  <c r="A739" i="16"/>
  <c r="A738" i="16"/>
  <c r="A737" i="16"/>
  <c r="A736" i="16"/>
  <c r="A735" i="16"/>
  <c r="A734" i="16"/>
  <c r="A733" i="16"/>
  <c r="A732" i="16"/>
  <c r="A731" i="16"/>
  <c r="A730" i="16"/>
  <c r="A729" i="16"/>
  <c r="A728" i="16"/>
  <c r="A727" i="16"/>
  <c r="A726" i="16"/>
  <c r="A725" i="16"/>
  <c r="A724" i="16"/>
  <c r="A723" i="16"/>
  <c r="A722" i="16"/>
  <c r="A721" i="16"/>
  <c r="A720" i="16"/>
  <c r="A719" i="16"/>
  <c r="A718" i="16"/>
  <c r="A717" i="16"/>
  <c r="A716" i="16"/>
  <c r="A715" i="16"/>
  <c r="A714" i="16"/>
  <c r="A713" i="16"/>
  <c r="A712" i="16"/>
  <c r="A711" i="16"/>
  <c r="A710" i="16"/>
  <c r="A709" i="16"/>
  <c r="A708" i="16"/>
  <c r="A707" i="16"/>
  <c r="A706" i="16"/>
  <c r="A705" i="16"/>
  <c r="A704" i="16"/>
  <c r="A703" i="16"/>
  <c r="A702" i="16"/>
  <c r="A701" i="16"/>
  <c r="A700" i="16"/>
  <c r="A699" i="16"/>
  <c r="A698" i="16"/>
  <c r="A697" i="16"/>
  <c r="A696" i="16"/>
  <c r="A695" i="16"/>
  <c r="A694" i="16"/>
  <c r="A693" i="16"/>
  <c r="A692" i="16"/>
  <c r="A691" i="16"/>
  <c r="A690" i="16"/>
  <c r="A689" i="16"/>
  <c r="A688" i="16"/>
  <c r="A687" i="16"/>
  <c r="A686" i="16"/>
  <c r="A685" i="16"/>
  <c r="A684" i="16"/>
  <c r="A683" i="16"/>
  <c r="A682" i="16"/>
  <c r="A681" i="16"/>
  <c r="A680" i="16"/>
  <c r="A679" i="16"/>
  <c r="A678" i="16"/>
  <c r="A677" i="16"/>
  <c r="A676" i="16"/>
  <c r="A675" i="16"/>
  <c r="A674" i="16"/>
  <c r="A673" i="16"/>
  <c r="A672" i="16"/>
  <c r="A671" i="16"/>
  <c r="A670" i="16"/>
  <c r="A669" i="16"/>
  <c r="A668" i="16"/>
  <c r="A667" i="16"/>
  <c r="A666" i="16"/>
  <c r="A665" i="16"/>
  <c r="A664" i="16"/>
  <c r="A663" i="16"/>
  <c r="A662" i="16"/>
  <c r="A661" i="16"/>
  <c r="A660" i="16"/>
  <c r="A659" i="16"/>
  <c r="A658" i="16"/>
  <c r="A657" i="16"/>
  <c r="A656" i="16"/>
  <c r="A655" i="16"/>
  <c r="A654" i="16"/>
  <c r="A653" i="16"/>
  <c r="A652" i="16"/>
  <c r="A651" i="16"/>
  <c r="A650" i="16"/>
  <c r="A649" i="16"/>
  <c r="A648" i="16"/>
  <c r="A647" i="16"/>
  <c r="A646" i="16"/>
  <c r="A645" i="16"/>
  <c r="A644" i="16"/>
  <c r="A643" i="16"/>
  <c r="A642" i="16"/>
  <c r="A641" i="16"/>
  <c r="A640" i="16"/>
  <c r="A639" i="16"/>
  <c r="A638" i="16"/>
  <c r="A637" i="16"/>
  <c r="A636" i="16"/>
  <c r="A635" i="16"/>
  <c r="A634" i="16"/>
  <c r="A633" i="16"/>
  <c r="A632" i="16"/>
  <c r="A631" i="16"/>
  <c r="A630" i="16"/>
  <c r="A629" i="16"/>
  <c r="A628" i="16"/>
  <c r="A627" i="16"/>
  <c r="A626" i="16"/>
  <c r="A625" i="16"/>
  <c r="A624" i="16"/>
  <c r="A623" i="16"/>
  <c r="A622" i="16"/>
  <c r="A621" i="16"/>
  <c r="A620" i="16"/>
  <c r="A619" i="16"/>
  <c r="A618" i="16"/>
  <c r="A617" i="16"/>
  <c r="A616" i="16"/>
  <c r="A615" i="16"/>
  <c r="A614" i="16"/>
  <c r="A613" i="16"/>
  <c r="A612" i="16"/>
  <c r="A611" i="16"/>
  <c r="A610" i="16"/>
  <c r="A609" i="16"/>
  <c r="A608" i="16"/>
  <c r="A607" i="16"/>
  <c r="A606" i="16"/>
  <c r="A605" i="16"/>
  <c r="A604" i="16"/>
  <c r="A603" i="16"/>
  <c r="A602" i="16"/>
  <c r="A601" i="16"/>
  <c r="A600" i="16"/>
  <c r="A599" i="16"/>
  <c r="A598" i="16"/>
  <c r="A597" i="16"/>
  <c r="A596" i="16"/>
  <c r="A595" i="16"/>
  <c r="A594" i="16"/>
  <c r="A593" i="16"/>
  <c r="A592" i="16"/>
  <c r="A591" i="16"/>
  <c r="A590" i="16"/>
  <c r="A589" i="16"/>
  <c r="A588" i="16"/>
  <c r="A587" i="16"/>
  <c r="A586" i="16"/>
  <c r="A585" i="16"/>
  <c r="A584" i="16"/>
  <c r="A583" i="16"/>
  <c r="A582" i="16"/>
  <c r="A581" i="16"/>
  <c r="A580" i="16"/>
  <c r="A579" i="16"/>
  <c r="A578" i="16"/>
  <c r="A577" i="16"/>
  <c r="A576" i="16"/>
  <c r="A575" i="16"/>
  <c r="A574" i="16"/>
  <c r="A573" i="16"/>
  <c r="A572" i="16"/>
  <c r="A571" i="16"/>
  <c r="A570" i="16"/>
  <c r="A569" i="16"/>
  <c r="A568" i="16"/>
  <c r="A567" i="16"/>
  <c r="A566" i="16"/>
  <c r="A565" i="16"/>
  <c r="A564" i="16"/>
  <c r="A563" i="16"/>
  <c r="A562" i="16"/>
  <c r="A561" i="16"/>
  <c r="A560" i="16"/>
  <c r="A559" i="16"/>
  <c r="A558" i="16"/>
  <c r="A557" i="16"/>
  <c r="A556" i="16"/>
  <c r="A555" i="16"/>
  <c r="A554" i="16"/>
  <c r="A553" i="16"/>
  <c r="A552" i="16"/>
  <c r="A551" i="16"/>
  <c r="A550" i="16"/>
  <c r="A549" i="16"/>
  <c r="A548" i="16"/>
  <c r="A547" i="16"/>
  <c r="A546" i="16"/>
  <c r="A545" i="16"/>
  <c r="A544" i="16"/>
  <c r="A543" i="16"/>
  <c r="A542" i="16"/>
  <c r="A541" i="16"/>
  <c r="A540" i="16"/>
  <c r="A539" i="16"/>
  <c r="A538" i="16"/>
  <c r="A537" i="16"/>
  <c r="A536" i="16"/>
  <c r="A535" i="16"/>
  <c r="A534" i="16"/>
  <c r="A533" i="16"/>
  <c r="A532" i="16"/>
  <c r="A531" i="16"/>
  <c r="A530" i="16"/>
  <c r="A529" i="16"/>
  <c r="A528" i="16"/>
  <c r="A527" i="16"/>
  <c r="A526" i="16"/>
  <c r="A525" i="16"/>
  <c r="A524" i="16"/>
  <c r="A523" i="16"/>
  <c r="A522" i="16"/>
  <c r="A521" i="16"/>
  <c r="A520" i="16"/>
  <c r="A519" i="16"/>
  <c r="A518" i="16"/>
  <c r="A517" i="16"/>
  <c r="A516" i="16"/>
  <c r="A515" i="16"/>
  <c r="A514" i="16"/>
  <c r="A513" i="16"/>
  <c r="A512" i="16"/>
  <c r="A511" i="16"/>
  <c r="A510" i="16"/>
  <c r="A509" i="16"/>
  <c r="A508" i="16"/>
  <c r="A507" i="16"/>
  <c r="A506" i="16"/>
  <c r="A505" i="16"/>
  <c r="A504" i="16"/>
  <c r="A503" i="16"/>
  <c r="A502" i="16"/>
  <c r="A501" i="16"/>
  <c r="A500" i="16"/>
  <c r="A499" i="16"/>
  <c r="A498" i="16"/>
  <c r="A497" i="16"/>
  <c r="A496" i="16"/>
  <c r="A495" i="16"/>
  <c r="A494" i="16"/>
  <c r="A493" i="16"/>
  <c r="A492" i="16"/>
  <c r="A491" i="16"/>
  <c r="A490" i="16"/>
  <c r="A489" i="16"/>
  <c r="A488" i="16"/>
  <c r="A487" i="16"/>
  <c r="A486" i="16"/>
  <c r="A485" i="16"/>
  <c r="A484" i="16"/>
  <c r="A483" i="16"/>
  <c r="A482" i="16"/>
  <c r="A481" i="16"/>
  <c r="A480" i="16"/>
  <c r="A479" i="16"/>
  <c r="A478" i="16"/>
  <c r="A477" i="16"/>
  <c r="A476" i="16"/>
  <c r="A475" i="16"/>
  <c r="A474" i="16"/>
  <c r="A473" i="16"/>
  <c r="A472" i="16"/>
  <c r="A471" i="16"/>
  <c r="A470" i="16"/>
  <c r="A469" i="16"/>
  <c r="A468" i="16"/>
  <c r="A467" i="16"/>
  <c r="A466" i="16"/>
  <c r="A465" i="16"/>
  <c r="A463" i="16"/>
  <c r="A464" i="16"/>
  <c r="A462" i="16"/>
  <c r="A461" i="16"/>
  <c r="A460" i="16"/>
  <c r="A459" i="16"/>
  <c r="A458" i="16"/>
  <c r="A457" i="16"/>
  <c r="A410" i="16"/>
  <c r="A409" i="16"/>
  <c r="A408" i="16"/>
  <c r="A407" i="16"/>
  <c r="A406" i="16"/>
  <c r="A405" i="16"/>
  <c r="A404" i="16"/>
  <c r="A403" i="16"/>
  <c r="A402" i="16"/>
  <c r="A401" i="16"/>
  <c r="A400" i="16"/>
  <c r="A399" i="16"/>
  <c r="A398" i="16"/>
  <c r="A397" i="16"/>
  <c r="A396" i="16"/>
  <c r="A395" i="16"/>
  <c r="A394" i="16"/>
  <c r="A393" i="16"/>
  <c r="A392" i="16"/>
  <c r="A391" i="16"/>
  <c r="A390" i="16"/>
  <c r="A389" i="16"/>
  <c r="A388" i="16"/>
  <c r="A387" i="16"/>
  <c r="A386" i="16"/>
  <c r="A385" i="16"/>
  <c r="A384" i="16"/>
  <c r="A383" i="16"/>
  <c r="A382" i="16"/>
  <c r="A381" i="16"/>
  <c r="A380" i="16"/>
  <c r="A379" i="16"/>
  <c r="A378" i="16"/>
  <c r="A377" i="16"/>
  <c r="A376" i="16"/>
  <c r="A375" i="16"/>
  <c r="A374" i="16"/>
  <c r="A373" i="16"/>
  <c r="A372" i="16"/>
  <c r="A371" i="16"/>
  <c r="A370" i="16"/>
  <c r="A369" i="16"/>
  <c r="A368" i="16"/>
  <c r="A367" i="16"/>
  <c r="A366" i="16"/>
  <c r="A365" i="16"/>
  <c r="A364" i="16"/>
  <c r="A363" i="16"/>
  <c r="A362" i="16"/>
  <c r="A361" i="16"/>
  <c r="A360" i="16"/>
  <c r="A359" i="16"/>
  <c r="A358" i="16"/>
  <c r="A357" i="16"/>
  <c r="A356" i="16"/>
  <c r="A355" i="16"/>
  <c r="A354" i="16"/>
  <c r="A353" i="16"/>
  <c r="A352" i="16"/>
  <c r="A351" i="16"/>
  <c r="A350" i="16"/>
  <c r="A349" i="16"/>
  <c r="A348" i="16"/>
  <c r="A347" i="16"/>
  <c r="A346" i="16"/>
  <c r="A345" i="16"/>
  <c r="A344" i="16"/>
  <c r="A343" i="16"/>
  <c r="A342" i="16"/>
  <c r="A341" i="16"/>
  <c r="A340" i="16"/>
  <c r="A339" i="16"/>
  <c r="A338" i="16"/>
  <c r="A337" i="16"/>
  <c r="A336" i="16"/>
  <c r="A335" i="16"/>
  <c r="A334" i="16"/>
  <c r="A333" i="16"/>
  <c r="A332" i="16"/>
  <c r="A331" i="16"/>
  <c r="A330" i="16"/>
  <c r="A329" i="16"/>
  <c r="A328" i="16"/>
  <c r="A327" i="16"/>
  <c r="A326" i="16"/>
  <c r="A325" i="16"/>
  <c r="A324" i="16"/>
  <c r="A323" i="16"/>
  <c r="A322" i="16"/>
  <c r="A321" i="16"/>
  <c r="A320" i="16"/>
  <c r="A319" i="16"/>
  <c r="A318" i="16"/>
  <c r="A317" i="16"/>
  <c r="A316" i="16"/>
  <c r="A315" i="16"/>
  <c r="A314" i="16"/>
  <c r="A313" i="16"/>
  <c r="A312" i="16"/>
  <c r="A311" i="16"/>
  <c r="A310" i="16"/>
  <c r="A309" i="16"/>
  <c r="A308" i="16"/>
  <c r="A307" i="16"/>
  <c r="A306" i="16"/>
  <c r="A305" i="16"/>
  <c r="A304" i="16"/>
  <c r="A303" i="16"/>
  <c r="A302" i="16"/>
  <c r="A301" i="16"/>
  <c r="A300" i="16"/>
  <c r="A299" i="16"/>
  <c r="A298" i="16"/>
  <c r="A297" i="16"/>
  <c r="A296" i="16"/>
  <c r="A295" i="16"/>
  <c r="A294" i="16"/>
  <c r="A293" i="16"/>
  <c r="A292" i="16"/>
  <c r="A291" i="16"/>
  <c r="A290" i="16"/>
  <c r="A289" i="16"/>
  <c r="A288" i="16"/>
  <c r="A287" i="16"/>
  <c r="A286" i="16"/>
  <c r="A285" i="16"/>
  <c r="A284" i="16"/>
  <c r="A283" i="16"/>
  <c r="A282" i="16"/>
  <c r="A281" i="16"/>
  <c r="A280" i="16"/>
  <c r="A279" i="16"/>
  <c r="A278" i="16"/>
  <c r="A277" i="16"/>
  <c r="A276" i="16"/>
  <c r="A275" i="16"/>
  <c r="A274" i="16"/>
  <c r="A273" i="16"/>
  <c r="A272" i="16"/>
  <c r="A271" i="16"/>
  <c r="A270" i="16"/>
  <c r="A269" i="16"/>
  <c r="A268" i="16"/>
  <c r="A267" i="16"/>
  <c r="A266" i="16"/>
  <c r="A265" i="16"/>
  <c r="A264" i="16"/>
  <c r="A263" i="16"/>
  <c r="A262" i="16"/>
  <c r="A261" i="16"/>
  <c r="A260" i="16"/>
  <c r="A259" i="16"/>
  <c r="A258" i="16"/>
  <c r="A257" i="16"/>
  <c r="A256" i="16"/>
  <c r="A255" i="16"/>
  <c r="A254" i="16"/>
  <c r="A253" i="16"/>
  <c r="A252" i="16"/>
  <c r="A251" i="16"/>
  <c r="A250" i="16"/>
  <c r="A249" i="16"/>
  <c r="A248" i="16"/>
  <c r="A247" i="16"/>
  <c r="A246" i="16"/>
  <c r="A245" i="16"/>
  <c r="A244" i="16"/>
  <c r="A243" i="16"/>
  <c r="A242" i="16"/>
  <c r="A241" i="16"/>
  <c r="A240" i="16"/>
  <c r="A239" i="16"/>
  <c r="A238" i="16"/>
  <c r="A237" i="16"/>
  <c r="A236" i="16"/>
  <c r="A235" i="16"/>
  <c r="A234" i="16"/>
  <c r="A233" i="16"/>
  <c r="A232" i="16"/>
  <c r="A231" i="16"/>
  <c r="A230" i="16"/>
  <c r="A229" i="16"/>
  <c r="A228" i="16"/>
  <c r="A227" i="16"/>
  <c r="A226" i="16"/>
  <c r="A225" i="16"/>
  <c r="A224" i="16"/>
  <c r="A223" i="16"/>
  <c r="A222" i="16"/>
  <c r="A221" i="16"/>
  <c r="A220" i="16"/>
  <c r="A219" i="16"/>
  <c r="A218" i="16"/>
  <c r="A217" i="16"/>
  <c r="A216" i="16"/>
  <c r="A215" i="16"/>
  <c r="A214" i="16"/>
  <c r="A213" i="16"/>
  <c r="A212" i="16"/>
  <c r="A211" i="16"/>
  <c r="A210" i="16"/>
  <c r="A209" i="16"/>
  <c r="A208" i="16"/>
  <c r="A207" i="16"/>
  <c r="A206" i="16"/>
  <c r="A205" i="16"/>
  <c r="A204" i="16"/>
  <c r="A203" i="16"/>
  <c r="A202" i="16"/>
  <c r="A201" i="16"/>
  <c r="A200" i="16"/>
  <c r="A199" i="16"/>
  <c r="A198" i="16"/>
  <c r="A197" i="16"/>
  <c r="A196" i="16"/>
  <c r="A195" i="16"/>
  <c r="A194" i="16"/>
  <c r="A193" i="16"/>
  <c r="A192" i="16"/>
  <c r="A191" i="16"/>
  <c r="A190" i="16"/>
  <c r="A189" i="16"/>
  <c r="A188" i="16"/>
  <c r="A187" i="16"/>
  <c r="A186" i="16"/>
  <c r="A185" i="16"/>
  <c r="A184" i="16"/>
  <c r="A183" i="16"/>
  <c r="A182" i="16"/>
  <c r="A181" i="16"/>
  <c r="A180" i="16"/>
  <c r="A179" i="16"/>
  <c r="A178" i="16"/>
  <c r="A177" i="16"/>
  <c r="A176" i="16"/>
  <c r="A175" i="16"/>
  <c r="A174" i="16"/>
  <c r="A173" i="16"/>
  <c r="A172" i="16"/>
  <c r="A171" i="16"/>
  <c r="A170" i="16"/>
  <c r="A169" i="16"/>
  <c r="A168" i="16"/>
  <c r="A167" i="16"/>
  <c r="A166" i="16"/>
  <c r="A165" i="16"/>
  <c r="A164" i="16"/>
  <c r="A163" i="16"/>
  <c r="A162" i="16"/>
  <c r="A161" i="16"/>
  <c r="A160" i="16"/>
  <c r="A159" i="16"/>
  <c r="A158" i="16"/>
  <c r="A157" i="16"/>
  <c r="A156" i="16"/>
  <c r="A155" i="16"/>
  <c r="A154" i="16"/>
  <c r="A153" i="16"/>
  <c r="A152" i="16"/>
  <c r="A151" i="16"/>
  <c r="A150" i="16"/>
  <c r="A149" i="16"/>
  <c r="A148" i="16"/>
  <c r="A147" i="16"/>
  <c r="A146" i="16"/>
  <c r="A145" i="16"/>
  <c r="A144" i="16"/>
  <c r="A143" i="16"/>
  <c r="A142" i="16"/>
  <c r="A141" i="16"/>
  <c r="A140" i="16"/>
  <c r="A139" i="16"/>
  <c r="A138" i="16"/>
  <c r="A137" i="16"/>
  <c r="A136" i="16"/>
  <c r="A135" i="16"/>
  <c r="A134" i="16"/>
  <c r="A133" i="16"/>
  <c r="A132" i="16"/>
  <c r="A131" i="16"/>
  <c r="A130" i="16"/>
  <c r="A129" i="16"/>
  <c r="A128" i="16"/>
  <c r="A127" i="16"/>
  <c r="A126" i="16"/>
  <c r="A125" i="16"/>
  <c r="A124" i="16"/>
  <c r="A123" i="16"/>
  <c r="A122" i="16"/>
  <c r="A121" i="16"/>
  <c r="A120" i="16"/>
  <c r="A119" i="16"/>
  <c r="A118" i="16"/>
  <c r="A117" i="16"/>
  <c r="A116" i="16"/>
  <c r="A115" i="16"/>
  <c r="A114" i="16"/>
  <c r="A113" i="16"/>
  <c r="A112" i="16"/>
  <c r="A111" i="16"/>
  <c r="A110" i="16"/>
  <c r="A109" i="16"/>
  <c r="A108" i="16"/>
  <c r="A107" i="16"/>
  <c r="A106" i="16"/>
  <c r="A105" i="16"/>
  <c r="A104" i="16"/>
  <c r="A103" i="16"/>
  <c r="A102" i="16"/>
  <c r="A101" i="16"/>
  <c r="A100" i="16"/>
  <c r="A99" i="16"/>
  <c r="A98" i="16"/>
  <c r="A97" i="16"/>
  <c r="A96" i="16"/>
  <c r="A95" i="16"/>
  <c r="A94" i="16"/>
  <c r="A93" i="16"/>
  <c r="A92" i="16"/>
  <c r="A91" i="16"/>
  <c r="A90" i="16"/>
  <c r="A89" i="16"/>
  <c r="A88" i="16"/>
  <c r="A87" i="16"/>
  <c r="A86" i="16"/>
  <c r="A85" i="16"/>
  <c r="A84" i="16"/>
  <c r="A83" i="16"/>
  <c r="A82" i="16"/>
  <c r="A81" i="16"/>
  <c r="A80" i="16"/>
  <c r="A79" i="16"/>
  <c r="A78" i="16"/>
  <c r="A77" i="16"/>
  <c r="A76" i="16"/>
  <c r="A75" i="16"/>
  <c r="A74" i="16"/>
  <c r="A73" i="16"/>
  <c r="A72" i="16"/>
  <c r="A71" i="16"/>
  <c r="A70"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A40" i="16"/>
  <c r="A39" i="16"/>
  <c r="A29" i="16"/>
  <c r="A28" i="16"/>
  <c r="A27" i="16"/>
  <c r="A26" i="16"/>
  <c r="A25" i="16"/>
  <c r="A24" i="16"/>
  <c r="A23" i="16"/>
  <c r="A22" i="16"/>
  <c r="A21" i="16"/>
  <c r="A20" i="16"/>
  <c r="A19" i="16"/>
  <c r="A18" i="16"/>
  <c r="A17" i="16"/>
  <c r="A16" i="16"/>
  <c r="A15" i="16"/>
  <c r="A14" i="16"/>
  <c r="A13" i="16"/>
  <c r="A12" i="16"/>
  <c r="A11" i="16"/>
  <c r="A10" i="16"/>
  <c r="A9" i="16"/>
  <c r="A8" i="16"/>
  <c r="A7" i="16"/>
  <c r="A6" i="16"/>
  <c r="I465" i="16"/>
  <c r="H465" i="16"/>
  <c r="K1761" i="4"/>
  <c r="J1761" i="4"/>
  <c r="K1372" i="4"/>
  <c r="J1372" i="4"/>
  <c r="F794" i="31"/>
  <c r="F793" i="31"/>
  <c r="F792" i="31"/>
  <c r="F791" i="31"/>
  <c r="F790" i="31"/>
  <c r="F789" i="31"/>
  <c r="F788" i="31"/>
  <c r="F787" i="31"/>
  <c r="F786" i="31"/>
  <c r="F785" i="31"/>
  <c r="F775" i="31"/>
  <c r="F774" i="31"/>
  <c r="F773" i="31"/>
  <c r="F772" i="31"/>
  <c r="F771" i="31"/>
  <c r="F770" i="31"/>
  <c r="F769" i="31"/>
  <c r="F768" i="31"/>
  <c r="F767" i="31"/>
  <c r="F766" i="31"/>
  <c r="F765" i="31"/>
  <c r="F764" i="31"/>
  <c r="F763" i="31"/>
  <c r="F762" i="31"/>
  <c r="F761" i="31"/>
  <c r="F760" i="31"/>
  <c r="F759" i="31"/>
  <c r="F758" i="31"/>
  <c r="F757" i="31"/>
  <c r="F756" i="31"/>
  <c r="F755" i="31"/>
  <c r="F754" i="31"/>
  <c r="F753" i="31"/>
  <c r="F752" i="31"/>
  <c r="F751" i="31"/>
  <c r="F750" i="31"/>
  <c r="F749" i="31"/>
  <c r="F748" i="31"/>
  <c r="F747" i="31"/>
  <c r="F746" i="31"/>
  <c r="F745" i="31"/>
  <c r="F744" i="31"/>
  <c r="F743" i="31"/>
  <c r="F742" i="31"/>
  <c r="F741" i="31"/>
  <c r="F740" i="31"/>
  <c r="F739" i="31"/>
  <c r="F738" i="31"/>
  <c r="F737" i="31"/>
  <c r="F736" i="31"/>
  <c r="F735" i="31"/>
  <c r="F734" i="31"/>
  <c r="F733" i="31"/>
  <c r="F732" i="31"/>
  <c r="F731" i="31"/>
  <c r="F730" i="31"/>
  <c r="F729" i="31"/>
  <c r="F728" i="31"/>
  <c r="F727" i="31"/>
  <c r="F726" i="31"/>
  <c r="F725" i="31"/>
  <c r="F724" i="31"/>
  <c r="F723" i="31"/>
  <c r="F722" i="31"/>
  <c r="F721" i="31"/>
  <c r="F720" i="31"/>
  <c r="F719" i="31"/>
  <c r="F718" i="31"/>
  <c r="F717" i="31"/>
  <c r="F716" i="31"/>
  <c r="F715" i="31"/>
  <c r="F714" i="31"/>
  <c r="F713" i="31"/>
  <c r="F712" i="31"/>
  <c r="F711" i="31"/>
  <c r="F710" i="31"/>
  <c r="F709" i="31"/>
  <c r="F708" i="31"/>
  <c r="F707" i="31"/>
  <c r="F706" i="31"/>
  <c r="F705" i="31"/>
  <c r="F704" i="31"/>
  <c r="F703" i="31"/>
  <c r="F702" i="31"/>
  <c r="F701" i="31"/>
  <c r="F700" i="31"/>
  <c r="F699" i="31"/>
  <c r="F698" i="31"/>
  <c r="F697" i="31"/>
  <c r="F696" i="31"/>
  <c r="F695" i="31"/>
  <c r="F694" i="31"/>
  <c r="F693" i="31"/>
  <c r="F692" i="31"/>
  <c r="F691" i="31"/>
  <c r="F690" i="31"/>
  <c r="F689" i="31"/>
  <c r="F688" i="31"/>
  <c r="F687" i="31"/>
  <c r="F686" i="31"/>
  <c r="F685" i="31"/>
  <c r="F684" i="31"/>
  <c r="F683" i="31"/>
  <c r="F682" i="31"/>
  <c r="F681" i="31"/>
  <c r="F680" i="31"/>
  <c r="F679" i="31"/>
  <c r="F678" i="31"/>
  <c r="F677" i="31"/>
  <c r="F676" i="31"/>
  <c r="F675" i="31"/>
  <c r="F674" i="31"/>
  <c r="F673" i="31"/>
  <c r="F672" i="31"/>
  <c r="F671" i="31"/>
  <c r="F670" i="31"/>
  <c r="F669" i="31"/>
  <c r="F668" i="31"/>
  <c r="F667" i="31"/>
  <c r="F666" i="31"/>
  <c r="F665" i="31"/>
  <c r="F664" i="31"/>
  <c r="F663" i="31"/>
  <c r="F662" i="31"/>
  <c r="F661" i="31"/>
  <c r="F660" i="31"/>
  <c r="F659" i="31"/>
  <c r="F658" i="31"/>
  <c r="F657" i="31"/>
  <c r="F656" i="31"/>
  <c r="F655" i="31"/>
  <c r="F654" i="31"/>
  <c r="F653" i="31"/>
  <c r="F652" i="31"/>
  <c r="F651" i="31"/>
  <c r="F650" i="31"/>
  <c r="F649" i="31"/>
  <c r="F648" i="31"/>
  <c r="F647" i="31"/>
  <c r="F646" i="31"/>
  <c r="F645" i="31"/>
  <c r="F644" i="31"/>
  <c r="F638" i="31"/>
  <c r="F637" i="31"/>
  <c r="F636" i="31"/>
  <c r="F635" i="31"/>
  <c r="F634" i="31"/>
  <c r="F633" i="31"/>
  <c r="F632" i="31"/>
  <c r="F631" i="31"/>
  <c r="F630" i="31"/>
  <c r="F629" i="31"/>
  <c r="F628" i="31"/>
  <c r="F627" i="31"/>
  <c r="F626" i="31"/>
  <c r="F625" i="31"/>
  <c r="F624" i="31"/>
  <c r="F623" i="31"/>
  <c r="F622" i="31"/>
  <c r="F621" i="31"/>
  <c r="F620" i="31"/>
  <c r="F619" i="31"/>
  <c r="F618" i="31"/>
  <c r="F617" i="31"/>
  <c r="F616" i="31"/>
  <c r="F615" i="31"/>
  <c r="F614" i="31"/>
  <c r="F613" i="31"/>
  <c r="F612" i="31"/>
  <c r="F611" i="31"/>
  <c r="F610" i="31"/>
  <c r="F609" i="31"/>
  <c r="F608" i="31"/>
  <c r="F607" i="31"/>
  <c r="F606" i="31"/>
  <c r="F605" i="31"/>
  <c r="F604" i="31"/>
  <c r="F603" i="31"/>
  <c r="F602" i="31"/>
  <c r="F601" i="31"/>
  <c r="F600" i="31"/>
  <c r="F599" i="31"/>
  <c r="F598" i="31"/>
  <c r="F597" i="31"/>
  <c r="F596" i="31"/>
  <c r="F595" i="31"/>
  <c r="F594" i="31"/>
  <c r="F593" i="31"/>
  <c r="F592" i="31"/>
  <c r="F591" i="31"/>
  <c r="F590" i="31"/>
  <c r="F589" i="31"/>
  <c r="F588" i="31"/>
  <c r="F587" i="31"/>
  <c r="F585" i="31"/>
  <c r="F584" i="31"/>
  <c r="F583" i="31"/>
  <c r="F582" i="31"/>
  <c r="F581" i="31"/>
  <c r="F580" i="31"/>
  <c r="F579" i="31"/>
  <c r="F578" i="31"/>
  <c r="F577" i="31"/>
  <c r="F576" i="31"/>
  <c r="F575" i="31"/>
  <c r="F574" i="31"/>
  <c r="F573" i="31"/>
  <c r="F556" i="31"/>
  <c r="F555" i="31"/>
  <c r="F554" i="31"/>
  <c r="F553" i="31"/>
  <c r="F552" i="31"/>
  <c r="F551" i="31"/>
  <c r="F550" i="31"/>
  <c r="F549" i="31"/>
  <c r="F548" i="31"/>
  <c r="F547" i="31"/>
  <c r="F546" i="31"/>
  <c r="F545" i="31"/>
  <c r="F544" i="31"/>
  <c r="F543" i="31"/>
  <c r="F542" i="31"/>
  <c r="F541" i="31"/>
  <c r="F540" i="31"/>
  <c r="F539" i="31"/>
  <c r="F538" i="31"/>
  <c r="F537" i="31"/>
  <c r="F536" i="31"/>
  <c r="F535" i="31"/>
  <c r="F534" i="31"/>
  <c r="F533" i="31"/>
  <c r="F532" i="31"/>
  <c r="F531" i="31"/>
  <c r="F530" i="31"/>
  <c r="F529" i="31"/>
  <c r="F528" i="31"/>
  <c r="F527" i="31"/>
  <c r="F526" i="31"/>
  <c r="F525" i="31"/>
  <c r="F524" i="31"/>
  <c r="F523" i="31"/>
  <c r="F522" i="31"/>
  <c r="F521" i="31"/>
  <c r="F520" i="31"/>
  <c r="F519" i="31"/>
  <c r="F518" i="31"/>
  <c r="F517" i="31"/>
  <c r="F516" i="31"/>
  <c r="F515" i="31"/>
  <c r="F514" i="31"/>
  <c r="F513" i="31"/>
  <c r="F512" i="31"/>
  <c r="F511" i="31"/>
  <c r="F510" i="31"/>
  <c r="F509" i="31"/>
  <c r="F508" i="31"/>
  <c r="F507" i="31"/>
  <c r="F506" i="31"/>
  <c r="F505" i="31"/>
  <c r="F504" i="31"/>
  <c r="F503" i="31"/>
  <c r="F502" i="31"/>
  <c r="F501" i="31"/>
  <c r="F500" i="31"/>
  <c r="F499" i="31"/>
  <c r="F498" i="31"/>
  <c r="F497" i="31"/>
  <c r="F496" i="31"/>
  <c r="F495" i="31"/>
  <c r="F494" i="31"/>
  <c r="F493" i="31"/>
  <c r="F492" i="31"/>
  <c r="F491" i="31"/>
  <c r="F490" i="31"/>
  <c r="F489" i="31"/>
  <c r="F488" i="31"/>
  <c r="F487" i="31"/>
  <c r="F486" i="31"/>
  <c r="F485" i="31"/>
  <c r="F484" i="31"/>
  <c r="F483" i="31"/>
  <c r="F482" i="31"/>
  <c r="F481" i="31"/>
  <c r="F480" i="31"/>
  <c r="F479" i="31"/>
  <c r="F478" i="31"/>
  <c r="F477" i="31"/>
  <c r="F476" i="31"/>
  <c r="F475" i="31"/>
  <c r="F474" i="31"/>
  <c r="F473" i="31"/>
  <c r="F472" i="31"/>
  <c r="F471" i="31"/>
  <c r="F470" i="31"/>
  <c r="F469" i="31"/>
  <c r="F468" i="31"/>
  <c r="F467" i="31"/>
  <c r="F466" i="31"/>
  <c r="F465" i="31"/>
  <c r="F464" i="31"/>
  <c r="F463" i="31"/>
  <c r="F462" i="31"/>
  <c r="F461" i="31"/>
  <c r="F460" i="31"/>
  <c r="F459" i="31"/>
  <c r="F458" i="31"/>
  <c r="F457" i="31"/>
  <c r="F456" i="31"/>
  <c r="F455" i="31"/>
  <c r="F454" i="31"/>
  <c r="F453" i="31"/>
  <c r="F452" i="31"/>
  <c r="F451" i="31"/>
  <c r="F450" i="31"/>
  <c r="F449" i="31"/>
  <c r="F448" i="31"/>
  <c r="F447" i="31"/>
  <c r="F446" i="31"/>
  <c r="F445" i="31"/>
  <c r="F444" i="31"/>
  <c r="F443" i="31"/>
  <c r="F442" i="31"/>
  <c r="F441" i="31"/>
  <c r="F440" i="31"/>
  <c r="F439" i="31"/>
  <c r="F438" i="31"/>
  <c r="F437" i="31"/>
  <c r="F436" i="31"/>
  <c r="F435" i="31"/>
  <c r="F434" i="31"/>
  <c r="F433" i="31"/>
  <c r="F432" i="31"/>
  <c r="F431" i="31"/>
  <c r="F430" i="31"/>
  <c r="F429" i="31"/>
  <c r="F428" i="31"/>
  <c r="F427" i="31"/>
  <c r="F426" i="31"/>
  <c r="F425" i="31"/>
  <c r="F424" i="31"/>
  <c r="F423" i="31"/>
  <c r="F422" i="31"/>
  <c r="F421" i="31"/>
  <c r="F420" i="31"/>
  <c r="F419" i="31"/>
  <c r="F418" i="31"/>
  <c r="F417" i="31"/>
  <c r="F416" i="31"/>
  <c r="F415" i="31"/>
  <c r="F414" i="31"/>
  <c r="F413" i="31"/>
  <c r="F412" i="31"/>
  <c r="F411" i="31"/>
  <c r="F410" i="31"/>
  <c r="F409" i="31"/>
  <c r="F408" i="31"/>
  <c r="F406" i="31"/>
  <c r="F405" i="31"/>
  <c r="F404" i="31"/>
  <c r="F403" i="31"/>
  <c r="F398" i="31"/>
  <c r="F397" i="31"/>
  <c r="F396" i="31"/>
  <c r="F395" i="31"/>
  <c r="F394" i="31"/>
  <c r="F393" i="31"/>
  <c r="F392" i="31"/>
  <c r="F391" i="31"/>
  <c r="F390" i="31"/>
  <c r="F389" i="31"/>
  <c r="F388" i="31"/>
  <c r="F387" i="31"/>
  <c r="F386" i="31"/>
  <c r="F385" i="31"/>
  <c r="F384" i="31"/>
  <c r="F383" i="31"/>
  <c r="F382" i="31"/>
  <c r="F381" i="31"/>
  <c r="F380" i="31"/>
  <c r="F379" i="31"/>
  <c r="F378" i="31"/>
  <c r="F377" i="31"/>
  <c r="F376" i="31"/>
  <c r="F375" i="31"/>
  <c r="F374" i="31"/>
  <c r="F373" i="31"/>
  <c r="F372" i="31"/>
  <c r="F371" i="31"/>
  <c r="F370" i="31"/>
  <c r="F369" i="31"/>
  <c r="F368" i="31"/>
  <c r="F367" i="31"/>
  <c r="F366" i="31"/>
  <c r="F365" i="31"/>
  <c r="F364" i="31"/>
  <c r="F363" i="31"/>
  <c r="F362" i="31"/>
  <c r="F361" i="31"/>
  <c r="F360" i="31"/>
  <c r="F359" i="31"/>
  <c r="F358" i="31"/>
  <c r="F357" i="31"/>
  <c r="F356" i="31"/>
  <c r="F355" i="31"/>
  <c r="F354" i="31"/>
  <c r="F353" i="31"/>
  <c r="F352" i="31"/>
  <c r="F351" i="31"/>
  <c r="F350" i="31"/>
  <c r="F349" i="31"/>
  <c r="F348" i="31"/>
  <c r="F347" i="31"/>
  <c r="F346" i="31"/>
  <c r="F345" i="31"/>
  <c r="F344" i="31"/>
  <c r="F343" i="31"/>
  <c r="F342" i="31"/>
  <c r="F341" i="31"/>
  <c r="F340" i="31"/>
  <c r="F339" i="31"/>
  <c r="F338" i="31"/>
  <c r="F337" i="31"/>
  <c r="F336" i="31"/>
  <c r="F335" i="31"/>
  <c r="F334" i="31"/>
  <c r="F333" i="31"/>
  <c r="F332" i="31"/>
  <c r="F331" i="31"/>
  <c r="F330" i="31"/>
  <c r="F329" i="31"/>
  <c r="F328" i="31"/>
  <c r="F327" i="31"/>
  <c r="F326" i="31"/>
  <c r="F325" i="31"/>
  <c r="F324" i="31"/>
  <c r="F323" i="31"/>
  <c r="F322" i="31"/>
  <c r="F321" i="31"/>
  <c r="F320" i="31"/>
  <c r="F319" i="31"/>
  <c r="F318" i="31"/>
  <c r="F315" i="31"/>
  <c r="F314" i="31"/>
  <c r="F313" i="31"/>
  <c r="F312" i="31"/>
  <c r="F311" i="31"/>
  <c r="F310" i="31"/>
  <c r="F309" i="31"/>
  <c r="F308" i="31"/>
  <c r="F307" i="31"/>
  <c r="F306" i="31"/>
  <c r="F305" i="31"/>
  <c r="F304" i="31"/>
  <c r="F303" i="31"/>
  <c r="F302" i="31"/>
  <c r="F301" i="31"/>
  <c r="F300" i="31"/>
  <c r="F299" i="31"/>
  <c r="F298" i="31"/>
  <c r="F297" i="31"/>
  <c r="F296" i="31"/>
  <c r="F295" i="31"/>
  <c r="F294" i="31"/>
  <c r="F279" i="31"/>
  <c r="F278" i="31"/>
  <c r="F277" i="31"/>
  <c r="F276" i="31"/>
  <c r="F275" i="31"/>
  <c r="F274" i="31"/>
  <c r="F273" i="31"/>
  <c r="F272" i="31"/>
  <c r="F271" i="31"/>
  <c r="F270" i="31"/>
  <c r="F269" i="31"/>
  <c r="F268" i="31"/>
  <c r="F267" i="31"/>
  <c r="F266" i="31"/>
  <c r="F265" i="31"/>
  <c r="F264" i="31"/>
  <c r="F263" i="31"/>
  <c r="F262" i="31"/>
  <c r="F261" i="31"/>
  <c r="F260" i="31"/>
  <c r="F259" i="31"/>
  <c r="F258" i="31"/>
  <c r="F257" i="31"/>
  <c r="F256" i="31"/>
  <c r="F255" i="31"/>
  <c r="F254" i="31"/>
  <c r="F253" i="31"/>
  <c r="F252" i="31"/>
  <c r="F251" i="31"/>
  <c r="F250" i="31"/>
  <c r="F249" i="31"/>
  <c r="F248" i="31"/>
  <c r="F247" i="31"/>
  <c r="F246" i="31"/>
  <c r="F245" i="31"/>
  <c r="F244" i="31"/>
  <c r="F243" i="31"/>
  <c r="F242" i="31"/>
  <c r="F241" i="31"/>
  <c r="F240" i="31"/>
  <c r="F239" i="31"/>
  <c r="F238" i="31"/>
  <c r="F237" i="31"/>
  <c r="F236" i="31"/>
  <c r="F235" i="31"/>
  <c r="F234" i="31"/>
  <c r="F233" i="31"/>
  <c r="F232" i="31"/>
  <c r="F231" i="31"/>
  <c r="F230" i="31"/>
  <c r="F229" i="31"/>
  <c r="F228" i="31"/>
  <c r="F227" i="31"/>
  <c r="F226" i="31"/>
  <c r="F225" i="31"/>
  <c r="F224" i="31"/>
  <c r="F223" i="31"/>
  <c r="F222" i="31"/>
  <c r="F221" i="31"/>
  <c r="F220" i="31"/>
  <c r="F183" i="31"/>
  <c r="F182" i="31"/>
  <c r="F181" i="31"/>
  <c r="F180" i="31"/>
  <c r="F179" i="31"/>
  <c r="F178" i="31"/>
  <c r="F177" i="31"/>
  <c r="F176" i="31"/>
  <c r="F175" i="31"/>
  <c r="F174" i="31"/>
  <c r="F173" i="31"/>
  <c r="F172" i="31"/>
  <c r="F171" i="31"/>
  <c r="F170" i="31"/>
  <c r="F169" i="31"/>
  <c r="F168" i="31"/>
  <c r="F167" i="31"/>
  <c r="F166" i="31"/>
  <c r="F165" i="31"/>
  <c r="F164" i="31"/>
  <c r="F163" i="31"/>
  <c r="F162" i="31"/>
  <c r="F161" i="31"/>
  <c r="F160" i="31"/>
  <c r="F159" i="31"/>
  <c r="F158" i="31"/>
  <c r="F157" i="31"/>
  <c r="F156" i="31"/>
  <c r="F155" i="31"/>
  <c r="F154" i="31"/>
  <c r="F153" i="31"/>
  <c r="F152" i="31"/>
  <c r="F151" i="31"/>
  <c r="F150" i="31"/>
  <c r="F149" i="31"/>
  <c r="F148" i="31"/>
  <c r="F147" i="31"/>
  <c r="F146" i="31"/>
  <c r="F145" i="31"/>
  <c r="F144" i="31"/>
  <c r="F143" i="31"/>
  <c r="F142" i="31"/>
  <c r="F141" i="31"/>
  <c r="F140" i="31"/>
  <c r="F139" i="31"/>
  <c r="F138" i="31"/>
  <c r="F137" i="31"/>
  <c r="F136" i="31"/>
  <c r="F135" i="31"/>
  <c r="F134" i="31"/>
  <c r="F133" i="31"/>
  <c r="F132" i="31"/>
  <c r="F131" i="31"/>
  <c r="F130" i="31"/>
  <c r="F129" i="31"/>
  <c r="F128" i="31"/>
  <c r="F127" i="31"/>
  <c r="F126" i="31"/>
  <c r="F125" i="31"/>
  <c r="F124" i="31"/>
  <c r="F123" i="31"/>
  <c r="F122" i="31"/>
  <c r="F121" i="31"/>
  <c r="F120" i="31"/>
  <c r="F119" i="31"/>
  <c r="F118" i="31"/>
  <c r="F117" i="31"/>
  <c r="F116" i="31"/>
  <c r="F115" i="31"/>
  <c r="F114" i="31"/>
  <c r="F113" i="31"/>
  <c r="F112" i="31"/>
  <c r="F111" i="31"/>
  <c r="F110" i="31"/>
  <c r="F109" i="31"/>
  <c r="F108" i="31"/>
  <c r="F107" i="31"/>
  <c r="F106" i="31"/>
  <c r="F105" i="31"/>
  <c r="F104" i="31"/>
  <c r="F103" i="31"/>
  <c r="F102" i="31"/>
  <c r="F101" i="31"/>
  <c r="F100" i="31"/>
  <c r="F99" i="31"/>
  <c r="F98" i="31"/>
  <c r="F97" i="31"/>
  <c r="F96" i="31"/>
  <c r="F95" i="31"/>
  <c r="F94" i="31"/>
  <c r="F93" i="31"/>
  <c r="F92" i="31"/>
  <c r="F91" i="31"/>
  <c r="F90" i="31"/>
  <c r="F89" i="31"/>
  <c r="F88" i="31"/>
  <c r="F87" i="31"/>
  <c r="F86" i="31"/>
  <c r="F85" i="31"/>
  <c r="F84" i="31"/>
  <c r="F83" i="31"/>
  <c r="F82" i="31"/>
  <c r="F81" i="31"/>
  <c r="F80" i="31"/>
  <c r="F79" i="31"/>
  <c r="F78" i="31"/>
  <c r="F77" i="31"/>
  <c r="F76" i="31"/>
  <c r="F75" i="31"/>
  <c r="F74" i="31"/>
  <c r="F73" i="31"/>
  <c r="F72" i="31"/>
  <c r="F71" i="31"/>
  <c r="F70" i="31"/>
  <c r="F69" i="31"/>
  <c r="F68" i="31"/>
  <c r="F67" i="31"/>
  <c r="F66" i="31"/>
  <c r="F65" i="31"/>
  <c r="F64" i="31"/>
  <c r="F63" i="31"/>
  <c r="F62" i="31"/>
  <c r="F61" i="31"/>
  <c r="F60" i="31"/>
  <c r="F59" i="31"/>
  <c r="F58" i="31"/>
  <c r="F57" i="31"/>
  <c r="F56" i="31"/>
  <c r="F55" i="31"/>
  <c r="F54" i="31"/>
  <c r="F53" i="31"/>
  <c r="F52" i="31"/>
  <c r="F51" i="31"/>
  <c r="F50" i="31"/>
  <c r="F49" i="31"/>
  <c r="F48" i="31"/>
  <c r="F47" i="31"/>
  <c r="F46" i="31"/>
  <c r="F45" i="31"/>
  <c r="F44" i="31"/>
  <c r="F43" i="31"/>
  <c r="F42" i="31"/>
  <c r="F41" i="31"/>
  <c r="F40" i="31"/>
  <c r="F39" i="31"/>
  <c r="F38" i="31"/>
  <c r="F37" i="31"/>
  <c r="F36" i="31"/>
  <c r="F35" i="31"/>
  <c r="F34" i="31"/>
  <c r="F33" i="31"/>
  <c r="F32" i="31"/>
  <c r="F31" i="31"/>
  <c r="F30" i="31"/>
  <c r="F29" i="31"/>
  <c r="F28" i="31"/>
  <c r="F27" i="31"/>
  <c r="F26" i="31"/>
  <c r="F25" i="31"/>
  <c r="F24" i="31"/>
  <c r="F23" i="31"/>
  <c r="F22" i="31"/>
  <c r="F21" i="31"/>
  <c r="F20" i="31"/>
  <c r="F19" i="31"/>
  <c r="F18" i="31"/>
  <c r="F17" i="31"/>
  <c r="F16" i="31"/>
  <c r="F15" i="31"/>
  <c r="F14" i="31"/>
  <c r="F13" i="31"/>
  <c r="F12" i="31"/>
  <c r="F11" i="31"/>
  <c r="F10" i="31"/>
  <c r="F9" i="31"/>
  <c r="F8" i="31"/>
  <c r="F7" i="31"/>
  <c r="N1518" i="4"/>
  <c r="M1518" i="4"/>
  <c r="F1518" i="4"/>
  <c r="N1516" i="4"/>
  <c r="M1516" i="4"/>
  <c r="F1516" i="4"/>
  <c r="K1516" i="4" s="1"/>
  <c r="F643" i="16"/>
  <c r="F318" i="16"/>
  <c r="F761" i="4"/>
  <c r="K761" i="4" s="1"/>
  <c r="N757" i="4"/>
  <c r="M757" i="4"/>
  <c r="F757" i="4"/>
  <c r="H757" i="4" s="1"/>
  <c r="F529" i="4"/>
  <c r="F523" i="4"/>
  <c r="F510" i="4"/>
  <c r="F505" i="4"/>
  <c r="F504" i="4"/>
  <c r="F444" i="4"/>
  <c r="F440" i="4"/>
  <c r="F47" i="4"/>
  <c r="K529" i="4" l="1"/>
  <c r="J529" i="4"/>
  <c r="F515" i="22" s="1"/>
  <c r="K510" i="4"/>
  <c r="J510" i="4"/>
  <c r="K523" i="4"/>
  <c r="J523" i="4"/>
  <c r="F509" i="22" s="1"/>
  <c r="H47" i="4"/>
  <c r="J47" i="4"/>
  <c r="F47" i="22" s="1"/>
  <c r="H440" i="4"/>
  <c r="J440" i="4"/>
  <c r="F440" i="22" s="1"/>
  <c r="K444" i="4"/>
  <c r="J444" i="4"/>
  <c r="F444" i="22" s="1"/>
  <c r="K504" i="4"/>
  <c r="J504" i="4"/>
  <c r="K505" i="4"/>
  <c r="J505" i="4"/>
  <c r="F504" i="22" s="1"/>
  <c r="J1516" i="4"/>
  <c r="O1516" i="4" s="1"/>
  <c r="K1518" i="4"/>
  <c r="J1518" i="4"/>
  <c r="O1518" i="4" s="1"/>
  <c r="G1518" i="4"/>
  <c r="G1516" i="4"/>
  <c r="H1518" i="4"/>
  <c r="H1516" i="4"/>
  <c r="G761" i="4"/>
  <c r="H761" i="4"/>
  <c r="J761" i="4"/>
  <c r="F754" i="22" s="1"/>
  <c r="J757" i="4"/>
  <c r="F747" i="22" s="1"/>
  <c r="K757" i="4"/>
  <c r="G757" i="4"/>
  <c r="G529" i="4"/>
  <c r="C515" i="22" s="1"/>
  <c r="H529" i="4"/>
  <c r="G523" i="4"/>
  <c r="C509" i="22" s="1"/>
  <c r="H523" i="4"/>
  <c r="G510" i="4"/>
  <c r="H510" i="4"/>
  <c r="G505" i="4"/>
  <c r="C504" i="22" s="1"/>
  <c r="H505" i="4"/>
  <c r="G504" i="4"/>
  <c r="H504" i="4"/>
  <c r="G444" i="4"/>
  <c r="C444" i="22" s="1"/>
  <c r="H444" i="4"/>
  <c r="K440" i="4"/>
  <c r="G440" i="4"/>
  <c r="C440" i="22" s="1"/>
  <c r="G47" i="4"/>
  <c r="D373" i="10" s="1"/>
  <c r="K47" i="4"/>
  <c r="D1197" i="10" l="1"/>
  <c r="D1200" i="10"/>
  <c r="G504" i="22"/>
  <c r="G440" i="22"/>
  <c r="T440" i="22" s="1"/>
  <c r="AA440" i="22" s="1"/>
  <c r="G515" i="22"/>
  <c r="G509" i="22"/>
  <c r="G444" i="22"/>
  <c r="C47" i="22"/>
  <c r="C754" i="22"/>
  <c r="G754" i="22" s="1"/>
  <c r="C1506" i="22"/>
  <c r="C1508" i="22"/>
  <c r="C747" i="22"/>
  <c r="G747" i="22" s="1"/>
  <c r="O757" i="4"/>
  <c r="T444" i="22" l="1"/>
  <c r="AA444" i="22" s="1"/>
  <c r="S509" i="22"/>
  <c r="AA509" i="22" s="1"/>
  <c r="S515" i="22"/>
  <c r="AA515" i="22" s="1"/>
  <c r="S504" i="22"/>
  <c r="AA504" i="22" s="1"/>
  <c r="L1517" i="4"/>
  <c r="R1517" i="4"/>
  <c r="S747" i="22"/>
  <c r="AA747" i="22" s="1"/>
  <c r="S754" i="22"/>
  <c r="AA754" i="22" s="1"/>
  <c r="G47" i="22"/>
  <c r="AA47" i="22" s="1"/>
  <c r="G1508" i="22"/>
  <c r="L1508" i="22" s="1"/>
  <c r="AA1508" i="22" s="1"/>
  <c r="R1518" i="4"/>
  <c r="G1506" i="22"/>
  <c r="L1506" i="22" s="1"/>
  <c r="AA1506" i="22" s="1"/>
  <c r="R1516" i="4"/>
  <c r="AB509" i="22" l="1"/>
  <c r="AB504" i="22"/>
  <c r="AB444" i="22"/>
  <c r="AB515" i="22"/>
  <c r="J161" i="38"/>
  <c r="J162" i="38"/>
  <c r="J163" i="38"/>
  <c r="J164" i="38"/>
  <c r="J165" i="38"/>
  <c r="J166" i="38"/>
  <c r="J167" i="38"/>
  <c r="J168" i="38"/>
  <c r="J169" i="38"/>
  <c r="J170" i="38"/>
  <c r="J171" i="38"/>
  <c r="J172" i="38"/>
  <c r="J173" i="38"/>
  <c r="J174" i="38"/>
  <c r="J175" i="38"/>
  <c r="J176" i="38"/>
  <c r="J177" i="38"/>
  <c r="J178" i="38"/>
  <c r="J179" i="38"/>
  <c r="J180" i="38"/>
  <c r="J181" i="38"/>
  <c r="J182" i="38"/>
  <c r="J183" i="38"/>
  <c r="J184" i="38"/>
  <c r="J185" i="38"/>
  <c r="J186" i="38"/>
  <c r="J187" i="38"/>
  <c r="J188" i="38"/>
  <c r="J189" i="38"/>
  <c r="J190" i="38"/>
  <c r="J191" i="38"/>
  <c r="J192" i="38"/>
  <c r="J193" i="38"/>
  <c r="J194" i="38"/>
  <c r="J195" i="38"/>
  <c r="J196" i="38"/>
  <c r="J197" i="38"/>
  <c r="J198" i="38"/>
  <c r="J199" i="38"/>
  <c r="J200" i="38"/>
  <c r="J201" i="38"/>
  <c r="J202" i="38"/>
  <c r="J203" i="38"/>
  <c r="J204" i="38"/>
  <c r="J205" i="38"/>
  <c r="J206" i="38"/>
  <c r="J207" i="38"/>
  <c r="J208" i="38"/>
  <c r="J209" i="38"/>
  <c r="J210" i="38"/>
  <c r="J211" i="38"/>
  <c r="J212" i="38"/>
  <c r="J213" i="38"/>
  <c r="J214" i="38"/>
  <c r="P198" i="34" l="1"/>
  <c r="H93" i="35" l="1"/>
  <c r="I93" i="35"/>
  <c r="J93" i="35"/>
  <c r="K93" i="35"/>
  <c r="M93" i="35"/>
  <c r="N93" i="35"/>
  <c r="O93" i="35"/>
  <c r="G93" i="35"/>
  <c r="L92" i="35"/>
  <c r="N92" i="35" s="1"/>
  <c r="H589" i="10"/>
  <c r="D38" i="36" s="1"/>
  <c r="L88" i="35"/>
  <c r="N88" i="35" s="1"/>
  <c r="L87" i="35"/>
  <c r="N87" i="35" s="1"/>
  <c r="L86" i="35"/>
  <c r="N86" i="35" s="1"/>
  <c r="H585" i="10" s="1"/>
  <c r="J585" i="10" s="1"/>
  <c r="E776" i="10" s="1"/>
  <c r="L85" i="35"/>
  <c r="N85" i="35" s="1"/>
  <c r="L84" i="35"/>
  <c r="N84" i="35" s="1"/>
  <c r="L83" i="35"/>
  <c r="N83" i="35" s="1"/>
  <c r="L82" i="35"/>
  <c r="N82" i="35" s="1"/>
  <c r="H581" i="10" s="1"/>
  <c r="J581" i="10" s="1"/>
  <c r="E772" i="10" s="1"/>
  <c r="L81" i="35"/>
  <c r="N81" i="35" s="1"/>
  <c r="L80" i="35"/>
  <c r="N80" i="35" s="1"/>
  <c r="L79" i="35"/>
  <c r="N79" i="35" s="1"/>
  <c r="L78" i="35"/>
  <c r="N78" i="35" s="1"/>
  <c r="H577" i="10" s="1"/>
  <c r="L77" i="35"/>
  <c r="N77" i="35" s="1"/>
  <c r="L76" i="35"/>
  <c r="N76" i="35" s="1"/>
  <c r="L75" i="35"/>
  <c r="N75" i="35" s="1"/>
  <c r="L74" i="35"/>
  <c r="N74" i="35" s="1"/>
  <c r="H573" i="10" s="1"/>
  <c r="J573" i="10" s="1"/>
  <c r="E764" i="10" s="1"/>
  <c r="L73" i="35"/>
  <c r="N73" i="35" s="1"/>
  <c r="L72" i="35"/>
  <c r="N72" i="35" s="1"/>
  <c r="L71" i="35"/>
  <c r="N71" i="35" s="1"/>
  <c r="L70" i="35"/>
  <c r="N70" i="35" s="1"/>
  <c r="H569" i="10" s="1"/>
  <c r="L69" i="35"/>
  <c r="N69" i="35" s="1"/>
  <c r="L68" i="35"/>
  <c r="N68" i="35" s="1"/>
  <c r="L67" i="35"/>
  <c r="N67" i="35" s="1"/>
  <c r="L66" i="35"/>
  <c r="N66" i="35" s="1"/>
  <c r="L65" i="35"/>
  <c r="N65" i="35" s="1"/>
  <c r="L64" i="35"/>
  <c r="N64" i="35" s="1"/>
  <c r="L63" i="35"/>
  <c r="N63" i="35" s="1"/>
  <c r="L62" i="35"/>
  <c r="N62" i="35" s="1"/>
  <c r="H561" i="10" s="1"/>
  <c r="J561" i="10" s="1"/>
  <c r="E752" i="10" s="1"/>
  <c r="L61" i="35"/>
  <c r="N61" i="35" s="1"/>
  <c r="L60" i="35"/>
  <c r="N60" i="35" s="1"/>
  <c r="L59" i="35"/>
  <c r="N59" i="35" s="1"/>
  <c r="L58" i="35"/>
  <c r="N58" i="35" s="1"/>
  <c r="L57" i="35"/>
  <c r="N57" i="35" s="1"/>
  <c r="L56" i="35"/>
  <c r="N56" i="35" s="1"/>
  <c r="L55" i="35"/>
  <c r="N55" i="35" s="1"/>
  <c r="L54" i="35"/>
  <c r="N54" i="35" s="1"/>
  <c r="H553" i="10" s="1"/>
  <c r="J553" i="10" s="1"/>
  <c r="E744" i="10" s="1"/>
  <c r="L53" i="35"/>
  <c r="N53" i="35" s="1"/>
  <c r="L52" i="35"/>
  <c r="N52" i="35" s="1"/>
  <c r="L51" i="35"/>
  <c r="N51" i="35" s="1"/>
  <c r="L50" i="35"/>
  <c r="N50" i="35" s="1"/>
  <c r="H549" i="10" s="1"/>
  <c r="L49" i="35"/>
  <c r="N49" i="35" s="1"/>
  <c r="L48" i="35"/>
  <c r="N48" i="35" s="1"/>
  <c r="L47" i="35"/>
  <c r="N47" i="35" s="1"/>
  <c r="L46" i="35"/>
  <c r="N46" i="35" s="1"/>
  <c r="H545" i="10" s="1"/>
  <c r="J545" i="10" s="1"/>
  <c r="E736" i="10" s="1"/>
  <c r="L45" i="35"/>
  <c r="N45" i="35" s="1"/>
  <c r="L44" i="35"/>
  <c r="N44" i="35" s="1"/>
  <c r="L43" i="35"/>
  <c r="N43" i="35" s="1"/>
  <c r="L42" i="35"/>
  <c r="N42" i="35" s="1"/>
  <c r="H541" i="10" s="1"/>
  <c r="J541" i="10" s="1"/>
  <c r="E732" i="10" s="1"/>
  <c r="L41" i="35"/>
  <c r="N41" i="35" s="1"/>
  <c r="L40" i="35"/>
  <c r="N40" i="35" s="1"/>
  <c r="L39" i="35"/>
  <c r="N39" i="35" s="1"/>
  <c r="L38" i="35"/>
  <c r="N38" i="35" s="1"/>
  <c r="H537" i="10" s="1"/>
  <c r="L37" i="35"/>
  <c r="N37" i="35" s="1"/>
  <c r="L36" i="35"/>
  <c r="N36" i="35" s="1"/>
  <c r="L35" i="35"/>
  <c r="N35" i="35" s="1"/>
  <c r="L34" i="35"/>
  <c r="N34" i="35" s="1"/>
  <c r="H533" i="10" s="1"/>
  <c r="L33" i="35"/>
  <c r="N33" i="35" s="1"/>
  <c r="H532" i="10" s="1"/>
  <c r="J532" i="10" s="1"/>
  <c r="E723" i="10" s="1"/>
  <c r="L32" i="35"/>
  <c r="N32" i="35" s="1"/>
  <c r="H531" i="10" s="1"/>
  <c r="J531" i="10" s="1"/>
  <c r="E722" i="10" s="1"/>
  <c r="L31" i="35"/>
  <c r="N31" i="35" s="1"/>
  <c r="H530" i="10" s="1"/>
  <c r="J530" i="10" s="1"/>
  <c r="E721" i="10" s="1"/>
  <c r="L30" i="35"/>
  <c r="N30" i="35" s="1"/>
  <c r="H529" i="10" s="1"/>
  <c r="J529" i="10" s="1"/>
  <c r="E720" i="10" s="1"/>
  <c r="L29" i="35"/>
  <c r="N29" i="35" s="1"/>
  <c r="L28" i="35"/>
  <c r="N28" i="35" s="1"/>
  <c r="H527" i="10" s="1"/>
  <c r="J527" i="10" s="1"/>
  <c r="E718" i="10" s="1"/>
  <c r="L27" i="35"/>
  <c r="N27" i="35" s="1"/>
  <c r="H526" i="10" s="1"/>
  <c r="J526" i="10" s="1"/>
  <c r="E717" i="10" s="1"/>
  <c r="L26" i="35"/>
  <c r="N26" i="35" s="1"/>
  <c r="H525" i="10" s="1"/>
  <c r="J525" i="10" s="1"/>
  <c r="E716" i="10" s="1"/>
  <c r="L25" i="35"/>
  <c r="N25" i="35" s="1"/>
  <c r="L24" i="35"/>
  <c r="N24" i="35" s="1"/>
  <c r="L23" i="35"/>
  <c r="N23" i="35" s="1"/>
  <c r="H522" i="10" s="1"/>
  <c r="J522" i="10" s="1"/>
  <c r="E713" i="10" s="1"/>
  <c r="L22" i="35"/>
  <c r="N22" i="35" s="1"/>
  <c r="H521" i="10" s="1"/>
  <c r="J521" i="10" s="1"/>
  <c r="E712" i="10" s="1"/>
  <c r="L21" i="35"/>
  <c r="N21" i="35" s="1"/>
  <c r="L12" i="35"/>
  <c r="H17" i="35"/>
  <c r="I17" i="35"/>
  <c r="J17" i="35"/>
  <c r="K17" i="35"/>
  <c r="M17" i="35"/>
  <c r="G17" i="35"/>
  <c r="L16" i="35"/>
  <c r="N16" i="35" s="1"/>
  <c r="N205" i="34"/>
  <c r="O205" i="34"/>
  <c r="P205" i="34"/>
  <c r="P207" i="34" s="1"/>
  <c r="R205" i="34"/>
  <c r="Q204" i="34"/>
  <c r="H512" i="10" s="1"/>
  <c r="Q203" i="34"/>
  <c r="H511" i="10" s="1"/>
  <c r="M205" i="34"/>
  <c r="L205" i="34"/>
  <c r="K205" i="34"/>
  <c r="J205" i="34"/>
  <c r="J207" i="34" s="1"/>
  <c r="I205" i="34"/>
  <c r="I207" i="34" s="1"/>
  <c r="H205" i="34"/>
  <c r="R198" i="34"/>
  <c r="N198" i="34"/>
  <c r="O198" i="34"/>
  <c r="Q197" i="34"/>
  <c r="H509" i="10" s="1"/>
  <c r="J509" i="10" s="1"/>
  <c r="M198" i="34"/>
  <c r="L198" i="34"/>
  <c r="K198" i="34"/>
  <c r="H198" i="34"/>
  <c r="H207" i="34" s="1"/>
  <c r="R183" i="34"/>
  <c r="P183" i="34"/>
  <c r="P184" i="34" s="1"/>
  <c r="R178" i="34"/>
  <c r="O179" i="34"/>
  <c r="O192" i="34" s="1"/>
  <c r="N179" i="34"/>
  <c r="N192" i="34" s="1"/>
  <c r="M179" i="34"/>
  <c r="M192" i="34" s="1"/>
  <c r="L179" i="34"/>
  <c r="L192" i="34" s="1"/>
  <c r="K179" i="34"/>
  <c r="K192" i="34" s="1"/>
  <c r="J179" i="34"/>
  <c r="J192" i="34" s="1"/>
  <c r="I179" i="34"/>
  <c r="I192" i="34" s="1"/>
  <c r="H179" i="34"/>
  <c r="H192" i="34" s="1"/>
  <c r="J569" i="10" l="1"/>
  <c r="E760" i="10" s="1"/>
  <c r="J577" i="10"/>
  <c r="E768" i="10" s="1"/>
  <c r="J589" i="10"/>
  <c r="E780" i="10" s="1"/>
  <c r="J533" i="10"/>
  <c r="E724" i="10" s="1"/>
  <c r="J537" i="10"/>
  <c r="E728" i="10" s="1"/>
  <c r="J549" i="10"/>
  <c r="E740" i="10" s="1"/>
  <c r="R184" i="34"/>
  <c r="I504" i="10"/>
  <c r="M207" i="34"/>
  <c r="N207" i="34"/>
  <c r="L207" i="34"/>
  <c r="O207" i="34"/>
  <c r="K207" i="34"/>
  <c r="R179" i="34"/>
  <c r="R192" i="34" s="1"/>
  <c r="I502" i="10"/>
  <c r="J502" i="10" s="1"/>
  <c r="E790" i="10" s="1"/>
  <c r="I511" i="10"/>
  <c r="J511" i="10" s="1"/>
  <c r="H542" i="10"/>
  <c r="J542" i="10" s="1"/>
  <c r="E733" i="10" s="1"/>
  <c r="H554" i="10"/>
  <c r="J554" i="10" s="1"/>
  <c r="E745" i="10" s="1"/>
  <c r="H570" i="10"/>
  <c r="J570" i="10" s="1"/>
  <c r="E761" i="10" s="1"/>
  <c r="H543" i="10"/>
  <c r="J543" i="10" s="1"/>
  <c r="E734" i="10" s="1"/>
  <c r="H551" i="10"/>
  <c r="J551" i="10" s="1"/>
  <c r="E742" i="10" s="1"/>
  <c r="H563" i="10"/>
  <c r="J563" i="10" s="1"/>
  <c r="E754" i="10" s="1"/>
  <c r="H567" i="10"/>
  <c r="J567" i="10" s="1"/>
  <c r="E758" i="10" s="1"/>
  <c r="H583" i="10"/>
  <c r="J583" i="10" s="1"/>
  <c r="E774" i="10" s="1"/>
  <c r="H534" i="10"/>
  <c r="H550" i="10"/>
  <c r="J550" i="10" s="1"/>
  <c r="E741" i="10" s="1"/>
  <c r="H562" i="10"/>
  <c r="J562" i="10" s="1"/>
  <c r="E753" i="10" s="1"/>
  <c r="H578" i="10"/>
  <c r="J578" i="10" s="1"/>
  <c r="E769" i="10" s="1"/>
  <c r="H586" i="10"/>
  <c r="J586" i="10" s="1"/>
  <c r="E777" i="10" s="1"/>
  <c r="H535" i="10"/>
  <c r="H547" i="10"/>
  <c r="J547" i="10" s="1"/>
  <c r="E738" i="10" s="1"/>
  <c r="H579" i="10"/>
  <c r="J579" i="10" s="1"/>
  <c r="E770" i="10" s="1"/>
  <c r="H587" i="10"/>
  <c r="D33" i="36" s="1"/>
  <c r="F992" i="10" s="1"/>
  <c r="H536" i="10"/>
  <c r="J536" i="10" s="1"/>
  <c r="E727" i="10" s="1"/>
  <c r="H544" i="10"/>
  <c r="J544" i="10" s="1"/>
  <c r="E735" i="10" s="1"/>
  <c r="H548" i="10"/>
  <c r="J548" i="10" s="1"/>
  <c r="E739" i="10" s="1"/>
  <c r="H552" i="10"/>
  <c r="J552" i="10" s="1"/>
  <c r="E743" i="10" s="1"/>
  <c r="H556" i="10"/>
  <c r="J556" i="10" s="1"/>
  <c r="E747" i="10" s="1"/>
  <c r="H564" i="10"/>
  <c r="J564" i="10" s="1"/>
  <c r="E755" i="10" s="1"/>
  <c r="H568" i="10"/>
  <c r="J568" i="10" s="1"/>
  <c r="E759" i="10" s="1"/>
  <c r="H572" i="10"/>
  <c r="J572" i="10" s="1"/>
  <c r="E763" i="10" s="1"/>
  <c r="H576" i="10"/>
  <c r="J576" i="10" s="1"/>
  <c r="E767" i="10" s="1"/>
  <c r="H580" i="10"/>
  <c r="D32" i="36" s="1"/>
  <c r="H584" i="10"/>
  <c r="J584" i="10" s="1"/>
  <c r="E775" i="10" s="1"/>
  <c r="H588" i="10"/>
  <c r="D39" i="36" s="1"/>
  <c r="H538" i="10"/>
  <c r="J538" i="10" s="1"/>
  <c r="E729" i="10" s="1"/>
  <c r="H546" i="10"/>
  <c r="J546" i="10" s="1"/>
  <c r="E737" i="10" s="1"/>
  <c r="H566" i="10"/>
  <c r="J566" i="10" s="1"/>
  <c r="E757" i="10" s="1"/>
  <c r="H574" i="10"/>
  <c r="J574" i="10" s="1"/>
  <c r="E765" i="10" s="1"/>
  <c r="H582" i="10"/>
  <c r="J582" i="10" s="1"/>
  <c r="E773" i="10" s="1"/>
  <c r="H539" i="10"/>
  <c r="J539" i="10" s="1"/>
  <c r="E730" i="10" s="1"/>
  <c r="H559" i="10"/>
  <c r="J559" i="10" s="1"/>
  <c r="E750" i="10" s="1"/>
  <c r="H575" i="10"/>
  <c r="H555" i="10"/>
  <c r="J555" i="10" s="1"/>
  <c r="E746" i="10" s="1"/>
  <c r="H571" i="10"/>
  <c r="J571" i="10" s="1"/>
  <c r="E762" i="10" s="1"/>
  <c r="H520" i="10"/>
  <c r="H524" i="10"/>
  <c r="H528" i="10"/>
  <c r="H540" i="10"/>
  <c r="J540" i="10" s="1"/>
  <c r="E731" i="10" s="1"/>
  <c r="H558" i="10"/>
  <c r="J558" i="10" s="1"/>
  <c r="E749" i="10" s="1"/>
  <c r="P17" i="35"/>
  <c r="H560" i="10"/>
  <c r="J560" i="10" s="1"/>
  <c r="E751" i="10" s="1"/>
  <c r="H557" i="10"/>
  <c r="H565" i="10"/>
  <c r="P93" i="35"/>
  <c r="O16" i="35"/>
  <c r="H515" i="10" s="1"/>
  <c r="S203" i="34"/>
  <c r="S204" i="34"/>
  <c r="S202" i="34"/>
  <c r="Q205" i="34"/>
  <c r="R207" i="34"/>
  <c r="L93" i="35"/>
  <c r="Q93" i="35"/>
  <c r="R93" i="35" s="1"/>
  <c r="N17" i="35"/>
  <c r="L17" i="35"/>
  <c r="Q198" i="34"/>
  <c r="S197" i="34"/>
  <c r="S198" i="34" s="1"/>
  <c r="Q183" i="34"/>
  <c r="S178" i="34"/>
  <c r="S179" i="34" s="1"/>
  <c r="Q179" i="34"/>
  <c r="P179" i="34"/>
  <c r="P192" i="34" s="1"/>
  <c r="D31" i="36" l="1"/>
  <c r="D30" i="36"/>
  <c r="D35" i="36"/>
  <c r="J587" i="10"/>
  <c r="E778" i="10" s="1"/>
  <c r="J580" i="10"/>
  <c r="E771" i="10" s="1"/>
  <c r="J575" i="10"/>
  <c r="E766" i="10" s="1"/>
  <c r="J588" i="10"/>
  <c r="E779" i="10" s="1"/>
  <c r="J515" i="10"/>
  <c r="E706" i="10" s="1"/>
  <c r="J565" i="10"/>
  <c r="E756" i="10" s="1"/>
  <c r="J528" i="10"/>
  <c r="E719" i="10" s="1"/>
  <c r="J520" i="10"/>
  <c r="E711" i="10" s="1"/>
  <c r="J534" i="10"/>
  <c r="E725" i="10" s="1"/>
  <c r="J524" i="10"/>
  <c r="E715" i="10" s="1"/>
  <c r="J557" i="10"/>
  <c r="E748" i="10" s="1"/>
  <c r="J535" i="10"/>
  <c r="E726" i="10" s="1"/>
  <c r="H504" i="10"/>
  <c r="J504" i="10" s="1"/>
  <c r="E792" i="10" s="1"/>
  <c r="Q184" i="34"/>
  <c r="Q192" i="34" s="1"/>
  <c r="S205" i="34"/>
  <c r="S207" i="34" s="1"/>
  <c r="I512" i="10"/>
  <c r="J512" i="10" s="1"/>
  <c r="Q16" i="35"/>
  <c r="Q17" i="35" s="1"/>
  <c r="F30" i="36"/>
  <c r="H523" i="10"/>
  <c r="O17" i="35"/>
  <c r="Q207" i="34"/>
  <c r="S183" i="34"/>
  <c r="S184" i="34" s="1"/>
  <c r="S192" i="34" s="1"/>
  <c r="J523" i="10" l="1"/>
  <c r="E714" i="10" s="1"/>
  <c r="K133" i="34"/>
  <c r="J133" i="34"/>
  <c r="I133" i="34"/>
  <c r="H133" i="34"/>
  <c r="G133" i="34"/>
  <c r="R132" i="34"/>
  <c r="L132" i="34"/>
  <c r="L127" i="34"/>
  <c r="L125" i="34"/>
  <c r="H128" i="34"/>
  <c r="I128" i="34"/>
  <c r="J128" i="34"/>
  <c r="K128" i="34"/>
  <c r="G128" i="34"/>
  <c r="R125" i="34"/>
  <c r="R128" i="34" s="1"/>
  <c r="L120" i="34"/>
  <c r="N120" i="34" s="1"/>
  <c r="Q120" i="34" s="1"/>
  <c r="H484" i="10" s="1"/>
  <c r="J484" i="10" s="1"/>
  <c r="E699" i="10" s="1"/>
  <c r="L119" i="34"/>
  <c r="N119" i="34" s="1"/>
  <c r="Q119" i="34" s="1"/>
  <c r="H483" i="10" s="1"/>
  <c r="J483" i="10" s="1"/>
  <c r="E698" i="10" s="1"/>
  <c r="L118" i="34"/>
  <c r="N118" i="34" s="1"/>
  <c r="Q118" i="34" s="1"/>
  <c r="H482" i="10" s="1"/>
  <c r="R120" i="34"/>
  <c r="R119" i="34"/>
  <c r="R118" i="34"/>
  <c r="H104" i="34"/>
  <c r="I104" i="34"/>
  <c r="J104" i="34"/>
  <c r="K104" i="34"/>
  <c r="M104" i="34"/>
  <c r="G104" i="34"/>
  <c r="R103" i="34"/>
  <c r="L103" i="34"/>
  <c r="N103" i="34" s="1"/>
  <c r="H476" i="10" s="1"/>
  <c r="J476" i="10" s="1"/>
  <c r="E691" i="10" s="1"/>
  <c r="R97" i="34"/>
  <c r="L97" i="34"/>
  <c r="N97" i="34" s="1"/>
  <c r="H473" i="10" s="1"/>
  <c r="J473" i="10" s="1"/>
  <c r="E688" i="10" s="1"/>
  <c r="R95" i="34"/>
  <c r="L95" i="34"/>
  <c r="N95" i="34" s="1"/>
  <c r="H471" i="10" s="1"/>
  <c r="J471" i="10" s="1"/>
  <c r="E686" i="10" s="1"/>
  <c r="R91" i="34"/>
  <c r="L91" i="34"/>
  <c r="N91" i="34" s="1"/>
  <c r="H467" i="10" s="1"/>
  <c r="J467" i="10" s="1"/>
  <c r="E682" i="10" s="1"/>
  <c r="R96" i="34"/>
  <c r="L96" i="34"/>
  <c r="N96" i="34" s="1"/>
  <c r="H472" i="10" s="1"/>
  <c r="J472" i="10" s="1"/>
  <c r="E687" i="10" s="1"/>
  <c r="R83" i="34"/>
  <c r="L83" i="34"/>
  <c r="N83" i="34" s="1"/>
  <c r="H462" i="10" s="1"/>
  <c r="J462" i="10" s="1"/>
  <c r="E677" i="10" s="1"/>
  <c r="H14" i="34"/>
  <c r="I14" i="34"/>
  <c r="J14" i="34"/>
  <c r="K14" i="34"/>
  <c r="M14" i="34"/>
  <c r="G14" i="34"/>
  <c r="R12" i="34"/>
  <c r="L12" i="34"/>
  <c r="J482" i="10" l="1"/>
  <c r="E697" i="10" s="1"/>
  <c r="D20" i="36"/>
  <c r="N127" i="34"/>
  <c r="N132" i="34"/>
  <c r="Q132" i="34" s="1"/>
  <c r="L133" i="34"/>
  <c r="R133" i="34"/>
  <c r="N125" i="34"/>
  <c r="Q125" i="34" s="1"/>
  <c r="L128" i="34"/>
  <c r="S118" i="34"/>
  <c r="S91" i="34"/>
  <c r="S103" i="34"/>
  <c r="S119" i="34"/>
  <c r="S120" i="34"/>
  <c r="S97" i="34"/>
  <c r="S96" i="34"/>
  <c r="S95" i="34"/>
  <c r="S83" i="34"/>
  <c r="N12" i="34"/>
  <c r="H488" i="10" l="1"/>
  <c r="H485" i="10"/>
  <c r="Q127" i="34"/>
  <c r="S132" i="34"/>
  <c r="S133" i="34" s="1"/>
  <c r="N133" i="34"/>
  <c r="N128" i="34"/>
  <c r="Q133" i="34"/>
  <c r="S125" i="34"/>
  <c r="Q12" i="34"/>
  <c r="J485" i="10" l="1"/>
  <c r="E700" i="10" s="1"/>
  <c r="J488" i="10"/>
  <c r="E703" i="10" s="1"/>
  <c r="H400" i="10"/>
  <c r="D12" i="36" s="1"/>
  <c r="Q128" i="34"/>
  <c r="H487" i="10"/>
  <c r="S12" i="34"/>
  <c r="S127" i="34"/>
  <c r="S128" i="34" s="1"/>
  <c r="F6" i="16"/>
  <c r="F7" i="16"/>
  <c r="F8" i="16"/>
  <c r="F9" i="16"/>
  <c r="F10" i="16"/>
  <c r="F11" i="16"/>
  <c r="F12" i="16"/>
  <c r="F13" i="16"/>
  <c r="F14" i="16"/>
  <c r="F15" i="16"/>
  <c r="F16" i="16"/>
  <c r="F17" i="16"/>
  <c r="F18" i="16"/>
  <c r="F19" i="16"/>
  <c r="F20" i="16"/>
  <c r="F21" i="16"/>
  <c r="F22" i="16"/>
  <c r="F23" i="16"/>
  <c r="F24" i="16"/>
  <c r="F25" i="16"/>
  <c r="F26" i="16"/>
  <c r="F27" i="16"/>
  <c r="F28" i="16"/>
  <c r="F29"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57" i="16"/>
  <c r="F458" i="16"/>
  <c r="F459" i="16"/>
  <c r="F460" i="16"/>
  <c r="F461" i="16"/>
  <c r="F462" i="16"/>
  <c r="F464" i="16"/>
  <c r="F463" i="16"/>
  <c r="J465" i="16"/>
  <c r="F468" i="16"/>
  <c r="F469" i="16"/>
  <c r="F864" i="16"/>
  <c r="F863" i="16"/>
  <c r="F862" i="16"/>
  <c r="F861" i="16"/>
  <c r="F860" i="16"/>
  <c r="F859" i="16"/>
  <c r="F858" i="16"/>
  <c r="F857" i="16"/>
  <c r="F856" i="16"/>
  <c r="F846" i="16"/>
  <c r="F845" i="16"/>
  <c r="F844" i="16"/>
  <c r="F831" i="16"/>
  <c r="F830" i="16"/>
  <c r="F829" i="16"/>
  <c r="J487" i="10" l="1"/>
  <c r="E702" i="10" s="1"/>
  <c r="J400" i="10"/>
  <c r="E615" i="10" s="1"/>
  <c r="A866" i="16"/>
  <c r="A865" i="16"/>
  <c r="AB1213" i="22" l="1"/>
  <c r="AB920" i="22"/>
  <c r="AB875" i="22"/>
  <c r="AB670" i="22"/>
  <c r="AA920" i="22" l="1"/>
  <c r="C1334" i="22" l="1"/>
  <c r="F782" i="22"/>
  <c r="F780" i="22"/>
  <c r="F778" i="22"/>
  <c r="F776" i="22"/>
  <c r="F775" i="22"/>
  <c r="F774" i="22"/>
  <c r="F773" i="22"/>
  <c r="F772" i="22"/>
  <c r="F770" i="22"/>
  <c r="F769" i="22"/>
  <c r="F767" i="22"/>
  <c r="F766" i="22"/>
  <c r="F694" i="22"/>
  <c r="B36" i="21"/>
  <c r="B74" i="6"/>
  <c r="L66" i="45" l="1"/>
  <c r="L68" i="45" s="1"/>
  <c r="N66" i="45"/>
  <c r="N68" i="45" s="1"/>
  <c r="L67" i="45"/>
  <c r="N67" i="45"/>
  <c r="G68" i="45"/>
  <c r="H68" i="45"/>
  <c r="I68" i="45"/>
  <c r="J68" i="45"/>
  <c r="K68" i="45"/>
  <c r="M68" i="45"/>
  <c r="L62" i="45"/>
  <c r="N62" i="45"/>
  <c r="N63" i="45" s="1"/>
  <c r="G63" i="45"/>
  <c r="H63" i="45"/>
  <c r="I63" i="45"/>
  <c r="J63" i="45"/>
  <c r="K63" i="45"/>
  <c r="L63" i="45"/>
  <c r="L23" i="45"/>
  <c r="N23" i="45"/>
  <c r="L24" i="45"/>
  <c r="N24" i="45"/>
  <c r="L25" i="45"/>
  <c r="N25" i="45" s="1"/>
  <c r="L26" i="45"/>
  <c r="N26" i="45"/>
  <c r="L27" i="45"/>
  <c r="N27" i="45"/>
  <c r="L28" i="45"/>
  <c r="N28" i="45" s="1"/>
  <c r="L29" i="45"/>
  <c r="N29" i="45" s="1"/>
  <c r="L30" i="45"/>
  <c r="N30" i="45"/>
  <c r="L31" i="45"/>
  <c r="N31" i="45" s="1"/>
  <c r="L32" i="45"/>
  <c r="N32" i="45"/>
  <c r="L33" i="45"/>
  <c r="N33" i="45" s="1"/>
  <c r="L34" i="45"/>
  <c r="N34" i="45" s="1"/>
  <c r="L35" i="45"/>
  <c r="N35" i="45"/>
  <c r="L36" i="45"/>
  <c r="N36" i="45" s="1"/>
  <c r="L37" i="45"/>
  <c r="N37" i="45" s="1"/>
  <c r="L38" i="45"/>
  <c r="N38" i="45" s="1"/>
  <c r="L39" i="45"/>
  <c r="N39" i="45"/>
  <c r="L40" i="45"/>
  <c r="N40" i="45" s="1"/>
  <c r="L41" i="45"/>
  <c r="N41" i="45" s="1"/>
  <c r="L42" i="45"/>
  <c r="N42" i="45" s="1"/>
  <c r="L43" i="45"/>
  <c r="N43" i="45"/>
  <c r="L44" i="45"/>
  <c r="N44" i="45" s="1"/>
  <c r="L45" i="45"/>
  <c r="N45" i="45" s="1"/>
  <c r="L46" i="45"/>
  <c r="N46" i="45" s="1"/>
  <c r="L47" i="45"/>
  <c r="N47" i="45"/>
  <c r="L48" i="45"/>
  <c r="N48" i="45"/>
  <c r="L49" i="45"/>
  <c r="N49" i="45" s="1"/>
  <c r="L50" i="45"/>
  <c r="N50" i="45"/>
  <c r="L51" i="45"/>
  <c r="N51" i="45" s="1"/>
  <c r="L52" i="45"/>
  <c r="N52" i="45" s="1"/>
  <c r="L53" i="45"/>
  <c r="N53" i="45" s="1"/>
  <c r="L54" i="45"/>
  <c r="N54" i="45"/>
  <c r="L55" i="45"/>
  <c r="N55" i="45" s="1"/>
  <c r="L56" i="45"/>
  <c r="N56" i="45"/>
  <c r="L57" i="45"/>
  <c r="N57" i="45" s="1"/>
  <c r="L58" i="45"/>
  <c r="N58" i="45" s="1"/>
  <c r="G59" i="45"/>
  <c r="G71" i="45" s="1"/>
  <c r="H59" i="45"/>
  <c r="H71" i="45" s="1"/>
  <c r="I59" i="45"/>
  <c r="J59" i="45"/>
  <c r="K59" i="45"/>
  <c r="L18" i="45"/>
  <c r="L20" i="45" s="1"/>
  <c r="N18" i="45"/>
  <c r="N20" i="45" s="1"/>
  <c r="L19" i="45"/>
  <c r="N19" i="45"/>
  <c r="G20" i="45"/>
  <c r="H20" i="45"/>
  <c r="I20" i="45"/>
  <c r="J20" i="45"/>
  <c r="K20" i="45"/>
  <c r="M20" i="45"/>
  <c r="L11" i="45"/>
  <c r="N11" i="45"/>
  <c r="L12" i="45"/>
  <c r="L15" i="45" s="1"/>
  <c r="N12" i="45"/>
  <c r="L13" i="45"/>
  <c r="N13" i="45"/>
  <c r="L14" i="45"/>
  <c r="N14" i="45"/>
  <c r="G15" i="45"/>
  <c r="H15" i="45"/>
  <c r="I15" i="45"/>
  <c r="J15" i="45"/>
  <c r="K15" i="45"/>
  <c r="M15" i="45"/>
  <c r="N15" i="45"/>
  <c r="G122" i="41"/>
  <c r="H122" i="41"/>
  <c r="I122" i="41"/>
  <c r="J122" i="41"/>
  <c r="K122" i="41"/>
  <c r="M122" i="41"/>
  <c r="M126" i="41"/>
  <c r="O126" i="41"/>
  <c r="M129" i="41"/>
  <c r="O129" i="41"/>
  <c r="H130" i="41"/>
  <c r="I130" i="41"/>
  <c r="J130" i="41"/>
  <c r="K130" i="41"/>
  <c r="L130" i="41"/>
  <c r="M130" i="41"/>
  <c r="O130" i="41"/>
  <c r="H141" i="41"/>
  <c r="I141" i="41"/>
  <c r="J141" i="41"/>
  <c r="K141" i="41"/>
  <c r="L141" i="41"/>
  <c r="M141" i="41"/>
  <c r="N141" i="41"/>
  <c r="O141" i="41"/>
  <c r="H147" i="41"/>
  <c r="K147" i="41"/>
  <c r="L147" i="41"/>
  <c r="M147" i="41"/>
  <c r="L150" i="41"/>
  <c r="L151" i="41"/>
  <c r="L116" i="41"/>
  <c r="N116" i="41"/>
  <c r="L117" i="41"/>
  <c r="N117" i="41"/>
  <c r="L118" i="41"/>
  <c r="N118" i="41"/>
  <c r="G119" i="41"/>
  <c r="H119" i="41"/>
  <c r="I119" i="41"/>
  <c r="J119" i="41"/>
  <c r="K119" i="41"/>
  <c r="L119" i="41"/>
  <c r="L122" i="41" s="1"/>
  <c r="N119" i="41"/>
  <c r="L112" i="41"/>
  <c r="N112" i="41"/>
  <c r="G113" i="41"/>
  <c r="H113" i="41"/>
  <c r="I113" i="41"/>
  <c r="J113" i="41"/>
  <c r="K113" i="41"/>
  <c r="L113" i="41"/>
  <c r="N113" i="41"/>
  <c r="L103" i="41"/>
  <c r="N103" i="41"/>
  <c r="L104" i="41"/>
  <c r="N104" i="41"/>
  <c r="L105" i="41"/>
  <c r="N105" i="41"/>
  <c r="L106" i="41"/>
  <c r="N106" i="41"/>
  <c r="L107" i="41"/>
  <c r="N107" i="41"/>
  <c r="L108" i="41"/>
  <c r="N108" i="41"/>
  <c r="N109" i="41" s="1"/>
  <c r="N122" i="41" s="1"/>
  <c r="G109" i="41"/>
  <c r="H109" i="41"/>
  <c r="I109" i="41"/>
  <c r="J109" i="41"/>
  <c r="K109" i="41"/>
  <c r="L109" i="41"/>
  <c r="M109" i="41"/>
  <c r="H100" i="41"/>
  <c r="I100" i="41"/>
  <c r="J100" i="41"/>
  <c r="L89" i="41"/>
  <c r="N89" i="41"/>
  <c r="L90" i="41"/>
  <c r="N90" i="41"/>
  <c r="L91" i="41"/>
  <c r="N91" i="41"/>
  <c r="L92" i="41"/>
  <c r="N92" i="41"/>
  <c r="L93" i="41"/>
  <c r="N93" i="41"/>
  <c r="L94" i="41"/>
  <c r="N94" i="41"/>
  <c r="L95" i="41"/>
  <c r="N95" i="41"/>
  <c r="L96" i="41"/>
  <c r="N96" i="41"/>
  <c r="G97" i="41"/>
  <c r="H97" i="41"/>
  <c r="I97" i="41"/>
  <c r="J97" i="41"/>
  <c r="K97" i="41"/>
  <c r="L97" i="41"/>
  <c r="M97" i="41"/>
  <c r="N97" i="41"/>
  <c r="L84" i="41"/>
  <c r="N84" i="41"/>
  <c r="L85" i="41"/>
  <c r="N85" i="41"/>
  <c r="G86" i="41"/>
  <c r="H86" i="41"/>
  <c r="I86" i="41"/>
  <c r="J86" i="41"/>
  <c r="K86" i="41"/>
  <c r="L86" i="41"/>
  <c r="M86" i="41"/>
  <c r="N86" i="41"/>
  <c r="L75" i="41"/>
  <c r="N75" i="41"/>
  <c r="L76" i="41"/>
  <c r="N76" i="41"/>
  <c r="L77" i="41"/>
  <c r="N77" i="41"/>
  <c r="L78" i="41"/>
  <c r="N78" i="41"/>
  <c r="L79" i="41"/>
  <c r="N79" i="41"/>
  <c r="L80" i="41"/>
  <c r="N80" i="41"/>
  <c r="G81" i="41"/>
  <c r="H81" i="41"/>
  <c r="I81" i="41"/>
  <c r="J81" i="41"/>
  <c r="K81" i="41"/>
  <c r="L81" i="41"/>
  <c r="N81" i="41"/>
  <c r="L71" i="41"/>
  <c r="N71" i="41"/>
  <c r="N72" i="41" s="1"/>
  <c r="G72" i="41"/>
  <c r="H72" i="41"/>
  <c r="I72" i="41"/>
  <c r="J72" i="41"/>
  <c r="K72" i="41"/>
  <c r="L72" i="41"/>
  <c r="L67" i="41"/>
  <c r="N67" i="41"/>
  <c r="G68" i="41"/>
  <c r="H68" i="41"/>
  <c r="I68" i="41"/>
  <c r="J68" i="41"/>
  <c r="K68" i="41"/>
  <c r="L68" i="41"/>
  <c r="N68" i="41"/>
  <c r="L11" i="41"/>
  <c r="N11" i="41"/>
  <c r="L12" i="41"/>
  <c r="N12" i="41"/>
  <c r="L13" i="41"/>
  <c r="N13" i="41" s="1"/>
  <c r="L14" i="41"/>
  <c r="N14" i="41"/>
  <c r="L15" i="41"/>
  <c r="N15" i="41"/>
  <c r="L16" i="41"/>
  <c r="N16" i="41" s="1"/>
  <c r="L17" i="41"/>
  <c r="N17" i="41"/>
  <c r="L18" i="41"/>
  <c r="N18" i="41"/>
  <c r="L19" i="41"/>
  <c r="N19" i="41" s="1"/>
  <c r="L20" i="41"/>
  <c r="N20" i="41"/>
  <c r="L21" i="41"/>
  <c r="N21" i="41"/>
  <c r="L22" i="41"/>
  <c r="N22" i="41" s="1"/>
  <c r="L23" i="41"/>
  <c r="N23" i="41"/>
  <c r="L24" i="41"/>
  <c r="N24" i="41"/>
  <c r="L25" i="41"/>
  <c r="N25" i="41" s="1"/>
  <c r="L26" i="41"/>
  <c r="N26" i="41"/>
  <c r="L27" i="41"/>
  <c r="N27" i="41"/>
  <c r="L28" i="41"/>
  <c r="N28" i="41" s="1"/>
  <c r="L29" i="41"/>
  <c r="N29" i="41"/>
  <c r="L30" i="41"/>
  <c r="N30" i="41"/>
  <c r="L31" i="41"/>
  <c r="N31" i="41" s="1"/>
  <c r="L32" i="41"/>
  <c r="N32" i="41"/>
  <c r="L33" i="41"/>
  <c r="N33" i="41"/>
  <c r="L34" i="41"/>
  <c r="N34" i="41" s="1"/>
  <c r="L35" i="41"/>
  <c r="N35" i="41"/>
  <c r="L36" i="41"/>
  <c r="N36" i="41"/>
  <c r="L37" i="41"/>
  <c r="N37" i="41" s="1"/>
  <c r="L38" i="41"/>
  <c r="N38" i="41"/>
  <c r="L39" i="41"/>
  <c r="N39" i="41"/>
  <c r="L40" i="41"/>
  <c r="N40" i="41" s="1"/>
  <c r="L41" i="41"/>
  <c r="N41" i="41"/>
  <c r="L42" i="41"/>
  <c r="N42" i="41"/>
  <c r="L43" i="41"/>
  <c r="N43" i="41" s="1"/>
  <c r="L44" i="41"/>
  <c r="N44" i="41"/>
  <c r="L45" i="41"/>
  <c r="N45" i="41"/>
  <c r="L46" i="41"/>
  <c r="N46" i="41" s="1"/>
  <c r="L47" i="41"/>
  <c r="N47" i="41"/>
  <c r="L48" i="41"/>
  <c r="N48" i="41"/>
  <c r="L49" i="41"/>
  <c r="N49" i="41" s="1"/>
  <c r="L50" i="41"/>
  <c r="N50" i="41"/>
  <c r="L51" i="41"/>
  <c r="N51" i="41"/>
  <c r="L52" i="41"/>
  <c r="N52" i="41" s="1"/>
  <c r="L53" i="41"/>
  <c r="N53" i="41"/>
  <c r="L54" i="41"/>
  <c r="N54" i="41"/>
  <c r="L55" i="41"/>
  <c r="N55" i="41" s="1"/>
  <c r="L56" i="41"/>
  <c r="N56" i="41"/>
  <c r="L57" i="41"/>
  <c r="N57" i="41"/>
  <c r="L58" i="41"/>
  <c r="N58" i="41" s="1"/>
  <c r="L59" i="41"/>
  <c r="N59" i="41"/>
  <c r="L60" i="41"/>
  <c r="N60" i="41"/>
  <c r="L61" i="41"/>
  <c r="N61" i="41" s="1"/>
  <c r="L62" i="41"/>
  <c r="N62" i="41"/>
  <c r="L63" i="41"/>
  <c r="N63" i="41"/>
  <c r="G64" i="41"/>
  <c r="G100" i="41" s="1"/>
  <c r="H64" i="41"/>
  <c r="I64" i="41"/>
  <c r="J64" i="41"/>
  <c r="K64" i="41"/>
  <c r="K100" i="41" s="1"/>
  <c r="M64" i="41"/>
  <c r="J15" i="23"/>
  <c r="K15" i="23" l="1"/>
  <c r="L15" i="23" s="1"/>
  <c r="E975" i="10"/>
  <c r="F976" i="10" s="1"/>
  <c r="L64" i="41"/>
  <c r="L100" i="41"/>
  <c r="N64" i="41"/>
  <c r="K71" i="45"/>
  <c r="J71" i="45"/>
  <c r="I71" i="45"/>
  <c r="L59" i="45"/>
  <c r="L71" i="45" s="1"/>
  <c r="N59" i="45"/>
  <c r="N71" i="45" s="1"/>
  <c r="N100" i="41"/>
  <c r="N215" i="34" l="1"/>
  <c r="O215" i="34"/>
  <c r="P215" i="34"/>
  <c r="H215" i="34"/>
  <c r="I215" i="34"/>
  <c r="N217" i="34"/>
  <c r="O217" i="34"/>
  <c r="P217" i="34"/>
  <c r="I172" i="34"/>
  <c r="I174" i="34" s="1"/>
  <c r="J172" i="34"/>
  <c r="J174" i="34" s="1"/>
  <c r="K172" i="34"/>
  <c r="K174" i="34" s="1"/>
  <c r="L172" i="34"/>
  <c r="L174" i="34" s="1"/>
  <c r="N172" i="34"/>
  <c r="N174" i="34" s="1"/>
  <c r="O172" i="34"/>
  <c r="O174" i="34" s="1"/>
  <c r="H172" i="34"/>
  <c r="H174" i="34" s="1"/>
  <c r="I154" i="34"/>
  <c r="J154" i="34"/>
  <c r="K154" i="34"/>
  <c r="L154" i="34"/>
  <c r="N154" i="34"/>
  <c r="P154" i="34"/>
  <c r="H154" i="34"/>
  <c r="H121" i="34"/>
  <c r="H140" i="34" s="1"/>
  <c r="I121" i="34"/>
  <c r="I140" i="34" s="1"/>
  <c r="J121" i="34"/>
  <c r="J140" i="34" s="1"/>
  <c r="K121" i="34"/>
  <c r="K140" i="34" s="1"/>
  <c r="M140" i="34"/>
  <c r="F1381" i="4" l="1"/>
  <c r="F959" i="4"/>
  <c r="G959" i="4" s="1"/>
  <c r="F1302" i="4"/>
  <c r="G1302" i="4" s="1"/>
  <c r="C1293" i="22" s="1"/>
  <c r="G1293" i="22" s="1"/>
  <c r="S1293" i="22" s="1"/>
  <c r="F767" i="4"/>
  <c r="G767" i="4" s="1"/>
  <c r="R767" i="4" s="1"/>
  <c r="F768" i="4"/>
  <c r="G768" i="4" s="1"/>
  <c r="R768" i="4" s="1"/>
  <c r="F769" i="4"/>
  <c r="H769" i="4" s="1"/>
  <c r="F770" i="4"/>
  <c r="G770" i="4" s="1"/>
  <c r="F774" i="4"/>
  <c r="G774" i="4" s="1"/>
  <c r="C768" i="22" s="1"/>
  <c r="G768" i="22" s="1"/>
  <c r="F775" i="4"/>
  <c r="G775" i="4" s="1"/>
  <c r="F776" i="4"/>
  <c r="G776" i="4" s="1"/>
  <c r="F779" i="4"/>
  <c r="H779" i="4" s="1"/>
  <c r="F780" i="4"/>
  <c r="G780" i="4" s="1"/>
  <c r="F781" i="4"/>
  <c r="G781" i="4" s="1"/>
  <c r="F782" i="4"/>
  <c r="G782" i="4" s="1"/>
  <c r="F784" i="4"/>
  <c r="H784" i="4" s="1"/>
  <c r="F785" i="4"/>
  <c r="G785" i="4" s="1"/>
  <c r="F787" i="4"/>
  <c r="G787" i="4" s="1"/>
  <c r="F789" i="4"/>
  <c r="G789" i="4" s="1"/>
  <c r="F698" i="4"/>
  <c r="G698" i="4" s="1"/>
  <c r="F593" i="4"/>
  <c r="F594" i="4"/>
  <c r="F595" i="4"/>
  <c r="F591" i="4"/>
  <c r="F54" i="4"/>
  <c r="F60" i="4"/>
  <c r="F57" i="4"/>
  <c r="F58" i="4"/>
  <c r="F55" i="4"/>
  <c r="F56" i="4"/>
  <c r="F43" i="4"/>
  <c r="F44" i="4"/>
  <c r="F45" i="4"/>
  <c r="F46" i="4"/>
  <c r="F48" i="4"/>
  <c r="F49" i="4"/>
  <c r="F52" i="4"/>
  <c r="F53" i="4"/>
  <c r="F31" i="4"/>
  <c r="F32" i="4"/>
  <c r="F26" i="4"/>
  <c r="F27" i="4"/>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501" i="16"/>
  <c r="F502" i="16"/>
  <c r="F503" i="16"/>
  <c r="F504" i="16"/>
  <c r="F505" i="16"/>
  <c r="F506" i="16"/>
  <c r="F507" i="16"/>
  <c r="F508" i="16"/>
  <c r="F509" i="16"/>
  <c r="F510" i="16"/>
  <c r="F511" i="16"/>
  <c r="F512" i="16"/>
  <c r="F513" i="16"/>
  <c r="F514" i="16"/>
  <c r="F515" i="16"/>
  <c r="F516" i="16"/>
  <c r="F517" i="16"/>
  <c r="F518" i="16"/>
  <c r="F519" i="16"/>
  <c r="F520" i="16"/>
  <c r="F521" i="16"/>
  <c r="F522" i="16"/>
  <c r="F523" i="16"/>
  <c r="F524" i="16"/>
  <c r="F525" i="16"/>
  <c r="F526" i="16"/>
  <c r="F527" i="16"/>
  <c r="F528" i="16"/>
  <c r="F529" i="16"/>
  <c r="F530" i="16"/>
  <c r="F531" i="16"/>
  <c r="F532" i="16"/>
  <c r="F533" i="16"/>
  <c r="F534" i="16"/>
  <c r="F535" i="16"/>
  <c r="F536" i="16"/>
  <c r="F537" i="16"/>
  <c r="F538" i="16"/>
  <c r="F539" i="16"/>
  <c r="F540" i="16"/>
  <c r="F541" i="16"/>
  <c r="F542" i="16"/>
  <c r="F543" i="16"/>
  <c r="F544" i="16"/>
  <c r="F545" i="16"/>
  <c r="F546" i="16"/>
  <c r="F547" i="16"/>
  <c r="F548" i="16"/>
  <c r="F549" i="16"/>
  <c r="F550" i="16"/>
  <c r="F551" i="16"/>
  <c r="F552" i="16"/>
  <c r="F553" i="16"/>
  <c r="F554" i="16"/>
  <c r="F555" i="16"/>
  <c r="F556" i="16"/>
  <c r="F557" i="16"/>
  <c r="F558" i="16"/>
  <c r="F559" i="16"/>
  <c r="F560" i="16"/>
  <c r="F561" i="16"/>
  <c r="F562" i="16"/>
  <c r="F563" i="16"/>
  <c r="F564" i="16"/>
  <c r="F565" i="16"/>
  <c r="F566" i="16"/>
  <c r="F567" i="16"/>
  <c r="F568" i="16"/>
  <c r="F569" i="16"/>
  <c r="F570" i="16"/>
  <c r="F571" i="16"/>
  <c r="F572" i="16"/>
  <c r="F573" i="16"/>
  <c r="F574" i="16"/>
  <c r="F575" i="16"/>
  <c r="F576" i="16"/>
  <c r="F577" i="16"/>
  <c r="F578" i="16"/>
  <c r="F579" i="16"/>
  <c r="F580" i="16"/>
  <c r="F581" i="16"/>
  <c r="F582" i="16"/>
  <c r="F583" i="16"/>
  <c r="F584" i="16"/>
  <c r="F585" i="16"/>
  <c r="F586" i="16"/>
  <c r="F587" i="16"/>
  <c r="F588" i="16"/>
  <c r="F589" i="16"/>
  <c r="F590" i="16"/>
  <c r="F591" i="16"/>
  <c r="F592" i="16"/>
  <c r="F593" i="16"/>
  <c r="F594" i="16"/>
  <c r="F595" i="16"/>
  <c r="F596" i="16"/>
  <c r="F597" i="16"/>
  <c r="F598" i="16"/>
  <c r="F599" i="16"/>
  <c r="F600" i="16"/>
  <c r="F601" i="16"/>
  <c r="F602" i="16"/>
  <c r="F603" i="16"/>
  <c r="F604" i="16"/>
  <c r="F605" i="16"/>
  <c r="F606" i="16"/>
  <c r="F607" i="16"/>
  <c r="F608" i="16"/>
  <c r="F609" i="16"/>
  <c r="F610" i="16"/>
  <c r="F611" i="16"/>
  <c r="F612" i="16"/>
  <c r="F613" i="16"/>
  <c r="F614" i="16"/>
  <c r="F615" i="16"/>
  <c r="F616" i="16"/>
  <c r="F617" i="16"/>
  <c r="F618" i="16"/>
  <c r="F619" i="16"/>
  <c r="F620" i="16"/>
  <c r="F621" i="16"/>
  <c r="F622" i="16"/>
  <c r="F623" i="16"/>
  <c r="F624" i="16"/>
  <c r="F625" i="16"/>
  <c r="F626" i="16"/>
  <c r="F627" i="16"/>
  <c r="F628" i="16"/>
  <c r="F629" i="16"/>
  <c r="F630" i="16"/>
  <c r="F631" i="16"/>
  <c r="F632" i="16"/>
  <c r="F633" i="16"/>
  <c r="F634" i="16"/>
  <c r="F635" i="16"/>
  <c r="F636" i="16"/>
  <c r="F637" i="16"/>
  <c r="F638" i="16"/>
  <c r="F639" i="16"/>
  <c r="F640" i="16"/>
  <c r="F641" i="16"/>
  <c r="F642" i="16"/>
  <c r="F644" i="16"/>
  <c r="F645" i="16"/>
  <c r="F646" i="16"/>
  <c r="F647" i="16"/>
  <c r="F648" i="16"/>
  <c r="F649" i="16"/>
  <c r="F650" i="16"/>
  <c r="F651" i="16"/>
  <c r="F652" i="16"/>
  <c r="F653" i="16"/>
  <c r="F654" i="16"/>
  <c r="F655" i="16"/>
  <c r="F656" i="16"/>
  <c r="F657" i="16"/>
  <c r="F658" i="16"/>
  <c r="F659" i="16"/>
  <c r="F660" i="16"/>
  <c r="F661" i="16"/>
  <c r="F662" i="16"/>
  <c r="F663" i="16"/>
  <c r="F664" i="16"/>
  <c r="F665" i="16"/>
  <c r="F666" i="16"/>
  <c r="F667" i="16"/>
  <c r="F668" i="16"/>
  <c r="F669" i="16"/>
  <c r="F670" i="16"/>
  <c r="F671" i="16"/>
  <c r="F672" i="16"/>
  <c r="F673" i="16"/>
  <c r="F674" i="16"/>
  <c r="F675" i="16"/>
  <c r="F676" i="16"/>
  <c r="F677" i="16"/>
  <c r="F678" i="16"/>
  <c r="F679" i="16"/>
  <c r="F680" i="16"/>
  <c r="F681" i="16"/>
  <c r="F682" i="16"/>
  <c r="F683" i="16"/>
  <c r="F684" i="16"/>
  <c r="F685" i="16"/>
  <c r="F686" i="16"/>
  <c r="F687" i="16"/>
  <c r="F688" i="16"/>
  <c r="F689" i="16"/>
  <c r="F690" i="16"/>
  <c r="F691" i="16"/>
  <c r="F692" i="16"/>
  <c r="F693" i="16"/>
  <c r="F694" i="16"/>
  <c r="F695" i="16"/>
  <c r="F696" i="16"/>
  <c r="F697" i="16"/>
  <c r="F698" i="16"/>
  <c r="F699" i="16"/>
  <c r="F700" i="16"/>
  <c r="F701" i="16"/>
  <c r="F702" i="16"/>
  <c r="F703" i="16"/>
  <c r="F704" i="16"/>
  <c r="F705" i="16"/>
  <c r="F706" i="16"/>
  <c r="F707" i="16"/>
  <c r="F708" i="16"/>
  <c r="F709" i="16"/>
  <c r="F710" i="16"/>
  <c r="F711" i="16"/>
  <c r="F712" i="16"/>
  <c r="F713" i="16"/>
  <c r="F714" i="16"/>
  <c r="F715" i="16"/>
  <c r="F716" i="16"/>
  <c r="F717" i="16"/>
  <c r="F718" i="16"/>
  <c r="F719" i="16"/>
  <c r="F720" i="16"/>
  <c r="F721" i="16"/>
  <c r="F722" i="16"/>
  <c r="F723" i="16"/>
  <c r="F724" i="16"/>
  <c r="F725" i="16"/>
  <c r="F726" i="16"/>
  <c r="F727" i="16"/>
  <c r="F728" i="16"/>
  <c r="F729" i="16"/>
  <c r="F730" i="16"/>
  <c r="F731" i="16"/>
  <c r="F732" i="16"/>
  <c r="F733" i="16"/>
  <c r="F734" i="16"/>
  <c r="F735" i="16"/>
  <c r="F736" i="16"/>
  <c r="F737" i="16"/>
  <c r="F738" i="16"/>
  <c r="F739" i="16"/>
  <c r="F740" i="16"/>
  <c r="F741" i="16"/>
  <c r="F742" i="16"/>
  <c r="F743" i="16"/>
  <c r="F744" i="16"/>
  <c r="F745" i="16"/>
  <c r="F746" i="16"/>
  <c r="F747" i="16"/>
  <c r="F748" i="16"/>
  <c r="F749" i="16"/>
  <c r="F750" i="16"/>
  <c r="F751" i="16"/>
  <c r="F752" i="16"/>
  <c r="F753" i="16"/>
  <c r="F754" i="16"/>
  <c r="F755" i="16"/>
  <c r="F756" i="16"/>
  <c r="F757" i="16"/>
  <c r="F758" i="16"/>
  <c r="F759" i="16"/>
  <c r="F760" i="16"/>
  <c r="F761" i="16"/>
  <c r="F762" i="16"/>
  <c r="F763" i="16"/>
  <c r="F764" i="16"/>
  <c r="F765" i="16"/>
  <c r="F766" i="16"/>
  <c r="F767" i="16"/>
  <c r="F768" i="16"/>
  <c r="F769" i="16"/>
  <c r="F770" i="16"/>
  <c r="F771" i="16"/>
  <c r="F772" i="16"/>
  <c r="F773" i="16"/>
  <c r="F774" i="16"/>
  <c r="F775" i="16"/>
  <c r="F776" i="16"/>
  <c r="F777" i="16"/>
  <c r="F778" i="16"/>
  <c r="F779" i="16"/>
  <c r="F780" i="16"/>
  <c r="F781" i="16"/>
  <c r="F782" i="16"/>
  <c r="F783" i="16"/>
  <c r="F784" i="16"/>
  <c r="F785" i="16"/>
  <c r="F786" i="16"/>
  <c r="F787" i="16"/>
  <c r="F788" i="16"/>
  <c r="F789" i="16"/>
  <c r="F790" i="16"/>
  <c r="F791" i="16"/>
  <c r="F792" i="16"/>
  <c r="F793" i="16"/>
  <c r="F794" i="16"/>
  <c r="F795" i="16"/>
  <c r="F796" i="16"/>
  <c r="F797" i="16"/>
  <c r="F798" i="16"/>
  <c r="F799" i="16"/>
  <c r="F800" i="16"/>
  <c r="F801" i="16"/>
  <c r="F802" i="16"/>
  <c r="F803" i="16"/>
  <c r="F804" i="16"/>
  <c r="F805" i="16"/>
  <c r="F806" i="16"/>
  <c r="F807" i="16"/>
  <c r="F808" i="16"/>
  <c r="F809" i="16"/>
  <c r="F810" i="16"/>
  <c r="F811" i="16"/>
  <c r="F812" i="16"/>
  <c r="F813" i="16"/>
  <c r="F814" i="16"/>
  <c r="F815" i="16"/>
  <c r="F816" i="16"/>
  <c r="F817" i="16"/>
  <c r="F818" i="16"/>
  <c r="F819" i="16"/>
  <c r="F820" i="16"/>
  <c r="F821" i="16"/>
  <c r="F822" i="16"/>
  <c r="F823" i="16"/>
  <c r="F824" i="16"/>
  <c r="F825" i="16"/>
  <c r="F826" i="16"/>
  <c r="F827" i="16"/>
  <c r="F828" i="16"/>
  <c r="G26" i="4" l="1"/>
  <c r="D351" i="10" s="1"/>
  <c r="J26" i="4"/>
  <c r="G45" i="4"/>
  <c r="D378" i="10" s="1"/>
  <c r="J45" i="4"/>
  <c r="F45" i="22" s="1"/>
  <c r="H54" i="4"/>
  <c r="I33" i="16" s="1"/>
  <c r="J54" i="4"/>
  <c r="F54" i="22" s="1"/>
  <c r="G44" i="4"/>
  <c r="D368" i="10" s="1"/>
  <c r="J44" i="4"/>
  <c r="F44" i="22" s="1"/>
  <c r="G591" i="4"/>
  <c r="R591" i="4" s="1"/>
  <c r="J591" i="4"/>
  <c r="G43" i="4"/>
  <c r="D374" i="10" s="1"/>
  <c r="J43" i="4"/>
  <c r="F43" i="22" s="1"/>
  <c r="G595" i="4"/>
  <c r="C592" i="22" s="1"/>
  <c r="R595" i="4" s="1"/>
  <c r="J595" i="4"/>
  <c r="F592" i="22" s="1"/>
  <c r="G49" i="4"/>
  <c r="D371" i="10" s="1"/>
  <c r="J49" i="4"/>
  <c r="F49" i="22" s="1"/>
  <c r="G48" i="4"/>
  <c r="D375" i="10" s="1"/>
  <c r="J48" i="4"/>
  <c r="F48" i="22" s="1"/>
  <c r="H57" i="4"/>
  <c r="J57" i="4"/>
  <c r="F57" i="22" s="1"/>
  <c r="G32" i="4"/>
  <c r="D357" i="10" s="1"/>
  <c r="J32" i="4"/>
  <c r="F32" i="22" s="1"/>
  <c r="G31" i="4"/>
  <c r="C31" i="22" s="1"/>
  <c r="J31" i="4"/>
  <c r="F31" i="22" s="1"/>
  <c r="H53" i="4"/>
  <c r="I32" i="16" s="1"/>
  <c r="J53" i="4"/>
  <c r="F53" i="22" s="1"/>
  <c r="H56" i="4"/>
  <c r="J56" i="4"/>
  <c r="F56" i="22" s="1"/>
  <c r="H594" i="4"/>
  <c r="J594" i="4"/>
  <c r="F591" i="22" s="1"/>
  <c r="H52" i="4"/>
  <c r="J52" i="4"/>
  <c r="F52" i="22" s="1"/>
  <c r="G55" i="4"/>
  <c r="D359" i="10" s="1"/>
  <c r="J55" i="4"/>
  <c r="F55" i="22" s="1"/>
  <c r="G593" i="4"/>
  <c r="C590" i="22" s="1"/>
  <c r="R593" i="4" s="1"/>
  <c r="J593" i="4"/>
  <c r="F590" i="22" s="1"/>
  <c r="H58" i="4"/>
  <c r="J58" i="4"/>
  <c r="F58" i="22" s="1"/>
  <c r="H27" i="4"/>
  <c r="J27" i="4"/>
  <c r="F27" i="22" s="1"/>
  <c r="G46" i="4"/>
  <c r="H25" i="16" s="1"/>
  <c r="J46" i="4"/>
  <c r="F46" i="22" s="1"/>
  <c r="G60" i="4"/>
  <c r="J60" i="4"/>
  <c r="F60" i="22" s="1"/>
  <c r="S768" i="22"/>
  <c r="AA768" i="22" s="1"/>
  <c r="AA1293" i="22"/>
  <c r="AB1293" i="22"/>
  <c r="I29" i="16"/>
  <c r="H26" i="16"/>
  <c r="I30" i="16"/>
  <c r="H1381" i="4"/>
  <c r="K1381" i="4"/>
  <c r="J1381" i="4"/>
  <c r="C26" i="22"/>
  <c r="C773" i="22"/>
  <c r="R780" i="4" s="1"/>
  <c r="C770" i="22"/>
  <c r="R776" i="4" s="1"/>
  <c r="C769" i="22"/>
  <c r="R775" i="4" s="1"/>
  <c r="C767" i="22"/>
  <c r="C766" i="22"/>
  <c r="R770" i="4" s="1"/>
  <c r="C782" i="22"/>
  <c r="C780" i="22"/>
  <c r="R787" i="4" s="1"/>
  <c r="C778" i="22"/>
  <c r="R785" i="4" s="1"/>
  <c r="C1291" i="22"/>
  <c r="C775" i="22"/>
  <c r="R782" i="4" s="1"/>
  <c r="C950" i="22"/>
  <c r="R959" i="4" s="1"/>
  <c r="C774" i="22"/>
  <c r="R781" i="4" s="1"/>
  <c r="C694" i="22"/>
  <c r="R698" i="4" s="1"/>
  <c r="G1381" i="4"/>
  <c r="H789" i="4"/>
  <c r="H776" i="4"/>
  <c r="H770" i="4"/>
  <c r="G784" i="4"/>
  <c r="H959" i="4"/>
  <c r="G769" i="4"/>
  <c r="R769" i="4" s="1"/>
  <c r="H782" i="4"/>
  <c r="G779" i="4"/>
  <c r="G58" i="4"/>
  <c r="D361" i="10" s="1"/>
  <c r="H1302" i="4"/>
  <c r="H787" i="4"/>
  <c r="H781" i="4"/>
  <c r="H775" i="4"/>
  <c r="H768" i="4"/>
  <c r="H595" i="4"/>
  <c r="H785" i="4"/>
  <c r="H780" i="4"/>
  <c r="H774" i="4"/>
  <c r="H767" i="4"/>
  <c r="G52" i="4"/>
  <c r="H45" i="4"/>
  <c r="G56" i="4"/>
  <c r="D362" i="10" s="1"/>
  <c r="H55" i="4"/>
  <c r="I34" i="16" s="1"/>
  <c r="G594" i="4"/>
  <c r="G54" i="4"/>
  <c r="H591" i="4"/>
  <c r="H698" i="4"/>
  <c r="G53" i="4"/>
  <c r="H46" i="4"/>
  <c r="G57" i="4"/>
  <c r="D360" i="10" s="1"/>
  <c r="H593" i="4"/>
  <c r="H60" i="4"/>
  <c r="H49" i="4"/>
  <c r="I28" i="16" s="1"/>
  <c r="H44" i="4"/>
  <c r="H48" i="4"/>
  <c r="I26" i="16" s="1"/>
  <c r="H43" i="4"/>
  <c r="H32" i="4"/>
  <c r="H31" i="4"/>
  <c r="G27" i="4"/>
  <c r="D350" i="10" s="1"/>
  <c r="H26" i="4"/>
  <c r="C60" i="22" l="1"/>
  <c r="G60" i="22" s="1"/>
  <c r="AA60" i="22" s="1"/>
  <c r="D364" i="10"/>
  <c r="C48" i="22"/>
  <c r="G48" i="22" s="1"/>
  <c r="AA48" i="22" s="1"/>
  <c r="H23" i="16"/>
  <c r="H27" i="16"/>
  <c r="C32" i="22"/>
  <c r="G32" i="22" s="1"/>
  <c r="AA32" i="22" s="1"/>
  <c r="D369" i="10"/>
  <c r="C55" i="22"/>
  <c r="G55" i="22" s="1"/>
  <c r="AA55" i="22" s="1"/>
  <c r="C46" i="22"/>
  <c r="G46" i="22" s="1"/>
  <c r="AA46" i="22" s="1"/>
  <c r="C43" i="22"/>
  <c r="G43" i="22" s="1"/>
  <c r="AA43" i="22" s="1"/>
  <c r="C45" i="22"/>
  <c r="G45" i="22" s="1"/>
  <c r="AA45" i="22" s="1"/>
  <c r="G31" i="22"/>
  <c r="AA31" i="22" s="1"/>
  <c r="C44" i="22"/>
  <c r="G44" i="22" s="1"/>
  <c r="AA44" i="22" s="1"/>
  <c r="H24" i="16"/>
  <c r="D370" i="10"/>
  <c r="D377" i="10"/>
  <c r="D376" i="10"/>
  <c r="D372" i="10"/>
  <c r="C49" i="22"/>
  <c r="G49" i="22" s="1"/>
  <c r="AA49" i="22" s="1"/>
  <c r="AB768" i="22"/>
  <c r="R1302" i="4"/>
  <c r="R1301" i="4"/>
  <c r="R789" i="4"/>
  <c r="R788" i="4"/>
  <c r="R774" i="4"/>
  <c r="R773" i="4"/>
  <c r="H31" i="16"/>
  <c r="I23" i="16"/>
  <c r="I24" i="16"/>
  <c r="I25" i="16"/>
  <c r="H35" i="16"/>
  <c r="I27" i="16"/>
  <c r="I16" i="16"/>
  <c r="G305" i="10"/>
  <c r="H28" i="16"/>
  <c r="H16" i="16"/>
  <c r="H29" i="16"/>
  <c r="H34" i="16"/>
  <c r="I35" i="16"/>
  <c r="I31" i="16"/>
  <c r="H32" i="16"/>
  <c r="H33" i="16"/>
  <c r="H30" i="16"/>
  <c r="C52" i="22"/>
  <c r="G52" i="22" s="1"/>
  <c r="AA52" i="22" s="1"/>
  <c r="C27" i="22"/>
  <c r="G27" i="22" s="1"/>
  <c r="AA27" i="22" s="1"/>
  <c r="G592" i="22"/>
  <c r="G950" i="22"/>
  <c r="G773" i="22"/>
  <c r="G775" i="22"/>
  <c r="G778" i="22"/>
  <c r="G780" i="22"/>
  <c r="G782" i="22"/>
  <c r="G766" i="22"/>
  <c r="G767" i="22"/>
  <c r="G694" i="22"/>
  <c r="G769" i="22"/>
  <c r="G590" i="22"/>
  <c r="G770" i="22"/>
  <c r="G774" i="22"/>
  <c r="G1291" i="22"/>
  <c r="C591" i="22"/>
  <c r="R594" i="4" s="1"/>
  <c r="C776" i="22"/>
  <c r="R784" i="4" s="1"/>
  <c r="C1371" i="22"/>
  <c r="R1381" i="4" s="1"/>
  <c r="C54" i="22"/>
  <c r="G54" i="22" s="1"/>
  <c r="AA54" i="22" s="1"/>
  <c r="C772" i="22"/>
  <c r="R779" i="4" s="1"/>
  <c r="C56" i="22"/>
  <c r="G56" i="22" s="1"/>
  <c r="AA56" i="22" s="1"/>
  <c r="C58" i="22"/>
  <c r="G58" i="22" s="1"/>
  <c r="AA58" i="22" s="1"/>
  <c r="C53" i="22"/>
  <c r="G53" i="22" s="1"/>
  <c r="AA53" i="22" s="1"/>
  <c r="C57" i="22"/>
  <c r="G57" i="22" s="1"/>
  <c r="AA57" i="22" s="1"/>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140" i="38"/>
  <c r="J139" i="38"/>
  <c r="J138" i="38"/>
  <c r="J137" i="38"/>
  <c r="J136" i="38"/>
  <c r="J135" i="38"/>
  <c r="J134" i="38"/>
  <c r="J133" i="38"/>
  <c r="J132" i="38"/>
  <c r="J131" i="38"/>
  <c r="J130" i="38"/>
  <c r="J129" i="38"/>
  <c r="J128" i="38"/>
  <c r="J127" i="38"/>
  <c r="J126" i="38"/>
  <c r="J125" i="38"/>
  <c r="J124" i="38"/>
  <c r="J123" i="38"/>
  <c r="J122" i="38"/>
  <c r="J121" i="38"/>
  <c r="J120"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F29" i="21"/>
  <c r="K1353" i="4"/>
  <c r="K1351" i="4"/>
  <c r="K1349" i="4"/>
  <c r="K1223" i="4"/>
  <c r="F930" i="4"/>
  <c r="J930" i="4" s="1"/>
  <c r="J1353" i="4"/>
  <c r="J1223" i="4"/>
  <c r="AB766" i="22" l="1"/>
  <c r="AA766" i="22"/>
  <c r="S774" i="22"/>
  <c r="AB774" i="22" s="1"/>
  <c r="S780" i="22"/>
  <c r="AB780" i="22" s="1"/>
  <c r="S590" i="22"/>
  <c r="AA590" i="22" s="1"/>
  <c r="T592" i="22"/>
  <c r="AA592" i="22" s="1"/>
  <c r="S778" i="22"/>
  <c r="AA778" i="22" s="1"/>
  <c r="L694" i="22"/>
  <c r="AA694" i="22" s="1"/>
  <c r="S775" i="22"/>
  <c r="AA775" i="22" s="1"/>
  <c r="S767" i="22"/>
  <c r="AA767" i="22" s="1"/>
  <c r="S769" i="22"/>
  <c r="AA769" i="22" s="1"/>
  <c r="S773" i="22"/>
  <c r="AA773" i="22" s="1"/>
  <c r="S770" i="22"/>
  <c r="AA770" i="22" s="1"/>
  <c r="S782" i="22"/>
  <c r="AA782" i="22" s="1"/>
  <c r="G591" i="22"/>
  <c r="G772" i="22"/>
  <c r="G776" i="22"/>
  <c r="S1291" i="22"/>
  <c r="AA1291" i="22" s="1"/>
  <c r="H950" i="22"/>
  <c r="AA950" i="22" s="1"/>
  <c r="G1371" i="22"/>
  <c r="K930" i="4"/>
  <c r="AA774" i="22" l="1"/>
  <c r="AA780" i="22"/>
  <c r="AB590" i="22"/>
  <c r="AB592" i="22"/>
  <c r="AB770" i="22"/>
  <c r="AB778" i="22"/>
  <c r="AB1291" i="22"/>
  <c r="AB950" i="22"/>
  <c r="AB775" i="22"/>
  <c r="AB773" i="22"/>
  <c r="AB767" i="22"/>
  <c r="AB694" i="22"/>
  <c r="AB769" i="22"/>
  <c r="AB782" i="22"/>
  <c r="T591" i="22"/>
  <c r="AA591" i="22" s="1"/>
  <c r="S776" i="22"/>
  <c r="AA776" i="22" s="1"/>
  <c r="S772" i="22"/>
  <c r="AA772" i="22" s="1"/>
  <c r="I1371" i="22"/>
  <c r="AA1371" i="22" s="1"/>
  <c r="R145" i="34"/>
  <c r="I603" i="10" s="1"/>
  <c r="R144" i="34"/>
  <c r="I602" i="10" s="1"/>
  <c r="R107" i="34"/>
  <c r="R102" i="34"/>
  <c r="R98" i="34"/>
  <c r="R90" i="34"/>
  <c r="R99" i="34" s="1"/>
  <c r="R86" i="34"/>
  <c r="R85" i="34"/>
  <c r="R84" i="34"/>
  <c r="R82" i="34"/>
  <c r="R81" i="34"/>
  <c r="R87" i="34" s="1"/>
  <c r="R17" i="34"/>
  <c r="R13" i="34"/>
  <c r="H217" i="34"/>
  <c r="R14" i="34" l="1"/>
  <c r="R73" i="34"/>
  <c r="R104" i="34"/>
  <c r="R111" i="34"/>
  <c r="AB591" i="22"/>
  <c r="AB772" i="22"/>
  <c r="AB776" i="22"/>
  <c r="AB1371" i="22"/>
  <c r="G744" i="31" l="1"/>
  <c r="A744" i="31"/>
  <c r="G743" i="31"/>
  <c r="A743" i="31"/>
  <c r="A742" i="31"/>
  <c r="A741" i="31"/>
  <c r="A740" i="31"/>
  <c r="A739" i="31"/>
  <c r="A738" i="31"/>
  <c r="A737" i="31"/>
  <c r="G736" i="31"/>
  <c r="A736" i="31"/>
  <c r="A735" i="31"/>
  <c r="G734" i="31"/>
  <c r="A734" i="31"/>
  <c r="G733" i="31"/>
  <c r="A733" i="31"/>
  <c r="A732" i="31"/>
  <c r="G731" i="31"/>
  <c r="A731" i="31"/>
  <c r="G730" i="31"/>
  <c r="A730" i="31"/>
  <c r="G729" i="31"/>
  <c r="A729" i="31"/>
  <c r="A728" i="31"/>
  <c r="A727" i="31"/>
  <c r="A726" i="31"/>
  <c r="A725" i="31"/>
  <c r="A724" i="31"/>
  <c r="G723" i="31"/>
  <c r="A723" i="31"/>
  <c r="G722" i="31"/>
  <c r="A722" i="31"/>
  <c r="A721" i="31"/>
  <c r="G720" i="31"/>
  <c r="A720" i="31"/>
  <c r="G719" i="31"/>
  <c r="A719" i="31"/>
  <c r="G718" i="31"/>
  <c r="A718" i="31"/>
  <c r="A717" i="31"/>
  <c r="G716" i="31"/>
  <c r="A716" i="31"/>
  <c r="A715" i="31"/>
  <c r="A714" i="31"/>
  <c r="A713" i="31"/>
  <c r="A712" i="31"/>
  <c r="A711" i="31"/>
  <c r="G710" i="31"/>
  <c r="A710" i="31"/>
  <c r="G709" i="31"/>
  <c r="A709" i="31"/>
  <c r="G708" i="31"/>
  <c r="A708" i="31"/>
  <c r="G707" i="31"/>
  <c r="A707" i="31"/>
  <c r="G706" i="31"/>
  <c r="A706" i="31"/>
  <c r="G705" i="31"/>
  <c r="A705" i="31"/>
  <c r="G704" i="31"/>
  <c r="A704" i="31"/>
  <c r="G703" i="31"/>
  <c r="A703" i="31"/>
  <c r="G702" i="31"/>
  <c r="A702" i="31"/>
  <c r="G701" i="31"/>
  <c r="A701" i="31"/>
  <c r="G700" i="31"/>
  <c r="A700" i="31"/>
  <c r="G699" i="31"/>
  <c r="A699" i="31"/>
  <c r="G698" i="31"/>
  <c r="A698" i="31"/>
  <c r="G697" i="31"/>
  <c r="A697" i="31"/>
  <c r="G696" i="31"/>
  <c r="A696" i="31"/>
  <c r="G695" i="31"/>
  <c r="A695" i="31"/>
  <c r="A694" i="31"/>
  <c r="A693" i="31"/>
  <c r="A692" i="31"/>
  <c r="G691" i="31"/>
  <c r="A691" i="31"/>
  <c r="G690" i="31"/>
  <c r="A690" i="31"/>
  <c r="A689" i="31"/>
  <c r="A688" i="31"/>
  <c r="A687" i="31"/>
  <c r="A686" i="31"/>
  <c r="G685" i="31"/>
  <c r="A685" i="31"/>
  <c r="G684" i="31"/>
  <c r="A684" i="31"/>
  <c r="G683" i="31"/>
  <c r="A683" i="31"/>
  <c r="A682" i="31"/>
  <c r="A681" i="31"/>
  <c r="A680" i="31"/>
  <c r="A679" i="31"/>
  <c r="G678" i="31"/>
  <c r="A678" i="31"/>
  <c r="A677" i="31"/>
  <c r="A676" i="31"/>
  <c r="A675" i="31"/>
  <c r="A674" i="31"/>
  <c r="G673" i="31"/>
  <c r="A673" i="31"/>
  <c r="G672" i="31"/>
  <c r="A672" i="31"/>
  <c r="G671" i="31"/>
  <c r="A671" i="31"/>
  <c r="A670" i="31"/>
  <c r="A669" i="31"/>
  <c r="A668" i="31"/>
  <c r="A667" i="31"/>
  <c r="G666" i="31"/>
  <c r="A666" i="31"/>
  <c r="G665" i="31"/>
  <c r="A665" i="31"/>
  <c r="G664" i="31"/>
  <c r="A664" i="31"/>
  <c r="G663" i="31"/>
  <c r="A663" i="31"/>
  <c r="G662" i="31"/>
  <c r="A662" i="31"/>
  <c r="A661" i="31"/>
  <c r="A660" i="31"/>
  <c r="A659" i="31"/>
  <c r="A658" i="31"/>
  <c r="G657" i="31"/>
  <c r="A657" i="31"/>
  <c r="G656" i="31"/>
  <c r="A656" i="31"/>
  <c r="G655" i="31"/>
  <c r="A655" i="31"/>
  <c r="A654" i="31"/>
  <c r="A653" i="31"/>
  <c r="A652" i="31"/>
  <c r="A651" i="31"/>
  <c r="G650" i="31"/>
  <c r="A650" i="31"/>
  <c r="G649" i="31"/>
  <c r="A649" i="31"/>
  <c r="G648" i="31"/>
  <c r="A648" i="31"/>
  <c r="G647" i="31"/>
  <c r="A647" i="31"/>
  <c r="G646" i="31"/>
  <c r="A646" i="31"/>
  <c r="G645" i="31"/>
  <c r="A645" i="31"/>
  <c r="G644" i="31"/>
  <c r="A644" i="31"/>
  <c r="G638" i="31"/>
  <c r="A638" i="31"/>
  <c r="A637" i="31"/>
  <c r="A636" i="31"/>
  <c r="A635" i="31"/>
  <c r="A634" i="31"/>
  <c r="G633" i="31"/>
  <c r="A633" i="31"/>
  <c r="G632" i="31"/>
  <c r="A632" i="31"/>
  <c r="G631" i="31"/>
  <c r="A631" i="31"/>
  <c r="G630" i="31"/>
  <c r="A630" i="31"/>
  <c r="G629" i="31"/>
  <c r="A629" i="31"/>
  <c r="G628" i="31"/>
  <c r="A628" i="31"/>
  <c r="A627" i="31"/>
  <c r="A626" i="31"/>
  <c r="A625" i="31"/>
  <c r="A624" i="31"/>
  <c r="A623" i="31"/>
  <c r="G622" i="31"/>
  <c r="A622" i="31"/>
  <c r="G621" i="31"/>
  <c r="A621" i="31"/>
  <c r="G620" i="31"/>
  <c r="A620" i="31"/>
  <c r="A619" i="31"/>
  <c r="A618" i="31"/>
  <c r="A617" i="31"/>
  <c r="A616" i="31"/>
  <c r="A615" i="31"/>
  <c r="G614" i="31"/>
  <c r="A614" i="31"/>
  <c r="A613" i="31"/>
  <c r="A612" i="31"/>
  <c r="A611" i="31"/>
  <c r="G610" i="31"/>
  <c r="A610" i="31"/>
  <c r="A609" i="31"/>
  <c r="G608" i="31"/>
  <c r="A608" i="31"/>
  <c r="G607" i="31"/>
  <c r="A607" i="31"/>
  <c r="G606" i="31"/>
  <c r="A606" i="31"/>
  <c r="G605" i="31"/>
  <c r="A605" i="31"/>
  <c r="G604" i="31"/>
  <c r="A604" i="31"/>
  <c r="G603" i="31"/>
  <c r="A603" i="31"/>
  <c r="A602" i="31"/>
  <c r="G601" i="31"/>
  <c r="A601" i="31"/>
  <c r="G600" i="31"/>
  <c r="A600" i="31"/>
  <c r="G599" i="31"/>
  <c r="A599" i="31"/>
  <c r="G598" i="31"/>
  <c r="A598" i="31"/>
  <c r="G597" i="31"/>
  <c r="A597" i="31"/>
  <c r="G596" i="31"/>
  <c r="A596" i="31"/>
  <c r="G595" i="31"/>
  <c r="A595" i="31"/>
  <c r="G594" i="31"/>
  <c r="A594" i="31"/>
  <c r="G593" i="31"/>
  <c r="A593" i="31"/>
  <c r="G592" i="31"/>
  <c r="A592" i="31"/>
  <c r="A591" i="31"/>
  <c r="G590" i="31"/>
  <c r="A590" i="31"/>
  <c r="G589" i="31"/>
  <c r="A589" i="31"/>
  <c r="G588" i="31"/>
  <c r="A588" i="31"/>
  <c r="A587" i="31"/>
  <c r="A586" i="31"/>
  <c r="G585" i="31"/>
  <c r="A585" i="31"/>
  <c r="A584" i="31"/>
  <c r="G583" i="31"/>
  <c r="A583" i="31"/>
  <c r="G582" i="31"/>
  <c r="A582" i="31"/>
  <c r="A581" i="31"/>
  <c r="A580" i="31"/>
  <c r="A579" i="31"/>
  <c r="A578" i="31"/>
  <c r="G577" i="31"/>
  <c r="A577" i="31"/>
  <c r="A576" i="31"/>
  <c r="A575" i="31"/>
  <c r="A574" i="31"/>
  <c r="A573" i="31"/>
  <c r="A556" i="31"/>
  <c r="A555" i="31"/>
  <c r="A554" i="31"/>
  <c r="G552" i="31"/>
  <c r="A552" i="31"/>
  <c r="G551" i="31"/>
  <c r="A551" i="31"/>
  <c r="G550" i="31"/>
  <c r="A550" i="31"/>
  <c r="G549" i="31"/>
  <c r="A549" i="31"/>
  <c r="G548" i="31"/>
  <c r="A548" i="31"/>
  <c r="G547" i="31"/>
  <c r="A547" i="31"/>
  <c r="A546" i="31"/>
  <c r="A545" i="31"/>
  <c r="A544" i="31"/>
  <c r="A543" i="31"/>
  <c r="A542" i="31"/>
  <c r="A541" i="31"/>
  <c r="G540" i="31"/>
  <c r="A540" i="31"/>
  <c r="G539" i="31"/>
  <c r="A539" i="31"/>
  <c r="A538" i="31"/>
  <c r="A537" i="31"/>
  <c r="A536" i="31"/>
  <c r="A535" i="31"/>
  <c r="A534" i="31"/>
  <c r="G533" i="31"/>
  <c r="A533" i="31"/>
  <c r="A532" i="31"/>
  <c r="A531" i="31"/>
  <c r="A530" i="31"/>
  <c r="A529" i="31"/>
  <c r="A528" i="31"/>
  <c r="A527" i="31"/>
  <c r="G526" i="31"/>
  <c r="A526" i="31"/>
  <c r="G525" i="31"/>
  <c r="A525" i="31"/>
  <c r="A524" i="31"/>
  <c r="G523" i="31"/>
  <c r="A523" i="31"/>
  <c r="G522" i="31"/>
  <c r="A522" i="31"/>
  <c r="G521" i="31"/>
  <c r="A521" i="31"/>
  <c r="G520" i="31"/>
  <c r="A520" i="31"/>
  <c r="G519" i="31"/>
  <c r="A519" i="31"/>
  <c r="G518" i="31"/>
  <c r="A518" i="31"/>
  <c r="A517" i="31"/>
  <c r="A516" i="31"/>
  <c r="G515" i="31"/>
  <c r="A515" i="31"/>
  <c r="G514" i="31"/>
  <c r="A514" i="31"/>
  <c r="A513" i="31"/>
  <c r="G512" i="31"/>
  <c r="A512" i="31"/>
  <c r="G511" i="31"/>
  <c r="A511" i="31"/>
  <c r="A510" i="31"/>
  <c r="G509" i="31"/>
  <c r="A509" i="31"/>
  <c r="G508" i="31"/>
  <c r="A508" i="31"/>
  <c r="G507" i="31"/>
  <c r="A507" i="31"/>
  <c r="G506" i="31"/>
  <c r="A506" i="31"/>
  <c r="G505" i="31"/>
  <c r="A505" i="31"/>
  <c r="G504" i="31"/>
  <c r="A504" i="31"/>
  <c r="A503" i="31"/>
  <c r="A502" i="31"/>
  <c r="A501" i="31"/>
  <c r="A500" i="31"/>
  <c r="A499" i="31"/>
  <c r="G498" i="31"/>
  <c r="A498" i="31"/>
  <c r="G497" i="31"/>
  <c r="A497" i="31"/>
  <c r="G496" i="31"/>
  <c r="A496" i="31"/>
  <c r="G495" i="31"/>
  <c r="A495" i="31"/>
  <c r="G494" i="31"/>
  <c r="A494" i="31"/>
  <c r="G493" i="31"/>
  <c r="A493" i="31"/>
  <c r="G492" i="31"/>
  <c r="A492" i="31"/>
  <c r="G491" i="31"/>
  <c r="A491" i="31"/>
  <c r="G490" i="31"/>
  <c r="A490" i="31"/>
  <c r="G489" i="31"/>
  <c r="A489" i="31"/>
  <c r="G488" i="31"/>
  <c r="A488" i="31"/>
  <c r="A487" i="31"/>
  <c r="G486" i="31"/>
  <c r="A486" i="31"/>
  <c r="A485" i="31"/>
  <c r="G484" i="31"/>
  <c r="A484" i="31"/>
  <c r="G483" i="31"/>
  <c r="A483" i="31"/>
  <c r="G482" i="31"/>
  <c r="A482" i="31"/>
  <c r="G481" i="31"/>
  <c r="A481" i="31"/>
  <c r="G480" i="31"/>
  <c r="A480" i="31"/>
  <c r="G479" i="31"/>
  <c r="A479" i="31"/>
  <c r="G478" i="31"/>
  <c r="A478" i="31"/>
  <c r="G477" i="31"/>
  <c r="A477" i="31"/>
  <c r="G476" i="31"/>
  <c r="A476" i="31"/>
  <c r="A475" i="31"/>
  <c r="A474" i="31"/>
  <c r="G473" i="31"/>
  <c r="A473" i="31"/>
  <c r="A472" i="31"/>
  <c r="G471" i="31"/>
  <c r="A471" i="31"/>
  <c r="G470" i="31"/>
  <c r="A470" i="31"/>
  <c r="G469" i="31"/>
  <c r="A469" i="31"/>
  <c r="G468" i="31"/>
  <c r="A468" i="31"/>
  <c r="G467" i="31"/>
  <c r="A467" i="31"/>
  <c r="G466" i="31"/>
  <c r="A466" i="31"/>
  <c r="G465" i="31"/>
  <c r="A465" i="31"/>
  <c r="G464" i="31"/>
  <c r="A464" i="31"/>
  <c r="G463" i="31"/>
  <c r="A463" i="31"/>
  <c r="G462" i="31"/>
  <c r="A462" i="31"/>
  <c r="A461" i="31"/>
  <c r="A460" i="31"/>
  <c r="A459" i="31"/>
  <c r="A458" i="31"/>
  <c r="A457" i="31"/>
  <c r="G456" i="31"/>
  <c r="A456" i="31"/>
  <c r="G455" i="31"/>
  <c r="A455" i="31"/>
  <c r="G454" i="31"/>
  <c r="A454" i="31"/>
  <c r="G453" i="31"/>
  <c r="A453" i="31"/>
  <c r="G452" i="31"/>
  <c r="A452" i="31"/>
  <c r="A451" i="31"/>
  <c r="A450" i="31"/>
  <c r="G449" i="31"/>
  <c r="A449" i="31"/>
  <c r="G448" i="31"/>
  <c r="A448" i="31"/>
  <c r="G447" i="31"/>
  <c r="A447" i="31"/>
  <c r="A446" i="31"/>
  <c r="G445" i="31"/>
  <c r="A445" i="31"/>
  <c r="G444" i="31"/>
  <c r="A444" i="31"/>
  <c r="G443" i="31"/>
  <c r="A443" i="31"/>
  <c r="G442" i="31"/>
  <c r="A442" i="31"/>
  <c r="A441" i="31"/>
  <c r="A440" i="31"/>
  <c r="A439" i="31"/>
  <c r="A438" i="31"/>
  <c r="A437" i="31"/>
  <c r="G436" i="31"/>
  <c r="A436" i="31"/>
  <c r="G435" i="31"/>
  <c r="A435" i="31"/>
  <c r="A434" i="31"/>
  <c r="A433" i="31"/>
  <c r="G432" i="31"/>
  <c r="A432" i="31"/>
  <c r="G431" i="31"/>
  <c r="A431" i="31"/>
  <c r="A430" i="31"/>
  <c r="G429" i="31"/>
  <c r="A429" i="31"/>
  <c r="G428" i="31"/>
  <c r="A428" i="31"/>
  <c r="G427" i="31"/>
  <c r="A427" i="31"/>
  <c r="A426" i="31"/>
  <c r="A425" i="31"/>
  <c r="A424" i="31"/>
  <c r="G423" i="31"/>
  <c r="A423" i="31"/>
  <c r="A422" i="31"/>
  <c r="G421" i="31"/>
  <c r="A421" i="31"/>
  <c r="A420" i="31"/>
  <c r="A419" i="31"/>
  <c r="A418" i="31"/>
  <c r="G417" i="31"/>
  <c r="A417" i="31"/>
  <c r="G416" i="31"/>
  <c r="A416" i="31"/>
  <c r="A415" i="31"/>
  <c r="G414" i="31"/>
  <c r="A414" i="31"/>
  <c r="G413" i="31"/>
  <c r="A413" i="31"/>
  <c r="G412" i="31"/>
  <c r="A412" i="31"/>
  <c r="G411" i="31"/>
  <c r="A411" i="31"/>
  <c r="G410" i="31"/>
  <c r="A410" i="31"/>
  <c r="A409" i="31"/>
  <c r="A408" i="31"/>
  <c r="I407" i="31"/>
  <c r="G407" i="31"/>
  <c r="A407" i="31"/>
  <c r="A406" i="31"/>
  <c r="A405" i="31"/>
  <c r="A404" i="31"/>
  <c r="A403" i="31"/>
  <c r="A398" i="31"/>
  <c r="A397" i="31"/>
  <c r="A396" i="31"/>
  <c r="G394" i="31"/>
  <c r="A394" i="31"/>
  <c r="A393" i="31"/>
  <c r="A392" i="31"/>
  <c r="G391" i="31"/>
  <c r="A391" i="31"/>
  <c r="A390" i="31"/>
  <c r="G389" i="31"/>
  <c r="A389" i="31"/>
  <c r="A388" i="31"/>
  <c r="G387" i="31"/>
  <c r="A387" i="31"/>
  <c r="G386" i="31"/>
  <c r="A386" i="31"/>
  <c r="A385" i="31"/>
  <c r="G384" i="31"/>
  <c r="A384" i="31"/>
  <c r="A383" i="31"/>
  <c r="G382" i="31"/>
  <c r="A382" i="31"/>
  <c r="A381" i="31"/>
  <c r="G380" i="31"/>
  <c r="A380" i="31"/>
  <c r="A379" i="31"/>
  <c r="G378" i="31"/>
  <c r="A378" i="31"/>
  <c r="A377" i="31"/>
  <c r="G376" i="31"/>
  <c r="A376" i="31"/>
  <c r="G375" i="31"/>
  <c r="A375" i="31"/>
  <c r="A374" i="31"/>
  <c r="G373" i="31"/>
  <c r="A373" i="31"/>
  <c r="G372" i="31"/>
  <c r="A372" i="31"/>
  <c r="A371" i="31"/>
  <c r="G370" i="31"/>
  <c r="A370" i="31"/>
  <c r="A369" i="31"/>
  <c r="G368" i="31"/>
  <c r="A368" i="31"/>
  <c r="A367" i="31"/>
  <c r="G366" i="31"/>
  <c r="A366" i="31"/>
  <c r="A365" i="31"/>
  <c r="G364" i="31"/>
  <c r="A364" i="31"/>
  <c r="A363" i="31"/>
  <c r="A362" i="31"/>
  <c r="A361" i="31"/>
  <c r="A360" i="31"/>
  <c r="A359" i="31"/>
  <c r="A358" i="31"/>
  <c r="G357" i="31"/>
  <c r="A357" i="31"/>
  <c r="A356" i="31"/>
  <c r="A355" i="31"/>
  <c r="G354" i="31"/>
  <c r="A354" i="31"/>
  <c r="A353" i="31"/>
  <c r="G352" i="31"/>
  <c r="A352" i="31"/>
  <c r="A351" i="31"/>
  <c r="G350" i="31"/>
  <c r="A350" i="31"/>
  <c r="G349" i="31"/>
  <c r="A349" i="31"/>
  <c r="A348" i="31"/>
  <c r="G347" i="31"/>
  <c r="A347" i="31"/>
  <c r="A346" i="31"/>
  <c r="G345" i="31"/>
  <c r="A345" i="31"/>
  <c r="A344" i="31"/>
  <c r="G343" i="31"/>
  <c r="A343" i="31"/>
  <c r="A342" i="31"/>
  <c r="G341" i="31"/>
  <c r="A341" i="31"/>
  <c r="A340" i="31"/>
  <c r="G339" i="31"/>
  <c r="A339" i="31"/>
  <c r="G338" i="31"/>
  <c r="A338" i="31"/>
  <c r="A337" i="31"/>
  <c r="G336" i="31"/>
  <c r="A336" i="31"/>
  <c r="G335" i="31"/>
  <c r="A335" i="31"/>
  <c r="A334" i="31"/>
  <c r="G333" i="31"/>
  <c r="A333" i="31"/>
  <c r="A332" i="31"/>
  <c r="G331" i="31"/>
  <c r="A331" i="31"/>
  <c r="A330" i="31"/>
  <c r="G329" i="31"/>
  <c r="A329" i="31"/>
  <c r="A328" i="31"/>
  <c r="G327" i="31"/>
  <c r="A327" i="31"/>
  <c r="A326" i="31"/>
  <c r="A325" i="31"/>
  <c r="A324" i="31"/>
  <c r="A323" i="31"/>
  <c r="A322" i="31"/>
  <c r="A321" i="31"/>
  <c r="A320" i="31"/>
  <c r="G318" i="31"/>
  <c r="A318" i="31"/>
  <c r="G317" i="31"/>
  <c r="A317" i="31"/>
  <c r="A315" i="31"/>
  <c r="A314" i="31"/>
  <c r="A313" i="31"/>
  <c r="A312" i="31"/>
  <c r="A311" i="31"/>
  <c r="G310" i="31"/>
  <c r="A310" i="31"/>
  <c r="A309" i="31"/>
  <c r="A308" i="31"/>
  <c r="A307" i="31"/>
  <c r="A306" i="31"/>
  <c r="A305" i="31"/>
  <c r="A304" i="31"/>
  <c r="G303" i="31"/>
  <c r="A303" i="31"/>
  <c r="A302" i="31"/>
  <c r="A301" i="31"/>
  <c r="A300" i="31"/>
  <c r="A299" i="31"/>
  <c r="A298" i="31"/>
  <c r="A297" i="31"/>
  <c r="A296" i="31"/>
  <c r="G294" i="31"/>
  <c r="A294" i="31"/>
  <c r="G293" i="31"/>
  <c r="A293" i="31"/>
  <c r="A279" i="31"/>
  <c r="G278" i="31"/>
  <c r="A278" i="31"/>
  <c r="A277" i="31"/>
  <c r="A276" i="31"/>
  <c r="A275" i="31"/>
  <c r="A274" i="31"/>
  <c r="G273" i="31"/>
  <c r="A273" i="31"/>
  <c r="G272" i="31"/>
  <c r="A272" i="31"/>
  <c r="A271" i="31"/>
  <c r="A270" i="31"/>
  <c r="A269" i="31"/>
  <c r="A268" i="31"/>
  <c r="G267" i="31"/>
  <c r="A267" i="31"/>
  <c r="G266" i="31"/>
  <c r="A266" i="31"/>
  <c r="G265" i="31"/>
  <c r="A265" i="31"/>
  <c r="G264" i="31"/>
  <c r="A264" i="31"/>
  <c r="G263" i="31"/>
  <c r="A263" i="31"/>
  <c r="A262" i="31"/>
  <c r="A261" i="31"/>
  <c r="A260" i="31"/>
  <c r="A259" i="31"/>
  <c r="A258" i="31"/>
  <c r="G257" i="31"/>
  <c r="A257" i="31"/>
  <c r="G256" i="31"/>
  <c r="A256" i="31"/>
  <c r="A255" i="31"/>
  <c r="G254" i="31"/>
  <c r="A254" i="31"/>
  <c r="G253" i="31"/>
  <c r="A253" i="31"/>
  <c r="A252" i="31"/>
  <c r="G251" i="31"/>
  <c r="A251" i="31"/>
  <c r="G250" i="31"/>
  <c r="A250" i="31"/>
  <c r="A249" i="31"/>
  <c r="A248" i="31"/>
  <c r="A247" i="31"/>
  <c r="A246" i="31"/>
  <c r="G245" i="31"/>
  <c r="A245" i="31"/>
  <c r="A244" i="31"/>
  <c r="A243" i="31"/>
  <c r="A242" i="31"/>
  <c r="A241" i="31"/>
  <c r="A240" i="31"/>
  <c r="G239" i="31"/>
  <c r="A239" i="31"/>
  <c r="A238" i="31"/>
  <c r="A237" i="31"/>
  <c r="A236" i="31"/>
  <c r="G235" i="31"/>
  <c r="A235" i="31"/>
  <c r="G234" i="31"/>
  <c r="A234" i="31"/>
  <c r="A233" i="31"/>
  <c r="A232" i="31"/>
  <c r="A231" i="31"/>
  <c r="G230" i="31"/>
  <c r="A230" i="31"/>
  <c r="A229" i="31"/>
  <c r="A228" i="31"/>
  <c r="A227" i="31"/>
  <c r="A226" i="31"/>
  <c r="A225" i="31"/>
  <c r="A224" i="31"/>
  <c r="A223" i="31"/>
  <c r="A222" i="31"/>
  <c r="A221" i="31"/>
  <c r="A220" i="31"/>
  <c r="G182" i="31"/>
  <c r="A182" i="31"/>
  <c r="A181" i="31"/>
  <c r="A180" i="31"/>
  <c r="A179" i="31"/>
  <c r="A178" i="31"/>
  <c r="A177" i="31"/>
  <c r="G176" i="31"/>
  <c r="A176" i="31"/>
  <c r="A175" i="31"/>
  <c r="G174" i="31"/>
  <c r="A174" i="31"/>
  <c r="A173" i="31"/>
  <c r="A172" i="31"/>
  <c r="G171" i="31"/>
  <c r="A171" i="31"/>
  <c r="G170" i="31"/>
  <c r="A170" i="31"/>
  <c r="A169" i="31"/>
  <c r="G168" i="31"/>
  <c r="A168" i="31"/>
  <c r="A167" i="31"/>
  <c r="G166" i="31"/>
  <c r="A166" i="31"/>
  <c r="G165" i="31"/>
  <c r="A165" i="31"/>
  <c r="A164" i="31"/>
  <c r="A163" i="31"/>
  <c r="A162" i="31"/>
  <c r="A161" i="31"/>
  <c r="A160" i="31"/>
  <c r="G159" i="31"/>
  <c r="A159" i="31"/>
  <c r="G158" i="31"/>
  <c r="A158" i="31"/>
  <c r="A157" i="31"/>
  <c r="A156" i="31"/>
  <c r="A155" i="31"/>
  <c r="A154" i="31"/>
  <c r="G153" i="31"/>
  <c r="A153" i="31"/>
  <c r="G152" i="31"/>
  <c r="A152" i="31"/>
  <c r="G151" i="31"/>
  <c r="A151" i="31"/>
  <c r="A150" i="31"/>
  <c r="A149" i="31"/>
  <c r="A148" i="31"/>
  <c r="A147" i="31"/>
  <c r="A146" i="31"/>
  <c r="A145" i="31"/>
  <c r="G144" i="31"/>
  <c r="A144" i="31"/>
  <c r="G143" i="31"/>
  <c r="A143" i="31"/>
  <c r="G142" i="31"/>
  <c r="A142" i="31"/>
  <c r="A141" i="31"/>
  <c r="G140" i="31"/>
  <c r="A140" i="31"/>
  <c r="A139" i="31"/>
  <c r="G138" i="31"/>
  <c r="A138" i="31"/>
  <c r="G137" i="31"/>
  <c r="A137" i="31"/>
  <c r="G136" i="31"/>
  <c r="A136" i="31"/>
  <c r="A135" i="31"/>
  <c r="A134" i="31"/>
  <c r="A133" i="31"/>
  <c r="A132" i="31"/>
  <c r="A131" i="31"/>
  <c r="G130" i="31"/>
  <c r="A130" i="31"/>
  <c r="A129" i="31"/>
  <c r="G128" i="31"/>
  <c r="A128" i="31"/>
  <c r="A127" i="31"/>
  <c r="G126" i="31"/>
  <c r="A126" i="31"/>
  <c r="A125" i="31"/>
  <c r="G124" i="31"/>
  <c r="A124" i="31"/>
  <c r="G123" i="31"/>
  <c r="A123" i="31"/>
  <c r="A122" i="31"/>
  <c r="A121" i="31"/>
  <c r="A120" i="31"/>
  <c r="A119" i="31"/>
  <c r="G118" i="31"/>
  <c r="A118" i="31"/>
  <c r="A117" i="31"/>
  <c r="G116" i="31"/>
  <c r="A116" i="31"/>
  <c r="A115" i="31"/>
  <c r="A114" i="31"/>
  <c r="G113" i="31"/>
  <c r="A113" i="31"/>
  <c r="G112" i="31"/>
  <c r="A112" i="31"/>
  <c r="G111" i="31"/>
  <c r="A111" i="31"/>
  <c r="G110" i="31"/>
  <c r="A110" i="31"/>
  <c r="G109" i="31"/>
  <c r="A109" i="31"/>
  <c r="G108" i="31"/>
  <c r="A108" i="31"/>
  <c r="A107" i="31"/>
  <c r="G106" i="31"/>
  <c r="A106" i="31"/>
  <c r="G105" i="31"/>
  <c r="A105" i="31"/>
  <c r="G104" i="31"/>
  <c r="A104" i="31"/>
  <c r="G103" i="31"/>
  <c r="A103" i="31"/>
  <c r="G102" i="31"/>
  <c r="A102" i="31"/>
  <c r="G101" i="31"/>
  <c r="A101" i="31"/>
  <c r="A100" i="31"/>
  <c r="A99" i="31"/>
  <c r="G98" i="31"/>
  <c r="A98" i="31"/>
  <c r="G97" i="31"/>
  <c r="A97" i="31"/>
  <c r="G96" i="31"/>
  <c r="A96" i="31"/>
  <c r="G95" i="31"/>
  <c r="A95" i="31"/>
  <c r="A94" i="31"/>
  <c r="G93" i="31"/>
  <c r="A93" i="31"/>
  <c r="G92" i="31"/>
  <c r="A92" i="31"/>
  <c r="G91" i="31"/>
  <c r="A91" i="31"/>
  <c r="G90" i="31"/>
  <c r="A90" i="31"/>
  <c r="A89" i="31"/>
  <c r="A88" i="31"/>
  <c r="G87" i="31"/>
  <c r="A87" i="31"/>
  <c r="A86" i="31"/>
  <c r="A85" i="31"/>
  <c r="G84" i="31"/>
  <c r="A84" i="31"/>
  <c r="G83" i="31"/>
  <c r="A83" i="31"/>
  <c r="A82" i="31"/>
  <c r="A81" i="31"/>
  <c r="G80" i="31"/>
  <c r="A80" i="31"/>
  <c r="A79" i="31"/>
  <c r="G78" i="31"/>
  <c r="A78" i="31"/>
  <c r="A77" i="31"/>
  <c r="A76" i="31"/>
  <c r="G75" i="31"/>
  <c r="A75" i="31"/>
  <c r="A74" i="31"/>
  <c r="A73" i="31"/>
  <c r="A72" i="31"/>
  <c r="A71" i="31"/>
  <c r="G70" i="31"/>
  <c r="A70" i="31"/>
  <c r="A69" i="31"/>
  <c r="A68" i="31"/>
  <c r="A67" i="31"/>
  <c r="A66" i="31"/>
  <c r="A65" i="31"/>
  <c r="G64" i="31"/>
  <c r="A64" i="31"/>
  <c r="A63" i="31"/>
  <c r="A62" i="31"/>
  <c r="A61" i="31"/>
  <c r="A60" i="31"/>
  <c r="G59" i="31"/>
  <c r="A59" i="31"/>
  <c r="A58" i="31"/>
  <c r="A57" i="31"/>
  <c r="A56" i="31"/>
  <c r="A55" i="31"/>
  <c r="G54" i="31"/>
  <c r="A54" i="31"/>
  <c r="G53" i="31"/>
  <c r="A53" i="31"/>
  <c r="G52" i="31"/>
  <c r="A52" i="31"/>
  <c r="G51" i="31"/>
  <c r="A51" i="31"/>
  <c r="G50" i="31"/>
  <c r="A50" i="31"/>
  <c r="G49" i="31"/>
  <c r="A49" i="31"/>
  <c r="A48" i="31"/>
  <c r="A47" i="31"/>
  <c r="A46" i="31"/>
  <c r="A45" i="31"/>
  <c r="G44" i="31"/>
  <c r="A44" i="31"/>
  <c r="A43" i="31"/>
  <c r="A42" i="31"/>
  <c r="A41" i="31"/>
  <c r="A40" i="31"/>
  <c r="G39" i="31"/>
  <c r="A39" i="31"/>
  <c r="A38" i="31"/>
  <c r="G37" i="31"/>
  <c r="A37" i="31"/>
  <c r="G36" i="31"/>
  <c r="A36" i="31"/>
  <c r="A35" i="31"/>
  <c r="A34" i="31"/>
  <c r="A33" i="31"/>
  <c r="A32" i="31"/>
  <c r="A31" i="31"/>
  <c r="G30" i="31"/>
  <c r="A30" i="31"/>
  <c r="A29" i="31"/>
  <c r="A28" i="31"/>
  <c r="A27" i="31"/>
  <c r="G26" i="31"/>
  <c r="A26" i="31"/>
  <c r="G25" i="31"/>
  <c r="A25" i="31"/>
  <c r="A24" i="31"/>
  <c r="G23" i="31"/>
  <c r="A23" i="31"/>
  <c r="G22" i="31"/>
  <c r="A22" i="31"/>
  <c r="A21" i="31"/>
  <c r="A20" i="31"/>
  <c r="G19" i="31"/>
  <c r="A19" i="31"/>
  <c r="A18" i="31"/>
  <c r="G17" i="31"/>
  <c r="A17" i="31"/>
  <c r="G16" i="31"/>
  <c r="A16" i="31"/>
  <c r="A15" i="31"/>
  <c r="G14" i="31"/>
  <c r="A14" i="31"/>
  <c r="G13" i="31"/>
  <c r="A13" i="31"/>
  <c r="A12" i="31"/>
  <c r="A11" i="31"/>
  <c r="A10" i="31"/>
  <c r="A9" i="31"/>
  <c r="A8" i="31"/>
  <c r="A7" i="31"/>
  <c r="G6" i="31"/>
  <c r="A6" i="31"/>
  <c r="R153" i="34" l="1"/>
  <c r="I601" i="10" s="1"/>
  <c r="I605" i="10" s="1"/>
  <c r="L157" i="34"/>
  <c r="K157" i="34"/>
  <c r="J157" i="34"/>
  <c r="I157" i="34"/>
  <c r="H157" i="34"/>
  <c r="M153" i="34"/>
  <c r="E802" i="10" s="1"/>
  <c r="N146" i="34"/>
  <c r="L146" i="34"/>
  <c r="L148" i="34" s="1"/>
  <c r="K146" i="34"/>
  <c r="K148" i="34" s="1"/>
  <c r="J146" i="34"/>
  <c r="J148" i="34" s="1"/>
  <c r="I146" i="34"/>
  <c r="I148" i="34" s="1"/>
  <c r="H146" i="34"/>
  <c r="H148" i="34" s="1"/>
  <c r="M145" i="34"/>
  <c r="M144" i="34"/>
  <c r="E805" i="10" l="1"/>
  <c r="O145" i="34"/>
  <c r="Q145" i="34" s="1"/>
  <c r="M172" i="34"/>
  <c r="M174" i="34" s="1"/>
  <c r="M154" i="34"/>
  <c r="M157" i="34" s="1"/>
  <c r="R154" i="34"/>
  <c r="R157" i="34" s="1"/>
  <c r="R169" i="34"/>
  <c r="R163" i="34"/>
  <c r="R171" i="34"/>
  <c r="R164" i="34"/>
  <c r="R165" i="34"/>
  <c r="R166" i="34"/>
  <c r="R167" i="34"/>
  <c r="R168" i="34"/>
  <c r="R170" i="34"/>
  <c r="R146" i="34"/>
  <c r="R148" i="34" s="1"/>
  <c r="O153" i="34"/>
  <c r="O154" i="34" s="1"/>
  <c r="M146" i="34"/>
  <c r="M148" i="34" s="1"/>
  <c r="O144" i="34"/>
  <c r="I501" i="10" l="1"/>
  <c r="I493" i="10"/>
  <c r="F1003" i="10" s="1"/>
  <c r="R172" i="34"/>
  <c r="R174" i="34" s="1"/>
  <c r="I500" i="10"/>
  <c r="I499" i="10"/>
  <c r="I498" i="10"/>
  <c r="I497" i="10"/>
  <c r="I496" i="10"/>
  <c r="I495" i="10"/>
  <c r="I494" i="10"/>
  <c r="S145" i="34"/>
  <c r="H603" i="10"/>
  <c r="J603" i="10" s="1"/>
  <c r="P172" i="34"/>
  <c r="P174" i="34" s="1"/>
  <c r="S163" i="34"/>
  <c r="S170" i="34"/>
  <c r="S171" i="34"/>
  <c r="S166" i="34"/>
  <c r="S165" i="34"/>
  <c r="O157" i="34"/>
  <c r="O146" i="34"/>
  <c r="O148" i="34" s="1"/>
  <c r="J493" i="10" l="1"/>
  <c r="E781" i="10" s="1"/>
  <c r="J498" i="10"/>
  <c r="E786" i="10" s="1"/>
  <c r="J496" i="10"/>
  <c r="E784" i="10" s="1"/>
  <c r="J499" i="10"/>
  <c r="E787" i="10" s="1"/>
  <c r="J497" i="10"/>
  <c r="E785" i="10" s="1"/>
  <c r="J500" i="10"/>
  <c r="E788" i="10" s="1"/>
  <c r="J494" i="10"/>
  <c r="E782" i="10" s="1"/>
  <c r="J495" i="10"/>
  <c r="E783" i="10" s="1"/>
  <c r="J501" i="10"/>
  <c r="E789" i="10" s="1"/>
  <c r="H602" i="10"/>
  <c r="J602" i="10" s="1"/>
  <c r="Q146" i="34"/>
  <c r="Q148" i="34"/>
  <c r="Q154" i="34"/>
  <c r="Q157" i="34" s="1"/>
  <c r="H601" i="10"/>
  <c r="S144" i="34"/>
  <c r="S169" i="34"/>
  <c r="S167" i="34"/>
  <c r="S168" i="34"/>
  <c r="Q174" i="34"/>
  <c r="S164" i="34"/>
  <c r="S153" i="34"/>
  <c r="S154" i="34" s="1"/>
  <c r="S157" i="34" s="1"/>
  <c r="S172" i="34" l="1"/>
  <c r="S174" i="34" s="1"/>
  <c r="S146" i="34"/>
  <c r="S148" i="34" s="1"/>
  <c r="J601" i="10"/>
  <c r="J605" i="10" s="1"/>
  <c r="H605" i="10"/>
  <c r="K805" i="10" s="1"/>
  <c r="J213" i="34"/>
  <c r="J215" i="34" s="1"/>
  <c r="K213" i="34"/>
  <c r="K215" i="34" s="1"/>
  <c r="Q212" i="34" l="1"/>
  <c r="R213" i="34"/>
  <c r="R215" i="34" s="1"/>
  <c r="M213" i="34"/>
  <c r="M215" i="34" s="1"/>
  <c r="Q213" i="34" l="1"/>
  <c r="H397" i="10"/>
  <c r="S212" i="34"/>
  <c r="S213" i="34" s="1"/>
  <c r="S215" i="34" s="1"/>
  <c r="Q215" i="34"/>
  <c r="J397" i="10" l="1"/>
  <c r="E614" i="10" s="1"/>
  <c r="D3" i="36"/>
  <c r="R117" i="34"/>
  <c r="R121" i="34" s="1"/>
  <c r="R140" i="34" l="1"/>
  <c r="R217" i="34" s="1"/>
  <c r="R114" i="34"/>
  <c r="G121" i="34" l="1"/>
  <c r="G140" i="34" s="1"/>
  <c r="L117" i="34"/>
  <c r="L107" i="34"/>
  <c r="L111" i="34" s="1"/>
  <c r="L102" i="34"/>
  <c r="L104" i="34" s="1"/>
  <c r="M99" i="34"/>
  <c r="M114" i="34" s="1"/>
  <c r="K99" i="34"/>
  <c r="J99" i="34"/>
  <c r="I99" i="34"/>
  <c r="H99" i="34"/>
  <c r="G99" i="34"/>
  <c r="L98" i="34"/>
  <c r="N98" i="34" s="1"/>
  <c r="L90" i="34"/>
  <c r="K87" i="34"/>
  <c r="J87" i="34"/>
  <c r="I87" i="34"/>
  <c r="H87" i="34"/>
  <c r="G87" i="34"/>
  <c r="L86" i="34"/>
  <c r="N86" i="34" s="1"/>
  <c r="H465" i="10" s="1"/>
  <c r="D11" i="36" s="1"/>
  <c r="L85" i="34"/>
  <c r="N85" i="34" s="1"/>
  <c r="H464" i="10" s="1"/>
  <c r="L84" i="34"/>
  <c r="N84" i="34" s="1"/>
  <c r="H463" i="10" s="1"/>
  <c r="L82" i="34"/>
  <c r="N82" i="34" s="1"/>
  <c r="L81" i="34"/>
  <c r="N81" i="34" s="1"/>
  <c r="H460" i="10" s="1"/>
  <c r="K73" i="34"/>
  <c r="J73" i="34"/>
  <c r="I73" i="34"/>
  <c r="H73" i="34"/>
  <c r="G73" i="34"/>
  <c r="G114" i="34" s="1"/>
  <c r="L72" i="34"/>
  <c r="N72" i="34" s="1"/>
  <c r="L71" i="34"/>
  <c r="N71" i="34" s="1"/>
  <c r="L70" i="34"/>
  <c r="N70" i="34" s="1"/>
  <c r="L69" i="34"/>
  <c r="N69" i="34" s="1"/>
  <c r="L68" i="34"/>
  <c r="N68" i="34" s="1"/>
  <c r="L67" i="34"/>
  <c r="N67" i="34" s="1"/>
  <c r="L66" i="34"/>
  <c r="N66" i="34" s="1"/>
  <c r="L65" i="34"/>
  <c r="N65" i="34" s="1"/>
  <c r="L64" i="34"/>
  <c r="N64" i="34" s="1"/>
  <c r="L63" i="34"/>
  <c r="N63" i="34" s="1"/>
  <c r="L62" i="34"/>
  <c r="N62" i="34" s="1"/>
  <c r="L61" i="34"/>
  <c r="N61" i="34" s="1"/>
  <c r="L60" i="34"/>
  <c r="N60" i="34" s="1"/>
  <c r="L59" i="34"/>
  <c r="N59" i="34" s="1"/>
  <c r="L58" i="34"/>
  <c r="N58" i="34" s="1"/>
  <c r="L57" i="34"/>
  <c r="N57" i="34" s="1"/>
  <c r="L56" i="34"/>
  <c r="N56" i="34" s="1"/>
  <c r="L55" i="34"/>
  <c r="N55" i="34" s="1"/>
  <c r="L54" i="34"/>
  <c r="N54" i="34" s="1"/>
  <c r="L53" i="34"/>
  <c r="N53" i="34" s="1"/>
  <c r="L52" i="34"/>
  <c r="N52" i="34" s="1"/>
  <c r="L51" i="34"/>
  <c r="N51" i="34" s="1"/>
  <c r="L50" i="34"/>
  <c r="N50" i="34" s="1"/>
  <c r="L49" i="34"/>
  <c r="N49" i="34" s="1"/>
  <c r="L48" i="34"/>
  <c r="N48" i="34" s="1"/>
  <c r="L47" i="34"/>
  <c r="N47" i="34" s="1"/>
  <c r="L46" i="34"/>
  <c r="N46" i="34" s="1"/>
  <c r="L45" i="34"/>
  <c r="N45" i="34" s="1"/>
  <c r="L44" i="34"/>
  <c r="N44" i="34" s="1"/>
  <c r="L43" i="34"/>
  <c r="N43" i="34" s="1"/>
  <c r="L42" i="34"/>
  <c r="N42" i="34" s="1"/>
  <c r="L41" i="34"/>
  <c r="N41" i="34" s="1"/>
  <c r="L40" i="34"/>
  <c r="N40" i="34" s="1"/>
  <c r="L39" i="34"/>
  <c r="N39" i="34" s="1"/>
  <c r="L38" i="34"/>
  <c r="N38" i="34" s="1"/>
  <c r="L37" i="34"/>
  <c r="N37" i="34" s="1"/>
  <c r="L36" i="34"/>
  <c r="N36" i="34" s="1"/>
  <c r="L35" i="34"/>
  <c r="N35" i="34" s="1"/>
  <c r="L34" i="34"/>
  <c r="N34" i="34" s="1"/>
  <c r="L33" i="34"/>
  <c r="N33" i="34" s="1"/>
  <c r="L32" i="34"/>
  <c r="N32" i="34" s="1"/>
  <c r="L31" i="34"/>
  <c r="N31" i="34" s="1"/>
  <c r="L30" i="34"/>
  <c r="N30" i="34" s="1"/>
  <c r="L29" i="34"/>
  <c r="N29" i="34" s="1"/>
  <c r="L28" i="34"/>
  <c r="N28" i="34" s="1"/>
  <c r="L27" i="34"/>
  <c r="N27" i="34" s="1"/>
  <c r="L26" i="34"/>
  <c r="N26" i="34" s="1"/>
  <c r="L25" i="34"/>
  <c r="N25" i="34" s="1"/>
  <c r="H410" i="10" s="1"/>
  <c r="J410" i="10" s="1"/>
  <c r="E625" i="10" s="1"/>
  <c r="L24" i="34"/>
  <c r="N24" i="34" s="1"/>
  <c r="H409" i="10" s="1"/>
  <c r="J409" i="10" s="1"/>
  <c r="E624" i="10" s="1"/>
  <c r="L23" i="34"/>
  <c r="N23" i="34" s="1"/>
  <c r="H408" i="10" s="1"/>
  <c r="J408" i="10" s="1"/>
  <c r="E623" i="10" s="1"/>
  <c r="L22" i="34"/>
  <c r="N22" i="34" s="1"/>
  <c r="H407" i="10" s="1"/>
  <c r="J407" i="10" s="1"/>
  <c r="E622" i="10" s="1"/>
  <c r="L21" i="34"/>
  <c r="L20" i="34"/>
  <c r="N20" i="34" s="1"/>
  <c r="H405" i="10" s="1"/>
  <c r="J405" i="10" s="1"/>
  <c r="E620" i="10" s="1"/>
  <c r="L19" i="34"/>
  <c r="N19" i="34" s="1"/>
  <c r="H404" i="10" s="1"/>
  <c r="J404" i="10" s="1"/>
  <c r="E619" i="10" s="1"/>
  <c r="L18" i="34"/>
  <c r="N18" i="34" s="1"/>
  <c r="H403" i="10" s="1"/>
  <c r="J403" i="10" s="1"/>
  <c r="E618" i="10" s="1"/>
  <c r="L17" i="34"/>
  <c r="N17" i="34" s="1"/>
  <c r="Q17" i="34" s="1"/>
  <c r="L13" i="34"/>
  <c r="L14" i="34" s="1"/>
  <c r="P11" i="35"/>
  <c r="M97" i="35"/>
  <c r="K97" i="35"/>
  <c r="J97" i="35"/>
  <c r="I97" i="35"/>
  <c r="H97" i="35"/>
  <c r="G97" i="35"/>
  <c r="L96" i="35"/>
  <c r="N96" i="35" s="1"/>
  <c r="N97" i="35" s="1"/>
  <c r="M89" i="35"/>
  <c r="K89" i="35"/>
  <c r="J89" i="35"/>
  <c r="I89" i="35"/>
  <c r="H89" i="35"/>
  <c r="G89" i="35"/>
  <c r="L20" i="35"/>
  <c r="M13" i="35"/>
  <c r="K13" i="35"/>
  <c r="J13" i="35"/>
  <c r="I13" i="35"/>
  <c r="H13" i="35"/>
  <c r="G13" i="35"/>
  <c r="N12" i="35"/>
  <c r="H517" i="10" s="1"/>
  <c r="D36" i="36" s="1"/>
  <c r="L11" i="35"/>
  <c r="N11" i="35" s="1"/>
  <c r="O11" i="35" s="1"/>
  <c r="J517" i="10" l="1"/>
  <c r="E708" i="10" s="1"/>
  <c r="J460" i="10"/>
  <c r="E675" i="10" s="1"/>
  <c r="J463" i="10"/>
  <c r="E678" i="10" s="1"/>
  <c r="J464" i="10"/>
  <c r="E679" i="10" s="1"/>
  <c r="J465" i="10"/>
  <c r="E680" i="10" s="1"/>
  <c r="H419" i="10"/>
  <c r="J419" i="10" s="1"/>
  <c r="E634" i="10" s="1"/>
  <c r="H435" i="10"/>
  <c r="J435" i="10" s="1"/>
  <c r="E650" i="10" s="1"/>
  <c r="H451" i="10"/>
  <c r="H412" i="10"/>
  <c r="H428" i="10"/>
  <c r="H444" i="10"/>
  <c r="H422" i="10"/>
  <c r="H438" i="10"/>
  <c r="H454" i="10"/>
  <c r="J454" i="10" s="1"/>
  <c r="E669" i="10" s="1"/>
  <c r="H461" i="10"/>
  <c r="D8" i="36" s="1"/>
  <c r="H474" i="10"/>
  <c r="H425" i="10"/>
  <c r="H441" i="10"/>
  <c r="H457" i="10"/>
  <c r="D17" i="36" s="1"/>
  <c r="H114" i="34"/>
  <c r="H411" i="10"/>
  <c r="J411" i="10" s="1"/>
  <c r="E626" i="10" s="1"/>
  <c r="H427" i="10"/>
  <c r="H443" i="10"/>
  <c r="H420" i="10"/>
  <c r="H436" i="10"/>
  <c r="H452" i="10"/>
  <c r="H413" i="10"/>
  <c r="H421" i="10"/>
  <c r="H429" i="10"/>
  <c r="H437" i="10"/>
  <c r="H445" i="10"/>
  <c r="H453" i="10"/>
  <c r="H414" i="10"/>
  <c r="H430" i="10"/>
  <c r="H446" i="10"/>
  <c r="H415" i="10"/>
  <c r="H423" i="10"/>
  <c r="H431" i="10"/>
  <c r="H439" i="10"/>
  <c r="H447" i="10"/>
  <c r="H455" i="10"/>
  <c r="H416" i="10"/>
  <c r="H424" i="10"/>
  <c r="H432" i="10"/>
  <c r="H440" i="10"/>
  <c r="H448" i="10"/>
  <c r="H456" i="10"/>
  <c r="H417" i="10"/>
  <c r="H433" i="10"/>
  <c r="H449" i="10"/>
  <c r="H402" i="10"/>
  <c r="J402" i="10" s="1"/>
  <c r="E617" i="10" s="1"/>
  <c r="H418" i="10"/>
  <c r="H426" i="10"/>
  <c r="H434" i="10"/>
  <c r="H442" i="10"/>
  <c r="H450" i="10"/>
  <c r="K114" i="34"/>
  <c r="I114" i="34"/>
  <c r="J114" i="34"/>
  <c r="N21" i="34"/>
  <c r="N73" i="34" s="1"/>
  <c r="H516" i="10"/>
  <c r="D37" i="36" s="1"/>
  <c r="O13" i="35"/>
  <c r="O596" i="10"/>
  <c r="Q11" i="35"/>
  <c r="S86" i="34"/>
  <c r="L121" i="34"/>
  <c r="L140" i="34" s="1"/>
  <c r="S17" i="34"/>
  <c r="S98" i="34"/>
  <c r="S81" i="34"/>
  <c r="Q87" i="34"/>
  <c r="S82" i="34"/>
  <c r="S84" i="34"/>
  <c r="S85" i="34"/>
  <c r="N117" i="34"/>
  <c r="N102" i="34"/>
  <c r="N107" i="34"/>
  <c r="L73" i="34"/>
  <c r="L99" i="34"/>
  <c r="N87" i="34"/>
  <c r="N13" i="34"/>
  <c r="L87" i="34"/>
  <c r="N90" i="34"/>
  <c r="H466" i="10" s="1"/>
  <c r="P97" i="35"/>
  <c r="P89" i="35"/>
  <c r="L97" i="35"/>
  <c r="N13" i="35"/>
  <c r="L13" i="35"/>
  <c r="L89" i="35"/>
  <c r="N20" i="35"/>
  <c r="D10" i="36" l="1"/>
  <c r="J516" i="10"/>
  <c r="E707" i="10" s="1"/>
  <c r="D18" i="36"/>
  <c r="J442" i="10"/>
  <c r="E657" i="10" s="1"/>
  <c r="J449" i="10"/>
  <c r="E664" i="10" s="1"/>
  <c r="J416" i="10"/>
  <c r="E631" i="10" s="1"/>
  <c r="J430" i="10"/>
  <c r="E645" i="10" s="1"/>
  <c r="J413" i="10"/>
  <c r="E628" i="10" s="1"/>
  <c r="J457" i="10"/>
  <c r="E672" i="10" s="1"/>
  <c r="J438" i="10"/>
  <c r="E653" i="10" s="1"/>
  <c r="J434" i="10"/>
  <c r="E649" i="10" s="1"/>
  <c r="J433" i="10"/>
  <c r="E648" i="10" s="1"/>
  <c r="J455" i="10"/>
  <c r="E670" i="10" s="1"/>
  <c r="J414" i="10"/>
  <c r="E629" i="10" s="1"/>
  <c r="J452" i="10"/>
  <c r="E667" i="10" s="1"/>
  <c r="J422" i="10"/>
  <c r="E637" i="10" s="1"/>
  <c r="J417" i="10"/>
  <c r="E632" i="10" s="1"/>
  <c r="J447" i="10"/>
  <c r="E662" i="10" s="1"/>
  <c r="J453" i="10"/>
  <c r="E668" i="10" s="1"/>
  <c r="J436" i="10"/>
  <c r="E651" i="10" s="1"/>
  <c r="J441" i="10"/>
  <c r="E656" i="10" s="1"/>
  <c r="J444" i="10"/>
  <c r="E659" i="10" s="1"/>
  <c r="J426" i="10"/>
  <c r="E641" i="10" s="1"/>
  <c r="J456" i="10"/>
  <c r="E671" i="10" s="1"/>
  <c r="J439" i="10"/>
  <c r="E654" i="10" s="1"/>
  <c r="J420" i="10"/>
  <c r="E635" i="10" s="1"/>
  <c r="J425" i="10"/>
  <c r="E640" i="10" s="1"/>
  <c r="J428" i="10"/>
  <c r="E643" i="10" s="1"/>
  <c r="J418" i="10"/>
  <c r="E633" i="10" s="1"/>
  <c r="J431" i="10"/>
  <c r="E646" i="10" s="1"/>
  <c r="J445" i="10"/>
  <c r="E660" i="10" s="1"/>
  <c r="J443" i="10"/>
  <c r="E658" i="10" s="1"/>
  <c r="J474" i="10"/>
  <c r="E689" i="10" s="1"/>
  <c r="J412" i="10"/>
  <c r="E627" i="10" s="1"/>
  <c r="J448" i="10"/>
  <c r="E663" i="10" s="1"/>
  <c r="J440" i="10"/>
  <c r="E655" i="10" s="1"/>
  <c r="J423" i="10"/>
  <c r="E638" i="10" s="1"/>
  <c r="J437" i="10"/>
  <c r="E652" i="10" s="1"/>
  <c r="J427" i="10"/>
  <c r="E642" i="10" s="1"/>
  <c r="J451" i="10"/>
  <c r="E666" i="10" s="1"/>
  <c r="J432" i="10"/>
  <c r="E647" i="10" s="1"/>
  <c r="J415" i="10"/>
  <c r="E630" i="10" s="1"/>
  <c r="J429" i="10"/>
  <c r="E644" i="10" s="1"/>
  <c r="J461" i="10"/>
  <c r="E676" i="10" s="1"/>
  <c r="J466" i="10"/>
  <c r="E681" i="10" s="1"/>
  <c r="J450" i="10"/>
  <c r="E665" i="10" s="1"/>
  <c r="J424" i="10"/>
  <c r="E639" i="10" s="1"/>
  <c r="J446" i="10"/>
  <c r="E661" i="10" s="1"/>
  <c r="J421" i="10"/>
  <c r="E636" i="10" s="1"/>
  <c r="S87" i="34"/>
  <c r="L114" i="34"/>
  <c r="N111" i="34"/>
  <c r="H406" i="10"/>
  <c r="O97" i="35"/>
  <c r="O89" i="35"/>
  <c r="H519" i="10"/>
  <c r="D24" i="36"/>
  <c r="D9" i="36"/>
  <c r="D23" i="36"/>
  <c r="D21" i="36"/>
  <c r="D22" i="36"/>
  <c r="Q13" i="35"/>
  <c r="Q97" i="35"/>
  <c r="R97" i="35" s="1"/>
  <c r="N104" i="34"/>
  <c r="Q13" i="34"/>
  <c r="N14" i="34"/>
  <c r="S90" i="34"/>
  <c r="S99" i="34" s="1"/>
  <c r="Q99" i="34"/>
  <c r="Q117" i="34"/>
  <c r="H481" i="10" s="1"/>
  <c r="N121" i="34"/>
  <c r="N140" i="34" s="1"/>
  <c r="N99" i="34"/>
  <c r="P13" i="35"/>
  <c r="N89" i="35"/>
  <c r="J481" i="10" l="1"/>
  <c r="E696" i="10" s="1"/>
  <c r="D34" i="36"/>
  <c r="F987" i="10"/>
  <c r="D41" i="36"/>
  <c r="N596" i="10"/>
  <c r="J519" i="10"/>
  <c r="E710" i="10" s="1"/>
  <c r="J406" i="10"/>
  <c r="E621" i="10" s="1"/>
  <c r="O103" i="35"/>
  <c r="N597" i="10" s="1"/>
  <c r="P103" i="35"/>
  <c r="O597" i="10" s="1"/>
  <c r="O598" i="10" s="1"/>
  <c r="Q111" i="34"/>
  <c r="H477" i="10"/>
  <c r="D7" i="36" s="1"/>
  <c r="S107" i="34"/>
  <c r="S111" i="34" s="1"/>
  <c r="H401" i="10"/>
  <c r="D13" i="36" s="1"/>
  <c r="Q14" i="34"/>
  <c r="H475" i="10"/>
  <c r="Q104" i="34"/>
  <c r="N114" i="34"/>
  <c r="Q73" i="34"/>
  <c r="S73" i="34"/>
  <c r="S102" i="34"/>
  <c r="S104" i="34" s="1"/>
  <c r="S117" i="34"/>
  <c r="Q89" i="35"/>
  <c r="R89" i="35" s="1"/>
  <c r="S13" i="34"/>
  <c r="S14" i="34" s="1"/>
  <c r="Q121" i="34"/>
  <c r="Q140" i="34" s="1"/>
  <c r="Q217" i="34" s="1"/>
  <c r="H27" i="36" l="1"/>
  <c r="F988" i="10"/>
  <c r="D14" i="36"/>
  <c r="N598" i="10"/>
  <c r="J475" i="10"/>
  <c r="E690" i="10" s="1"/>
  <c r="J401" i="10"/>
  <c r="E616" i="10" s="1"/>
  <c r="J477" i="10"/>
  <c r="E692" i="10" s="1"/>
  <c r="Q103" i="35"/>
  <c r="S114" i="34"/>
  <c r="S121" i="34"/>
  <c r="S140" i="34" s="1"/>
  <c r="S217" i="34" s="1"/>
  <c r="Q114" i="34"/>
  <c r="D25" i="36"/>
  <c r="D16" i="36"/>
  <c r="C1362" i="22"/>
  <c r="G1362" i="22" s="1"/>
  <c r="G27" i="36" l="1"/>
  <c r="I27" i="36" s="1"/>
  <c r="J1362" i="22"/>
  <c r="AA1362" i="22" s="1"/>
  <c r="D375" i="38"/>
  <c r="J160" i="38"/>
  <c r="J159" i="38"/>
  <c r="J158" i="38"/>
  <c r="J157" i="38"/>
  <c r="J156" i="38"/>
  <c r="J155" i="38"/>
  <c r="J154" i="38"/>
  <c r="J153" i="38"/>
  <c r="J152" i="38"/>
  <c r="J151" i="38"/>
  <c r="J150" i="38"/>
  <c r="J149" i="38"/>
  <c r="J148" i="38"/>
  <c r="J147" i="38"/>
  <c r="J146" i="38"/>
  <c r="J145" i="38"/>
  <c r="J144" i="38"/>
  <c r="J143" i="38"/>
  <c r="J142" i="38"/>
  <c r="J141" i="38"/>
  <c r="I232" i="38" s="1"/>
  <c r="P6" i="38"/>
  <c r="P7" i="38"/>
  <c r="J7" i="38"/>
  <c r="J6" i="38"/>
  <c r="J5" i="38"/>
  <c r="C201" i="37"/>
  <c r="AB1362" i="22" l="1"/>
  <c r="P8" i="38"/>
  <c r="D378" i="38"/>
  <c r="D1064" i="10" s="1"/>
  <c r="F799" i="22"/>
  <c r="F513" i="22"/>
  <c r="L19" i="23" l="1"/>
  <c r="F1259" i="4" l="1"/>
  <c r="F1256" i="4"/>
  <c r="F1142" i="4"/>
  <c r="F1141" i="4"/>
  <c r="F1128" i="4"/>
  <c r="F1127" i="4"/>
  <c r="F1126" i="4"/>
  <c r="F1125" i="4"/>
  <c r="F974" i="4"/>
  <c r="H1223" i="4"/>
  <c r="G1223" i="4"/>
  <c r="R1223" i="4" s="1"/>
  <c r="F562" i="4"/>
  <c r="F527" i="4"/>
  <c r="F520" i="4"/>
  <c r="F514" i="4"/>
  <c r="H514" i="4" s="1"/>
  <c r="F495" i="4"/>
  <c r="F494" i="4"/>
  <c r="H882" i="4"/>
  <c r="G882" i="4"/>
  <c r="R882" i="4" s="1"/>
  <c r="H495" i="4" l="1"/>
  <c r="J495" i="4"/>
  <c r="F494" i="22" s="1"/>
  <c r="H527" i="4"/>
  <c r="J527" i="4"/>
  <c r="F526" i="22" s="1"/>
  <c r="H520" i="4"/>
  <c r="J520" i="4"/>
  <c r="F520" i="22" s="1"/>
  <c r="G562" i="4"/>
  <c r="C559" i="22" s="1"/>
  <c r="R562" i="4" s="1"/>
  <c r="J562" i="4"/>
  <c r="F559" i="22" s="1"/>
  <c r="H494" i="4"/>
  <c r="J494" i="4"/>
  <c r="F495" i="22" s="1"/>
  <c r="K1128" i="4"/>
  <c r="J1128" i="4"/>
  <c r="E1050" i="10" s="1"/>
  <c r="K1141" i="4"/>
  <c r="J1141" i="4"/>
  <c r="J1142" i="4"/>
  <c r="E1124" i="10" s="1"/>
  <c r="K1142" i="4"/>
  <c r="J1256" i="4"/>
  <c r="K1256" i="4"/>
  <c r="K1125" i="4"/>
  <c r="J1125" i="4"/>
  <c r="E1049" i="10" s="1"/>
  <c r="J1126" i="4"/>
  <c r="E1048" i="10" s="1"/>
  <c r="K1126" i="4"/>
  <c r="J1127" i="4"/>
  <c r="K1127" i="4"/>
  <c r="J974" i="4"/>
  <c r="K974" i="4"/>
  <c r="K1259" i="4"/>
  <c r="J1259" i="4"/>
  <c r="H1141" i="4"/>
  <c r="H974" i="4"/>
  <c r="H1125" i="4"/>
  <c r="H1126" i="4"/>
  <c r="H1127" i="4"/>
  <c r="H1128" i="4"/>
  <c r="H1142" i="4"/>
  <c r="H1256" i="4"/>
  <c r="H1259" i="4"/>
  <c r="G1142" i="4"/>
  <c r="G1256" i="4"/>
  <c r="G1259" i="4"/>
  <c r="G1127" i="4"/>
  <c r="G1141" i="4"/>
  <c r="G1125" i="4"/>
  <c r="G1126" i="4"/>
  <c r="H589" i="16" s="1"/>
  <c r="G1128" i="4"/>
  <c r="G974" i="4"/>
  <c r="H562" i="4"/>
  <c r="G527" i="4"/>
  <c r="G520" i="4"/>
  <c r="G514" i="4"/>
  <c r="G494" i="4"/>
  <c r="G495" i="4"/>
  <c r="I589" i="16" l="1"/>
  <c r="I590" i="16"/>
  <c r="I591" i="16"/>
  <c r="D1051" i="10"/>
  <c r="D1049" i="10"/>
  <c r="H591" i="16"/>
  <c r="D1124" i="10"/>
  <c r="D1050" i="10"/>
  <c r="D1048" i="10"/>
  <c r="H590" i="16"/>
  <c r="R1141" i="4"/>
  <c r="G559" i="22"/>
  <c r="C1117" i="22"/>
  <c r="R1126" i="4" s="1"/>
  <c r="C1132" i="22"/>
  <c r="R1142" i="4" s="1"/>
  <c r="C1116" i="22"/>
  <c r="R1125" i="4" s="1"/>
  <c r="C1118" i="22"/>
  <c r="R1127" i="4" s="1"/>
  <c r="C513" i="22"/>
  <c r="R514" i="4" s="1"/>
  <c r="C520" i="22"/>
  <c r="R520" i="4" s="1"/>
  <c r="C1249" i="22"/>
  <c r="R1258" i="4" s="1"/>
  <c r="C965" i="22"/>
  <c r="R974" i="4" s="1"/>
  <c r="C494" i="22"/>
  <c r="R495" i="4" s="1"/>
  <c r="C1246" i="22"/>
  <c r="R1256" i="4" s="1"/>
  <c r="C526" i="22"/>
  <c r="R527" i="4" s="1"/>
  <c r="C1119" i="22"/>
  <c r="R1128" i="4" s="1"/>
  <c r="P1142" i="4"/>
  <c r="P1125" i="4"/>
  <c r="P1128" i="4"/>
  <c r="P974" i="4"/>
  <c r="P1126" i="4"/>
  <c r="P1127" i="4"/>
  <c r="C44" i="20"/>
  <c r="R1259" i="4" l="1"/>
  <c r="R1257" i="4"/>
  <c r="G1119" i="22"/>
  <c r="G526" i="22"/>
  <c r="G520" i="22"/>
  <c r="G513" i="22"/>
  <c r="G1118" i="22"/>
  <c r="G1116" i="22"/>
  <c r="G1132" i="22"/>
  <c r="G1117" i="22"/>
  <c r="G494" i="22"/>
  <c r="G965" i="22"/>
  <c r="L559" i="22"/>
  <c r="AB559" i="22" s="1"/>
  <c r="G1249" i="22"/>
  <c r="G1246" i="22"/>
  <c r="F805" i="4"/>
  <c r="G805" i="4" s="1"/>
  <c r="D942" i="10" s="1"/>
  <c r="K882" i="4"/>
  <c r="J882" i="4"/>
  <c r="B22" i="23"/>
  <c r="AA559" i="22" l="1"/>
  <c r="S513" i="22"/>
  <c r="AA513" i="22" s="1"/>
  <c r="S494" i="22"/>
  <c r="AA494" i="22" s="1"/>
  <c r="T520" i="22"/>
  <c r="AA520" i="22" s="1"/>
  <c r="T526" i="22"/>
  <c r="AA526" i="22" s="1"/>
  <c r="H965" i="22"/>
  <c r="AA965" i="22" s="1"/>
  <c r="S1118" i="22"/>
  <c r="AA1118" i="22" s="1"/>
  <c r="S1117" i="22"/>
  <c r="AA1117" i="22" s="1"/>
  <c r="S1246" i="22"/>
  <c r="AA1246" i="22" s="1"/>
  <c r="H1132" i="22"/>
  <c r="AA1132" i="22" s="1"/>
  <c r="S1249" i="22"/>
  <c r="AA1249" i="22" s="1"/>
  <c r="S1116" i="22"/>
  <c r="AA1116" i="22" s="1"/>
  <c r="S1119" i="22"/>
  <c r="AA1119" i="22" s="1"/>
  <c r="J805" i="4"/>
  <c r="F798" i="22" s="1"/>
  <c r="K805" i="4"/>
  <c r="AB526" i="22" l="1"/>
  <c r="AB494" i="22"/>
  <c r="AB520" i="22"/>
  <c r="AB513" i="22"/>
  <c r="AB1249" i="22"/>
  <c r="AB1132" i="22"/>
  <c r="AB1246" i="22"/>
  <c r="AB1116" i="22"/>
  <c r="AB1117" i="22"/>
  <c r="AB965" i="22"/>
  <c r="AB1118" i="22"/>
  <c r="AB1119" i="22"/>
  <c r="H71" i="37"/>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71" i="37" s="1"/>
  <c r="C198" i="37"/>
  <c r="C25" i="37"/>
  <c r="E24" i="37"/>
  <c r="E23" i="37"/>
  <c r="E22" i="37"/>
  <c r="E21" i="37"/>
  <c r="E20" i="37"/>
  <c r="E19" i="37"/>
  <c r="E18" i="37"/>
  <c r="E17" i="37"/>
  <c r="E16" i="37"/>
  <c r="E15" i="37"/>
  <c r="E14" i="37"/>
  <c r="E13" i="37"/>
  <c r="E12" i="37"/>
  <c r="E11" i="37"/>
  <c r="E10" i="37"/>
  <c r="E9" i="37"/>
  <c r="E8" i="37"/>
  <c r="E7" i="37"/>
  <c r="E6" i="37"/>
  <c r="E5" i="37"/>
  <c r="E4" i="37"/>
  <c r="E3" i="37"/>
  <c r="E2" i="37"/>
  <c r="E25" i="37" s="1"/>
  <c r="A28" i="36" l="1"/>
  <c r="D40" i="36" l="1"/>
  <c r="H9" i="20"/>
  <c r="N13" i="19" l="1"/>
  <c r="N14" i="19"/>
  <c r="L12" i="19"/>
  <c r="L13" i="19"/>
  <c r="L14" i="19"/>
  <c r="A340" i="32" l="1"/>
  <c r="AA875" i="22"/>
  <c r="A791" i="32"/>
  <c r="A790" i="32"/>
  <c r="A789" i="32"/>
  <c r="A788" i="32"/>
  <c r="A787" i="32"/>
  <c r="A786" i="32"/>
  <c r="A785" i="32"/>
  <c r="A784" i="32"/>
  <c r="A783" i="32"/>
  <c r="A782" i="32"/>
  <c r="A781" i="32"/>
  <c r="A780" i="32"/>
  <c r="A779" i="32"/>
  <c r="A778" i="32"/>
  <c r="A777" i="32"/>
  <c r="A776" i="32"/>
  <c r="A775" i="32"/>
  <c r="A774" i="32"/>
  <c r="A773" i="32"/>
  <c r="A772" i="32"/>
  <c r="A771" i="32"/>
  <c r="A770" i="32"/>
  <c r="A769" i="32"/>
  <c r="A768" i="32"/>
  <c r="A767" i="32"/>
  <c r="A766" i="32"/>
  <c r="A765" i="32"/>
  <c r="A764" i="32"/>
  <c r="A763" i="32"/>
  <c r="A762" i="32"/>
  <c r="A761" i="32"/>
  <c r="A760" i="32"/>
  <c r="A759" i="32"/>
  <c r="A758" i="32"/>
  <c r="A757" i="32"/>
  <c r="A756" i="32"/>
  <c r="A755" i="32"/>
  <c r="A754" i="32"/>
  <c r="A753" i="32"/>
  <c r="A752" i="32"/>
  <c r="A751" i="32"/>
  <c r="A750" i="32"/>
  <c r="A749" i="32"/>
  <c r="A748" i="32"/>
  <c r="A747" i="32"/>
  <c r="A746" i="32"/>
  <c r="A745" i="32"/>
  <c r="A744" i="32"/>
  <c r="A743" i="32"/>
  <c r="A742" i="32"/>
  <c r="A741" i="32"/>
  <c r="A740" i="32"/>
  <c r="A739" i="32"/>
  <c r="A738" i="32"/>
  <c r="A737" i="32"/>
  <c r="A736" i="32"/>
  <c r="A735" i="32"/>
  <c r="A734" i="32"/>
  <c r="A733" i="32"/>
  <c r="A732" i="32"/>
  <c r="A731" i="32"/>
  <c r="A730" i="32"/>
  <c r="A729" i="32"/>
  <c r="A728" i="32"/>
  <c r="A727" i="32"/>
  <c r="A726" i="32"/>
  <c r="H102" i="33"/>
  <c r="H101" i="33"/>
  <c r="H104" i="33"/>
  <c r="L100" i="33"/>
  <c r="H100" i="33"/>
  <c r="H99" i="33"/>
  <c r="H98" i="33"/>
  <c r="H97" i="33"/>
  <c r="H96" i="33"/>
  <c r="H95" i="33"/>
  <c r="H116" i="33"/>
  <c r="H115" i="33"/>
  <c r="H114" i="33"/>
  <c r="H113" i="33"/>
  <c r="H112" i="33"/>
  <c r="H111" i="33"/>
  <c r="H110" i="33"/>
  <c r="H109" i="33"/>
  <c r="H108" i="33"/>
  <c r="H107" i="33"/>
  <c r="H106" i="33"/>
  <c r="H105" i="33"/>
  <c r="L94" i="33"/>
  <c r="H94" i="33"/>
  <c r="H93" i="33"/>
  <c r="H92" i="33"/>
  <c r="H91" i="33"/>
  <c r="H90" i="33"/>
  <c r="H89" i="33"/>
  <c r="H88" i="33"/>
  <c r="H87" i="33"/>
  <c r="H86" i="33"/>
  <c r="H85" i="33"/>
  <c r="H84" i="33"/>
  <c r="H83" i="33"/>
  <c r="H82" i="33"/>
  <c r="H81" i="33"/>
  <c r="L80"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L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H13" i="33"/>
  <c r="H12" i="33"/>
  <c r="H11" i="33"/>
  <c r="H10" i="33"/>
  <c r="H9" i="33"/>
  <c r="H8" i="33"/>
  <c r="H7" i="33"/>
  <c r="H6" i="33"/>
  <c r="H5" i="33"/>
  <c r="H4" i="33"/>
  <c r="H3" i="33"/>
  <c r="N1346" i="4"/>
  <c r="N1345" i="4"/>
  <c r="N1344" i="4"/>
  <c r="N1338" i="4"/>
  <c r="N1337" i="4"/>
  <c r="N1336" i="4"/>
  <c r="N1335" i="4"/>
  <c r="N1334" i="4"/>
  <c r="N1333" i="4"/>
  <c r="N1327" i="4"/>
  <c r="N1326" i="4"/>
  <c r="N1321" i="4"/>
  <c r="N1316" i="4"/>
  <c r="N1315" i="4"/>
  <c r="N1311" i="4"/>
  <c r="N1309" i="4"/>
  <c r="N1306" i="4"/>
  <c r="N1305" i="4"/>
  <c r="N1304" i="4"/>
  <c r="N1303" i="4"/>
  <c r="N1300" i="4"/>
  <c r="N1299" i="4"/>
  <c r="N1298" i="4"/>
  <c r="N1297" i="4"/>
  <c r="N1296" i="4"/>
  <c r="N1295" i="4"/>
  <c r="N1294" i="4"/>
  <c r="N1292" i="4"/>
  <c r="N1290" i="4"/>
  <c r="N1289" i="4"/>
  <c r="N1288" i="4"/>
  <c r="N1287" i="4"/>
  <c r="N1286" i="4"/>
  <c r="N1285" i="4"/>
  <c r="N1284" i="4"/>
  <c r="N1283" i="4"/>
  <c r="N1282" i="4"/>
  <c r="N1281" i="4"/>
  <c r="N1280" i="4"/>
  <c r="N1279" i="4"/>
  <c r="N1278" i="4"/>
  <c r="N1277" i="4"/>
  <c r="N1276" i="4"/>
  <c r="N1275" i="4"/>
  <c r="N1274" i="4"/>
  <c r="N1273" i="4"/>
  <c r="N1272" i="4"/>
  <c r="N1271" i="4"/>
  <c r="N1270" i="4"/>
  <c r="N1269" i="4"/>
  <c r="N1268" i="4"/>
  <c r="N1267" i="4"/>
  <c r="N1266" i="4"/>
  <c r="N1265" i="4"/>
  <c r="N1264" i="4"/>
  <c r="N1263" i="4"/>
  <c r="N1262" i="4"/>
  <c r="N1261" i="4"/>
  <c r="N1255" i="4"/>
  <c r="N1254" i="4"/>
  <c r="N1253" i="4"/>
  <c r="N1252" i="4"/>
  <c r="N1251" i="4"/>
  <c r="N1246" i="4"/>
  <c r="N1245" i="4"/>
  <c r="N1243" i="4"/>
  <c r="N1242" i="4"/>
  <c r="N1237" i="4"/>
  <c r="N1235" i="4"/>
  <c r="N1234" i="4"/>
  <c r="N1232" i="4"/>
  <c r="N1231" i="4"/>
  <c r="N1515" i="4"/>
  <c r="N1514" i="4"/>
  <c r="N1507" i="4"/>
  <c r="N1506" i="4"/>
  <c r="N1505" i="4"/>
  <c r="N1503" i="4"/>
  <c r="N1502" i="4"/>
  <c r="N1501" i="4"/>
  <c r="N1500" i="4"/>
  <c r="N1498" i="4"/>
  <c r="N1497" i="4"/>
  <c r="N1496" i="4"/>
  <c r="N1490" i="4"/>
  <c r="N1488" i="4"/>
  <c r="N1487" i="4"/>
  <c r="N1485" i="4"/>
  <c r="N1484" i="4"/>
  <c r="N1483" i="4"/>
  <c r="N1482" i="4"/>
  <c r="N1480" i="4"/>
  <c r="N1479" i="4"/>
  <c r="N1473" i="4"/>
  <c r="N1472" i="4"/>
  <c r="N1471" i="4"/>
  <c r="N1470" i="4"/>
  <c r="N1469" i="4"/>
  <c r="N1468" i="4"/>
  <c r="N1467" i="4"/>
  <c r="N1466" i="4"/>
  <c r="N1465" i="4"/>
  <c r="N1464" i="4"/>
  <c r="N1463" i="4"/>
  <c r="N1462" i="4"/>
  <c r="N1461" i="4"/>
  <c r="N1460" i="4"/>
  <c r="N1458" i="4"/>
  <c r="N1457" i="4"/>
  <c r="N1456" i="4"/>
  <c r="N1455" i="4"/>
  <c r="N1454" i="4"/>
  <c r="N1453" i="4"/>
  <c r="N1452" i="4"/>
  <c r="N1451" i="4"/>
  <c r="N1450" i="4"/>
  <c r="N1445" i="4"/>
  <c r="N1444" i="4"/>
  <c r="N1443" i="4"/>
  <c r="N1442" i="4"/>
  <c r="N1441" i="4"/>
  <c r="N1436" i="4"/>
  <c r="N1431" i="4"/>
  <c r="N1430" i="4"/>
  <c r="N1429" i="4"/>
  <c r="N1424" i="4"/>
  <c r="N1423" i="4"/>
  <c r="N1422" i="4"/>
  <c r="N1421" i="4"/>
  <c r="N1420" i="4"/>
  <c r="N1415" i="4"/>
  <c r="N1414" i="4"/>
  <c r="N1413" i="4"/>
  <c r="N1412" i="4"/>
  <c r="N1411" i="4"/>
  <c r="N1407" i="4"/>
  <c r="N1406" i="4"/>
  <c r="N1405" i="4"/>
  <c r="N1404" i="4"/>
  <c r="N1403" i="4"/>
  <c r="N1402" i="4"/>
  <c r="N1401" i="4"/>
  <c r="N1400" i="4"/>
  <c r="N1395" i="4"/>
  <c r="N1394" i="4"/>
  <c r="N1393" i="4"/>
  <c r="N1392" i="4"/>
  <c r="N1391" i="4"/>
  <c r="N1390" i="4"/>
  <c r="N1389" i="4"/>
  <c r="N1388" i="4"/>
  <c r="N1387" i="4"/>
  <c r="N1386" i="4"/>
  <c r="N1380" i="4"/>
  <c r="N1379" i="4"/>
  <c r="N1378" i="4"/>
  <c r="N1377" i="4"/>
  <c r="N1371" i="4"/>
  <c r="N1370" i="4"/>
  <c r="N1369" i="4"/>
  <c r="N1368" i="4"/>
  <c r="N1366" i="4"/>
  <c r="N1365" i="4"/>
  <c r="N1364" i="4"/>
  <c r="N1363" i="4"/>
  <c r="N1362" i="4"/>
  <c r="N1361" i="4"/>
  <c r="N1360" i="4"/>
  <c r="N1355" i="4"/>
  <c r="N1354" i="4"/>
  <c r="N1353" i="4"/>
  <c r="N1352" i="4"/>
  <c r="N1351" i="4"/>
  <c r="N1350" i="4"/>
  <c r="N1349" i="4"/>
  <c r="N1348" i="4"/>
  <c r="N1347" i="4"/>
  <c r="F142" i="4"/>
  <c r="J142" i="4" s="1"/>
  <c r="F1076" i="4"/>
  <c r="F1255" i="4"/>
  <c r="F1304" i="4"/>
  <c r="F1189" i="4"/>
  <c r="F1182" i="4"/>
  <c r="F1124" i="4"/>
  <c r="F1123" i="4"/>
  <c r="F1104" i="4"/>
  <c r="F1103" i="4"/>
  <c r="F1093" i="4"/>
  <c r="F939" i="4"/>
  <c r="F1740" i="4"/>
  <c r="F1739" i="4"/>
  <c r="F1620" i="4"/>
  <c r="F1619" i="4"/>
  <c r="F731" i="4"/>
  <c r="F730" i="4"/>
  <c r="F532" i="4"/>
  <c r="J532" i="4" s="1"/>
  <c r="F531" i="4"/>
  <c r="J531" i="4" s="1"/>
  <c r="F530" i="4"/>
  <c r="J530" i="4" s="1"/>
  <c r="F528" i="4"/>
  <c r="J528" i="4" s="1"/>
  <c r="F526" i="4"/>
  <c r="J526" i="4" s="1"/>
  <c r="F525" i="4"/>
  <c r="J525" i="4" s="1"/>
  <c r="F524" i="4"/>
  <c r="J524" i="4" s="1"/>
  <c r="F522" i="4"/>
  <c r="J522" i="4" s="1"/>
  <c r="F521" i="4"/>
  <c r="J521" i="4" s="1"/>
  <c r="F519" i="4"/>
  <c r="J519" i="4" s="1"/>
  <c r="F518" i="4"/>
  <c r="J518" i="4" s="1"/>
  <c r="F517" i="4"/>
  <c r="J517" i="4" s="1"/>
  <c r="F516" i="4"/>
  <c r="J516" i="4" s="1"/>
  <c r="F515" i="4"/>
  <c r="F513" i="4"/>
  <c r="F512" i="4"/>
  <c r="F511" i="4"/>
  <c r="J511" i="4" s="1"/>
  <c r="F509" i="4"/>
  <c r="J509" i="4" s="1"/>
  <c r="F508" i="4"/>
  <c r="F507" i="4"/>
  <c r="F506" i="4"/>
  <c r="J506" i="4" s="1"/>
  <c r="F503" i="4"/>
  <c r="J503" i="4" s="1"/>
  <c r="F502" i="4"/>
  <c r="J502" i="4" s="1"/>
  <c r="F501" i="4"/>
  <c r="J501" i="4" s="1"/>
  <c r="F500" i="4"/>
  <c r="J500" i="4" s="1"/>
  <c r="F499" i="4"/>
  <c r="J499" i="4" s="1"/>
  <c r="F498" i="4"/>
  <c r="J498" i="4" s="1"/>
  <c r="F497" i="4"/>
  <c r="J497" i="4" s="1"/>
  <c r="F496" i="4"/>
  <c r="J496" i="4" s="1"/>
  <c r="F493" i="4"/>
  <c r="J493" i="4" s="1"/>
  <c r="F492" i="4"/>
  <c r="J492" i="4" s="1"/>
  <c r="F491" i="4"/>
  <c r="J491" i="4" s="1"/>
  <c r="F490" i="4"/>
  <c r="J490" i="4" s="1"/>
  <c r="F489" i="4"/>
  <c r="J489" i="4" s="1"/>
  <c r="F488" i="4"/>
  <c r="J488" i="4" s="1"/>
  <c r="F487" i="4"/>
  <c r="J487" i="4" s="1"/>
  <c r="F486" i="4"/>
  <c r="J486" i="4" s="1"/>
  <c r="A255" i="32"/>
  <c r="H791" i="32"/>
  <c r="H790" i="32"/>
  <c r="H789" i="32"/>
  <c r="H788" i="32"/>
  <c r="H787" i="32"/>
  <c r="H786" i="32"/>
  <c r="H785" i="32"/>
  <c r="H784" i="32"/>
  <c r="H783" i="32"/>
  <c r="H782" i="32"/>
  <c r="H781" i="32"/>
  <c r="H780" i="32"/>
  <c r="H779" i="32"/>
  <c r="H778" i="32"/>
  <c r="H777" i="32"/>
  <c r="H776" i="32"/>
  <c r="H775" i="32"/>
  <c r="H774" i="32"/>
  <c r="H773" i="32"/>
  <c r="H772" i="32"/>
  <c r="H771" i="32"/>
  <c r="H770" i="32"/>
  <c r="H769" i="32"/>
  <c r="H768" i="32"/>
  <c r="H767" i="32"/>
  <c r="H766" i="32"/>
  <c r="H765" i="32"/>
  <c r="H764" i="32"/>
  <c r="H763" i="32"/>
  <c r="H762" i="32"/>
  <c r="H761" i="32"/>
  <c r="H760" i="32"/>
  <c r="H759" i="32"/>
  <c r="H758" i="32"/>
  <c r="H757" i="32"/>
  <c r="H756" i="32"/>
  <c r="H755" i="32"/>
  <c r="H754" i="32"/>
  <c r="H753" i="32"/>
  <c r="H752" i="32"/>
  <c r="H751" i="32"/>
  <c r="H750" i="32"/>
  <c r="H749" i="32"/>
  <c r="H748" i="32"/>
  <c r="H747" i="32"/>
  <c r="H746" i="32"/>
  <c r="H745" i="32"/>
  <c r="H744" i="32"/>
  <c r="H743" i="32"/>
  <c r="H742" i="32"/>
  <c r="H741" i="32"/>
  <c r="H740" i="32"/>
  <c r="H739" i="32"/>
  <c r="H738" i="32"/>
  <c r="H737" i="32"/>
  <c r="H736" i="32"/>
  <c r="H735" i="32"/>
  <c r="H734" i="32"/>
  <c r="H733" i="32"/>
  <c r="H732" i="32"/>
  <c r="H731" i="32"/>
  <c r="H730" i="32"/>
  <c r="H729" i="32"/>
  <c r="H728" i="32"/>
  <c r="H727" i="32"/>
  <c r="H726" i="32"/>
  <c r="H725" i="32"/>
  <c r="H724" i="32"/>
  <c r="H723" i="32"/>
  <c r="H722" i="32"/>
  <c r="H721" i="32"/>
  <c r="H720" i="32"/>
  <c r="H719" i="32"/>
  <c r="H718" i="32"/>
  <c r="H717" i="32"/>
  <c r="H716" i="32"/>
  <c r="H715" i="32"/>
  <c r="H714" i="32"/>
  <c r="H713" i="32"/>
  <c r="H712" i="32"/>
  <c r="H711" i="32"/>
  <c r="H710" i="32"/>
  <c r="H709" i="32"/>
  <c r="H708" i="32"/>
  <c r="H707" i="32"/>
  <c r="H706" i="32"/>
  <c r="H705" i="32"/>
  <c r="H704" i="32"/>
  <c r="H703" i="32"/>
  <c r="H702" i="32"/>
  <c r="H701" i="32"/>
  <c r="H700" i="32"/>
  <c r="H699" i="32"/>
  <c r="H698" i="32"/>
  <c r="H697" i="32"/>
  <c r="H696" i="32"/>
  <c r="H695" i="32"/>
  <c r="H694" i="32"/>
  <c r="H693" i="32"/>
  <c r="H692" i="32"/>
  <c r="H691" i="32"/>
  <c r="H690" i="32"/>
  <c r="H689" i="32"/>
  <c r="H688" i="32"/>
  <c r="H687" i="32"/>
  <c r="H686" i="32"/>
  <c r="H685" i="32"/>
  <c r="H684" i="32"/>
  <c r="H683" i="32"/>
  <c r="H682" i="32"/>
  <c r="H681" i="32"/>
  <c r="H680" i="32"/>
  <c r="H679" i="32"/>
  <c r="H678" i="32"/>
  <c r="H677" i="32"/>
  <c r="H676" i="32"/>
  <c r="H675" i="32"/>
  <c r="H674" i="32"/>
  <c r="H673" i="32"/>
  <c r="H672" i="32"/>
  <c r="H671" i="32"/>
  <c r="H670" i="32"/>
  <c r="H669" i="32"/>
  <c r="H668" i="32"/>
  <c r="H667" i="32"/>
  <c r="H666" i="32"/>
  <c r="H665" i="32"/>
  <c r="H664" i="32"/>
  <c r="H663" i="32"/>
  <c r="H662" i="32"/>
  <c r="H661" i="32"/>
  <c r="H660" i="32"/>
  <c r="H659" i="32"/>
  <c r="H658" i="32"/>
  <c r="H657" i="32"/>
  <c r="H656" i="32"/>
  <c r="H655" i="32"/>
  <c r="H654" i="32"/>
  <c r="H653" i="32"/>
  <c r="H652" i="32"/>
  <c r="H651" i="32"/>
  <c r="H650" i="32"/>
  <c r="H649" i="32"/>
  <c r="H648" i="32"/>
  <c r="H647" i="32"/>
  <c r="H646" i="32"/>
  <c r="H645" i="32"/>
  <c r="H644" i="32"/>
  <c r="H643" i="32"/>
  <c r="H642" i="32"/>
  <c r="H641" i="32"/>
  <c r="H640" i="32"/>
  <c r="H639" i="32"/>
  <c r="H638" i="32"/>
  <c r="H637" i="32"/>
  <c r="H636" i="32"/>
  <c r="H635" i="32"/>
  <c r="H634" i="32"/>
  <c r="H633" i="32"/>
  <c r="H632" i="32"/>
  <c r="H631" i="32"/>
  <c r="H630" i="32"/>
  <c r="H629" i="32"/>
  <c r="H628" i="32"/>
  <c r="H627" i="32"/>
  <c r="H626" i="32"/>
  <c r="H625" i="32"/>
  <c r="H624" i="32"/>
  <c r="H623" i="32"/>
  <c r="H622" i="32"/>
  <c r="H621" i="32"/>
  <c r="H620" i="32"/>
  <c r="H619" i="32"/>
  <c r="H618" i="32"/>
  <c r="H617" i="32"/>
  <c r="H616" i="32"/>
  <c r="H615" i="32"/>
  <c r="H614" i="32"/>
  <c r="H613" i="32"/>
  <c r="H612" i="32"/>
  <c r="H611" i="32"/>
  <c r="H610" i="32"/>
  <c r="H609" i="32"/>
  <c r="H608" i="32"/>
  <c r="H607" i="32"/>
  <c r="H606" i="32"/>
  <c r="H605" i="32"/>
  <c r="H604" i="32"/>
  <c r="H603" i="32"/>
  <c r="H602" i="32"/>
  <c r="H601" i="32"/>
  <c r="H600" i="32"/>
  <c r="H599" i="32"/>
  <c r="H598" i="32"/>
  <c r="H597" i="32"/>
  <c r="H596" i="32"/>
  <c r="H595" i="32"/>
  <c r="H594" i="32"/>
  <c r="H593" i="32"/>
  <c r="H592" i="32"/>
  <c r="H591" i="32"/>
  <c r="H590" i="32"/>
  <c r="H589" i="32"/>
  <c r="H588" i="32"/>
  <c r="H587" i="32"/>
  <c r="H586" i="32"/>
  <c r="H585" i="32"/>
  <c r="H584" i="32"/>
  <c r="H583" i="32"/>
  <c r="H582" i="32"/>
  <c r="H581" i="32"/>
  <c r="H580" i="32"/>
  <c r="H579" i="32"/>
  <c r="H578" i="32"/>
  <c r="H577" i="32"/>
  <c r="H576" i="32"/>
  <c r="H575" i="32"/>
  <c r="H574" i="32"/>
  <c r="H573" i="32"/>
  <c r="H572" i="32"/>
  <c r="H571" i="32"/>
  <c r="H570" i="32"/>
  <c r="H569" i="32"/>
  <c r="H568" i="32"/>
  <c r="H567" i="32"/>
  <c r="H566" i="32"/>
  <c r="H565" i="32"/>
  <c r="H564" i="32"/>
  <c r="H563" i="32"/>
  <c r="H562" i="32"/>
  <c r="H561" i="32"/>
  <c r="H560" i="32"/>
  <c r="H559" i="32"/>
  <c r="H558" i="32"/>
  <c r="H557" i="32"/>
  <c r="H556" i="32"/>
  <c r="H555" i="32"/>
  <c r="H554" i="32"/>
  <c r="H553" i="32"/>
  <c r="H552" i="32"/>
  <c r="H551" i="32"/>
  <c r="H550" i="32"/>
  <c r="H549" i="32"/>
  <c r="H548" i="32"/>
  <c r="H547" i="32"/>
  <c r="H546" i="32"/>
  <c r="H545" i="32"/>
  <c r="H544" i="32"/>
  <c r="H543" i="32"/>
  <c r="H542" i="32"/>
  <c r="H541" i="32"/>
  <c r="H540" i="32"/>
  <c r="H539" i="32"/>
  <c r="H538" i="32"/>
  <c r="H537" i="32"/>
  <c r="H536" i="32"/>
  <c r="H535" i="32"/>
  <c r="H534" i="32"/>
  <c r="H533" i="32"/>
  <c r="H532" i="32"/>
  <c r="H531" i="32"/>
  <c r="H530" i="32"/>
  <c r="H529" i="32"/>
  <c r="H528" i="32"/>
  <c r="H527" i="32"/>
  <c r="H526" i="32"/>
  <c r="H525" i="32"/>
  <c r="H524" i="32"/>
  <c r="H523" i="32"/>
  <c r="H522" i="32"/>
  <c r="H521" i="32"/>
  <c r="H520" i="32"/>
  <c r="H519" i="32"/>
  <c r="H518" i="32"/>
  <c r="H517" i="32"/>
  <c r="H516" i="32"/>
  <c r="H515" i="32"/>
  <c r="H514" i="32"/>
  <c r="H513" i="32"/>
  <c r="H512" i="32"/>
  <c r="H511" i="32"/>
  <c r="H510" i="32"/>
  <c r="H509" i="32"/>
  <c r="H508" i="32"/>
  <c r="H507" i="32"/>
  <c r="H506" i="32"/>
  <c r="H505" i="32"/>
  <c r="H504" i="32"/>
  <c r="H503" i="32"/>
  <c r="H502" i="32"/>
  <c r="H501" i="32"/>
  <c r="H500" i="32"/>
  <c r="H499" i="32"/>
  <c r="H498" i="32"/>
  <c r="H497" i="32"/>
  <c r="H496" i="32"/>
  <c r="H495" i="32"/>
  <c r="H494" i="32"/>
  <c r="H493" i="32"/>
  <c r="H492" i="32"/>
  <c r="H491" i="32"/>
  <c r="H490" i="32"/>
  <c r="H489" i="32"/>
  <c r="H488" i="32"/>
  <c r="H487" i="32"/>
  <c r="H486" i="32"/>
  <c r="H485" i="32"/>
  <c r="H484" i="32"/>
  <c r="H483" i="32"/>
  <c r="H482" i="32"/>
  <c r="H481" i="32"/>
  <c r="H480" i="32"/>
  <c r="H479" i="32"/>
  <c r="H478" i="32"/>
  <c r="H477" i="32"/>
  <c r="H476" i="32"/>
  <c r="H475" i="32"/>
  <c r="H474" i="32"/>
  <c r="H473" i="32"/>
  <c r="H472" i="32"/>
  <c r="H471" i="32"/>
  <c r="H470" i="32"/>
  <c r="H469" i="32"/>
  <c r="H468" i="32"/>
  <c r="H467" i="32"/>
  <c r="H466" i="32"/>
  <c r="H465" i="32"/>
  <c r="H464" i="32"/>
  <c r="H463" i="32"/>
  <c r="H462" i="32"/>
  <c r="H461" i="32"/>
  <c r="H460" i="32"/>
  <c r="H459" i="32"/>
  <c r="H458" i="32"/>
  <c r="H457" i="32"/>
  <c r="H456" i="32"/>
  <c r="H455" i="32"/>
  <c r="H454" i="32"/>
  <c r="H453" i="32"/>
  <c r="H452" i="32"/>
  <c r="H451" i="32"/>
  <c r="H450" i="32"/>
  <c r="H449" i="32"/>
  <c r="H448" i="32"/>
  <c r="H447" i="32"/>
  <c r="H446" i="32"/>
  <c r="H445" i="32"/>
  <c r="H444" i="32"/>
  <c r="H443" i="32"/>
  <c r="H442" i="32"/>
  <c r="H441" i="32"/>
  <c r="H440" i="32"/>
  <c r="H439" i="32"/>
  <c r="H438" i="32"/>
  <c r="H437" i="32"/>
  <c r="H436" i="32"/>
  <c r="H435" i="32"/>
  <c r="H434" i="32"/>
  <c r="H433" i="32"/>
  <c r="H432" i="32"/>
  <c r="H431" i="32"/>
  <c r="H430" i="32"/>
  <c r="H429" i="32"/>
  <c r="H428" i="32"/>
  <c r="H427" i="32"/>
  <c r="H426" i="32"/>
  <c r="H425" i="32"/>
  <c r="H424" i="32"/>
  <c r="H423" i="32"/>
  <c r="H422" i="32"/>
  <c r="H421" i="32"/>
  <c r="H420" i="32"/>
  <c r="H419" i="32"/>
  <c r="H418" i="32"/>
  <c r="H417" i="32"/>
  <c r="H416" i="32"/>
  <c r="H415" i="32"/>
  <c r="H414" i="32"/>
  <c r="H413" i="32"/>
  <c r="H412" i="32"/>
  <c r="H411" i="32"/>
  <c r="H410" i="32"/>
  <c r="H409" i="32"/>
  <c r="H408" i="32"/>
  <c r="H407" i="32"/>
  <c r="H406" i="32"/>
  <c r="H404" i="32"/>
  <c r="H403" i="32"/>
  <c r="H402" i="32"/>
  <c r="H401" i="32"/>
  <c r="H400" i="32"/>
  <c r="H399" i="32"/>
  <c r="H398" i="32"/>
  <c r="H397" i="32"/>
  <c r="H396" i="32"/>
  <c r="H395" i="32"/>
  <c r="H394" i="32"/>
  <c r="H393" i="32"/>
  <c r="H392" i="32"/>
  <c r="H391" i="32"/>
  <c r="H390" i="32"/>
  <c r="H389" i="32"/>
  <c r="H388" i="32"/>
  <c r="H387" i="32"/>
  <c r="H386" i="32"/>
  <c r="H385" i="32"/>
  <c r="H384" i="32"/>
  <c r="H383" i="32"/>
  <c r="H382" i="32"/>
  <c r="H381" i="32"/>
  <c r="H380" i="32"/>
  <c r="H379" i="32"/>
  <c r="H378" i="32"/>
  <c r="H377" i="32"/>
  <c r="H376" i="32"/>
  <c r="H375" i="32"/>
  <c r="H374" i="32"/>
  <c r="H373" i="32"/>
  <c r="H372" i="32"/>
  <c r="H371" i="32"/>
  <c r="H370" i="32"/>
  <c r="H369" i="32"/>
  <c r="H368" i="32"/>
  <c r="H367" i="32"/>
  <c r="H366" i="32"/>
  <c r="H365" i="32"/>
  <c r="H364" i="32"/>
  <c r="H363" i="32"/>
  <c r="H362" i="32"/>
  <c r="H361" i="32"/>
  <c r="H360" i="32"/>
  <c r="H359" i="32"/>
  <c r="H358" i="32"/>
  <c r="H357" i="32"/>
  <c r="H356" i="32"/>
  <c r="H355" i="32"/>
  <c r="H354" i="32"/>
  <c r="H353" i="32"/>
  <c r="H352" i="32"/>
  <c r="H351" i="32"/>
  <c r="H350" i="32"/>
  <c r="H349" i="32"/>
  <c r="H348" i="32"/>
  <c r="H347" i="32"/>
  <c r="H346" i="32"/>
  <c r="H345" i="32"/>
  <c r="H344" i="32"/>
  <c r="H343" i="32"/>
  <c r="H342" i="32"/>
  <c r="H341" i="32"/>
  <c r="H340" i="32"/>
  <c r="H339" i="32"/>
  <c r="H338" i="32"/>
  <c r="H337" i="32"/>
  <c r="H336" i="32"/>
  <c r="H335" i="32"/>
  <c r="H334" i="32"/>
  <c r="H333" i="32"/>
  <c r="H332" i="32"/>
  <c r="H331" i="32"/>
  <c r="H330" i="32"/>
  <c r="H329" i="32"/>
  <c r="H328" i="32"/>
  <c r="H327" i="32"/>
  <c r="H326" i="32"/>
  <c r="H325" i="32"/>
  <c r="H324" i="32"/>
  <c r="H323" i="32"/>
  <c r="H322" i="32"/>
  <c r="H321" i="32"/>
  <c r="H320" i="32"/>
  <c r="H319" i="32"/>
  <c r="H318" i="32"/>
  <c r="H317" i="32"/>
  <c r="H316" i="32"/>
  <c r="H314" i="32"/>
  <c r="H313" i="32"/>
  <c r="H312" i="32"/>
  <c r="H311" i="32"/>
  <c r="H310" i="32"/>
  <c r="H309" i="32"/>
  <c r="H308" i="32"/>
  <c r="H307" i="32"/>
  <c r="H306" i="32"/>
  <c r="H305" i="32"/>
  <c r="H304" i="32"/>
  <c r="H303" i="32"/>
  <c r="H302" i="32"/>
  <c r="H301" i="32"/>
  <c r="H300" i="32"/>
  <c r="H299" i="32"/>
  <c r="H298" i="32"/>
  <c r="H297" i="32"/>
  <c r="H296" i="32"/>
  <c r="H295" i="32"/>
  <c r="H294" i="32"/>
  <c r="H293" i="32"/>
  <c r="H292" i="32"/>
  <c r="H291" i="32"/>
  <c r="H290" i="32"/>
  <c r="H289" i="32"/>
  <c r="H288" i="32"/>
  <c r="H287" i="32"/>
  <c r="H286" i="32"/>
  <c r="H285" i="32"/>
  <c r="H284" i="32"/>
  <c r="H283" i="32"/>
  <c r="H282" i="32"/>
  <c r="H281" i="32"/>
  <c r="H280" i="32"/>
  <c r="H279" i="32"/>
  <c r="H278" i="32"/>
  <c r="H277" i="32"/>
  <c r="H276" i="32"/>
  <c r="H275" i="32"/>
  <c r="H274" i="32"/>
  <c r="H273" i="32"/>
  <c r="H272" i="32"/>
  <c r="H271" i="32"/>
  <c r="H270" i="32"/>
  <c r="H269" i="32"/>
  <c r="H268" i="32"/>
  <c r="H267" i="32"/>
  <c r="H266" i="32"/>
  <c r="H265" i="32"/>
  <c r="H264" i="32"/>
  <c r="H263" i="32"/>
  <c r="H262" i="32"/>
  <c r="H261" i="32"/>
  <c r="H260" i="32"/>
  <c r="H259" i="32"/>
  <c r="H258" i="32"/>
  <c r="H257" i="32"/>
  <c r="H256" i="32"/>
  <c r="H255" i="32"/>
  <c r="H254" i="32"/>
  <c r="H253" i="32"/>
  <c r="H252" i="32"/>
  <c r="H251" i="32"/>
  <c r="H250" i="32"/>
  <c r="H249" i="32"/>
  <c r="H248" i="32"/>
  <c r="H247" i="32"/>
  <c r="H246" i="32"/>
  <c r="H245" i="32"/>
  <c r="H244" i="32"/>
  <c r="H243" i="32"/>
  <c r="H242" i="32"/>
  <c r="H241" i="32"/>
  <c r="H240" i="32"/>
  <c r="H239" i="32"/>
  <c r="H238" i="32"/>
  <c r="H237" i="32"/>
  <c r="H236" i="32"/>
  <c r="H235" i="32"/>
  <c r="H234" i="32"/>
  <c r="H233" i="32"/>
  <c r="H232" i="32"/>
  <c r="H231" i="32"/>
  <c r="H230" i="32"/>
  <c r="H229" i="32"/>
  <c r="H228" i="32"/>
  <c r="H227" i="32"/>
  <c r="H226" i="32"/>
  <c r="H225" i="32"/>
  <c r="H224" i="32"/>
  <c r="H223" i="32"/>
  <c r="H222" i="32"/>
  <c r="H221" i="32"/>
  <c r="H220" i="32"/>
  <c r="H219" i="32"/>
  <c r="H218" i="32"/>
  <c r="H217" i="32"/>
  <c r="H216" i="32"/>
  <c r="H215" i="32"/>
  <c r="H214" i="32"/>
  <c r="H213" i="32"/>
  <c r="H212" i="32"/>
  <c r="H211" i="32"/>
  <c r="H210" i="32"/>
  <c r="H209" i="32"/>
  <c r="H208" i="32"/>
  <c r="H207" i="32"/>
  <c r="H206" i="32"/>
  <c r="H205" i="32"/>
  <c r="H204" i="32"/>
  <c r="H203" i="32"/>
  <c r="H202" i="32"/>
  <c r="H201" i="32"/>
  <c r="H200" i="32"/>
  <c r="H199" i="32"/>
  <c r="H198" i="32"/>
  <c r="H197" i="32"/>
  <c r="H196" i="32"/>
  <c r="H195" i="32"/>
  <c r="H194" i="32"/>
  <c r="H193" i="32"/>
  <c r="H192" i="32"/>
  <c r="H191" i="32"/>
  <c r="H190" i="32"/>
  <c r="H189" i="32"/>
  <c r="H188" i="32"/>
  <c r="H187" i="32"/>
  <c r="H186" i="32"/>
  <c r="H185" i="32"/>
  <c r="H184" i="32"/>
  <c r="H183" i="32"/>
  <c r="H182" i="32"/>
  <c r="H181" i="32"/>
  <c r="H180" i="32"/>
  <c r="H179" i="32"/>
  <c r="H178" i="32"/>
  <c r="H177" i="32"/>
  <c r="H176" i="32"/>
  <c r="H175" i="32"/>
  <c r="H174" i="32"/>
  <c r="H173" i="32"/>
  <c r="H172" i="32"/>
  <c r="H171" i="32"/>
  <c r="H170" i="32"/>
  <c r="H169" i="32"/>
  <c r="H168" i="32"/>
  <c r="H167" i="32"/>
  <c r="H166" i="32"/>
  <c r="H165" i="32"/>
  <c r="H164" i="32"/>
  <c r="H163" i="32"/>
  <c r="H162" i="32"/>
  <c r="H161" i="32"/>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H84" i="32"/>
  <c r="H83" i="32"/>
  <c r="H82" i="32"/>
  <c r="H81" i="32"/>
  <c r="H80" i="32"/>
  <c r="H79" i="32"/>
  <c r="H78" i="32"/>
  <c r="H77" i="32"/>
  <c r="H76" i="32"/>
  <c r="H75" i="32"/>
  <c r="H74" i="32"/>
  <c r="H73" i="32"/>
  <c r="H72" i="32"/>
  <c r="H71" i="32"/>
  <c r="H70" i="32"/>
  <c r="H69" i="32"/>
  <c r="H68" i="32"/>
  <c r="H67" i="32"/>
  <c r="H66" i="32"/>
  <c r="H65" i="32"/>
  <c r="H64" i="32"/>
  <c r="H63" i="32"/>
  <c r="H62" i="32"/>
  <c r="H61" i="32"/>
  <c r="H60" i="32"/>
  <c r="H59" i="32"/>
  <c r="H58" i="32"/>
  <c r="H57" i="32"/>
  <c r="H56" i="32"/>
  <c r="H55" i="32"/>
  <c r="H54"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M8" i="4"/>
  <c r="N1768" i="4"/>
  <c r="M1768" i="4"/>
  <c r="N1767" i="4"/>
  <c r="M1767" i="4"/>
  <c r="N1766" i="4"/>
  <c r="M1766" i="4"/>
  <c r="N1765" i="4"/>
  <c r="M1765" i="4"/>
  <c r="N1764" i="4"/>
  <c r="M1764" i="4"/>
  <c r="N1763" i="4"/>
  <c r="M1763" i="4"/>
  <c r="N1762" i="4"/>
  <c r="M1762" i="4"/>
  <c r="N1761" i="4"/>
  <c r="O1761" i="4" s="1"/>
  <c r="M1761" i="4"/>
  <c r="N1752" i="4"/>
  <c r="M1752" i="4"/>
  <c r="N1751" i="4"/>
  <c r="M1751" i="4"/>
  <c r="N1750" i="4"/>
  <c r="M1750" i="4"/>
  <c r="N1749" i="4"/>
  <c r="M1749" i="4"/>
  <c r="N1748" i="4"/>
  <c r="M1748" i="4"/>
  <c r="N1747" i="4"/>
  <c r="M1747" i="4"/>
  <c r="N1746" i="4"/>
  <c r="M1746" i="4"/>
  <c r="N1745" i="4"/>
  <c r="M1745" i="4"/>
  <c r="N1744" i="4"/>
  <c r="M1744" i="4"/>
  <c r="N1743" i="4"/>
  <c r="M1743" i="4"/>
  <c r="N1742" i="4"/>
  <c r="M1742" i="4"/>
  <c r="N1741" i="4"/>
  <c r="M1741" i="4"/>
  <c r="N1738" i="4"/>
  <c r="M1738" i="4"/>
  <c r="N1737" i="4"/>
  <c r="M1737" i="4"/>
  <c r="N1736" i="4"/>
  <c r="M1736" i="4"/>
  <c r="N1735" i="4"/>
  <c r="M1735" i="4"/>
  <c r="N1734" i="4"/>
  <c r="M1734" i="4"/>
  <c r="N1733" i="4"/>
  <c r="M1733" i="4"/>
  <c r="N1732" i="4"/>
  <c r="M1732" i="4"/>
  <c r="N1731" i="4"/>
  <c r="M1731" i="4"/>
  <c r="N1730" i="4"/>
  <c r="M1730" i="4"/>
  <c r="N1729" i="4"/>
  <c r="M1729" i="4"/>
  <c r="N1728" i="4"/>
  <c r="M1728" i="4"/>
  <c r="N1727" i="4"/>
  <c r="M1727" i="4"/>
  <c r="N1726" i="4"/>
  <c r="M1726" i="4"/>
  <c r="N1725" i="4"/>
  <c r="M1725" i="4"/>
  <c r="N1724" i="4"/>
  <c r="M1724" i="4"/>
  <c r="N1723" i="4"/>
  <c r="M1723" i="4"/>
  <c r="N1722" i="4"/>
  <c r="M1722" i="4"/>
  <c r="N1721" i="4"/>
  <c r="M1721" i="4"/>
  <c r="N1720" i="4"/>
  <c r="M1720" i="4"/>
  <c r="N1719" i="4"/>
  <c r="M1719" i="4"/>
  <c r="N1718" i="4"/>
  <c r="M1718" i="4"/>
  <c r="N1717" i="4"/>
  <c r="M1717" i="4"/>
  <c r="N1716" i="4"/>
  <c r="M1716" i="4"/>
  <c r="N1715" i="4"/>
  <c r="M1715" i="4"/>
  <c r="N1714" i="4"/>
  <c r="M1714" i="4"/>
  <c r="N1713" i="4"/>
  <c r="M1713" i="4"/>
  <c r="N1712" i="4"/>
  <c r="M1712" i="4"/>
  <c r="N1711" i="4"/>
  <c r="M1711" i="4"/>
  <c r="N1710" i="4"/>
  <c r="M1710" i="4"/>
  <c r="N1709" i="4"/>
  <c r="M1709" i="4"/>
  <c r="N1708" i="4"/>
  <c r="M1708" i="4"/>
  <c r="N1707" i="4"/>
  <c r="M1707" i="4"/>
  <c r="N1706" i="4"/>
  <c r="M1706" i="4"/>
  <c r="N1705" i="4"/>
  <c r="M1705" i="4"/>
  <c r="N1704" i="4"/>
  <c r="M1704" i="4"/>
  <c r="N1703" i="4"/>
  <c r="M1703" i="4"/>
  <c r="N1702" i="4"/>
  <c r="M1702" i="4"/>
  <c r="N1701" i="4"/>
  <c r="M1701" i="4"/>
  <c r="N1700" i="4"/>
  <c r="M1700" i="4"/>
  <c r="N1699" i="4"/>
  <c r="M1699" i="4"/>
  <c r="N1698" i="4"/>
  <c r="M1698" i="4"/>
  <c r="N1697" i="4"/>
  <c r="M1697" i="4"/>
  <c r="N1696" i="4"/>
  <c r="M1696" i="4"/>
  <c r="N1695" i="4"/>
  <c r="M1695" i="4"/>
  <c r="N1694" i="4"/>
  <c r="M1694" i="4"/>
  <c r="N1693" i="4"/>
  <c r="M1693" i="4"/>
  <c r="N1692" i="4"/>
  <c r="M1692" i="4"/>
  <c r="N1691" i="4"/>
  <c r="M1691" i="4"/>
  <c r="N1690" i="4"/>
  <c r="M1690" i="4"/>
  <c r="N1689" i="4"/>
  <c r="M1689" i="4"/>
  <c r="N1688" i="4"/>
  <c r="M1688" i="4"/>
  <c r="N1687" i="4"/>
  <c r="M1687" i="4"/>
  <c r="N1686" i="4"/>
  <c r="M1686" i="4"/>
  <c r="N1685" i="4"/>
  <c r="M1685" i="4"/>
  <c r="N1684" i="4"/>
  <c r="M1684" i="4"/>
  <c r="N1683" i="4"/>
  <c r="M1683" i="4"/>
  <c r="N1682" i="4"/>
  <c r="M1682" i="4"/>
  <c r="N1681" i="4"/>
  <c r="M1681" i="4"/>
  <c r="N1680" i="4"/>
  <c r="M1680" i="4"/>
  <c r="N1679" i="4"/>
  <c r="M1679" i="4"/>
  <c r="N1678" i="4"/>
  <c r="M1678" i="4"/>
  <c r="N1677" i="4"/>
  <c r="M1677" i="4"/>
  <c r="N1676" i="4"/>
  <c r="M1676" i="4"/>
  <c r="N1675" i="4"/>
  <c r="M1675" i="4"/>
  <c r="N1674" i="4"/>
  <c r="M1674" i="4"/>
  <c r="N1673" i="4"/>
  <c r="M1673" i="4"/>
  <c r="N1672" i="4"/>
  <c r="M1672" i="4"/>
  <c r="N1671" i="4"/>
  <c r="M1671" i="4"/>
  <c r="N1670" i="4"/>
  <c r="M1670" i="4"/>
  <c r="N1669" i="4"/>
  <c r="M1669" i="4"/>
  <c r="N1668" i="4"/>
  <c r="M1668" i="4"/>
  <c r="N1667" i="4"/>
  <c r="M1667" i="4"/>
  <c r="N1666" i="4"/>
  <c r="M1666" i="4"/>
  <c r="N1665" i="4"/>
  <c r="M1665" i="4"/>
  <c r="N1664" i="4"/>
  <c r="M1664" i="4"/>
  <c r="N1663" i="4"/>
  <c r="M1663" i="4"/>
  <c r="N1662" i="4"/>
  <c r="M1662" i="4"/>
  <c r="N1661" i="4"/>
  <c r="M1661" i="4"/>
  <c r="N1660" i="4"/>
  <c r="M1660" i="4"/>
  <c r="N1659" i="4"/>
  <c r="M1659" i="4"/>
  <c r="N1658" i="4"/>
  <c r="M1658" i="4"/>
  <c r="N1657" i="4"/>
  <c r="M1657" i="4"/>
  <c r="N1656" i="4"/>
  <c r="M1656" i="4"/>
  <c r="N1655" i="4"/>
  <c r="M1655" i="4"/>
  <c r="N1654" i="4"/>
  <c r="M1654" i="4"/>
  <c r="N1653" i="4"/>
  <c r="M1653" i="4"/>
  <c r="N1652" i="4"/>
  <c r="M1652" i="4"/>
  <c r="N1651" i="4"/>
  <c r="M1651" i="4"/>
  <c r="N1650" i="4"/>
  <c r="M1650" i="4"/>
  <c r="N1649" i="4"/>
  <c r="M1649" i="4"/>
  <c r="N1648" i="4"/>
  <c r="M1648" i="4"/>
  <c r="N1647" i="4"/>
  <c r="M1647" i="4"/>
  <c r="N1646" i="4"/>
  <c r="M1646" i="4"/>
  <c r="N1645" i="4"/>
  <c r="M1645" i="4"/>
  <c r="N1644" i="4"/>
  <c r="M1644" i="4"/>
  <c r="N1643" i="4"/>
  <c r="M1643" i="4"/>
  <c r="N1642" i="4"/>
  <c r="M1642" i="4"/>
  <c r="N1641" i="4"/>
  <c r="M1641" i="4"/>
  <c r="N1632" i="4"/>
  <c r="M1632" i="4"/>
  <c r="N1631" i="4"/>
  <c r="M1631" i="4"/>
  <c r="N1630" i="4"/>
  <c r="M1630" i="4"/>
  <c r="N1629" i="4"/>
  <c r="M1629" i="4"/>
  <c r="N1628" i="4"/>
  <c r="M1628" i="4"/>
  <c r="N1627" i="4"/>
  <c r="M1627" i="4"/>
  <c r="N1626" i="4"/>
  <c r="M1626" i="4"/>
  <c r="N1625" i="4"/>
  <c r="M1625" i="4"/>
  <c r="N1624" i="4"/>
  <c r="M1624" i="4"/>
  <c r="N1623" i="4"/>
  <c r="M1623" i="4"/>
  <c r="N1622" i="4"/>
  <c r="M1622" i="4"/>
  <c r="N1621" i="4"/>
  <c r="M1621" i="4"/>
  <c r="N1618" i="4"/>
  <c r="M1618" i="4"/>
  <c r="N1617" i="4"/>
  <c r="M1617" i="4"/>
  <c r="N1616" i="4"/>
  <c r="M1616" i="4"/>
  <c r="N1615" i="4"/>
  <c r="M1615" i="4"/>
  <c r="N1614" i="4"/>
  <c r="M1614" i="4"/>
  <c r="N1613" i="4"/>
  <c r="M1613" i="4"/>
  <c r="N1612" i="4"/>
  <c r="M1612" i="4"/>
  <c r="N1611" i="4"/>
  <c r="M1611" i="4"/>
  <c r="N1610" i="4"/>
  <c r="M1610" i="4"/>
  <c r="N1609" i="4"/>
  <c r="M1609" i="4"/>
  <c r="N1608" i="4"/>
  <c r="M1608" i="4"/>
  <c r="N1607" i="4"/>
  <c r="M1607" i="4"/>
  <c r="N1606" i="4"/>
  <c r="M1606" i="4"/>
  <c r="N1605" i="4"/>
  <c r="M1605" i="4"/>
  <c r="N1604" i="4"/>
  <c r="M1604" i="4"/>
  <c r="N1603" i="4"/>
  <c r="M1603" i="4"/>
  <c r="N1602" i="4"/>
  <c r="M1602" i="4"/>
  <c r="N1601" i="4"/>
  <c r="M1601" i="4"/>
  <c r="N1600" i="4"/>
  <c r="M1600" i="4"/>
  <c r="N1599" i="4"/>
  <c r="M1599" i="4"/>
  <c r="N1598" i="4"/>
  <c r="M1598" i="4"/>
  <c r="N1597" i="4"/>
  <c r="M1597" i="4"/>
  <c r="N1596" i="4"/>
  <c r="M1596" i="4"/>
  <c r="N1595" i="4"/>
  <c r="M1595" i="4"/>
  <c r="N1594" i="4"/>
  <c r="M1594" i="4"/>
  <c r="N1593" i="4"/>
  <c r="M1593" i="4"/>
  <c r="N1592" i="4"/>
  <c r="M1592" i="4"/>
  <c r="N1591" i="4"/>
  <c r="M1591" i="4"/>
  <c r="N1590" i="4"/>
  <c r="M1590" i="4"/>
  <c r="N1589" i="4"/>
  <c r="M1589" i="4"/>
  <c r="N1588" i="4"/>
  <c r="M1588" i="4"/>
  <c r="N1587" i="4"/>
  <c r="M1587" i="4"/>
  <c r="N1586" i="4"/>
  <c r="M1586" i="4"/>
  <c r="N1585" i="4"/>
  <c r="M1585" i="4"/>
  <c r="N1584" i="4"/>
  <c r="M1584" i="4"/>
  <c r="N1583" i="4"/>
  <c r="M1583" i="4"/>
  <c r="N1582" i="4"/>
  <c r="M1582" i="4"/>
  <c r="N1581" i="4"/>
  <c r="M1581" i="4"/>
  <c r="N1580" i="4"/>
  <c r="M1580" i="4"/>
  <c r="N1579" i="4"/>
  <c r="M1579" i="4"/>
  <c r="N1578" i="4"/>
  <c r="M1578" i="4"/>
  <c r="N1577" i="4"/>
  <c r="M1577" i="4"/>
  <c r="N1576" i="4"/>
  <c r="M1576" i="4"/>
  <c r="N1575" i="4"/>
  <c r="M1575" i="4"/>
  <c r="N1574" i="4"/>
  <c r="M1574" i="4"/>
  <c r="N1573" i="4"/>
  <c r="M1573" i="4"/>
  <c r="N1572" i="4"/>
  <c r="M1572" i="4"/>
  <c r="N1571" i="4"/>
  <c r="M1571" i="4"/>
  <c r="N1570" i="4"/>
  <c r="M1570" i="4"/>
  <c r="N1569" i="4"/>
  <c r="M1569" i="4"/>
  <c r="N1568" i="4"/>
  <c r="M1568" i="4"/>
  <c r="N1567" i="4"/>
  <c r="M1567" i="4"/>
  <c r="N1566" i="4"/>
  <c r="M1566" i="4"/>
  <c r="N1565" i="4"/>
  <c r="M1565" i="4"/>
  <c r="N1564" i="4"/>
  <c r="M1564" i="4"/>
  <c r="N1563" i="4"/>
  <c r="M1563" i="4"/>
  <c r="N1562" i="4"/>
  <c r="M1562" i="4"/>
  <c r="N1561" i="4"/>
  <c r="M1561" i="4"/>
  <c r="N1560" i="4"/>
  <c r="M1560" i="4"/>
  <c r="N1559" i="4"/>
  <c r="M1559" i="4"/>
  <c r="N1558" i="4"/>
  <c r="M1558" i="4"/>
  <c r="N1557" i="4"/>
  <c r="M1557" i="4"/>
  <c r="N1556" i="4"/>
  <c r="M1556" i="4"/>
  <c r="N1555" i="4"/>
  <c r="M1555" i="4"/>
  <c r="N1554" i="4"/>
  <c r="M1554" i="4"/>
  <c r="N1553" i="4"/>
  <c r="M1553" i="4"/>
  <c r="N1552" i="4"/>
  <c r="M1552" i="4"/>
  <c r="N1551" i="4"/>
  <c r="M1551" i="4"/>
  <c r="N1550" i="4"/>
  <c r="M1550" i="4"/>
  <c r="N1549" i="4"/>
  <c r="M1549" i="4"/>
  <c r="N1548" i="4"/>
  <c r="M1548" i="4"/>
  <c r="N1547" i="4"/>
  <c r="M1547" i="4"/>
  <c r="N1546" i="4"/>
  <c r="M1546" i="4"/>
  <c r="N1545" i="4"/>
  <c r="M1545" i="4"/>
  <c r="N1544" i="4"/>
  <c r="M1544" i="4"/>
  <c r="N1543" i="4"/>
  <c r="M1543" i="4"/>
  <c r="N1542" i="4"/>
  <c r="M1542" i="4"/>
  <c r="N1541" i="4"/>
  <c r="M1541" i="4"/>
  <c r="N1540" i="4"/>
  <c r="M1540" i="4"/>
  <c r="N1539" i="4"/>
  <c r="M1539" i="4"/>
  <c r="N1538" i="4"/>
  <c r="M1538" i="4"/>
  <c r="N1537" i="4"/>
  <c r="M1537" i="4"/>
  <c r="N1536" i="4"/>
  <c r="M1536" i="4"/>
  <c r="N1535" i="4"/>
  <c r="M1535" i="4"/>
  <c r="N1534" i="4"/>
  <c r="M1534" i="4"/>
  <c r="N1533" i="4"/>
  <c r="M1533" i="4"/>
  <c r="N1532" i="4"/>
  <c r="M1532" i="4"/>
  <c r="N1531" i="4"/>
  <c r="M1531" i="4"/>
  <c r="N1530" i="4"/>
  <c r="M1530" i="4"/>
  <c r="N1529" i="4"/>
  <c r="M1529" i="4"/>
  <c r="N1528" i="4"/>
  <c r="M1528" i="4"/>
  <c r="N1527" i="4"/>
  <c r="M1527" i="4"/>
  <c r="N1526" i="4"/>
  <c r="M1526" i="4"/>
  <c r="N1525" i="4"/>
  <c r="M1525" i="4"/>
  <c r="N1524" i="4"/>
  <c r="M1524" i="4"/>
  <c r="N1523" i="4"/>
  <c r="M1523" i="4"/>
  <c r="N1522" i="4"/>
  <c r="M1522" i="4"/>
  <c r="N1521" i="4"/>
  <c r="M1521" i="4"/>
  <c r="N1520" i="4"/>
  <c r="M1520" i="4"/>
  <c r="N1519" i="4"/>
  <c r="O1519" i="4" s="1"/>
  <c r="M1519" i="4"/>
  <c r="M1515" i="4"/>
  <c r="M1514" i="4"/>
  <c r="M1513" i="4"/>
  <c r="M1512" i="4"/>
  <c r="M1511" i="4"/>
  <c r="M1510" i="4"/>
  <c r="M1509" i="4"/>
  <c r="M1508" i="4"/>
  <c r="M1507" i="4"/>
  <c r="M1506" i="4"/>
  <c r="M1505" i="4"/>
  <c r="M1504" i="4"/>
  <c r="M1503" i="4"/>
  <c r="M1502" i="4"/>
  <c r="M1501" i="4"/>
  <c r="M1500" i="4"/>
  <c r="M1499" i="4"/>
  <c r="M1498" i="4"/>
  <c r="M1497" i="4"/>
  <c r="M1496" i="4"/>
  <c r="M1495" i="4"/>
  <c r="M1494" i="4"/>
  <c r="M1493" i="4"/>
  <c r="M1492" i="4"/>
  <c r="M1491" i="4"/>
  <c r="M1490" i="4"/>
  <c r="M1489" i="4"/>
  <c r="M1488" i="4"/>
  <c r="M1487" i="4"/>
  <c r="M1486" i="4"/>
  <c r="M1485" i="4"/>
  <c r="M1484" i="4"/>
  <c r="M1483" i="4"/>
  <c r="M1482" i="4"/>
  <c r="M1481" i="4"/>
  <c r="M1480" i="4"/>
  <c r="M1479" i="4"/>
  <c r="M1478" i="4"/>
  <c r="M1477" i="4"/>
  <c r="M1476" i="4"/>
  <c r="M1475" i="4"/>
  <c r="M1474" i="4"/>
  <c r="M1473" i="4"/>
  <c r="M1472" i="4"/>
  <c r="M1471" i="4"/>
  <c r="M1470" i="4"/>
  <c r="M1469" i="4"/>
  <c r="M1468" i="4"/>
  <c r="M1467" i="4"/>
  <c r="M1466" i="4"/>
  <c r="M1465" i="4"/>
  <c r="M1464" i="4"/>
  <c r="M1463" i="4"/>
  <c r="M1462" i="4"/>
  <c r="M1461" i="4"/>
  <c r="M1460" i="4"/>
  <c r="M1459" i="4"/>
  <c r="M1458" i="4"/>
  <c r="M1457" i="4"/>
  <c r="M1456" i="4"/>
  <c r="M1455" i="4"/>
  <c r="M1454" i="4"/>
  <c r="M1453" i="4"/>
  <c r="M1452" i="4"/>
  <c r="M1451" i="4"/>
  <c r="M1450" i="4"/>
  <c r="M1449" i="4"/>
  <c r="M1448" i="4"/>
  <c r="M1447" i="4"/>
  <c r="M1446" i="4"/>
  <c r="M1445" i="4"/>
  <c r="M1444" i="4"/>
  <c r="M1443" i="4"/>
  <c r="M1442" i="4"/>
  <c r="M1441" i="4"/>
  <c r="M1440" i="4"/>
  <c r="M1439" i="4"/>
  <c r="M1438" i="4"/>
  <c r="M1437" i="4"/>
  <c r="M1436" i="4"/>
  <c r="M1435" i="4"/>
  <c r="M1434" i="4"/>
  <c r="M1433" i="4"/>
  <c r="M1432" i="4"/>
  <c r="M1431" i="4"/>
  <c r="M1430" i="4"/>
  <c r="M1429" i="4"/>
  <c r="M1428" i="4"/>
  <c r="M1427" i="4"/>
  <c r="M1426" i="4"/>
  <c r="M1425" i="4"/>
  <c r="M1424" i="4"/>
  <c r="M1423" i="4"/>
  <c r="M1422" i="4"/>
  <c r="M1421" i="4"/>
  <c r="M1420" i="4"/>
  <c r="M1419" i="4"/>
  <c r="M1418" i="4"/>
  <c r="M1417" i="4"/>
  <c r="M1416" i="4"/>
  <c r="M1415" i="4"/>
  <c r="M1414" i="4"/>
  <c r="M1413" i="4"/>
  <c r="M1412" i="4"/>
  <c r="M1411" i="4"/>
  <c r="M1410" i="4"/>
  <c r="M1409" i="4"/>
  <c r="M1408" i="4"/>
  <c r="M1407" i="4"/>
  <c r="M1406" i="4"/>
  <c r="M1405" i="4"/>
  <c r="M1404" i="4"/>
  <c r="M1403" i="4"/>
  <c r="M1402" i="4"/>
  <c r="M1401" i="4"/>
  <c r="M1400" i="4"/>
  <c r="M1399" i="4"/>
  <c r="M1398" i="4"/>
  <c r="M1397" i="4"/>
  <c r="M1396" i="4"/>
  <c r="M1395" i="4"/>
  <c r="M1394" i="4"/>
  <c r="M1393" i="4"/>
  <c r="M1392" i="4"/>
  <c r="M1391" i="4"/>
  <c r="M1390" i="4"/>
  <c r="M1389" i="4"/>
  <c r="M1388" i="4"/>
  <c r="M1387" i="4"/>
  <c r="M1386" i="4"/>
  <c r="M1385" i="4"/>
  <c r="M1384" i="4"/>
  <c r="M1383" i="4"/>
  <c r="M1382" i="4"/>
  <c r="M1380" i="4"/>
  <c r="M1379" i="4"/>
  <c r="M1378" i="4"/>
  <c r="M1377" i="4"/>
  <c r="M1376" i="4"/>
  <c r="M1375" i="4"/>
  <c r="M1374" i="4"/>
  <c r="M1373" i="4"/>
  <c r="M1371" i="4"/>
  <c r="M1370" i="4"/>
  <c r="M1369" i="4"/>
  <c r="M1368" i="4"/>
  <c r="M1366" i="4"/>
  <c r="M1365" i="4"/>
  <c r="M1364" i="4"/>
  <c r="M1363" i="4"/>
  <c r="M1362" i="4"/>
  <c r="M1361" i="4"/>
  <c r="M1360" i="4"/>
  <c r="M1359" i="4"/>
  <c r="M1358" i="4"/>
  <c r="M1357" i="4"/>
  <c r="M1356" i="4"/>
  <c r="M1355" i="4"/>
  <c r="M1354" i="4"/>
  <c r="M1353" i="4"/>
  <c r="M1352" i="4"/>
  <c r="M1351" i="4"/>
  <c r="M1350" i="4"/>
  <c r="M1349" i="4"/>
  <c r="M1348" i="4"/>
  <c r="M1347" i="4"/>
  <c r="M1346" i="4"/>
  <c r="M1345" i="4"/>
  <c r="M1344" i="4"/>
  <c r="M1343" i="4"/>
  <c r="M1342" i="4"/>
  <c r="M1341" i="4"/>
  <c r="M1340" i="4"/>
  <c r="M1339" i="4"/>
  <c r="M1338" i="4"/>
  <c r="M1337" i="4"/>
  <c r="M1336" i="4"/>
  <c r="M1335" i="4"/>
  <c r="M1334" i="4"/>
  <c r="M1333" i="4"/>
  <c r="M1332" i="4"/>
  <c r="M1331" i="4"/>
  <c r="M1330" i="4"/>
  <c r="M1329" i="4"/>
  <c r="M1328" i="4"/>
  <c r="M1327" i="4"/>
  <c r="M1326" i="4"/>
  <c r="M1325" i="4"/>
  <c r="M1324" i="4"/>
  <c r="M1323" i="4"/>
  <c r="M1322" i="4"/>
  <c r="M1321" i="4"/>
  <c r="M1320" i="4"/>
  <c r="M1319" i="4"/>
  <c r="M1318" i="4"/>
  <c r="M1317" i="4"/>
  <c r="M1316" i="4"/>
  <c r="M1315" i="4"/>
  <c r="M1314" i="4"/>
  <c r="M1313" i="4"/>
  <c r="M1312" i="4"/>
  <c r="M1311" i="4"/>
  <c r="M1310" i="4"/>
  <c r="M1309" i="4"/>
  <c r="M1306" i="4"/>
  <c r="M1305" i="4"/>
  <c r="M1303" i="4"/>
  <c r="M1300" i="4"/>
  <c r="M1299" i="4"/>
  <c r="M1298" i="4"/>
  <c r="M1297" i="4"/>
  <c r="M1296" i="4"/>
  <c r="M1295" i="4"/>
  <c r="M1294" i="4"/>
  <c r="M1293" i="4"/>
  <c r="M1292" i="4"/>
  <c r="M1290" i="4"/>
  <c r="M1289" i="4"/>
  <c r="M1288" i="4"/>
  <c r="M1287" i="4"/>
  <c r="M1286" i="4"/>
  <c r="M1285" i="4"/>
  <c r="M1284" i="4"/>
  <c r="M1283" i="4"/>
  <c r="M1282" i="4"/>
  <c r="M1281" i="4"/>
  <c r="M1280" i="4"/>
  <c r="M1279" i="4"/>
  <c r="M1278" i="4"/>
  <c r="M1277" i="4"/>
  <c r="M1276" i="4"/>
  <c r="M1275" i="4"/>
  <c r="M1274" i="4"/>
  <c r="M1273" i="4"/>
  <c r="M1272" i="4"/>
  <c r="M1271" i="4"/>
  <c r="M1270" i="4"/>
  <c r="M1269" i="4"/>
  <c r="M1268" i="4"/>
  <c r="M1267" i="4"/>
  <c r="M1266" i="4"/>
  <c r="M1265" i="4"/>
  <c r="M1264" i="4"/>
  <c r="M1263" i="4"/>
  <c r="M1262" i="4"/>
  <c r="M1261" i="4"/>
  <c r="M1260" i="4"/>
  <c r="M1254" i="4"/>
  <c r="M1253" i="4"/>
  <c r="M1252" i="4"/>
  <c r="M1251" i="4"/>
  <c r="M1250" i="4"/>
  <c r="M1249" i="4"/>
  <c r="M1248" i="4"/>
  <c r="M1247" i="4"/>
  <c r="M1246" i="4"/>
  <c r="M1245" i="4"/>
  <c r="M1244" i="4"/>
  <c r="M1243" i="4"/>
  <c r="M1242" i="4"/>
  <c r="M1241" i="4"/>
  <c r="M1240" i="4"/>
  <c r="M1239" i="4"/>
  <c r="M1238" i="4"/>
  <c r="M1237" i="4"/>
  <c r="M1236" i="4"/>
  <c r="M1235" i="4"/>
  <c r="M1234" i="4"/>
  <c r="M1233" i="4"/>
  <c r="M1232" i="4"/>
  <c r="M1231" i="4"/>
  <c r="M1230" i="4"/>
  <c r="M1229" i="4"/>
  <c r="M1228" i="4"/>
  <c r="M1227" i="4"/>
  <c r="M1226" i="4"/>
  <c r="M1225" i="4"/>
  <c r="M1224" i="4"/>
  <c r="N1223" i="4"/>
  <c r="O1223" i="4" s="1"/>
  <c r="M1223" i="4"/>
  <c r="N1222" i="4"/>
  <c r="M1222" i="4"/>
  <c r="N1221" i="4"/>
  <c r="M1221" i="4"/>
  <c r="N1220" i="4"/>
  <c r="M1220" i="4"/>
  <c r="N1219" i="4"/>
  <c r="M1219" i="4"/>
  <c r="N1218" i="4"/>
  <c r="M1218" i="4"/>
  <c r="N1217" i="4"/>
  <c r="M1217" i="4"/>
  <c r="N1216" i="4"/>
  <c r="M1216" i="4"/>
  <c r="N1215" i="4"/>
  <c r="M1215" i="4"/>
  <c r="N1214" i="4"/>
  <c r="M1214" i="4"/>
  <c r="N1213" i="4"/>
  <c r="M1213" i="4"/>
  <c r="N1212" i="4"/>
  <c r="M1212" i="4"/>
  <c r="N1211" i="4"/>
  <c r="M1211" i="4"/>
  <c r="N1210" i="4"/>
  <c r="M1210" i="4"/>
  <c r="N1209" i="4"/>
  <c r="M1209" i="4"/>
  <c r="N1208" i="4"/>
  <c r="M1208" i="4"/>
  <c r="N1207" i="4"/>
  <c r="M1207" i="4"/>
  <c r="N1206" i="4"/>
  <c r="M1206" i="4"/>
  <c r="N1205" i="4"/>
  <c r="M1205" i="4"/>
  <c r="N1204" i="4"/>
  <c r="M1204" i="4"/>
  <c r="N1203" i="4"/>
  <c r="M1203" i="4"/>
  <c r="N1202" i="4"/>
  <c r="M1202" i="4"/>
  <c r="N1201" i="4"/>
  <c r="M1201" i="4"/>
  <c r="N1200" i="4"/>
  <c r="M1200" i="4"/>
  <c r="N1199" i="4"/>
  <c r="M1199" i="4"/>
  <c r="N1198" i="4"/>
  <c r="M1198" i="4"/>
  <c r="N1197" i="4"/>
  <c r="M1197" i="4"/>
  <c r="N1196" i="4"/>
  <c r="M1196" i="4"/>
  <c r="N1195" i="4"/>
  <c r="M1195" i="4"/>
  <c r="N1194" i="4"/>
  <c r="M1194" i="4"/>
  <c r="N1193" i="4"/>
  <c r="M1193" i="4"/>
  <c r="N1192" i="4"/>
  <c r="M1192" i="4"/>
  <c r="N1191" i="4"/>
  <c r="M1191" i="4"/>
  <c r="N1190" i="4"/>
  <c r="M1190" i="4"/>
  <c r="N1188" i="4"/>
  <c r="M1188" i="4"/>
  <c r="N1187" i="4"/>
  <c r="M1187" i="4"/>
  <c r="N1186" i="4"/>
  <c r="M1186" i="4"/>
  <c r="N1185" i="4"/>
  <c r="M1185" i="4"/>
  <c r="N1184" i="4"/>
  <c r="M1184" i="4"/>
  <c r="N1183" i="4"/>
  <c r="M1183" i="4"/>
  <c r="N1181" i="4"/>
  <c r="M1181" i="4"/>
  <c r="N1180" i="4"/>
  <c r="M1180" i="4"/>
  <c r="N1179" i="4"/>
  <c r="M1179" i="4"/>
  <c r="N1178" i="4"/>
  <c r="M1178" i="4"/>
  <c r="N1177" i="4"/>
  <c r="M1177" i="4"/>
  <c r="N1176" i="4"/>
  <c r="M1176" i="4"/>
  <c r="N1175" i="4"/>
  <c r="M1175" i="4"/>
  <c r="N1174" i="4"/>
  <c r="M1174" i="4"/>
  <c r="N1173" i="4"/>
  <c r="M1173" i="4"/>
  <c r="N1172" i="4"/>
  <c r="M1172" i="4"/>
  <c r="N1171" i="4"/>
  <c r="M1171" i="4"/>
  <c r="N1170" i="4"/>
  <c r="M1170" i="4"/>
  <c r="N1169" i="4"/>
  <c r="M1169" i="4"/>
  <c r="N1168" i="4"/>
  <c r="M1168" i="4"/>
  <c r="N1167" i="4"/>
  <c r="M1167" i="4"/>
  <c r="N1166" i="4"/>
  <c r="M1166" i="4"/>
  <c r="N1165" i="4"/>
  <c r="M1165" i="4"/>
  <c r="N1164" i="4"/>
  <c r="M1164" i="4"/>
  <c r="N1163" i="4"/>
  <c r="M1163" i="4"/>
  <c r="N1162" i="4"/>
  <c r="M1162" i="4"/>
  <c r="N1161" i="4"/>
  <c r="M1161" i="4"/>
  <c r="N1160" i="4"/>
  <c r="M1160" i="4"/>
  <c r="N1159" i="4"/>
  <c r="M1159" i="4"/>
  <c r="N1158" i="4"/>
  <c r="M1158" i="4"/>
  <c r="N1157" i="4"/>
  <c r="M1157" i="4"/>
  <c r="N1156" i="4"/>
  <c r="M1156" i="4"/>
  <c r="N1155" i="4"/>
  <c r="M1155" i="4"/>
  <c r="N1154" i="4"/>
  <c r="M1154" i="4"/>
  <c r="N1153" i="4"/>
  <c r="M1153" i="4"/>
  <c r="N1152" i="4"/>
  <c r="M1152" i="4"/>
  <c r="N1151" i="4"/>
  <c r="M1151" i="4"/>
  <c r="N1150" i="4"/>
  <c r="M1150" i="4"/>
  <c r="N1149" i="4"/>
  <c r="M1149" i="4"/>
  <c r="N1148" i="4"/>
  <c r="M1148" i="4"/>
  <c r="N1147" i="4"/>
  <c r="M1147" i="4"/>
  <c r="N1146" i="4"/>
  <c r="M1146" i="4"/>
  <c r="N1145" i="4"/>
  <c r="M1145" i="4"/>
  <c r="N1144" i="4"/>
  <c r="M1144" i="4"/>
  <c r="N1143" i="4"/>
  <c r="M1143" i="4"/>
  <c r="N1140" i="4"/>
  <c r="M1140" i="4"/>
  <c r="N1139" i="4"/>
  <c r="M1139" i="4"/>
  <c r="N1138" i="4"/>
  <c r="M1138" i="4"/>
  <c r="N1137" i="4"/>
  <c r="M1137" i="4"/>
  <c r="N1136" i="4"/>
  <c r="M1136" i="4"/>
  <c r="N1135" i="4"/>
  <c r="M1135" i="4"/>
  <c r="N1134" i="4"/>
  <c r="M1134" i="4"/>
  <c r="N1133" i="4"/>
  <c r="M1133" i="4"/>
  <c r="N1132" i="4"/>
  <c r="M1132" i="4"/>
  <c r="N1131" i="4"/>
  <c r="M1131" i="4"/>
  <c r="N1130" i="4"/>
  <c r="M1130" i="4"/>
  <c r="N1129" i="4"/>
  <c r="M1129" i="4"/>
  <c r="N1122" i="4"/>
  <c r="M1122" i="4"/>
  <c r="N1121" i="4"/>
  <c r="M1121" i="4"/>
  <c r="N1120" i="4"/>
  <c r="M1120" i="4"/>
  <c r="N1119" i="4"/>
  <c r="M1119" i="4"/>
  <c r="N1118" i="4"/>
  <c r="M1118" i="4"/>
  <c r="N1117" i="4"/>
  <c r="M1117" i="4"/>
  <c r="N1116" i="4"/>
  <c r="M1116" i="4"/>
  <c r="N1115" i="4"/>
  <c r="M1115" i="4"/>
  <c r="N1114" i="4"/>
  <c r="M1114" i="4"/>
  <c r="N1113" i="4"/>
  <c r="M1113" i="4"/>
  <c r="N1112" i="4"/>
  <c r="M1112" i="4"/>
  <c r="N1111" i="4"/>
  <c r="M1111" i="4"/>
  <c r="N1110" i="4"/>
  <c r="M1110" i="4"/>
  <c r="N1109" i="4"/>
  <c r="M1109" i="4"/>
  <c r="N1108" i="4"/>
  <c r="M1108" i="4"/>
  <c r="N1107" i="4"/>
  <c r="M1107" i="4"/>
  <c r="N1106" i="4"/>
  <c r="M1106" i="4"/>
  <c r="N1105" i="4"/>
  <c r="M1105" i="4"/>
  <c r="N1102" i="4"/>
  <c r="M1102" i="4"/>
  <c r="N1101" i="4"/>
  <c r="M1101" i="4"/>
  <c r="N1100" i="4"/>
  <c r="M1100" i="4"/>
  <c r="N1099" i="4"/>
  <c r="M1099" i="4"/>
  <c r="N1098" i="4"/>
  <c r="M1098" i="4"/>
  <c r="N1097" i="4"/>
  <c r="M1097" i="4"/>
  <c r="N1096" i="4"/>
  <c r="M1096" i="4"/>
  <c r="N1095" i="4"/>
  <c r="M1095" i="4"/>
  <c r="N1094" i="4"/>
  <c r="M1094" i="4"/>
  <c r="N1092" i="4"/>
  <c r="M1092" i="4"/>
  <c r="N1091" i="4"/>
  <c r="M1091" i="4"/>
  <c r="N1090" i="4"/>
  <c r="M1090" i="4"/>
  <c r="N1089" i="4"/>
  <c r="M1089" i="4"/>
  <c r="N1088" i="4"/>
  <c r="M1088" i="4"/>
  <c r="N1087" i="4"/>
  <c r="M1087" i="4"/>
  <c r="N1086" i="4"/>
  <c r="M1086" i="4"/>
  <c r="N1085" i="4"/>
  <c r="M1085" i="4"/>
  <c r="N1084" i="4"/>
  <c r="M1084" i="4"/>
  <c r="N1083" i="4"/>
  <c r="M1083" i="4"/>
  <c r="N1082" i="4"/>
  <c r="M1082" i="4"/>
  <c r="N1081" i="4"/>
  <c r="M1081" i="4"/>
  <c r="N1080" i="4"/>
  <c r="M1080" i="4"/>
  <c r="N1079" i="4"/>
  <c r="M1079" i="4"/>
  <c r="N1078" i="4"/>
  <c r="M1078" i="4"/>
  <c r="N1077" i="4"/>
  <c r="M1077" i="4"/>
  <c r="N1075" i="4"/>
  <c r="M1075" i="4"/>
  <c r="N1074" i="4"/>
  <c r="M1074" i="4"/>
  <c r="N1073" i="4"/>
  <c r="M1073" i="4"/>
  <c r="N1072" i="4"/>
  <c r="M1072" i="4"/>
  <c r="N1071" i="4"/>
  <c r="M1071" i="4"/>
  <c r="N1070" i="4"/>
  <c r="M1070" i="4"/>
  <c r="N1069" i="4"/>
  <c r="M1069" i="4"/>
  <c r="N1068" i="4"/>
  <c r="M1068" i="4"/>
  <c r="N1067" i="4"/>
  <c r="M1067" i="4"/>
  <c r="N1066" i="4"/>
  <c r="M1066" i="4"/>
  <c r="N1065" i="4"/>
  <c r="M1065" i="4"/>
  <c r="N1064" i="4"/>
  <c r="M1064" i="4"/>
  <c r="N1063" i="4"/>
  <c r="M1063" i="4"/>
  <c r="N1062" i="4"/>
  <c r="M1062" i="4"/>
  <c r="N1061" i="4"/>
  <c r="M1061" i="4"/>
  <c r="N1060" i="4"/>
  <c r="M1060" i="4"/>
  <c r="N1059" i="4"/>
  <c r="M1059" i="4"/>
  <c r="N1058" i="4"/>
  <c r="M1058" i="4"/>
  <c r="N1057" i="4"/>
  <c r="M1057" i="4"/>
  <c r="N1056" i="4"/>
  <c r="M1056" i="4"/>
  <c r="N1055" i="4"/>
  <c r="M1055" i="4"/>
  <c r="N1054" i="4"/>
  <c r="M1054" i="4"/>
  <c r="N1053" i="4"/>
  <c r="M1053" i="4"/>
  <c r="N1052" i="4"/>
  <c r="M1052" i="4"/>
  <c r="N1051" i="4"/>
  <c r="M1051" i="4"/>
  <c r="N1050" i="4"/>
  <c r="M1050" i="4"/>
  <c r="N1049" i="4"/>
  <c r="M1049" i="4"/>
  <c r="N1048" i="4"/>
  <c r="M1048" i="4"/>
  <c r="N1047" i="4"/>
  <c r="M1047" i="4"/>
  <c r="N1046" i="4"/>
  <c r="M1046" i="4"/>
  <c r="N1045" i="4"/>
  <c r="M1045" i="4"/>
  <c r="N1044" i="4"/>
  <c r="M1044" i="4"/>
  <c r="N1043" i="4"/>
  <c r="M1043" i="4"/>
  <c r="N1042" i="4"/>
  <c r="M1042" i="4"/>
  <c r="N1041" i="4"/>
  <c r="M1041" i="4"/>
  <c r="N1040" i="4"/>
  <c r="M1040" i="4"/>
  <c r="N1039" i="4"/>
  <c r="M1039" i="4"/>
  <c r="N1038" i="4"/>
  <c r="M1038" i="4"/>
  <c r="N1037" i="4"/>
  <c r="M1037" i="4"/>
  <c r="N1036" i="4"/>
  <c r="M1036" i="4"/>
  <c r="N1035" i="4"/>
  <c r="M1035" i="4"/>
  <c r="N1034" i="4"/>
  <c r="M1034" i="4"/>
  <c r="N1033" i="4"/>
  <c r="M1033" i="4"/>
  <c r="N1032" i="4"/>
  <c r="M1032" i="4"/>
  <c r="N1031" i="4"/>
  <c r="M1031" i="4"/>
  <c r="N1030" i="4"/>
  <c r="M1030" i="4"/>
  <c r="N1029" i="4"/>
  <c r="M1029" i="4"/>
  <c r="N1028" i="4"/>
  <c r="M1028" i="4"/>
  <c r="N1027" i="4"/>
  <c r="M1027" i="4"/>
  <c r="N1026" i="4"/>
  <c r="M1026" i="4"/>
  <c r="N1025" i="4"/>
  <c r="M1025" i="4"/>
  <c r="N1024" i="4"/>
  <c r="M1024" i="4"/>
  <c r="N1023" i="4"/>
  <c r="M1023" i="4"/>
  <c r="N1022" i="4"/>
  <c r="M1022" i="4"/>
  <c r="N1021" i="4"/>
  <c r="M1021" i="4"/>
  <c r="N1020" i="4"/>
  <c r="M1020" i="4"/>
  <c r="N1019" i="4"/>
  <c r="M1019" i="4"/>
  <c r="N1018" i="4"/>
  <c r="M1018" i="4"/>
  <c r="N1017" i="4"/>
  <c r="M1017" i="4"/>
  <c r="N1016" i="4"/>
  <c r="M1016" i="4"/>
  <c r="N1015" i="4"/>
  <c r="M1015" i="4"/>
  <c r="N1014" i="4"/>
  <c r="M1014" i="4"/>
  <c r="N1013" i="4"/>
  <c r="M1013" i="4"/>
  <c r="N1012" i="4"/>
  <c r="M1012" i="4"/>
  <c r="N1011" i="4"/>
  <c r="M1011" i="4"/>
  <c r="N1010" i="4"/>
  <c r="M1010" i="4"/>
  <c r="N1009" i="4"/>
  <c r="M1009" i="4"/>
  <c r="N1008" i="4"/>
  <c r="M1008" i="4"/>
  <c r="N1007" i="4"/>
  <c r="M1007" i="4"/>
  <c r="N1006" i="4"/>
  <c r="M1006" i="4"/>
  <c r="N1005" i="4"/>
  <c r="M1005" i="4"/>
  <c r="N1004" i="4"/>
  <c r="M1004" i="4"/>
  <c r="N1003" i="4"/>
  <c r="M1003" i="4"/>
  <c r="N1002" i="4"/>
  <c r="M1002" i="4"/>
  <c r="N1001" i="4"/>
  <c r="M1001" i="4"/>
  <c r="N1000" i="4"/>
  <c r="M1000" i="4"/>
  <c r="N999" i="4"/>
  <c r="M999" i="4"/>
  <c r="N998" i="4"/>
  <c r="M998" i="4"/>
  <c r="N997" i="4"/>
  <c r="M997" i="4"/>
  <c r="N996" i="4"/>
  <c r="M996" i="4"/>
  <c r="N995" i="4"/>
  <c r="M995" i="4"/>
  <c r="N994" i="4"/>
  <c r="M994" i="4"/>
  <c r="N993" i="4"/>
  <c r="M993" i="4"/>
  <c r="N992" i="4"/>
  <c r="M992" i="4"/>
  <c r="N991" i="4"/>
  <c r="M991" i="4"/>
  <c r="N990" i="4"/>
  <c r="M990" i="4"/>
  <c r="N989" i="4"/>
  <c r="M989" i="4"/>
  <c r="N988" i="4"/>
  <c r="M988" i="4"/>
  <c r="N987" i="4"/>
  <c r="M987" i="4"/>
  <c r="N986" i="4"/>
  <c r="M986" i="4"/>
  <c r="N985" i="4"/>
  <c r="M985" i="4"/>
  <c r="N984" i="4"/>
  <c r="M984" i="4"/>
  <c r="N983" i="4"/>
  <c r="M983" i="4"/>
  <c r="N982" i="4"/>
  <c r="M982" i="4"/>
  <c r="N981" i="4"/>
  <c r="M981" i="4"/>
  <c r="N980" i="4"/>
  <c r="M980" i="4"/>
  <c r="N979" i="4"/>
  <c r="M979" i="4"/>
  <c r="N978" i="4"/>
  <c r="M978" i="4"/>
  <c r="N977" i="4"/>
  <c r="M977" i="4"/>
  <c r="N976" i="4"/>
  <c r="M976" i="4"/>
  <c r="N975" i="4"/>
  <c r="M975" i="4"/>
  <c r="N973" i="4"/>
  <c r="M973" i="4"/>
  <c r="N972" i="4"/>
  <c r="M972" i="4"/>
  <c r="N971" i="4"/>
  <c r="M971" i="4"/>
  <c r="N970" i="4"/>
  <c r="M970" i="4"/>
  <c r="N969" i="4"/>
  <c r="M969" i="4"/>
  <c r="N968" i="4"/>
  <c r="M968" i="4"/>
  <c r="N967" i="4"/>
  <c r="M967" i="4"/>
  <c r="N966" i="4"/>
  <c r="M966" i="4"/>
  <c r="N965" i="4"/>
  <c r="M965" i="4"/>
  <c r="N964" i="4"/>
  <c r="M964" i="4"/>
  <c r="N963" i="4"/>
  <c r="M963" i="4"/>
  <c r="N962" i="4"/>
  <c r="M962" i="4"/>
  <c r="N961" i="4"/>
  <c r="M961" i="4"/>
  <c r="N960" i="4"/>
  <c r="M960" i="4"/>
  <c r="N958" i="4"/>
  <c r="M958" i="4"/>
  <c r="N957" i="4"/>
  <c r="M957" i="4"/>
  <c r="N956" i="4"/>
  <c r="M956" i="4"/>
  <c r="N955" i="4"/>
  <c r="M955" i="4"/>
  <c r="N954" i="4"/>
  <c r="M954" i="4"/>
  <c r="N953" i="4"/>
  <c r="M953" i="4"/>
  <c r="N952" i="4"/>
  <c r="M952" i="4"/>
  <c r="N951" i="4"/>
  <c r="M951" i="4"/>
  <c r="N950" i="4"/>
  <c r="M950" i="4"/>
  <c r="N949" i="4"/>
  <c r="M949" i="4"/>
  <c r="N948" i="4"/>
  <c r="M948" i="4"/>
  <c r="N947" i="4"/>
  <c r="M947" i="4"/>
  <c r="N946" i="4"/>
  <c r="M946" i="4"/>
  <c r="N945" i="4"/>
  <c r="M945" i="4"/>
  <c r="N944" i="4"/>
  <c r="M944" i="4"/>
  <c r="N943" i="4"/>
  <c r="M943" i="4"/>
  <c r="N942" i="4"/>
  <c r="M942" i="4"/>
  <c r="N941" i="4"/>
  <c r="M941" i="4"/>
  <c r="N940" i="4"/>
  <c r="M940" i="4"/>
  <c r="N938" i="4"/>
  <c r="M938" i="4"/>
  <c r="N937" i="4"/>
  <c r="M937" i="4"/>
  <c r="N936" i="4"/>
  <c r="M936" i="4"/>
  <c r="N935" i="4"/>
  <c r="M935" i="4"/>
  <c r="N934" i="4"/>
  <c r="M934" i="4"/>
  <c r="N933" i="4"/>
  <c r="M933" i="4"/>
  <c r="N932" i="4"/>
  <c r="M932" i="4"/>
  <c r="N931" i="4"/>
  <c r="M931" i="4"/>
  <c r="N930" i="4"/>
  <c r="M930" i="4"/>
  <c r="N929" i="4"/>
  <c r="O929" i="4" s="1"/>
  <c r="M929" i="4"/>
  <c r="N928" i="4"/>
  <c r="O928" i="4" s="1"/>
  <c r="M928" i="4"/>
  <c r="N927" i="4"/>
  <c r="O927" i="4" s="1"/>
  <c r="M927" i="4"/>
  <c r="N926" i="4"/>
  <c r="M926" i="4"/>
  <c r="N925" i="4"/>
  <c r="M925" i="4"/>
  <c r="N924" i="4"/>
  <c r="M924" i="4"/>
  <c r="N923" i="4"/>
  <c r="M923" i="4"/>
  <c r="N922" i="4"/>
  <c r="M922" i="4"/>
  <c r="N921" i="4"/>
  <c r="M921" i="4"/>
  <c r="N920" i="4"/>
  <c r="M920" i="4"/>
  <c r="N919" i="4"/>
  <c r="M919" i="4"/>
  <c r="N918" i="4"/>
  <c r="M918" i="4"/>
  <c r="N917" i="4"/>
  <c r="M917" i="4"/>
  <c r="N916" i="4"/>
  <c r="M916" i="4"/>
  <c r="N915" i="4"/>
  <c r="M915" i="4"/>
  <c r="N914" i="4"/>
  <c r="M914" i="4"/>
  <c r="N913" i="4"/>
  <c r="M913" i="4"/>
  <c r="N912" i="4"/>
  <c r="M912" i="4"/>
  <c r="N911" i="4"/>
  <c r="M911" i="4"/>
  <c r="N910" i="4"/>
  <c r="M910" i="4"/>
  <c r="N909" i="4"/>
  <c r="M909" i="4"/>
  <c r="N908" i="4"/>
  <c r="M908" i="4"/>
  <c r="N907" i="4"/>
  <c r="M907" i="4"/>
  <c r="N906" i="4"/>
  <c r="M906" i="4"/>
  <c r="N905" i="4"/>
  <c r="M905" i="4"/>
  <c r="N904" i="4"/>
  <c r="M904" i="4"/>
  <c r="N903" i="4"/>
  <c r="M903" i="4"/>
  <c r="N902" i="4"/>
  <c r="M902" i="4"/>
  <c r="N901" i="4"/>
  <c r="M901" i="4"/>
  <c r="N900" i="4"/>
  <c r="M900" i="4"/>
  <c r="N899" i="4"/>
  <c r="M899" i="4"/>
  <c r="N898" i="4"/>
  <c r="M898" i="4"/>
  <c r="N897" i="4"/>
  <c r="M897" i="4"/>
  <c r="N896" i="4"/>
  <c r="M896" i="4"/>
  <c r="N895" i="4"/>
  <c r="M895" i="4"/>
  <c r="N894" i="4"/>
  <c r="M894" i="4"/>
  <c r="N893" i="4"/>
  <c r="M893" i="4"/>
  <c r="N892" i="4"/>
  <c r="M892" i="4"/>
  <c r="N891" i="4"/>
  <c r="M891" i="4"/>
  <c r="N890" i="4"/>
  <c r="M890" i="4"/>
  <c r="N889" i="4"/>
  <c r="M889" i="4"/>
  <c r="N888" i="4"/>
  <c r="M888" i="4"/>
  <c r="N887" i="4"/>
  <c r="M887" i="4"/>
  <c r="N886" i="4"/>
  <c r="M886" i="4"/>
  <c r="N885" i="4"/>
  <c r="M885" i="4"/>
  <c r="N884" i="4"/>
  <c r="M884" i="4"/>
  <c r="N883" i="4"/>
  <c r="M883" i="4"/>
  <c r="N882" i="4"/>
  <c r="O882" i="4" s="1"/>
  <c r="M882" i="4"/>
  <c r="N881" i="4"/>
  <c r="M881" i="4"/>
  <c r="N880" i="4"/>
  <c r="M880" i="4"/>
  <c r="N879" i="4"/>
  <c r="M879" i="4"/>
  <c r="N878" i="4"/>
  <c r="M878" i="4"/>
  <c r="N877" i="4"/>
  <c r="M877" i="4"/>
  <c r="N876" i="4"/>
  <c r="M876" i="4"/>
  <c r="N875" i="4"/>
  <c r="M875" i="4"/>
  <c r="N874" i="4"/>
  <c r="M874" i="4"/>
  <c r="N873" i="4"/>
  <c r="M873" i="4"/>
  <c r="N872" i="4"/>
  <c r="M872" i="4"/>
  <c r="N871" i="4"/>
  <c r="M871" i="4"/>
  <c r="N870" i="4"/>
  <c r="M870" i="4"/>
  <c r="N869" i="4"/>
  <c r="M869" i="4"/>
  <c r="N868" i="4"/>
  <c r="M868" i="4"/>
  <c r="N867" i="4"/>
  <c r="M867" i="4"/>
  <c r="N866" i="4"/>
  <c r="M866" i="4"/>
  <c r="N865" i="4"/>
  <c r="M865" i="4"/>
  <c r="N864" i="4"/>
  <c r="M864" i="4"/>
  <c r="N863" i="4"/>
  <c r="M863" i="4"/>
  <c r="N862" i="4"/>
  <c r="M862" i="4"/>
  <c r="N861" i="4"/>
  <c r="M861" i="4"/>
  <c r="N860" i="4"/>
  <c r="M860" i="4"/>
  <c r="N859" i="4"/>
  <c r="M859" i="4"/>
  <c r="N858" i="4"/>
  <c r="M858" i="4"/>
  <c r="N857" i="4"/>
  <c r="M857" i="4"/>
  <c r="N856" i="4"/>
  <c r="M856" i="4"/>
  <c r="N855" i="4"/>
  <c r="M855" i="4"/>
  <c r="N854" i="4"/>
  <c r="M854" i="4"/>
  <c r="N853" i="4"/>
  <c r="M853" i="4"/>
  <c r="N852" i="4"/>
  <c r="M852" i="4"/>
  <c r="N851" i="4"/>
  <c r="M851" i="4"/>
  <c r="N850" i="4"/>
  <c r="M850" i="4"/>
  <c r="N849" i="4"/>
  <c r="M849" i="4"/>
  <c r="N848" i="4"/>
  <c r="M848" i="4"/>
  <c r="N847" i="4"/>
  <c r="M847" i="4"/>
  <c r="N846" i="4"/>
  <c r="M846" i="4"/>
  <c r="N845" i="4"/>
  <c r="M845" i="4"/>
  <c r="N844" i="4"/>
  <c r="M844" i="4"/>
  <c r="N843" i="4"/>
  <c r="M843" i="4"/>
  <c r="N842" i="4"/>
  <c r="M842" i="4"/>
  <c r="N841" i="4"/>
  <c r="M841" i="4"/>
  <c r="N840" i="4"/>
  <c r="M840" i="4"/>
  <c r="N839" i="4"/>
  <c r="M839" i="4"/>
  <c r="N838" i="4"/>
  <c r="M838" i="4"/>
  <c r="N837" i="4"/>
  <c r="M837" i="4"/>
  <c r="N836" i="4"/>
  <c r="M836" i="4"/>
  <c r="N835" i="4"/>
  <c r="M835" i="4"/>
  <c r="N834" i="4"/>
  <c r="M834" i="4"/>
  <c r="N833" i="4"/>
  <c r="M833" i="4"/>
  <c r="N832" i="4"/>
  <c r="M832" i="4"/>
  <c r="N831" i="4"/>
  <c r="M831" i="4"/>
  <c r="N830" i="4"/>
  <c r="M830" i="4"/>
  <c r="N829" i="4"/>
  <c r="M829" i="4"/>
  <c r="N828" i="4"/>
  <c r="M828" i="4"/>
  <c r="N827" i="4"/>
  <c r="M827" i="4"/>
  <c r="N826" i="4"/>
  <c r="M826" i="4"/>
  <c r="N825" i="4"/>
  <c r="M825" i="4"/>
  <c r="N824" i="4"/>
  <c r="M824" i="4"/>
  <c r="N823" i="4"/>
  <c r="M823" i="4"/>
  <c r="N822" i="4"/>
  <c r="M822" i="4"/>
  <c r="N821" i="4"/>
  <c r="M821" i="4"/>
  <c r="N820" i="4"/>
  <c r="M820" i="4"/>
  <c r="N819" i="4"/>
  <c r="M819" i="4"/>
  <c r="N818" i="4"/>
  <c r="M818" i="4"/>
  <c r="N817" i="4"/>
  <c r="M817" i="4"/>
  <c r="N816" i="4"/>
  <c r="M816" i="4"/>
  <c r="N815" i="4"/>
  <c r="M815" i="4"/>
  <c r="N814" i="4"/>
  <c r="M814" i="4"/>
  <c r="N812" i="4"/>
  <c r="M812" i="4"/>
  <c r="N811" i="4"/>
  <c r="M811" i="4"/>
  <c r="N810" i="4"/>
  <c r="M810" i="4"/>
  <c r="N809" i="4"/>
  <c r="M809" i="4"/>
  <c r="N808" i="4"/>
  <c r="M808" i="4"/>
  <c r="N807" i="4"/>
  <c r="M807" i="4"/>
  <c r="N806" i="4"/>
  <c r="M806" i="4"/>
  <c r="N805" i="4"/>
  <c r="M805" i="4"/>
  <c r="N804" i="4"/>
  <c r="M804" i="4"/>
  <c r="N803" i="4"/>
  <c r="M803" i="4"/>
  <c r="N802" i="4"/>
  <c r="M802" i="4"/>
  <c r="N801" i="4"/>
  <c r="M801" i="4"/>
  <c r="N800" i="4"/>
  <c r="M800" i="4"/>
  <c r="N799" i="4"/>
  <c r="M799" i="4"/>
  <c r="N798" i="4"/>
  <c r="M798" i="4"/>
  <c r="N797" i="4"/>
  <c r="M797" i="4"/>
  <c r="N796" i="4"/>
  <c r="M796" i="4"/>
  <c r="N795" i="4"/>
  <c r="M795" i="4"/>
  <c r="N794" i="4"/>
  <c r="M794" i="4"/>
  <c r="N793" i="4"/>
  <c r="M793" i="4"/>
  <c r="N792" i="4"/>
  <c r="M792" i="4"/>
  <c r="N791" i="4"/>
  <c r="M791" i="4"/>
  <c r="N790" i="4"/>
  <c r="M790" i="4"/>
  <c r="N766" i="4"/>
  <c r="M766" i="4"/>
  <c r="N765" i="4"/>
  <c r="M765" i="4"/>
  <c r="N764" i="4"/>
  <c r="M764" i="4"/>
  <c r="N763" i="4"/>
  <c r="M763" i="4"/>
  <c r="N762" i="4"/>
  <c r="M762" i="4"/>
  <c r="N760" i="4"/>
  <c r="M760" i="4"/>
  <c r="N759" i="4"/>
  <c r="M759" i="4"/>
  <c r="N758" i="4"/>
  <c r="M758" i="4"/>
  <c r="N756" i="4"/>
  <c r="M756" i="4"/>
  <c r="N755" i="4"/>
  <c r="M755" i="4"/>
  <c r="N754" i="4"/>
  <c r="M754" i="4"/>
  <c r="N753" i="4"/>
  <c r="M753" i="4"/>
  <c r="N752" i="4"/>
  <c r="M752" i="4"/>
  <c r="N751" i="4"/>
  <c r="M751" i="4"/>
  <c r="N750" i="4"/>
  <c r="M750" i="4"/>
  <c r="N749" i="4"/>
  <c r="M749" i="4"/>
  <c r="N748" i="4"/>
  <c r="M748" i="4"/>
  <c r="N747" i="4"/>
  <c r="M747" i="4"/>
  <c r="N746" i="4"/>
  <c r="M746" i="4"/>
  <c r="N745" i="4"/>
  <c r="M745" i="4"/>
  <c r="N744" i="4"/>
  <c r="M744" i="4"/>
  <c r="N743" i="4"/>
  <c r="M743" i="4"/>
  <c r="N742" i="4"/>
  <c r="M742" i="4"/>
  <c r="N741" i="4"/>
  <c r="M741" i="4"/>
  <c r="N740" i="4"/>
  <c r="M740" i="4"/>
  <c r="N739" i="4"/>
  <c r="M739" i="4"/>
  <c r="N738" i="4"/>
  <c r="M738" i="4"/>
  <c r="N737" i="4"/>
  <c r="M737" i="4"/>
  <c r="N736" i="4"/>
  <c r="M736" i="4"/>
  <c r="N735" i="4"/>
  <c r="M735" i="4"/>
  <c r="N734" i="4"/>
  <c r="M734" i="4"/>
  <c r="N733" i="4"/>
  <c r="M733" i="4"/>
  <c r="N732" i="4"/>
  <c r="M732" i="4"/>
  <c r="N729" i="4"/>
  <c r="M729" i="4"/>
  <c r="N728" i="4"/>
  <c r="M728" i="4"/>
  <c r="N727" i="4"/>
  <c r="M727" i="4"/>
  <c r="N726" i="4"/>
  <c r="M726" i="4"/>
  <c r="N725" i="4"/>
  <c r="M725" i="4"/>
  <c r="N724" i="4"/>
  <c r="M724" i="4"/>
  <c r="N723" i="4"/>
  <c r="M723" i="4"/>
  <c r="N722" i="4"/>
  <c r="M722" i="4"/>
  <c r="N721" i="4"/>
  <c r="M721" i="4"/>
  <c r="N720" i="4"/>
  <c r="M720" i="4"/>
  <c r="N719" i="4"/>
  <c r="M719" i="4"/>
  <c r="N718" i="4"/>
  <c r="M718" i="4"/>
  <c r="N717" i="4"/>
  <c r="M717" i="4"/>
  <c r="N716" i="4"/>
  <c r="M716" i="4"/>
  <c r="N715" i="4"/>
  <c r="M715" i="4"/>
  <c r="N714" i="4"/>
  <c r="M714" i="4"/>
  <c r="N713" i="4"/>
  <c r="M713" i="4"/>
  <c r="N712" i="4"/>
  <c r="M712" i="4"/>
  <c r="N711" i="4"/>
  <c r="M711" i="4"/>
  <c r="N710" i="4"/>
  <c r="M710" i="4"/>
  <c r="N709" i="4"/>
  <c r="M709" i="4"/>
  <c r="N708" i="4"/>
  <c r="M708" i="4"/>
  <c r="N707" i="4"/>
  <c r="M707" i="4"/>
  <c r="N706" i="4"/>
  <c r="M706" i="4"/>
  <c r="N705" i="4"/>
  <c r="M705" i="4"/>
  <c r="N704" i="4"/>
  <c r="M704" i="4"/>
  <c r="N703" i="4"/>
  <c r="M703" i="4"/>
  <c r="N702" i="4"/>
  <c r="M702" i="4"/>
  <c r="N701" i="4"/>
  <c r="M701" i="4"/>
  <c r="N700" i="4"/>
  <c r="M700" i="4"/>
  <c r="N699" i="4"/>
  <c r="M699" i="4"/>
  <c r="N697" i="4"/>
  <c r="M697" i="4"/>
  <c r="N696" i="4"/>
  <c r="M696" i="4"/>
  <c r="N695" i="4"/>
  <c r="M695" i="4"/>
  <c r="N694" i="4"/>
  <c r="M694" i="4"/>
  <c r="N693" i="4"/>
  <c r="M693" i="4"/>
  <c r="N692" i="4"/>
  <c r="M692" i="4"/>
  <c r="N691" i="4"/>
  <c r="M691" i="4"/>
  <c r="N690" i="4"/>
  <c r="M690" i="4"/>
  <c r="N689" i="4"/>
  <c r="M689" i="4"/>
  <c r="N688" i="4"/>
  <c r="M688" i="4"/>
  <c r="N687" i="4"/>
  <c r="M687" i="4"/>
  <c r="N686" i="4"/>
  <c r="M686" i="4"/>
  <c r="N685" i="4"/>
  <c r="M685" i="4"/>
  <c r="N684" i="4"/>
  <c r="M684" i="4"/>
  <c r="N683" i="4"/>
  <c r="M683" i="4"/>
  <c r="N682" i="4"/>
  <c r="M682" i="4"/>
  <c r="N681" i="4"/>
  <c r="M681" i="4"/>
  <c r="N680" i="4"/>
  <c r="M680" i="4"/>
  <c r="N679" i="4"/>
  <c r="M679" i="4"/>
  <c r="N678" i="4"/>
  <c r="M678" i="4"/>
  <c r="N677" i="4"/>
  <c r="M677" i="4"/>
  <c r="N676" i="4"/>
  <c r="M676" i="4"/>
  <c r="N675" i="4"/>
  <c r="M675" i="4"/>
  <c r="N674" i="4"/>
  <c r="M674" i="4"/>
  <c r="N672" i="4"/>
  <c r="M672" i="4"/>
  <c r="N671" i="4"/>
  <c r="M671" i="4"/>
  <c r="N670" i="4"/>
  <c r="M670" i="4"/>
  <c r="N669" i="4"/>
  <c r="M669" i="4"/>
  <c r="N668" i="4"/>
  <c r="M668" i="4"/>
  <c r="N667" i="4"/>
  <c r="M667" i="4"/>
  <c r="N666" i="4"/>
  <c r="M666" i="4"/>
  <c r="N665" i="4"/>
  <c r="M665" i="4"/>
  <c r="N664" i="4"/>
  <c r="M664" i="4"/>
  <c r="N663" i="4"/>
  <c r="M663" i="4"/>
  <c r="N662" i="4"/>
  <c r="M662" i="4"/>
  <c r="N661" i="4"/>
  <c r="M661" i="4"/>
  <c r="N660" i="4"/>
  <c r="M660" i="4"/>
  <c r="N659" i="4"/>
  <c r="M659" i="4"/>
  <c r="N658" i="4"/>
  <c r="M658" i="4"/>
  <c r="N657" i="4"/>
  <c r="M657" i="4"/>
  <c r="N656" i="4"/>
  <c r="M656" i="4"/>
  <c r="N655" i="4"/>
  <c r="M655" i="4"/>
  <c r="N654" i="4"/>
  <c r="M654" i="4"/>
  <c r="N653" i="4"/>
  <c r="M653" i="4"/>
  <c r="N652" i="4"/>
  <c r="M652" i="4"/>
  <c r="N651" i="4"/>
  <c r="M651" i="4"/>
  <c r="N650" i="4"/>
  <c r="M650" i="4"/>
  <c r="N649" i="4"/>
  <c r="M649" i="4"/>
  <c r="N648" i="4"/>
  <c r="M648" i="4"/>
  <c r="N647" i="4"/>
  <c r="M647" i="4"/>
  <c r="N646" i="4"/>
  <c r="M646" i="4"/>
  <c r="N645" i="4"/>
  <c r="M645" i="4"/>
  <c r="N644" i="4"/>
  <c r="M644" i="4"/>
  <c r="N643" i="4"/>
  <c r="M643" i="4"/>
  <c r="N642" i="4"/>
  <c r="M642" i="4"/>
  <c r="N641" i="4"/>
  <c r="M641" i="4"/>
  <c r="N640" i="4"/>
  <c r="M640" i="4"/>
  <c r="N639" i="4"/>
  <c r="M639" i="4"/>
  <c r="N638" i="4"/>
  <c r="M638" i="4"/>
  <c r="N637" i="4"/>
  <c r="M637" i="4"/>
  <c r="N636" i="4"/>
  <c r="M636" i="4"/>
  <c r="N635" i="4"/>
  <c r="M635" i="4"/>
  <c r="N634" i="4"/>
  <c r="M634" i="4"/>
  <c r="N633" i="4"/>
  <c r="M633" i="4"/>
  <c r="N632" i="4"/>
  <c r="M632" i="4"/>
  <c r="N631" i="4"/>
  <c r="M631" i="4"/>
  <c r="N630" i="4"/>
  <c r="M630" i="4"/>
  <c r="N629" i="4"/>
  <c r="M629" i="4"/>
  <c r="N628" i="4"/>
  <c r="M628" i="4"/>
  <c r="N627" i="4"/>
  <c r="M627" i="4"/>
  <c r="N626" i="4"/>
  <c r="M626" i="4"/>
  <c r="N625" i="4"/>
  <c r="M625" i="4"/>
  <c r="N624" i="4"/>
  <c r="M624" i="4"/>
  <c r="N623" i="4"/>
  <c r="M623" i="4"/>
  <c r="N622" i="4"/>
  <c r="M622" i="4"/>
  <c r="N621" i="4"/>
  <c r="M621" i="4"/>
  <c r="N620" i="4"/>
  <c r="M620" i="4"/>
  <c r="N619" i="4"/>
  <c r="M619" i="4"/>
  <c r="N618" i="4"/>
  <c r="M618" i="4"/>
  <c r="N617" i="4"/>
  <c r="M617" i="4"/>
  <c r="N616" i="4"/>
  <c r="M616" i="4"/>
  <c r="N615" i="4"/>
  <c r="M615" i="4"/>
  <c r="N614" i="4"/>
  <c r="M614" i="4"/>
  <c r="N613" i="4"/>
  <c r="M613" i="4"/>
  <c r="N612" i="4"/>
  <c r="M612" i="4"/>
  <c r="N611" i="4"/>
  <c r="M611" i="4"/>
  <c r="N610" i="4"/>
  <c r="M610" i="4"/>
  <c r="N609" i="4"/>
  <c r="M609" i="4"/>
  <c r="N608" i="4"/>
  <c r="M608" i="4"/>
  <c r="N607" i="4"/>
  <c r="M607" i="4"/>
  <c r="N606" i="4"/>
  <c r="M606" i="4"/>
  <c r="N605" i="4"/>
  <c r="M605" i="4"/>
  <c r="N604" i="4"/>
  <c r="M604" i="4"/>
  <c r="N603" i="4"/>
  <c r="M603" i="4"/>
  <c r="N602" i="4"/>
  <c r="M602" i="4"/>
  <c r="N601" i="4"/>
  <c r="M601" i="4"/>
  <c r="N600" i="4"/>
  <c r="M600" i="4"/>
  <c r="N599" i="4"/>
  <c r="M599" i="4"/>
  <c r="N598" i="4"/>
  <c r="M598" i="4"/>
  <c r="N597" i="4"/>
  <c r="M597" i="4"/>
  <c r="N596" i="4"/>
  <c r="M596" i="4"/>
  <c r="N592" i="4"/>
  <c r="M592" i="4"/>
  <c r="N590" i="4"/>
  <c r="M590" i="4"/>
  <c r="N589" i="4"/>
  <c r="M589" i="4"/>
  <c r="N588" i="4"/>
  <c r="M588" i="4"/>
  <c r="N587" i="4"/>
  <c r="M587" i="4"/>
  <c r="N586" i="4"/>
  <c r="M586" i="4"/>
  <c r="N585" i="4"/>
  <c r="M585" i="4"/>
  <c r="N584" i="4"/>
  <c r="M584" i="4"/>
  <c r="N583" i="4"/>
  <c r="M583" i="4"/>
  <c r="N582" i="4"/>
  <c r="M582" i="4"/>
  <c r="N581" i="4"/>
  <c r="M581" i="4"/>
  <c r="N580" i="4"/>
  <c r="M580" i="4"/>
  <c r="N579" i="4"/>
  <c r="M579" i="4"/>
  <c r="N578" i="4"/>
  <c r="M578" i="4"/>
  <c r="N577" i="4"/>
  <c r="M577" i="4"/>
  <c r="N576" i="4"/>
  <c r="M576" i="4"/>
  <c r="N575" i="4"/>
  <c r="M575" i="4"/>
  <c r="N574" i="4"/>
  <c r="M574" i="4"/>
  <c r="N573" i="4"/>
  <c r="M573" i="4"/>
  <c r="N572" i="4"/>
  <c r="M572" i="4"/>
  <c r="N571" i="4"/>
  <c r="M571" i="4"/>
  <c r="N570" i="4"/>
  <c r="M570" i="4"/>
  <c r="N569" i="4"/>
  <c r="M569" i="4"/>
  <c r="N568" i="4"/>
  <c r="M568" i="4"/>
  <c r="N567" i="4"/>
  <c r="M567" i="4"/>
  <c r="N566" i="4"/>
  <c r="M566" i="4"/>
  <c r="N565" i="4"/>
  <c r="M565" i="4"/>
  <c r="N564" i="4"/>
  <c r="M564" i="4"/>
  <c r="N563" i="4"/>
  <c r="M563" i="4"/>
  <c r="N561" i="4"/>
  <c r="M561" i="4"/>
  <c r="N560" i="4"/>
  <c r="M560" i="4"/>
  <c r="N559" i="4"/>
  <c r="M559" i="4"/>
  <c r="N558" i="4"/>
  <c r="M558" i="4"/>
  <c r="N557" i="4"/>
  <c r="M557" i="4"/>
  <c r="N556" i="4"/>
  <c r="M556" i="4"/>
  <c r="N555" i="4"/>
  <c r="M555" i="4"/>
  <c r="N554" i="4"/>
  <c r="M554" i="4"/>
  <c r="N553" i="4"/>
  <c r="M553" i="4"/>
  <c r="N552" i="4"/>
  <c r="M552" i="4"/>
  <c r="N551" i="4"/>
  <c r="M551" i="4"/>
  <c r="N550" i="4"/>
  <c r="M550" i="4"/>
  <c r="N549" i="4"/>
  <c r="M549" i="4"/>
  <c r="N548" i="4"/>
  <c r="M548" i="4"/>
  <c r="N547" i="4"/>
  <c r="M547" i="4"/>
  <c r="N546" i="4"/>
  <c r="M546" i="4"/>
  <c r="N545" i="4"/>
  <c r="M545" i="4"/>
  <c r="N544" i="4"/>
  <c r="M544" i="4"/>
  <c r="N543" i="4"/>
  <c r="M543" i="4"/>
  <c r="N542" i="4"/>
  <c r="M542" i="4"/>
  <c r="N541" i="4"/>
  <c r="M541" i="4"/>
  <c r="N540" i="4"/>
  <c r="M540" i="4"/>
  <c r="N539" i="4"/>
  <c r="M539" i="4"/>
  <c r="N538" i="4"/>
  <c r="M538" i="4"/>
  <c r="N537" i="4"/>
  <c r="M537" i="4"/>
  <c r="N536" i="4"/>
  <c r="M536" i="4"/>
  <c r="N535" i="4"/>
  <c r="M535" i="4"/>
  <c r="N534" i="4"/>
  <c r="M534" i="4"/>
  <c r="N533" i="4"/>
  <c r="M533" i="4"/>
  <c r="N485" i="4"/>
  <c r="M485" i="4"/>
  <c r="N484" i="4"/>
  <c r="M484" i="4"/>
  <c r="N483" i="4"/>
  <c r="M483" i="4"/>
  <c r="N482" i="4"/>
  <c r="M482" i="4"/>
  <c r="N481" i="4"/>
  <c r="M481" i="4"/>
  <c r="N480" i="4"/>
  <c r="M480" i="4"/>
  <c r="N479" i="4"/>
  <c r="M479" i="4"/>
  <c r="N478" i="4"/>
  <c r="M478" i="4"/>
  <c r="N477" i="4"/>
  <c r="M477" i="4"/>
  <c r="N476" i="4"/>
  <c r="M476" i="4"/>
  <c r="N475" i="4"/>
  <c r="M475" i="4"/>
  <c r="N474" i="4"/>
  <c r="M474" i="4"/>
  <c r="N473" i="4"/>
  <c r="M473" i="4"/>
  <c r="N472" i="4"/>
  <c r="M472" i="4"/>
  <c r="N471" i="4"/>
  <c r="M471" i="4"/>
  <c r="N470" i="4"/>
  <c r="M470" i="4"/>
  <c r="N469" i="4"/>
  <c r="M469" i="4"/>
  <c r="N468" i="4"/>
  <c r="M468" i="4"/>
  <c r="N467" i="4"/>
  <c r="M467" i="4"/>
  <c r="N466" i="4"/>
  <c r="M466" i="4"/>
  <c r="N465" i="4"/>
  <c r="M465" i="4"/>
  <c r="N464" i="4"/>
  <c r="M464" i="4"/>
  <c r="N463" i="4"/>
  <c r="M463" i="4"/>
  <c r="N462" i="4"/>
  <c r="M462" i="4"/>
  <c r="N461" i="4"/>
  <c r="M461" i="4"/>
  <c r="N460" i="4"/>
  <c r="M460" i="4"/>
  <c r="N459" i="4"/>
  <c r="M459" i="4"/>
  <c r="N458" i="4"/>
  <c r="M458" i="4"/>
  <c r="N457" i="4"/>
  <c r="M457" i="4"/>
  <c r="N456" i="4"/>
  <c r="M456" i="4"/>
  <c r="N455" i="4"/>
  <c r="M455" i="4"/>
  <c r="N454" i="4"/>
  <c r="M454" i="4"/>
  <c r="N453" i="4"/>
  <c r="M453" i="4"/>
  <c r="N452" i="4"/>
  <c r="M452" i="4"/>
  <c r="N451" i="4"/>
  <c r="M451" i="4"/>
  <c r="N450" i="4"/>
  <c r="M450" i="4"/>
  <c r="N449" i="4"/>
  <c r="M449" i="4"/>
  <c r="N448" i="4"/>
  <c r="M448" i="4"/>
  <c r="N447" i="4"/>
  <c r="M447" i="4"/>
  <c r="N446" i="4"/>
  <c r="M446" i="4"/>
  <c r="N445" i="4"/>
  <c r="M445" i="4"/>
  <c r="N443" i="4"/>
  <c r="M443" i="4"/>
  <c r="N442" i="4"/>
  <c r="M442" i="4"/>
  <c r="N441" i="4"/>
  <c r="M441" i="4"/>
  <c r="N439" i="4"/>
  <c r="M439" i="4"/>
  <c r="N438" i="4"/>
  <c r="M438" i="4"/>
  <c r="N437" i="4"/>
  <c r="M437" i="4"/>
  <c r="N436" i="4"/>
  <c r="M436" i="4"/>
  <c r="N435" i="4"/>
  <c r="M435" i="4"/>
  <c r="N434" i="4"/>
  <c r="M434" i="4"/>
  <c r="N433" i="4"/>
  <c r="M433" i="4"/>
  <c r="N432" i="4"/>
  <c r="M432" i="4"/>
  <c r="N431" i="4"/>
  <c r="M431" i="4"/>
  <c r="N430" i="4"/>
  <c r="M430" i="4"/>
  <c r="N429" i="4"/>
  <c r="M429" i="4"/>
  <c r="N428" i="4"/>
  <c r="M428" i="4"/>
  <c r="N427" i="4"/>
  <c r="M427" i="4"/>
  <c r="N426" i="4"/>
  <c r="M426" i="4"/>
  <c r="N425" i="4"/>
  <c r="M425" i="4"/>
  <c r="N424" i="4"/>
  <c r="M424" i="4"/>
  <c r="N423" i="4"/>
  <c r="M423" i="4"/>
  <c r="N422" i="4"/>
  <c r="M422" i="4"/>
  <c r="N421" i="4"/>
  <c r="M421" i="4"/>
  <c r="N420" i="4"/>
  <c r="M420" i="4"/>
  <c r="N419" i="4"/>
  <c r="M419" i="4"/>
  <c r="N418" i="4"/>
  <c r="M418" i="4"/>
  <c r="N417" i="4"/>
  <c r="M417" i="4"/>
  <c r="N416" i="4"/>
  <c r="M416" i="4"/>
  <c r="N415" i="4"/>
  <c r="M415" i="4"/>
  <c r="N414" i="4"/>
  <c r="M414" i="4"/>
  <c r="N413" i="4"/>
  <c r="M413" i="4"/>
  <c r="N412" i="4"/>
  <c r="M412" i="4"/>
  <c r="N411" i="4"/>
  <c r="M411" i="4"/>
  <c r="N410" i="4"/>
  <c r="M410" i="4"/>
  <c r="N409" i="4"/>
  <c r="M409" i="4"/>
  <c r="N408" i="4"/>
  <c r="M408" i="4"/>
  <c r="N407" i="4"/>
  <c r="M407" i="4"/>
  <c r="N406" i="4"/>
  <c r="M406" i="4"/>
  <c r="N405" i="4"/>
  <c r="M405" i="4"/>
  <c r="N404" i="4"/>
  <c r="M404" i="4"/>
  <c r="N403" i="4"/>
  <c r="M403" i="4"/>
  <c r="N402" i="4"/>
  <c r="M402" i="4"/>
  <c r="N401" i="4"/>
  <c r="M401" i="4"/>
  <c r="N400" i="4"/>
  <c r="M400" i="4"/>
  <c r="N399" i="4"/>
  <c r="M399" i="4"/>
  <c r="N398" i="4"/>
  <c r="M398" i="4"/>
  <c r="N397" i="4"/>
  <c r="M397" i="4"/>
  <c r="N396" i="4"/>
  <c r="M396" i="4"/>
  <c r="N395" i="4"/>
  <c r="M395" i="4"/>
  <c r="N394" i="4"/>
  <c r="M394" i="4"/>
  <c r="N393" i="4"/>
  <c r="M393" i="4"/>
  <c r="N392" i="4"/>
  <c r="M392" i="4"/>
  <c r="N391" i="4"/>
  <c r="M391" i="4"/>
  <c r="N390" i="4"/>
  <c r="M390" i="4"/>
  <c r="N389" i="4"/>
  <c r="M389" i="4"/>
  <c r="N388" i="4"/>
  <c r="M388" i="4"/>
  <c r="N387" i="4"/>
  <c r="M387" i="4"/>
  <c r="N386" i="4"/>
  <c r="M386" i="4"/>
  <c r="N385" i="4"/>
  <c r="M385" i="4"/>
  <c r="N384" i="4"/>
  <c r="M384" i="4"/>
  <c r="N383" i="4"/>
  <c r="M383" i="4"/>
  <c r="N382" i="4"/>
  <c r="M382" i="4"/>
  <c r="N381" i="4"/>
  <c r="M381" i="4"/>
  <c r="N380" i="4"/>
  <c r="M380" i="4"/>
  <c r="N379" i="4"/>
  <c r="M379" i="4"/>
  <c r="N378" i="4"/>
  <c r="M378" i="4"/>
  <c r="N377" i="4"/>
  <c r="M377" i="4"/>
  <c r="N376" i="4"/>
  <c r="M376" i="4"/>
  <c r="N375" i="4"/>
  <c r="M375" i="4"/>
  <c r="N374" i="4"/>
  <c r="M374" i="4"/>
  <c r="N373" i="4"/>
  <c r="M373" i="4"/>
  <c r="N372" i="4"/>
  <c r="M372" i="4"/>
  <c r="N371" i="4"/>
  <c r="M371" i="4"/>
  <c r="N370" i="4"/>
  <c r="M370" i="4"/>
  <c r="N369" i="4"/>
  <c r="M369" i="4"/>
  <c r="N368" i="4"/>
  <c r="M368" i="4"/>
  <c r="N367" i="4"/>
  <c r="M367" i="4"/>
  <c r="N366" i="4"/>
  <c r="M366" i="4"/>
  <c r="N365" i="4"/>
  <c r="M365" i="4"/>
  <c r="N364" i="4"/>
  <c r="M364" i="4"/>
  <c r="N363" i="4"/>
  <c r="M363" i="4"/>
  <c r="N362" i="4"/>
  <c r="M362" i="4"/>
  <c r="N361" i="4"/>
  <c r="M361" i="4"/>
  <c r="N360" i="4"/>
  <c r="M360" i="4"/>
  <c r="N359" i="4"/>
  <c r="M359" i="4"/>
  <c r="N358" i="4"/>
  <c r="M358" i="4"/>
  <c r="N357" i="4"/>
  <c r="M357" i="4"/>
  <c r="N356" i="4"/>
  <c r="M356" i="4"/>
  <c r="N355" i="4"/>
  <c r="M355" i="4"/>
  <c r="N354" i="4"/>
  <c r="M354" i="4"/>
  <c r="N353" i="4"/>
  <c r="M353" i="4"/>
  <c r="N352" i="4"/>
  <c r="M352" i="4"/>
  <c r="N351" i="4"/>
  <c r="M351" i="4"/>
  <c r="N350" i="4"/>
  <c r="M350" i="4"/>
  <c r="N349" i="4"/>
  <c r="M349" i="4"/>
  <c r="N348" i="4"/>
  <c r="M348" i="4"/>
  <c r="N347" i="4"/>
  <c r="M347" i="4"/>
  <c r="N346" i="4"/>
  <c r="M346" i="4"/>
  <c r="N345" i="4"/>
  <c r="M345" i="4"/>
  <c r="N344" i="4"/>
  <c r="M344" i="4"/>
  <c r="N343" i="4"/>
  <c r="M343" i="4"/>
  <c r="N342" i="4"/>
  <c r="M342" i="4"/>
  <c r="N341" i="4"/>
  <c r="M341" i="4"/>
  <c r="N340" i="4"/>
  <c r="M340" i="4"/>
  <c r="N339" i="4"/>
  <c r="M339" i="4"/>
  <c r="N338" i="4"/>
  <c r="M338" i="4"/>
  <c r="N337" i="4"/>
  <c r="M337" i="4"/>
  <c r="N336" i="4"/>
  <c r="M336" i="4"/>
  <c r="N335" i="4"/>
  <c r="M335" i="4"/>
  <c r="N334" i="4"/>
  <c r="M334" i="4"/>
  <c r="N333" i="4"/>
  <c r="M333" i="4"/>
  <c r="N332" i="4"/>
  <c r="M332" i="4"/>
  <c r="N331" i="4"/>
  <c r="M331" i="4"/>
  <c r="N330" i="4"/>
  <c r="M330" i="4"/>
  <c r="N329" i="4"/>
  <c r="M329" i="4"/>
  <c r="N328" i="4"/>
  <c r="M328" i="4"/>
  <c r="N327" i="4"/>
  <c r="M327" i="4"/>
  <c r="N326" i="4"/>
  <c r="M326" i="4"/>
  <c r="N325" i="4"/>
  <c r="M325" i="4"/>
  <c r="N324" i="4"/>
  <c r="M324" i="4"/>
  <c r="N323" i="4"/>
  <c r="M323" i="4"/>
  <c r="N322" i="4"/>
  <c r="M322" i="4"/>
  <c r="N321" i="4"/>
  <c r="M321" i="4"/>
  <c r="N320" i="4"/>
  <c r="M320" i="4"/>
  <c r="N319" i="4"/>
  <c r="M319" i="4"/>
  <c r="N318" i="4"/>
  <c r="M318" i="4"/>
  <c r="N317" i="4"/>
  <c r="M317" i="4"/>
  <c r="N316" i="4"/>
  <c r="M316" i="4"/>
  <c r="N315" i="4"/>
  <c r="M315" i="4"/>
  <c r="N314" i="4"/>
  <c r="M314" i="4"/>
  <c r="N313" i="4"/>
  <c r="M313" i="4"/>
  <c r="N312" i="4"/>
  <c r="M312" i="4"/>
  <c r="N311" i="4"/>
  <c r="M311" i="4"/>
  <c r="N310" i="4"/>
  <c r="M310" i="4"/>
  <c r="N309" i="4"/>
  <c r="M309" i="4"/>
  <c r="N308" i="4"/>
  <c r="M308" i="4"/>
  <c r="N307" i="4"/>
  <c r="M307" i="4"/>
  <c r="N306" i="4"/>
  <c r="M306" i="4"/>
  <c r="N305" i="4"/>
  <c r="M305" i="4"/>
  <c r="N304" i="4"/>
  <c r="M304" i="4"/>
  <c r="N303" i="4"/>
  <c r="M303" i="4"/>
  <c r="N302" i="4"/>
  <c r="M302" i="4"/>
  <c r="N301" i="4"/>
  <c r="M301" i="4"/>
  <c r="N300" i="4"/>
  <c r="M300" i="4"/>
  <c r="N299" i="4"/>
  <c r="M299" i="4"/>
  <c r="N298" i="4"/>
  <c r="M298" i="4"/>
  <c r="N297" i="4"/>
  <c r="M297" i="4"/>
  <c r="N296" i="4"/>
  <c r="M296" i="4"/>
  <c r="N295" i="4"/>
  <c r="M295" i="4"/>
  <c r="N294" i="4"/>
  <c r="M294" i="4"/>
  <c r="N293" i="4"/>
  <c r="M293" i="4"/>
  <c r="N292" i="4"/>
  <c r="M292" i="4"/>
  <c r="N291" i="4"/>
  <c r="M291" i="4"/>
  <c r="N290" i="4"/>
  <c r="M290" i="4"/>
  <c r="N289" i="4"/>
  <c r="M289" i="4"/>
  <c r="N288" i="4"/>
  <c r="M288" i="4"/>
  <c r="N287" i="4"/>
  <c r="M287" i="4"/>
  <c r="N286" i="4"/>
  <c r="M286" i="4"/>
  <c r="N285" i="4"/>
  <c r="M285" i="4"/>
  <c r="N284" i="4"/>
  <c r="M284" i="4"/>
  <c r="N283" i="4"/>
  <c r="M283" i="4"/>
  <c r="N282" i="4"/>
  <c r="M282" i="4"/>
  <c r="N281" i="4"/>
  <c r="M281" i="4"/>
  <c r="N280" i="4"/>
  <c r="M280" i="4"/>
  <c r="N279" i="4"/>
  <c r="M279" i="4"/>
  <c r="N278" i="4"/>
  <c r="M278" i="4"/>
  <c r="N277" i="4"/>
  <c r="M277" i="4"/>
  <c r="N276" i="4"/>
  <c r="M276" i="4"/>
  <c r="N275" i="4"/>
  <c r="M275" i="4"/>
  <c r="N274" i="4"/>
  <c r="M274" i="4"/>
  <c r="N273" i="4"/>
  <c r="M273" i="4"/>
  <c r="N272" i="4"/>
  <c r="M272" i="4"/>
  <c r="N271" i="4"/>
  <c r="M271" i="4"/>
  <c r="N270" i="4"/>
  <c r="M270" i="4"/>
  <c r="N269" i="4"/>
  <c r="M269" i="4"/>
  <c r="N268" i="4"/>
  <c r="M268" i="4"/>
  <c r="N267" i="4"/>
  <c r="M267" i="4"/>
  <c r="N266" i="4"/>
  <c r="M266" i="4"/>
  <c r="N265" i="4"/>
  <c r="M265" i="4"/>
  <c r="N264" i="4"/>
  <c r="M264" i="4"/>
  <c r="N263" i="4"/>
  <c r="M263" i="4"/>
  <c r="N262" i="4"/>
  <c r="M262" i="4"/>
  <c r="N261" i="4"/>
  <c r="M261" i="4"/>
  <c r="N260" i="4"/>
  <c r="M260" i="4"/>
  <c r="N259" i="4"/>
  <c r="M259" i="4"/>
  <c r="N258" i="4"/>
  <c r="M258" i="4"/>
  <c r="N257" i="4"/>
  <c r="M257" i="4"/>
  <c r="N256" i="4"/>
  <c r="M256" i="4"/>
  <c r="N255" i="4"/>
  <c r="M255" i="4"/>
  <c r="N254" i="4"/>
  <c r="M254" i="4"/>
  <c r="N253" i="4"/>
  <c r="M253" i="4"/>
  <c r="N252" i="4"/>
  <c r="M252" i="4"/>
  <c r="N251" i="4"/>
  <c r="M251" i="4"/>
  <c r="N250" i="4"/>
  <c r="M250" i="4"/>
  <c r="N249" i="4"/>
  <c r="M249" i="4"/>
  <c r="N248" i="4"/>
  <c r="M248" i="4"/>
  <c r="N247" i="4"/>
  <c r="M247" i="4"/>
  <c r="N246" i="4"/>
  <c r="M246" i="4"/>
  <c r="N245" i="4"/>
  <c r="M245" i="4"/>
  <c r="N244" i="4"/>
  <c r="M244" i="4"/>
  <c r="N243" i="4"/>
  <c r="M243" i="4"/>
  <c r="N242" i="4"/>
  <c r="M242" i="4"/>
  <c r="N241" i="4"/>
  <c r="M241" i="4"/>
  <c r="N240" i="4"/>
  <c r="M240" i="4"/>
  <c r="N239" i="4"/>
  <c r="M239" i="4"/>
  <c r="N238" i="4"/>
  <c r="M238" i="4"/>
  <c r="N237" i="4"/>
  <c r="M237" i="4"/>
  <c r="N236" i="4"/>
  <c r="M236" i="4"/>
  <c r="N235" i="4"/>
  <c r="M235" i="4"/>
  <c r="N234" i="4"/>
  <c r="M234" i="4"/>
  <c r="N233" i="4"/>
  <c r="M233" i="4"/>
  <c r="N232" i="4"/>
  <c r="M232" i="4"/>
  <c r="N231" i="4"/>
  <c r="M231" i="4"/>
  <c r="N230" i="4"/>
  <c r="M230" i="4"/>
  <c r="N229" i="4"/>
  <c r="M229" i="4"/>
  <c r="N228" i="4"/>
  <c r="M228" i="4"/>
  <c r="N227" i="4"/>
  <c r="M227" i="4"/>
  <c r="N226" i="4"/>
  <c r="M226" i="4"/>
  <c r="N225" i="4"/>
  <c r="M225" i="4"/>
  <c r="N224" i="4"/>
  <c r="M224" i="4"/>
  <c r="N223" i="4"/>
  <c r="M223" i="4"/>
  <c r="N222" i="4"/>
  <c r="M222" i="4"/>
  <c r="N221" i="4"/>
  <c r="M221" i="4"/>
  <c r="N220" i="4"/>
  <c r="M220" i="4"/>
  <c r="N219" i="4"/>
  <c r="M219" i="4"/>
  <c r="N218" i="4"/>
  <c r="M218" i="4"/>
  <c r="N217" i="4"/>
  <c r="M217" i="4"/>
  <c r="N216" i="4"/>
  <c r="M216" i="4"/>
  <c r="N215" i="4"/>
  <c r="M215" i="4"/>
  <c r="N214" i="4"/>
  <c r="M214" i="4"/>
  <c r="N213" i="4"/>
  <c r="M213" i="4"/>
  <c r="N212" i="4"/>
  <c r="M212" i="4"/>
  <c r="N211" i="4"/>
  <c r="M211" i="4"/>
  <c r="N210" i="4"/>
  <c r="M210" i="4"/>
  <c r="N209" i="4"/>
  <c r="M209" i="4"/>
  <c r="N208" i="4"/>
  <c r="M208" i="4"/>
  <c r="N207" i="4"/>
  <c r="M207" i="4"/>
  <c r="N206" i="4"/>
  <c r="M206" i="4"/>
  <c r="N205" i="4"/>
  <c r="M205" i="4"/>
  <c r="N204" i="4"/>
  <c r="M204" i="4"/>
  <c r="N203" i="4"/>
  <c r="M203" i="4"/>
  <c r="N202" i="4"/>
  <c r="M202" i="4"/>
  <c r="N201" i="4"/>
  <c r="M201" i="4"/>
  <c r="N200" i="4"/>
  <c r="M200" i="4"/>
  <c r="N199" i="4"/>
  <c r="M199" i="4"/>
  <c r="N198" i="4"/>
  <c r="M198" i="4"/>
  <c r="N197" i="4"/>
  <c r="M197" i="4"/>
  <c r="N196" i="4"/>
  <c r="M196" i="4"/>
  <c r="N195" i="4"/>
  <c r="M195" i="4"/>
  <c r="N194" i="4"/>
  <c r="M194" i="4"/>
  <c r="N193" i="4"/>
  <c r="M193" i="4"/>
  <c r="N192" i="4"/>
  <c r="M192" i="4"/>
  <c r="N191" i="4"/>
  <c r="M191" i="4"/>
  <c r="N190" i="4"/>
  <c r="M190" i="4"/>
  <c r="N189" i="4"/>
  <c r="M189" i="4"/>
  <c r="N188" i="4"/>
  <c r="M188" i="4"/>
  <c r="N187" i="4"/>
  <c r="M187" i="4"/>
  <c r="N186" i="4"/>
  <c r="M186" i="4"/>
  <c r="N185" i="4"/>
  <c r="M185" i="4"/>
  <c r="N184" i="4"/>
  <c r="M184" i="4"/>
  <c r="N183" i="4"/>
  <c r="M183" i="4"/>
  <c r="N182" i="4"/>
  <c r="M182" i="4"/>
  <c r="N181" i="4"/>
  <c r="M181" i="4"/>
  <c r="N180" i="4"/>
  <c r="M180" i="4"/>
  <c r="N179" i="4"/>
  <c r="M179" i="4"/>
  <c r="N178" i="4"/>
  <c r="M178" i="4"/>
  <c r="N177" i="4"/>
  <c r="M177" i="4"/>
  <c r="N176" i="4"/>
  <c r="M176" i="4"/>
  <c r="N175" i="4"/>
  <c r="M175" i="4"/>
  <c r="N174" i="4"/>
  <c r="M174" i="4"/>
  <c r="N173" i="4"/>
  <c r="M173" i="4"/>
  <c r="N172" i="4"/>
  <c r="M172" i="4"/>
  <c r="N171" i="4"/>
  <c r="M171" i="4"/>
  <c r="N170" i="4"/>
  <c r="M170" i="4"/>
  <c r="N169" i="4"/>
  <c r="M169" i="4"/>
  <c r="N168" i="4"/>
  <c r="M168" i="4"/>
  <c r="N167" i="4"/>
  <c r="M167" i="4"/>
  <c r="N166" i="4"/>
  <c r="M166" i="4"/>
  <c r="N165" i="4"/>
  <c r="M165" i="4"/>
  <c r="N164" i="4"/>
  <c r="M164" i="4"/>
  <c r="N163" i="4"/>
  <c r="M163" i="4"/>
  <c r="N162" i="4"/>
  <c r="M162" i="4"/>
  <c r="N161" i="4"/>
  <c r="M161" i="4"/>
  <c r="N160" i="4"/>
  <c r="M160" i="4"/>
  <c r="N159" i="4"/>
  <c r="M159" i="4"/>
  <c r="N158" i="4"/>
  <c r="M158" i="4"/>
  <c r="N157" i="4"/>
  <c r="M157" i="4"/>
  <c r="N156" i="4"/>
  <c r="M156" i="4"/>
  <c r="N155" i="4"/>
  <c r="M155" i="4"/>
  <c r="N154" i="4"/>
  <c r="M154" i="4"/>
  <c r="N153" i="4"/>
  <c r="M153" i="4"/>
  <c r="N152" i="4"/>
  <c r="M152" i="4"/>
  <c r="N151" i="4"/>
  <c r="M151" i="4"/>
  <c r="N150" i="4"/>
  <c r="M150" i="4"/>
  <c r="N149" i="4"/>
  <c r="M149" i="4"/>
  <c r="N148" i="4"/>
  <c r="M148" i="4"/>
  <c r="N147" i="4"/>
  <c r="M147" i="4"/>
  <c r="N146" i="4"/>
  <c r="M146" i="4"/>
  <c r="N145" i="4"/>
  <c r="M145" i="4"/>
  <c r="N144" i="4"/>
  <c r="M144" i="4"/>
  <c r="N143" i="4"/>
  <c r="M143" i="4"/>
  <c r="N141" i="4"/>
  <c r="M141" i="4"/>
  <c r="N140" i="4"/>
  <c r="M140" i="4"/>
  <c r="N139" i="4"/>
  <c r="M139" i="4"/>
  <c r="N138" i="4"/>
  <c r="M138" i="4"/>
  <c r="N137" i="4"/>
  <c r="M137" i="4"/>
  <c r="N136" i="4"/>
  <c r="M136" i="4"/>
  <c r="N135" i="4"/>
  <c r="M135" i="4"/>
  <c r="N134" i="4"/>
  <c r="M134" i="4"/>
  <c r="N133" i="4"/>
  <c r="M133" i="4"/>
  <c r="N132" i="4"/>
  <c r="M132" i="4"/>
  <c r="N131" i="4"/>
  <c r="M131" i="4"/>
  <c r="N130" i="4"/>
  <c r="M130" i="4"/>
  <c r="N129" i="4"/>
  <c r="M129" i="4"/>
  <c r="N128" i="4"/>
  <c r="M128" i="4"/>
  <c r="N127" i="4"/>
  <c r="M127" i="4"/>
  <c r="N126" i="4"/>
  <c r="M126" i="4"/>
  <c r="N125" i="4"/>
  <c r="M125" i="4"/>
  <c r="N124" i="4"/>
  <c r="M124" i="4"/>
  <c r="N123" i="4"/>
  <c r="M123" i="4"/>
  <c r="N122" i="4"/>
  <c r="M122" i="4"/>
  <c r="N121" i="4"/>
  <c r="M121" i="4"/>
  <c r="N120" i="4"/>
  <c r="M120" i="4"/>
  <c r="N119" i="4"/>
  <c r="M119" i="4"/>
  <c r="N118" i="4"/>
  <c r="M118" i="4"/>
  <c r="N117" i="4"/>
  <c r="M117" i="4"/>
  <c r="N116" i="4"/>
  <c r="M116" i="4"/>
  <c r="N115" i="4"/>
  <c r="M115" i="4"/>
  <c r="N114" i="4"/>
  <c r="M114" i="4"/>
  <c r="N113" i="4"/>
  <c r="M113" i="4"/>
  <c r="N112" i="4"/>
  <c r="M112" i="4"/>
  <c r="N111" i="4"/>
  <c r="M111" i="4"/>
  <c r="N110" i="4"/>
  <c r="M110" i="4"/>
  <c r="N109" i="4"/>
  <c r="M109" i="4"/>
  <c r="N108" i="4"/>
  <c r="M108" i="4"/>
  <c r="N107" i="4"/>
  <c r="M107" i="4"/>
  <c r="N106" i="4"/>
  <c r="M106" i="4"/>
  <c r="N105" i="4"/>
  <c r="M105" i="4"/>
  <c r="N104" i="4"/>
  <c r="M104" i="4"/>
  <c r="N103" i="4"/>
  <c r="M103" i="4"/>
  <c r="N102" i="4"/>
  <c r="M102" i="4"/>
  <c r="N101" i="4"/>
  <c r="M101" i="4"/>
  <c r="N100" i="4"/>
  <c r="M100" i="4"/>
  <c r="N99" i="4"/>
  <c r="M99" i="4"/>
  <c r="N98" i="4"/>
  <c r="M98" i="4"/>
  <c r="N97" i="4"/>
  <c r="M97" i="4"/>
  <c r="N96" i="4"/>
  <c r="M96" i="4"/>
  <c r="N95" i="4"/>
  <c r="M95" i="4"/>
  <c r="N94" i="4"/>
  <c r="M94" i="4"/>
  <c r="N93" i="4"/>
  <c r="M93" i="4"/>
  <c r="N92" i="4"/>
  <c r="M92" i="4"/>
  <c r="N91" i="4"/>
  <c r="M91" i="4"/>
  <c r="N90" i="4"/>
  <c r="M90" i="4"/>
  <c r="N89" i="4"/>
  <c r="M89" i="4"/>
  <c r="N88" i="4"/>
  <c r="M88" i="4"/>
  <c r="N87" i="4"/>
  <c r="M87" i="4"/>
  <c r="N86" i="4"/>
  <c r="M86" i="4"/>
  <c r="N85" i="4"/>
  <c r="M85" i="4"/>
  <c r="N84" i="4"/>
  <c r="M84" i="4"/>
  <c r="N83" i="4"/>
  <c r="M83" i="4"/>
  <c r="N82" i="4"/>
  <c r="M82" i="4"/>
  <c r="N81" i="4"/>
  <c r="M81" i="4"/>
  <c r="N80" i="4"/>
  <c r="M80" i="4"/>
  <c r="N79" i="4"/>
  <c r="M79" i="4"/>
  <c r="N78" i="4"/>
  <c r="M78" i="4"/>
  <c r="N77" i="4"/>
  <c r="M77" i="4"/>
  <c r="N76" i="4"/>
  <c r="M76" i="4"/>
  <c r="N75" i="4"/>
  <c r="M75" i="4"/>
  <c r="N74" i="4"/>
  <c r="M74" i="4"/>
  <c r="N73" i="4"/>
  <c r="M73" i="4"/>
  <c r="N72" i="4"/>
  <c r="M72" i="4"/>
  <c r="N71" i="4"/>
  <c r="M71" i="4"/>
  <c r="N70" i="4"/>
  <c r="M70" i="4"/>
  <c r="N69" i="4"/>
  <c r="M69" i="4"/>
  <c r="N68" i="4"/>
  <c r="M68" i="4"/>
  <c r="N67" i="4"/>
  <c r="M67" i="4"/>
  <c r="N66" i="4"/>
  <c r="M66" i="4"/>
  <c r="N65" i="4"/>
  <c r="M65" i="4"/>
  <c r="N64" i="4"/>
  <c r="M64" i="4"/>
  <c r="N63" i="4"/>
  <c r="M63" i="4"/>
  <c r="N62" i="4"/>
  <c r="M62" i="4"/>
  <c r="N61" i="4"/>
  <c r="M61" i="4"/>
  <c r="N42" i="4"/>
  <c r="M42" i="4"/>
  <c r="N41" i="4"/>
  <c r="M41" i="4"/>
  <c r="N40" i="4"/>
  <c r="M40" i="4"/>
  <c r="N39" i="4"/>
  <c r="M39" i="4"/>
  <c r="N38" i="4"/>
  <c r="M38" i="4"/>
  <c r="N37" i="4"/>
  <c r="M37" i="4"/>
  <c r="N36" i="4"/>
  <c r="M36" i="4"/>
  <c r="N35" i="4"/>
  <c r="M35" i="4"/>
  <c r="N34" i="4"/>
  <c r="M34" i="4"/>
  <c r="N33" i="4"/>
  <c r="M33" i="4"/>
  <c r="N30" i="4"/>
  <c r="M30" i="4"/>
  <c r="N29" i="4"/>
  <c r="M29" i="4"/>
  <c r="N28" i="4"/>
  <c r="M28" i="4"/>
  <c r="N25" i="4"/>
  <c r="M25" i="4"/>
  <c r="N24" i="4"/>
  <c r="M24" i="4"/>
  <c r="N23" i="4"/>
  <c r="M23" i="4"/>
  <c r="N22" i="4"/>
  <c r="M22" i="4"/>
  <c r="N21" i="4"/>
  <c r="M21" i="4"/>
  <c r="N20" i="4"/>
  <c r="M20" i="4"/>
  <c r="N19" i="4"/>
  <c r="M19" i="4"/>
  <c r="N18" i="4"/>
  <c r="M18" i="4"/>
  <c r="N17" i="4"/>
  <c r="M17" i="4"/>
  <c r="N16" i="4"/>
  <c r="M16" i="4"/>
  <c r="N15" i="4"/>
  <c r="M15" i="4"/>
  <c r="N14" i="4"/>
  <c r="M14" i="4"/>
  <c r="N13" i="4"/>
  <c r="M13" i="4"/>
  <c r="N12" i="4"/>
  <c r="M12" i="4"/>
  <c r="N11" i="4"/>
  <c r="M11" i="4"/>
  <c r="N10" i="4"/>
  <c r="M10" i="4"/>
  <c r="N9" i="4"/>
  <c r="M9" i="4"/>
  <c r="N8" i="4"/>
  <c r="N7" i="4"/>
  <c r="M7" i="4"/>
  <c r="N6" i="4"/>
  <c r="M6" i="4"/>
  <c r="K1619" i="4" l="1"/>
  <c r="J1619" i="4"/>
  <c r="K1620" i="4"/>
  <c r="J1620" i="4"/>
  <c r="J1739" i="4"/>
  <c r="K1739" i="4"/>
  <c r="K1740" i="4"/>
  <c r="J1740" i="4"/>
  <c r="K1189" i="4"/>
  <c r="J1189" i="4"/>
  <c r="E1014" i="10" s="1"/>
  <c r="K939" i="4"/>
  <c r="J939" i="4"/>
  <c r="J1304" i="4"/>
  <c r="O1304" i="4" s="1"/>
  <c r="K1304" i="4"/>
  <c r="K1093" i="4"/>
  <c r="J1093" i="4"/>
  <c r="J1255" i="4"/>
  <c r="O1255" i="4" s="1"/>
  <c r="K1255" i="4"/>
  <c r="K1103" i="4"/>
  <c r="J1103" i="4"/>
  <c r="K1076" i="4"/>
  <c r="J1076" i="4"/>
  <c r="K1104" i="4"/>
  <c r="J1104" i="4"/>
  <c r="E1046" i="10" s="1"/>
  <c r="J1123" i="4"/>
  <c r="K1123" i="4"/>
  <c r="K1124" i="4"/>
  <c r="J1124" i="4"/>
  <c r="E1044" i="10" s="1"/>
  <c r="J1182" i="4"/>
  <c r="K1182" i="4"/>
  <c r="J512" i="4"/>
  <c r="F511" i="22" s="1"/>
  <c r="G512" i="4"/>
  <c r="K512" i="4"/>
  <c r="H512" i="4"/>
  <c r="K509" i="4"/>
  <c r="F508" i="22"/>
  <c r="H509" i="4"/>
  <c r="G509" i="4"/>
  <c r="K511" i="4"/>
  <c r="H511" i="4"/>
  <c r="G511" i="4"/>
  <c r="F510" i="22"/>
  <c r="H508" i="4"/>
  <c r="J508" i="4"/>
  <c r="F507" i="22" s="1"/>
  <c r="G508" i="4"/>
  <c r="K508" i="4"/>
  <c r="H1123" i="4"/>
  <c r="G1123" i="4"/>
  <c r="H1124" i="4"/>
  <c r="G1124" i="4"/>
  <c r="H1104" i="4"/>
  <c r="G1104" i="4"/>
  <c r="D1046" i="10" s="1"/>
  <c r="H1182" i="4"/>
  <c r="G1182" i="4"/>
  <c r="H1103" i="4"/>
  <c r="G1103" i="4"/>
  <c r="H1189" i="4"/>
  <c r="G1189" i="4"/>
  <c r="H1304" i="4"/>
  <c r="G1304" i="4"/>
  <c r="H1255" i="4"/>
  <c r="G1255" i="4"/>
  <c r="H1076" i="4"/>
  <c r="G1076" i="4"/>
  <c r="H939" i="4"/>
  <c r="G939" i="4"/>
  <c r="H1093" i="4"/>
  <c r="G1093" i="4"/>
  <c r="H525" i="4"/>
  <c r="G525" i="4"/>
  <c r="G496" i="4"/>
  <c r="H496" i="4"/>
  <c r="G486" i="4"/>
  <c r="H486" i="4"/>
  <c r="G499" i="4"/>
  <c r="H499" i="4"/>
  <c r="H515" i="4"/>
  <c r="G515" i="4"/>
  <c r="H531" i="4"/>
  <c r="G531" i="4"/>
  <c r="H497" i="4"/>
  <c r="G497" i="4"/>
  <c r="H528" i="4"/>
  <c r="G528" i="4"/>
  <c r="H530" i="4"/>
  <c r="G530" i="4"/>
  <c r="H487" i="4"/>
  <c r="G487" i="4"/>
  <c r="H500" i="4"/>
  <c r="G500" i="4"/>
  <c r="H516" i="4"/>
  <c r="G516" i="4"/>
  <c r="H532" i="4"/>
  <c r="G532" i="4"/>
  <c r="H488" i="4"/>
  <c r="G488" i="4"/>
  <c r="H501" i="4"/>
  <c r="G501" i="4"/>
  <c r="H517" i="4"/>
  <c r="G517" i="4"/>
  <c r="H730" i="4"/>
  <c r="G730" i="4"/>
  <c r="G489" i="4"/>
  <c r="H489" i="4"/>
  <c r="G502" i="4"/>
  <c r="H502" i="4"/>
  <c r="G518" i="4"/>
  <c r="H518" i="4"/>
  <c r="H731" i="4"/>
  <c r="G731" i="4"/>
  <c r="G490" i="4"/>
  <c r="H490" i="4"/>
  <c r="G503" i="4"/>
  <c r="H503" i="4"/>
  <c r="H519" i="4"/>
  <c r="G519" i="4"/>
  <c r="G526" i="4"/>
  <c r="H526" i="4"/>
  <c r="H491" i="4"/>
  <c r="I180" i="16" s="1"/>
  <c r="G491" i="4"/>
  <c r="H180" i="16" s="1"/>
  <c r="G506" i="4"/>
  <c r="H506" i="4"/>
  <c r="H521" i="4"/>
  <c r="G521" i="4"/>
  <c r="G498" i="4"/>
  <c r="H498" i="4"/>
  <c r="G513" i="4"/>
  <c r="H513" i="4"/>
  <c r="G492" i="4"/>
  <c r="H492" i="4"/>
  <c r="H507" i="4"/>
  <c r="G507" i="4"/>
  <c r="H522" i="4"/>
  <c r="G522" i="4"/>
  <c r="H493" i="4"/>
  <c r="G493" i="4"/>
  <c r="H524" i="4"/>
  <c r="G524" i="4"/>
  <c r="H142" i="4"/>
  <c r="G142" i="4"/>
  <c r="D844" i="10" s="1"/>
  <c r="F518" i="22"/>
  <c r="K518" i="4"/>
  <c r="K731" i="4"/>
  <c r="J731" i="4"/>
  <c r="F727" i="22" s="1"/>
  <c r="F503" i="22"/>
  <c r="K503" i="4"/>
  <c r="K519" i="4"/>
  <c r="F519" i="22"/>
  <c r="K491" i="4"/>
  <c r="F491" i="22"/>
  <c r="K506" i="4"/>
  <c r="F505" i="22"/>
  <c r="K521" i="4"/>
  <c r="F521" i="22"/>
  <c r="F492" i="22"/>
  <c r="K492" i="4"/>
  <c r="J507" i="4"/>
  <c r="F506" i="22" s="1"/>
  <c r="K507" i="4"/>
  <c r="F522" i="22"/>
  <c r="K522" i="4"/>
  <c r="K490" i="4"/>
  <c r="F490" i="22"/>
  <c r="K493" i="4"/>
  <c r="F493" i="22"/>
  <c r="K524" i="4"/>
  <c r="F523" i="22"/>
  <c r="K142" i="4"/>
  <c r="F143" i="22"/>
  <c r="F524" i="22"/>
  <c r="K525" i="4"/>
  <c r="F502" i="22"/>
  <c r="K502" i="4"/>
  <c r="F496" i="22"/>
  <c r="K496" i="4"/>
  <c r="F525" i="22"/>
  <c r="K526" i="4"/>
  <c r="K497" i="4"/>
  <c r="F497" i="22"/>
  <c r="K528" i="4"/>
  <c r="F527" i="22"/>
  <c r="K498" i="4"/>
  <c r="F498" i="22"/>
  <c r="K513" i="4"/>
  <c r="J513" i="4"/>
  <c r="F512" i="22" s="1"/>
  <c r="K530" i="4"/>
  <c r="F528" i="22"/>
  <c r="F489" i="22"/>
  <c r="K489" i="4"/>
  <c r="F486" i="22"/>
  <c r="K486" i="4"/>
  <c r="F499" i="22"/>
  <c r="K499" i="4"/>
  <c r="J515" i="4"/>
  <c r="F514" i="22" s="1"/>
  <c r="K515" i="4"/>
  <c r="F529" i="22"/>
  <c r="K531" i="4"/>
  <c r="K487" i="4"/>
  <c r="F487" i="22"/>
  <c r="F500" i="22"/>
  <c r="K500" i="4"/>
  <c r="K516" i="4"/>
  <c r="F516" i="22"/>
  <c r="F530" i="22"/>
  <c r="K532" i="4"/>
  <c r="K488" i="4"/>
  <c r="F488" i="22"/>
  <c r="K501" i="4"/>
  <c r="F501" i="22"/>
  <c r="K517" i="4"/>
  <c r="F517" i="22"/>
  <c r="K730" i="4"/>
  <c r="J730" i="4"/>
  <c r="F726" i="22" s="1"/>
  <c r="G1739" i="4"/>
  <c r="H452" i="16" s="1"/>
  <c r="G1619" i="4"/>
  <c r="H1619" i="4"/>
  <c r="H1739" i="4"/>
  <c r="I452" i="16" s="1"/>
  <c r="J452" i="16" s="1"/>
  <c r="G1740" i="4"/>
  <c r="H453" i="16" s="1"/>
  <c r="H1740" i="4"/>
  <c r="I453" i="16" s="1"/>
  <c r="J453" i="16" s="1"/>
  <c r="H1620" i="4"/>
  <c r="G1620" i="4"/>
  <c r="C495" i="22"/>
  <c r="I185" i="16" l="1"/>
  <c r="H185" i="16"/>
  <c r="D1014" i="10"/>
  <c r="D1044" i="10"/>
  <c r="I181" i="16"/>
  <c r="H181" i="16"/>
  <c r="I187" i="16"/>
  <c r="G495" i="22"/>
  <c r="AB495" i="22" s="1"/>
  <c r="R494" i="4"/>
  <c r="I179" i="16"/>
  <c r="H177" i="16"/>
  <c r="I184" i="16"/>
  <c r="H176" i="16"/>
  <c r="I178" i="16"/>
  <c r="I182" i="16"/>
  <c r="H179" i="16"/>
  <c r="I176" i="16"/>
  <c r="I175" i="16"/>
  <c r="H187" i="16"/>
  <c r="I186" i="16"/>
  <c r="H175" i="16"/>
  <c r="H182" i="16"/>
  <c r="I183" i="16"/>
  <c r="H183" i="16"/>
  <c r="H178" i="16"/>
  <c r="H186" i="16"/>
  <c r="I177" i="16"/>
  <c r="H184" i="16"/>
  <c r="C1114" i="22"/>
  <c r="R1123" i="4" s="1"/>
  <c r="C1084" i="22"/>
  <c r="R1093" i="4" s="1"/>
  <c r="C1294" i="22"/>
  <c r="R1304" i="4" s="1"/>
  <c r="C507" i="22"/>
  <c r="R508" i="4" s="1"/>
  <c r="C508" i="22"/>
  <c r="R509" i="4" s="1"/>
  <c r="C510" i="22"/>
  <c r="R511" i="4" s="1"/>
  <c r="C511" i="22"/>
  <c r="R512" i="4" s="1"/>
  <c r="P1103" i="4"/>
  <c r="P1182" i="4"/>
  <c r="P1076" i="4"/>
  <c r="P1124" i="4"/>
  <c r="S731" i="4"/>
  <c r="C514" i="22"/>
  <c r="R515" i="4" s="1"/>
  <c r="C1094" i="22"/>
  <c r="R1103" i="4" s="1"/>
  <c r="C505" i="22"/>
  <c r="R506" i="4" s="1"/>
  <c r="C496" i="22"/>
  <c r="R496" i="4" s="1"/>
  <c r="C528" i="22"/>
  <c r="R530" i="4" s="1"/>
  <c r="C501" i="22"/>
  <c r="R501" i="4" s="1"/>
  <c r="C1245" i="22"/>
  <c r="R1255" i="4" s="1"/>
  <c r="C487" i="22"/>
  <c r="R487" i="4" s="1"/>
  <c r="C529" i="22"/>
  <c r="R531" i="4" s="1"/>
  <c r="C1067" i="22"/>
  <c r="R1076" i="4" s="1"/>
  <c r="C493" i="22"/>
  <c r="R493" i="4" s="1"/>
  <c r="C489" i="22"/>
  <c r="R489" i="4" s="1"/>
  <c r="C486" i="22"/>
  <c r="R486" i="4" s="1"/>
  <c r="C516" i="22"/>
  <c r="R516" i="4" s="1"/>
  <c r="C517" i="22"/>
  <c r="R517" i="4" s="1"/>
  <c r="C524" i="22"/>
  <c r="R525" i="4" s="1"/>
  <c r="C500" i="22"/>
  <c r="R500" i="4" s="1"/>
  <c r="C492" i="22"/>
  <c r="R492" i="4" s="1"/>
  <c r="C522" i="22"/>
  <c r="R522" i="4" s="1"/>
  <c r="C490" i="22"/>
  <c r="R490" i="4" s="1"/>
  <c r="C506" i="22"/>
  <c r="R507" i="4" s="1"/>
  <c r="C518" i="22"/>
  <c r="R518" i="4" s="1"/>
  <c r="C512" i="22"/>
  <c r="R513" i="4" s="1"/>
  <c r="C497" i="22"/>
  <c r="R497" i="4" s="1"/>
  <c r="C527" i="22"/>
  <c r="R528" i="4" s="1"/>
  <c r="C523" i="22"/>
  <c r="R524" i="4" s="1"/>
  <c r="C519" i="22"/>
  <c r="R519" i="4" s="1"/>
  <c r="C488" i="22"/>
  <c r="R488" i="4" s="1"/>
  <c r="C502" i="22"/>
  <c r="R502" i="4" s="1"/>
  <c r="C530" i="22"/>
  <c r="R532" i="4" s="1"/>
  <c r="C525" i="22"/>
  <c r="R526" i="4" s="1"/>
  <c r="C498" i="22"/>
  <c r="R498" i="4" s="1"/>
  <c r="C521" i="22"/>
  <c r="R521" i="4" s="1"/>
  <c r="C503" i="22"/>
  <c r="R503" i="4" s="1"/>
  <c r="C499" i="22"/>
  <c r="R499" i="4" s="1"/>
  <c r="C726" i="22"/>
  <c r="R730" i="4" s="1"/>
  <c r="S730" i="4"/>
  <c r="C1172" i="22"/>
  <c r="R1182" i="4" s="1"/>
  <c r="C1095" i="22"/>
  <c r="R1104" i="4" s="1"/>
  <c r="C1115" i="22"/>
  <c r="R1124" i="4" s="1"/>
  <c r="E17" i="20" a="1"/>
  <c r="E17" i="20" s="1"/>
  <c r="C930" i="22"/>
  <c r="R939" i="4" s="1"/>
  <c r="C1179" i="22"/>
  <c r="R1189" i="4" s="1"/>
  <c r="C143" i="22"/>
  <c r="R142" i="4" s="1"/>
  <c r="C727" i="22"/>
  <c r="R731" i="4" s="1"/>
  <c r="C491" i="22"/>
  <c r="R491" i="4" s="1"/>
  <c r="D17" i="20" a="1"/>
  <c r="D17" i="20" s="1"/>
  <c r="AA495" i="22" l="1"/>
  <c r="G493" i="22"/>
  <c r="G518" i="22"/>
  <c r="AB518" i="22" s="1"/>
  <c r="G1067" i="22"/>
  <c r="G507" i="22"/>
  <c r="G486" i="22"/>
  <c r="AB486" i="22" s="1"/>
  <c r="G521" i="22"/>
  <c r="G506" i="22"/>
  <c r="AB506" i="22" s="1"/>
  <c r="G529" i="22"/>
  <c r="G519" i="22"/>
  <c r="AB519" i="22" s="1"/>
  <c r="G1094" i="22"/>
  <c r="G527" i="22"/>
  <c r="G498" i="22"/>
  <c r="AB498" i="22" s="1"/>
  <c r="G508" i="22"/>
  <c r="G516" i="22"/>
  <c r="G497" i="22"/>
  <c r="G143" i="22"/>
  <c r="G511" i="22"/>
  <c r="G517" i="22"/>
  <c r="G505" i="22"/>
  <c r="AB505" i="22" s="1"/>
  <c r="G491" i="22"/>
  <c r="G523" i="22"/>
  <c r="G1084" i="22"/>
  <c r="G1172" i="22"/>
  <c r="G514" i="22"/>
  <c r="G489" i="22"/>
  <c r="AB489" i="22" s="1"/>
  <c r="G1115" i="22"/>
  <c r="G510" i="22"/>
  <c r="G1114" i="22"/>
  <c r="G727" i="22"/>
  <c r="G726" i="22"/>
  <c r="G499" i="22"/>
  <c r="G512" i="22"/>
  <c r="AB512" i="22" s="1"/>
  <c r="G1179" i="22"/>
  <c r="G503" i="22"/>
  <c r="G930" i="22"/>
  <c r="G490" i="22"/>
  <c r="G487" i="22"/>
  <c r="AB487" i="22" s="1"/>
  <c r="G525" i="22"/>
  <c r="AB525" i="22" s="1"/>
  <c r="G522" i="22"/>
  <c r="G530" i="22"/>
  <c r="G492" i="22"/>
  <c r="AB492" i="22" s="1"/>
  <c r="G501" i="22"/>
  <c r="AB501" i="22" s="1"/>
  <c r="G502" i="22"/>
  <c r="G500" i="22"/>
  <c r="G528" i="22"/>
  <c r="G1095" i="22"/>
  <c r="G488" i="22"/>
  <c r="AB488" i="22" s="1"/>
  <c r="G524" i="22"/>
  <c r="G496" i="22"/>
  <c r="AB496" i="22" s="1"/>
  <c r="G1245" i="22"/>
  <c r="G1294" i="22"/>
  <c r="L1304" i="4"/>
  <c r="L1255" i="4"/>
  <c r="A21" i="32"/>
  <c r="A18" i="32"/>
  <c r="N5" i="4"/>
  <c r="M5" i="4"/>
  <c r="T524" i="22" l="1"/>
  <c r="AA524" i="22" s="1"/>
  <c r="AA501" i="22"/>
  <c r="R490" i="22"/>
  <c r="AA490" i="22" s="1"/>
  <c r="AA726" i="22"/>
  <c r="AB726" i="22"/>
  <c r="S514" i="22"/>
  <c r="AA514" i="22" s="1"/>
  <c r="S517" i="22"/>
  <c r="AA517" i="22" s="1"/>
  <c r="AA498" i="22"/>
  <c r="T521" i="22"/>
  <c r="AA521" i="22" s="1"/>
  <c r="S503" i="22"/>
  <c r="AA503" i="22" s="1"/>
  <c r="T528" i="22"/>
  <c r="AA528" i="22" s="1"/>
  <c r="T522" i="22"/>
  <c r="AA522" i="22" s="1"/>
  <c r="S510" i="22"/>
  <c r="AA510" i="22" s="1"/>
  <c r="T523" i="22"/>
  <c r="AA523" i="22" s="1"/>
  <c r="S497" i="22"/>
  <c r="AA497" i="22" s="1"/>
  <c r="AA519" i="22"/>
  <c r="AA488" i="22"/>
  <c r="AA492" i="22"/>
  <c r="S511" i="22"/>
  <c r="AA511" i="22" s="1"/>
  <c r="T527" i="22"/>
  <c r="AA527" i="22" s="1"/>
  <c r="AA486" i="22"/>
  <c r="T530" i="22"/>
  <c r="AA530" i="22" s="1"/>
  <c r="L143" i="22"/>
  <c r="AA143" i="22" s="1"/>
  <c r="S507" i="22"/>
  <c r="AA507" i="22" s="1"/>
  <c r="S500" i="22"/>
  <c r="AA500" i="22" s="1"/>
  <c r="AA525" i="22"/>
  <c r="AA512" i="22"/>
  <c r="S491" i="22"/>
  <c r="AA491" i="22" s="1"/>
  <c r="S516" i="22"/>
  <c r="AA516" i="22" s="1"/>
  <c r="T529" i="22"/>
  <c r="AA529" i="22" s="1"/>
  <c r="AA518" i="22"/>
  <c r="AA496" i="22"/>
  <c r="R502" i="22"/>
  <c r="AA502" i="22" s="1"/>
  <c r="AA487" i="22"/>
  <c r="R499" i="22"/>
  <c r="AA499" i="22" s="1"/>
  <c r="AA489" i="22"/>
  <c r="AA505" i="22"/>
  <c r="S508" i="22"/>
  <c r="AA508" i="22" s="1"/>
  <c r="AA506" i="22"/>
  <c r="S493" i="22"/>
  <c r="AA493" i="22" s="1"/>
  <c r="W727" i="22"/>
  <c r="AA727" i="22" s="1"/>
  <c r="H1172" i="22"/>
  <c r="AA1172" i="22" s="1"/>
  <c r="S1095" i="22"/>
  <c r="AA1095" i="22" s="1"/>
  <c r="S1114" i="22"/>
  <c r="AA1114" i="22" s="1"/>
  <c r="S1084" i="22"/>
  <c r="AA1084" i="22" s="1"/>
  <c r="S1294" i="22"/>
  <c r="AA1294" i="22" s="1"/>
  <c r="J1179" i="22"/>
  <c r="AA1179" i="22" s="1"/>
  <c r="S1067" i="22"/>
  <c r="AA1067" i="22" s="1"/>
  <c r="S1245" i="22"/>
  <c r="AA1245" i="22" s="1"/>
  <c r="S1115" i="22"/>
  <c r="AA1115" i="22" s="1"/>
  <c r="H930" i="22"/>
  <c r="AA930" i="22" s="1"/>
  <c r="S1094" i="22"/>
  <c r="AA1094" i="22" s="1"/>
  <c r="G96" i="19"/>
  <c r="AB503" i="22" l="1"/>
  <c r="AB529" i="22"/>
  <c r="AB493" i="22"/>
  <c r="AB499" i="22"/>
  <c r="AB507" i="22"/>
  <c r="AB491" i="22"/>
  <c r="AB490" i="22"/>
  <c r="AB514" i="22"/>
  <c r="AB497" i="22"/>
  <c r="AB524" i="22"/>
  <c r="AB517" i="22"/>
  <c r="AB508" i="22"/>
  <c r="AB511" i="22"/>
  <c r="AB527" i="22"/>
  <c r="AB528" i="22"/>
  <c r="AB500" i="22"/>
  <c r="AB510" i="22"/>
  <c r="AB516" i="22"/>
  <c r="AB521" i="22"/>
  <c r="AB530" i="22"/>
  <c r="AB523" i="22"/>
  <c r="AB502" i="22"/>
  <c r="AB522" i="22"/>
  <c r="AB1067" i="22"/>
  <c r="AB1245" i="22"/>
  <c r="AB1294" i="22"/>
  <c r="AB1094" i="22"/>
  <c r="AB143" i="22"/>
  <c r="AB1172" i="22"/>
  <c r="AB727" i="22"/>
  <c r="AB1095" i="22"/>
  <c r="AB1115" i="22"/>
  <c r="AB1084" i="22"/>
  <c r="AB930" i="22"/>
  <c r="AB1179" i="22"/>
  <c r="AB1114" i="22"/>
  <c r="K106" i="19"/>
  <c r="G113" i="19"/>
  <c r="L118" i="19" l="1"/>
  <c r="L117" i="19"/>
  <c r="L116" i="19"/>
  <c r="L119" i="19" s="1"/>
  <c r="K113" i="19" l="1"/>
  <c r="J113" i="19"/>
  <c r="I113" i="19"/>
  <c r="H113" i="19"/>
  <c r="R111" i="19"/>
  <c r="L111" i="19"/>
  <c r="K103" i="19"/>
  <c r="J103" i="19"/>
  <c r="I103" i="19"/>
  <c r="H103" i="19"/>
  <c r="G103" i="19"/>
  <c r="L102"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N48" i="19" l="1"/>
  <c r="N49" i="19"/>
  <c r="N57" i="19"/>
  <c r="N65" i="19"/>
  <c r="N56" i="19"/>
  <c r="N42" i="19"/>
  <c r="N66" i="19"/>
  <c r="N59" i="19"/>
  <c r="N67" i="19"/>
  <c r="N64" i="19"/>
  <c r="N50" i="19"/>
  <c r="N51" i="19"/>
  <c r="N60" i="19"/>
  <c r="N40" i="19"/>
  <c r="N41" i="19"/>
  <c r="N58" i="19"/>
  <c r="N43" i="19"/>
  <c r="N36" i="19"/>
  <c r="N53" i="19"/>
  <c r="N61" i="19"/>
  <c r="N34" i="19"/>
  <c r="N35" i="19"/>
  <c r="N52" i="19"/>
  <c r="N45" i="19"/>
  <c r="N38" i="19"/>
  <c r="N46" i="19"/>
  <c r="N54" i="19"/>
  <c r="N62" i="19"/>
  <c r="N32" i="19"/>
  <c r="N33" i="19"/>
  <c r="N44" i="19"/>
  <c r="N37" i="19"/>
  <c r="N30" i="19"/>
  <c r="N31" i="19"/>
  <c r="N39" i="19"/>
  <c r="N47" i="19"/>
  <c r="N55" i="19"/>
  <c r="N63" i="19"/>
  <c r="N102" i="19"/>
  <c r="N111" i="19"/>
  <c r="E21" i="23" l="1"/>
  <c r="F1371" i="4" l="1"/>
  <c r="K1371" i="4" l="1"/>
  <c r="J1371" i="4"/>
  <c r="G1371" i="4"/>
  <c r="D1167" i="10" s="1"/>
  <c r="H1371" i="4"/>
  <c r="O1371" i="4" l="1"/>
  <c r="C1361" i="22"/>
  <c r="R1371" i="4" s="1"/>
  <c r="G6" i="32"/>
  <c r="F6" i="32"/>
  <c r="F1327" i="4"/>
  <c r="F1326" i="4"/>
  <c r="F1325" i="4"/>
  <c r="F1324" i="4"/>
  <c r="F1323" i="4"/>
  <c r="F1322" i="4"/>
  <c r="F1190" i="4"/>
  <c r="F1188" i="4"/>
  <c r="F1187" i="4"/>
  <c r="A718" i="32"/>
  <c r="A717" i="32"/>
  <c r="A716" i="32"/>
  <c r="A715" i="32"/>
  <c r="A714" i="32"/>
  <c r="A713" i="32"/>
  <c r="A712" i="32"/>
  <c r="A527" i="32"/>
  <c r="A526" i="32"/>
  <c r="A525" i="32"/>
  <c r="A358" i="32"/>
  <c r="A357" i="32"/>
  <c r="A356" i="32"/>
  <c r="A355" i="32"/>
  <c r="A354" i="32"/>
  <c r="A353" i="32"/>
  <c r="G1361" i="22" l="1"/>
  <c r="J1326" i="4"/>
  <c r="K1326" i="4"/>
  <c r="J1187" i="4"/>
  <c r="K1187" i="4"/>
  <c r="J1327" i="4"/>
  <c r="K1327" i="4"/>
  <c r="K1324" i="4"/>
  <c r="J1324" i="4"/>
  <c r="N1324" i="4" s="1"/>
  <c r="K1325" i="4"/>
  <c r="J1325" i="4"/>
  <c r="J1188" i="4"/>
  <c r="K1188" i="4"/>
  <c r="J1322" i="4"/>
  <c r="K1322" i="4"/>
  <c r="K1190" i="4"/>
  <c r="J1190" i="4"/>
  <c r="E1116" i="10" s="1"/>
  <c r="J1323" i="4"/>
  <c r="N1323" i="4" s="1"/>
  <c r="K1323" i="4"/>
  <c r="G1188" i="4"/>
  <c r="H1188" i="4"/>
  <c r="H1324" i="4"/>
  <c r="G1324" i="4"/>
  <c r="H1322" i="4"/>
  <c r="G1322" i="4"/>
  <c r="H1325" i="4"/>
  <c r="I707" i="16" s="1"/>
  <c r="G1325" i="4"/>
  <c r="H707" i="16" s="1"/>
  <c r="H1326" i="4"/>
  <c r="I708" i="16" s="1"/>
  <c r="G1326" i="4"/>
  <c r="H1327" i="4"/>
  <c r="G1327" i="4"/>
  <c r="H1323" i="4"/>
  <c r="G1323" i="4"/>
  <c r="G1187" i="4"/>
  <c r="H1187" i="4"/>
  <c r="H1190" i="4"/>
  <c r="G1190" i="4"/>
  <c r="L1371" i="4"/>
  <c r="D1134" i="10" l="1"/>
  <c r="E1084" i="10"/>
  <c r="E1134" i="10"/>
  <c r="D1116" i="10"/>
  <c r="H708" i="16"/>
  <c r="D1084" i="10"/>
  <c r="N1325" i="4"/>
  <c r="O1325" i="4" s="1"/>
  <c r="O1327" i="4"/>
  <c r="N1322" i="4"/>
  <c r="O1322" i="4" s="1"/>
  <c r="J1361" i="22"/>
  <c r="AA1361" i="22" s="1"/>
  <c r="O1326" i="4"/>
  <c r="P1190" i="4"/>
  <c r="O1190" i="4"/>
  <c r="C1313" i="22"/>
  <c r="R1323" i="4" s="1"/>
  <c r="O1323" i="4"/>
  <c r="C1314" i="22"/>
  <c r="R1324" i="4" s="1"/>
  <c r="O1324" i="4"/>
  <c r="C1177" i="22"/>
  <c r="R1187" i="4" s="1"/>
  <c r="O1187" i="4"/>
  <c r="C1315" i="22"/>
  <c r="R1325" i="4" s="1"/>
  <c r="C1178" i="22"/>
  <c r="R1188" i="4" s="1"/>
  <c r="O1188" i="4"/>
  <c r="C1312" i="22"/>
  <c r="R1322" i="4" s="1"/>
  <c r="C1180" i="22"/>
  <c r="R1190" i="4" s="1"/>
  <c r="C1317" i="22"/>
  <c r="R1327" i="4" s="1"/>
  <c r="C1316" i="22"/>
  <c r="R1326" i="4" s="1"/>
  <c r="F23" i="21"/>
  <c r="R151" i="19"/>
  <c r="K119" i="19"/>
  <c r="J119" i="19"/>
  <c r="I119" i="19"/>
  <c r="H119" i="19"/>
  <c r="G119" i="19"/>
  <c r="R117" i="19"/>
  <c r="R158" i="19"/>
  <c r="R161" i="19"/>
  <c r="R160" i="19"/>
  <c r="R159" i="19"/>
  <c r="R169" i="19"/>
  <c r="R168" i="19"/>
  <c r="AB1361" i="22" l="1"/>
  <c r="G1180" i="22"/>
  <c r="G1178" i="22"/>
  <c r="G1177" i="22"/>
  <c r="L1325" i="4"/>
  <c r="L1324" i="4"/>
  <c r="G1313" i="22"/>
  <c r="G1312" i="22"/>
  <c r="L1323" i="4"/>
  <c r="L1322" i="4"/>
  <c r="G1314" i="22"/>
  <c r="G1315" i="22"/>
  <c r="N117" i="19"/>
  <c r="G1317" i="22"/>
  <c r="L1327" i="4"/>
  <c r="L1326" i="4"/>
  <c r="G1316" i="22"/>
  <c r="AA1313" i="22" l="1"/>
  <c r="AB1313" i="22"/>
  <c r="AA1315" i="22"/>
  <c r="AB1315" i="22"/>
  <c r="AA1314" i="22"/>
  <c r="AB1314" i="22"/>
  <c r="AA1177" i="22"/>
  <c r="AB1177" i="22"/>
  <c r="AA1178" i="22"/>
  <c r="AB1178" i="22"/>
  <c r="AA1312" i="22"/>
  <c r="AB1312" i="22"/>
  <c r="J1180" i="22"/>
  <c r="AB1180" i="22" s="1"/>
  <c r="H1317" i="22"/>
  <c r="AA1317" i="22" s="1"/>
  <c r="H1316" i="22"/>
  <c r="AA1316" i="22" s="1"/>
  <c r="AB1316" i="22" l="1"/>
  <c r="AA1180" i="22"/>
  <c r="AB1317" i="22"/>
  <c r="L168" i="19"/>
  <c r="A119" i="19" l="1"/>
  <c r="A158" i="19"/>
  <c r="A151" i="19"/>
  <c r="A122" i="19"/>
  <c r="L78" i="19"/>
  <c r="G170" i="19"/>
  <c r="G173" i="19" s="1"/>
  <c r="G162" i="19"/>
  <c r="G164" i="19" s="1"/>
  <c r="G152" i="19"/>
  <c r="G154" i="19" s="1"/>
  <c r="G135" i="19"/>
  <c r="N162" i="19"/>
  <c r="L162" i="19"/>
  <c r="M162" i="19"/>
  <c r="M144" i="19"/>
  <c r="L144" i="19"/>
  <c r="M143" i="19"/>
  <c r="L143" i="19"/>
  <c r="M142" i="19"/>
  <c r="L142" i="19"/>
  <c r="G139" i="19"/>
  <c r="J139" i="19"/>
  <c r="I139" i="19"/>
  <c r="H139" i="19"/>
  <c r="M138" i="19"/>
  <c r="K135" i="19"/>
  <c r="J135" i="19"/>
  <c r="I135" i="19"/>
  <c r="H135" i="19"/>
  <c r="M128" i="19"/>
  <c r="L128" i="19"/>
  <c r="M129" i="19"/>
  <c r="L129" i="19"/>
  <c r="M130" i="19"/>
  <c r="L130" i="19"/>
  <c r="M131" i="19"/>
  <c r="L131" i="19"/>
  <c r="M132" i="19"/>
  <c r="L132" i="19"/>
  <c r="M133" i="19"/>
  <c r="L133" i="19"/>
  <c r="M134" i="19"/>
  <c r="L134" i="19"/>
  <c r="N152" i="19"/>
  <c r="M152" i="19"/>
  <c r="L152" i="19"/>
  <c r="K152" i="19"/>
  <c r="J152" i="19"/>
  <c r="I152" i="19"/>
  <c r="H152" i="19"/>
  <c r="G145" i="19"/>
  <c r="H145" i="19"/>
  <c r="I145" i="19"/>
  <c r="J145" i="19"/>
  <c r="K145" i="19"/>
  <c r="J146" i="19" l="1"/>
  <c r="I146" i="19"/>
  <c r="G146" i="19"/>
  <c r="H146" i="19"/>
  <c r="K146" i="19"/>
  <c r="I140" i="19"/>
  <c r="H140" i="19"/>
  <c r="G140" i="19"/>
  <c r="J140" i="19"/>
  <c r="G147" i="19"/>
  <c r="H147" i="19"/>
  <c r="J147" i="19"/>
  <c r="I147" i="19"/>
  <c r="R138" i="19"/>
  <c r="N78" i="19"/>
  <c r="N144" i="19"/>
  <c r="N131" i="19"/>
  <c r="M145" i="19"/>
  <c r="N143" i="19"/>
  <c r="N142" i="19"/>
  <c r="N130" i="19"/>
  <c r="L135" i="19"/>
  <c r="N133" i="19"/>
  <c r="N129" i="19"/>
  <c r="N132" i="19"/>
  <c r="N128" i="19"/>
  <c r="N134" i="19"/>
  <c r="L145" i="19"/>
  <c r="L138" i="19" l="1"/>
  <c r="K139" i="19"/>
  <c r="N145" i="19"/>
  <c r="N135" i="19"/>
  <c r="K147" i="19" l="1"/>
  <c r="K140" i="19"/>
  <c r="N138" i="19"/>
  <c r="L139" i="19"/>
  <c r="R116" i="19"/>
  <c r="R118" i="19"/>
  <c r="K108" i="19"/>
  <c r="J108" i="19"/>
  <c r="I108" i="19"/>
  <c r="H108" i="19"/>
  <c r="G108" i="19"/>
  <c r="R107" i="19"/>
  <c r="L107" i="19"/>
  <c r="R106" i="19"/>
  <c r="L106" i="19"/>
  <c r="L100" i="19"/>
  <c r="L101" i="19"/>
  <c r="K96" i="19"/>
  <c r="J96" i="19"/>
  <c r="I96" i="19"/>
  <c r="H96" i="19"/>
  <c r="L81" i="19"/>
  <c r="L80" i="19"/>
  <c r="L79" i="19"/>
  <c r="L24" i="19"/>
  <c r="L23" i="19"/>
  <c r="L22" i="19"/>
  <c r="L21" i="19"/>
  <c r="L20" i="19"/>
  <c r="L19" i="19"/>
  <c r="L18" i="19"/>
  <c r="L84" i="19"/>
  <c r="L94" i="19"/>
  <c r="L93" i="19"/>
  <c r="L92" i="19"/>
  <c r="L89" i="19"/>
  <c r="L83" i="19"/>
  <c r="L82" i="19"/>
  <c r="L29" i="19"/>
  <c r="L28" i="19"/>
  <c r="L27" i="19"/>
  <c r="L26" i="19"/>
  <c r="L25" i="19"/>
  <c r="L95" i="19"/>
  <c r="L88" i="19"/>
  <c r="L87" i="19"/>
  <c r="L86" i="19"/>
  <c r="L85" i="19"/>
  <c r="L77" i="19"/>
  <c r="L76" i="19"/>
  <c r="L75" i="19"/>
  <c r="L74" i="19"/>
  <c r="L73" i="19"/>
  <c r="L72" i="19"/>
  <c r="L71" i="19"/>
  <c r="L70" i="19"/>
  <c r="L69" i="19"/>
  <c r="L68" i="19"/>
  <c r="K15" i="19"/>
  <c r="J15" i="19"/>
  <c r="I15" i="19"/>
  <c r="H15" i="19"/>
  <c r="G15" i="19"/>
  <c r="L11" i="19"/>
  <c r="L147" i="19" l="1"/>
  <c r="L140" i="19"/>
  <c r="L103" i="19"/>
  <c r="N139" i="19"/>
  <c r="N147" i="19" s="1"/>
  <c r="N118" i="19"/>
  <c r="N116" i="19"/>
  <c r="N100" i="19"/>
  <c r="N88" i="19"/>
  <c r="N25" i="19"/>
  <c r="N107" i="19"/>
  <c r="N95" i="19"/>
  <c r="N18" i="19"/>
  <c r="N19" i="19"/>
  <c r="N20" i="19"/>
  <c r="N21" i="19"/>
  <c r="N71" i="19"/>
  <c r="N85" i="19"/>
  <c r="N27" i="19"/>
  <c r="N94" i="19"/>
  <c r="N81" i="19"/>
  <c r="N72" i="19"/>
  <c r="N86" i="19"/>
  <c r="N28" i="19"/>
  <c r="N73" i="19"/>
  <c r="N87" i="19"/>
  <c r="N29" i="19"/>
  <c r="N22" i="19"/>
  <c r="N74" i="19"/>
  <c r="N82" i="19"/>
  <c r="N23" i="19"/>
  <c r="N75" i="19"/>
  <c r="N83" i="19"/>
  <c r="N24" i="19"/>
  <c r="N68" i="19"/>
  <c r="N76" i="19"/>
  <c r="N89" i="19"/>
  <c r="N84" i="19"/>
  <c r="N12" i="19"/>
  <c r="N69" i="19"/>
  <c r="N77" i="19"/>
  <c r="N92" i="19"/>
  <c r="N79" i="19"/>
  <c r="N70" i="19"/>
  <c r="N26" i="19"/>
  <c r="N93" i="19"/>
  <c r="N80" i="19"/>
  <c r="L108" i="19"/>
  <c r="N106" i="19"/>
  <c r="N101" i="19"/>
  <c r="L15" i="19"/>
  <c r="N11" i="19"/>
  <c r="N119" i="19" l="1"/>
  <c r="N103" i="19"/>
  <c r="N108" i="19"/>
  <c r="N15" i="19"/>
  <c r="K14" i="23" l="1"/>
  <c r="F21" i="23" l="1"/>
  <c r="E38" i="6" l="1"/>
  <c r="F38" i="6" l="1"/>
  <c r="F285" i="4" l="1"/>
  <c r="J285" i="4" s="1"/>
  <c r="F703" i="4"/>
  <c r="F316" i="4"/>
  <c r="J316" i="4" s="1"/>
  <c r="F205" i="4"/>
  <c r="J205" i="4" s="1"/>
  <c r="F206" i="4"/>
  <c r="J206" i="4" s="1"/>
  <c r="F1088" i="4"/>
  <c r="F1488" i="4"/>
  <c r="G1488" i="4" s="1"/>
  <c r="F1489" i="4"/>
  <c r="F1471" i="4"/>
  <c r="F1306" i="4"/>
  <c r="F1121" i="4"/>
  <c r="F1119" i="4"/>
  <c r="F1120" i="4"/>
  <c r="F986" i="4"/>
  <c r="F954" i="4"/>
  <c r="E332" i="10" l="1"/>
  <c r="D1215" i="10"/>
  <c r="J1471" i="4"/>
  <c r="K1471" i="4"/>
  <c r="J1489" i="4"/>
  <c r="N1489" i="4" s="1"/>
  <c r="K1489" i="4"/>
  <c r="K1488" i="4"/>
  <c r="J1488" i="4"/>
  <c r="J1088" i="4"/>
  <c r="K1088" i="4"/>
  <c r="K1120" i="4"/>
  <c r="J1120" i="4"/>
  <c r="K1119" i="4"/>
  <c r="J1119" i="4"/>
  <c r="J986" i="4"/>
  <c r="K986" i="4"/>
  <c r="K954" i="4"/>
  <c r="J954" i="4"/>
  <c r="K1121" i="4"/>
  <c r="J1121" i="4"/>
  <c r="K1306" i="4"/>
  <c r="J1306" i="4"/>
  <c r="O1306" i="4" s="1"/>
  <c r="G1121" i="4"/>
  <c r="H1121" i="4"/>
  <c r="H1471" i="4"/>
  <c r="G1471" i="4"/>
  <c r="D1168" i="10" s="1"/>
  <c r="H1489" i="4"/>
  <c r="G1489" i="4"/>
  <c r="H1488" i="4"/>
  <c r="H1306" i="4"/>
  <c r="G1306" i="4"/>
  <c r="H1088" i="4"/>
  <c r="G1088" i="4"/>
  <c r="H954" i="4"/>
  <c r="G954" i="4"/>
  <c r="H986" i="4"/>
  <c r="G986" i="4"/>
  <c r="H1120" i="4"/>
  <c r="G1120" i="4"/>
  <c r="H1119" i="4"/>
  <c r="G1119" i="4"/>
  <c r="G206" i="4"/>
  <c r="H206" i="4"/>
  <c r="G205" i="4"/>
  <c r="H205" i="4"/>
  <c r="H316" i="4"/>
  <c r="G316" i="4"/>
  <c r="H703" i="4"/>
  <c r="G703" i="4"/>
  <c r="D892" i="10" s="1"/>
  <c r="H285" i="4"/>
  <c r="G285" i="4"/>
  <c r="K316" i="4"/>
  <c r="F316" i="22"/>
  <c r="J703" i="4"/>
  <c r="K703" i="4"/>
  <c r="F206" i="22"/>
  <c r="K206" i="4"/>
  <c r="K205" i="4"/>
  <c r="F205" i="22"/>
  <c r="F285" i="22"/>
  <c r="K285" i="4"/>
  <c r="A704" i="32"/>
  <c r="A703" i="32"/>
  <c r="A702" i="32"/>
  <c r="A701" i="32"/>
  <c r="A700" i="32"/>
  <c r="A699" i="32"/>
  <c r="A698" i="32"/>
  <c r="A697" i="32"/>
  <c r="A696" i="32"/>
  <c r="A695" i="32"/>
  <c r="A694" i="32"/>
  <c r="A693" i="32"/>
  <c r="A692" i="32"/>
  <c r="A691" i="32"/>
  <c r="A690" i="32"/>
  <c r="A689" i="32"/>
  <c r="A688" i="32"/>
  <c r="A687" i="32"/>
  <c r="A518" i="32"/>
  <c r="A517" i="32"/>
  <c r="A516" i="32"/>
  <c r="A515" i="32"/>
  <c r="A514" i="32"/>
  <c r="A513" i="32"/>
  <c r="A512" i="32"/>
  <c r="A511" i="32"/>
  <c r="A510" i="32"/>
  <c r="A509" i="32"/>
  <c r="A508" i="32"/>
  <c r="A364" i="32"/>
  <c r="A363" i="32"/>
  <c r="A362" i="32"/>
  <c r="A361" i="32"/>
  <c r="A360" i="32"/>
  <c r="A366" i="32"/>
  <c r="A367" i="32"/>
  <c r="A368" i="32"/>
  <c r="A369" i="32"/>
  <c r="A370" i="32"/>
  <c r="A371" i="32"/>
  <c r="A372" i="32"/>
  <c r="A373" i="32"/>
  <c r="A374" i="32"/>
  <c r="A375" i="32"/>
  <c r="A376" i="32"/>
  <c r="A377" i="32"/>
  <c r="A378" i="32"/>
  <c r="A379" i="32"/>
  <c r="A380" i="32"/>
  <c r="A381" i="32"/>
  <c r="A382" i="32"/>
  <c r="A383" i="32"/>
  <c r="A384" i="32"/>
  <c r="A385" i="32"/>
  <c r="A386" i="32"/>
  <c r="A387" i="32"/>
  <c r="A388" i="32"/>
  <c r="A389" i="32"/>
  <c r="A390" i="32"/>
  <c r="A391" i="32"/>
  <c r="A392" i="32"/>
  <c r="A393" i="32"/>
  <c r="A394" i="32"/>
  <c r="A395" i="32"/>
  <c r="A396" i="32"/>
  <c r="A397" i="32"/>
  <c r="A398" i="32"/>
  <c r="A399" i="32"/>
  <c r="A400" i="32"/>
  <c r="A401" i="32"/>
  <c r="A402" i="32"/>
  <c r="A403" i="32"/>
  <c r="A404" i="32"/>
  <c r="A406" i="32"/>
  <c r="A407" i="32"/>
  <c r="A408" i="32"/>
  <c r="A409" i="32"/>
  <c r="A410" i="32"/>
  <c r="A411" i="32"/>
  <c r="A412" i="32"/>
  <c r="A413" i="32"/>
  <c r="A414" i="32"/>
  <c r="A415" i="32"/>
  <c r="A416" i="32"/>
  <c r="A417" i="32"/>
  <c r="A418" i="32"/>
  <c r="A419" i="32"/>
  <c r="A420" i="32"/>
  <c r="A421" i="32"/>
  <c r="A422" i="32"/>
  <c r="A423" i="32"/>
  <c r="A424" i="32"/>
  <c r="A425" i="32"/>
  <c r="A426" i="32"/>
  <c r="A427" i="32"/>
  <c r="A428" i="32"/>
  <c r="A429" i="32"/>
  <c r="A430" i="32"/>
  <c r="A431" i="32"/>
  <c r="A432" i="32"/>
  <c r="A433" i="32"/>
  <c r="A434" i="32"/>
  <c r="A435" i="32"/>
  <c r="A436" i="32"/>
  <c r="A437" i="32"/>
  <c r="A438" i="32"/>
  <c r="A182" i="32"/>
  <c r="A181" i="32"/>
  <c r="A180" i="32"/>
  <c r="A179" i="32"/>
  <c r="A178" i="32"/>
  <c r="A177" i="32"/>
  <c r="A176" i="32"/>
  <c r="A175" i="32"/>
  <c r="A174" i="32"/>
  <c r="A173" i="32"/>
  <c r="A172" i="32"/>
  <c r="A171" i="32"/>
  <c r="A170" i="32"/>
  <c r="A169" i="32"/>
  <c r="A168" i="32"/>
  <c r="A167" i="32"/>
  <c r="A166" i="32"/>
  <c r="A165" i="32"/>
  <c r="A164" i="32"/>
  <c r="A163" i="32"/>
  <c r="A162" i="32"/>
  <c r="F699" i="22" l="1"/>
  <c r="O1488" i="4"/>
  <c r="E1215" i="10"/>
  <c r="G332" i="10"/>
  <c r="O1471" i="4"/>
  <c r="O986" i="4"/>
  <c r="O954" i="4"/>
  <c r="O1121" i="4"/>
  <c r="O206" i="4"/>
  <c r="O1088" i="4"/>
  <c r="O205" i="4"/>
  <c r="O1119" i="4"/>
  <c r="O285" i="4"/>
  <c r="O1120" i="4"/>
  <c r="O316" i="4"/>
  <c r="S703" i="4"/>
  <c r="O1489" i="4"/>
  <c r="O703" i="4"/>
  <c r="J21" i="23"/>
  <c r="I21" i="23"/>
  <c r="H21" i="23"/>
  <c r="G21" i="23"/>
  <c r="I20" i="23" l="1"/>
  <c r="K1345" i="4" l="1"/>
  <c r="O1345" i="4"/>
  <c r="H1345" i="4"/>
  <c r="F327" i="4"/>
  <c r="J327" i="4" s="1"/>
  <c r="F334" i="4"/>
  <c r="J334" i="4" s="1"/>
  <c r="G1334" i="22" l="1"/>
  <c r="H334" i="4"/>
  <c r="G334" i="4"/>
  <c r="H327" i="4"/>
  <c r="G327" i="4"/>
  <c r="K334" i="4"/>
  <c r="F334" i="22"/>
  <c r="F327" i="22"/>
  <c r="K327" i="4"/>
  <c r="I1334" i="22" l="1"/>
  <c r="AA1334" i="22" s="1"/>
  <c r="O334" i="4"/>
  <c r="O327" i="4"/>
  <c r="F814" i="4"/>
  <c r="F806" i="4"/>
  <c r="J814" i="4" l="1"/>
  <c r="F807" i="22" s="1"/>
  <c r="H814" i="4"/>
  <c r="G814" i="4"/>
  <c r="AB1334" i="22"/>
  <c r="H805" i="4"/>
  <c r="F1001" i="10" l="1"/>
  <c r="H905" i="10"/>
  <c r="O1351" i="4"/>
  <c r="O1349" i="4"/>
  <c r="O1353" i="4"/>
  <c r="C1342" i="22"/>
  <c r="C1338" i="22"/>
  <c r="C1340" i="22"/>
  <c r="S805" i="4"/>
  <c r="S806" i="4"/>
  <c r="O806" i="4"/>
  <c r="S814" i="4"/>
  <c r="O814" i="4"/>
  <c r="G1340" i="22" l="1"/>
  <c r="G1338" i="22"/>
  <c r="G1342" i="22"/>
  <c r="F113" i="4"/>
  <c r="J113" i="4" s="1"/>
  <c r="I1342" i="22" l="1"/>
  <c r="AA1342" i="22" s="1"/>
  <c r="I1338" i="22"/>
  <c r="AA1338" i="22" s="1"/>
  <c r="I1340" i="22"/>
  <c r="AA1340" i="22" s="1"/>
  <c r="H113" i="4"/>
  <c r="G113" i="4"/>
  <c r="K113" i="4"/>
  <c r="F114" i="22"/>
  <c r="AB1340" i="22" l="1"/>
  <c r="AB1342" i="22"/>
  <c r="AB1338" i="22"/>
  <c r="O113" i="4"/>
  <c r="K162" i="19"/>
  <c r="J162" i="19"/>
  <c r="I162" i="19"/>
  <c r="H162" i="19"/>
  <c r="L112" i="19"/>
  <c r="R112" i="19"/>
  <c r="L91" i="19"/>
  <c r="L90" i="19"/>
  <c r="L113" i="19" l="1"/>
  <c r="N91" i="19"/>
  <c r="N90" i="19"/>
  <c r="N112" i="19"/>
  <c r="N113" i="19" s="1"/>
  <c r="F1395" i="4" l="1"/>
  <c r="F1222" i="4"/>
  <c r="F1178" i="4"/>
  <c r="F1174" i="4"/>
  <c r="F1156" i="4"/>
  <c r="F1152" i="4"/>
  <c r="F1122" i="4"/>
  <c r="F1118" i="4"/>
  <c r="F1010" i="4"/>
  <c r="F994" i="4"/>
  <c r="F987" i="4"/>
  <c r="F952" i="4"/>
  <c r="F414" i="4"/>
  <c r="J414" i="4" s="1"/>
  <c r="F414" i="22" s="1"/>
  <c r="F413" i="4"/>
  <c r="J413" i="4" s="1"/>
  <c r="K1395" i="4" l="1"/>
  <c r="J1395" i="4"/>
  <c r="K1118" i="4"/>
  <c r="J1118" i="4"/>
  <c r="E1057" i="10" s="1"/>
  <c r="K1156" i="4"/>
  <c r="J1156" i="4"/>
  <c r="E1038" i="10" s="1"/>
  <c r="J1010" i="4"/>
  <c r="E1036" i="10" s="1"/>
  <c r="K1010" i="4"/>
  <c r="J1122" i="4"/>
  <c r="E1053" i="10" s="1"/>
  <c r="K1122" i="4"/>
  <c r="J952" i="4"/>
  <c r="K952" i="4"/>
  <c r="K987" i="4"/>
  <c r="J987" i="4"/>
  <c r="J1178" i="4"/>
  <c r="E1039" i="10" s="1"/>
  <c r="K1178" i="4"/>
  <c r="J1152" i="4"/>
  <c r="K1152" i="4"/>
  <c r="J1174" i="4"/>
  <c r="K1174" i="4"/>
  <c r="J994" i="4"/>
  <c r="K994" i="4"/>
  <c r="K1222" i="4"/>
  <c r="J1222" i="4"/>
  <c r="E1023" i="10" s="1"/>
  <c r="H987" i="4"/>
  <c r="G987" i="4"/>
  <c r="H1122" i="4"/>
  <c r="G1122" i="4"/>
  <c r="D1053" i="10" s="1"/>
  <c r="H1222" i="4"/>
  <c r="G1222" i="4"/>
  <c r="D1023" i="10" s="1"/>
  <c r="G952" i="4"/>
  <c r="H952" i="4"/>
  <c r="G994" i="4"/>
  <c r="H994" i="4"/>
  <c r="H1010" i="4"/>
  <c r="G1010" i="4"/>
  <c r="H1118" i="4"/>
  <c r="G1118" i="4"/>
  <c r="H585" i="16" s="1"/>
  <c r="H1152" i="4"/>
  <c r="G1152" i="4"/>
  <c r="H1156" i="4"/>
  <c r="G1156" i="4"/>
  <c r="H1174" i="4"/>
  <c r="G1174" i="4"/>
  <c r="H1178" i="4"/>
  <c r="G1178" i="4"/>
  <c r="H1395" i="4"/>
  <c r="G1395" i="4"/>
  <c r="D1175" i="10" s="1"/>
  <c r="G413" i="4"/>
  <c r="H413" i="4"/>
  <c r="G414" i="4"/>
  <c r="H594" i="10" s="1"/>
  <c r="H596" i="10" s="1"/>
  <c r="H414" i="4"/>
  <c r="F413" i="22"/>
  <c r="K413" i="4"/>
  <c r="K414" i="4"/>
  <c r="E796" i="10" l="1"/>
  <c r="O1395" i="4"/>
  <c r="I585" i="16"/>
  <c r="H621" i="16"/>
  <c r="I621" i="16"/>
  <c r="I144" i="16"/>
  <c r="H144" i="16"/>
  <c r="D1039" i="10"/>
  <c r="D1057" i="10"/>
  <c r="D1036" i="10"/>
  <c r="D1038" i="10"/>
  <c r="O1222" i="4"/>
  <c r="O952" i="4"/>
  <c r="P1178" i="4"/>
  <c r="P987" i="4"/>
  <c r="P1174" i="4"/>
  <c r="P1010" i="4"/>
  <c r="P994" i="4"/>
  <c r="P1156" i="4"/>
  <c r="P1152" i="4"/>
  <c r="P1122" i="4"/>
  <c r="O1156" i="4"/>
  <c r="O994" i="4"/>
  <c r="O1178" i="4"/>
  <c r="O1122" i="4"/>
  <c r="O413" i="4"/>
  <c r="O1152" i="4"/>
  <c r="O1010" i="4"/>
  <c r="O1174" i="4"/>
  <c r="O1118" i="4"/>
  <c r="O987" i="4"/>
  <c r="O414" i="4"/>
  <c r="F123" i="32"/>
  <c r="G123" i="32" s="1"/>
  <c r="A278" i="32"/>
  <c r="A277" i="32"/>
  <c r="A276" i="32"/>
  <c r="A275" i="32"/>
  <c r="A274" i="32"/>
  <c r="A273" i="32"/>
  <c r="A272" i="32"/>
  <c r="A271" i="32"/>
  <c r="A270" i="32"/>
  <c r="A269" i="32"/>
  <c r="A268" i="32"/>
  <c r="A267" i="32"/>
  <c r="A266" i="32"/>
  <c r="A265" i="32"/>
  <c r="A264" i="32"/>
  <c r="A263" i="32"/>
  <c r="A262" i="32"/>
  <c r="A261" i="32"/>
  <c r="A725" i="32"/>
  <c r="A724" i="32"/>
  <c r="A723" i="32"/>
  <c r="A722" i="32"/>
  <c r="A721" i="32"/>
  <c r="A720" i="32"/>
  <c r="A719" i="32"/>
  <c r="A711" i="32"/>
  <c r="A710" i="32"/>
  <c r="A709" i="32"/>
  <c r="A708" i="32"/>
  <c r="A707" i="32"/>
  <c r="A706" i="32"/>
  <c r="A705" i="32"/>
  <c r="A686" i="32"/>
  <c r="A685" i="32"/>
  <c r="A684" i="32"/>
  <c r="A683" i="32"/>
  <c r="A682" i="32"/>
  <c r="A681" i="32"/>
  <c r="A680" i="32"/>
  <c r="A679" i="32"/>
  <c r="A678" i="32"/>
  <c r="A677" i="32"/>
  <c r="A676" i="32"/>
  <c r="A675" i="32"/>
  <c r="A674" i="32"/>
  <c r="A673" i="32"/>
  <c r="A672" i="32"/>
  <c r="A671" i="32"/>
  <c r="A670" i="32"/>
  <c r="A669" i="32"/>
  <c r="A668" i="32"/>
  <c r="A667" i="32"/>
  <c r="A666" i="32"/>
  <c r="A665" i="32"/>
  <c r="A664" i="32"/>
  <c r="A359" i="32"/>
  <c r="A352" i="32"/>
  <c r="A351" i="32"/>
  <c r="F61" i="4" l="1"/>
  <c r="J61" i="4" s="1"/>
  <c r="F62" i="4"/>
  <c r="J62" i="4" s="1"/>
  <c r="F63" i="4"/>
  <c r="J63" i="4" s="1"/>
  <c r="F64" i="4"/>
  <c r="J64" i="4" s="1"/>
  <c r="G61" i="4" l="1"/>
  <c r="H61" i="4"/>
  <c r="H64" i="4"/>
  <c r="G64" i="4"/>
  <c r="D347" i="10" s="1"/>
  <c r="F993" i="10" s="1"/>
  <c r="G63" i="4"/>
  <c r="H63" i="4"/>
  <c r="H62" i="4"/>
  <c r="G62" i="4"/>
  <c r="K63" i="4"/>
  <c r="F63" i="22"/>
  <c r="F62" i="22"/>
  <c r="K62" i="4"/>
  <c r="F64" i="22"/>
  <c r="K64" i="4"/>
  <c r="F61" i="22"/>
  <c r="K61" i="4"/>
  <c r="O63" i="4" l="1"/>
  <c r="O61" i="4"/>
  <c r="O62" i="4"/>
  <c r="F25" i="32"/>
  <c r="G25" i="32" s="1"/>
  <c r="O64" i="4"/>
  <c r="R144" i="19" l="1"/>
  <c r="R143" i="19"/>
  <c r="R142" i="19"/>
  <c r="R122" i="19"/>
  <c r="H20" i="23" l="1"/>
  <c r="C20" i="23"/>
  <c r="D20" i="23"/>
  <c r="L96" i="19" l="1"/>
  <c r="N96" i="19"/>
  <c r="F15" i="21" l="1"/>
  <c r="F33" i="21" s="1"/>
  <c r="F35" i="21" l="1"/>
  <c r="F681" i="4" l="1"/>
  <c r="J681" i="4" s="1"/>
  <c r="H681" i="4" l="1"/>
  <c r="G681" i="4"/>
  <c r="D880" i="10" s="1"/>
  <c r="K681" i="4"/>
  <c r="F24" i="4"/>
  <c r="J24" i="4" s="1"/>
  <c r="F80" i="4"/>
  <c r="J80" i="4" s="1"/>
  <c r="F79" i="4"/>
  <c r="J79" i="4" s="1"/>
  <c r="F77" i="4"/>
  <c r="J77" i="4" s="1"/>
  <c r="F76" i="4"/>
  <c r="J76" i="4" s="1"/>
  <c r="F39" i="4"/>
  <c r="J39" i="4" s="1"/>
  <c r="F38" i="4"/>
  <c r="J38" i="4" s="1"/>
  <c r="F29" i="4"/>
  <c r="J29" i="4" s="1"/>
  <c r="F25" i="4"/>
  <c r="J25" i="4" s="1"/>
  <c r="F21" i="4"/>
  <c r="F678" i="22" l="1"/>
  <c r="G77" i="4"/>
  <c r="D821" i="10" s="1"/>
  <c r="H77" i="4"/>
  <c r="G25" i="4"/>
  <c r="H25" i="4"/>
  <c r="H38" i="4"/>
  <c r="G38" i="4"/>
  <c r="D353" i="10" s="1"/>
  <c r="H39" i="4"/>
  <c r="G39" i="4"/>
  <c r="D352" i="10" s="1"/>
  <c r="G76" i="4"/>
  <c r="H76" i="4"/>
  <c r="H79" i="4"/>
  <c r="G79" i="4"/>
  <c r="D823" i="10" s="1"/>
  <c r="H80" i="4"/>
  <c r="G80" i="4"/>
  <c r="D824" i="10" s="1"/>
  <c r="H29" i="4"/>
  <c r="G29" i="4"/>
  <c r="D356" i="10" s="1"/>
  <c r="H24" i="4"/>
  <c r="G24" i="4"/>
  <c r="H21" i="4"/>
  <c r="I13" i="16" s="1"/>
  <c r="G21" i="4"/>
  <c r="O681" i="4"/>
  <c r="C678" i="22"/>
  <c r="R681" i="4" s="1"/>
  <c r="J21" i="4"/>
  <c r="F21" i="22" s="1"/>
  <c r="K21" i="4"/>
  <c r="K39" i="4"/>
  <c r="F39" i="22"/>
  <c r="K76" i="4"/>
  <c r="F77" i="22"/>
  <c r="F29" i="22"/>
  <c r="K29" i="4"/>
  <c r="K25" i="4"/>
  <c r="F25" i="22"/>
  <c r="K77" i="4"/>
  <c r="F80" i="22"/>
  <c r="K79" i="4"/>
  <c r="K80" i="4"/>
  <c r="F81" i="22"/>
  <c r="F38" i="22"/>
  <c r="K38" i="4"/>
  <c r="K24" i="4"/>
  <c r="F187" i="4"/>
  <c r="J187" i="4" s="1"/>
  <c r="D344" i="10" l="1"/>
  <c r="D822" i="10"/>
  <c r="G824" i="10" s="1"/>
  <c r="D20" i="20" a="1"/>
  <c r="D20" i="20" s="1"/>
  <c r="I20" i="16"/>
  <c r="O29" i="4"/>
  <c r="H20" i="16"/>
  <c r="H13" i="16"/>
  <c r="I42" i="16"/>
  <c r="H42" i="16"/>
  <c r="I41" i="16"/>
  <c r="H41" i="16"/>
  <c r="O21" i="4"/>
  <c r="C78" i="22"/>
  <c r="R77" i="4" s="1"/>
  <c r="F24" i="22"/>
  <c r="F26" i="22"/>
  <c r="G26" i="22" s="1"/>
  <c r="AA26" i="22" s="1"/>
  <c r="O80" i="4"/>
  <c r="F78" i="22"/>
  <c r="O77" i="4"/>
  <c r="O39" i="4"/>
  <c r="O38" i="4"/>
  <c r="O79" i="4"/>
  <c r="O24" i="4"/>
  <c r="G187" i="4"/>
  <c r="H187" i="4"/>
  <c r="K187" i="4"/>
  <c r="F33" i="32"/>
  <c r="G33" i="32" s="1"/>
  <c r="O76" i="4"/>
  <c r="F14" i="32"/>
  <c r="G14" i="32" s="1"/>
  <c r="O25" i="4"/>
  <c r="F13" i="32"/>
  <c r="G13" i="32" s="1"/>
  <c r="F1459" i="4"/>
  <c r="F1316" i="4"/>
  <c r="F1315" i="4"/>
  <c r="F1314" i="4"/>
  <c r="F1313" i="4"/>
  <c r="F1312" i="4"/>
  <c r="F1254" i="4"/>
  <c r="F553" i="4"/>
  <c r="J553" i="4" s="1"/>
  <c r="F448" i="4"/>
  <c r="J448" i="4" s="1"/>
  <c r="F447" i="4"/>
  <c r="J447" i="4" s="1"/>
  <c r="F446" i="4"/>
  <c r="J446" i="4" s="1"/>
  <c r="F766" i="4"/>
  <c r="F765" i="4"/>
  <c r="F672" i="4"/>
  <c r="J672" i="4" s="1"/>
  <c r="F671" i="4"/>
  <c r="J671" i="4" s="1"/>
  <c r="F436" i="4"/>
  <c r="J436" i="4" s="1"/>
  <c r="F435" i="4"/>
  <c r="J435" i="4" s="1"/>
  <c r="J1459" i="4" l="1"/>
  <c r="N1459" i="4" s="1"/>
  <c r="K1459" i="4"/>
  <c r="O187" i="4"/>
  <c r="J1312" i="4"/>
  <c r="N1312" i="4" s="1"/>
  <c r="K1312" i="4"/>
  <c r="J1313" i="4"/>
  <c r="N1313" i="4" s="1"/>
  <c r="K1313" i="4"/>
  <c r="K1316" i="4"/>
  <c r="J1316" i="4"/>
  <c r="J1254" i="4"/>
  <c r="O1254" i="4" s="1"/>
  <c r="K1254" i="4"/>
  <c r="J1314" i="4"/>
  <c r="N1314" i="4" s="1"/>
  <c r="K1314" i="4"/>
  <c r="J1315" i="4"/>
  <c r="O1315" i="4" s="1"/>
  <c r="K1315" i="4"/>
  <c r="H1314" i="4"/>
  <c r="G1314" i="4"/>
  <c r="H1315" i="4"/>
  <c r="G1315" i="4"/>
  <c r="G1254" i="4"/>
  <c r="H1254" i="4"/>
  <c r="H1313" i="4"/>
  <c r="G1313" i="4"/>
  <c r="H1316" i="4"/>
  <c r="G1316" i="4"/>
  <c r="H1312" i="4"/>
  <c r="G1312" i="4"/>
  <c r="H1459" i="4"/>
  <c r="G1459" i="4"/>
  <c r="G447" i="4"/>
  <c r="H163" i="16" s="1"/>
  <c r="H447" i="4"/>
  <c r="H553" i="4"/>
  <c r="G553" i="4"/>
  <c r="H435" i="4"/>
  <c r="G435" i="4"/>
  <c r="H448" i="4"/>
  <c r="I164" i="16" s="1"/>
  <c r="G448" i="4"/>
  <c r="H164" i="16" s="1"/>
  <c r="G671" i="4"/>
  <c r="H671" i="4"/>
  <c r="H765" i="4"/>
  <c r="G765" i="4"/>
  <c r="H282" i="16" s="1"/>
  <c r="H436" i="4"/>
  <c r="G436" i="4"/>
  <c r="H672" i="4"/>
  <c r="G672" i="4"/>
  <c r="E846" i="10" s="1"/>
  <c r="G766" i="4"/>
  <c r="H766" i="4"/>
  <c r="G446" i="4"/>
  <c r="H446" i="4"/>
  <c r="K553" i="4"/>
  <c r="F551" i="22"/>
  <c r="K448" i="4"/>
  <c r="F448" i="22"/>
  <c r="K766" i="4"/>
  <c r="J766" i="4"/>
  <c r="F764" i="22" s="1"/>
  <c r="F446" i="22"/>
  <c r="K446" i="4"/>
  <c r="K447" i="4"/>
  <c r="F436" i="22"/>
  <c r="K436" i="4"/>
  <c r="K672" i="4"/>
  <c r="F669" i="22"/>
  <c r="K435" i="4"/>
  <c r="F435" i="22"/>
  <c r="F668" i="22"/>
  <c r="K671" i="4"/>
  <c r="K765" i="4"/>
  <c r="J765" i="4"/>
  <c r="F763" i="22" s="1"/>
  <c r="F447" i="22" l="1"/>
  <c r="I298" i="10"/>
  <c r="H162" i="16"/>
  <c r="I162" i="16"/>
  <c r="I282" i="16"/>
  <c r="J282" i="16" s="1"/>
  <c r="I163" i="16"/>
  <c r="E298" i="10"/>
  <c r="G298" i="10" s="1"/>
  <c r="E853" i="10"/>
  <c r="H195" i="16"/>
  <c r="I195" i="16"/>
  <c r="O1316" i="4"/>
  <c r="O672" i="4"/>
  <c r="O436" i="4"/>
  <c r="O448" i="4"/>
  <c r="O446" i="4"/>
  <c r="C1306" i="22"/>
  <c r="E1306" i="22" s="1"/>
  <c r="D414" i="22" s="1"/>
  <c r="O435" i="4"/>
  <c r="O553" i="4"/>
  <c r="O766" i="4"/>
  <c r="S766" i="4"/>
  <c r="O765" i="4"/>
  <c r="S765" i="4"/>
  <c r="O1313" i="4"/>
  <c r="O1312" i="4"/>
  <c r="O1459" i="4"/>
  <c r="O1314" i="4"/>
  <c r="F555" i="32"/>
  <c r="G555" i="32" s="1"/>
  <c r="F134" i="32"/>
  <c r="G134" i="32" s="1"/>
  <c r="O447" i="4"/>
  <c r="C668" i="22"/>
  <c r="R671" i="4" s="1"/>
  <c r="O671" i="4"/>
  <c r="F32" i="6"/>
  <c r="D36" i="20" a="1"/>
  <c r="D36" i="20" s="1"/>
  <c r="D35" i="20" s="1"/>
  <c r="E32" i="6"/>
  <c r="E36" i="20" a="1"/>
  <c r="E36" i="20" s="1"/>
  <c r="E35" i="20" s="1"/>
  <c r="G854" i="10" s="1"/>
  <c r="F1768" i="4"/>
  <c r="F1767" i="4"/>
  <c r="F1766" i="4"/>
  <c r="F1765" i="4"/>
  <c r="F1764" i="4"/>
  <c r="F1763" i="4"/>
  <c r="F1762" i="4"/>
  <c r="F1752" i="4"/>
  <c r="F1751" i="4"/>
  <c r="F1750" i="4"/>
  <c r="F1749" i="4"/>
  <c r="F1748" i="4"/>
  <c r="F1747" i="4"/>
  <c r="F1746" i="4"/>
  <c r="F1745" i="4"/>
  <c r="F1744" i="4"/>
  <c r="F1743" i="4"/>
  <c r="F1742" i="4"/>
  <c r="F1741" i="4"/>
  <c r="F1738" i="4"/>
  <c r="F1737" i="4"/>
  <c r="F1736" i="4"/>
  <c r="F1735" i="4"/>
  <c r="F1734" i="4"/>
  <c r="F1733" i="4"/>
  <c r="F1732" i="4"/>
  <c r="F1731" i="4"/>
  <c r="F1730" i="4"/>
  <c r="F1729" i="4"/>
  <c r="F1728" i="4"/>
  <c r="F1727" i="4"/>
  <c r="F1726" i="4"/>
  <c r="F1725" i="4"/>
  <c r="F1724" i="4"/>
  <c r="F1723" i="4"/>
  <c r="F1722" i="4"/>
  <c r="F1721" i="4"/>
  <c r="F1720" i="4"/>
  <c r="F1719" i="4"/>
  <c r="F1718" i="4"/>
  <c r="F1717" i="4"/>
  <c r="F1716" i="4"/>
  <c r="F1715" i="4"/>
  <c r="F1714" i="4"/>
  <c r="F1713" i="4"/>
  <c r="F1712" i="4"/>
  <c r="F1711" i="4"/>
  <c r="F1710" i="4"/>
  <c r="F1709" i="4"/>
  <c r="F1708" i="4"/>
  <c r="F1707" i="4"/>
  <c r="F1706" i="4"/>
  <c r="F1705" i="4"/>
  <c r="F1704" i="4"/>
  <c r="F1703" i="4"/>
  <c r="F1702" i="4"/>
  <c r="F1701" i="4"/>
  <c r="F1700" i="4"/>
  <c r="F1699" i="4"/>
  <c r="F1698" i="4"/>
  <c r="F1697" i="4"/>
  <c r="F1696" i="4"/>
  <c r="F1695" i="4"/>
  <c r="F1694" i="4"/>
  <c r="F1693" i="4"/>
  <c r="F1692" i="4"/>
  <c r="F1691" i="4"/>
  <c r="F1690" i="4"/>
  <c r="F1689" i="4"/>
  <c r="F1688" i="4"/>
  <c r="F1687" i="4"/>
  <c r="F1686" i="4"/>
  <c r="F1685" i="4"/>
  <c r="F1684" i="4"/>
  <c r="F1683" i="4"/>
  <c r="F1682" i="4"/>
  <c r="F1681" i="4"/>
  <c r="F1680" i="4"/>
  <c r="F1679" i="4"/>
  <c r="F1678" i="4"/>
  <c r="F1677" i="4"/>
  <c r="F1676" i="4"/>
  <c r="F1675" i="4"/>
  <c r="F1674" i="4"/>
  <c r="F1673" i="4"/>
  <c r="F1672" i="4"/>
  <c r="F1671" i="4"/>
  <c r="F1670" i="4"/>
  <c r="F1669" i="4"/>
  <c r="F1668" i="4"/>
  <c r="F1667" i="4"/>
  <c r="F1666" i="4"/>
  <c r="F1665" i="4"/>
  <c r="F1664" i="4"/>
  <c r="F1663" i="4"/>
  <c r="F1662" i="4"/>
  <c r="F1661" i="4"/>
  <c r="F1660" i="4"/>
  <c r="F1659" i="4"/>
  <c r="F1658" i="4"/>
  <c r="F1657" i="4"/>
  <c r="F1656" i="4"/>
  <c r="F1655" i="4"/>
  <c r="F1654" i="4"/>
  <c r="F1653" i="4"/>
  <c r="G1653" i="4" s="1"/>
  <c r="H423" i="16" s="1"/>
  <c r="F1652" i="4"/>
  <c r="F1651" i="4"/>
  <c r="F1650" i="4"/>
  <c r="F1649" i="4"/>
  <c r="F1648" i="4"/>
  <c r="F1647" i="4"/>
  <c r="F1646" i="4"/>
  <c r="F1645" i="4"/>
  <c r="F1644" i="4"/>
  <c r="F1643" i="4"/>
  <c r="F1642" i="4"/>
  <c r="F1641" i="4"/>
  <c r="F1632" i="4"/>
  <c r="F1631" i="4"/>
  <c r="F1630" i="4"/>
  <c r="F1629" i="4"/>
  <c r="F1628" i="4"/>
  <c r="F1627" i="4"/>
  <c r="F1626" i="4"/>
  <c r="F1625" i="4"/>
  <c r="F1624" i="4"/>
  <c r="F1623" i="4"/>
  <c r="F1622" i="4"/>
  <c r="F1621" i="4"/>
  <c r="F1618" i="4"/>
  <c r="F1617" i="4"/>
  <c r="F1616" i="4"/>
  <c r="F1615" i="4"/>
  <c r="F1614" i="4"/>
  <c r="F1613" i="4"/>
  <c r="F1612" i="4"/>
  <c r="F1611" i="4"/>
  <c r="F1610" i="4"/>
  <c r="F1609" i="4"/>
  <c r="F1608" i="4"/>
  <c r="F1607" i="4"/>
  <c r="F1606" i="4"/>
  <c r="F1605" i="4"/>
  <c r="F1604" i="4"/>
  <c r="F1603" i="4"/>
  <c r="F1602" i="4"/>
  <c r="F1601" i="4"/>
  <c r="F1600" i="4"/>
  <c r="F1599" i="4"/>
  <c r="F1598" i="4"/>
  <c r="F1597" i="4"/>
  <c r="F1596" i="4"/>
  <c r="F1595" i="4"/>
  <c r="F1594" i="4"/>
  <c r="F1593" i="4"/>
  <c r="F1592" i="4"/>
  <c r="F1591" i="4"/>
  <c r="F1590" i="4"/>
  <c r="F1589" i="4"/>
  <c r="F1588" i="4"/>
  <c r="F1587" i="4"/>
  <c r="F1586" i="4"/>
  <c r="F1585" i="4"/>
  <c r="F1584" i="4"/>
  <c r="F1583" i="4"/>
  <c r="F1582" i="4"/>
  <c r="F1581" i="4"/>
  <c r="F1580" i="4"/>
  <c r="F1579" i="4"/>
  <c r="G1579" i="4" s="1"/>
  <c r="F1578" i="4"/>
  <c r="F1577" i="4"/>
  <c r="F1576" i="4"/>
  <c r="F1575" i="4"/>
  <c r="F1574" i="4"/>
  <c r="F1573" i="4"/>
  <c r="F1572" i="4"/>
  <c r="F1571" i="4"/>
  <c r="F1570" i="4"/>
  <c r="F1569" i="4"/>
  <c r="F1568" i="4"/>
  <c r="F1567" i="4"/>
  <c r="F1566" i="4"/>
  <c r="F1565" i="4"/>
  <c r="F1564" i="4"/>
  <c r="F1563" i="4"/>
  <c r="F1562" i="4"/>
  <c r="F1561" i="4"/>
  <c r="F1560" i="4"/>
  <c r="F1559" i="4"/>
  <c r="F1558" i="4"/>
  <c r="F1557" i="4"/>
  <c r="F1556" i="4"/>
  <c r="F1555" i="4"/>
  <c r="F1554" i="4"/>
  <c r="F1553" i="4"/>
  <c r="F1552" i="4"/>
  <c r="F1551" i="4"/>
  <c r="F1550" i="4"/>
  <c r="F1549" i="4"/>
  <c r="F1548" i="4"/>
  <c r="F1547" i="4"/>
  <c r="F1546" i="4"/>
  <c r="F1545" i="4"/>
  <c r="F1544" i="4"/>
  <c r="F1543" i="4"/>
  <c r="F1542" i="4"/>
  <c r="F1541" i="4"/>
  <c r="F1540" i="4"/>
  <c r="F1539" i="4"/>
  <c r="F1538" i="4"/>
  <c r="F1537" i="4"/>
  <c r="F1536" i="4"/>
  <c r="F1535" i="4"/>
  <c r="F1534" i="4"/>
  <c r="F1533" i="4"/>
  <c r="F1532" i="4"/>
  <c r="F1531" i="4"/>
  <c r="F1530" i="4"/>
  <c r="F1529" i="4"/>
  <c r="F1528" i="4"/>
  <c r="F1527" i="4"/>
  <c r="F1526" i="4"/>
  <c r="F1525" i="4"/>
  <c r="F1524" i="4"/>
  <c r="F1523" i="4"/>
  <c r="F1522" i="4"/>
  <c r="F1521" i="4"/>
  <c r="F1520" i="4"/>
  <c r="F1515" i="4"/>
  <c r="F1514" i="4"/>
  <c r="F1513" i="4"/>
  <c r="F1512" i="4"/>
  <c r="F1511" i="4"/>
  <c r="F1510" i="4"/>
  <c r="F1509" i="4"/>
  <c r="F1508" i="4"/>
  <c r="F1507" i="4"/>
  <c r="F1506" i="4"/>
  <c r="F1505" i="4"/>
  <c r="F1504" i="4"/>
  <c r="F1503" i="4"/>
  <c r="G1503" i="4" s="1"/>
  <c r="D1171" i="10" s="1"/>
  <c r="F1502" i="4"/>
  <c r="G1502" i="4" s="1"/>
  <c r="D1162" i="10" s="1"/>
  <c r="F1501" i="4"/>
  <c r="F1500" i="4"/>
  <c r="G1500" i="4" s="1"/>
  <c r="D1161" i="10" s="1"/>
  <c r="F1499" i="4"/>
  <c r="F1498" i="4"/>
  <c r="G1498" i="4" s="1"/>
  <c r="D1153" i="10" s="1"/>
  <c r="F1497" i="4"/>
  <c r="G1497" i="4" s="1"/>
  <c r="F1496" i="4"/>
  <c r="G1496" i="4" s="1"/>
  <c r="F1495" i="4"/>
  <c r="F1494" i="4"/>
  <c r="F1493" i="4"/>
  <c r="F1492" i="4"/>
  <c r="F1491" i="4"/>
  <c r="F1490" i="4"/>
  <c r="F1487" i="4"/>
  <c r="G1487" i="4" s="1"/>
  <c r="F1486" i="4"/>
  <c r="F1485" i="4"/>
  <c r="G1485" i="4" s="1"/>
  <c r="D1166" i="10" s="1"/>
  <c r="F1484" i="4"/>
  <c r="G1484" i="4" s="1"/>
  <c r="D1164" i="10" s="1"/>
  <c r="F1483" i="4"/>
  <c r="F1482" i="4"/>
  <c r="G1482" i="4" s="1"/>
  <c r="D1160" i="10" s="1"/>
  <c r="F1481" i="4"/>
  <c r="F1480" i="4"/>
  <c r="G1480" i="4" s="1"/>
  <c r="F1479" i="4"/>
  <c r="F1478" i="4"/>
  <c r="F1477" i="4"/>
  <c r="F1476" i="4"/>
  <c r="F1475" i="4"/>
  <c r="F1474" i="4"/>
  <c r="F1473" i="4"/>
  <c r="F1472" i="4"/>
  <c r="F1470" i="4"/>
  <c r="F1469" i="4"/>
  <c r="F1468" i="4"/>
  <c r="F1467" i="4"/>
  <c r="F1466" i="4"/>
  <c r="F1465" i="4"/>
  <c r="F1464" i="4"/>
  <c r="F1463" i="4"/>
  <c r="F1462" i="4"/>
  <c r="F1461" i="4"/>
  <c r="F1460" i="4"/>
  <c r="F1458" i="4"/>
  <c r="F1457" i="4"/>
  <c r="F1456" i="4"/>
  <c r="F1455" i="4"/>
  <c r="F1454" i="4"/>
  <c r="F1453" i="4"/>
  <c r="F1452" i="4"/>
  <c r="F1451" i="4"/>
  <c r="F1450" i="4"/>
  <c r="F1449" i="4"/>
  <c r="F1448" i="4"/>
  <c r="F1447" i="4"/>
  <c r="F1446" i="4"/>
  <c r="F1445" i="4"/>
  <c r="F1444" i="4"/>
  <c r="F1443" i="4"/>
  <c r="F1442" i="4"/>
  <c r="F1441" i="4"/>
  <c r="F1440" i="4"/>
  <c r="F1439" i="4"/>
  <c r="F1438" i="4"/>
  <c r="F1437" i="4"/>
  <c r="F1436" i="4"/>
  <c r="F1435" i="4"/>
  <c r="F1434" i="4"/>
  <c r="F1433" i="4"/>
  <c r="F1432" i="4"/>
  <c r="F1431" i="4"/>
  <c r="F1430" i="4"/>
  <c r="F1429" i="4"/>
  <c r="F1428" i="4"/>
  <c r="F1427" i="4"/>
  <c r="F1426" i="4"/>
  <c r="F1425" i="4"/>
  <c r="F1424" i="4"/>
  <c r="F1423" i="4"/>
  <c r="F1422" i="4"/>
  <c r="F1421" i="4"/>
  <c r="F1420" i="4"/>
  <c r="F1419" i="4"/>
  <c r="F1418" i="4"/>
  <c r="F1417" i="4"/>
  <c r="F1416" i="4"/>
  <c r="F1415" i="4"/>
  <c r="F1414" i="4"/>
  <c r="F1413" i="4"/>
  <c r="F1412" i="4"/>
  <c r="F1411" i="4"/>
  <c r="F1410" i="4"/>
  <c r="F1409" i="4"/>
  <c r="F1408" i="4"/>
  <c r="F1407" i="4"/>
  <c r="F1406" i="4"/>
  <c r="F1405" i="4"/>
  <c r="F1404" i="4"/>
  <c r="F1403" i="4"/>
  <c r="F1402" i="4"/>
  <c r="F1401" i="4"/>
  <c r="F1400" i="4"/>
  <c r="F1399" i="4"/>
  <c r="F1398" i="4"/>
  <c r="F1397" i="4"/>
  <c r="F1396" i="4"/>
  <c r="F1394" i="4"/>
  <c r="F1393" i="4"/>
  <c r="F1392" i="4"/>
  <c r="F1391" i="4"/>
  <c r="F1390" i="4"/>
  <c r="F1389" i="4"/>
  <c r="F1388" i="4"/>
  <c r="F1387" i="4"/>
  <c r="F1386" i="4"/>
  <c r="F1385" i="4"/>
  <c r="F1384" i="4"/>
  <c r="F1383" i="4"/>
  <c r="F1382" i="4"/>
  <c r="F1380" i="4"/>
  <c r="F1379" i="4"/>
  <c r="F1378" i="4"/>
  <c r="F1377" i="4"/>
  <c r="F1376" i="4"/>
  <c r="F1375" i="4"/>
  <c r="F1374" i="4"/>
  <c r="F1373" i="4"/>
  <c r="F1370" i="4"/>
  <c r="F1369" i="4"/>
  <c r="F1368" i="4"/>
  <c r="F1366" i="4"/>
  <c r="G1366" i="4" s="1"/>
  <c r="D1156" i="10" s="1"/>
  <c r="F1365" i="4"/>
  <c r="F1364" i="4"/>
  <c r="F1363" i="4"/>
  <c r="F1362" i="4"/>
  <c r="F1361" i="4"/>
  <c r="F1360" i="4"/>
  <c r="F1359" i="4"/>
  <c r="F1358" i="4"/>
  <c r="F1357" i="4"/>
  <c r="F1356" i="4"/>
  <c r="F1355" i="4"/>
  <c r="F1354" i="4"/>
  <c r="F1352" i="4"/>
  <c r="G1352" i="4" s="1"/>
  <c r="F1350" i="4"/>
  <c r="J1350" i="4" s="1"/>
  <c r="F1348" i="4"/>
  <c r="J1348" i="4" s="1"/>
  <c r="F1347" i="4"/>
  <c r="F1346" i="4"/>
  <c r="F1344" i="4"/>
  <c r="J1344" i="4" s="1"/>
  <c r="F1343" i="4"/>
  <c r="F1342" i="4"/>
  <c r="F1341" i="4"/>
  <c r="F1340" i="4"/>
  <c r="F1339" i="4"/>
  <c r="F1338" i="4"/>
  <c r="F1337" i="4"/>
  <c r="F1336" i="4"/>
  <c r="F1335" i="4"/>
  <c r="F1334" i="4"/>
  <c r="F1333" i="4"/>
  <c r="F1332" i="4"/>
  <c r="F1331" i="4"/>
  <c r="F1330" i="4"/>
  <c r="F1329" i="4"/>
  <c r="F1328" i="4"/>
  <c r="F1321" i="4"/>
  <c r="F1320" i="4"/>
  <c r="F1319" i="4"/>
  <c r="F1318" i="4"/>
  <c r="F1317" i="4"/>
  <c r="F1311" i="4"/>
  <c r="F1310" i="4"/>
  <c r="F1309" i="4"/>
  <c r="F1305" i="4"/>
  <c r="F1303" i="4"/>
  <c r="F1300" i="4"/>
  <c r="F1299" i="4"/>
  <c r="F1298" i="4"/>
  <c r="F1297" i="4"/>
  <c r="F1296" i="4"/>
  <c r="F1295" i="4"/>
  <c r="F1294" i="4"/>
  <c r="F1293" i="4"/>
  <c r="F1292" i="4"/>
  <c r="F1290" i="4"/>
  <c r="F1289" i="4"/>
  <c r="F1288" i="4"/>
  <c r="F1287" i="4"/>
  <c r="F1286" i="4"/>
  <c r="F1285" i="4"/>
  <c r="F1284" i="4"/>
  <c r="F1283" i="4"/>
  <c r="F1282" i="4"/>
  <c r="F1281" i="4"/>
  <c r="F1280" i="4"/>
  <c r="F1279" i="4"/>
  <c r="F1278" i="4"/>
  <c r="F1277" i="4"/>
  <c r="F1276" i="4"/>
  <c r="F1275" i="4"/>
  <c r="F1274" i="4"/>
  <c r="F1273" i="4"/>
  <c r="F1272" i="4"/>
  <c r="F1271" i="4"/>
  <c r="F1270" i="4"/>
  <c r="F1269" i="4"/>
  <c r="F1268" i="4"/>
  <c r="F1267" i="4"/>
  <c r="F1266" i="4"/>
  <c r="F1265" i="4"/>
  <c r="F1264" i="4"/>
  <c r="F1263" i="4"/>
  <c r="F1262" i="4"/>
  <c r="F1261" i="4"/>
  <c r="F1260" i="4"/>
  <c r="F1253" i="4"/>
  <c r="F1252" i="4"/>
  <c r="F1251" i="4"/>
  <c r="F1250" i="4"/>
  <c r="F1249" i="4"/>
  <c r="F1248" i="4"/>
  <c r="F1247" i="4"/>
  <c r="F1246" i="4"/>
  <c r="F1245" i="4"/>
  <c r="F1244" i="4"/>
  <c r="F1243" i="4"/>
  <c r="F1242" i="4"/>
  <c r="F1241" i="4"/>
  <c r="F1240" i="4"/>
  <c r="F1239" i="4"/>
  <c r="F1238" i="4"/>
  <c r="F1237" i="4"/>
  <c r="F1236" i="4"/>
  <c r="F1235" i="4"/>
  <c r="F1234" i="4"/>
  <c r="F1233" i="4"/>
  <c r="F1232" i="4"/>
  <c r="F1231" i="4"/>
  <c r="F1230" i="4"/>
  <c r="F1229" i="4"/>
  <c r="F1228" i="4"/>
  <c r="F1227" i="4"/>
  <c r="F1226" i="4"/>
  <c r="F1225" i="4"/>
  <c r="F1224" i="4"/>
  <c r="F1221" i="4"/>
  <c r="F1220" i="4"/>
  <c r="F1219" i="4"/>
  <c r="F1218" i="4"/>
  <c r="F1217" i="4"/>
  <c r="F1216" i="4"/>
  <c r="F1215" i="4"/>
  <c r="F1214" i="4"/>
  <c r="F1213" i="4"/>
  <c r="F1212" i="4"/>
  <c r="F1211" i="4"/>
  <c r="F1210" i="4"/>
  <c r="F1209" i="4"/>
  <c r="F1208" i="4"/>
  <c r="F1207" i="4"/>
  <c r="F1206" i="4"/>
  <c r="F1205" i="4"/>
  <c r="F1204" i="4"/>
  <c r="F1203" i="4"/>
  <c r="F1202" i="4"/>
  <c r="F1201" i="4"/>
  <c r="F1200" i="4"/>
  <c r="F1199" i="4"/>
  <c r="F1198" i="4"/>
  <c r="F1197" i="4"/>
  <c r="F1196" i="4"/>
  <c r="F1195" i="4"/>
  <c r="F1194" i="4"/>
  <c r="F1193" i="4"/>
  <c r="F1192" i="4"/>
  <c r="F1191" i="4"/>
  <c r="F1186" i="4"/>
  <c r="F1185" i="4"/>
  <c r="F1184" i="4"/>
  <c r="F1183" i="4"/>
  <c r="F1181" i="4"/>
  <c r="F1180" i="4"/>
  <c r="F1179" i="4"/>
  <c r="F1177" i="4"/>
  <c r="F1176" i="4"/>
  <c r="F1175" i="4"/>
  <c r="F1173" i="4"/>
  <c r="F1172" i="4"/>
  <c r="F1171" i="4"/>
  <c r="F1170" i="4"/>
  <c r="F1169" i="4"/>
  <c r="F1168" i="4"/>
  <c r="F1167" i="4"/>
  <c r="F1166" i="4"/>
  <c r="F1165" i="4"/>
  <c r="F1164" i="4"/>
  <c r="F1163" i="4"/>
  <c r="F1162" i="4"/>
  <c r="F1161" i="4"/>
  <c r="F1160" i="4"/>
  <c r="F1159" i="4"/>
  <c r="F1158" i="4"/>
  <c r="F1157" i="4"/>
  <c r="F1155" i="4"/>
  <c r="F1154" i="4"/>
  <c r="F1153" i="4"/>
  <c r="F1151" i="4"/>
  <c r="F1150" i="4"/>
  <c r="F1149" i="4"/>
  <c r="F1148" i="4"/>
  <c r="F1147" i="4"/>
  <c r="F1146" i="4"/>
  <c r="F1145" i="4"/>
  <c r="F1144" i="4"/>
  <c r="F1143" i="4"/>
  <c r="F1140" i="4"/>
  <c r="F1139" i="4"/>
  <c r="F1138" i="4"/>
  <c r="F1137" i="4"/>
  <c r="F1136" i="4"/>
  <c r="F1135" i="4"/>
  <c r="F1134" i="4"/>
  <c r="F1133" i="4"/>
  <c r="F1132" i="4"/>
  <c r="F1131" i="4"/>
  <c r="F1130" i="4"/>
  <c r="F1129" i="4"/>
  <c r="F1117" i="4"/>
  <c r="F1116" i="4"/>
  <c r="F1115" i="4"/>
  <c r="F1114" i="4"/>
  <c r="F1113" i="4"/>
  <c r="F1112" i="4"/>
  <c r="F1111" i="4"/>
  <c r="F1110" i="4"/>
  <c r="F1109" i="4"/>
  <c r="F1108" i="4"/>
  <c r="F1107" i="4"/>
  <c r="F1106" i="4"/>
  <c r="F1105" i="4"/>
  <c r="F1102" i="4"/>
  <c r="F1101" i="4"/>
  <c r="F1100" i="4"/>
  <c r="F1099" i="4"/>
  <c r="F1098" i="4"/>
  <c r="F1097" i="4"/>
  <c r="F1096" i="4"/>
  <c r="F1095" i="4"/>
  <c r="F1094" i="4"/>
  <c r="F1092" i="4"/>
  <c r="F1091" i="4"/>
  <c r="F1090" i="4"/>
  <c r="F1089" i="4"/>
  <c r="F1087" i="4"/>
  <c r="F1086" i="4"/>
  <c r="F1085" i="4"/>
  <c r="F1084" i="4"/>
  <c r="F1083" i="4"/>
  <c r="F1082" i="4"/>
  <c r="J1082" i="4" s="1"/>
  <c r="F1081" i="4"/>
  <c r="F1080" i="4"/>
  <c r="F1079" i="4"/>
  <c r="F1078" i="4"/>
  <c r="F1077" i="4"/>
  <c r="F1075" i="4"/>
  <c r="F1074" i="4"/>
  <c r="F1073" i="4"/>
  <c r="F1072" i="4"/>
  <c r="F1071" i="4"/>
  <c r="F1070" i="4"/>
  <c r="F1069" i="4"/>
  <c r="F1068" i="4"/>
  <c r="F1067" i="4"/>
  <c r="F1066" i="4"/>
  <c r="F1065" i="4"/>
  <c r="F1064" i="4"/>
  <c r="F1063" i="4"/>
  <c r="F1062" i="4"/>
  <c r="F1061" i="4"/>
  <c r="F1060" i="4"/>
  <c r="F1059" i="4"/>
  <c r="F1058" i="4"/>
  <c r="F1057" i="4"/>
  <c r="F1056" i="4"/>
  <c r="F1055" i="4"/>
  <c r="F1054" i="4"/>
  <c r="F1053" i="4"/>
  <c r="F1052" i="4"/>
  <c r="F1051" i="4"/>
  <c r="F1050" i="4"/>
  <c r="F1049" i="4"/>
  <c r="F1048" i="4"/>
  <c r="F1047" i="4"/>
  <c r="F1046" i="4"/>
  <c r="F1045" i="4"/>
  <c r="F1044" i="4"/>
  <c r="F1043" i="4"/>
  <c r="F1042" i="4"/>
  <c r="F1041" i="4"/>
  <c r="F1040" i="4"/>
  <c r="F1039" i="4"/>
  <c r="F1038" i="4"/>
  <c r="F1037" i="4"/>
  <c r="F1036" i="4"/>
  <c r="F1035" i="4"/>
  <c r="F1034" i="4"/>
  <c r="F1033" i="4"/>
  <c r="F1032" i="4"/>
  <c r="F1031" i="4"/>
  <c r="F1030" i="4"/>
  <c r="F1029" i="4"/>
  <c r="F1028" i="4"/>
  <c r="F1027" i="4"/>
  <c r="F1026" i="4"/>
  <c r="F1025" i="4"/>
  <c r="F1024" i="4"/>
  <c r="F1023" i="4"/>
  <c r="F1022" i="4"/>
  <c r="F1021" i="4"/>
  <c r="F1020" i="4"/>
  <c r="F1019" i="4"/>
  <c r="F1018" i="4"/>
  <c r="F1017" i="4"/>
  <c r="F1016" i="4"/>
  <c r="F1015" i="4"/>
  <c r="F1014" i="4"/>
  <c r="F1013" i="4"/>
  <c r="F1012" i="4"/>
  <c r="F1011" i="4"/>
  <c r="F1009" i="4"/>
  <c r="F1008" i="4"/>
  <c r="F1007" i="4"/>
  <c r="F1006" i="4"/>
  <c r="F1005" i="4"/>
  <c r="F1004" i="4"/>
  <c r="F1003" i="4"/>
  <c r="F1002" i="4"/>
  <c r="F1001" i="4"/>
  <c r="F1000" i="4"/>
  <c r="F999" i="4"/>
  <c r="F998" i="4"/>
  <c r="F997" i="4"/>
  <c r="F996" i="4"/>
  <c r="F995" i="4"/>
  <c r="F993" i="4"/>
  <c r="F992" i="4"/>
  <c r="F991" i="4"/>
  <c r="F990" i="4"/>
  <c r="F989" i="4"/>
  <c r="F988" i="4"/>
  <c r="F985" i="4"/>
  <c r="F984" i="4"/>
  <c r="F983" i="4"/>
  <c r="F982" i="4"/>
  <c r="F981" i="4"/>
  <c r="F980" i="4"/>
  <c r="F979" i="4"/>
  <c r="F978" i="4"/>
  <c r="F977" i="4"/>
  <c r="F976" i="4"/>
  <c r="F975" i="4"/>
  <c r="F973" i="4"/>
  <c r="F972" i="4"/>
  <c r="F971" i="4"/>
  <c r="F970" i="4"/>
  <c r="F969" i="4"/>
  <c r="F968" i="4"/>
  <c r="F967" i="4"/>
  <c r="F966" i="4"/>
  <c r="F965" i="4"/>
  <c r="F964" i="4"/>
  <c r="F963" i="4"/>
  <c r="F962" i="4"/>
  <c r="F961" i="4"/>
  <c r="F960" i="4"/>
  <c r="F958" i="4"/>
  <c r="F957" i="4"/>
  <c r="F956" i="4"/>
  <c r="F955" i="4"/>
  <c r="F953" i="4"/>
  <c r="F951" i="4"/>
  <c r="F950" i="4"/>
  <c r="F949" i="4"/>
  <c r="F948" i="4"/>
  <c r="F947" i="4"/>
  <c r="F946" i="4"/>
  <c r="F945" i="4"/>
  <c r="F944" i="4"/>
  <c r="F943" i="4"/>
  <c r="F942" i="4"/>
  <c r="F941" i="4"/>
  <c r="F940" i="4"/>
  <c r="F938" i="4"/>
  <c r="F937" i="4"/>
  <c r="F936" i="4"/>
  <c r="F935" i="4"/>
  <c r="F934" i="4"/>
  <c r="F933" i="4"/>
  <c r="F932" i="4"/>
  <c r="F931" i="4"/>
  <c r="F926" i="4"/>
  <c r="F925" i="4"/>
  <c r="F924" i="4"/>
  <c r="F923" i="4"/>
  <c r="F922" i="4"/>
  <c r="F921" i="4"/>
  <c r="F920" i="4"/>
  <c r="F919" i="4"/>
  <c r="F918" i="4"/>
  <c r="F917" i="4"/>
  <c r="F916" i="4"/>
  <c r="F915" i="4"/>
  <c r="F914" i="4"/>
  <c r="F913" i="4"/>
  <c r="F912" i="4"/>
  <c r="F911" i="4"/>
  <c r="F910" i="4"/>
  <c r="F909" i="4"/>
  <c r="F908" i="4"/>
  <c r="F907" i="4"/>
  <c r="F906" i="4"/>
  <c r="F905" i="4"/>
  <c r="F904" i="4"/>
  <c r="F903" i="4"/>
  <c r="F902" i="4"/>
  <c r="F901" i="4"/>
  <c r="F900" i="4"/>
  <c r="F899" i="4"/>
  <c r="F898" i="4"/>
  <c r="F897" i="4"/>
  <c r="F896" i="4"/>
  <c r="F895" i="4"/>
  <c r="F894" i="4"/>
  <c r="F893" i="4"/>
  <c r="F892" i="4"/>
  <c r="F891" i="4"/>
  <c r="F890" i="4"/>
  <c r="F889" i="4"/>
  <c r="F888" i="4"/>
  <c r="F887" i="4"/>
  <c r="F886" i="4"/>
  <c r="F885" i="4"/>
  <c r="F884" i="4"/>
  <c r="F883" i="4"/>
  <c r="F881" i="4"/>
  <c r="F880" i="4"/>
  <c r="F879" i="4"/>
  <c r="F878" i="4"/>
  <c r="F877" i="4"/>
  <c r="F876" i="4"/>
  <c r="F875" i="4"/>
  <c r="F874" i="4"/>
  <c r="F873" i="4"/>
  <c r="F872" i="4"/>
  <c r="F871" i="4"/>
  <c r="F870" i="4"/>
  <c r="F869" i="4"/>
  <c r="F868" i="4"/>
  <c r="F867" i="4"/>
  <c r="F866" i="4"/>
  <c r="F865" i="4"/>
  <c r="F864" i="4"/>
  <c r="F863" i="4"/>
  <c r="F862" i="4"/>
  <c r="F861" i="4"/>
  <c r="F860" i="4"/>
  <c r="F859" i="4"/>
  <c r="F858" i="4"/>
  <c r="F857" i="4"/>
  <c r="F856" i="4"/>
  <c r="F855" i="4"/>
  <c r="F854" i="4"/>
  <c r="F853" i="4"/>
  <c r="F852" i="4"/>
  <c r="F851" i="4"/>
  <c r="F850" i="4"/>
  <c r="F849" i="4"/>
  <c r="F848" i="4"/>
  <c r="F847" i="4"/>
  <c r="F846" i="4"/>
  <c r="F845" i="4"/>
  <c r="F844" i="4"/>
  <c r="F843" i="4"/>
  <c r="F842" i="4"/>
  <c r="F841" i="4"/>
  <c r="F840" i="4"/>
  <c r="F839" i="4"/>
  <c r="F838" i="4"/>
  <c r="F837" i="4"/>
  <c r="F836" i="4"/>
  <c r="F835" i="4"/>
  <c r="F834" i="4"/>
  <c r="F833" i="4"/>
  <c r="F832" i="4"/>
  <c r="F831" i="4"/>
  <c r="F830" i="4"/>
  <c r="F829" i="4"/>
  <c r="F828" i="4"/>
  <c r="F827" i="4"/>
  <c r="F826" i="4"/>
  <c r="F825" i="4"/>
  <c r="F824" i="4"/>
  <c r="F823" i="4"/>
  <c r="F822" i="4"/>
  <c r="F821" i="4"/>
  <c r="F820" i="4"/>
  <c r="F819" i="4"/>
  <c r="F818" i="4"/>
  <c r="F817" i="4"/>
  <c r="F816" i="4"/>
  <c r="F815" i="4"/>
  <c r="F812" i="4"/>
  <c r="F811" i="4"/>
  <c r="F810" i="4"/>
  <c r="F809" i="4"/>
  <c r="F808" i="4"/>
  <c r="F807" i="4"/>
  <c r="F804" i="4"/>
  <c r="F803" i="4"/>
  <c r="F802" i="4"/>
  <c r="F801" i="4"/>
  <c r="F800" i="4"/>
  <c r="F799" i="4"/>
  <c r="F798" i="4"/>
  <c r="F797" i="4"/>
  <c r="F796" i="4"/>
  <c r="F795" i="4"/>
  <c r="F794" i="4"/>
  <c r="F793" i="4"/>
  <c r="F792" i="4"/>
  <c r="F791" i="4"/>
  <c r="F790" i="4"/>
  <c r="F764" i="4"/>
  <c r="F763" i="4"/>
  <c r="F762" i="4"/>
  <c r="F760" i="4"/>
  <c r="F759" i="4"/>
  <c r="F758" i="4"/>
  <c r="F756" i="4"/>
  <c r="F755" i="4"/>
  <c r="F754" i="4"/>
  <c r="F753" i="4"/>
  <c r="F752" i="4"/>
  <c r="F751" i="4"/>
  <c r="F750" i="4"/>
  <c r="F749" i="4"/>
  <c r="F748" i="4"/>
  <c r="F747" i="4"/>
  <c r="F746" i="4"/>
  <c r="F745" i="4"/>
  <c r="F744" i="4"/>
  <c r="F743" i="4"/>
  <c r="F742" i="4"/>
  <c r="F741" i="4"/>
  <c r="F740" i="4"/>
  <c r="F739" i="4"/>
  <c r="F738" i="4"/>
  <c r="F737" i="4"/>
  <c r="F736" i="4"/>
  <c r="F735" i="4"/>
  <c r="F734" i="4"/>
  <c r="F733" i="4"/>
  <c r="F732" i="4"/>
  <c r="F729" i="4"/>
  <c r="F728" i="4"/>
  <c r="F727" i="4"/>
  <c r="F726" i="4"/>
  <c r="F725" i="4"/>
  <c r="F724" i="4"/>
  <c r="F723" i="4"/>
  <c r="F722" i="4"/>
  <c r="F721" i="4"/>
  <c r="F720" i="4"/>
  <c r="F719" i="4"/>
  <c r="F718" i="4"/>
  <c r="F717" i="4"/>
  <c r="F716" i="4"/>
  <c r="F715" i="4"/>
  <c r="F714" i="4"/>
  <c r="F713" i="4"/>
  <c r="F712" i="4"/>
  <c r="F711" i="4"/>
  <c r="F710" i="4"/>
  <c r="F709" i="4"/>
  <c r="F708" i="4"/>
  <c r="F707" i="4"/>
  <c r="F706" i="4"/>
  <c r="F705" i="4"/>
  <c r="F704" i="4"/>
  <c r="F702" i="4"/>
  <c r="F701" i="4"/>
  <c r="F700" i="4"/>
  <c r="F699" i="4"/>
  <c r="F697" i="4"/>
  <c r="J697" i="4" s="1"/>
  <c r="F696" i="4"/>
  <c r="J696" i="4" s="1"/>
  <c r="F695" i="4"/>
  <c r="J695" i="4" s="1"/>
  <c r="F694" i="4"/>
  <c r="J694" i="4" s="1"/>
  <c r="F693" i="4"/>
  <c r="J693" i="4" s="1"/>
  <c r="F692" i="4"/>
  <c r="J692" i="4" s="1"/>
  <c r="F691" i="4"/>
  <c r="J691" i="4" s="1"/>
  <c r="F690" i="4"/>
  <c r="J690" i="4" s="1"/>
  <c r="F689" i="4"/>
  <c r="J689" i="4" s="1"/>
  <c r="F688" i="4"/>
  <c r="J688" i="4" s="1"/>
  <c r="F687" i="4"/>
  <c r="J687" i="4" s="1"/>
  <c r="F686" i="4"/>
  <c r="J686" i="4" s="1"/>
  <c r="F685" i="4"/>
  <c r="J685" i="4" s="1"/>
  <c r="F684" i="4"/>
  <c r="J684" i="4" s="1"/>
  <c r="F683" i="4"/>
  <c r="J683" i="4" s="1"/>
  <c r="F682" i="4"/>
  <c r="J682" i="4" s="1"/>
  <c r="F680" i="4"/>
  <c r="J680" i="4" s="1"/>
  <c r="F679" i="4"/>
  <c r="J679" i="4" s="1"/>
  <c r="F678" i="4"/>
  <c r="J678" i="4" s="1"/>
  <c r="F677" i="4"/>
  <c r="J677" i="4" s="1"/>
  <c r="F676" i="4"/>
  <c r="J676" i="4" s="1"/>
  <c r="F675" i="4"/>
  <c r="J675" i="4" s="1"/>
  <c r="F674" i="4"/>
  <c r="J674" i="4" s="1"/>
  <c r="F670" i="4"/>
  <c r="J670" i="4" s="1"/>
  <c r="F669" i="4"/>
  <c r="J669" i="4" s="1"/>
  <c r="F668" i="4"/>
  <c r="J668" i="4" s="1"/>
  <c r="F667" i="4"/>
  <c r="J667" i="4" s="1"/>
  <c r="F666" i="4"/>
  <c r="J666" i="4" s="1"/>
  <c r="F665" i="4"/>
  <c r="J665" i="4" s="1"/>
  <c r="F664" i="4"/>
  <c r="J664" i="4" s="1"/>
  <c r="F663" i="4"/>
  <c r="J663" i="4" s="1"/>
  <c r="F662" i="4"/>
  <c r="J662" i="4" s="1"/>
  <c r="F661" i="4"/>
  <c r="J661" i="4" s="1"/>
  <c r="F660" i="4"/>
  <c r="J660" i="4" s="1"/>
  <c r="F659" i="4"/>
  <c r="J659" i="4" s="1"/>
  <c r="F658" i="4"/>
  <c r="J658" i="4" s="1"/>
  <c r="F657" i="4"/>
  <c r="J657" i="4" s="1"/>
  <c r="F656" i="4"/>
  <c r="J656" i="4" s="1"/>
  <c r="F655" i="4"/>
  <c r="J655" i="4" s="1"/>
  <c r="F654" i="4"/>
  <c r="J654" i="4" s="1"/>
  <c r="F653" i="4"/>
  <c r="J653" i="4" s="1"/>
  <c r="F652" i="4"/>
  <c r="J652" i="4" s="1"/>
  <c r="F651" i="4"/>
  <c r="J651" i="4" s="1"/>
  <c r="F650" i="4"/>
  <c r="J650" i="4" s="1"/>
  <c r="F649" i="4"/>
  <c r="J649" i="4" s="1"/>
  <c r="F648" i="4"/>
  <c r="J648" i="4" s="1"/>
  <c r="F647" i="4"/>
  <c r="J647" i="4" s="1"/>
  <c r="F646" i="4"/>
  <c r="J646" i="4" s="1"/>
  <c r="F645" i="4"/>
  <c r="J645" i="4" s="1"/>
  <c r="F644" i="4"/>
  <c r="J644" i="4" s="1"/>
  <c r="F643" i="4"/>
  <c r="J643" i="4" s="1"/>
  <c r="F642" i="4"/>
  <c r="J642" i="4" s="1"/>
  <c r="F641" i="4"/>
  <c r="J641" i="4" s="1"/>
  <c r="F640" i="4"/>
  <c r="J640" i="4" s="1"/>
  <c r="F639" i="4"/>
  <c r="J639" i="4" s="1"/>
  <c r="F638" i="4"/>
  <c r="J638" i="4" s="1"/>
  <c r="F637" i="4"/>
  <c r="J637" i="4" s="1"/>
  <c r="F636" i="4"/>
  <c r="J636" i="4" s="1"/>
  <c r="F635" i="4"/>
  <c r="J635" i="4" s="1"/>
  <c r="F634" i="4"/>
  <c r="J634" i="4" s="1"/>
  <c r="F633" i="4"/>
  <c r="J633" i="4" s="1"/>
  <c r="F632" i="4"/>
  <c r="J632" i="4" s="1"/>
  <c r="F631" i="4"/>
  <c r="J631" i="4" s="1"/>
  <c r="F630" i="4"/>
  <c r="J630" i="4" s="1"/>
  <c r="F629" i="4"/>
  <c r="J629" i="4" s="1"/>
  <c r="F628" i="4"/>
  <c r="J628" i="4" s="1"/>
  <c r="F627" i="4"/>
  <c r="J627" i="4" s="1"/>
  <c r="F626" i="4"/>
  <c r="J626" i="4" s="1"/>
  <c r="F625" i="4"/>
  <c r="J625" i="4" s="1"/>
  <c r="F624" i="4"/>
  <c r="J624" i="4" s="1"/>
  <c r="F623" i="4"/>
  <c r="J623" i="4" s="1"/>
  <c r="F622" i="4"/>
  <c r="J622" i="4" s="1"/>
  <c r="F621" i="4"/>
  <c r="J621" i="4" s="1"/>
  <c r="F620" i="4"/>
  <c r="J620" i="4" s="1"/>
  <c r="F619" i="4"/>
  <c r="J619" i="4" s="1"/>
  <c r="F618" i="4"/>
  <c r="J618" i="4" s="1"/>
  <c r="F617" i="4"/>
  <c r="F616" i="4"/>
  <c r="F615" i="4"/>
  <c r="F614" i="4"/>
  <c r="F613" i="4"/>
  <c r="F612" i="4"/>
  <c r="F611" i="4"/>
  <c r="F610" i="4"/>
  <c r="F609" i="4"/>
  <c r="F608" i="4"/>
  <c r="F607" i="4"/>
  <c r="F606" i="4"/>
  <c r="J606" i="4" s="1"/>
  <c r="F605" i="4"/>
  <c r="J605" i="4" s="1"/>
  <c r="F604" i="4"/>
  <c r="J604" i="4" s="1"/>
  <c r="F603" i="4"/>
  <c r="J603" i="4" s="1"/>
  <c r="F602" i="4"/>
  <c r="J602" i="4" s="1"/>
  <c r="F601" i="4"/>
  <c r="J601" i="4" s="1"/>
  <c r="F600" i="4"/>
  <c r="J600" i="4" s="1"/>
  <c r="F599" i="4"/>
  <c r="J599" i="4" s="1"/>
  <c r="F598" i="4"/>
  <c r="J598" i="4" s="1"/>
  <c r="F597" i="4"/>
  <c r="J597" i="4" s="1"/>
  <c r="F596" i="4"/>
  <c r="J596" i="4" s="1"/>
  <c r="F592" i="4"/>
  <c r="J592" i="4" s="1"/>
  <c r="F590" i="4"/>
  <c r="J590" i="4" s="1"/>
  <c r="F589" i="4"/>
  <c r="J589" i="4" s="1"/>
  <c r="F588" i="4"/>
  <c r="J588" i="4" s="1"/>
  <c r="F587" i="4"/>
  <c r="J587" i="4" s="1"/>
  <c r="F586" i="4"/>
  <c r="J586" i="4" s="1"/>
  <c r="F585" i="4"/>
  <c r="J585" i="4" s="1"/>
  <c r="F584" i="4"/>
  <c r="J584" i="4" s="1"/>
  <c r="F583" i="4"/>
  <c r="J583" i="4" s="1"/>
  <c r="F582" i="4"/>
  <c r="J582" i="4" s="1"/>
  <c r="F581" i="4"/>
  <c r="J581" i="4" s="1"/>
  <c r="F580" i="4"/>
  <c r="J580" i="4" s="1"/>
  <c r="F579" i="4"/>
  <c r="J579" i="4" s="1"/>
  <c r="F578" i="4"/>
  <c r="J578" i="4" s="1"/>
  <c r="F577" i="4"/>
  <c r="J577" i="4" s="1"/>
  <c r="F576" i="4"/>
  <c r="J576" i="4" s="1"/>
  <c r="F575" i="4"/>
  <c r="J575" i="4" s="1"/>
  <c r="F574" i="4"/>
  <c r="J574" i="4" s="1"/>
  <c r="F573" i="4"/>
  <c r="J573" i="4" s="1"/>
  <c r="F572" i="4"/>
  <c r="J572" i="4" s="1"/>
  <c r="F571" i="4"/>
  <c r="J571" i="4" s="1"/>
  <c r="F570" i="4"/>
  <c r="J570" i="4" s="1"/>
  <c r="F569" i="4"/>
  <c r="J569" i="4" s="1"/>
  <c r="F568" i="4"/>
  <c r="J568" i="4" s="1"/>
  <c r="F567" i="4"/>
  <c r="J567" i="4" s="1"/>
  <c r="F566" i="4"/>
  <c r="J566" i="4" s="1"/>
  <c r="F565" i="4"/>
  <c r="J565" i="4" s="1"/>
  <c r="F564" i="4"/>
  <c r="J564" i="4" s="1"/>
  <c r="F563" i="4"/>
  <c r="J563" i="4" s="1"/>
  <c r="F561" i="4"/>
  <c r="J561" i="4" s="1"/>
  <c r="F560" i="4"/>
  <c r="J560" i="4" s="1"/>
  <c r="F559" i="4"/>
  <c r="J559" i="4" s="1"/>
  <c r="F558" i="4"/>
  <c r="J558" i="4" s="1"/>
  <c r="F557" i="4"/>
  <c r="J557" i="4" s="1"/>
  <c r="F556" i="4"/>
  <c r="J556" i="4" s="1"/>
  <c r="F555" i="4"/>
  <c r="J555" i="4" s="1"/>
  <c r="F554" i="4"/>
  <c r="J554" i="4" s="1"/>
  <c r="F552" i="4"/>
  <c r="J552" i="4" s="1"/>
  <c r="F551" i="4"/>
  <c r="J551" i="4" s="1"/>
  <c r="F550" i="4"/>
  <c r="J550" i="4" s="1"/>
  <c r="F549" i="4"/>
  <c r="J549" i="4" s="1"/>
  <c r="F548" i="4"/>
  <c r="J548" i="4" s="1"/>
  <c r="F547" i="4"/>
  <c r="J547" i="4" s="1"/>
  <c r="F546" i="4"/>
  <c r="J546" i="4" s="1"/>
  <c r="F545" i="4"/>
  <c r="J545" i="4" s="1"/>
  <c r="F544" i="4"/>
  <c r="J544" i="4" s="1"/>
  <c r="F543" i="4"/>
  <c r="J543" i="4" s="1"/>
  <c r="F542" i="4"/>
  <c r="J542" i="4" s="1"/>
  <c r="F541" i="4"/>
  <c r="J541" i="4" s="1"/>
  <c r="F540" i="4"/>
  <c r="J540" i="4" s="1"/>
  <c r="F539" i="4"/>
  <c r="J539" i="4" s="1"/>
  <c r="F538" i="4"/>
  <c r="J538" i="4" s="1"/>
  <c r="F537" i="4"/>
  <c r="J537" i="4" s="1"/>
  <c r="F536" i="4"/>
  <c r="J536" i="4" s="1"/>
  <c r="F535" i="4"/>
  <c r="J535" i="4" s="1"/>
  <c r="F534" i="4"/>
  <c r="J534" i="4" s="1"/>
  <c r="F533" i="4"/>
  <c r="J533" i="4" s="1"/>
  <c r="F485" i="4"/>
  <c r="J485" i="4" s="1"/>
  <c r="F484" i="4"/>
  <c r="J484" i="4" s="1"/>
  <c r="F483" i="4"/>
  <c r="J483" i="4" s="1"/>
  <c r="F482" i="4"/>
  <c r="J482" i="4" s="1"/>
  <c r="F481" i="4"/>
  <c r="J481" i="4" s="1"/>
  <c r="F480" i="4"/>
  <c r="J480" i="4" s="1"/>
  <c r="F479" i="4"/>
  <c r="J479" i="4" s="1"/>
  <c r="F478" i="4"/>
  <c r="J478" i="4" s="1"/>
  <c r="F477" i="4"/>
  <c r="J477" i="4" s="1"/>
  <c r="F476" i="4"/>
  <c r="J476" i="4" s="1"/>
  <c r="F475" i="4"/>
  <c r="J475" i="4" s="1"/>
  <c r="F474" i="4"/>
  <c r="J474" i="4" s="1"/>
  <c r="F473" i="4"/>
  <c r="J473" i="4" s="1"/>
  <c r="F472" i="4"/>
  <c r="J472" i="4" s="1"/>
  <c r="F471" i="4"/>
  <c r="J471" i="4" s="1"/>
  <c r="F470" i="4"/>
  <c r="J470" i="4" s="1"/>
  <c r="F469" i="4"/>
  <c r="J469" i="4" s="1"/>
  <c r="F468" i="4"/>
  <c r="J468" i="4" s="1"/>
  <c r="F467" i="4"/>
  <c r="J467" i="4" s="1"/>
  <c r="F466" i="4"/>
  <c r="J466" i="4" s="1"/>
  <c r="F465" i="4"/>
  <c r="J465" i="4" s="1"/>
  <c r="F464" i="4"/>
  <c r="J464" i="4" s="1"/>
  <c r="F463" i="4"/>
  <c r="J463" i="4" s="1"/>
  <c r="F462" i="4"/>
  <c r="J462" i="4" s="1"/>
  <c r="F461" i="4"/>
  <c r="J461" i="4" s="1"/>
  <c r="F460" i="4"/>
  <c r="J460" i="4" s="1"/>
  <c r="F459" i="4"/>
  <c r="J459" i="4" s="1"/>
  <c r="F458" i="4"/>
  <c r="F457" i="4"/>
  <c r="F456" i="4"/>
  <c r="F455" i="4"/>
  <c r="F454" i="4"/>
  <c r="F453" i="4"/>
  <c r="F452" i="4"/>
  <c r="F451" i="4"/>
  <c r="F450" i="4"/>
  <c r="F449" i="4"/>
  <c r="J449" i="4" s="1"/>
  <c r="F445" i="4"/>
  <c r="J445" i="4" s="1"/>
  <c r="F443" i="4"/>
  <c r="J443" i="4" s="1"/>
  <c r="F442" i="4"/>
  <c r="J442" i="4" s="1"/>
  <c r="F441" i="4"/>
  <c r="J441" i="4" s="1"/>
  <c r="F439" i="4"/>
  <c r="J439" i="4" s="1"/>
  <c r="F438" i="4"/>
  <c r="J438" i="4" s="1"/>
  <c r="F437" i="4"/>
  <c r="J437" i="4" s="1"/>
  <c r="F434" i="4"/>
  <c r="J434" i="4" s="1"/>
  <c r="F433" i="4"/>
  <c r="J433" i="4" s="1"/>
  <c r="F432" i="4"/>
  <c r="J432" i="4" s="1"/>
  <c r="F431" i="4"/>
  <c r="J431" i="4" s="1"/>
  <c r="F430" i="4"/>
  <c r="J430" i="4" s="1"/>
  <c r="F429" i="4"/>
  <c r="J429" i="4" s="1"/>
  <c r="F428" i="4"/>
  <c r="J428" i="4" s="1"/>
  <c r="F427" i="4"/>
  <c r="J427" i="4" s="1"/>
  <c r="F426" i="4"/>
  <c r="J426" i="4" s="1"/>
  <c r="F425" i="4"/>
  <c r="J425" i="4" s="1"/>
  <c r="F424" i="4"/>
  <c r="F423" i="4"/>
  <c r="F422" i="4"/>
  <c r="F421" i="4"/>
  <c r="F420" i="4"/>
  <c r="F419" i="4"/>
  <c r="J419" i="4" s="1"/>
  <c r="F418" i="4"/>
  <c r="J418" i="4" s="1"/>
  <c r="F417" i="4"/>
  <c r="J417" i="4" s="1"/>
  <c r="F416" i="4"/>
  <c r="J416" i="4" s="1"/>
  <c r="F415" i="4"/>
  <c r="J415" i="4" s="1"/>
  <c r="F412" i="4"/>
  <c r="J412" i="4" s="1"/>
  <c r="F411" i="4"/>
  <c r="J411" i="4" s="1"/>
  <c r="F410" i="4"/>
  <c r="J410" i="4" s="1"/>
  <c r="F409" i="4"/>
  <c r="J409" i="4" s="1"/>
  <c r="F408" i="4"/>
  <c r="J408" i="4" s="1"/>
  <c r="F407" i="4"/>
  <c r="J407" i="4" s="1"/>
  <c r="F406" i="4"/>
  <c r="J406" i="4" s="1"/>
  <c r="F405" i="4"/>
  <c r="J405" i="4" s="1"/>
  <c r="F404" i="4"/>
  <c r="J404" i="4" s="1"/>
  <c r="F403" i="4"/>
  <c r="J403" i="4" s="1"/>
  <c r="F402" i="4"/>
  <c r="J402" i="4" s="1"/>
  <c r="F401" i="4"/>
  <c r="J401" i="4" s="1"/>
  <c r="F400" i="4"/>
  <c r="J400" i="4" s="1"/>
  <c r="F399" i="4"/>
  <c r="J399" i="4" s="1"/>
  <c r="F398" i="4"/>
  <c r="J398" i="4" s="1"/>
  <c r="F397" i="4"/>
  <c r="J397" i="4" s="1"/>
  <c r="F396" i="4"/>
  <c r="J396" i="4" s="1"/>
  <c r="F395" i="4"/>
  <c r="J395" i="4" s="1"/>
  <c r="F394" i="4"/>
  <c r="J394" i="4" s="1"/>
  <c r="F393" i="4"/>
  <c r="J393" i="4" s="1"/>
  <c r="F392" i="4"/>
  <c r="J392" i="4" s="1"/>
  <c r="F391" i="4"/>
  <c r="J391" i="4" s="1"/>
  <c r="F390" i="4"/>
  <c r="J390" i="4" s="1"/>
  <c r="F389" i="4"/>
  <c r="J389" i="4" s="1"/>
  <c r="F388" i="4"/>
  <c r="J388" i="4" s="1"/>
  <c r="F387" i="4"/>
  <c r="J387" i="4" s="1"/>
  <c r="F386" i="4"/>
  <c r="J386" i="4" s="1"/>
  <c r="F385" i="4"/>
  <c r="J385" i="4" s="1"/>
  <c r="F384" i="4"/>
  <c r="J384" i="4" s="1"/>
  <c r="F383" i="4"/>
  <c r="J383" i="4" s="1"/>
  <c r="F382" i="4"/>
  <c r="J382" i="4" s="1"/>
  <c r="F381" i="4"/>
  <c r="J381" i="4" s="1"/>
  <c r="F380" i="4"/>
  <c r="J380" i="4" s="1"/>
  <c r="F379" i="4"/>
  <c r="J379" i="4" s="1"/>
  <c r="F378" i="4"/>
  <c r="J378" i="4" s="1"/>
  <c r="F377" i="4"/>
  <c r="J377" i="4" s="1"/>
  <c r="F376" i="4"/>
  <c r="J376" i="4" s="1"/>
  <c r="F375" i="4"/>
  <c r="J375" i="4" s="1"/>
  <c r="F374" i="4"/>
  <c r="J374" i="4" s="1"/>
  <c r="F373" i="4"/>
  <c r="J373" i="4" s="1"/>
  <c r="F372" i="4"/>
  <c r="J372" i="4" s="1"/>
  <c r="F371" i="4"/>
  <c r="J371" i="4" s="1"/>
  <c r="F370" i="4"/>
  <c r="J370" i="4" s="1"/>
  <c r="F369" i="4"/>
  <c r="J369" i="4" s="1"/>
  <c r="F368" i="4"/>
  <c r="J368" i="4" s="1"/>
  <c r="F367" i="4"/>
  <c r="J367" i="4" s="1"/>
  <c r="F366" i="4"/>
  <c r="J366" i="4" s="1"/>
  <c r="F365" i="4"/>
  <c r="J365" i="4" s="1"/>
  <c r="F364" i="4"/>
  <c r="J364" i="4" s="1"/>
  <c r="F363" i="4"/>
  <c r="J363" i="4" s="1"/>
  <c r="F362" i="4"/>
  <c r="J362" i="4" s="1"/>
  <c r="F361" i="4"/>
  <c r="J361" i="4" s="1"/>
  <c r="F360" i="4"/>
  <c r="J360" i="4" s="1"/>
  <c r="F359" i="4"/>
  <c r="J359" i="4" s="1"/>
  <c r="F358" i="4"/>
  <c r="J358" i="4" s="1"/>
  <c r="F357" i="4"/>
  <c r="J357" i="4" s="1"/>
  <c r="F356" i="4"/>
  <c r="J356" i="4" s="1"/>
  <c r="F355" i="4"/>
  <c r="J355" i="4" s="1"/>
  <c r="F354" i="4"/>
  <c r="J354" i="4" s="1"/>
  <c r="F353" i="4"/>
  <c r="J353" i="4" s="1"/>
  <c r="F352" i="4"/>
  <c r="J352" i="4" s="1"/>
  <c r="F351" i="4"/>
  <c r="J351" i="4" s="1"/>
  <c r="F350" i="4"/>
  <c r="J350" i="4" s="1"/>
  <c r="F349" i="4"/>
  <c r="J349" i="4" s="1"/>
  <c r="F347" i="4"/>
  <c r="J347" i="4" s="1"/>
  <c r="F346" i="4"/>
  <c r="J346" i="4" s="1"/>
  <c r="F345" i="4"/>
  <c r="J345" i="4" s="1"/>
  <c r="F344" i="4"/>
  <c r="J344" i="4" s="1"/>
  <c r="F343" i="4"/>
  <c r="J343" i="4" s="1"/>
  <c r="F342" i="4"/>
  <c r="J342" i="4" s="1"/>
  <c r="F341" i="4"/>
  <c r="J341" i="4" s="1"/>
  <c r="F340" i="4"/>
  <c r="J340" i="4" s="1"/>
  <c r="F339" i="4"/>
  <c r="J339" i="4" s="1"/>
  <c r="F338" i="4"/>
  <c r="J338" i="4" s="1"/>
  <c r="F337" i="4"/>
  <c r="J337" i="4" s="1"/>
  <c r="F336" i="4"/>
  <c r="J336" i="4" s="1"/>
  <c r="F335" i="4"/>
  <c r="J335" i="4" s="1"/>
  <c r="F333" i="4"/>
  <c r="J333" i="4" s="1"/>
  <c r="F332" i="4"/>
  <c r="J332" i="4" s="1"/>
  <c r="F331" i="4"/>
  <c r="J331" i="4" s="1"/>
  <c r="F330" i="4"/>
  <c r="J330" i="4" s="1"/>
  <c r="F329" i="4"/>
  <c r="J329" i="4" s="1"/>
  <c r="F328" i="4"/>
  <c r="J328" i="4" s="1"/>
  <c r="F326" i="4"/>
  <c r="J326" i="4" s="1"/>
  <c r="F325" i="4"/>
  <c r="J325" i="4" s="1"/>
  <c r="F324" i="4"/>
  <c r="J324" i="4" s="1"/>
  <c r="F323" i="4"/>
  <c r="J323" i="4" s="1"/>
  <c r="F322" i="4"/>
  <c r="J322" i="4" s="1"/>
  <c r="F321" i="4"/>
  <c r="J321" i="4" s="1"/>
  <c r="F320" i="4"/>
  <c r="J320" i="4" s="1"/>
  <c r="F319" i="4"/>
  <c r="J319" i="4" s="1"/>
  <c r="F318" i="4"/>
  <c r="J318" i="4" s="1"/>
  <c r="F315" i="4"/>
  <c r="J315" i="4" s="1"/>
  <c r="F314" i="4"/>
  <c r="J314" i="4" s="1"/>
  <c r="F313" i="4"/>
  <c r="J313" i="4" s="1"/>
  <c r="F312" i="4"/>
  <c r="J312" i="4" s="1"/>
  <c r="F311" i="4"/>
  <c r="J311" i="4" s="1"/>
  <c r="F310" i="4"/>
  <c r="J310" i="4" s="1"/>
  <c r="F309" i="4"/>
  <c r="J309" i="4" s="1"/>
  <c r="F308" i="4"/>
  <c r="J308" i="4" s="1"/>
  <c r="F307" i="4"/>
  <c r="J307" i="4" s="1"/>
  <c r="F306" i="4"/>
  <c r="J306" i="4" s="1"/>
  <c r="F305" i="4"/>
  <c r="J305" i="4" s="1"/>
  <c r="F304" i="4"/>
  <c r="J304" i="4" s="1"/>
  <c r="F303" i="4"/>
  <c r="J303" i="4" s="1"/>
  <c r="F302" i="4"/>
  <c r="J302" i="4" s="1"/>
  <c r="F301" i="4"/>
  <c r="J301" i="4" s="1"/>
  <c r="F300" i="4"/>
  <c r="J300" i="4" s="1"/>
  <c r="F299" i="4"/>
  <c r="J299" i="4" s="1"/>
  <c r="F298" i="4"/>
  <c r="J298" i="4" s="1"/>
  <c r="F297" i="4"/>
  <c r="J297" i="4" s="1"/>
  <c r="F296" i="4"/>
  <c r="J296" i="4" s="1"/>
  <c r="F295" i="4"/>
  <c r="F294" i="4"/>
  <c r="J294" i="4" s="1"/>
  <c r="F293" i="4"/>
  <c r="F292" i="4"/>
  <c r="J292" i="4" s="1"/>
  <c r="F291" i="4"/>
  <c r="J291" i="4" s="1"/>
  <c r="F290" i="4"/>
  <c r="J290" i="4" s="1"/>
  <c r="F289" i="4"/>
  <c r="J289" i="4" s="1"/>
  <c r="F288" i="4"/>
  <c r="J288" i="4" s="1"/>
  <c r="F287" i="4"/>
  <c r="J287" i="4" s="1"/>
  <c r="F286" i="4"/>
  <c r="J286" i="4" s="1"/>
  <c r="F284" i="4"/>
  <c r="J284" i="4" s="1"/>
  <c r="F283" i="4"/>
  <c r="F282" i="4"/>
  <c r="F281" i="4"/>
  <c r="F280" i="4"/>
  <c r="F279" i="4"/>
  <c r="F278" i="4"/>
  <c r="F277" i="4"/>
  <c r="F276" i="4"/>
  <c r="F275" i="4"/>
  <c r="F274" i="4"/>
  <c r="F273" i="4"/>
  <c r="J273" i="4" s="1"/>
  <c r="F272" i="4"/>
  <c r="J272" i="4" s="1"/>
  <c r="F271" i="4"/>
  <c r="F270" i="4"/>
  <c r="F269" i="4"/>
  <c r="F268" i="4"/>
  <c r="J268" i="4" s="1"/>
  <c r="F267" i="4"/>
  <c r="F266" i="4"/>
  <c r="F265" i="4"/>
  <c r="F264" i="4"/>
  <c r="J264" i="4" s="1"/>
  <c r="F263" i="4"/>
  <c r="J263" i="4" s="1"/>
  <c r="F262" i="4"/>
  <c r="F261" i="4"/>
  <c r="J261" i="4" s="1"/>
  <c r="F260" i="4"/>
  <c r="J260" i="4" s="1"/>
  <c r="F259" i="4"/>
  <c r="J259" i="4" s="1"/>
  <c r="F258" i="4"/>
  <c r="F257" i="4"/>
  <c r="F256" i="4"/>
  <c r="J256" i="4" s="1"/>
  <c r="F255" i="4"/>
  <c r="F254" i="4"/>
  <c r="F253" i="4"/>
  <c r="J253" i="4" s="1"/>
  <c r="F252" i="4"/>
  <c r="J252" i="4" s="1"/>
  <c r="F251" i="4"/>
  <c r="J251" i="4" s="1"/>
  <c r="F250" i="4"/>
  <c r="J250" i="4" s="1"/>
  <c r="F249" i="4"/>
  <c r="J249" i="4" s="1"/>
  <c r="F248" i="4"/>
  <c r="J248" i="4" s="1"/>
  <c r="F247" i="4"/>
  <c r="J247" i="4" s="1"/>
  <c r="F246" i="4"/>
  <c r="J246" i="4" s="1"/>
  <c r="F245" i="4"/>
  <c r="J245" i="4" s="1"/>
  <c r="F244" i="4"/>
  <c r="J244" i="4" s="1"/>
  <c r="F243" i="4"/>
  <c r="J243" i="4" s="1"/>
  <c r="F242" i="4"/>
  <c r="J242" i="4" s="1"/>
  <c r="F241" i="4"/>
  <c r="J241" i="4" s="1"/>
  <c r="F240" i="4"/>
  <c r="J240" i="4" s="1"/>
  <c r="F239" i="4"/>
  <c r="J239" i="4" s="1"/>
  <c r="F238" i="4"/>
  <c r="J238" i="4" s="1"/>
  <c r="F237" i="4"/>
  <c r="J237" i="4" s="1"/>
  <c r="F236" i="4"/>
  <c r="J236" i="4" s="1"/>
  <c r="F235" i="4"/>
  <c r="J235" i="4" s="1"/>
  <c r="F234" i="4"/>
  <c r="J234" i="4" s="1"/>
  <c r="F233" i="4"/>
  <c r="J233" i="4" s="1"/>
  <c r="F232" i="4"/>
  <c r="J232" i="4" s="1"/>
  <c r="F231" i="4"/>
  <c r="J231" i="4" s="1"/>
  <c r="F230" i="4"/>
  <c r="J230" i="4" s="1"/>
  <c r="F229" i="4"/>
  <c r="J229" i="4" s="1"/>
  <c r="F228" i="4"/>
  <c r="J228" i="4" s="1"/>
  <c r="F227" i="4"/>
  <c r="J227" i="4" s="1"/>
  <c r="F226" i="4"/>
  <c r="J226" i="4" s="1"/>
  <c r="F225" i="4"/>
  <c r="J225" i="4" s="1"/>
  <c r="F224" i="4"/>
  <c r="J224" i="4" s="1"/>
  <c r="F223" i="4"/>
  <c r="J223" i="4" s="1"/>
  <c r="F222" i="4"/>
  <c r="J222" i="4" s="1"/>
  <c r="F221" i="4"/>
  <c r="J221" i="4" s="1"/>
  <c r="F220" i="4"/>
  <c r="J220" i="4" s="1"/>
  <c r="F219" i="4"/>
  <c r="J219" i="4" s="1"/>
  <c r="F218" i="4"/>
  <c r="J218" i="4" s="1"/>
  <c r="F217" i="4"/>
  <c r="J217" i="4" s="1"/>
  <c r="F216" i="4"/>
  <c r="J216" i="4" s="1"/>
  <c r="F215" i="4"/>
  <c r="J215" i="4" s="1"/>
  <c r="F214" i="4"/>
  <c r="J214" i="4" s="1"/>
  <c r="F213" i="4"/>
  <c r="J213" i="4" s="1"/>
  <c r="F212" i="4"/>
  <c r="J212" i="4" s="1"/>
  <c r="F211" i="4"/>
  <c r="J211" i="4" s="1"/>
  <c r="I287" i="10" s="1"/>
  <c r="F210" i="4"/>
  <c r="J210" i="4" s="1"/>
  <c r="F209" i="4"/>
  <c r="J209" i="4" s="1"/>
  <c r="F208" i="4"/>
  <c r="J208" i="4" s="1"/>
  <c r="F207" i="4"/>
  <c r="J207" i="4" s="1"/>
  <c r="F204" i="4"/>
  <c r="J204" i="4" s="1"/>
  <c r="F203" i="4"/>
  <c r="J203" i="4" s="1"/>
  <c r="F202" i="4"/>
  <c r="J202" i="4" s="1"/>
  <c r="F201" i="4"/>
  <c r="J201" i="4" s="1"/>
  <c r="F200" i="4"/>
  <c r="J200" i="4" s="1"/>
  <c r="F199" i="4"/>
  <c r="J199" i="4" s="1"/>
  <c r="F198" i="4"/>
  <c r="J198" i="4" s="1"/>
  <c r="F197" i="4"/>
  <c r="J197" i="4" s="1"/>
  <c r="F196" i="4"/>
  <c r="J196" i="4" s="1"/>
  <c r="F195" i="4"/>
  <c r="J195" i="4" s="1"/>
  <c r="F194" i="4"/>
  <c r="J194" i="4" s="1"/>
  <c r="F193" i="4"/>
  <c r="J193" i="4" s="1"/>
  <c r="F192" i="4"/>
  <c r="J192" i="4" s="1"/>
  <c r="F191" i="4"/>
  <c r="J191" i="4" s="1"/>
  <c r="F190" i="4"/>
  <c r="J190" i="4" s="1"/>
  <c r="F189" i="4"/>
  <c r="J189" i="4" s="1"/>
  <c r="F188" i="4"/>
  <c r="J188" i="4" s="1"/>
  <c r="F186" i="4"/>
  <c r="J186" i="4" s="1"/>
  <c r="F185" i="4"/>
  <c r="J185" i="4" s="1"/>
  <c r="F184" i="4"/>
  <c r="J184" i="4" s="1"/>
  <c r="F183" i="4"/>
  <c r="J183" i="4" s="1"/>
  <c r="F182" i="4"/>
  <c r="J182" i="4" s="1"/>
  <c r="F181" i="4"/>
  <c r="J181" i="4" s="1"/>
  <c r="F180" i="4"/>
  <c r="J180" i="4" s="1"/>
  <c r="F179" i="4"/>
  <c r="J179" i="4" s="1"/>
  <c r="F178" i="4"/>
  <c r="J178" i="4" s="1"/>
  <c r="F177" i="4"/>
  <c r="J177" i="4" s="1"/>
  <c r="F176" i="4"/>
  <c r="J176" i="4" s="1"/>
  <c r="F175" i="4"/>
  <c r="J175" i="4" s="1"/>
  <c r="F174" i="4"/>
  <c r="J174" i="4" s="1"/>
  <c r="F173" i="4"/>
  <c r="J173" i="4" s="1"/>
  <c r="F172" i="4"/>
  <c r="J172" i="4" s="1"/>
  <c r="F171" i="4"/>
  <c r="J171" i="4" s="1"/>
  <c r="F170" i="4"/>
  <c r="J170" i="4" s="1"/>
  <c r="F169" i="4"/>
  <c r="J169" i="4" s="1"/>
  <c r="F168" i="4"/>
  <c r="J168" i="4" s="1"/>
  <c r="F167" i="4"/>
  <c r="J167" i="4" s="1"/>
  <c r="F166" i="4"/>
  <c r="J166" i="4" s="1"/>
  <c r="F165" i="4"/>
  <c r="J165" i="4" s="1"/>
  <c r="F164" i="4"/>
  <c r="J164" i="4" s="1"/>
  <c r="F163" i="4"/>
  <c r="J163" i="4" s="1"/>
  <c r="F162" i="4"/>
  <c r="J162" i="4" s="1"/>
  <c r="F161" i="4"/>
  <c r="J161" i="4" s="1"/>
  <c r="F160" i="4"/>
  <c r="J160" i="4" s="1"/>
  <c r="F159" i="4"/>
  <c r="J159" i="4" s="1"/>
  <c r="F158" i="4"/>
  <c r="J158" i="4" s="1"/>
  <c r="F157" i="4"/>
  <c r="J157" i="4" s="1"/>
  <c r="F156" i="4"/>
  <c r="J156" i="4" s="1"/>
  <c r="F155" i="4"/>
  <c r="J155" i="4" s="1"/>
  <c r="F154" i="4"/>
  <c r="J154" i="4" s="1"/>
  <c r="F153" i="4"/>
  <c r="J153" i="4" s="1"/>
  <c r="F152" i="4"/>
  <c r="J152" i="4" s="1"/>
  <c r="F151" i="4"/>
  <c r="J151" i="4" s="1"/>
  <c r="F150" i="4"/>
  <c r="J150" i="4" s="1"/>
  <c r="F149" i="4"/>
  <c r="J149" i="4" s="1"/>
  <c r="F148" i="4"/>
  <c r="J148" i="4" s="1"/>
  <c r="F147" i="4"/>
  <c r="J147" i="4" s="1"/>
  <c r="F146" i="4"/>
  <c r="J146" i="4" s="1"/>
  <c r="F145" i="4"/>
  <c r="J145" i="4" s="1"/>
  <c r="F144" i="4"/>
  <c r="J144" i="4" s="1"/>
  <c r="F143" i="4"/>
  <c r="J143" i="4" s="1"/>
  <c r="F141" i="4"/>
  <c r="J141" i="4" s="1"/>
  <c r="F140" i="4"/>
  <c r="J140" i="4" s="1"/>
  <c r="F139" i="4"/>
  <c r="J139" i="4" s="1"/>
  <c r="F138" i="4"/>
  <c r="J138" i="4" s="1"/>
  <c r="F137" i="4"/>
  <c r="J137" i="4" s="1"/>
  <c r="F136" i="4"/>
  <c r="J136" i="4" s="1"/>
  <c r="F137" i="22" s="1"/>
  <c r="F135" i="4"/>
  <c r="J135" i="4" s="1"/>
  <c r="F134" i="4"/>
  <c r="J134" i="4" s="1"/>
  <c r="F133" i="4"/>
  <c r="J133" i="4" s="1"/>
  <c r="F132" i="4"/>
  <c r="J132" i="4" s="1"/>
  <c r="F131" i="4"/>
  <c r="J131" i="4" s="1"/>
  <c r="F130" i="4"/>
  <c r="J130" i="4" s="1"/>
  <c r="F129" i="4"/>
  <c r="J129" i="4" s="1"/>
  <c r="F128" i="4"/>
  <c r="J128" i="4" s="1"/>
  <c r="F127" i="4"/>
  <c r="J127" i="4" s="1"/>
  <c r="F126" i="4"/>
  <c r="J126" i="4" s="1"/>
  <c r="F125" i="4"/>
  <c r="J125" i="4" s="1"/>
  <c r="F124" i="4"/>
  <c r="J124" i="4" s="1"/>
  <c r="F123" i="4"/>
  <c r="J123" i="4" s="1"/>
  <c r="F122" i="4"/>
  <c r="J122" i="4" s="1"/>
  <c r="F121" i="4"/>
  <c r="J121" i="4" s="1"/>
  <c r="F120" i="4"/>
  <c r="J120" i="4" s="1"/>
  <c r="F119" i="4"/>
  <c r="J119" i="4" s="1"/>
  <c r="F118" i="4"/>
  <c r="J118" i="4" s="1"/>
  <c r="F117" i="4"/>
  <c r="J117" i="4" s="1"/>
  <c r="F116" i="4"/>
  <c r="J116" i="4" s="1"/>
  <c r="F115" i="4"/>
  <c r="J115" i="4" s="1"/>
  <c r="F114" i="4"/>
  <c r="J114" i="4" s="1"/>
  <c r="F112" i="4"/>
  <c r="J112" i="4" s="1"/>
  <c r="F111" i="4"/>
  <c r="F110" i="4"/>
  <c r="J110" i="4" s="1"/>
  <c r="F109" i="4"/>
  <c r="J109" i="4" s="1"/>
  <c r="F108" i="4"/>
  <c r="J108" i="4" s="1"/>
  <c r="F107" i="4"/>
  <c r="J107" i="4" s="1"/>
  <c r="F106" i="4"/>
  <c r="J106" i="4" s="1"/>
  <c r="F105" i="4"/>
  <c r="J105" i="4" s="1"/>
  <c r="F104" i="4"/>
  <c r="J104" i="4" s="1"/>
  <c r="F103" i="4"/>
  <c r="J103" i="4" s="1"/>
  <c r="F102" i="4"/>
  <c r="J102" i="4" s="1"/>
  <c r="F101" i="4"/>
  <c r="J101" i="4" s="1"/>
  <c r="F100" i="4"/>
  <c r="J100" i="4" s="1"/>
  <c r="F99" i="4"/>
  <c r="J99" i="4" s="1"/>
  <c r="F98" i="4"/>
  <c r="J98" i="4" s="1"/>
  <c r="F97" i="4"/>
  <c r="J97" i="4" s="1"/>
  <c r="F96" i="4"/>
  <c r="J96" i="4" s="1"/>
  <c r="F95" i="4"/>
  <c r="J95" i="4" s="1"/>
  <c r="F94" i="4"/>
  <c r="J94" i="4" s="1"/>
  <c r="F93" i="4"/>
  <c r="J93" i="4" s="1"/>
  <c r="F92" i="4"/>
  <c r="J92" i="4" s="1"/>
  <c r="F91" i="4"/>
  <c r="J91" i="4" s="1"/>
  <c r="F90" i="4"/>
  <c r="J90" i="4" s="1"/>
  <c r="F89" i="4"/>
  <c r="J89" i="4" s="1"/>
  <c r="F88" i="4"/>
  <c r="J88" i="4" s="1"/>
  <c r="F87" i="4"/>
  <c r="J87" i="4" s="1"/>
  <c r="F86" i="4"/>
  <c r="J86" i="4" s="1"/>
  <c r="F85" i="4"/>
  <c r="J85" i="4" s="1"/>
  <c r="F84" i="4"/>
  <c r="J84" i="4" s="1"/>
  <c r="F83" i="4"/>
  <c r="J83" i="4" s="1"/>
  <c r="F82" i="4"/>
  <c r="J82" i="4" s="1"/>
  <c r="F81" i="4"/>
  <c r="J81" i="4" s="1"/>
  <c r="F78" i="4"/>
  <c r="J78" i="4" s="1"/>
  <c r="F75" i="4"/>
  <c r="J75" i="4" s="1"/>
  <c r="F74" i="4"/>
  <c r="J74" i="4" s="1"/>
  <c r="F73" i="4"/>
  <c r="J73" i="4" s="1"/>
  <c r="F72" i="4"/>
  <c r="J72" i="4" s="1"/>
  <c r="F71" i="4"/>
  <c r="J71" i="4" s="1"/>
  <c r="F70" i="4"/>
  <c r="J70" i="4" s="1"/>
  <c r="F69" i="4"/>
  <c r="J69" i="4" s="1"/>
  <c r="F66" i="4"/>
  <c r="J66" i="4" s="1"/>
  <c r="F40" i="4"/>
  <c r="J40" i="4" s="1"/>
  <c r="F37" i="4"/>
  <c r="J37" i="4" s="1"/>
  <c r="F36" i="4"/>
  <c r="J36" i="4" s="1"/>
  <c r="F35" i="4"/>
  <c r="J35" i="4" s="1"/>
  <c r="F34" i="4"/>
  <c r="J34" i="4" s="1"/>
  <c r="F33" i="4"/>
  <c r="J33" i="4" s="1"/>
  <c r="F30" i="4"/>
  <c r="J30" i="4" s="1"/>
  <c r="F28" i="4"/>
  <c r="J28" i="4" s="1"/>
  <c r="F23" i="4"/>
  <c r="F22" i="4"/>
  <c r="F20" i="4"/>
  <c r="F19" i="4"/>
  <c r="F18" i="4"/>
  <c r="F17" i="4"/>
  <c r="F16" i="4"/>
  <c r="F15" i="4"/>
  <c r="F14" i="4"/>
  <c r="F13" i="4"/>
  <c r="F12" i="4"/>
  <c r="F11" i="4"/>
  <c r="F10" i="4"/>
  <c r="F9" i="4"/>
  <c r="F8" i="4"/>
  <c r="F7" i="4"/>
  <c r="F6" i="4"/>
  <c r="F5" i="4"/>
  <c r="A663" i="32"/>
  <c r="A662" i="32"/>
  <c r="A661" i="32"/>
  <c r="A660" i="32"/>
  <c r="A659" i="32"/>
  <c r="A658" i="32"/>
  <c r="A657" i="32"/>
  <c r="A656" i="32"/>
  <c r="A655" i="32"/>
  <c r="A654" i="32"/>
  <c r="A653" i="32"/>
  <c r="A652" i="32"/>
  <c r="A651" i="32"/>
  <c r="A650" i="32"/>
  <c r="A649" i="32"/>
  <c r="A648" i="32"/>
  <c r="A647" i="32"/>
  <c r="A646" i="32"/>
  <c r="A645" i="32"/>
  <c r="A644" i="32"/>
  <c r="A643" i="32"/>
  <c r="A642" i="32"/>
  <c r="A641" i="32"/>
  <c r="A640" i="32"/>
  <c r="A639" i="32"/>
  <c r="A638" i="32"/>
  <c r="A637" i="32"/>
  <c r="A636" i="32"/>
  <c r="A635" i="32"/>
  <c r="A634" i="32"/>
  <c r="A633" i="32"/>
  <c r="A632" i="32"/>
  <c r="A631" i="32"/>
  <c r="A630" i="32"/>
  <c r="A629" i="32"/>
  <c r="A628" i="32"/>
  <c r="A627" i="32"/>
  <c r="A626" i="32"/>
  <c r="A625" i="32"/>
  <c r="A624" i="32"/>
  <c r="A623" i="32"/>
  <c r="A622" i="32"/>
  <c r="A621" i="32"/>
  <c r="A620" i="32"/>
  <c r="A619" i="32"/>
  <c r="A618" i="32"/>
  <c r="A617" i="32"/>
  <c r="A616" i="32"/>
  <c r="A615" i="32"/>
  <c r="A614" i="32"/>
  <c r="A613" i="32"/>
  <c r="A612" i="32"/>
  <c r="A611" i="32"/>
  <c r="A610" i="32"/>
  <c r="A609" i="32"/>
  <c r="A608" i="32"/>
  <c r="A607" i="32"/>
  <c r="A606" i="32"/>
  <c r="A605" i="32"/>
  <c r="A604" i="32"/>
  <c r="A603" i="32"/>
  <c r="A602" i="32"/>
  <c r="A601" i="32"/>
  <c r="A600" i="32"/>
  <c r="A599" i="32"/>
  <c r="A598" i="32"/>
  <c r="A597" i="32"/>
  <c r="A596" i="32"/>
  <c r="A595" i="32"/>
  <c r="A594" i="32"/>
  <c r="A593" i="32"/>
  <c r="A592" i="32"/>
  <c r="A591" i="32"/>
  <c r="A590" i="32"/>
  <c r="A589" i="32"/>
  <c r="A588" i="32"/>
  <c r="A587" i="32"/>
  <c r="A586" i="32"/>
  <c r="A585" i="32"/>
  <c r="A584" i="32"/>
  <c r="A583" i="32"/>
  <c r="A582" i="32"/>
  <c r="A581" i="32"/>
  <c r="A580" i="32"/>
  <c r="A579" i="32"/>
  <c r="A578" i="32"/>
  <c r="A577" i="32"/>
  <c r="A576" i="32"/>
  <c r="A575" i="32"/>
  <c r="A574" i="32"/>
  <c r="A573" i="32"/>
  <c r="A572" i="32"/>
  <c r="A571" i="32"/>
  <c r="A570" i="32"/>
  <c r="A569" i="32"/>
  <c r="A568" i="32"/>
  <c r="A567" i="32"/>
  <c r="A566" i="32"/>
  <c r="A565" i="32"/>
  <c r="A564" i="32"/>
  <c r="A563" i="32"/>
  <c r="A562" i="32"/>
  <c r="A561" i="32"/>
  <c r="A560" i="32"/>
  <c r="A559" i="32"/>
  <c r="A558" i="32"/>
  <c r="A557" i="32"/>
  <c r="A556" i="32"/>
  <c r="A555" i="32"/>
  <c r="A554" i="32"/>
  <c r="A553" i="32"/>
  <c r="A552" i="32"/>
  <c r="A551" i="32"/>
  <c r="A550" i="32"/>
  <c r="A549" i="32"/>
  <c r="A548" i="32"/>
  <c r="A547" i="32"/>
  <c r="A546" i="32"/>
  <c r="A545" i="32"/>
  <c r="A544" i="32"/>
  <c r="A543" i="32"/>
  <c r="A542" i="32"/>
  <c r="A541" i="32"/>
  <c r="A540" i="32"/>
  <c r="A539" i="32"/>
  <c r="A538" i="32"/>
  <c r="A537" i="32"/>
  <c r="A536" i="32"/>
  <c r="A535" i="32"/>
  <c r="A534" i="32"/>
  <c r="A533" i="32"/>
  <c r="A532" i="32"/>
  <c r="A530" i="32"/>
  <c r="A529" i="32"/>
  <c r="A528" i="32"/>
  <c r="A524" i="32"/>
  <c r="A523" i="32"/>
  <c r="A522" i="32"/>
  <c r="A521" i="32"/>
  <c r="A520" i="32"/>
  <c r="A519" i="32"/>
  <c r="A507" i="32"/>
  <c r="A506" i="32"/>
  <c r="A505" i="32"/>
  <c r="A504" i="32"/>
  <c r="A503" i="32"/>
  <c r="A502" i="32"/>
  <c r="A501" i="32"/>
  <c r="A500" i="32"/>
  <c r="A499" i="32"/>
  <c r="A498" i="32"/>
  <c r="A497" i="32"/>
  <c r="A496" i="32"/>
  <c r="A495" i="32"/>
  <c r="A494" i="32"/>
  <c r="A493" i="32"/>
  <c r="A492" i="32"/>
  <c r="A491" i="32"/>
  <c r="A490" i="32"/>
  <c r="A489" i="32"/>
  <c r="A488" i="32"/>
  <c r="A487" i="32"/>
  <c r="A486" i="32"/>
  <c r="A485" i="32"/>
  <c r="A484" i="32"/>
  <c r="A483" i="32"/>
  <c r="A482" i="32"/>
  <c r="A481" i="32"/>
  <c r="A480" i="32"/>
  <c r="A479" i="32"/>
  <c r="A478" i="32"/>
  <c r="A477" i="32"/>
  <c r="A476" i="32"/>
  <c r="A475" i="32"/>
  <c r="A474" i="32"/>
  <c r="A473" i="32"/>
  <c r="A472" i="32"/>
  <c r="A471" i="32"/>
  <c r="A470" i="32"/>
  <c r="A469" i="32"/>
  <c r="A468" i="32"/>
  <c r="A467" i="32"/>
  <c r="A466" i="32"/>
  <c r="A465" i="32"/>
  <c r="A464" i="32"/>
  <c r="A463" i="32"/>
  <c r="A462" i="32"/>
  <c r="A461" i="32"/>
  <c r="A460" i="32"/>
  <c r="A459" i="32"/>
  <c r="A458" i="32"/>
  <c r="A457" i="32"/>
  <c r="A456" i="32"/>
  <c r="A455" i="32"/>
  <c r="A454" i="32"/>
  <c r="A453" i="32"/>
  <c r="A452" i="32"/>
  <c r="A451" i="32"/>
  <c r="A450" i="32"/>
  <c r="A449" i="32"/>
  <c r="A448" i="32"/>
  <c r="A447" i="32"/>
  <c r="A446" i="32"/>
  <c r="A445" i="32"/>
  <c r="A444" i="32"/>
  <c r="A443" i="32"/>
  <c r="A442" i="32"/>
  <c r="A441" i="32"/>
  <c r="A440" i="32"/>
  <c r="A439" i="32"/>
  <c r="A350" i="32"/>
  <c r="A349" i="32"/>
  <c r="A348" i="32"/>
  <c r="A347" i="32"/>
  <c r="A346" i="32"/>
  <c r="A345" i="32"/>
  <c r="A344" i="32"/>
  <c r="A343" i="32"/>
  <c r="A342" i="32"/>
  <c r="A341" i="32"/>
  <c r="A339" i="32"/>
  <c r="A338" i="32"/>
  <c r="A337" i="32"/>
  <c r="A336" i="32"/>
  <c r="A335" i="32"/>
  <c r="A334" i="32"/>
  <c r="A333" i="32"/>
  <c r="A332" i="32"/>
  <c r="A331" i="32"/>
  <c r="A330" i="32"/>
  <c r="A329" i="32"/>
  <c r="A328" i="32"/>
  <c r="A327" i="32"/>
  <c r="A326" i="32"/>
  <c r="A325" i="32"/>
  <c r="A324" i="32"/>
  <c r="A323" i="32"/>
  <c r="A322" i="32"/>
  <c r="A321" i="32"/>
  <c r="A320" i="32"/>
  <c r="A319" i="32"/>
  <c r="A318" i="32"/>
  <c r="A317" i="32"/>
  <c r="A316" i="32"/>
  <c r="A315" i="32"/>
  <c r="A314" i="32"/>
  <c r="A313" i="32"/>
  <c r="A312" i="32"/>
  <c r="A311" i="32"/>
  <c r="A310" i="32"/>
  <c r="A309" i="32"/>
  <c r="A308" i="32"/>
  <c r="A307" i="32"/>
  <c r="A306" i="32"/>
  <c r="A305" i="32"/>
  <c r="A304" i="32"/>
  <c r="A303" i="32"/>
  <c r="A302" i="32"/>
  <c r="A301" i="32"/>
  <c r="A300" i="32"/>
  <c r="A299" i="32"/>
  <c r="A298" i="32"/>
  <c r="A297" i="32"/>
  <c r="A296" i="32"/>
  <c r="A295" i="32"/>
  <c r="A294" i="32"/>
  <c r="A293" i="32"/>
  <c r="A292" i="32"/>
  <c r="A291" i="32"/>
  <c r="A290" i="32"/>
  <c r="A289" i="32"/>
  <c r="A288" i="32"/>
  <c r="A287" i="32"/>
  <c r="A286" i="32"/>
  <c r="A285" i="32"/>
  <c r="A284" i="32"/>
  <c r="A283" i="32"/>
  <c r="A282" i="32"/>
  <c r="A281" i="32"/>
  <c r="A280" i="32"/>
  <c r="A260" i="32"/>
  <c r="A259" i="32"/>
  <c r="A258" i="32"/>
  <c r="A257" i="32"/>
  <c r="A256" i="32"/>
  <c r="A254" i="32"/>
  <c r="A253" i="32"/>
  <c r="A252" i="32"/>
  <c r="A251" i="32"/>
  <c r="A250" i="32"/>
  <c r="A249" i="32"/>
  <c r="A248" i="32"/>
  <c r="A247" i="32"/>
  <c r="A246" i="32"/>
  <c r="A245" i="32"/>
  <c r="A244" i="32"/>
  <c r="A243" i="32"/>
  <c r="A242" i="32"/>
  <c r="A241" i="32"/>
  <c r="A240" i="32"/>
  <c r="A239" i="32"/>
  <c r="A238" i="32"/>
  <c r="A237" i="32"/>
  <c r="A236" i="32"/>
  <c r="A235" i="32"/>
  <c r="A234" i="32"/>
  <c r="A233" i="32"/>
  <c r="A232" i="32"/>
  <c r="A231" i="32"/>
  <c r="A230" i="32"/>
  <c r="A229" i="32"/>
  <c r="A228" i="32"/>
  <c r="A227" i="32"/>
  <c r="A226" i="32"/>
  <c r="A225" i="32"/>
  <c r="A224" i="32"/>
  <c r="A223" i="32"/>
  <c r="A222" i="32"/>
  <c r="A221" i="32"/>
  <c r="A220" i="32"/>
  <c r="A219" i="32"/>
  <c r="A218" i="32"/>
  <c r="A217" i="32"/>
  <c r="A216" i="32"/>
  <c r="A215" i="32"/>
  <c r="A214" i="32"/>
  <c r="A213" i="32"/>
  <c r="A212" i="32"/>
  <c r="A211" i="32"/>
  <c r="A210" i="32"/>
  <c r="A209" i="32"/>
  <c r="A208" i="32"/>
  <c r="A207" i="32"/>
  <c r="A206" i="32"/>
  <c r="A205" i="32"/>
  <c r="A204" i="32"/>
  <c r="A203" i="32"/>
  <c r="A202" i="32"/>
  <c r="A201" i="32"/>
  <c r="A200" i="32"/>
  <c r="A199" i="32"/>
  <c r="A198" i="32"/>
  <c r="A197" i="32"/>
  <c r="A196" i="32"/>
  <c r="A195" i="32"/>
  <c r="A193" i="32"/>
  <c r="A192" i="32"/>
  <c r="A191" i="32"/>
  <c r="A190" i="32"/>
  <c r="A189" i="32"/>
  <c r="A188" i="32"/>
  <c r="A187" i="32"/>
  <c r="A186" i="32"/>
  <c r="A185" i="32"/>
  <c r="A184" i="32"/>
  <c r="A183" i="32"/>
  <c r="A161" i="32"/>
  <c r="A160" i="32"/>
  <c r="A159" i="32"/>
  <c r="A158" i="32"/>
  <c r="A157" i="32"/>
  <c r="A156" i="32"/>
  <c r="A155" i="32"/>
  <c r="A154" i="32"/>
  <c r="A153" i="32"/>
  <c r="A152" i="32"/>
  <c r="A151" i="32"/>
  <c r="A150" i="32"/>
  <c r="A149" i="32"/>
  <c r="A148" i="32"/>
  <c r="A147" i="32"/>
  <c r="A146" i="32"/>
  <c r="A145" i="32"/>
  <c r="A144" i="32"/>
  <c r="A143" i="32"/>
  <c r="A142" i="32"/>
  <c r="A141" i="32"/>
  <c r="A140" i="32"/>
  <c r="A139" i="32"/>
  <c r="A138" i="32"/>
  <c r="A137" i="32"/>
  <c r="A136" i="32"/>
  <c r="A135" i="32"/>
  <c r="A134" i="32"/>
  <c r="A133" i="32"/>
  <c r="A132" i="32"/>
  <c r="A131" i="32"/>
  <c r="A130" i="32"/>
  <c r="A129" i="32"/>
  <c r="A128" i="32"/>
  <c r="A127" i="32"/>
  <c r="A126" i="32"/>
  <c r="A125" i="32"/>
  <c r="A124" i="32"/>
  <c r="A123" i="32"/>
  <c r="A122" i="32"/>
  <c r="A121" i="32"/>
  <c r="A120" i="32"/>
  <c r="A119" i="32"/>
  <c r="A118" i="32"/>
  <c r="A117" i="32"/>
  <c r="A116" i="32"/>
  <c r="A115" i="32"/>
  <c r="A114" i="32"/>
  <c r="A113" i="32"/>
  <c r="A112" i="32"/>
  <c r="A111" i="32"/>
  <c r="A110" i="32"/>
  <c r="A109" i="32"/>
  <c r="A108" i="32"/>
  <c r="A107" i="32"/>
  <c r="A106" i="32"/>
  <c r="A105" i="32"/>
  <c r="A104" i="32"/>
  <c r="A103" i="32"/>
  <c r="A102" i="32"/>
  <c r="A101" i="32"/>
  <c r="A100" i="32"/>
  <c r="A99" i="32"/>
  <c r="A98" i="32"/>
  <c r="A97" i="32"/>
  <c r="A96" i="32"/>
  <c r="A95" i="32"/>
  <c r="A94" i="32"/>
  <c r="A93" i="32"/>
  <c r="A92" i="32"/>
  <c r="A91" i="32"/>
  <c r="A90" i="32"/>
  <c r="A89" i="32"/>
  <c r="A88" i="32"/>
  <c r="A87"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0" i="32"/>
  <c r="A19" i="32"/>
  <c r="A17" i="32"/>
  <c r="A16" i="32"/>
  <c r="A15" i="32"/>
  <c r="A14" i="32"/>
  <c r="A13" i="32"/>
  <c r="A12" i="32"/>
  <c r="A11" i="32"/>
  <c r="A10" i="32"/>
  <c r="A9" i="32"/>
  <c r="A8" i="32"/>
  <c r="A7" i="32"/>
  <c r="A6" i="32"/>
  <c r="J111" i="4" l="1"/>
  <c r="G111" i="4"/>
  <c r="H293" i="4"/>
  <c r="J293" i="4"/>
  <c r="F293" i="22" s="1"/>
  <c r="I292" i="10"/>
  <c r="I291" i="10"/>
  <c r="J812" i="4"/>
  <c r="F805" i="22" s="1"/>
  <c r="H812" i="4"/>
  <c r="G812" i="4"/>
  <c r="K812" i="4"/>
  <c r="D1214" i="10"/>
  <c r="E331" i="10"/>
  <c r="E333" i="10" s="1"/>
  <c r="D1082" i="10"/>
  <c r="G853" i="10"/>
  <c r="G1306" i="22"/>
  <c r="R1316" i="4"/>
  <c r="K1354" i="4"/>
  <c r="J1354" i="4"/>
  <c r="O1354" i="4" s="1"/>
  <c r="J1366" i="4"/>
  <c r="K1366" i="4"/>
  <c r="K1382" i="4"/>
  <c r="J1382" i="4"/>
  <c r="N1382" i="4" s="1"/>
  <c r="K1394" i="4"/>
  <c r="J1394" i="4"/>
  <c r="K1407" i="4"/>
  <c r="J1407" i="4"/>
  <c r="O1407" i="4" s="1"/>
  <c r="K1419" i="4"/>
  <c r="J1419" i="4"/>
  <c r="N1419" i="4" s="1"/>
  <c r="K1431" i="4"/>
  <c r="J1431" i="4"/>
  <c r="K1443" i="4"/>
  <c r="J1443" i="4"/>
  <c r="O1443" i="4" s="1"/>
  <c r="K1455" i="4"/>
  <c r="J1455" i="4"/>
  <c r="O1455" i="4" s="1"/>
  <c r="K1468" i="4"/>
  <c r="J1468" i="4"/>
  <c r="K1481" i="4"/>
  <c r="J1481" i="4"/>
  <c r="N1481" i="4" s="1"/>
  <c r="J1495" i="4"/>
  <c r="N1495" i="4" s="1"/>
  <c r="K1495" i="4"/>
  <c r="J1507" i="4"/>
  <c r="O1507" i="4" s="1"/>
  <c r="K1507" i="4"/>
  <c r="K1523" i="4"/>
  <c r="J1523" i="4"/>
  <c r="K1535" i="4"/>
  <c r="J1535" i="4"/>
  <c r="K1547" i="4"/>
  <c r="J1547" i="4"/>
  <c r="K1559" i="4"/>
  <c r="J1559" i="4"/>
  <c r="K1571" i="4"/>
  <c r="J1571" i="4"/>
  <c r="K1583" i="4"/>
  <c r="J1583" i="4"/>
  <c r="K1595" i="4"/>
  <c r="J1595" i="4"/>
  <c r="K1607" i="4"/>
  <c r="J1607" i="4"/>
  <c r="J1621" i="4"/>
  <c r="K1621" i="4"/>
  <c r="K1641" i="4"/>
  <c r="J1641" i="4"/>
  <c r="K1653" i="4"/>
  <c r="J1653" i="4"/>
  <c r="K1665" i="4"/>
  <c r="J1665" i="4"/>
  <c r="J1677" i="4"/>
  <c r="K1677" i="4"/>
  <c r="J1689" i="4"/>
  <c r="K1689" i="4"/>
  <c r="K1701" i="4"/>
  <c r="J1701" i="4"/>
  <c r="K1713" i="4"/>
  <c r="J1713" i="4"/>
  <c r="K1725" i="4"/>
  <c r="J1725" i="4"/>
  <c r="K1737" i="4"/>
  <c r="J1737" i="4"/>
  <c r="J1751" i="4"/>
  <c r="K1751" i="4"/>
  <c r="J1417" i="4"/>
  <c r="N1417" i="4" s="1"/>
  <c r="K1417" i="4"/>
  <c r="K1505" i="4"/>
  <c r="J1505" i="4"/>
  <c r="O1505" i="4" s="1"/>
  <c r="J1569" i="4"/>
  <c r="K1569" i="4"/>
  <c r="K1631" i="4"/>
  <c r="J1631" i="4"/>
  <c r="K1651" i="4"/>
  <c r="J1651" i="4"/>
  <c r="K1663" i="4"/>
  <c r="J1663" i="4"/>
  <c r="K1675" i="4"/>
  <c r="J1675" i="4"/>
  <c r="K1380" i="4"/>
  <c r="J1380" i="4"/>
  <c r="O1380" i="4" s="1"/>
  <c r="K1430" i="4"/>
  <c r="J1430" i="4"/>
  <c r="O1430" i="4" s="1"/>
  <c r="K1454" i="4"/>
  <c r="J1454" i="4"/>
  <c r="O1454" i="4" s="1"/>
  <c r="K1506" i="4"/>
  <c r="J1506" i="4"/>
  <c r="O1506" i="4" s="1"/>
  <c r="K1558" i="4"/>
  <c r="J1558" i="4"/>
  <c r="K1570" i="4"/>
  <c r="J1570" i="4"/>
  <c r="K1618" i="4"/>
  <c r="J1618" i="4"/>
  <c r="K1632" i="4"/>
  <c r="J1632" i="4"/>
  <c r="K1750" i="4"/>
  <c r="J1750" i="4"/>
  <c r="K1355" i="4"/>
  <c r="J1355" i="4"/>
  <c r="O1355" i="4" s="1"/>
  <c r="J1368" i="4"/>
  <c r="K1368" i="4"/>
  <c r="K1383" i="4"/>
  <c r="J1383" i="4"/>
  <c r="N1383" i="4" s="1"/>
  <c r="K1396" i="4"/>
  <c r="J1396" i="4"/>
  <c r="K1408" i="4"/>
  <c r="J1408" i="4"/>
  <c r="K1420" i="4"/>
  <c r="J1420" i="4"/>
  <c r="O1420" i="4" s="1"/>
  <c r="K1432" i="4"/>
  <c r="J1432" i="4"/>
  <c r="N1432" i="4" s="1"/>
  <c r="K1444" i="4"/>
  <c r="J1444" i="4"/>
  <c r="O1444" i="4" s="1"/>
  <c r="K1456" i="4"/>
  <c r="J1456" i="4"/>
  <c r="O1456" i="4" s="1"/>
  <c r="K1469" i="4"/>
  <c r="J1469" i="4"/>
  <c r="K1482" i="4"/>
  <c r="J1482" i="4"/>
  <c r="K1496" i="4"/>
  <c r="J1496" i="4"/>
  <c r="O1496" i="4" s="1"/>
  <c r="K1508" i="4"/>
  <c r="J1508" i="4"/>
  <c r="N1508" i="4" s="1"/>
  <c r="K1524" i="4"/>
  <c r="J1524" i="4"/>
  <c r="K1536" i="4"/>
  <c r="J1536" i="4"/>
  <c r="K1548" i="4"/>
  <c r="J1548" i="4"/>
  <c r="K1560" i="4"/>
  <c r="J1560" i="4"/>
  <c r="K1572" i="4"/>
  <c r="J1572" i="4"/>
  <c r="K1584" i="4"/>
  <c r="J1584" i="4"/>
  <c r="K1596" i="4"/>
  <c r="J1596" i="4"/>
  <c r="K1608" i="4"/>
  <c r="J1608" i="4"/>
  <c r="K1622" i="4"/>
  <c r="J1622" i="4"/>
  <c r="K1642" i="4"/>
  <c r="J1642" i="4"/>
  <c r="K1654" i="4"/>
  <c r="J1654" i="4"/>
  <c r="K1666" i="4"/>
  <c r="J1666" i="4"/>
  <c r="K1678" i="4"/>
  <c r="J1678" i="4"/>
  <c r="K1690" i="4"/>
  <c r="J1690" i="4"/>
  <c r="J1702" i="4"/>
  <c r="K1702" i="4"/>
  <c r="J1714" i="4"/>
  <c r="K1714" i="4"/>
  <c r="K1726" i="4"/>
  <c r="J1726" i="4"/>
  <c r="J1738" i="4"/>
  <c r="K1738" i="4"/>
  <c r="K1752" i="4"/>
  <c r="J1752" i="4"/>
  <c r="K1392" i="4"/>
  <c r="J1392" i="4"/>
  <c r="K1493" i="4"/>
  <c r="J1493" i="4"/>
  <c r="N1493" i="4" s="1"/>
  <c r="J1593" i="4"/>
  <c r="K1593" i="4"/>
  <c r="K1711" i="4"/>
  <c r="J1711" i="4"/>
  <c r="K1406" i="4"/>
  <c r="J1406" i="4"/>
  <c r="O1406" i="4" s="1"/>
  <c r="K1467" i="4"/>
  <c r="J1467" i="4"/>
  <c r="O1467" i="4" s="1"/>
  <c r="K1522" i="4"/>
  <c r="J1522" i="4"/>
  <c r="K1606" i="4"/>
  <c r="J1606" i="4"/>
  <c r="K1736" i="4"/>
  <c r="J1736" i="4"/>
  <c r="K1384" i="4"/>
  <c r="J1384" i="4"/>
  <c r="N1384" i="4" s="1"/>
  <c r="K1397" i="4"/>
  <c r="J1397" i="4"/>
  <c r="N1397" i="4" s="1"/>
  <c r="K1433" i="4"/>
  <c r="J1433" i="4"/>
  <c r="N1433" i="4" s="1"/>
  <c r="K1445" i="4"/>
  <c r="J1445" i="4"/>
  <c r="O1445" i="4" s="1"/>
  <c r="K1457" i="4"/>
  <c r="J1457" i="4"/>
  <c r="O1457" i="4" s="1"/>
  <c r="K1470" i="4"/>
  <c r="J1470" i="4"/>
  <c r="J1483" i="4"/>
  <c r="K1483" i="4"/>
  <c r="K1497" i="4"/>
  <c r="J1497" i="4"/>
  <c r="O1497" i="4" s="1"/>
  <c r="K1509" i="4"/>
  <c r="J1509" i="4"/>
  <c r="N1509" i="4" s="1"/>
  <c r="J1525" i="4"/>
  <c r="K1525" i="4"/>
  <c r="K1537" i="4"/>
  <c r="J1537" i="4"/>
  <c r="K1549" i="4"/>
  <c r="J1549" i="4"/>
  <c r="K1561" i="4"/>
  <c r="J1561" i="4"/>
  <c r="K1573" i="4"/>
  <c r="J1573" i="4"/>
  <c r="K1585" i="4"/>
  <c r="J1585" i="4"/>
  <c r="K1597" i="4"/>
  <c r="J1597" i="4"/>
  <c r="K1609" i="4"/>
  <c r="J1609" i="4"/>
  <c r="J1623" i="4"/>
  <c r="K1623" i="4"/>
  <c r="J1643" i="4"/>
  <c r="K1643" i="4"/>
  <c r="J1655" i="4"/>
  <c r="K1655" i="4"/>
  <c r="J1667" i="4"/>
  <c r="K1667" i="4"/>
  <c r="J1679" i="4"/>
  <c r="K1679" i="4"/>
  <c r="J1691" i="4"/>
  <c r="K1691" i="4"/>
  <c r="J1703" i="4"/>
  <c r="K1703" i="4"/>
  <c r="J1715" i="4"/>
  <c r="K1715" i="4"/>
  <c r="J1762" i="4"/>
  <c r="K1762" i="4"/>
  <c r="K1429" i="4"/>
  <c r="J1429" i="4"/>
  <c r="O1429" i="4" s="1"/>
  <c r="J1545" i="4"/>
  <c r="K1545" i="4"/>
  <c r="K1749" i="4"/>
  <c r="J1749" i="4"/>
  <c r="K1393" i="4"/>
  <c r="J1393" i="4"/>
  <c r="O1393" i="4" s="1"/>
  <c r="K1442" i="4"/>
  <c r="J1442" i="4"/>
  <c r="O1442" i="4" s="1"/>
  <c r="K1494" i="4"/>
  <c r="J1494" i="4"/>
  <c r="N1494" i="4" s="1"/>
  <c r="K1546" i="4"/>
  <c r="J1546" i="4"/>
  <c r="K1582" i="4"/>
  <c r="J1582" i="4"/>
  <c r="K1724" i="4"/>
  <c r="J1724" i="4"/>
  <c r="K1356" i="4"/>
  <c r="J1356" i="4"/>
  <c r="N1356" i="4" s="1"/>
  <c r="J1421" i="4"/>
  <c r="O1421" i="4" s="1"/>
  <c r="K1421" i="4"/>
  <c r="K1741" i="4"/>
  <c r="J1741" i="4"/>
  <c r="K1357" i="4"/>
  <c r="J1357" i="4"/>
  <c r="N1357" i="4" s="1"/>
  <c r="K1370" i="4"/>
  <c r="J1370" i="4"/>
  <c r="K1385" i="4"/>
  <c r="J1385" i="4"/>
  <c r="K1398" i="4"/>
  <c r="J1398" i="4"/>
  <c r="N1398" i="4" s="1"/>
  <c r="K1410" i="4"/>
  <c r="J1410" i="4"/>
  <c r="K1422" i="4"/>
  <c r="J1422" i="4"/>
  <c r="O1422" i="4" s="1"/>
  <c r="K1434" i="4"/>
  <c r="J1434" i="4"/>
  <c r="N1434" i="4" s="1"/>
  <c r="K1446" i="4"/>
  <c r="J1446" i="4"/>
  <c r="N1446" i="4" s="1"/>
  <c r="K1458" i="4"/>
  <c r="J1458" i="4"/>
  <c r="O1458" i="4" s="1"/>
  <c r="K1472" i="4"/>
  <c r="J1472" i="4"/>
  <c r="K1484" i="4"/>
  <c r="J1484" i="4"/>
  <c r="K1498" i="4"/>
  <c r="J1498" i="4"/>
  <c r="K1510" i="4"/>
  <c r="J1510" i="4"/>
  <c r="N1510" i="4" s="1"/>
  <c r="K1526" i="4"/>
  <c r="J1526" i="4"/>
  <c r="K1538" i="4"/>
  <c r="J1538" i="4"/>
  <c r="J1550" i="4"/>
  <c r="K1550" i="4"/>
  <c r="K1562" i="4"/>
  <c r="J1562" i="4"/>
  <c r="K1574" i="4"/>
  <c r="J1574" i="4"/>
  <c r="K1586" i="4"/>
  <c r="J1586" i="4"/>
  <c r="K1598" i="4"/>
  <c r="J1598" i="4"/>
  <c r="K1610" i="4"/>
  <c r="J1610" i="4"/>
  <c r="K1624" i="4"/>
  <c r="J1624" i="4"/>
  <c r="K1644" i="4"/>
  <c r="J1644" i="4"/>
  <c r="K1656" i="4"/>
  <c r="J1656" i="4"/>
  <c r="K1668" i="4"/>
  <c r="J1668" i="4"/>
  <c r="K1680" i="4"/>
  <c r="J1680" i="4"/>
  <c r="K1692" i="4"/>
  <c r="J1692" i="4"/>
  <c r="K1704" i="4"/>
  <c r="J1704" i="4"/>
  <c r="K1716" i="4"/>
  <c r="J1716" i="4"/>
  <c r="K1728" i="4"/>
  <c r="J1728" i="4"/>
  <c r="K1742" i="4"/>
  <c r="J1742" i="4"/>
  <c r="K1763" i="4"/>
  <c r="J1763" i="4"/>
  <c r="K1405" i="4"/>
  <c r="J1405" i="4"/>
  <c r="O1405" i="4" s="1"/>
  <c r="J1521" i="4"/>
  <c r="K1521" i="4"/>
  <c r="J1617" i="4"/>
  <c r="K1617" i="4"/>
  <c r="K1687" i="4"/>
  <c r="J1687" i="4"/>
  <c r="J1365" i="4"/>
  <c r="K1365" i="4"/>
  <c r="K1418" i="4"/>
  <c r="J1418" i="4"/>
  <c r="N1418" i="4" s="1"/>
  <c r="K1480" i="4"/>
  <c r="J1480" i="4"/>
  <c r="K1534" i="4"/>
  <c r="J1534" i="4"/>
  <c r="K1594" i="4"/>
  <c r="J1594" i="4"/>
  <c r="K1712" i="4"/>
  <c r="J1712" i="4"/>
  <c r="K1369" i="4"/>
  <c r="J1369" i="4"/>
  <c r="K1409" i="4"/>
  <c r="J1409" i="4"/>
  <c r="N1409" i="4" s="1"/>
  <c r="J1727" i="4"/>
  <c r="K1727" i="4"/>
  <c r="K1358" i="4"/>
  <c r="J1358" i="4"/>
  <c r="N1358" i="4" s="1"/>
  <c r="K1373" i="4"/>
  <c r="J1373" i="4"/>
  <c r="N1373" i="4" s="1"/>
  <c r="J1386" i="4"/>
  <c r="K1386" i="4"/>
  <c r="K1399" i="4"/>
  <c r="J1399" i="4"/>
  <c r="N1399" i="4" s="1"/>
  <c r="K1411" i="4"/>
  <c r="J1411" i="4"/>
  <c r="O1411" i="4" s="1"/>
  <c r="J1423" i="4"/>
  <c r="O1423" i="4" s="1"/>
  <c r="K1423" i="4"/>
  <c r="J1435" i="4"/>
  <c r="N1435" i="4" s="1"/>
  <c r="K1435" i="4"/>
  <c r="J1447" i="4"/>
  <c r="N1447" i="4" s="1"/>
  <c r="K1447" i="4"/>
  <c r="K1460" i="4"/>
  <c r="J1460" i="4"/>
  <c r="O1460" i="4" s="1"/>
  <c r="K1473" i="4"/>
  <c r="J1473" i="4"/>
  <c r="K1485" i="4"/>
  <c r="J1485" i="4"/>
  <c r="K1499" i="4"/>
  <c r="J1499" i="4"/>
  <c r="N1499" i="4" s="1"/>
  <c r="K1511" i="4"/>
  <c r="J1511" i="4"/>
  <c r="N1511" i="4" s="1"/>
  <c r="J1527" i="4"/>
  <c r="K1527" i="4"/>
  <c r="J1539" i="4"/>
  <c r="K1539" i="4"/>
  <c r="J1551" i="4"/>
  <c r="K1551" i="4"/>
  <c r="J1563" i="4"/>
  <c r="K1563" i="4"/>
  <c r="J1575" i="4"/>
  <c r="K1575" i="4"/>
  <c r="J1587" i="4"/>
  <c r="K1587" i="4"/>
  <c r="J1599" i="4"/>
  <c r="K1599" i="4"/>
  <c r="J1611" i="4"/>
  <c r="K1611" i="4"/>
  <c r="K1625" i="4"/>
  <c r="J1625" i="4"/>
  <c r="K1645" i="4"/>
  <c r="J1645" i="4"/>
  <c r="K1657" i="4"/>
  <c r="J1657" i="4"/>
  <c r="K1669" i="4"/>
  <c r="J1669" i="4"/>
  <c r="K1681" i="4"/>
  <c r="J1681" i="4"/>
  <c r="K1693" i="4"/>
  <c r="J1693" i="4"/>
  <c r="K1705" i="4"/>
  <c r="J1705" i="4"/>
  <c r="K1717" i="4"/>
  <c r="J1717" i="4"/>
  <c r="K1729" i="4"/>
  <c r="J1729" i="4"/>
  <c r="K1743" i="4"/>
  <c r="J1743" i="4"/>
  <c r="K1764" i="4"/>
  <c r="J1764" i="4"/>
  <c r="J1441" i="4"/>
  <c r="O1441" i="4" s="1"/>
  <c r="K1441" i="4"/>
  <c r="J1557" i="4"/>
  <c r="K1557" i="4"/>
  <c r="K1652" i="4"/>
  <c r="J1652" i="4"/>
  <c r="K1466" i="4"/>
  <c r="J1466" i="4"/>
  <c r="O1466" i="4" s="1"/>
  <c r="J1581" i="4"/>
  <c r="K1581" i="4"/>
  <c r="K1723" i="4"/>
  <c r="J1723" i="4"/>
  <c r="K1688" i="4"/>
  <c r="J1688" i="4"/>
  <c r="K1359" i="4"/>
  <c r="J1359" i="4"/>
  <c r="N1359" i="4" s="1"/>
  <c r="K1412" i="4"/>
  <c r="J1412" i="4"/>
  <c r="K1461" i="4"/>
  <c r="J1461" i="4"/>
  <c r="O1461" i="4" s="1"/>
  <c r="K1500" i="4"/>
  <c r="J1500" i="4"/>
  <c r="K1540" i="4"/>
  <c r="J1540" i="4"/>
  <c r="K1588" i="4"/>
  <c r="J1588" i="4"/>
  <c r="K1626" i="4"/>
  <c r="J1626" i="4"/>
  <c r="K1658" i="4"/>
  <c r="J1658" i="4"/>
  <c r="K1744" i="4"/>
  <c r="J1744" i="4"/>
  <c r="K1360" i="4"/>
  <c r="J1360" i="4"/>
  <c r="K1375" i="4"/>
  <c r="J1375" i="4"/>
  <c r="K1388" i="4"/>
  <c r="J1388" i="4"/>
  <c r="K1401" i="4"/>
  <c r="J1401" i="4"/>
  <c r="O1401" i="4" s="1"/>
  <c r="K1413" i="4"/>
  <c r="J1413" i="4"/>
  <c r="O1413" i="4" s="1"/>
  <c r="K1425" i="4"/>
  <c r="J1425" i="4"/>
  <c r="K1437" i="4"/>
  <c r="J1437" i="4"/>
  <c r="N1437" i="4" s="1"/>
  <c r="K1449" i="4"/>
  <c r="J1449" i="4"/>
  <c r="N1449" i="4" s="1"/>
  <c r="K1462" i="4"/>
  <c r="J1462" i="4"/>
  <c r="O1462" i="4" s="1"/>
  <c r="K1475" i="4"/>
  <c r="J1475" i="4"/>
  <c r="N1475" i="4" s="1"/>
  <c r="K1487" i="4"/>
  <c r="J1487" i="4"/>
  <c r="J1501" i="4"/>
  <c r="K1501" i="4"/>
  <c r="J1513" i="4"/>
  <c r="N1513" i="4" s="1"/>
  <c r="K1513" i="4"/>
  <c r="K1529" i="4"/>
  <c r="J1529" i="4"/>
  <c r="K1541" i="4"/>
  <c r="J1541" i="4"/>
  <c r="K1553" i="4"/>
  <c r="J1553" i="4"/>
  <c r="K1565" i="4"/>
  <c r="J1565" i="4"/>
  <c r="K1577" i="4"/>
  <c r="J1577" i="4"/>
  <c r="K1589" i="4"/>
  <c r="J1589" i="4"/>
  <c r="K1601" i="4"/>
  <c r="J1601" i="4"/>
  <c r="K1613" i="4"/>
  <c r="J1613" i="4"/>
  <c r="K1627" i="4"/>
  <c r="J1627" i="4"/>
  <c r="K1647" i="4"/>
  <c r="J1647" i="4"/>
  <c r="K1659" i="4"/>
  <c r="J1659" i="4"/>
  <c r="K1671" i="4"/>
  <c r="J1671" i="4"/>
  <c r="K1683" i="4"/>
  <c r="J1683" i="4"/>
  <c r="K1695" i="4"/>
  <c r="J1695" i="4"/>
  <c r="K1707" i="4"/>
  <c r="J1707" i="4"/>
  <c r="K1719" i="4"/>
  <c r="J1719" i="4"/>
  <c r="K1731" i="4"/>
  <c r="J1731" i="4"/>
  <c r="J1745" i="4"/>
  <c r="K1745" i="4"/>
  <c r="K1766" i="4"/>
  <c r="J1766" i="4"/>
  <c r="K1364" i="4"/>
  <c r="J1364" i="4"/>
  <c r="J1453" i="4"/>
  <c r="O1453" i="4" s="1"/>
  <c r="K1453" i="4"/>
  <c r="J1533" i="4"/>
  <c r="K1533" i="4"/>
  <c r="K1735" i="4"/>
  <c r="J1735" i="4"/>
  <c r="K1676" i="4"/>
  <c r="J1676" i="4"/>
  <c r="K1374" i="4"/>
  <c r="J1374" i="4"/>
  <c r="K1424" i="4"/>
  <c r="J1424" i="4"/>
  <c r="K1474" i="4"/>
  <c r="J1474" i="4"/>
  <c r="N1474" i="4" s="1"/>
  <c r="K1512" i="4"/>
  <c r="J1512" i="4"/>
  <c r="N1512" i="4" s="1"/>
  <c r="K1564" i="4"/>
  <c r="J1564" i="4"/>
  <c r="K1612" i="4"/>
  <c r="J1612" i="4"/>
  <c r="K1670" i="4"/>
  <c r="J1670" i="4"/>
  <c r="J1765" i="4"/>
  <c r="K1765" i="4"/>
  <c r="K1361" i="4"/>
  <c r="J1361" i="4"/>
  <c r="O1361" i="4" s="1"/>
  <c r="K1376" i="4"/>
  <c r="J1376" i="4"/>
  <c r="K1389" i="4"/>
  <c r="J1389" i="4"/>
  <c r="K1402" i="4"/>
  <c r="J1402" i="4"/>
  <c r="O1402" i="4" s="1"/>
  <c r="K1414" i="4"/>
  <c r="J1414" i="4"/>
  <c r="K1426" i="4"/>
  <c r="J1426" i="4"/>
  <c r="K1438" i="4"/>
  <c r="J1438" i="4"/>
  <c r="N1438" i="4" s="1"/>
  <c r="K1450" i="4"/>
  <c r="J1450" i="4"/>
  <c r="O1450" i="4" s="1"/>
  <c r="K1463" i="4"/>
  <c r="J1463" i="4"/>
  <c r="O1463" i="4" s="1"/>
  <c r="K1476" i="4"/>
  <c r="J1476" i="4"/>
  <c r="N1476" i="4" s="1"/>
  <c r="K1490" i="4"/>
  <c r="J1490" i="4"/>
  <c r="K1502" i="4"/>
  <c r="J1502" i="4"/>
  <c r="K1514" i="4"/>
  <c r="J1514" i="4"/>
  <c r="E1199" i="10" s="1"/>
  <c r="K1530" i="4"/>
  <c r="J1530" i="4"/>
  <c r="K1542" i="4"/>
  <c r="J1542" i="4"/>
  <c r="K1554" i="4"/>
  <c r="J1554" i="4"/>
  <c r="K1566" i="4"/>
  <c r="J1566" i="4"/>
  <c r="K1578" i="4"/>
  <c r="J1578" i="4"/>
  <c r="K1590" i="4"/>
  <c r="J1590" i="4"/>
  <c r="K1602" i="4"/>
  <c r="J1602" i="4"/>
  <c r="K1614" i="4"/>
  <c r="J1614" i="4"/>
  <c r="K1628" i="4"/>
  <c r="J1628" i="4"/>
  <c r="K1648" i="4"/>
  <c r="J1648" i="4"/>
  <c r="K1660" i="4"/>
  <c r="J1660" i="4"/>
  <c r="K1672" i="4"/>
  <c r="J1672" i="4"/>
  <c r="K1684" i="4"/>
  <c r="J1684" i="4"/>
  <c r="K1696" i="4"/>
  <c r="J1696" i="4"/>
  <c r="K1708" i="4"/>
  <c r="J1708" i="4"/>
  <c r="K1720" i="4"/>
  <c r="J1720" i="4"/>
  <c r="K1732" i="4"/>
  <c r="J1732" i="4"/>
  <c r="K1746" i="4"/>
  <c r="J1746" i="4"/>
  <c r="K1767" i="4"/>
  <c r="J1767" i="4"/>
  <c r="K1664" i="4"/>
  <c r="J1664" i="4"/>
  <c r="K1387" i="4"/>
  <c r="J1387" i="4"/>
  <c r="K1448" i="4"/>
  <c r="J1448" i="4"/>
  <c r="N1448" i="4" s="1"/>
  <c r="K1552" i="4"/>
  <c r="J1552" i="4"/>
  <c r="K1362" i="4"/>
  <c r="J1362" i="4"/>
  <c r="O1362" i="4" s="1"/>
  <c r="K1377" i="4"/>
  <c r="J1377" i="4"/>
  <c r="O1377" i="4" s="1"/>
  <c r="J1390" i="4"/>
  <c r="K1390" i="4"/>
  <c r="K1403" i="4"/>
  <c r="J1403" i="4"/>
  <c r="O1403" i="4" s="1"/>
  <c r="J1415" i="4"/>
  <c r="O1415" i="4" s="1"/>
  <c r="K1415" i="4"/>
  <c r="J1427" i="4"/>
  <c r="K1427" i="4"/>
  <c r="K1439" i="4"/>
  <c r="J1439" i="4"/>
  <c r="N1439" i="4" s="1"/>
  <c r="K1451" i="4"/>
  <c r="J1451" i="4"/>
  <c r="O1451" i="4" s="1"/>
  <c r="K1464" i="4"/>
  <c r="J1464" i="4"/>
  <c r="O1464" i="4" s="1"/>
  <c r="J1477" i="4"/>
  <c r="N1477" i="4" s="1"/>
  <c r="K1477" i="4"/>
  <c r="K1491" i="4"/>
  <c r="J1491" i="4"/>
  <c r="N1491" i="4" s="1"/>
  <c r="K1503" i="4"/>
  <c r="J1503" i="4"/>
  <c r="K1515" i="4"/>
  <c r="J1515" i="4"/>
  <c r="J1531" i="4"/>
  <c r="K1531" i="4"/>
  <c r="K1543" i="4"/>
  <c r="J1543" i="4"/>
  <c r="K1555" i="4"/>
  <c r="J1555" i="4"/>
  <c r="K1567" i="4"/>
  <c r="J1567" i="4"/>
  <c r="K1579" i="4"/>
  <c r="J1579" i="4"/>
  <c r="K1591" i="4"/>
  <c r="J1591" i="4"/>
  <c r="K1603" i="4"/>
  <c r="J1603" i="4"/>
  <c r="K1615" i="4"/>
  <c r="J1615" i="4"/>
  <c r="J1629" i="4"/>
  <c r="K1629" i="4"/>
  <c r="J1649" i="4"/>
  <c r="K1649" i="4"/>
  <c r="J1661" i="4"/>
  <c r="K1661" i="4"/>
  <c r="J1673" i="4"/>
  <c r="K1673" i="4"/>
  <c r="J1685" i="4"/>
  <c r="K1685" i="4"/>
  <c r="J1697" i="4"/>
  <c r="K1697" i="4"/>
  <c r="J1709" i="4"/>
  <c r="K1709" i="4"/>
  <c r="J1721" i="4"/>
  <c r="K1721" i="4"/>
  <c r="J1733" i="4"/>
  <c r="K1733" i="4"/>
  <c r="K1747" i="4"/>
  <c r="J1747" i="4"/>
  <c r="K1768" i="4"/>
  <c r="J1768" i="4"/>
  <c r="J1379" i="4"/>
  <c r="K1379" i="4"/>
  <c r="K1479" i="4"/>
  <c r="J1479" i="4"/>
  <c r="O1479" i="4" s="1"/>
  <c r="J1605" i="4"/>
  <c r="K1605" i="4"/>
  <c r="K1699" i="4"/>
  <c r="J1699" i="4"/>
  <c r="K1700" i="4"/>
  <c r="J1700" i="4"/>
  <c r="K1400" i="4"/>
  <c r="J1400" i="4"/>
  <c r="O1400" i="4" s="1"/>
  <c r="K1436" i="4"/>
  <c r="J1436" i="4"/>
  <c r="K1486" i="4"/>
  <c r="J1486" i="4"/>
  <c r="N1486" i="4" s="1"/>
  <c r="K1528" i="4"/>
  <c r="J1528" i="4"/>
  <c r="K1576" i="4"/>
  <c r="J1576" i="4"/>
  <c r="K1600" i="4"/>
  <c r="J1600" i="4"/>
  <c r="K1646" i="4"/>
  <c r="J1646" i="4"/>
  <c r="K1682" i="4"/>
  <c r="J1682" i="4"/>
  <c r="K1694" i="4"/>
  <c r="J1694" i="4"/>
  <c r="K1706" i="4"/>
  <c r="J1706" i="4"/>
  <c r="K1718" i="4"/>
  <c r="J1718" i="4"/>
  <c r="K1730" i="4"/>
  <c r="J1730" i="4"/>
  <c r="K1363" i="4"/>
  <c r="J1363" i="4"/>
  <c r="K1378" i="4"/>
  <c r="J1378" i="4"/>
  <c r="E1088" i="10" s="1"/>
  <c r="K1391" i="4"/>
  <c r="J1391" i="4"/>
  <c r="J1404" i="4"/>
  <c r="O1404" i="4" s="1"/>
  <c r="K1404" i="4"/>
  <c r="K1416" i="4"/>
  <c r="J1416" i="4"/>
  <c r="K1428" i="4"/>
  <c r="J1428" i="4"/>
  <c r="N1428" i="4" s="1"/>
  <c r="K1440" i="4"/>
  <c r="J1440" i="4"/>
  <c r="N1440" i="4" s="1"/>
  <c r="K1452" i="4"/>
  <c r="J1452" i="4"/>
  <c r="O1452" i="4" s="1"/>
  <c r="J1465" i="4"/>
  <c r="O1465" i="4" s="1"/>
  <c r="K1465" i="4"/>
  <c r="K1478" i="4"/>
  <c r="J1478" i="4"/>
  <c r="N1478" i="4" s="1"/>
  <c r="K1492" i="4"/>
  <c r="J1492" i="4"/>
  <c r="N1492" i="4" s="1"/>
  <c r="K1504" i="4"/>
  <c r="J1504" i="4"/>
  <c r="N1504" i="4" s="1"/>
  <c r="K1520" i="4"/>
  <c r="J1520" i="4"/>
  <c r="K1532" i="4"/>
  <c r="J1532" i="4"/>
  <c r="K1544" i="4"/>
  <c r="J1544" i="4"/>
  <c r="K1556" i="4"/>
  <c r="J1556" i="4"/>
  <c r="K1568" i="4"/>
  <c r="J1568" i="4"/>
  <c r="K1580" i="4"/>
  <c r="J1580" i="4"/>
  <c r="K1592" i="4"/>
  <c r="J1592" i="4"/>
  <c r="K1604" i="4"/>
  <c r="J1604" i="4"/>
  <c r="K1616" i="4"/>
  <c r="J1616" i="4"/>
  <c r="K1630" i="4"/>
  <c r="J1630" i="4"/>
  <c r="K1650" i="4"/>
  <c r="J1650" i="4"/>
  <c r="K1662" i="4"/>
  <c r="J1662" i="4"/>
  <c r="K1674" i="4"/>
  <c r="J1674" i="4"/>
  <c r="K1686" i="4"/>
  <c r="J1686" i="4"/>
  <c r="K1698" i="4"/>
  <c r="J1698" i="4"/>
  <c r="K1710" i="4"/>
  <c r="J1710" i="4"/>
  <c r="K1722" i="4"/>
  <c r="J1722" i="4"/>
  <c r="K1734" i="4"/>
  <c r="J1734" i="4"/>
  <c r="K1748" i="4"/>
  <c r="J1748" i="4"/>
  <c r="G668" i="22"/>
  <c r="L1316" i="4"/>
  <c r="G1344" i="4"/>
  <c r="J969" i="4"/>
  <c r="K969" i="4"/>
  <c r="J1115" i="4"/>
  <c r="K1115" i="4"/>
  <c r="K934" i="4"/>
  <c r="J934" i="4"/>
  <c r="K951" i="4"/>
  <c r="J951" i="4"/>
  <c r="E1028" i="10" s="1"/>
  <c r="K970" i="4"/>
  <c r="J970" i="4"/>
  <c r="K989" i="4"/>
  <c r="J989" i="4"/>
  <c r="K1006" i="4"/>
  <c r="J1006" i="4"/>
  <c r="K1023" i="4"/>
  <c r="J1023" i="4"/>
  <c r="E1117" i="10" s="1"/>
  <c r="K1039" i="4"/>
  <c r="J1039" i="4"/>
  <c r="J1055" i="4"/>
  <c r="K1055" i="4"/>
  <c r="K1071" i="4"/>
  <c r="J1071" i="4"/>
  <c r="J1089" i="4"/>
  <c r="K1089" i="4"/>
  <c r="J1116" i="4"/>
  <c r="K1116" i="4"/>
  <c r="K1145" i="4"/>
  <c r="J1145" i="4"/>
  <c r="J1163" i="4"/>
  <c r="K1163" i="4"/>
  <c r="K1181" i="4"/>
  <c r="J1181" i="4"/>
  <c r="K1202" i="4"/>
  <c r="J1202" i="4"/>
  <c r="K1218" i="4"/>
  <c r="J1218" i="4"/>
  <c r="J1236" i="4"/>
  <c r="K1236" i="4"/>
  <c r="J1252" i="4"/>
  <c r="O1252" i="4" s="1"/>
  <c r="K1252" i="4"/>
  <c r="J1274" i="4"/>
  <c r="O1274" i="4" s="1"/>
  <c r="K1274" i="4"/>
  <c r="J1290" i="4"/>
  <c r="O1290" i="4" s="1"/>
  <c r="K1290" i="4"/>
  <c r="K1318" i="4"/>
  <c r="J1318" i="4"/>
  <c r="N1318" i="4" s="1"/>
  <c r="K1340" i="4"/>
  <c r="J1340" i="4"/>
  <c r="N1340" i="4" s="1"/>
  <c r="K933" i="4"/>
  <c r="J933" i="4"/>
  <c r="K1005" i="4"/>
  <c r="J1005" i="4"/>
  <c r="K1162" i="4"/>
  <c r="J1162" i="4"/>
  <c r="K961" i="4"/>
  <c r="J961" i="4"/>
  <c r="K997" i="4"/>
  <c r="J997" i="4"/>
  <c r="K1030" i="4"/>
  <c r="J1030" i="4"/>
  <c r="J1153" i="4"/>
  <c r="K1153" i="4"/>
  <c r="K978" i="4"/>
  <c r="J978" i="4"/>
  <c r="K1134" i="4"/>
  <c r="J1134" i="4"/>
  <c r="K943" i="4"/>
  <c r="J943" i="4"/>
  <c r="J962" i="4"/>
  <c r="K962" i="4"/>
  <c r="K979" i="4"/>
  <c r="J979" i="4"/>
  <c r="K998" i="4"/>
  <c r="J998" i="4"/>
  <c r="K1015" i="4"/>
  <c r="J1015" i="4"/>
  <c r="K1031" i="4"/>
  <c r="J1031" i="4"/>
  <c r="J1047" i="4"/>
  <c r="K1047" i="4"/>
  <c r="K1063" i="4"/>
  <c r="J1063" i="4"/>
  <c r="J1080" i="4"/>
  <c r="K1080" i="4"/>
  <c r="K1108" i="4"/>
  <c r="J1108" i="4"/>
  <c r="K1135" i="4"/>
  <c r="J1135" i="4"/>
  <c r="K1154" i="4"/>
  <c r="J1154" i="4"/>
  <c r="J1171" i="4"/>
  <c r="K1171" i="4"/>
  <c r="J1194" i="4"/>
  <c r="K1194" i="4"/>
  <c r="J1210" i="4"/>
  <c r="K1210" i="4"/>
  <c r="K1228" i="4"/>
  <c r="J1228" i="4"/>
  <c r="K1244" i="4"/>
  <c r="J1244" i="4"/>
  <c r="K1266" i="4"/>
  <c r="J1266" i="4"/>
  <c r="O1266" i="4" s="1"/>
  <c r="K1282" i="4"/>
  <c r="J1282" i="4"/>
  <c r="O1282" i="4" s="1"/>
  <c r="J1299" i="4"/>
  <c r="K1299" i="4"/>
  <c r="K1332" i="4"/>
  <c r="J1332" i="4"/>
  <c r="G1350" i="4"/>
  <c r="O1350" i="4"/>
  <c r="K1350" i="4"/>
  <c r="K942" i="4"/>
  <c r="J942" i="4"/>
  <c r="K1014" i="4"/>
  <c r="J1014" i="4"/>
  <c r="J1170" i="4"/>
  <c r="K1170" i="4"/>
  <c r="J1098" i="4"/>
  <c r="K1098" i="4"/>
  <c r="K950" i="4"/>
  <c r="J950" i="4"/>
  <c r="E1022" i="10" s="1"/>
  <c r="K988" i="4"/>
  <c r="J988" i="4"/>
  <c r="K1022" i="4"/>
  <c r="J1022" i="4"/>
  <c r="J1038" i="4"/>
  <c r="K1038" i="4"/>
  <c r="J1046" i="4"/>
  <c r="K1046" i="4"/>
  <c r="K1054" i="4"/>
  <c r="J1054" i="4"/>
  <c r="K1062" i="4"/>
  <c r="J1062" i="4"/>
  <c r="J1070" i="4"/>
  <c r="K1070" i="4"/>
  <c r="K1079" i="4"/>
  <c r="J1079" i="4"/>
  <c r="J1087" i="4"/>
  <c r="K1087" i="4"/>
  <c r="J1097" i="4"/>
  <c r="K1097" i="4"/>
  <c r="J1107" i="4"/>
  <c r="K1107" i="4"/>
  <c r="K1144" i="4"/>
  <c r="J1144" i="4"/>
  <c r="J1180" i="4"/>
  <c r="K1180" i="4"/>
  <c r="K1193" i="4"/>
  <c r="J1193" i="4"/>
  <c r="K1201" i="4"/>
  <c r="J1201" i="4"/>
  <c r="J1209" i="4"/>
  <c r="K1209" i="4"/>
  <c r="K1217" i="4"/>
  <c r="J1217" i="4"/>
  <c r="E1192" i="10" s="1"/>
  <c r="J1227" i="4"/>
  <c r="K1227" i="4"/>
  <c r="J1235" i="4"/>
  <c r="O1235" i="4" s="1"/>
  <c r="K1235" i="4"/>
  <c r="J1243" i="4"/>
  <c r="O1243" i="4" s="1"/>
  <c r="K1243" i="4"/>
  <c r="J1251" i="4"/>
  <c r="O1251" i="4" s="1"/>
  <c r="K1251" i="4"/>
  <c r="K1265" i="4"/>
  <c r="J1265" i="4"/>
  <c r="O1265" i="4" s="1"/>
  <c r="K1273" i="4"/>
  <c r="J1273" i="4"/>
  <c r="O1273" i="4" s="1"/>
  <c r="J1281" i="4"/>
  <c r="O1281" i="4" s="1"/>
  <c r="K1281" i="4"/>
  <c r="J1289" i="4"/>
  <c r="O1289" i="4" s="1"/>
  <c r="K1289" i="4"/>
  <c r="J1298" i="4"/>
  <c r="O1298" i="4" s="1"/>
  <c r="K1298" i="4"/>
  <c r="K1317" i="4"/>
  <c r="J1317" i="4"/>
  <c r="J1331" i="4"/>
  <c r="N1331" i="4" s="1"/>
  <c r="K1331" i="4"/>
  <c r="K1339" i="4"/>
  <c r="J1339" i="4"/>
  <c r="G1348" i="4"/>
  <c r="K1348" i="4"/>
  <c r="O1348" i="4"/>
  <c r="J936" i="4"/>
  <c r="K936" i="4"/>
  <c r="J945" i="4"/>
  <c r="K945" i="4"/>
  <c r="K955" i="4"/>
  <c r="J955" i="4"/>
  <c r="E1037" i="10" s="1"/>
  <c r="J964" i="4"/>
  <c r="K964" i="4"/>
  <c r="J972" i="4"/>
  <c r="K972" i="4"/>
  <c r="K981" i="4"/>
  <c r="J981" i="4"/>
  <c r="K991" i="4"/>
  <c r="J991" i="4"/>
  <c r="K1000" i="4"/>
  <c r="J1000" i="4"/>
  <c r="K1008" i="4"/>
  <c r="J1008" i="4"/>
  <c r="J1017" i="4"/>
  <c r="E1032" i="10" s="1"/>
  <c r="K1017" i="4"/>
  <c r="K1025" i="4"/>
  <c r="J1025" i="4"/>
  <c r="J1033" i="4"/>
  <c r="K1033" i="4"/>
  <c r="J1041" i="4"/>
  <c r="K1041" i="4"/>
  <c r="J1049" i="4"/>
  <c r="K1049" i="4"/>
  <c r="J1057" i="4"/>
  <c r="K1057" i="4"/>
  <c r="K1065" i="4"/>
  <c r="J1065" i="4"/>
  <c r="J1073" i="4"/>
  <c r="K1073" i="4"/>
  <c r="K1082" i="4"/>
  <c r="K1091" i="4"/>
  <c r="J1091" i="4"/>
  <c r="J1100" i="4"/>
  <c r="K1100" i="4"/>
  <c r="J1110" i="4"/>
  <c r="K1110" i="4"/>
  <c r="K1129" i="4"/>
  <c r="J1129" i="4"/>
  <c r="K1137" i="4"/>
  <c r="J1137" i="4"/>
  <c r="K1147" i="4"/>
  <c r="J1147" i="4"/>
  <c r="K1157" i="4"/>
  <c r="J1157" i="4"/>
  <c r="K1165" i="4"/>
  <c r="J1165" i="4"/>
  <c r="K1173" i="4"/>
  <c r="J1173" i="4"/>
  <c r="E1030" i="10" s="1"/>
  <c r="K1184" i="4"/>
  <c r="J1184" i="4"/>
  <c r="K1196" i="4"/>
  <c r="J1196" i="4"/>
  <c r="K1204" i="4"/>
  <c r="J1204" i="4"/>
  <c r="J1212" i="4"/>
  <c r="K1212" i="4"/>
  <c r="K1220" i="4"/>
  <c r="J1220" i="4"/>
  <c r="E1191" i="10" s="1"/>
  <c r="K1230" i="4"/>
  <c r="J1230" i="4"/>
  <c r="N1230" i="4" s="1"/>
  <c r="K1238" i="4"/>
  <c r="J1238" i="4"/>
  <c r="K1246" i="4"/>
  <c r="J1246" i="4"/>
  <c r="O1246" i="4" s="1"/>
  <c r="J1260" i="4"/>
  <c r="K1260" i="4"/>
  <c r="K1268" i="4"/>
  <c r="J1268" i="4"/>
  <c r="O1268" i="4" s="1"/>
  <c r="K1276" i="4"/>
  <c r="J1276" i="4"/>
  <c r="O1276" i="4" s="1"/>
  <c r="J1284" i="4"/>
  <c r="O1284" i="4" s="1"/>
  <c r="K1284" i="4"/>
  <c r="K1293" i="4"/>
  <c r="J1293" i="4"/>
  <c r="N1293" i="4" s="1"/>
  <c r="K1303" i="4"/>
  <c r="J1303" i="4"/>
  <c r="O1303" i="4" s="1"/>
  <c r="K1320" i="4"/>
  <c r="J1320" i="4"/>
  <c r="K1334" i="4"/>
  <c r="J1334" i="4"/>
  <c r="O1334" i="4" s="1"/>
  <c r="J1342" i="4"/>
  <c r="N1342" i="4" s="1"/>
  <c r="K1342" i="4"/>
  <c r="J944" i="4"/>
  <c r="K944" i="4"/>
  <c r="J963" i="4"/>
  <c r="K963" i="4"/>
  <c r="K990" i="4"/>
  <c r="J990" i="4"/>
  <c r="K1016" i="4"/>
  <c r="J1016" i="4"/>
  <c r="K1032" i="4"/>
  <c r="J1032" i="4"/>
  <c r="K1048" i="4"/>
  <c r="J1048" i="4"/>
  <c r="K1072" i="4"/>
  <c r="J1072" i="4"/>
  <c r="J1099" i="4"/>
  <c r="K1099" i="4"/>
  <c r="K1109" i="4"/>
  <c r="J1109" i="4"/>
  <c r="K1146" i="4"/>
  <c r="J1146" i="4"/>
  <c r="K1172" i="4"/>
  <c r="J1172" i="4"/>
  <c r="J1195" i="4"/>
  <c r="K1195" i="4"/>
  <c r="K1211" i="4"/>
  <c r="J1211" i="4"/>
  <c r="K1237" i="4"/>
  <c r="J1237" i="4"/>
  <c r="E1083" i="10" s="1"/>
  <c r="K1253" i="4"/>
  <c r="J1253" i="4"/>
  <c r="O1253" i="4" s="1"/>
  <c r="K1283" i="4"/>
  <c r="J1283" i="4"/>
  <c r="O1283" i="4" s="1"/>
  <c r="K1292" i="4"/>
  <c r="J1292" i="4"/>
  <c r="K1333" i="4"/>
  <c r="J1333" i="4"/>
  <c r="K1352" i="4"/>
  <c r="J1352" i="4"/>
  <c r="O1352" i="4" s="1"/>
  <c r="K937" i="4"/>
  <c r="J937" i="4"/>
  <c r="J946" i="4"/>
  <c r="K946" i="4"/>
  <c r="K956" i="4"/>
  <c r="J956" i="4"/>
  <c r="K965" i="4"/>
  <c r="J965" i="4"/>
  <c r="J973" i="4"/>
  <c r="K973" i="4"/>
  <c r="J982" i="4"/>
  <c r="K982" i="4"/>
  <c r="K992" i="4"/>
  <c r="J992" i="4"/>
  <c r="J1001" i="4"/>
  <c r="K1001" i="4"/>
  <c r="J1009" i="4"/>
  <c r="K1009" i="4"/>
  <c r="K1018" i="4"/>
  <c r="J1018" i="4"/>
  <c r="J1026" i="4"/>
  <c r="K1026" i="4"/>
  <c r="K1034" i="4"/>
  <c r="J1034" i="4"/>
  <c r="K1042" i="4"/>
  <c r="J1042" i="4"/>
  <c r="J1050" i="4"/>
  <c r="K1050" i="4"/>
  <c r="J1058" i="4"/>
  <c r="K1058" i="4"/>
  <c r="K1066" i="4"/>
  <c r="J1066" i="4"/>
  <c r="K1074" i="4"/>
  <c r="J1074" i="4"/>
  <c r="K1083" i="4"/>
  <c r="J1083" i="4"/>
  <c r="K1092" i="4"/>
  <c r="J1092" i="4"/>
  <c r="K1101" i="4"/>
  <c r="J1101" i="4"/>
  <c r="K1111" i="4"/>
  <c r="J1111" i="4"/>
  <c r="E1055" i="10" s="1"/>
  <c r="K1130" i="4"/>
  <c r="J1130" i="4"/>
  <c r="K1138" i="4"/>
  <c r="J1138" i="4"/>
  <c r="K1148" i="4"/>
  <c r="J1148" i="4"/>
  <c r="J1158" i="4"/>
  <c r="K1158" i="4"/>
  <c r="K1166" i="4"/>
  <c r="J1166" i="4"/>
  <c r="K1175" i="4"/>
  <c r="J1175" i="4"/>
  <c r="J1185" i="4"/>
  <c r="K1185" i="4"/>
  <c r="K1197" i="4"/>
  <c r="J1197" i="4"/>
  <c r="K1205" i="4"/>
  <c r="J1205" i="4"/>
  <c r="K1213" i="4"/>
  <c r="J1213" i="4"/>
  <c r="K1221" i="4"/>
  <c r="J1221" i="4"/>
  <c r="E1018" i="10" s="1"/>
  <c r="J1231" i="4"/>
  <c r="O1231" i="4" s="1"/>
  <c r="K1231" i="4"/>
  <c r="K1239" i="4"/>
  <c r="J1239" i="4"/>
  <c r="K1247" i="4"/>
  <c r="J1247" i="4"/>
  <c r="J1261" i="4"/>
  <c r="O1261" i="4" s="1"/>
  <c r="K1261" i="4"/>
  <c r="J1269" i="4"/>
  <c r="O1269" i="4" s="1"/>
  <c r="K1269" i="4"/>
  <c r="K1277" i="4"/>
  <c r="J1277" i="4"/>
  <c r="J1285" i="4"/>
  <c r="O1285" i="4" s="1"/>
  <c r="K1285" i="4"/>
  <c r="J1294" i="4"/>
  <c r="O1294" i="4" s="1"/>
  <c r="K1294" i="4"/>
  <c r="K1305" i="4"/>
  <c r="J1305" i="4"/>
  <c r="O1305" i="4" s="1"/>
  <c r="J1321" i="4"/>
  <c r="K1321" i="4"/>
  <c r="K1335" i="4"/>
  <c r="J1335" i="4"/>
  <c r="E1141" i="10" s="1"/>
  <c r="J1343" i="4"/>
  <c r="N1343" i="4" s="1"/>
  <c r="K1343" i="4"/>
  <c r="K938" i="4"/>
  <c r="J938" i="4"/>
  <c r="J947" i="4"/>
  <c r="K947" i="4"/>
  <c r="J957" i="4"/>
  <c r="K957" i="4"/>
  <c r="K966" i="4"/>
  <c r="J966" i="4"/>
  <c r="K975" i="4"/>
  <c r="J975" i="4"/>
  <c r="J983" i="4"/>
  <c r="K983" i="4"/>
  <c r="J993" i="4"/>
  <c r="E1105" i="10" s="1"/>
  <c r="K993" i="4"/>
  <c r="K1002" i="4"/>
  <c r="J1002" i="4"/>
  <c r="K1011" i="4"/>
  <c r="J1011" i="4"/>
  <c r="K1019" i="4"/>
  <c r="J1019" i="4"/>
  <c r="J1027" i="4"/>
  <c r="K1027" i="4"/>
  <c r="J1035" i="4"/>
  <c r="K1035" i="4"/>
  <c r="K1043" i="4"/>
  <c r="J1043" i="4"/>
  <c r="K1051" i="4"/>
  <c r="J1051" i="4"/>
  <c r="J1059" i="4"/>
  <c r="K1059" i="4"/>
  <c r="K1067" i="4"/>
  <c r="J1067" i="4"/>
  <c r="K1075" i="4"/>
  <c r="J1075" i="4"/>
  <c r="K1084" i="4"/>
  <c r="J1084" i="4"/>
  <c r="K1094" i="4"/>
  <c r="J1094" i="4"/>
  <c r="K1102" i="4"/>
  <c r="J1102" i="4"/>
  <c r="J1112" i="4"/>
  <c r="K1112" i="4"/>
  <c r="J1131" i="4"/>
  <c r="K1131" i="4"/>
  <c r="J1139" i="4"/>
  <c r="K1139" i="4"/>
  <c r="K1149" i="4"/>
  <c r="J1149" i="4"/>
  <c r="J1159" i="4"/>
  <c r="K1159" i="4"/>
  <c r="K1167" i="4"/>
  <c r="J1167" i="4"/>
  <c r="K1176" i="4"/>
  <c r="J1176" i="4"/>
  <c r="K1186" i="4"/>
  <c r="J1186" i="4"/>
  <c r="K1198" i="4"/>
  <c r="J1198" i="4"/>
  <c r="J1206" i="4"/>
  <c r="K1206" i="4"/>
  <c r="J1214" i="4"/>
  <c r="K1214" i="4"/>
  <c r="J1224" i="4"/>
  <c r="K1224" i="4"/>
  <c r="J1232" i="4"/>
  <c r="O1232" i="4" s="1"/>
  <c r="K1232" i="4"/>
  <c r="K1240" i="4"/>
  <c r="J1240" i="4"/>
  <c r="K1248" i="4"/>
  <c r="J1248" i="4"/>
  <c r="K1262" i="4"/>
  <c r="J1262" i="4"/>
  <c r="O1262" i="4" s="1"/>
  <c r="J1270" i="4"/>
  <c r="O1270" i="4" s="1"/>
  <c r="K1270" i="4"/>
  <c r="K1278" i="4"/>
  <c r="J1278" i="4"/>
  <c r="O1278" i="4" s="1"/>
  <c r="K1286" i="4"/>
  <c r="J1286" i="4"/>
  <c r="O1286" i="4" s="1"/>
  <c r="J1295" i="4"/>
  <c r="O1295" i="4" s="1"/>
  <c r="K1295" i="4"/>
  <c r="K1309" i="4"/>
  <c r="J1309" i="4"/>
  <c r="K1328" i="4"/>
  <c r="J1328" i="4"/>
  <c r="K1336" i="4"/>
  <c r="J1336" i="4"/>
  <c r="E1142" i="10" s="1"/>
  <c r="K1344" i="4"/>
  <c r="J953" i="4"/>
  <c r="K953" i="4"/>
  <c r="K980" i="4"/>
  <c r="J980" i="4"/>
  <c r="J1007" i="4"/>
  <c r="K1007" i="4"/>
  <c r="K1040" i="4"/>
  <c r="J1040" i="4"/>
  <c r="K1056" i="4"/>
  <c r="J1056" i="4"/>
  <c r="J1081" i="4"/>
  <c r="K1081" i="4"/>
  <c r="K1117" i="4"/>
  <c r="J1117" i="4"/>
  <c r="E1052" i="10" s="1"/>
  <c r="J1155" i="4"/>
  <c r="K1155" i="4"/>
  <c r="J1183" i="4"/>
  <c r="K1183" i="4"/>
  <c r="J1219" i="4"/>
  <c r="K1219" i="4"/>
  <c r="K1245" i="4"/>
  <c r="J1245" i="4"/>
  <c r="O1245" i="4" s="1"/>
  <c r="K1275" i="4"/>
  <c r="J1275" i="4"/>
  <c r="O1275" i="4" s="1"/>
  <c r="J1300" i="4"/>
  <c r="O1300" i="4" s="1"/>
  <c r="K1300" i="4"/>
  <c r="K1341" i="4"/>
  <c r="J1341" i="4"/>
  <c r="N1341" i="4" s="1"/>
  <c r="K931" i="4"/>
  <c r="J931" i="4"/>
  <c r="K940" i="4"/>
  <c r="J940" i="4"/>
  <c r="J948" i="4"/>
  <c r="K948" i="4"/>
  <c r="K958" i="4"/>
  <c r="J958" i="4"/>
  <c r="K967" i="4"/>
  <c r="J967" i="4"/>
  <c r="K976" i="4"/>
  <c r="J976" i="4"/>
  <c r="K984" i="4"/>
  <c r="J984" i="4"/>
  <c r="J995" i="4"/>
  <c r="K995" i="4"/>
  <c r="K1003" i="4"/>
  <c r="J1003" i="4"/>
  <c r="K1012" i="4"/>
  <c r="J1012" i="4"/>
  <c r="K1020" i="4"/>
  <c r="J1020" i="4"/>
  <c r="J1028" i="4"/>
  <c r="K1028" i="4"/>
  <c r="J1036" i="4"/>
  <c r="K1036" i="4"/>
  <c r="J1044" i="4"/>
  <c r="K1044" i="4"/>
  <c r="K1052" i="4"/>
  <c r="J1052" i="4"/>
  <c r="K1060" i="4"/>
  <c r="J1060" i="4"/>
  <c r="G1068" i="4"/>
  <c r="J1068" i="4"/>
  <c r="K1068" i="4"/>
  <c r="K1077" i="4"/>
  <c r="J1077" i="4"/>
  <c r="K1085" i="4"/>
  <c r="J1085" i="4"/>
  <c r="K1095" i="4"/>
  <c r="J1095" i="4"/>
  <c r="J1105" i="4"/>
  <c r="K1105" i="4"/>
  <c r="K1113" i="4"/>
  <c r="J1113" i="4"/>
  <c r="J1132" i="4"/>
  <c r="K1132" i="4"/>
  <c r="K1140" i="4"/>
  <c r="J1140" i="4"/>
  <c r="J1150" i="4"/>
  <c r="K1150" i="4"/>
  <c r="J1160" i="4"/>
  <c r="K1160" i="4"/>
  <c r="J1168" i="4"/>
  <c r="K1168" i="4"/>
  <c r="K1177" i="4"/>
  <c r="J1177" i="4"/>
  <c r="K1191" i="4"/>
  <c r="J1191" i="4"/>
  <c r="J1199" i="4"/>
  <c r="K1199" i="4"/>
  <c r="K1207" i="4"/>
  <c r="J1207" i="4"/>
  <c r="J1215" i="4"/>
  <c r="K1215" i="4"/>
  <c r="K1225" i="4"/>
  <c r="J1225" i="4"/>
  <c r="J1233" i="4"/>
  <c r="N1233" i="4" s="1"/>
  <c r="K1233" i="4"/>
  <c r="J1241" i="4"/>
  <c r="K1241" i="4"/>
  <c r="K1249" i="4"/>
  <c r="J1249" i="4"/>
  <c r="K1263" i="4"/>
  <c r="J1263" i="4"/>
  <c r="O1263" i="4" s="1"/>
  <c r="K1271" i="4"/>
  <c r="J1271" i="4"/>
  <c r="O1271" i="4" s="1"/>
  <c r="K1279" i="4"/>
  <c r="J1279" i="4"/>
  <c r="O1279" i="4" s="1"/>
  <c r="K1287" i="4"/>
  <c r="J1287" i="4"/>
  <c r="O1287" i="4" s="1"/>
  <c r="K1296" i="4"/>
  <c r="J1296" i="4"/>
  <c r="O1296" i="4" s="1"/>
  <c r="K1310" i="4"/>
  <c r="J1310" i="4"/>
  <c r="N1310" i="4" s="1"/>
  <c r="K1329" i="4"/>
  <c r="J1329" i="4"/>
  <c r="K1337" i="4"/>
  <c r="J1337" i="4"/>
  <c r="K1346" i="4"/>
  <c r="J1346" i="4"/>
  <c r="K935" i="4"/>
  <c r="J935" i="4"/>
  <c r="J971" i="4"/>
  <c r="K971" i="4"/>
  <c r="K999" i="4"/>
  <c r="J999" i="4"/>
  <c r="K1024" i="4"/>
  <c r="J1024" i="4"/>
  <c r="J1064" i="4"/>
  <c r="E1120" i="10" s="1"/>
  <c r="K1064" i="4"/>
  <c r="K1090" i="4"/>
  <c r="J1090" i="4"/>
  <c r="K1136" i="4"/>
  <c r="J1136" i="4"/>
  <c r="E1027" i="10" s="1"/>
  <c r="K1164" i="4"/>
  <c r="J1164" i="4"/>
  <c r="J1203" i="4"/>
  <c r="K1203" i="4"/>
  <c r="K1229" i="4"/>
  <c r="J1229" i="4"/>
  <c r="J1267" i="4"/>
  <c r="O1267" i="4" s="1"/>
  <c r="K1267" i="4"/>
  <c r="K1319" i="4"/>
  <c r="J1319" i="4"/>
  <c r="K932" i="4"/>
  <c r="J932" i="4"/>
  <c r="K941" i="4"/>
  <c r="J941" i="4"/>
  <c r="K949" i="4"/>
  <c r="J949" i="4"/>
  <c r="K960" i="4"/>
  <c r="J960" i="4"/>
  <c r="K968" i="4"/>
  <c r="J968" i="4"/>
  <c r="J977" i="4"/>
  <c r="K977" i="4"/>
  <c r="J985" i="4"/>
  <c r="K985" i="4"/>
  <c r="K996" i="4"/>
  <c r="J996" i="4"/>
  <c r="K1004" i="4"/>
  <c r="J1004" i="4"/>
  <c r="K1013" i="4"/>
  <c r="J1013" i="4"/>
  <c r="K1021" i="4"/>
  <c r="J1021" i="4"/>
  <c r="K1029" i="4"/>
  <c r="J1029" i="4"/>
  <c r="J1037" i="4"/>
  <c r="K1037" i="4"/>
  <c r="J1045" i="4"/>
  <c r="K1045" i="4"/>
  <c r="K1053" i="4"/>
  <c r="J1053" i="4"/>
  <c r="K1061" i="4"/>
  <c r="J1061" i="4"/>
  <c r="K1069" i="4"/>
  <c r="J1069" i="4"/>
  <c r="K1078" i="4"/>
  <c r="J1078" i="4"/>
  <c r="J1086" i="4"/>
  <c r="K1086" i="4"/>
  <c r="J1096" i="4"/>
  <c r="K1096" i="4"/>
  <c r="K1106" i="4"/>
  <c r="J1106" i="4"/>
  <c r="K1114" i="4"/>
  <c r="J1114" i="4"/>
  <c r="K1133" i="4"/>
  <c r="J1133" i="4"/>
  <c r="K1143" i="4"/>
  <c r="J1143" i="4"/>
  <c r="J1151" i="4"/>
  <c r="E1029" i="10" s="1"/>
  <c r="K1151" i="4"/>
  <c r="K1161" i="4"/>
  <c r="J1161" i="4"/>
  <c r="J1169" i="4"/>
  <c r="K1169" i="4"/>
  <c r="J1179" i="4"/>
  <c r="K1179" i="4"/>
  <c r="K1192" i="4"/>
  <c r="J1192" i="4"/>
  <c r="J1200" i="4"/>
  <c r="K1200" i="4"/>
  <c r="K1208" i="4"/>
  <c r="J1208" i="4"/>
  <c r="K1216" i="4"/>
  <c r="J1216" i="4"/>
  <c r="E1193" i="10" s="1"/>
  <c r="K1226" i="4"/>
  <c r="J1226" i="4"/>
  <c r="K1234" i="4"/>
  <c r="J1234" i="4"/>
  <c r="O1234" i="4" s="1"/>
  <c r="J1242" i="4"/>
  <c r="O1242" i="4" s="1"/>
  <c r="K1242" i="4"/>
  <c r="K1250" i="4"/>
  <c r="J1250" i="4"/>
  <c r="K1264" i="4"/>
  <c r="J1264" i="4"/>
  <c r="O1264" i="4" s="1"/>
  <c r="J1272" i="4"/>
  <c r="O1272" i="4" s="1"/>
  <c r="K1272" i="4"/>
  <c r="J1280" i="4"/>
  <c r="O1280" i="4" s="1"/>
  <c r="K1280" i="4"/>
  <c r="K1288" i="4"/>
  <c r="J1288" i="4"/>
  <c r="O1288" i="4" s="1"/>
  <c r="K1297" i="4"/>
  <c r="J1297" i="4"/>
  <c r="O1297" i="4" s="1"/>
  <c r="K1311" i="4"/>
  <c r="J1311" i="4"/>
  <c r="O1311" i="4" s="1"/>
  <c r="J1330" i="4"/>
  <c r="N1330" i="4" s="1"/>
  <c r="K1330" i="4"/>
  <c r="J1338" i="4"/>
  <c r="O1338" i="4" s="1"/>
  <c r="K1338" i="4"/>
  <c r="K1347" i="4"/>
  <c r="J1347" i="4"/>
  <c r="O1347" i="4" s="1"/>
  <c r="K264" i="4"/>
  <c r="F264" i="22"/>
  <c r="K260" i="4"/>
  <c r="F260" i="22"/>
  <c r="K272" i="4"/>
  <c r="F272" i="22"/>
  <c r="K263" i="4"/>
  <c r="H263" i="4"/>
  <c r="G263" i="4"/>
  <c r="F263" i="22"/>
  <c r="G273" i="4"/>
  <c r="K273" i="4"/>
  <c r="F273" i="22"/>
  <c r="H273" i="4"/>
  <c r="H256" i="4"/>
  <c r="G256" i="4"/>
  <c r="F256" i="22"/>
  <c r="K256" i="4"/>
  <c r="F268" i="22"/>
  <c r="G268" i="4"/>
  <c r="K268" i="4"/>
  <c r="H268" i="4"/>
  <c r="H451" i="4"/>
  <c r="I166" i="16" s="1"/>
  <c r="G451" i="4"/>
  <c r="H166" i="16" s="1"/>
  <c r="J451" i="4"/>
  <c r="I306" i="10" s="1"/>
  <c r="K451" i="4"/>
  <c r="G259" i="4"/>
  <c r="F259" i="22"/>
  <c r="H259" i="4"/>
  <c r="K259" i="4"/>
  <c r="H964" i="4"/>
  <c r="I486" i="16" s="1"/>
  <c r="G964" i="4"/>
  <c r="H486" i="16" s="1"/>
  <c r="H1017" i="4"/>
  <c r="G1017" i="4"/>
  <c r="D1032" i="10" s="1"/>
  <c r="H1053" i="4"/>
  <c r="G1053" i="4"/>
  <c r="H1078" i="4"/>
  <c r="G1078" i="4"/>
  <c r="H1129" i="4"/>
  <c r="G1129" i="4"/>
  <c r="H1157" i="4"/>
  <c r="G1157" i="4"/>
  <c r="G1200" i="4"/>
  <c r="H631" i="16" s="1"/>
  <c r="H1200" i="4"/>
  <c r="I631" i="16" s="1"/>
  <c r="H1250" i="4"/>
  <c r="G1250" i="4"/>
  <c r="H1293" i="4"/>
  <c r="G1293" i="4"/>
  <c r="H1362" i="4"/>
  <c r="G1362" i="4"/>
  <c r="G1403" i="4"/>
  <c r="H1403" i="4"/>
  <c r="H1477" i="4"/>
  <c r="G1477" i="4"/>
  <c r="H1515" i="4"/>
  <c r="G1515" i="4"/>
  <c r="G966" i="4"/>
  <c r="H966" i="4"/>
  <c r="G1043" i="4"/>
  <c r="H1043" i="4"/>
  <c r="H1131" i="4"/>
  <c r="G1131" i="4"/>
  <c r="H1202" i="4"/>
  <c r="G1202" i="4"/>
  <c r="H1295" i="4"/>
  <c r="G1295" i="4"/>
  <c r="H1392" i="4"/>
  <c r="I759" i="16" s="1"/>
  <c r="G1392" i="4"/>
  <c r="D1147" i="10" s="1"/>
  <c r="G941" i="4"/>
  <c r="H941" i="4"/>
  <c r="H955" i="4"/>
  <c r="G955" i="4"/>
  <c r="H968" i="4"/>
  <c r="G968" i="4"/>
  <c r="H981" i="4"/>
  <c r="G981" i="4"/>
  <c r="G996" i="4"/>
  <c r="H996" i="4"/>
  <c r="H1008" i="4"/>
  <c r="G1008" i="4"/>
  <c r="H1021" i="4"/>
  <c r="G1021" i="4"/>
  <c r="H1033" i="4"/>
  <c r="G1033" i="4"/>
  <c r="G1045" i="4"/>
  <c r="H1045" i="4"/>
  <c r="H1057" i="4"/>
  <c r="G1057" i="4"/>
  <c r="G1069" i="4"/>
  <c r="H1069" i="4"/>
  <c r="H1082" i="4"/>
  <c r="G1082" i="4"/>
  <c r="H1096" i="4"/>
  <c r="G1096" i="4"/>
  <c r="H1110" i="4"/>
  <c r="G1110" i="4"/>
  <c r="H1133" i="4"/>
  <c r="G1133" i="4"/>
  <c r="G1147" i="4"/>
  <c r="H1147" i="4"/>
  <c r="H1161" i="4"/>
  <c r="G1161" i="4"/>
  <c r="H1173" i="4"/>
  <c r="G1173" i="4"/>
  <c r="H1192" i="4"/>
  <c r="G1192" i="4"/>
  <c r="H1204" i="4"/>
  <c r="G1204" i="4"/>
  <c r="H1216" i="4"/>
  <c r="G1216" i="4"/>
  <c r="D1193" i="10" s="1"/>
  <c r="G1230" i="4"/>
  <c r="H1230" i="4"/>
  <c r="H1242" i="4"/>
  <c r="G1242" i="4"/>
  <c r="H1260" i="4"/>
  <c r="G1260" i="4"/>
  <c r="H1272" i="4"/>
  <c r="G1272" i="4"/>
  <c r="H1284" i="4"/>
  <c r="G1284" i="4"/>
  <c r="H1297" i="4"/>
  <c r="G1297" i="4"/>
  <c r="H1320" i="4"/>
  <c r="G1320" i="4"/>
  <c r="H1338" i="4"/>
  <c r="G1338" i="4"/>
  <c r="H1354" i="4"/>
  <c r="G1354" i="4"/>
  <c r="H1366" i="4"/>
  <c r="H1382" i="4"/>
  <c r="G1382" i="4"/>
  <c r="H1394" i="4"/>
  <c r="G1394" i="4"/>
  <c r="D1152" i="10" s="1"/>
  <c r="H1407" i="4"/>
  <c r="G1407" i="4"/>
  <c r="H1419" i="4"/>
  <c r="G1419" i="4"/>
  <c r="H1431" i="4"/>
  <c r="G1431" i="4"/>
  <c r="H1443" i="4"/>
  <c r="G1443" i="4"/>
  <c r="H1455" i="4"/>
  <c r="G1455" i="4"/>
  <c r="H1468" i="4"/>
  <c r="G1468" i="4"/>
  <c r="D1150" i="10" s="1"/>
  <c r="G1481" i="4"/>
  <c r="H1481" i="4"/>
  <c r="H1495" i="4"/>
  <c r="I843" i="16" s="1"/>
  <c r="G1495" i="4"/>
  <c r="H843" i="16" s="1"/>
  <c r="H1507" i="4"/>
  <c r="G1507" i="4"/>
  <c r="H833" i="16" s="1"/>
  <c r="H977" i="4"/>
  <c r="I494" i="16" s="1"/>
  <c r="G977" i="4"/>
  <c r="H494" i="16" s="1"/>
  <c r="H1065" i="4"/>
  <c r="G1065" i="4"/>
  <c r="H1184" i="4"/>
  <c r="G1184" i="4"/>
  <c r="H1280" i="4"/>
  <c r="G1280" i="4"/>
  <c r="H1390" i="4"/>
  <c r="G1390" i="4"/>
  <c r="D1154" i="10" s="1"/>
  <c r="H1439" i="4"/>
  <c r="G1439" i="4"/>
  <c r="H1005" i="4"/>
  <c r="G1005" i="4"/>
  <c r="H1107" i="4"/>
  <c r="G1107" i="4"/>
  <c r="H1201" i="4"/>
  <c r="I632" i="16" s="1"/>
  <c r="G1201" i="4"/>
  <c r="H632" i="16" s="1"/>
  <c r="H1281" i="4"/>
  <c r="G1281" i="4"/>
  <c r="H1391" i="4"/>
  <c r="G1391" i="4"/>
  <c r="D1149" i="10" s="1"/>
  <c r="H1504" i="4"/>
  <c r="G1504" i="4"/>
  <c r="G979" i="4"/>
  <c r="H979" i="4"/>
  <c r="H1080" i="4"/>
  <c r="G1080" i="4"/>
  <c r="G1270" i="4"/>
  <c r="H1270" i="4"/>
  <c r="H1417" i="4"/>
  <c r="G1417" i="4"/>
  <c r="H1493" i="4"/>
  <c r="G1493" i="4"/>
  <c r="H980" i="4"/>
  <c r="G980" i="4"/>
  <c r="H1068" i="4"/>
  <c r="H1160" i="4"/>
  <c r="G1160" i="4"/>
  <c r="H1271" i="4"/>
  <c r="G1271" i="4"/>
  <c r="H1365" i="4"/>
  <c r="G1365" i="4"/>
  <c r="D1158" i="10" s="1"/>
  <c r="H1480" i="4"/>
  <c r="G982" i="4"/>
  <c r="H982" i="4"/>
  <c r="H1009" i="4"/>
  <c r="G1009" i="4"/>
  <c r="H1034" i="4"/>
  <c r="G1034" i="4"/>
  <c r="H1058" i="4"/>
  <c r="G1058" i="4"/>
  <c r="H1083" i="4"/>
  <c r="G1083" i="4"/>
  <c r="G1097" i="4"/>
  <c r="H1097" i="4"/>
  <c r="H1134" i="4"/>
  <c r="G1134" i="4"/>
  <c r="H1162" i="4"/>
  <c r="G1162" i="4"/>
  <c r="G1175" i="4"/>
  <c r="H622" i="16" s="1"/>
  <c r="H1175" i="4"/>
  <c r="I622" i="16" s="1"/>
  <c r="H1193" i="4"/>
  <c r="G1193" i="4"/>
  <c r="H1217" i="4"/>
  <c r="G1217" i="4"/>
  <c r="H1231" i="4"/>
  <c r="G1231" i="4"/>
  <c r="H1243" i="4"/>
  <c r="G1243" i="4"/>
  <c r="H1261" i="4"/>
  <c r="G1261" i="4"/>
  <c r="H1273" i="4"/>
  <c r="G1273" i="4"/>
  <c r="H1285" i="4"/>
  <c r="G1285" i="4"/>
  <c r="H1298" i="4"/>
  <c r="G1298" i="4"/>
  <c r="H1321" i="4"/>
  <c r="G1321" i="4"/>
  <c r="H1339" i="4"/>
  <c r="G1339" i="4"/>
  <c r="H1355" i="4"/>
  <c r="G1355" i="4"/>
  <c r="H1368" i="4"/>
  <c r="G1368" i="4"/>
  <c r="D1151" i="10" s="1"/>
  <c r="H1383" i="4"/>
  <c r="G1383" i="4"/>
  <c r="H1396" i="4"/>
  <c r="G1396" i="4"/>
  <c r="H1408" i="4"/>
  <c r="G1408" i="4"/>
  <c r="H1420" i="4"/>
  <c r="G1420" i="4"/>
  <c r="H1432" i="4"/>
  <c r="G1432" i="4"/>
  <c r="H1444" i="4"/>
  <c r="G1444" i="4"/>
  <c r="H1456" i="4"/>
  <c r="G1456" i="4"/>
  <c r="H812" i="16" s="1"/>
  <c r="H1469" i="4"/>
  <c r="G1469" i="4"/>
  <c r="D1177" i="10" s="1"/>
  <c r="H1482" i="4"/>
  <c r="H1496" i="4"/>
  <c r="H1508" i="4"/>
  <c r="I854" i="16" s="1"/>
  <c r="G1508" i="4"/>
  <c r="H854" i="16" s="1"/>
  <c r="G978" i="4"/>
  <c r="H978" i="4"/>
  <c r="H1042" i="4"/>
  <c r="G1042" i="4"/>
  <c r="H1079" i="4"/>
  <c r="G1079" i="4"/>
  <c r="H1158" i="4"/>
  <c r="G1158" i="4"/>
  <c r="H1213" i="4"/>
  <c r="G1213" i="4"/>
  <c r="H1294" i="4"/>
  <c r="G1294" i="4"/>
  <c r="H1378" i="4"/>
  <c r="G1378" i="4"/>
  <c r="D1088" i="10" s="1"/>
  <c r="H1428" i="4"/>
  <c r="G1428" i="4"/>
  <c r="H775" i="16" s="1"/>
  <c r="H1465" i="4"/>
  <c r="G1465" i="4"/>
  <c r="H938" i="4"/>
  <c r="G938" i="4"/>
  <c r="H993" i="4"/>
  <c r="G993" i="4"/>
  <c r="G1067" i="4"/>
  <c r="H1067" i="4"/>
  <c r="G1171" i="4"/>
  <c r="H1171" i="4"/>
  <c r="H1240" i="4"/>
  <c r="G1240" i="4"/>
  <c r="G1379" i="4"/>
  <c r="H1379" i="4"/>
  <c r="H1453" i="4"/>
  <c r="G1453" i="4"/>
  <c r="G953" i="4"/>
  <c r="H953" i="4"/>
  <c r="H1044" i="4"/>
  <c r="G1044" i="4"/>
  <c r="H1132" i="4"/>
  <c r="G1132" i="4"/>
  <c r="H1191" i="4"/>
  <c r="I623" i="16" s="1"/>
  <c r="G1191" i="4"/>
  <c r="H623" i="16" s="1"/>
  <c r="G1253" i="4"/>
  <c r="H1253" i="4"/>
  <c r="H1337" i="4"/>
  <c r="G1337" i="4"/>
  <c r="H1393" i="4"/>
  <c r="G1393" i="4"/>
  <c r="H1430" i="4"/>
  <c r="G1430" i="4"/>
  <c r="G1494" i="4"/>
  <c r="H842" i="16" s="1"/>
  <c r="H1494" i="4"/>
  <c r="I842" i="16" s="1"/>
  <c r="H1506" i="4"/>
  <c r="G1506" i="4"/>
  <c r="H942" i="4"/>
  <c r="G942" i="4"/>
  <c r="G956" i="4"/>
  <c r="H481" i="16" s="1"/>
  <c r="H956" i="4"/>
  <c r="I481" i="16" s="1"/>
  <c r="H969" i="4"/>
  <c r="G969" i="4"/>
  <c r="G997" i="4"/>
  <c r="H997" i="4"/>
  <c r="H1022" i="4"/>
  <c r="G1022" i="4"/>
  <c r="H1046" i="4"/>
  <c r="G1046" i="4"/>
  <c r="H1070" i="4"/>
  <c r="G1070" i="4"/>
  <c r="H1111" i="4"/>
  <c r="G1111" i="4"/>
  <c r="H582" i="16" s="1"/>
  <c r="H1148" i="4"/>
  <c r="G1148" i="4"/>
  <c r="H1205" i="4"/>
  <c r="G1205" i="4"/>
  <c r="H930" i="4"/>
  <c r="I466" i="16" s="1"/>
  <c r="J466" i="16" s="1"/>
  <c r="G930" i="4"/>
  <c r="H466" i="16" s="1"/>
  <c r="H943" i="4"/>
  <c r="G943" i="4"/>
  <c r="H957" i="4"/>
  <c r="G957" i="4"/>
  <c r="H970" i="4"/>
  <c r="G970" i="4"/>
  <c r="H983" i="4"/>
  <c r="G983" i="4"/>
  <c r="H998" i="4"/>
  <c r="G998" i="4"/>
  <c r="H1011" i="4"/>
  <c r="G1011" i="4"/>
  <c r="H1023" i="4"/>
  <c r="G1023" i="4"/>
  <c r="H1035" i="4"/>
  <c r="G1035" i="4"/>
  <c r="H1047" i="4"/>
  <c r="G1047" i="4"/>
  <c r="H1059" i="4"/>
  <c r="G1059" i="4"/>
  <c r="H1071" i="4"/>
  <c r="G1071" i="4"/>
  <c r="H1084" i="4"/>
  <c r="G1084" i="4"/>
  <c r="H1098" i="4"/>
  <c r="I569" i="16" s="1"/>
  <c r="G1098" i="4"/>
  <c r="H569" i="16" s="1"/>
  <c r="H1112" i="4"/>
  <c r="G1112" i="4"/>
  <c r="H1135" i="4"/>
  <c r="G1135" i="4"/>
  <c r="H1149" i="4"/>
  <c r="I595" i="16" s="1"/>
  <c r="G1149" i="4"/>
  <c r="H595" i="16" s="1"/>
  <c r="G1163" i="4"/>
  <c r="H1163" i="4"/>
  <c r="H1176" i="4"/>
  <c r="G1176" i="4"/>
  <c r="G1194" i="4"/>
  <c r="H1194" i="4"/>
  <c r="H1206" i="4"/>
  <c r="G1206" i="4"/>
  <c r="H1218" i="4"/>
  <c r="G1218" i="4"/>
  <c r="H1232" i="4"/>
  <c r="G1232" i="4"/>
  <c r="H1244" i="4"/>
  <c r="G1244" i="4"/>
  <c r="H1262" i="4"/>
  <c r="G1262" i="4"/>
  <c r="H1274" i="4"/>
  <c r="G1274" i="4"/>
  <c r="H1286" i="4"/>
  <c r="G1286" i="4"/>
  <c r="H1299" i="4"/>
  <c r="G1299" i="4"/>
  <c r="G1328" i="4"/>
  <c r="H1328" i="4"/>
  <c r="G1340" i="4"/>
  <c r="H720" i="16" s="1"/>
  <c r="H1340" i="4"/>
  <c r="H1356" i="4"/>
  <c r="G1356" i="4"/>
  <c r="H1369" i="4"/>
  <c r="G1369" i="4"/>
  <c r="D1172" i="10" s="1"/>
  <c r="H1384" i="4"/>
  <c r="G1384" i="4"/>
  <c r="H1397" i="4"/>
  <c r="G1397" i="4"/>
  <c r="G1409" i="4"/>
  <c r="H1409" i="4"/>
  <c r="H1421" i="4"/>
  <c r="G1421" i="4"/>
  <c r="H1433" i="4"/>
  <c r="G1433" i="4"/>
  <c r="G1445" i="4"/>
  <c r="H1445" i="4"/>
  <c r="G1457" i="4"/>
  <c r="H1457" i="4"/>
  <c r="H1470" i="4"/>
  <c r="G1470" i="4"/>
  <c r="D1157" i="10" s="1"/>
  <c r="H1483" i="4"/>
  <c r="G1483" i="4"/>
  <c r="D1179" i="10" s="1"/>
  <c r="H1497" i="4"/>
  <c r="H1509" i="4"/>
  <c r="G1509" i="4"/>
  <c r="G991" i="4"/>
  <c r="H505" i="16" s="1"/>
  <c r="H991" i="4"/>
  <c r="I505" i="16" s="1"/>
  <c r="H1143" i="4"/>
  <c r="G1143" i="4"/>
  <c r="H1268" i="4"/>
  <c r="G1268" i="4"/>
  <c r="G1347" i="4"/>
  <c r="H1347" i="4"/>
  <c r="H1427" i="4"/>
  <c r="G1427" i="4"/>
  <c r="H1503" i="4"/>
  <c r="H831" i="16"/>
  <c r="H992" i="4"/>
  <c r="G992" i="4"/>
  <c r="H1066" i="4"/>
  <c r="G1066" i="4"/>
  <c r="H1130" i="4"/>
  <c r="G1130" i="4"/>
  <c r="H1239" i="4"/>
  <c r="G1239" i="4"/>
  <c r="H1348" i="4"/>
  <c r="I726" i="16" s="1"/>
  <c r="H1440" i="4"/>
  <c r="G1440" i="4"/>
  <c r="H951" i="4"/>
  <c r="G951" i="4"/>
  <c r="D1028" i="10" s="1"/>
  <c r="G1055" i="4"/>
  <c r="H1055" i="4"/>
  <c r="G1145" i="4"/>
  <c r="H1145" i="4"/>
  <c r="H1186" i="4"/>
  <c r="G1186" i="4"/>
  <c r="H1282" i="4"/>
  <c r="G1282" i="4"/>
  <c r="H1350" i="4"/>
  <c r="I727" i="16" s="1"/>
  <c r="H1429" i="4"/>
  <c r="G1429" i="4"/>
  <c r="H1505" i="4"/>
  <c r="G1505" i="4"/>
  <c r="G1020" i="4"/>
  <c r="H1020" i="4"/>
  <c r="H1095" i="4"/>
  <c r="G1095" i="4"/>
  <c r="H1215" i="4"/>
  <c r="G1215" i="4"/>
  <c r="H1319" i="4"/>
  <c r="G1319" i="4"/>
  <c r="H1442" i="4"/>
  <c r="G1442" i="4"/>
  <c r="H931" i="4"/>
  <c r="I467" i="16" s="1"/>
  <c r="G931" i="4"/>
  <c r="H467" i="16" s="1"/>
  <c r="H944" i="4"/>
  <c r="G944" i="4"/>
  <c r="G1012" i="4"/>
  <c r="H1012" i="4"/>
  <c r="H1024" i="4"/>
  <c r="G1024" i="4"/>
  <c r="H1036" i="4"/>
  <c r="G1036" i="4"/>
  <c r="H1048" i="4"/>
  <c r="G1048" i="4"/>
  <c r="H1060" i="4"/>
  <c r="G1060" i="4"/>
  <c r="H1072" i="4"/>
  <c r="G1072" i="4"/>
  <c r="G1085" i="4"/>
  <c r="H1085" i="4"/>
  <c r="H1099" i="4"/>
  <c r="G1099" i="4"/>
  <c r="H1113" i="4"/>
  <c r="G1113" i="4"/>
  <c r="H1136" i="4"/>
  <c r="G1136" i="4"/>
  <c r="H1150" i="4"/>
  <c r="I596" i="16" s="1"/>
  <c r="G1150" i="4"/>
  <c r="H1164" i="4"/>
  <c r="G1164" i="4"/>
  <c r="H1177" i="4"/>
  <c r="G1177" i="4"/>
  <c r="H1195" i="4"/>
  <c r="I627" i="16" s="1"/>
  <c r="G1195" i="4"/>
  <c r="H627" i="16" s="1"/>
  <c r="H1207" i="4"/>
  <c r="G1207" i="4"/>
  <c r="H1219" i="4"/>
  <c r="G1219" i="4"/>
  <c r="H1233" i="4"/>
  <c r="G1233" i="4"/>
  <c r="H1245" i="4"/>
  <c r="G1245" i="4"/>
  <c r="H1263" i="4"/>
  <c r="G1263" i="4"/>
  <c r="H1275" i="4"/>
  <c r="G1275" i="4"/>
  <c r="G1287" i="4"/>
  <c r="H1287" i="4"/>
  <c r="H1300" i="4"/>
  <c r="G1300" i="4"/>
  <c r="H1329" i="4"/>
  <c r="I711" i="16" s="1"/>
  <c r="G1329" i="4"/>
  <c r="H711" i="16" s="1"/>
  <c r="G1341" i="4"/>
  <c r="H1341" i="4"/>
  <c r="H1357" i="4"/>
  <c r="G1357" i="4"/>
  <c r="H1370" i="4"/>
  <c r="G1370" i="4"/>
  <c r="D1173" i="10" s="1"/>
  <c r="H1385" i="4"/>
  <c r="G1385" i="4"/>
  <c r="G1398" i="4"/>
  <c r="H1398" i="4"/>
  <c r="H1410" i="4"/>
  <c r="G1410" i="4"/>
  <c r="G1422" i="4"/>
  <c r="H1422" i="4"/>
  <c r="H1434" i="4"/>
  <c r="G1434" i="4"/>
  <c r="H1446" i="4"/>
  <c r="G1446" i="4"/>
  <c r="G1458" i="4"/>
  <c r="H1458" i="4"/>
  <c r="H1472" i="4"/>
  <c r="G1472" i="4"/>
  <c r="D1178" i="10" s="1"/>
  <c r="H1484" i="4"/>
  <c r="H1498" i="4"/>
  <c r="H1510" i="4"/>
  <c r="G1510" i="4"/>
  <c r="H848" i="16" s="1"/>
  <c r="H936" i="4"/>
  <c r="I472" i="16" s="1"/>
  <c r="G936" i="4"/>
  <c r="H472" i="16" s="1"/>
  <c r="H1029" i="4"/>
  <c r="G1029" i="4"/>
  <c r="G1169" i="4"/>
  <c r="H1169" i="4"/>
  <c r="H1226" i="4"/>
  <c r="G1226" i="4"/>
  <c r="G1311" i="4"/>
  <c r="H1311" i="4"/>
  <c r="G1415" i="4"/>
  <c r="G867" i="10" s="1"/>
  <c r="H867" i="10" s="1"/>
  <c r="H1415" i="4"/>
  <c r="H1491" i="4"/>
  <c r="G1491" i="4"/>
  <c r="H937" i="4"/>
  <c r="I473" i="16" s="1"/>
  <c r="G937" i="4"/>
  <c r="H473" i="16" s="1"/>
  <c r="H1018" i="4"/>
  <c r="G1018" i="4"/>
  <c r="H1092" i="4"/>
  <c r="G1092" i="4"/>
  <c r="H1185" i="4"/>
  <c r="G1185" i="4"/>
  <c r="H1227" i="4"/>
  <c r="G1227" i="4"/>
  <c r="H1317" i="4"/>
  <c r="G1317" i="4"/>
  <c r="G1416" i="4"/>
  <c r="H767" i="16" s="1"/>
  <c r="H1416" i="4"/>
  <c r="I767" i="16" s="1"/>
  <c r="H1478" i="4"/>
  <c r="G1478" i="4"/>
  <c r="H829" i="16" s="1"/>
  <c r="H1031" i="4"/>
  <c r="G1031" i="4"/>
  <c r="G1159" i="4"/>
  <c r="H1159" i="4"/>
  <c r="H1228" i="4"/>
  <c r="G1228" i="4"/>
  <c r="H1336" i="4"/>
  <c r="G1336" i="4"/>
  <c r="H1466" i="4"/>
  <c r="G1466" i="4"/>
  <c r="H967" i="4"/>
  <c r="G967" i="4"/>
  <c r="H1056" i="4"/>
  <c r="G1056" i="4"/>
  <c r="H1172" i="4"/>
  <c r="G1172" i="4"/>
  <c r="H1283" i="4"/>
  <c r="G1283" i="4"/>
  <c r="H1380" i="4"/>
  <c r="G1380" i="4"/>
  <c r="H1454" i="4"/>
  <c r="G1454" i="4"/>
  <c r="H999" i="4"/>
  <c r="G999" i="4"/>
  <c r="H932" i="4"/>
  <c r="I468" i="16" s="1"/>
  <c r="G932" i="4"/>
  <c r="H468" i="16" s="1"/>
  <c r="H945" i="4"/>
  <c r="G945" i="4"/>
  <c r="G960" i="4"/>
  <c r="H960" i="4"/>
  <c r="G972" i="4"/>
  <c r="H972" i="4"/>
  <c r="G985" i="4"/>
  <c r="H985" i="4"/>
  <c r="H1000" i="4"/>
  <c r="G1000" i="4"/>
  <c r="H1013" i="4"/>
  <c r="G1013" i="4"/>
  <c r="H1025" i="4"/>
  <c r="G1025" i="4"/>
  <c r="H1037" i="4"/>
  <c r="G1037" i="4"/>
  <c r="G1049" i="4"/>
  <c r="H1049" i="4"/>
  <c r="G1061" i="4"/>
  <c r="H546" i="16" s="1"/>
  <c r="H1061" i="4"/>
  <c r="I546" i="16" s="1"/>
  <c r="G1073" i="4"/>
  <c r="H1073" i="4"/>
  <c r="H1086" i="4"/>
  <c r="G1086" i="4"/>
  <c r="H1100" i="4"/>
  <c r="G1100" i="4"/>
  <c r="H1114" i="4"/>
  <c r="G1114" i="4"/>
  <c r="G1137" i="4"/>
  <c r="H1137" i="4"/>
  <c r="G1151" i="4"/>
  <c r="H1151" i="4"/>
  <c r="I597" i="16" s="1"/>
  <c r="H1165" i="4"/>
  <c r="I604" i="16" s="1"/>
  <c r="G1165" i="4"/>
  <c r="H604" i="16" s="1"/>
  <c r="H1179" i="4"/>
  <c r="G1179" i="4"/>
  <c r="H1196" i="4"/>
  <c r="G1196" i="4"/>
  <c r="H1208" i="4"/>
  <c r="G1208" i="4"/>
  <c r="H1220" i="4"/>
  <c r="G1220" i="4"/>
  <c r="H1234" i="4"/>
  <c r="G1234" i="4"/>
  <c r="H1246" i="4"/>
  <c r="G1246" i="4"/>
  <c r="G1264" i="4"/>
  <c r="H1264" i="4"/>
  <c r="G1276" i="4"/>
  <c r="H1276" i="4"/>
  <c r="H1288" i="4"/>
  <c r="G1288" i="4"/>
  <c r="H1303" i="4"/>
  <c r="G1303" i="4"/>
  <c r="H1330" i="4"/>
  <c r="G1330" i="4"/>
  <c r="H1342" i="4"/>
  <c r="I722" i="16" s="1"/>
  <c r="G1342" i="4"/>
  <c r="H722" i="16" s="1"/>
  <c r="H1358" i="4"/>
  <c r="G1358" i="4"/>
  <c r="H1373" i="4"/>
  <c r="G1373" i="4"/>
  <c r="H1386" i="4"/>
  <c r="G1386" i="4"/>
  <c r="D1155" i="10" s="1"/>
  <c r="H1399" i="4"/>
  <c r="G1399" i="4"/>
  <c r="H1411" i="4"/>
  <c r="G1411" i="4"/>
  <c r="H1423" i="4"/>
  <c r="G1423" i="4"/>
  <c r="H1435" i="4"/>
  <c r="G1435" i="4"/>
  <c r="H1447" i="4"/>
  <c r="G1447" i="4"/>
  <c r="H1460" i="4"/>
  <c r="G1460" i="4"/>
  <c r="H1473" i="4"/>
  <c r="G1473" i="4"/>
  <c r="D1165" i="10" s="1"/>
  <c r="H1485" i="4"/>
  <c r="H1499" i="4"/>
  <c r="G1499" i="4"/>
  <c r="G1511" i="4"/>
  <c r="H1511" i="4"/>
  <c r="H949" i="4"/>
  <c r="G949" i="4"/>
  <c r="H1041" i="4"/>
  <c r="G1041" i="4"/>
  <c r="G1091" i="4"/>
  <c r="H1091" i="4"/>
  <c r="H1238" i="4"/>
  <c r="I655" i="16" s="1"/>
  <c r="G1238" i="4"/>
  <c r="H655" i="16" s="1"/>
  <c r="H1377" i="4"/>
  <c r="G1377" i="4"/>
  <c r="H1464" i="4"/>
  <c r="G1464" i="4"/>
  <c r="G965" i="4"/>
  <c r="H965" i="4"/>
  <c r="H1054" i="4"/>
  <c r="G1054" i="4"/>
  <c r="H1144" i="4"/>
  <c r="G1144" i="4"/>
  <c r="H1251" i="4"/>
  <c r="G1251" i="4"/>
  <c r="H1335" i="4"/>
  <c r="I716" i="16" s="1"/>
  <c r="G1335" i="4"/>
  <c r="H1404" i="4"/>
  <c r="G1404" i="4"/>
  <c r="H1492" i="4"/>
  <c r="G1492" i="4"/>
  <c r="G1019" i="4"/>
  <c r="H1019" i="4"/>
  <c r="H1108" i="4"/>
  <c r="G1108" i="4"/>
  <c r="H1252" i="4"/>
  <c r="G1252" i="4"/>
  <c r="H1405" i="4"/>
  <c r="G1405" i="4"/>
  <c r="H1479" i="4"/>
  <c r="G1479" i="4"/>
  <c r="H830" i="16" s="1"/>
  <c r="G940" i="4"/>
  <c r="H940" i="4"/>
  <c r="H1032" i="4"/>
  <c r="G1032" i="4"/>
  <c r="H1146" i="4"/>
  <c r="G1146" i="4"/>
  <c r="G1241" i="4"/>
  <c r="H1241" i="4"/>
  <c r="H1352" i="4"/>
  <c r="H1467" i="4"/>
  <c r="G1467" i="4"/>
  <c r="G984" i="4"/>
  <c r="H984" i="4"/>
  <c r="H933" i="4"/>
  <c r="I469" i="16" s="1"/>
  <c r="G933" i="4"/>
  <c r="H469" i="16" s="1"/>
  <c r="G946" i="4"/>
  <c r="H946" i="4"/>
  <c r="H961" i="4"/>
  <c r="G961" i="4"/>
  <c r="H973" i="4"/>
  <c r="G973" i="4"/>
  <c r="H988" i="4"/>
  <c r="G988" i="4"/>
  <c r="H1001" i="4"/>
  <c r="G1001" i="4"/>
  <c r="H1014" i="4"/>
  <c r="G1014" i="4"/>
  <c r="H1026" i="4"/>
  <c r="G1026" i="4"/>
  <c r="G1038" i="4"/>
  <c r="H1038" i="4"/>
  <c r="H1050" i="4"/>
  <c r="G1050" i="4"/>
  <c r="H1062" i="4"/>
  <c r="G1062" i="4"/>
  <c r="H1074" i="4"/>
  <c r="G1074" i="4"/>
  <c r="H1087" i="4"/>
  <c r="G1087" i="4"/>
  <c r="H1101" i="4"/>
  <c r="G1101" i="4"/>
  <c r="H1115" i="4"/>
  <c r="G1115" i="4"/>
  <c r="H1138" i="4"/>
  <c r="I586" i="16" s="1"/>
  <c r="G1138" i="4"/>
  <c r="H586" i="16" s="1"/>
  <c r="H1153" i="4"/>
  <c r="G1153" i="4"/>
  <c r="H1166" i="4"/>
  <c r="G1166" i="4"/>
  <c r="H613" i="16" s="1"/>
  <c r="H1180" i="4"/>
  <c r="G1180" i="4"/>
  <c r="H1197" i="4"/>
  <c r="I629" i="16" s="1"/>
  <c r="G1197" i="4"/>
  <c r="H1209" i="4"/>
  <c r="G1209" i="4"/>
  <c r="H1221" i="4"/>
  <c r="G1221" i="4"/>
  <c r="H1235" i="4"/>
  <c r="G1235" i="4"/>
  <c r="G1247" i="4"/>
  <c r="H1247" i="4"/>
  <c r="H1265" i="4"/>
  <c r="G1265" i="4"/>
  <c r="H1277" i="4"/>
  <c r="G1277" i="4"/>
  <c r="H696" i="16" s="1"/>
  <c r="H1289" i="4"/>
  <c r="G1289" i="4"/>
  <c r="H1305" i="4"/>
  <c r="I709" i="16" s="1"/>
  <c r="G1305" i="4"/>
  <c r="H709" i="16" s="1"/>
  <c r="H1331" i="4"/>
  <c r="I713" i="16" s="1"/>
  <c r="G1331" i="4"/>
  <c r="H713" i="16" s="1"/>
  <c r="H1343" i="4"/>
  <c r="G1343" i="4"/>
  <c r="H1359" i="4"/>
  <c r="G1359" i="4"/>
  <c r="H1374" i="4"/>
  <c r="G1374" i="4"/>
  <c r="H1387" i="4"/>
  <c r="G1387" i="4"/>
  <c r="D1174" i="10" s="1"/>
  <c r="H1400" i="4"/>
  <c r="G1400" i="4"/>
  <c r="H1412" i="4"/>
  <c r="G1412" i="4"/>
  <c r="G868" i="10" s="1"/>
  <c r="H1424" i="4"/>
  <c r="G1424" i="4"/>
  <c r="H1436" i="4"/>
  <c r="G1436" i="4"/>
  <c r="D1176" i="10" s="1"/>
  <c r="H1448" i="4"/>
  <c r="G1448" i="4"/>
  <c r="H1461" i="4"/>
  <c r="G1461" i="4"/>
  <c r="H1474" i="4"/>
  <c r="G1474" i="4"/>
  <c r="H825" i="16" s="1"/>
  <c r="H1486" i="4"/>
  <c r="G1486" i="4"/>
  <c r="H1500" i="4"/>
  <c r="H1512" i="4"/>
  <c r="G1512" i="4"/>
  <c r="H850" i="16" s="1"/>
  <c r="H1004" i="4"/>
  <c r="G1004" i="4"/>
  <c r="H1106" i="4"/>
  <c r="G1106" i="4"/>
  <c r="H1212" i="4"/>
  <c r="G1212" i="4"/>
  <c r="G1334" i="4"/>
  <c r="H1334" i="4"/>
  <c r="H1451" i="4"/>
  <c r="G1451" i="4"/>
  <c r="H950" i="4"/>
  <c r="I479" i="16" s="1"/>
  <c r="G950" i="4"/>
  <c r="G1030" i="4"/>
  <c r="H1030" i="4"/>
  <c r="H1170" i="4"/>
  <c r="G1170" i="4"/>
  <c r="H1269" i="4"/>
  <c r="G1269" i="4"/>
  <c r="H1363" i="4"/>
  <c r="G1363" i="4"/>
  <c r="D1159" i="10" s="1"/>
  <c r="G1452" i="4"/>
  <c r="H1452" i="4"/>
  <c r="H1006" i="4"/>
  <c r="G1006" i="4"/>
  <c r="H1094" i="4"/>
  <c r="G1094" i="4"/>
  <c r="H1214" i="4"/>
  <c r="G1214" i="4"/>
  <c r="H1318" i="4"/>
  <c r="G1318" i="4"/>
  <c r="H1364" i="4"/>
  <c r="G1364" i="4"/>
  <c r="D1182" i="10" s="1"/>
  <c r="H1441" i="4"/>
  <c r="G1441" i="4"/>
  <c r="G1007" i="4"/>
  <c r="H1007" i="4"/>
  <c r="G1109" i="4"/>
  <c r="H1109" i="4"/>
  <c r="H1229" i="4"/>
  <c r="G1229" i="4"/>
  <c r="H1406" i="4"/>
  <c r="G1406" i="4"/>
  <c r="H971" i="4"/>
  <c r="G971" i="4"/>
  <c r="H934" i="4"/>
  <c r="I470" i="16" s="1"/>
  <c r="G934" i="4"/>
  <c r="H470" i="16" s="1"/>
  <c r="G947" i="4"/>
  <c r="H947" i="4"/>
  <c r="H962" i="4"/>
  <c r="G962" i="4"/>
  <c r="H975" i="4"/>
  <c r="G975" i="4"/>
  <c r="H989" i="4"/>
  <c r="G989" i="4"/>
  <c r="G1002" i="4"/>
  <c r="H512" i="16" s="1"/>
  <c r="H1002" i="4"/>
  <c r="I512" i="16" s="1"/>
  <c r="H1015" i="4"/>
  <c r="I521" i="16" s="1"/>
  <c r="G1015" i="4"/>
  <c r="H521" i="16" s="1"/>
  <c r="G1027" i="4"/>
  <c r="H1027" i="4"/>
  <c r="H1039" i="4"/>
  <c r="G1039" i="4"/>
  <c r="H1051" i="4"/>
  <c r="G1051" i="4"/>
  <c r="H1063" i="4"/>
  <c r="G1063" i="4"/>
  <c r="H1075" i="4"/>
  <c r="G1075" i="4"/>
  <c r="H1089" i="4"/>
  <c r="I561" i="16" s="1"/>
  <c r="G1089" i="4"/>
  <c r="H561" i="16" s="1"/>
  <c r="H1102" i="4"/>
  <c r="G1102" i="4"/>
  <c r="H1116" i="4"/>
  <c r="G1116" i="4"/>
  <c r="H1139" i="4"/>
  <c r="I587" i="16" s="1"/>
  <c r="G1139" i="4"/>
  <c r="H587" i="16" s="1"/>
  <c r="H1154" i="4"/>
  <c r="G1154" i="4"/>
  <c r="H1167" i="4"/>
  <c r="G1167" i="4"/>
  <c r="G1181" i="4"/>
  <c r="H1181" i="4"/>
  <c r="H1198" i="4"/>
  <c r="G1198" i="4"/>
  <c r="H1210" i="4"/>
  <c r="G1210" i="4"/>
  <c r="G1224" i="4"/>
  <c r="H1224" i="4"/>
  <c r="H1236" i="4"/>
  <c r="G1236" i="4"/>
  <c r="H1248" i="4"/>
  <c r="G1248" i="4"/>
  <c r="H1266" i="4"/>
  <c r="G1266" i="4"/>
  <c r="H1278" i="4"/>
  <c r="G1278" i="4"/>
  <c r="H1290" i="4"/>
  <c r="G1290" i="4"/>
  <c r="H1309" i="4"/>
  <c r="G1309" i="4"/>
  <c r="H1332" i="4"/>
  <c r="I714" i="16" s="1"/>
  <c r="G1332" i="4"/>
  <c r="H714" i="16" s="1"/>
  <c r="H1344" i="4"/>
  <c r="I724" i="16" s="1"/>
  <c r="H1360" i="4"/>
  <c r="G1360" i="4"/>
  <c r="D1148" i="10" s="1"/>
  <c r="H1375" i="4"/>
  <c r="G1375" i="4"/>
  <c r="H1388" i="4"/>
  <c r="G1388" i="4"/>
  <c r="D1163" i="10" s="1"/>
  <c r="H1401" i="4"/>
  <c r="G1401" i="4"/>
  <c r="H1413" i="4"/>
  <c r="G1413" i="4"/>
  <c r="H1425" i="4"/>
  <c r="G1425" i="4"/>
  <c r="H1437" i="4"/>
  <c r="G1437" i="4"/>
  <c r="H1449" i="4"/>
  <c r="G1449" i="4"/>
  <c r="H1462" i="4"/>
  <c r="G1462" i="4"/>
  <c r="G1475" i="4"/>
  <c r="H826" i="16" s="1"/>
  <c r="H1475" i="4"/>
  <c r="H1487" i="4"/>
  <c r="H1501" i="4"/>
  <c r="G1501" i="4"/>
  <c r="D1181" i="10" s="1"/>
  <c r="H1513" i="4"/>
  <c r="G1513" i="4"/>
  <c r="H851" i="16" s="1"/>
  <c r="H995" i="4"/>
  <c r="G995" i="4"/>
  <c r="G1081" i="4"/>
  <c r="H1081" i="4"/>
  <c r="H1203" i="4"/>
  <c r="G1203" i="4"/>
  <c r="H1296" i="4"/>
  <c r="G1296" i="4"/>
  <c r="H1418" i="4"/>
  <c r="G1418" i="4"/>
  <c r="G958" i="4"/>
  <c r="H958" i="4"/>
  <c r="G935" i="4"/>
  <c r="H471" i="16" s="1"/>
  <c r="H935" i="4"/>
  <c r="I471" i="16" s="1"/>
  <c r="H948" i="4"/>
  <c r="G948" i="4"/>
  <c r="G963" i="4"/>
  <c r="H963" i="4"/>
  <c r="H976" i="4"/>
  <c r="G976" i="4"/>
  <c r="H990" i="4"/>
  <c r="G990" i="4"/>
  <c r="G1003" i="4"/>
  <c r="H1003" i="4"/>
  <c r="H1016" i="4"/>
  <c r="G1016" i="4"/>
  <c r="H1028" i="4"/>
  <c r="G1028" i="4"/>
  <c r="H1040" i="4"/>
  <c r="G1040" i="4"/>
  <c r="H1052" i="4"/>
  <c r="G1052" i="4"/>
  <c r="H1064" i="4"/>
  <c r="I548" i="16" s="1"/>
  <c r="G1064" i="4"/>
  <c r="H1077" i="4"/>
  <c r="G1077" i="4"/>
  <c r="H1090" i="4"/>
  <c r="G1090" i="4"/>
  <c r="G1105" i="4"/>
  <c r="H1105" i="4"/>
  <c r="G1117" i="4"/>
  <c r="H1117" i="4"/>
  <c r="I584" i="16" s="1"/>
  <c r="H1140" i="4"/>
  <c r="I588" i="16" s="1"/>
  <c r="G1140" i="4"/>
  <c r="H588" i="16" s="1"/>
  <c r="H1155" i="4"/>
  <c r="G1155" i="4"/>
  <c r="H1168" i="4"/>
  <c r="G1168" i="4"/>
  <c r="H1183" i="4"/>
  <c r="G1183" i="4"/>
  <c r="H1199" i="4"/>
  <c r="I630" i="16" s="1"/>
  <c r="G1199" i="4"/>
  <c r="H630" i="16" s="1"/>
  <c r="H1211" i="4"/>
  <c r="G1211" i="4"/>
  <c r="H1225" i="4"/>
  <c r="G1225" i="4"/>
  <c r="H1237" i="4"/>
  <c r="G1237" i="4"/>
  <c r="H1249" i="4"/>
  <c r="G1249" i="4"/>
  <c r="H1267" i="4"/>
  <c r="G1267" i="4"/>
  <c r="H1279" i="4"/>
  <c r="G1279" i="4"/>
  <c r="H1292" i="4"/>
  <c r="I686" i="16" s="1"/>
  <c r="G1292" i="4"/>
  <c r="H686" i="16" s="1"/>
  <c r="G1310" i="4"/>
  <c r="H1310" i="4"/>
  <c r="H1333" i="4"/>
  <c r="I715" i="16" s="1"/>
  <c r="G1333" i="4"/>
  <c r="H715" i="16" s="1"/>
  <c r="H1346" i="4"/>
  <c r="I725" i="16" s="1"/>
  <c r="G1346" i="4"/>
  <c r="H725" i="16" s="1"/>
  <c r="H1361" i="4"/>
  <c r="G1361" i="4"/>
  <c r="H1376" i="4"/>
  <c r="G1376" i="4"/>
  <c r="H1389" i="4"/>
  <c r="G1389" i="4"/>
  <c r="D1170" i="10" s="1"/>
  <c r="H1402" i="4"/>
  <c r="G1402" i="4"/>
  <c r="H1414" i="4"/>
  <c r="G1414" i="4"/>
  <c r="G866" i="10" s="1"/>
  <c r="H1426" i="4"/>
  <c r="G1426" i="4"/>
  <c r="H1438" i="4"/>
  <c r="G1438" i="4"/>
  <c r="H1450" i="4"/>
  <c r="G1450" i="4"/>
  <c r="H1463" i="4"/>
  <c r="G1463" i="4"/>
  <c r="H1476" i="4"/>
  <c r="G1476" i="4"/>
  <c r="H1490" i="4"/>
  <c r="G1490" i="4"/>
  <c r="D1180" i="10" s="1"/>
  <c r="H1502" i="4"/>
  <c r="H1514" i="4"/>
  <c r="G1514" i="4"/>
  <c r="H11" i="4"/>
  <c r="G11" i="4"/>
  <c r="H173" i="4"/>
  <c r="G173" i="4"/>
  <c r="H236" i="4"/>
  <c r="G236" i="4"/>
  <c r="H297" i="4"/>
  <c r="G297" i="4"/>
  <c r="H362" i="4"/>
  <c r="G362" i="4"/>
  <c r="G455" i="4"/>
  <c r="H455" i="4"/>
  <c r="H564" i="4"/>
  <c r="G564" i="4"/>
  <c r="H640" i="4"/>
  <c r="G640" i="4"/>
  <c r="G744" i="4"/>
  <c r="H744" i="4"/>
  <c r="H823" i="4"/>
  <c r="G823" i="4"/>
  <c r="D929" i="10" s="1"/>
  <c r="G908" i="4"/>
  <c r="H908" i="4"/>
  <c r="H12" i="4"/>
  <c r="G12" i="4"/>
  <c r="G125" i="4"/>
  <c r="H125" i="4"/>
  <c r="G199" i="4"/>
  <c r="H199" i="4"/>
  <c r="H351" i="4"/>
  <c r="G351" i="4"/>
  <c r="G617" i="4"/>
  <c r="H617" i="4"/>
  <c r="H227" i="4"/>
  <c r="G227" i="4"/>
  <c r="H312" i="4"/>
  <c r="G312" i="4"/>
  <c r="G401" i="4"/>
  <c r="H401" i="4"/>
  <c r="H567" i="4"/>
  <c r="G567" i="4"/>
  <c r="G619" i="4"/>
  <c r="H619" i="4"/>
  <c r="H709" i="4"/>
  <c r="G709" i="4"/>
  <c r="H760" i="4"/>
  <c r="G760" i="4"/>
  <c r="H850" i="4"/>
  <c r="G850" i="4"/>
  <c r="H887" i="4"/>
  <c r="G887" i="4"/>
  <c r="H899" i="4"/>
  <c r="G899" i="4"/>
  <c r="H911" i="4"/>
  <c r="G911" i="4"/>
  <c r="G35" i="4"/>
  <c r="H35" i="4"/>
  <c r="H91" i="4"/>
  <c r="G91" i="4"/>
  <c r="H116" i="4"/>
  <c r="G116" i="4"/>
  <c r="H140" i="4"/>
  <c r="G140" i="4"/>
  <c r="D852" i="10" s="1"/>
  <c r="H165" i="4"/>
  <c r="G165" i="4"/>
  <c r="H190" i="4"/>
  <c r="G190" i="4"/>
  <c r="H216" i="4"/>
  <c r="G216" i="4"/>
  <c r="H240" i="4"/>
  <c r="G240" i="4"/>
  <c r="H264" i="4"/>
  <c r="G264" i="4"/>
  <c r="G289" i="4"/>
  <c r="H289" i="4"/>
  <c r="G313" i="4"/>
  <c r="H313" i="4"/>
  <c r="G328" i="4"/>
  <c r="H328" i="4"/>
  <c r="G341" i="4"/>
  <c r="H341" i="4"/>
  <c r="H354" i="4"/>
  <c r="G354" i="4"/>
  <c r="H366" i="4"/>
  <c r="G366" i="4"/>
  <c r="G378" i="4"/>
  <c r="H378" i="4"/>
  <c r="G390" i="4"/>
  <c r="I591" i="10" s="1"/>
  <c r="I596" i="10" s="1"/>
  <c r="H390" i="4"/>
  <c r="G402" i="4"/>
  <c r="H402" i="4"/>
  <c r="G416" i="4"/>
  <c r="H416" i="4"/>
  <c r="H428" i="4"/>
  <c r="G428" i="4"/>
  <c r="G443" i="4"/>
  <c r="H159" i="16" s="1"/>
  <c r="H443" i="4"/>
  <c r="G459" i="4"/>
  <c r="H459" i="4"/>
  <c r="G483" i="4"/>
  <c r="H173" i="16" s="1"/>
  <c r="H483" i="4"/>
  <c r="I173" i="16" s="1"/>
  <c r="H542" i="4"/>
  <c r="G542" i="4"/>
  <c r="H555" i="4"/>
  <c r="G555" i="4"/>
  <c r="H568" i="4"/>
  <c r="G568" i="4"/>
  <c r="H580" i="4"/>
  <c r="G580" i="4"/>
  <c r="H596" i="4"/>
  <c r="G596" i="4"/>
  <c r="H608" i="4"/>
  <c r="G608" i="4"/>
  <c r="H620" i="4"/>
  <c r="G620" i="4"/>
  <c r="H632" i="4"/>
  <c r="G632" i="4"/>
  <c r="H644" i="4"/>
  <c r="G644" i="4"/>
  <c r="H656" i="4"/>
  <c r="G656" i="4"/>
  <c r="H668" i="4"/>
  <c r="G668" i="4"/>
  <c r="H684" i="4"/>
  <c r="G684" i="4"/>
  <c r="H696" i="4"/>
  <c r="G696" i="4"/>
  <c r="G710" i="4"/>
  <c r="H710" i="4"/>
  <c r="H722" i="4"/>
  <c r="G722" i="4"/>
  <c r="H736" i="4"/>
  <c r="G736" i="4"/>
  <c r="H748" i="4"/>
  <c r="G748" i="4"/>
  <c r="H762" i="4"/>
  <c r="G762" i="4"/>
  <c r="G799" i="4"/>
  <c r="H799" i="4"/>
  <c r="H815" i="4"/>
  <c r="G815" i="4"/>
  <c r="H827" i="4"/>
  <c r="G827" i="4"/>
  <c r="H839" i="4"/>
  <c r="G839" i="4"/>
  <c r="H851" i="4"/>
  <c r="G851" i="4"/>
  <c r="H863" i="4"/>
  <c r="G863" i="4"/>
  <c r="H875" i="4"/>
  <c r="G875" i="4"/>
  <c r="H888" i="4"/>
  <c r="G888" i="4"/>
  <c r="H900" i="4"/>
  <c r="G900" i="4"/>
  <c r="H912" i="4"/>
  <c r="G912" i="4"/>
  <c r="H924" i="4"/>
  <c r="G924" i="4"/>
  <c r="H99" i="4"/>
  <c r="G99" i="4"/>
  <c r="G149" i="4"/>
  <c r="H149" i="4"/>
  <c r="G224" i="4"/>
  <c r="H224" i="4"/>
  <c r="H309" i="4"/>
  <c r="G309" i="4"/>
  <c r="H398" i="4"/>
  <c r="G398" i="4"/>
  <c r="G438" i="4"/>
  <c r="H438" i="4"/>
  <c r="H550" i="4"/>
  <c r="G550" i="4"/>
  <c r="H616" i="4"/>
  <c r="G616" i="4"/>
  <c r="H706" i="4"/>
  <c r="G706" i="4"/>
  <c r="H809" i="4"/>
  <c r="G809" i="4"/>
  <c r="H835" i="4"/>
  <c r="G835" i="4"/>
  <c r="G896" i="4"/>
  <c r="H896" i="4"/>
  <c r="G100" i="4"/>
  <c r="H100" i="4"/>
  <c r="H162" i="4"/>
  <c r="G162" i="4"/>
  <c r="H237" i="4"/>
  <c r="G237" i="4"/>
  <c r="H286" i="4"/>
  <c r="G286" i="4"/>
  <c r="H375" i="4"/>
  <c r="G375" i="4"/>
  <c r="G456" i="4"/>
  <c r="H456" i="4"/>
  <c r="G565" i="4"/>
  <c r="H565" i="4"/>
  <c r="G641" i="4"/>
  <c r="H641" i="4"/>
  <c r="H693" i="4"/>
  <c r="G693" i="4"/>
  <c r="G758" i="4"/>
  <c r="H758" i="4"/>
  <c r="G860" i="4"/>
  <c r="H860" i="4"/>
  <c r="H921" i="4"/>
  <c r="G921" i="4"/>
  <c r="H15" i="4"/>
  <c r="G15" i="4"/>
  <c r="H75" i="4"/>
  <c r="G75" i="4"/>
  <c r="H103" i="4"/>
  <c r="G103" i="4"/>
  <c r="H128" i="4"/>
  <c r="G128" i="4"/>
  <c r="G153" i="4"/>
  <c r="H153" i="4"/>
  <c r="H177" i="4"/>
  <c r="G177" i="4"/>
  <c r="H202" i="4"/>
  <c r="G202" i="4"/>
  <c r="H228" i="4"/>
  <c r="G228" i="4"/>
  <c r="H252" i="4"/>
  <c r="G252" i="4"/>
  <c r="H276" i="4"/>
  <c r="G276" i="4"/>
  <c r="G301" i="4"/>
  <c r="H301" i="4"/>
  <c r="G471" i="4"/>
  <c r="H471" i="4"/>
  <c r="H16" i="4"/>
  <c r="G16" i="4"/>
  <c r="G36" i="4"/>
  <c r="H36" i="4"/>
  <c r="H78" i="4"/>
  <c r="G78" i="4"/>
  <c r="G92" i="4"/>
  <c r="H92" i="4"/>
  <c r="H104" i="4"/>
  <c r="G104" i="4"/>
  <c r="R59" i="4" s="1"/>
  <c r="H117" i="4"/>
  <c r="G117" i="4"/>
  <c r="H129" i="4"/>
  <c r="G129" i="4"/>
  <c r="H141" i="4"/>
  <c r="G141" i="4"/>
  <c r="D847" i="10" s="1"/>
  <c r="H154" i="4"/>
  <c r="G154" i="4"/>
  <c r="H166" i="4"/>
  <c r="G166" i="4"/>
  <c r="H178" i="4"/>
  <c r="G178" i="4"/>
  <c r="G191" i="4"/>
  <c r="H191" i="4"/>
  <c r="H203" i="4"/>
  <c r="G203" i="4"/>
  <c r="G217" i="4"/>
  <c r="H217" i="4"/>
  <c r="E286" i="10" s="1"/>
  <c r="G229" i="4"/>
  <c r="H229" i="4"/>
  <c r="G241" i="4"/>
  <c r="H241" i="4"/>
  <c r="G253" i="4"/>
  <c r="H253" i="4"/>
  <c r="G265" i="4"/>
  <c r="H265" i="4"/>
  <c r="G277" i="4"/>
  <c r="H277" i="4"/>
  <c r="H290" i="4"/>
  <c r="G290" i="4"/>
  <c r="G302" i="4"/>
  <c r="H302" i="4"/>
  <c r="H314" i="4"/>
  <c r="G314" i="4"/>
  <c r="H329" i="4"/>
  <c r="G329" i="4"/>
  <c r="H342" i="4"/>
  <c r="G342" i="4"/>
  <c r="G355" i="4"/>
  <c r="H355" i="4"/>
  <c r="G367" i="4"/>
  <c r="H367" i="4"/>
  <c r="G379" i="4"/>
  <c r="H379" i="4"/>
  <c r="G391" i="4"/>
  <c r="H391" i="4"/>
  <c r="G403" i="4"/>
  <c r="H403" i="4"/>
  <c r="H417" i="4"/>
  <c r="G417" i="4"/>
  <c r="H429" i="4"/>
  <c r="G429" i="4"/>
  <c r="H445" i="4"/>
  <c r="I160" i="16" s="1"/>
  <c r="G445" i="4"/>
  <c r="H160" i="16" s="1"/>
  <c r="H460" i="4"/>
  <c r="G460" i="4"/>
  <c r="H472" i="4"/>
  <c r="I169" i="16" s="1"/>
  <c r="G472" i="4"/>
  <c r="H169" i="16" s="1"/>
  <c r="G484" i="4"/>
  <c r="H484" i="4"/>
  <c r="H543" i="4"/>
  <c r="G543" i="4"/>
  <c r="H556" i="4"/>
  <c r="I207" i="16" s="1"/>
  <c r="G556" i="4"/>
  <c r="H207" i="16" s="1"/>
  <c r="H569" i="4"/>
  <c r="G569" i="4"/>
  <c r="H581" i="4"/>
  <c r="G581" i="4"/>
  <c r="H597" i="4"/>
  <c r="G597" i="4"/>
  <c r="H609" i="4"/>
  <c r="G609" i="4"/>
  <c r="H621" i="4"/>
  <c r="G621" i="4"/>
  <c r="H633" i="4"/>
  <c r="G633" i="4"/>
  <c r="H645" i="4"/>
  <c r="G645" i="4"/>
  <c r="H657" i="4"/>
  <c r="G657" i="4"/>
  <c r="H669" i="4"/>
  <c r="G669" i="4"/>
  <c r="H685" i="4"/>
  <c r="G685" i="4"/>
  <c r="G697" i="4"/>
  <c r="F1002" i="10" s="1"/>
  <c r="F1004" i="10" s="1"/>
  <c r="H697" i="4"/>
  <c r="H711" i="4"/>
  <c r="G711" i="4"/>
  <c r="H723" i="4"/>
  <c r="G723" i="4"/>
  <c r="H737" i="4"/>
  <c r="G737" i="4"/>
  <c r="H749" i="4"/>
  <c r="G749" i="4"/>
  <c r="H763" i="4"/>
  <c r="G763" i="4"/>
  <c r="H800" i="4"/>
  <c r="G800" i="4"/>
  <c r="H816" i="4"/>
  <c r="G816" i="4"/>
  <c r="H828" i="4"/>
  <c r="G828" i="4"/>
  <c r="H840" i="4"/>
  <c r="G840" i="4"/>
  <c r="H852" i="4"/>
  <c r="G852" i="4"/>
  <c r="H864" i="4"/>
  <c r="G864" i="4"/>
  <c r="H876" i="4"/>
  <c r="G876" i="4"/>
  <c r="H889" i="4"/>
  <c r="G889" i="4"/>
  <c r="H901" i="4"/>
  <c r="G901" i="4"/>
  <c r="H913" i="4"/>
  <c r="G913" i="4"/>
  <c r="H925" i="4"/>
  <c r="G925" i="4"/>
  <c r="H111" i="4"/>
  <c r="H198" i="4"/>
  <c r="G198" i="4"/>
  <c r="G272" i="4"/>
  <c r="H272" i="4"/>
  <c r="G337" i="4"/>
  <c r="H337" i="4"/>
  <c r="G424" i="4"/>
  <c r="H424" i="4"/>
  <c r="H576" i="4"/>
  <c r="G576" i="4"/>
  <c r="H652" i="4"/>
  <c r="G652" i="4"/>
  <c r="H718" i="4"/>
  <c r="G718" i="4"/>
  <c r="H847" i="4"/>
  <c r="G847" i="4"/>
  <c r="G112" i="4"/>
  <c r="H112" i="4"/>
  <c r="H186" i="4"/>
  <c r="G186" i="4"/>
  <c r="H261" i="4"/>
  <c r="G261" i="4"/>
  <c r="H310" i="4"/>
  <c r="G310" i="4"/>
  <c r="G363" i="4"/>
  <c r="H363" i="4"/>
  <c r="H425" i="4"/>
  <c r="G425" i="4"/>
  <c r="H539" i="4"/>
  <c r="G539" i="4"/>
  <c r="G605" i="4"/>
  <c r="H605" i="4"/>
  <c r="G665" i="4"/>
  <c r="H665" i="4"/>
  <c r="H733" i="4"/>
  <c r="G733" i="4"/>
  <c r="H796" i="4"/>
  <c r="G796" i="4"/>
  <c r="H291" i="16" s="1"/>
  <c r="G848" i="4"/>
  <c r="H848" i="4"/>
  <c r="H909" i="4"/>
  <c r="G909" i="4"/>
  <c r="G13" i="4"/>
  <c r="H13" i="4"/>
  <c r="G114" i="4"/>
  <c r="H114" i="4"/>
  <c r="G175" i="4"/>
  <c r="H175" i="4"/>
  <c r="H238" i="4"/>
  <c r="G238" i="4"/>
  <c r="H274" i="4"/>
  <c r="G274" i="4"/>
  <c r="H352" i="4"/>
  <c r="G352" i="4"/>
  <c r="H412" i="4"/>
  <c r="G412" i="4"/>
  <c r="G552" i="4"/>
  <c r="H552" i="4"/>
  <c r="H618" i="4"/>
  <c r="G618" i="4"/>
  <c r="H666" i="4"/>
  <c r="G666" i="4"/>
  <c r="G734" i="4"/>
  <c r="H734" i="4"/>
  <c r="H825" i="4"/>
  <c r="G825" i="4"/>
  <c r="H886" i="4"/>
  <c r="G886" i="4"/>
  <c r="H115" i="4"/>
  <c r="G115" i="4"/>
  <c r="D827" i="10" s="1"/>
  <c r="G201" i="4"/>
  <c r="H201" i="4"/>
  <c r="H275" i="4"/>
  <c r="G275" i="4"/>
  <c r="H353" i="4"/>
  <c r="G353" i="4"/>
  <c r="G415" i="4"/>
  <c r="H415" i="4"/>
  <c r="H482" i="4"/>
  <c r="G482" i="4"/>
  <c r="H631" i="4"/>
  <c r="G631" i="4"/>
  <c r="H735" i="4"/>
  <c r="G735" i="4"/>
  <c r="H874" i="4"/>
  <c r="G874" i="4"/>
  <c r="G5" i="4"/>
  <c r="H6" i="16" s="1"/>
  <c r="H5" i="4"/>
  <c r="I6" i="16" s="1"/>
  <c r="H81" i="4"/>
  <c r="G81" i="4"/>
  <c r="R32" i="4" s="1"/>
  <c r="G143" i="4"/>
  <c r="H143" i="4"/>
  <c r="G167" i="4"/>
  <c r="H167" i="4"/>
  <c r="H192" i="4"/>
  <c r="G192" i="4"/>
  <c r="H218" i="4"/>
  <c r="G218" i="4"/>
  <c r="H242" i="4"/>
  <c r="G242" i="4"/>
  <c r="H266" i="4"/>
  <c r="G266" i="4"/>
  <c r="G291" i="4"/>
  <c r="H291" i="4"/>
  <c r="G315" i="4"/>
  <c r="H315" i="4"/>
  <c r="G343" i="4"/>
  <c r="H343" i="4"/>
  <c r="G368" i="4"/>
  <c r="H368" i="4"/>
  <c r="H392" i="4"/>
  <c r="G392" i="4"/>
  <c r="G418" i="4"/>
  <c r="H418" i="4"/>
  <c r="G430" i="4"/>
  <c r="H430" i="4"/>
  <c r="H461" i="4"/>
  <c r="G461" i="4"/>
  <c r="H485" i="4"/>
  <c r="G485" i="4"/>
  <c r="H557" i="4"/>
  <c r="G557" i="4"/>
  <c r="H582" i="4"/>
  <c r="G582" i="4"/>
  <c r="H610" i="4"/>
  <c r="G610" i="4"/>
  <c r="H634" i="4"/>
  <c r="G634" i="4"/>
  <c r="H658" i="4"/>
  <c r="G658" i="4"/>
  <c r="H686" i="4"/>
  <c r="G686" i="4"/>
  <c r="H712" i="4"/>
  <c r="G712" i="4"/>
  <c r="G738" i="4"/>
  <c r="H738" i="4"/>
  <c r="G764" i="4"/>
  <c r="H764" i="4"/>
  <c r="H801" i="4"/>
  <c r="G801" i="4"/>
  <c r="H829" i="4"/>
  <c r="G829" i="4"/>
  <c r="H853" i="4"/>
  <c r="G853" i="4"/>
  <c r="H877" i="4"/>
  <c r="G877" i="4"/>
  <c r="G914" i="4"/>
  <c r="H914" i="4"/>
  <c r="G926" i="4"/>
  <c r="H926" i="4"/>
  <c r="H87" i="4"/>
  <c r="G87" i="4"/>
  <c r="H161" i="4"/>
  <c r="G161" i="4"/>
  <c r="G248" i="4"/>
  <c r="H248" i="4"/>
  <c r="H350" i="4"/>
  <c r="G350" i="4"/>
  <c r="H479" i="4"/>
  <c r="G479" i="4"/>
  <c r="H628" i="4"/>
  <c r="G628" i="4"/>
  <c r="G795" i="4"/>
  <c r="H795" i="4"/>
  <c r="G884" i="4"/>
  <c r="H884" i="4"/>
  <c r="G88" i="4"/>
  <c r="H88" i="4"/>
  <c r="H150" i="4"/>
  <c r="G150" i="4"/>
  <c r="H225" i="4"/>
  <c r="G225" i="4"/>
  <c r="H298" i="4"/>
  <c r="G298" i="4"/>
  <c r="G387" i="4"/>
  <c r="H387" i="4"/>
  <c r="G468" i="4"/>
  <c r="H468" i="4"/>
  <c r="G577" i="4"/>
  <c r="H577" i="4"/>
  <c r="G653" i="4"/>
  <c r="P653" i="4" s="1"/>
  <c r="H653" i="4"/>
  <c r="H719" i="4"/>
  <c r="G719" i="4"/>
  <c r="H810" i="4"/>
  <c r="G810" i="4"/>
  <c r="D943" i="10" s="1"/>
  <c r="G872" i="4"/>
  <c r="H872" i="4"/>
  <c r="H89" i="4"/>
  <c r="G89" i="4"/>
  <c r="G151" i="4"/>
  <c r="H151" i="4"/>
  <c r="H226" i="4"/>
  <c r="G226" i="4"/>
  <c r="H299" i="4"/>
  <c r="G299" i="4"/>
  <c r="H364" i="4"/>
  <c r="G364" i="4"/>
  <c r="G426" i="4"/>
  <c r="H426" i="4"/>
  <c r="G540" i="4"/>
  <c r="H201" i="16" s="1"/>
  <c r="H540" i="4"/>
  <c r="I201" i="16" s="1"/>
  <c r="H606" i="4"/>
  <c r="G606" i="4"/>
  <c r="H654" i="4"/>
  <c r="G654" i="4"/>
  <c r="G720" i="4"/>
  <c r="H720" i="4"/>
  <c r="H797" i="4"/>
  <c r="I286" i="16" s="1"/>
  <c r="J286" i="16" s="1"/>
  <c r="G797" i="4"/>
  <c r="H861" i="4"/>
  <c r="G861" i="4"/>
  <c r="G910" i="4"/>
  <c r="H910" i="4"/>
  <c r="H34" i="4"/>
  <c r="G34" i="4"/>
  <c r="G139" i="4"/>
  <c r="H139" i="4"/>
  <c r="G215" i="4"/>
  <c r="H215" i="4"/>
  <c r="H300" i="4"/>
  <c r="G300" i="4"/>
  <c r="H377" i="4"/>
  <c r="G377" i="4"/>
  <c r="G470" i="4"/>
  <c r="H470" i="4"/>
  <c r="H607" i="4"/>
  <c r="G607" i="4"/>
  <c r="G683" i="4"/>
  <c r="H683" i="4"/>
  <c r="H721" i="4"/>
  <c r="G721" i="4"/>
  <c r="H838" i="4"/>
  <c r="G838" i="4"/>
  <c r="G862" i="4"/>
  <c r="H862" i="4"/>
  <c r="H923" i="4"/>
  <c r="G923" i="4"/>
  <c r="H17" i="4"/>
  <c r="I9" i="16" s="1"/>
  <c r="G17" i="4"/>
  <c r="H9" i="16" s="1"/>
  <c r="H93" i="4"/>
  <c r="G93" i="4"/>
  <c r="H155" i="4"/>
  <c r="G155" i="4"/>
  <c r="H179" i="4"/>
  <c r="G179" i="4"/>
  <c r="H204" i="4"/>
  <c r="G204" i="4"/>
  <c r="G230" i="4"/>
  <c r="H230" i="4"/>
  <c r="G254" i="4"/>
  <c r="H254" i="4"/>
  <c r="G278" i="4"/>
  <c r="H278" i="4"/>
  <c r="H303" i="4"/>
  <c r="G303" i="4"/>
  <c r="H330" i="4"/>
  <c r="G330" i="4"/>
  <c r="H356" i="4"/>
  <c r="G356" i="4"/>
  <c r="G380" i="4"/>
  <c r="H380" i="4"/>
  <c r="H404" i="4"/>
  <c r="G404" i="4"/>
  <c r="G449" i="4"/>
  <c r="H165" i="16" s="1"/>
  <c r="H449" i="4"/>
  <c r="I165" i="16" s="1"/>
  <c r="H473" i="4"/>
  <c r="G473" i="4"/>
  <c r="H544" i="4"/>
  <c r="G544" i="4"/>
  <c r="H570" i="4"/>
  <c r="G570" i="4"/>
  <c r="H598" i="4"/>
  <c r="G598" i="4"/>
  <c r="H622" i="4"/>
  <c r="G622" i="4"/>
  <c r="H646" i="4"/>
  <c r="G646" i="4"/>
  <c r="H670" i="4"/>
  <c r="G670" i="4"/>
  <c r="H699" i="4"/>
  <c r="G699" i="4"/>
  <c r="H724" i="4"/>
  <c r="G724" i="4"/>
  <c r="G750" i="4"/>
  <c r="H750" i="4"/>
  <c r="H817" i="4"/>
  <c r="G817" i="4"/>
  <c r="H841" i="4"/>
  <c r="G841" i="4"/>
  <c r="H865" i="4"/>
  <c r="G865" i="4"/>
  <c r="G890" i="4"/>
  <c r="H890" i="4"/>
  <c r="G902" i="4"/>
  <c r="H902" i="4"/>
  <c r="H6" i="4"/>
  <c r="I7" i="16" s="1"/>
  <c r="G6" i="4"/>
  <c r="H7" i="16" s="1"/>
  <c r="H18" i="4"/>
  <c r="I10" i="16" s="1"/>
  <c r="G18" i="4"/>
  <c r="H10" i="16" s="1"/>
  <c r="H40" i="4"/>
  <c r="G40" i="4"/>
  <c r="G82" i="4"/>
  <c r="H82" i="4"/>
  <c r="G94" i="4"/>
  <c r="H94" i="4"/>
  <c r="G106" i="4"/>
  <c r="H106" i="4"/>
  <c r="H119" i="4"/>
  <c r="G119" i="4"/>
  <c r="G131" i="4"/>
  <c r="H131" i="4"/>
  <c r="H144" i="4"/>
  <c r="G144" i="4"/>
  <c r="H156" i="4"/>
  <c r="G156" i="4"/>
  <c r="H168" i="4"/>
  <c r="G168" i="4"/>
  <c r="H180" i="4"/>
  <c r="G180" i="4"/>
  <c r="G193" i="4"/>
  <c r="H193" i="4"/>
  <c r="H207" i="4"/>
  <c r="G207" i="4"/>
  <c r="G219" i="4"/>
  <c r="H219" i="4"/>
  <c r="H231" i="4"/>
  <c r="E288" i="10" s="1"/>
  <c r="G288" i="10" s="1"/>
  <c r="G231" i="4"/>
  <c r="G243" i="4"/>
  <c r="H243" i="4"/>
  <c r="H255" i="4"/>
  <c r="G255" i="4"/>
  <c r="G267" i="4"/>
  <c r="H267" i="4"/>
  <c r="H279" i="4"/>
  <c r="G279" i="4"/>
  <c r="H292" i="4"/>
  <c r="G292" i="4"/>
  <c r="G304" i="4"/>
  <c r="H304" i="4"/>
  <c r="H318" i="4"/>
  <c r="G318" i="4"/>
  <c r="G331" i="4"/>
  <c r="H331" i="4"/>
  <c r="G344" i="4"/>
  <c r="H344" i="4"/>
  <c r="G357" i="4"/>
  <c r="H357" i="4"/>
  <c r="H369" i="4"/>
  <c r="G369" i="4"/>
  <c r="H381" i="4"/>
  <c r="G381" i="4"/>
  <c r="H393" i="4"/>
  <c r="G393" i="4"/>
  <c r="G405" i="4"/>
  <c r="H405" i="4"/>
  <c r="H419" i="4"/>
  <c r="G419" i="4"/>
  <c r="G431" i="4"/>
  <c r="H431" i="4"/>
  <c r="G450" i="4"/>
  <c r="H450" i="4"/>
  <c r="G462" i="4"/>
  <c r="H462" i="4"/>
  <c r="G474" i="4"/>
  <c r="H474" i="4"/>
  <c r="H533" i="4"/>
  <c r="G533" i="4"/>
  <c r="H545" i="4"/>
  <c r="G545" i="4"/>
  <c r="G558" i="4"/>
  <c r="H558" i="4"/>
  <c r="G571" i="4"/>
  <c r="H571" i="4"/>
  <c r="G583" i="4"/>
  <c r="H583" i="4"/>
  <c r="G599" i="4"/>
  <c r="H599" i="4"/>
  <c r="G611" i="4"/>
  <c r="H611" i="4"/>
  <c r="G623" i="4"/>
  <c r="H623" i="4"/>
  <c r="G635" i="4"/>
  <c r="H635" i="4"/>
  <c r="G647" i="4"/>
  <c r="H647" i="4"/>
  <c r="G659" i="4"/>
  <c r="H659" i="4"/>
  <c r="H674" i="4"/>
  <c r="G674" i="4"/>
  <c r="H687" i="4"/>
  <c r="G687" i="4"/>
  <c r="H700" i="4"/>
  <c r="G700" i="4"/>
  <c r="H713" i="4"/>
  <c r="G713" i="4"/>
  <c r="H725" i="4"/>
  <c r="G725" i="4"/>
  <c r="H739" i="4"/>
  <c r="G739" i="4"/>
  <c r="H751" i="4"/>
  <c r="G751" i="4"/>
  <c r="H790" i="4"/>
  <c r="G790" i="4"/>
  <c r="H802" i="4"/>
  <c r="G802" i="4"/>
  <c r="G818" i="4"/>
  <c r="H818" i="4"/>
  <c r="G830" i="4"/>
  <c r="H830" i="4"/>
  <c r="G842" i="4"/>
  <c r="H842" i="4"/>
  <c r="G854" i="4"/>
  <c r="H854" i="4"/>
  <c r="G866" i="4"/>
  <c r="H866" i="4"/>
  <c r="G878" i="4"/>
  <c r="H878" i="4"/>
  <c r="H891" i="4"/>
  <c r="G891" i="4"/>
  <c r="G903" i="4"/>
  <c r="H903" i="4"/>
  <c r="H915" i="4"/>
  <c r="G915" i="4"/>
  <c r="H101" i="4"/>
  <c r="G101" i="4"/>
  <c r="G163" i="4"/>
  <c r="H163" i="4"/>
  <c r="G200" i="4"/>
  <c r="H200" i="4"/>
  <c r="H262" i="4"/>
  <c r="G262" i="4"/>
  <c r="G325" i="4"/>
  <c r="H325" i="4"/>
  <c r="H388" i="4"/>
  <c r="G388" i="4"/>
  <c r="G441" i="4"/>
  <c r="H441" i="4"/>
  <c r="H481" i="4"/>
  <c r="I172" i="16" s="1"/>
  <c r="G481" i="4"/>
  <c r="H172" i="16" s="1"/>
  <c r="H590" i="4"/>
  <c r="G590" i="4"/>
  <c r="H642" i="4"/>
  <c r="G642" i="4"/>
  <c r="G708" i="4"/>
  <c r="H708" i="4"/>
  <c r="G811" i="4"/>
  <c r="D944" i="10" s="1"/>
  <c r="H811" i="4"/>
  <c r="H873" i="4"/>
  <c r="G873" i="4"/>
  <c r="H164" i="4"/>
  <c r="G164" i="4"/>
  <c r="H288" i="4"/>
  <c r="G288" i="4"/>
  <c r="G389" i="4"/>
  <c r="H389" i="4"/>
  <c r="H541" i="4"/>
  <c r="G541" i="4"/>
  <c r="H643" i="4"/>
  <c r="G643" i="4"/>
  <c r="H747" i="4"/>
  <c r="G747" i="4"/>
  <c r="H37" i="4"/>
  <c r="G37" i="4"/>
  <c r="H66" i="4"/>
  <c r="G66" i="4"/>
  <c r="H132" i="4"/>
  <c r="G132" i="4"/>
  <c r="H194" i="4"/>
  <c r="G194" i="4"/>
  <c r="H244" i="4"/>
  <c r="G244" i="4"/>
  <c r="G293" i="4"/>
  <c r="H358" i="4"/>
  <c r="G358" i="4"/>
  <c r="H406" i="4"/>
  <c r="G406" i="4"/>
  <c r="G475" i="4"/>
  <c r="H475" i="4"/>
  <c r="H600" i="4"/>
  <c r="G600" i="4"/>
  <c r="H648" i="4"/>
  <c r="G648" i="4"/>
  <c r="H675" i="4"/>
  <c r="G675" i="4"/>
  <c r="H791" i="4"/>
  <c r="G791" i="4"/>
  <c r="H803" i="4"/>
  <c r="G803" i="4"/>
  <c r="D928" i="10" s="1"/>
  <c r="G819" i="4"/>
  <c r="D926" i="10" s="1"/>
  <c r="H819" i="4"/>
  <c r="H867" i="4"/>
  <c r="G867" i="4"/>
  <c r="H879" i="4"/>
  <c r="G879" i="4"/>
  <c r="H892" i="4"/>
  <c r="G892" i="4"/>
  <c r="H904" i="4"/>
  <c r="G904" i="4"/>
  <c r="G916" i="4"/>
  <c r="H916" i="4"/>
  <c r="H72" i="4"/>
  <c r="G72" i="4"/>
  <c r="G136" i="4"/>
  <c r="D845" i="10" s="1"/>
  <c r="H136" i="4"/>
  <c r="H260" i="4"/>
  <c r="G260" i="4"/>
  <c r="G374" i="4"/>
  <c r="H374" i="4"/>
  <c r="H467" i="4"/>
  <c r="G467" i="4"/>
  <c r="H604" i="4"/>
  <c r="G604" i="4"/>
  <c r="H692" i="4"/>
  <c r="G692" i="4"/>
  <c r="G756" i="4"/>
  <c r="H756" i="4"/>
  <c r="H871" i="4"/>
  <c r="G871" i="4"/>
  <c r="G73" i="4"/>
  <c r="H73" i="4"/>
  <c r="H137" i="4"/>
  <c r="G137" i="4"/>
  <c r="G213" i="4"/>
  <c r="H213" i="4"/>
  <c r="H324" i="4"/>
  <c r="G324" i="4"/>
  <c r="G439" i="4"/>
  <c r="H439" i="4"/>
  <c r="E296" i="10" s="1"/>
  <c r="G296" i="10" s="1"/>
  <c r="H551" i="4"/>
  <c r="G551" i="4"/>
  <c r="G629" i="4"/>
  <c r="H629" i="4"/>
  <c r="H707" i="4"/>
  <c r="G707" i="4"/>
  <c r="G824" i="4"/>
  <c r="D930" i="10" s="1"/>
  <c r="H824" i="4"/>
  <c r="G897" i="4"/>
  <c r="H897" i="4"/>
  <c r="H33" i="4"/>
  <c r="I17" i="16" s="1"/>
  <c r="G33" i="4"/>
  <c r="H17" i="16" s="1"/>
  <c r="G138" i="4"/>
  <c r="H138" i="4"/>
  <c r="H214" i="4"/>
  <c r="E289" i="10" s="1"/>
  <c r="G289" i="10" s="1"/>
  <c r="G214" i="4"/>
  <c r="G311" i="4"/>
  <c r="H311" i="4"/>
  <c r="G376" i="4"/>
  <c r="H376" i="4"/>
  <c r="H457" i="4"/>
  <c r="G457" i="4"/>
  <c r="H578" i="4"/>
  <c r="G578" i="4"/>
  <c r="H746" i="4"/>
  <c r="G746" i="4"/>
  <c r="H837" i="4"/>
  <c r="G837" i="4"/>
  <c r="D947" i="10" s="1"/>
  <c r="H898" i="4"/>
  <c r="G898" i="4"/>
  <c r="H14" i="4"/>
  <c r="G14" i="4"/>
  <c r="H127" i="4"/>
  <c r="G127" i="4"/>
  <c r="G176" i="4"/>
  <c r="H176" i="4"/>
  <c r="H251" i="4"/>
  <c r="G251" i="4"/>
  <c r="G340" i="4"/>
  <c r="H340" i="4"/>
  <c r="H442" i="4"/>
  <c r="G442" i="4"/>
  <c r="G579" i="4"/>
  <c r="H579" i="4"/>
  <c r="H667" i="4"/>
  <c r="G667" i="4"/>
  <c r="H798" i="4"/>
  <c r="G798" i="4"/>
  <c r="H293" i="16" s="1"/>
  <c r="G130" i="4"/>
  <c r="H130" i="4"/>
  <c r="G19" i="4"/>
  <c r="H11" i="16" s="1"/>
  <c r="H19" i="4"/>
  <c r="I11" i="16" s="1"/>
  <c r="H107" i="4"/>
  <c r="G107" i="4"/>
  <c r="G157" i="4"/>
  <c r="H157" i="4"/>
  <c r="E294" i="10" s="1"/>
  <c r="G294" i="10" s="1"/>
  <c r="H208" i="4"/>
  <c r="G208" i="4"/>
  <c r="H305" i="4"/>
  <c r="G305" i="4"/>
  <c r="H345" i="4"/>
  <c r="G345" i="4"/>
  <c r="G394" i="4"/>
  <c r="H394" i="4"/>
  <c r="G463" i="4"/>
  <c r="H463" i="4"/>
  <c r="H559" i="4"/>
  <c r="G559" i="4"/>
  <c r="H636" i="4"/>
  <c r="G636" i="4"/>
  <c r="G714" i="4"/>
  <c r="H714" i="4"/>
  <c r="H752" i="4"/>
  <c r="G752" i="4"/>
  <c r="G855" i="4"/>
  <c r="H855" i="4"/>
  <c r="H8" i="4"/>
  <c r="G8" i="4"/>
  <c r="H20" i="4"/>
  <c r="I12" i="16" s="1"/>
  <c r="G20" i="4"/>
  <c r="H12" i="16" s="1"/>
  <c r="G69" i="4"/>
  <c r="H69" i="4"/>
  <c r="H84" i="4"/>
  <c r="G84" i="4"/>
  <c r="G96" i="4"/>
  <c r="R50" i="4" s="1"/>
  <c r="H96" i="4"/>
  <c r="H108" i="4"/>
  <c r="G108" i="4"/>
  <c r="H121" i="4"/>
  <c r="G121" i="4"/>
  <c r="H133" i="4"/>
  <c r="G133" i="4"/>
  <c r="H146" i="4"/>
  <c r="G146" i="4"/>
  <c r="H158" i="4"/>
  <c r="G158" i="4"/>
  <c r="H170" i="4"/>
  <c r="G170" i="4"/>
  <c r="G182" i="4"/>
  <c r="H182" i="4"/>
  <c r="G195" i="4"/>
  <c r="H195" i="4"/>
  <c r="H209" i="4"/>
  <c r="G209" i="4"/>
  <c r="H221" i="4"/>
  <c r="G221" i="4"/>
  <c r="H233" i="4"/>
  <c r="G233" i="4"/>
  <c r="H245" i="4"/>
  <c r="G245" i="4"/>
  <c r="H257" i="4"/>
  <c r="G257" i="4"/>
  <c r="H269" i="4"/>
  <c r="G269" i="4"/>
  <c r="H281" i="4"/>
  <c r="G281" i="4"/>
  <c r="H294" i="4"/>
  <c r="G294" i="4"/>
  <c r="H306" i="4"/>
  <c r="G306" i="4"/>
  <c r="G320" i="4"/>
  <c r="H320" i="4"/>
  <c r="G333" i="4"/>
  <c r="H333" i="4"/>
  <c r="H346" i="4"/>
  <c r="G346" i="4"/>
  <c r="G359" i="4"/>
  <c r="H359" i="4"/>
  <c r="H371" i="4"/>
  <c r="G371" i="4"/>
  <c r="H383" i="4"/>
  <c r="G383" i="4"/>
  <c r="G395" i="4"/>
  <c r="H395" i="4"/>
  <c r="H407" i="4"/>
  <c r="G407" i="4"/>
  <c r="G421" i="4"/>
  <c r="H421" i="4"/>
  <c r="G433" i="4"/>
  <c r="H433" i="4"/>
  <c r="G452" i="4"/>
  <c r="H167" i="16" s="1"/>
  <c r="H452" i="4"/>
  <c r="I167" i="16" s="1"/>
  <c r="G464" i="4"/>
  <c r="H464" i="4"/>
  <c r="G476" i="4"/>
  <c r="H476" i="4"/>
  <c r="H535" i="4"/>
  <c r="G535" i="4"/>
  <c r="H547" i="4"/>
  <c r="G547" i="4"/>
  <c r="G560" i="4"/>
  <c r="H560" i="4"/>
  <c r="I208" i="16" s="1"/>
  <c r="G573" i="4"/>
  <c r="H573" i="4"/>
  <c r="G585" i="4"/>
  <c r="H585" i="4"/>
  <c r="G601" i="4"/>
  <c r="H601" i="4"/>
  <c r="H613" i="4"/>
  <c r="G613" i="4"/>
  <c r="G625" i="4"/>
  <c r="H625" i="4"/>
  <c r="H637" i="4"/>
  <c r="G637" i="4"/>
  <c r="G649" i="4"/>
  <c r="H649" i="4"/>
  <c r="G661" i="4"/>
  <c r="H661" i="4"/>
  <c r="H676" i="4"/>
  <c r="G676" i="4"/>
  <c r="G689" i="4"/>
  <c r="H689" i="4"/>
  <c r="G702" i="4"/>
  <c r="D893" i="10" s="1"/>
  <c r="H702" i="4"/>
  <c r="H715" i="4"/>
  <c r="G715" i="4"/>
  <c r="H727" i="4"/>
  <c r="I274" i="16" s="1"/>
  <c r="G727" i="4"/>
  <c r="H741" i="4"/>
  <c r="G741" i="4"/>
  <c r="H753" i="4"/>
  <c r="G753" i="4"/>
  <c r="H278" i="16" s="1"/>
  <c r="H792" i="4"/>
  <c r="G792" i="4"/>
  <c r="H804" i="4"/>
  <c r="G804" i="4"/>
  <c r="H820" i="4"/>
  <c r="G820" i="4"/>
  <c r="G832" i="4"/>
  <c r="H832" i="4"/>
  <c r="H844" i="4"/>
  <c r="G844" i="4"/>
  <c r="H856" i="4"/>
  <c r="G856" i="4"/>
  <c r="G868" i="4"/>
  <c r="H868" i="4"/>
  <c r="H880" i="4"/>
  <c r="G880" i="4"/>
  <c r="H893" i="4"/>
  <c r="G893" i="4"/>
  <c r="H905" i="4"/>
  <c r="G905" i="4"/>
  <c r="H917" i="4"/>
  <c r="G917" i="4"/>
  <c r="G124" i="4"/>
  <c r="H124" i="4"/>
  <c r="H212" i="4"/>
  <c r="G212" i="4"/>
  <c r="H323" i="4"/>
  <c r="G323" i="4"/>
  <c r="H410" i="4"/>
  <c r="G410" i="4"/>
  <c r="H588" i="4"/>
  <c r="G588" i="4"/>
  <c r="H664" i="4"/>
  <c r="G664" i="4"/>
  <c r="G732" i="4"/>
  <c r="H732" i="4"/>
  <c r="H859" i="4"/>
  <c r="G859" i="4"/>
  <c r="H30" i="4"/>
  <c r="G30" i="4"/>
  <c r="D379" i="10" s="1"/>
  <c r="H174" i="4"/>
  <c r="G174" i="4"/>
  <c r="G249" i="4"/>
  <c r="H249" i="4"/>
  <c r="H338" i="4"/>
  <c r="G338" i="4"/>
  <c r="H411" i="4"/>
  <c r="G411" i="4"/>
  <c r="G480" i="4"/>
  <c r="H171" i="16" s="1"/>
  <c r="H480" i="4"/>
  <c r="I171" i="16" s="1"/>
  <c r="G589" i="4"/>
  <c r="H589" i="4"/>
  <c r="H680" i="4"/>
  <c r="I259" i="16" s="1"/>
  <c r="G680" i="4"/>
  <c r="H259" i="16" s="1"/>
  <c r="G745" i="4"/>
  <c r="H745" i="4"/>
  <c r="G836" i="4"/>
  <c r="H836" i="4"/>
  <c r="H885" i="4"/>
  <c r="G885" i="4"/>
  <c r="H74" i="4"/>
  <c r="G74" i="4"/>
  <c r="H126" i="4"/>
  <c r="G126" i="4"/>
  <c r="H188" i="4"/>
  <c r="G188" i="4"/>
  <c r="H250" i="4"/>
  <c r="G250" i="4"/>
  <c r="G287" i="4"/>
  <c r="H287" i="4"/>
  <c r="G339" i="4"/>
  <c r="H339" i="4"/>
  <c r="H400" i="4"/>
  <c r="G400" i="4"/>
  <c r="H469" i="4"/>
  <c r="G469" i="4"/>
  <c r="H566" i="4"/>
  <c r="G566" i="4"/>
  <c r="H630" i="4"/>
  <c r="G630" i="4"/>
  <c r="H694" i="4"/>
  <c r="G694" i="4"/>
  <c r="H759" i="4"/>
  <c r="G759" i="4"/>
  <c r="G849" i="4"/>
  <c r="H849" i="4"/>
  <c r="H922" i="4"/>
  <c r="G922" i="4"/>
  <c r="G90" i="4"/>
  <c r="H90" i="4"/>
  <c r="G152" i="4"/>
  <c r="H152" i="4"/>
  <c r="G239" i="4"/>
  <c r="H239" i="4"/>
  <c r="G326" i="4"/>
  <c r="H326" i="4"/>
  <c r="G427" i="4"/>
  <c r="H427" i="4"/>
  <c r="H592" i="4"/>
  <c r="G592" i="4"/>
  <c r="G695" i="4"/>
  <c r="H903" i="10" s="1"/>
  <c r="H695" i="4"/>
  <c r="H826" i="4"/>
  <c r="G826" i="4"/>
  <c r="D950" i="10" s="1"/>
  <c r="G118" i="4"/>
  <c r="H118" i="4"/>
  <c r="G7" i="4"/>
  <c r="H8" i="16" s="1"/>
  <c r="H7" i="4"/>
  <c r="I8" i="16" s="1"/>
  <c r="H95" i="4"/>
  <c r="G95" i="4"/>
  <c r="G145" i="4"/>
  <c r="H145" i="4"/>
  <c r="G181" i="4"/>
  <c r="H181" i="4"/>
  <c r="H220" i="4"/>
  <c r="G220" i="4"/>
  <c r="G319" i="4"/>
  <c r="H319" i="4"/>
  <c r="H370" i="4"/>
  <c r="G370" i="4"/>
  <c r="G420" i="4"/>
  <c r="H420" i="4"/>
  <c r="G546" i="4"/>
  <c r="H546" i="4"/>
  <c r="H584" i="4"/>
  <c r="G584" i="4"/>
  <c r="H612" i="4"/>
  <c r="G612" i="4"/>
  <c r="H660" i="4"/>
  <c r="G660" i="4"/>
  <c r="H688" i="4"/>
  <c r="G688" i="4"/>
  <c r="H740" i="4"/>
  <c r="G740" i="4"/>
  <c r="H831" i="4"/>
  <c r="G831" i="4"/>
  <c r="D946" i="10" s="1"/>
  <c r="H9" i="4"/>
  <c r="G9" i="4"/>
  <c r="H22" i="4"/>
  <c r="G22" i="4"/>
  <c r="H70" i="4"/>
  <c r="G70" i="4"/>
  <c r="H85" i="4"/>
  <c r="G85" i="4"/>
  <c r="H97" i="4"/>
  <c r="G97" i="4"/>
  <c r="R51" i="4" s="1"/>
  <c r="H109" i="4"/>
  <c r="G109" i="4"/>
  <c r="G122" i="4"/>
  <c r="D849" i="10" s="1"/>
  <c r="H122" i="4"/>
  <c r="H134" i="4"/>
  <c r="G134" i="4"/>
  <c r="H147" i="4"/>
  <c r="G147" i="4"/>
  <c r="H159" i="4"/>
  <c r="G159" i="4"/>
  <c r="H171" i="4"/>
  <c r="G171" i="4"/>
  <c r="H183" i="4"/>
  <c r="G183" i="4"/>
  <c r="G196" i="4"/>
  <c r="H196" i="4"/>
  <c r="H210" i="4"/>
  <c r="G210" i="4"/>
  <c r="H222" i="4"/>
  <c r="G222" i="4"/>
  <c r="H234" i="4"/>
  <c r="G234" i="4"/>
  <c r="H246" i="4"/>
  <c r="G246" i="4"/>
  <c r="H258" i="4"/>
  <c r="G258" i="4"/>
  <c r="H270" i="4"/>
  <c r="G270" i="4"/>
  <c r="H282" i="4"/>
  <c r="G282" i="4"/>
  <c r="G295" i="4"/>
  <c r="H295" i="4"/>
  <c r="G307" i="4"/>
  <c r="H307" i="4"/>
  <c r="H321" i="4"/>
  <c r="G321" i="4"/>
  <c r="G335" i="4"/>
  <c r="H335" i="4"/>
  <c r="H347" i="4"/>
  <c r="G347" i="4"/>
  <c r="H360" i="4"/>
  <c r="G360" i="4"/>
  <c r="H372" i="4"/>
  <c r="G372" i="4"/>
  <c r="G384" i="4"/>
  <c r="H384" i="4"/>
  <c r="G396" i="4"/>
  <c r="H396" i="4"/>
  <c r="G408" i="4"/>
  <c r="H408" i="4"/>
  <c r="H422" i="4"/>
  <c r="G422" i="4"/>
  <c r="G434" i="4"/>
  <c r="H151" i="16" s="1"/>
  <c r="H434" i="4"/>
  <c r="E295" i="10" s="1"/>
  <c r="G295" i="10" s="1"/>
  <c r="G453" i="4"/>
  <c r="H168" i="16" s="1"/>
  <c r="H453" i="4"/>
  <c r="I168" i="16" s="1"/>
  <c r="G465" i="4"/>
  <c r="H465" i="4"/>
  <c r="G477" i="4"/>
  <c r="H477" i="4"/>
  <c r="H536" i="4"/>
  <c r="G536" i="4"/>
  <c r="G548" i="4"/>
  <c r="H548" i="4"/>
  <c r="H561" i="4"/>
  <c r="I209" i="16" s="1"/>
  <c r="G561" i="4"/>
  <c r="H574" i="4"/>
  <c r="G574" i="4"/>
  <c r="H586" i="4"/>
  <c r="G586" i="4"/>
  <c r="H602" i="4"/>
  <c r="G602" i="4"/>
  <c r="H614" i="4"/>
  <c r="G614" i="4"/>
  <c r="H626" i="4"/>
  <c r="G626" i="4"/>
  <c r="H638" i="4"/>
  <c r="G638" i="4"/>
  <c r="H650" i="4"/>
  <c r="G650" i="4"/>
  <c r="I866" i="10" s="1"/>
  <c r="H662" i="4"/>
  <c r="G662" i="4"/>
  <c r="G677" i="4"/>
  <c r="H677" i="4"/>
  <c r="H690" i="4"/>
  <c r="G690" i="4"/>
  <c r="H704" i="4"/>
  <c r="E309" i="10" s="1"/>
  <c r="G309" i="10" s="1"/>
  <c r="G704" i="4"/>
  <c r="H716" i="4"/>
  <c r="G716" i="4"/>
  <c r="G728" i="4"/>
  <c r="H267" i="16" s="1"/>
  <c r="H728" i="4"/>
  <c r="I267" i="16" s="1"/>
  <c r="H742" i="4"/>
  <c r="G742" i="4"/>
  <c r="H754" i="4"/>
  <c r="G754" i="4"/>
  <c r="G793" i="4"/>
  <c r="H793" i="4"/>
  <c r="H807" i="4"/>
  <c r="G807" i="4"/>
  <c r="H821" i="4"/>
  <c r="G821" i="4"/>
  <c r="H833" i="4"/>
  <c r="G833" i="4"/>
  <c r="H845" i="4"/>
  <c r="G845" i="4"/>
  <c r="H857" i="4"/>
  <c r="G857" i="4"/>
  <c r="H869" i="4"/>
  <c r="G869" i="4"/>
  <c r="H881" i="4"/>
  <c r="G881" i="4"/>
  <c r="H894" i="4"/>
  <c r="G894" i="4"/>
  <c r="H972" i="10" s="1"/>
  <c r="H906" i="4"/>
  <c r="G906" i="4"/>
  <c r="H918" i="4"/>
  <c r="G918" i="4"/>
  <c r="H28" i="4"/>
  <c r="G28" i="4"/>
  <c r="G185" i="4"/>
  <c r="H185" i="4"/>
  <c r="H284" i="4"/>
  <c r="G284" i="4"/>
  <c r="H386" i="4"/>
  <c r="G386" i="4"/>
  <c r="H538" i="4"/>
  <c r="G538" i="4"/>
  <c r="H679" i="4"/>
  <c r="G679" i="4"/>
  <c r="G920" i="4"/>
  <c r="H920" i="4"/>
  <c r="H399" i="4"/>
  <c r="G399" i="4"/>
  <c r="H102" i="4"/>
  <c r="G102" i="4"/>
  <c r="H189" i="4"/>
  <c r="G189" i="4"/>
  <c r="H365" i="4"/>
  <c r="G365" i="4"/>
  <c r="G458" i="4"/>
  <c r="H458" i="4"/>
  <c r="H554" i="4"/>
  <c r="G554" i="4"/>
  <c r="G655" i="4"/>
  <c r="H655" i="4"/>
  <c r="H105" i="4"/>
  <c r="G105" i="4"/>
  <c r="H83" i="4"/>
  <c r="G83" i="4"/>
  <c r="H120" i="4"/>
  <c r="G120" i="4"/>
  <c r="G169" i="4"/>
  <c r="H169" i="4"/>
  <c r="G232" i="4"/>
  <c r="H232" i="4"/>
  <c r="H280" i="4"/>
  <c r="G280" i="4"/>
  <c r="H332" i="4"/>
  <c r="G332" i="4"/>
  <c r="H382" i="4"/>
  <c r="G382" i="4"/>
  <c r="G432" i="4"/>
  <c r="H432" i="4"/>
  <c r="G534" i="4"/>
  <c r="H534" i="4"/>
  <c r="H572" i="4"/>
  <c r="G572" i="4"/>
  <c r="H624" i="4"/>
  <c r="G624" i="4"/>
  <c r="H701" i="4"/>
  <c r="G701" i="4"/>
  <c r="G726" i="4"/>
  <c r="H726" i="4"/>
  <c r="G843" i="4"/>
  <c r="H843" i="4"/>
  <c r="H10" i="4"/>
  <c r="G10" i="4"/>
  <c r="H23" i="4"/>
  <c r="G23" i="4"/>
  <c r="G71" i="4"/>
  <c r="H71" i="4"/>
  <c r="H86" i="4"/>
  <c r="G86" i="4"/>
  <c r="H98" i="4"/>
  <c r="G98" i="4"/>
  <c r="G110" i="4"/>
  <c r="H110" i="4"/>
  <c r="H123" i="4"/>
  <c r="G123" i="4"/>
  <c r="H135" i="4"/>
  <c r="G135" i="4"/>
  <c r="H148" i="4"/>
  <c r="G148" i="4"/>
  <c r="G160" i="4"/>
  <c r="H160" i="4"/>
  <c r="H172" i="4"/>
  <c r="G172" i="4"/>
  <c r="H184" i="4"/>
  <c r="G184" i="4"/>
  <c r="G197" i="4"/>
  <c r="H197" i="4"/>
  <c r="G211" i="4"/>
  <c r="H211" i="4"/>
  <c r="E287" i="10" s="1"/>
  <c r="G287" i="10" s="1"/>
  <c r="G223" i="4"/>
  <c r="H223" i="4"/>
  <c r="G235" i="4"/>
  <c r="H235" i="4"/>
  <c r="G247" i="4"/>
  <c r="H247" i="4"/>
  <c r="G271" i="4"/>
  <c r="H271" i="4"/>
  <c r="G283" i="4"/>
  <c r="H283" i="4"/>
  <c r="G296" i="4"/>
  <c r="H296" i="4"/>
  <c r="H308" i="4"/>
  <c r="G308" i="4"/>
  <c r="H322" i="4"/>
  <c r="G322" i="4"/>
  <c r="H336" i="4"/>
  <c r="G336" i="4"/>
  <c r="G349" i="4"/>
  <c r="H349" i="4"/>
  <c r="G361" i="4"/>
  <c r="H361" i="4"/>
  <c r="G373" i="4"/>
  <c r="H373" i="4"/>
  <c r="G385" i="4"/>
  <c r="H385" i="4"/>
  <c r="G397" i="4"/>
  <c r="H397" i="4"/>
  <c r="G409" i="4"/>
  <c r="H409" i="4"/>
  <c r="G423" i="4"/>
  <c r="H423" i="4"/>
  <c r="G437" i="4"/>
  <c r="H437" i="4"/>
  <c r="G454" i="4"/>
  <c r="H454" i="4"/>
  <c r="G466" i="4"/>
  <c r="H466" i="4"/>
  <c r="G478" i="4"/>
  <c r="H478" i="4"/>
  <c r="H537" i="4"/>
  <c r="G537" i="4"/>
  <c r="H549" i="4"/>
  <c r="G549" i="4"/>
  <c r="H563" i="4"/>
  <c r="I210" i="16" s="1"/>
  <c r="G563" i="4"/>
  <c r="H210" i="16" s="1"/>
  <c r="H575" i="4"/>
  <c r="G575" i="4"/>
  <c r="H587" i="4"/>
  <c r="G587" i="4"/>
  <c r="H603" i="4"/>
  <c r="G603" i="4"/>
  <c r="H615" i="4"/>
  <c r="G615" i="4"/>
  <c r="H627" i="4"/>
  <c r="G627" i="4"/>
  <c r="H639" i="4"/>
  <c r="G639" i="4"/>
  <c r="H651" i="4"/>
  <c r="G651" i="4"/>
  <c r="H663" i="4"/>
  <c r="G663" i="4"/>
  <c r="H678" i="4"/>
  <c r="G678" i="4"/>
  <c r="G691" i="4"/>
  <c r="H691" i="4"/>
  <c r="H705" i="4"/>
  <c r="G705" i="4"/>
  <c r="H717" i="4"/>
  <c r="G717" i="4"/>
  <c r="H729" i="4"/>
  <c r="G729" i="4"/>
  <c r="H743" i="4"/>
  <c r="G743" i="4"/>
  <c r="H755" i="4"/>
  <c r="G755" i="4"/>
  <c r="H794" i="4"/>
  <c r="G794" i="4"/>
  <c r="H808" i="4"/>
  <c r="G808" i="4"/>
  <c r="H822" i="4"/>
  <c r="G822" i="4"/>
  <c r="D927" i="10" s="1"/>
  <c r="H834" i="4"/>
  <c r="G834" i="4"/>
  <c r="H846" i="4"/>
  <c r="G846" i="4"/>
  <c r="H858" i="4"/>
  <c r="G858" i="4"/>
  <c r="H870" i="4"/>
  <c r="G870" i="4"/>
  <c r="H883" i="4"/>
  <c r="G883" i="4"/>
  <c r="H895" i="4"/>
  <c r="G895" i="4"/>
  <c r="H907" i="4"/>
  <c r="G907" i="4"/>
  <c r="H919" i="4"/>
  <c r="G919" i="4"/>
  <c r="F95" i="22"/>
  <c r="K94" i="4"/>
  <c r="F169" i="22"/>
  <c r="K168" i="4"/>
  <c r="K243" i="4"/>
  <c r="F243" i="22"/>
  <c r="F331" i="22"/>
  <c r="K331" i="4"/>
  <c r="J450" i="4"/>
  <c r="F450" i="22" s="1"/>
  <c r="K450" i="4"/>
  <c r="F569" i="22"/>
  <c r="K571" i="4"/>
  <c r="F632" i="22"/>
  <c r="K635" i="4"/>
  <c r="K725" i="4"/>
  <c r="J725" i="4"/>
  <c r="F721" i="22" s="1"/>
  <c r="K842" i="4"/>
  <c r="J842" i="4"/>
  <c r="F835" i="22" s="1"/>
  <c r="K83" i="4"/>
  <c r="F84" i="22"/>
  <c r="K169" i="4"/>
  <c r="F170" i="22"/>
  <c r="K345" i="4"/>
  <c r="F345" i="22"/>
  <c r="J420" i="4"/>
  <c r="F420" i="22" s="1"/>
  <c r="K420" i="4"/>
  <c r="F544" i="22"/>
  <c r="K546" i="4"/>
  <c r="K624" i="4"/>
  <c r="F621" i="22"/>
  <c r="J701" i="4"/>
  <c r="F697" i="22" s="1"/>
  <c r="K701" i="4"/>
  <c r="K819" i="4"/>
  <c r="J819" i="4"/>
  <c r="J904" i="4"/>
  <c r="K904" i="4"/>
  <c r="F85" i="22"/>
  <c r="K84" i="4"/>
  <c r="F183" i="22"/>
  <c r="K182" i="4"/>
  <c r="K269" i="4"/>
  <c r="J269" i="4"/>
  <c r="K359" i="4"/>
  <c r="F359" i="22"/>
  <c r="K452" i="4"/>
  <c r="J452" i="4"/>
  <c r="F452" i="22" s="1"/>
  <c r="K601" i="4"/>
  <c r="F598" i="22"/>
  <c r="J702" i="4"/>
  <c r="F698" i="22" s="1"/>
  <c r="K702" i="4"/>
  <c r="J856" i="4"/>
  <c r="F849" i="22" s="1"/>
  <c r="K856" i="4"/>
  <c r="F86" i="22"/>
  <c r="K85" i="4"/>
  <c r="F123" i="22"/>
  <c r="K122" i="4"/>
  <c r="K171" i="4"/>
  <c r="F172" i="22"/>
  <c r="F222" i="22"/>
  <c r="K222" i="4"/>
  <c r="J270" i="4"/>
  <c r="F270" i="22" s="1"/>
  <c r="K270" i="4"/>
  <c r="K347" i="4"/>
  <c r="F347" i="22"/>
  <c r="F384" i="22"/>
  <c r="K384" i="4"/>
  <c r="K434" i="4"/>
  <c r="K536" i="4"/>
  <c r="F534" i="22"/>
  <c r="F584" i="22"/>
  <c r="K586" i="4"/>
  <c r="F635" i="22"/>
  <c r="K638" i="4"/>
  <c r="F674" i="22"/>
  <c r="K677" i="4"/>
  <c r="K728" i="4"/>
  <c r="J728" i="4"/>
  <c r="J807" i="4"/>
  <c r="F800" i="22" s="1"/>
  <c r="K807" i="4"/>
  <c r="J845" i="4"/>
  <c r="F838" i="22" s="1"/>
  <c r="K845" i="4"/>
  <c r="K906" i="4"/>
  <c r="J906" i="4"/>
  <c r="J10" i="4"/>
  <c r="F10" i="22" s="1"/>
  <c r="K10" i="4"/>
  <c r="K23" i="4"/>
  <c r="J23" i="4"/>
  <c r="F23" i="22" s="1"/>
  <c r="K71" i="4"/>
  <c r="F71" i="22"/>
  <c r="K86" i="4"/>
  <c r="F87" i="22"/>
  <c r="F99" i="22"/>
  <c r="K98" i="4"/>
  <c r="F111" i="22"/>
  <c r="K110" i="4"/>
  <c r="K123" i="4"/>
  <c r="F124" i="22"/>
  <c r="K135" i="4"/>
  <c r="F136" i="22"/>
  <c r="K148" i="4"/>
  <c r="F149" i="22"/>
  <c r="K160" i="4"/>
  <c r="F161" i="22"/>
  <c r="K172" i="4"/>
  <c r="F173" i="22"/>
  <c r="K184" i="4"/>
  <c r="K197" i="4"/>
  <c r="F197" i="22"/>
  <c r="K211" i="4"/>
  <c r="F211" i="22"/>
  <c r="K223" i="4"/>
  <c r="F223" i="22"/>
  <c r="K235" i="4"/>
  <c r="F235" i="22"/>
  <c r="K247" i="4"/>
  <c r="F247" i="22"/>
  <c r="K271" i="4"/>
  <c r="J271" i="4"/>
  <c r="F271" i="22" s="1"/>
  <c r="K283" i="4"/>
  <c r="J283" i="4"/>
  <c r="F283" i="22" s="1"/>
  <c r="K296" i="4"/>
  <c r="F296" i="22"/>
  <c r="K308" i="4"/>
  <c r="F308" i="22"/>
  <c r="K322" i="4"/>
  <c r="F322" i="22"/>
  <c r="F336" i="22"/>
  <c r="K336" i="4"/>
  <c r="K349" i="4"/>
  <c r="F349" i="22"/>
  <c r="K361" i="4"/>
  <c r="F361" i="22"/>
  <c r="K373" i="4"/>
  <c r="F373" i="22"/>
  <c r="F385" i="22"/>
  <c r="K385" i="4"/>
  <c r="F397" i="22"/>
  <c r="K397" i="4"/>
  <c r="F409" i="22"/>
  <c r="K409" i="4"/>
  <c r="K423" i="4"/>
  <c r="J423" i="4"/>
  <c r="F423" i="22" s="1"/>
  <c r="K437" i="4"/>
  <c r="F437" i="22"/>
  <c r="J454" i="4"/>
  <c r="F454" i="22" s="1"/>
  <c r="K454" i="4"/>
  <c r="K466" i="4"/>
  <c r="F466" i="22"/>
  <c r="F478" i="22"/>
  <c r="K478" i="4"/>
  <c r="F535" i="22"/>
  <c r="K537" i="4"/>
  <c r="F547" i="22"/>
  <c r="K549" i="4"/>
  <c r="F561" i="22"/>
  <c r="K563" i="4"/>
  <c r="K575" i="4"/>
  <c r="F573" i="22"/>
  <c r="F585" i="22"/>
  <c r="K587" i="4"/>
  <c r="K603" i="4"/>
  <c r="F600" i="22"/>
  <c r="J615" i="4"/>
  <c r="F612" i="22" s="1"/>
  <c r="K615" i="4"/>
  <c r="K627" i="4"/>
  <c r="F624" i="22"/>
  <c r="F636" i="22"/>
  <c r="K639" i="4"/>
  <c r="K651" i="4"/>
  <c r="F648" i="22"/>
  <c r="F660" i="22"/>
  <c r="K663" i="4"/>
  <c r="F675" i="22"/>
  <c r="K678" i="4"/>
  <c r="K691" i="4"/>
  <c r="F687" i="22"/>
  <c r="J705" i="4"/>
  <c r="F701" i="22" s="1"/>
  <c r="K705" i="4"/>
  <c r="J717" i="4"/>
  <c r="F713" i="22" s="1"/>
  <c r="K717" i="4"/>
  <c r="J729" i="4"/>
  <c r="F725" i="22" s="1"/>
  <c r="K729" i="4"/>
  <c r="K743" i="4"/>
  <c r="J743" i="4"/>
  <c r="F739" i="22" s="1"/>
  <c r="K755" i="4"/>
  <c r="J755" i="4"/>
  <c r="F752" i="22" s="1"/>
  <c r="J794" i="4"/>
  <c r="F787" i="22" s="1"/>
  <c r="K794" i="4"/>
  <c r="K808" i="4"/>
  <c r="J808" i="4"/>
  <c r="F801" i="22" s="1"/>
  <c r="K822" i="4"/>
  <c r="J822" i="4"/>
  <c r="F815" i="22" s="1"/>
  <c r="K834" i="4"/>
  <c r="J834" i="4"/>
  <c r="F827" i="22" s="1"/>
  <c r="K846" i="4"/>
  <c r="J846" i="4"/>
  <c r="F839" i="22" s="1"/>
  <c r="K858" i="4"/>
  <c r="J858" i="4"/>
  <c r="F851" i="22" s="1"/>
  <c r="K870" i="4"/>
  <c r="J870" i="4"/>
  <c r="F863" i="22" s="1"/>
  <c r="J883" i="4"/>
  <c r="K883" i="4"/>
  <c r="J895" i="4"/>
  <c r="K895" i="4"/>
  <c r="J907" i="4"/>
  <c r="K907" i="4"/>
  <c r="J919" i="4"/>
  <c r="K919" i="4"/>
  <c r="K119" i="4"/>
  <c r="F120" i="22"/>
  <c r="K193" i="4"/>
  <c r="F193" i="22"/>
  <c r="K292" i="4"/>
  <c r="F292" i="22"/>
  <c r="K405" i="4"/>
  <c r="F405" i="22"/>
  <c r="F596" i="22"/>
  <c r="K599" i="4"/>
  <c r="K674" i="4"/>
  <c r="J790" i="4"/>
  <c r="F783" i="22" s="1"/>
  <c r="K790" i="4"/>
  <c r="J866" i="4"/>
  <c r="F859" i="22" s="1"/>
  <c r="K866" i="4"/>
  <c r="K107" i="4"/>
  <c r="F108" i="22"/>
  <c r="K181" i="4"/>
  <c r="F182" i="22"/>
  <c r="K280" i="4"/>
  <c r="J280" i="4"/>
  <c r="F280" i="22" s="1"/>
  <c r="K358" i="4"/>
  <c r="F358" i="22"/>
  <c r="K432" i="4"/>
  <c r="F432" i="22"/>
  <c r="F557" i="22"/>
  <c r="K559" i="4"/>
  <c r="K648" i="4"/>
  <c r="F645" i="22"/>
  <c r="J714" i="4"/>
  <c r="F710" i="22" s="1"/>
  <c r="K714" i="4"/>
  <c r="K803" i="4"/>
  <c r="J803" i="4"/>
  <c r="F796" i="22" s="1"/>
  <c r="K855" i="4"/>
  <c r="J855" i="4"/>
  <c r="F848" i="22" s="1"/>
  <c r="K8" i="4"/>
  <c r="J8" i="4"/>
  <c r="F8" i="22" s="1"/>
  <c r="K146" i="4"/>
  <c r="F147" i="22"/>
  <c r="K233" i="4"/>
  <c r="F233" i="22"/>
  <c r="K346" i="4"/>
  <c r="F346" i="22"/>
  <c r="K464" i="4"/>
  <c r="F464" i="22"/>
  <c r="K637" i="4"/>
  <c r="F634" i="22"/>
  <c r="J753" i="4"/>
  <c r="F750" i="22" s="1"/>
  <c r="K753" i="4"/>
  <c r="K917" i="4"/>
  <c r="J917" i="4"/>
  <c r="J9" i="4"/>
  <c r="F9" i="22" s="1"/>
  <c r="K9" i="4"/>
  <c r="F98" i="22"/>
  <c r="K97" i="4"/>
  <c r="K147" i="4"/>
  <c r="F148" i="22"/>
  <c r="K196" i="4"/>
  <c r="F196" i="22"/>
  <c r="F246" i="22"/>
  <c r="K246" i="4"/>
  <c r="K307" i="4"/>
  <c r="F307" i="22"/>
  <c r="F396" i="22"/>
  <c r="K396" i="4"/>
  <c r="F465" i="22"/>
  <c r="K465" i="4"/>
  <c r="F572" i="22"/>
  <c r="K574" i="4"/>
  <c r="F623" i="22"/>
  <c r="K626" i="4"/>
  <c r="K690" i="4"/>
  <c r="F686" i="22"/>
  <c r="K742" i="4"/>
  <c r="J742" i="4"/>
  <c r="F738" i="22" s="1"/>
  <c r="J821" i="4"/>
  <c r="F814" i="22" s="1"/>
  <c r="K821" i="4"/>
  <c r="K857" i="4"/>
  <c r="J857" i="4"/>
  <c r="F850" i="22" s="1"/>
  <c r="K918" i="4"/>
  <c r="J918" i="4"/>
  <c r="J11" i="4"/>
  <c r="F11" i="22" s="1"/>
  <c r="K11" i="4"/>
  <c r="F28" i="22"/>
  <c r="K28" i="4"/>
  <c r="F72" i="22"/>
  <c r="K72" i="4"/>
  <c r="K87" i="4"/>
  <c r="F88" i="22"/>
  <c r="K99" i="4"/>
  <c r="F100" i="22"/>
  <c r="K111" i="4"/>
  <c r="F112" i="22"/>
  <c r="K124" i="4"/>
  <c r="F125" i="22"/>
  <c r="K136" i="4"/>
  <c r="K149" i="4"/>
  <c r="F150" i="22"/>
  <c r="K161" i="4"/>
  <c r="F162" i="22"/>
  <c r="K173" i="4"/>
  <c r="F174" i="22"/>
  <c r="K185" i="4"/>
  <c r="F186" i="22"/>
  <c r="F198" i="22"/>
  <c r="K198" i="4"/>
  <c r="K212" i="4"/>
  <c r="F212" i="22"/>
  <c r="K224" i="4"/>
  <c r="F224" i="22"/>
  <c r="F236" i="22"/>
  <c r="K236" i="4"/>
  <c r="F248" i="22"/>
  <c r="K248" i="4"/>
  <c r="K284" i="4"/>
  <c r="F284" i="22"/>
  <c r="K297" i="4"/>
  <c r="F297" i="22"/>
  <c r="F309" i="22"/>
  <c r="K309" i="4"/>
  <c r="K323" i="4"/>
  <c r="F323" i="22"/>
  <c r="F337" i="22"/>
  <c r="K337" i="4"/>
  <c r="K350" i="4"/>
  <c r="F350" i="22"/>
  <c r="F362" i="22"/>
  <c r="K362" i="4"/>
  <c r="F374" i="22"/>
  <c r="K374" i="4"/>
  <c r="K386" i="4"/>
  <c r="F386" i="22"/>
  <c r="F398" i="22"/>
  <c r="K398" i="4"/>
  <c r="K410" i="4"/>
  <c r="F410" i="22"/>
  <c r="J424" i="4"/>
  <c r="F424" i="22" s="1"/>
  <c r="K424" i="4"/>
  <c r="K438" i="4"/>
  <c r="F438" i="22"/>
  <c r="K455" i="4"/>
  <c r="J455" i="4"/>
  <c r="F455" i="22" s="1"/>
  <c r="K467" i="4"/>
  <c r="F467" i="22"/>
  <c r="K479" i="4"/>
  <c r="F479" i="22"/>
  <c r="F536" i="22"/>
  <c r="K538" i="4"/>
  <c r="K550" i="4"/>
  <c r="F548" i="22"/>
  <c r="K564" i="4"/>
  <c r="F562" i="22"/>
  <c r="F574" i="22"/>
  <c r="K576" i="4"/>
  <c r="K588" i="4"/>
  <c r="F586" i="22"/>
  <c r="F601" i="22"/>
  <c r="K604" i="4"/>
  <c r="K616" i="4"/>
  <c r="J616" i="4"/>
  <c r="F613" i="22" s="1"/>
  <c r="F625" i="22"/>
  <c r="K628" i="4"/>
  <c r="K640" i="4"/>
  <c r="F637" i="22"/>
  <c r="F649" i="22"/>
  <c r="K652" i="4"/>
  <c r="K664" i="4"/>
  <c r="F661" i="22"/>
  <c r="K679" i="4"/>
  <c r="F676" i="22"/>
  <c r="F688" i="22"/>
  <c r="K692" i="4"/>
  <c r="K706" i="4"/>
  <c r="J706" i="4"/>
  <c r="F702" i="22" s="1"/>
  <c r="K718" i="4"/>
  <c r="J718" i="4"/>
  <c r="F714" i="22" s="1"/>
  <c r="J732" i="4"/>
  <c r="F728" i="22" s="1"/>
  <c r="K732" i="4"/>
  <c r="J744" i="4"/>
  <c r="F740" i="22" s="1"/>
  <c r="K744" i="4"/>
  <c r="J756" i="4"/>
  <c r="F753" i="22" s="1"/>
  <c r="K756" i="4"/>
  <c r="K795" i="4"/>
  <c r="J795" i="4"/>
  <c r="F788" i="22" s="1"/>
  <c r="K809" i="4"/>
  <c r="J809" i="4"/>
  <c r="F802" i="22" s="1"/>
  <c r="J823" i="4"/>
  <c r="F816" i="22" s="1"/>
  <c r="K823" i="4"/>
  <c r="J835" i="4"/>
  <c r="F828" i="22" s="1"/>
  <c r="K835" i="4"/>
  <c r="J847" i="4"/>
  <c r="F840" i="22" s="1"/>
  <c r="K847" i="4"/>
  <c r="J859" i="4"/>
  <c r="F852" i="22" s="1"/>
  <c r="K859" i="4"/>
  <c r="J871" i="4"/>
  <c r="F864" i="22" s="1"/>
  <c r="K871" i="4"/>
  <c r="K884" i="4"/>
  <c r="J884" i="4"/>
  <c r="J896" i="4"/>
  <c r="K896" i="4"/>
  <c r="K908" i="4"/>
  <c r="J908" i="4"/>
  <c r="J920" i="4"/>
  <c r="K920" i="4"/>
  <c r="F40" i="22"/>
  <c r="K40" i="4"/>
  <c r="K106" i="4"/>
  <c r="F107" i="22"/>
  <c r="F157" i="22"/>
  <c r="K156" i="4"/>
  <c r="K219" i="4"/>
  <c r="F219" i="22"/>
  <c r="J279" i="4"/>
  <c r="F279" i="22" s="1"/>
  <c r="K279" i="4"/>
  <c r="K344" i="4"/>
  <c r="F344" i="22"/>
  <c r="K419" i="4"/>
  <c r="F419" i="22"/>
  <c r="F474" i="22"/>
  <c r="K474" i="4"/>
  <c r="J611" i="4"/>
  <c r="F608" i="22" s="1"/>
  <c r="K611" i="4"/>
  <c r="K700" i="4"/>
  <c r="J700" i="4"/>
  <c r="F696" i="22" s="1"/>
  <c r="J802" i="4"/>
  <c r="F795" i="22" s="1"/>
  <c r="K802" i="4"/>
  <c r="K891" i="4"/>
  <c r="J891" i="4"/>
  <c r="F66" i="22"/>
  <c r="K66" i="4"/>
  <c r="K145" i="4"/>
  <c r="F146" i="22"/>
  <c r="K208" i="4"/>
  <c r="F208" i="22"/>
  <c r="K244" i="4"/>
  <c r="F244" i="22"/>
  <c r="K319" i="4"/>
  <c r="F319" i="22"/>
  <c r="F394" i="22"/>
  <c r="K394" i="4"/>
  <c r="K572" i="4"/>
  <c r="F570" i="22"/>
  <c r="J612" i="4"/>
  <c r="F609" i="22" s="1"/>
  <c r="K612" i="4"/>
  <c r="F684" i="22"/>
  <c r="K688" i="4"/>
  <c r="K752" i="4"/>
  <c r="J752" i="4"/>
  <c r="F749" i="22" s="1"/>
  <c r="K843" i="4"/>
  <c r="J843" i="4"/>
  <c r="F836" i="22" s="1"/>
  <c r="K867" i="4"/>
  <c r="J867" i="4"/>
  <c r="F860" i="22" s="1"/>
  <c r="F97" i="22"/>
  <c r="K96" i="4"/>
  <c r="K133" i="4"/>
  <c r="F134" i="22"/>
  <c r="K209" i="4"/>
  <c r="F209" i="22"/>
  <c r="K257" i="4"/>
  <c r="J257" i="4"/>
  <c r="F257" i="22" s="1"/>
  <c r="F333" i="22"/>
  <c r="K333" i="4"/>
  <c r="K407" i="4"/>
  <c r="F407" i="22"/>
  <c r="F533" i="22"/>
  <c r="K535" i="4"/>
  <c r="K613" i="4"/>
  <c r="J613" i="4"/>
  <c r="F610" i="22" s="1"/>
  <c r="F685" i="22"/>
  <c r="K689" i="4"/>
  <c r="K804" i="4"/>
  <c r="J804" i="4"/>
  <c r="F797" i="22" s="1"/>
  <c r="J868" i="4"/>
  <c r="F861" i="22" s="1"/>
  <c r="K868" i="4"/>
  <c r="J22" i="4"/>
  <c r="K22" i="4"/>
  <c r="F70" i="22"/>
  <c r="K70" i="4"/>
  <c r="K109" i="4"/>
  <c r="F110" i="22"/>
  <c r="K134" i="4"/>
  <c r="F135" i="22"/>
  <c r="K159" i="4"/>
  <c r="F160" i="22"/>
  <c r="F210" i="22"/>
  <c r="K210" i="4"/>
  <c r="J258" i="4"/>
  <c r="F258" i="22" s="1"/>
  <c r="K258" i="4"/>
  <c r="K295" i="4"/>
  <c r="J295" i="4"/>
  <c r="F295" i="22" s="1"/>
  <c r="K321" i="4"/>
  <c r="K372" i="4"/>
  <c r="F372" i="22"/>
  <c r="F408" i="22"/>
  <c r="K408" i="4"/>
  <c r="J453" i="4"/>
  <c r="F453" i="22" s="1"/>
  <c r="K453" i="4"/>
  <c r="K548" i="4"/>
  <c r="F546" i="22"/>
  <c r="F599" i="22"/>
  <c r="K602" i="4"/>
  <c r="F647" i="22"/>
  <c r="K650" i="4"/>
  <c r="K704" i="4"/>
  <c r="J704" i="4"/>
  <c r="K754" i="4"/>
  <c r="J754" i="4"/>
  <c r="F751" i="22" s="1"/>
  <c r="K881" i="4"/>
  <c r="J881" i="4"/>
  <c r="F874" i="22" s="1"/>
  <c r="J12" i="4"/>
  <c r="F12" i="22" s="1"/>
  <c r="K12" i="4"/>
  <c r="F30" i="22"/>
  <c r="K30" i="4"/>
  <c r="F73" i="22"/>
  <c r="K73" i="4"/>
  <c r="F89" i="22"/>
  <c r="K88" i="4"/>
  <c r="K100" i="4"/>
  <c r="F101" i="22"/>
  <c r="K112" i="4"/>
  <c r="K125" i="4"/>
  <c r="F126" i="22"/>
  <c r="K137" i="4"/>
  <c r="F138" i="22"/>
  <c r="F151" i="22"/>
  <c r="K150" i="4"/>
  <c r="F163" i="22"/>
  <c r="K162" i="4"/>
  <c r="F175" i="22"/>
  <c r="K174" i="4"/>
  <c r="F187" i="22"/>
  <c r="K186" i="4"/>
  <c r="K199" i="4"/>
  <c r="F199" i="22"/>
  <c r="K213" i="4"/>
  <c r="F213" i="22"/>
  <c r="K225" i="4"/>
  <c r="F225" i="22"/>
  <c r="K237" i="4"/>
  <c r="F237" i="22"/>
  <c r="K249" i="4"/>
  <c r="F249" i="22"/>
  <c r="K261" i="4"/>
  <c r="F261" i="22"/>
  <c r="K286" i="4"/>
  <c r="F286" i="22"/>
  <c r="K298" i="4"/>
  <c r="F298" i="22"/>
  <c r="K310" i="4"/>
  <c r="F310" i="22"/>
  <c r="F324" i="22"/>
  <c r="K324" i="4"/>
  <c r="F338" i="22"/>
  <c r="K338" i="4"/>
  <c r="F351" i="22"/>
  <c r="K351" i="4"/>
  <c r="K363" i="4"/>
  <c r="F363" i="22"/>
  <c r="K375" i="4"/>
  <c r="F375" i="22"/>
  <c r="K387" i="4"/>
  <c r="F387" i="22"/>
  <c r="K399" i="4"/>
  <c r="F399" i="22"/>
  <c r="K411" i="4"/>
  <c r="F411" i="22"/>
  <c r="F425" i="22"/>
  <c r="K425" i="4"/>
  <c r="K439" i="4"/>
  <c r="J456" i="4"/>
  <c r="F456" i="22" s="1"/>
  <c r="K456" i="4"/>
  <c r="F468" i="22"/>
  <c r="K468" i="4"/>
  <c r="F480" i="22"/>
  <c r="K480" i="4"/>
  <c r="K539" i="4"/>
  <c r="F537" i="22"/>
  <c r="F549" i="22"/>
  <c r="K551" i="4"/>
  <c r="F563" i="22"/>
  <c r="K565" i="4"/>
  <c r="F575" i="22"/>
  <c r="K577" i="4"/>
  <c r="F587" i="22"/>
  <c r="K589" i="4"/>
  <c r="F602" i="22"/>
  <c r="K605" i="4"/>
  <c r="J617" i="4"/>
  <c r="F614" i="22" s="1"/>
  <c r="K617" i="4"/>
  <c r="F626" i="22"/>
  <c r="K629" i="4"/>
  <c r="F638" i="22"/>
  <c r="K641" i="4"/>
  <c r="F650" i="22"/>
  <c r="K653" i="4"/>
  <c r="F662" i="22"/>
  <c r="K665" i="4"/>
  <c r="F677" i="22"/>
  <c r="K680" i="4"/>
  <c r="K693" i="4"/>
  <c r="F689" i="22"/>
  <c r="K707" i="4"/>
  <c r="J707" i="4"/>
  <c r="F703" i="22" s="1"/>
  <c r="K719" i="4"/>
  <c r="J719" i="4"/>
  <c r="F715" i="22" s="1"/>
  <c r="J733" i="4"/>
  <c r="F729" i="22" s="1"/>
  <c r="K733" i="4"/>
  <c r="J745" i="4"/>
  <c r="F741" i="22" s="1"/>
  <c r="K745" i="4"/>
  <c r="J758" i="4"/>
  <c r="F755" i="22" s="1"/>
  <c r="K758" i="4"/>
  <c r="J796" i="4"/>
  <c r="F789" i="22" s="1"/>
  <c r="K796" i="4"/>
  <c r="J810" i="4"/>
  <c r="F803" i="22" s="1"/>
  <c r="K810" i="4"/>
  <c r="K824" i="4"/>
  <c r="J824" i="4"/>
  <c r="F817" i="22" s="1"/>
  <c r="K836" i="4"/>
  <c r="J836" i="4"/>
  <c r="F829" i="22" s="1"/>
  <c r="K848" i="4"/>
  <c r="J848" i="4"/>
  <c r="F841" i="22" s="1"/>
  <c r="K860" i="4"/>
  <c r="J860" i="4"/>
  <c r="F853" i="22" s="1"/>
  <c r="K872" i="4"/>
  <c r="J872" i="4"/>
  <c r="F865" i="22" s="1"/>
  <c r="K885" i="4"/>
  <c r="J885" i="4"/>
  <c r="K897" i="4"/>
  <c r="J897" i="4"/>
  <c r="K909" i="4"/>
  <c r="J909" i="4"/>
  <c r="J921" i="4"/>
  <c r="K921" i="4"/>
  <c r="K18" i="4"/>
  <c r="J18" i="4"/>
  <c r="F18" i="22" s="1"/>
  <c r="J255" i="4"/>
  <c r="F255" i="22" s="1"/>
  <c r="K255" i="4"/>
  <c r="F357" i="22"/>
  <c r="K357" i="4"/>
  <c r="F431" i="22"/>
  <c r="K431" i="4"/>
  <c r="K533" i="4"/>
  <c r="F531" i="22"/>
  <c r="F620" i="22"/>
  <c r="K623" i="4"/>
  <c r="J713" i="4"/>
  <c r="F709" i="22" s="1"/>
  <c r="K713" i="4"/>
  <c r="K830" i="4"/>
  <c r="J830" i="4"/>
  <c r="F823" i="22" s="1"/>
  <c r="K915" i="4"/>
  <c r="J915" i="4"/>
  <c r="K7" i="4"/>
  <c r="J7" i="4"/>
  <c r="F7" i="22" s="1"/>
  <c r="F133" i="22"/>
  <c r="K132" i="4"/>
  <c r="K194" i="4"/>
  <c r="F194" i="22"/>
  <c r="K332" i="4"/>
  <c r="F332" i="22"/>
  <c r="F406" i="22"/>
  <c r="K406" i="4"/>
  <c r="F475" i="22"/>
  <c r="K475" i="4"/>
  <c r="K600" i="4"/>
  <c r="F597" i="22"/>
  <c r="F657" i="22"/>
  <c r="K660" i="4"/>
  <c r="J726" i="4"/>
  <c r="F722" i="22" s="1"/>
  <c r="K726" i="4"/>
  <c r="K831" i="4"/>
  <c r="J831" i="4"/>
  <c r="F824" i="22" s="1"/>
  <c r="J892" i="4"/>
  <c r="K892" i="4"/>
  <c r="K69" i="4"/>
  <c r="F69" i="22"/>
  <c r="F159" i="22"/>
  <c r="K158" i="4"/>
  <c r="K245" i="4"/>
  <c r="F245" i="22"/>
  <c r="F320" i="22"/>
  <c r="K320" i="4"/>
  <c r="K395" i="4"/>
  <c r="F395" i="22"/>
  <c r="K476" i="4"/>
  <c r="F476" i="22"/>
  <c r="K585" i="4"/>
  <c r="F583" i="22"/>
  <c r="K676" i="4"/>
  <c r="J741" i="4"/>
  <c r="F737" i="22" s="1"/>
  <c r="K741" i="4"/>
  <c r="J832" i="4"/>
  <c r="F825" i="22" s="1"/>
  <c r="K832" i="4"/>
  <c r="J880" i="4"/>
  <c r="F873" i="22" s="1"/>
  <c r="K880" i="4"/>
  <c r="K183" i="4"/>
  <c r="F184" i="22"/>
  <c r="F234" i="22"/>
  <c r="K234" i="4"/>
  <c r="J282" i="4"/>
  <c r="F282" i="22" s="1"/>
  <c r="K282" i="4"/>
  <c r="K335" i="4"/>
  <c r="F335" i="22"/>
  <c r="F360" i="22"/>
  <c r="K360" i="4"/>
  <c r="K422" i="4"/>
  <c r="J422" i="4"/>
  <c r="F422" i="22" s="1"/>
  <c r="F477" i="22"/>
  <c r="K477" i="4"/>
  <c r="F560" i="22"/>
  <c r="K561" i="4"/>
  <c r="J614" i="4"/>
  <c r="F611" i="22" s="1"/>
  <c r="K614" i="4"/>
  <c r="F659" i="22"/>
  <c r="K662" i="4"/>
  <c r="K716" i="4"/>
  <c r="J716" i="4"/>
  <c r="F712" i="22" s="1"/>
  <c r="J793" i="4"/>
  <c r="F786" i="22" s="1"/>
  <c r="K793" i="4"/>
  <c r="K833" i="4"/>
  <c r="J833" i="4"/>
  <c r="F826" i="22" s="1"/>
  <c r="J869" i="4"/>
  <c r="F862" i="22" s="1"/>
  <c r="K869" i="4"/>
  <c r="K894" i="4"/>
  <c r="J894" i="4"/>
  <c r="K13" i="4"/>
  <c r="J13" i="4"/>
  <c r="F13" i="22" s="1"/>
  <c r="K33" i="4"/>
  <c r="F33" i="22"/>
  <c r="K74" i="4"/>
  <c r="F74" i="22"/>
  <c r="K89" i="4"/>
  <c r="F90" i="22"/>
  <c r="K101" i="4"/>
  <c r="F102" i="22"/>
  <c r="F115" i="22"/>
  <c r="K114" i="4"/>
  <c r="F127" i="22"/>
  <c r="K126" i="4"/>
  <c r="F139" i="22"/>
  <c r="K138" i="4"/>
  <c r="K151" i="4"/>
  <c r="F152" i="22"/>
  <c r="K163" i="4"/>
  <c r="F164" i="22"/>
  <c r="K175" i="4"/>
  <c r="F176" i="22"/>
  <c r="K188" i="4"/>
  <c r="F188" i="22"/>
  <c r="K200" i="4"/>
  <c r="F200" i="22"/>
  <c r="K214" i="4"/>
  <c r="F226" i="22"/>
  <c r="K226" i="4"/>
  <c r="F238" i="22"/>
  <c r="K238" i="4"/>
  <c r="K250" i="4"/>
  <c r="F250" i="22"/>
  <c r="J262" i="4"/>
  <c r="F262" i="22" s="1"/>
  <c r="K262" i="4"/>
  <c r="K274" i="4"/>
  <c r="J274" i="4"/>
  <c r="F274" i="22" s="1"/>
  <c r="K287" i="4"/>
  <c r="F287" i="22"/>
  <c r="K299" i="4"/>
  <c r="F299" i="22"/>
  <c r="K311" i="4"/>
  <c r="F311" i="22"/>
  <c r="K325" i="4"/>
  <c r="F325" i="22"/>
  <c r="K339" i="4"/>
  <c r="F339" i="22"/>
  <c r="K352" i="4"/>
  <c r="F352" i="22"/>
  <c r="K364" i="4"/>
  <c r="F364" i="22"/>
  <c r="F376" i="22"/>
  <c r="K376" i="4"/>
  <c r="F388" i="22"/>
  <c r="K388" i="4"/>
  <c r="F400" i="22"/>
  <c r="K400" i="4"/>
  <c r="F412" i="22"/>
  <c r="K412" i="4"/>
  <c r="K426" i="4"/>
  <c r="F426" i="22"/>
  <c r="K441" i="4"/>
  <c r="F441" i="22"/>
  <c r="J457" i="4"/>
  <c r="F457" i="22" s="1"/>
  <c r="K457" i="4"/>
  <c r="K469" i="4"/>
  <c r="F469" i="22"/>
  <c r="F481" i="22"/>
  <c r="K481" i="4"/>
  <c r="F538" i="22"/>
  <c r="K540" i="4"/>
  <c r="F550" i="22"/>
  <c r="K552" i="4"/>
  <c r="K566" i="4"/>
  <c r="F564" i="22"/>
  <c r="K578" i="4"/>
  <c r="F576" i="22"/>
  <c r="K590" i="4"/>
  <c r="F588" i="22"/>
  <c r="K606" i="4"/>
  <c r="F603" i="22"/>
  <c r="K618" i="4"/>
  <c r="F615" i="22"/>
  <c r="K630" i="4"/>
  <c r="F627" i="22"/>
  <c r="K642" i="4"/>
  <c r="F639" i="22"/>
  <c r="K654" i="4"/>
  <c r="F651" i="22"/>
  <c r="K666" i="4"/>
  <c r="F663" i="22"/>
  <c r="K682" i="4"/>
  <c r="K694" i="4"/>
  <c r="F690" i="22"/>
  <c r="J708" i="4"/>
  <c r="K708" i="4"/>
  <c r="J720" i="4"/>
  <c r="F716" i="22" s="1"/>
  <c r="K720" i="4"/>
  <c r="K734" i="4"/>
  <c r="J734" i="4"/>
  <c r="F730" i="22" s="1"/>
  <c r="K746" i="4"/>
  <c r="J746" i="4"/>
  <c r="F742" i="22" s="1"/>
  <c r="K759" i="4"/>
  <c r="J759" i="4"/>
  <c r="F756" i="22" s="1"/>
  <c r="K797" i="4"/>
  <c r="J797" i="4"/>
  <c r="F790" i="22" s="1"/>
  <c r="J811" i="4"/>
  <c r="F804" i="22" s="1"/>
  <c r="K811" i="4"/>
  <c r="K825" i="4"/>
  <c r="J825" i="4"/>
  <c r="F818" i="22" s="1"/>
  <c r="J837" i="4"/>
  <c r="F830" i="22" s="1"/>
  <c r="K837" i="4"/>
  <c r="J849" i="4"/>
  <c r="F842" i="22" s="1"/>
  <c r="K849" i="4"/>
  <c r="J861" i="4"/>
  <c r="F854" i="22" s="1"/>
  <c r="K861" i="4"/>
  <c r="K873" i="4"/>
  <c r="J873" i="4"/>
  <c r="F866" i="22" s="1"/>
  <c r="J886" i="4"/>
  <c r="K886" i="4"/>
  <c r="J898" i="4"/>
  <c r="K898" i="4"/>
  <c r="J910" i="4"/>
  <c r="K910" i="4"/>
  <c r="J922" i="4"/>
  <c r="K922" i="4"/>
  <c r="K231" i="4"/>
  <c r="I288" i="10"/>
  <c r="F318" i="22"/>
  <c r="K318" i="4"/>
  <c r="K369" i="4"/>
  <c r="F369" i="22"/>
  <c r="F462" i="22"/>
  <c r="K462" i="4"/>
  <c r="F581" i="22"/>
  <c r="K583" i="4"/>
  <c r="K687" i="4"/>
  <c r="F683" i="22"/>
  <c r="K818" i="4"/>
  <c r="J818" i="4"/>
  <c r="F811" i="22" s="1"/>
  <c r="K903" i="4"/>
  <c r="J903" i="4"/>
  <c r="K95" i="4"/>
  <c r="F96" i="22"/>
  <c r="K14" i="4"/>
  <c r="J14" i="4"/>
  <c r="F14" i="22" s="1"/>
  <c r="F34" i="22"/>
  <c r="K34" i="4"/>
  <c r="F91" i="22"/>
  <c r="K90" i="4"/>
  <c r="F103" i="22"/>
  <c r="K102" i="4"/>
  <c r="K127" i="4"/>
  <c r="F128" i="22"/>
  <c r="K139" i="4"/>
  <c r="F140" i="22"/>
  <c r="K164" i="4"/>
  <c r="F165" i="22"/>
  <c r="K176" i="4"/>
  <c r="F177" i="22"/>
  <c r="K189" i="4"/>
  <c r="F189" i="22"/>
  <c r="K201" i="4"/>
  <c r="F201" i="22"/>
  <c r="K215" i="4"/>
  <c r="F215" i="22"/>
  <c r="K227" i="4"/>
  <c r="F227" i="22"/>
  <c r="F239" i="22"/>
  <c r="K239" i="4"/>
  <c r="K251" i="4"/>
  <c r="F251" i="22"/>
  <c r="K275" i="4"/>
  <c r="J275" i="4"/>
  <c r="F275" i="22" s="1"/>
  <c r="F288" i="22"/>
  <c r="K288" i="4"/>
  <c r="F300" i="22"/>
  <c r="K300" i="4"/>
  <c r="F312" i="22"/>
  <c r="K312" i="4"/>
  <c r="K326" i="4"/>
  <c r="F326" i="22"/>
  <c r="K340" i="4"/>
  <c r="F340" i="22"/>
  <c r="K353" i="4"/>
  <c r="F353" i="22"/>
  <c r="K365" i="4"/>
  <c r="F365" i="22"/>
  <c r="K377" i="4"/>
  <c r="F377" i="22"/>
  <c r="K389" i="4"/>
  <c r="F389" i="22"/>
  <c r="F401" i="22"/>
  <c r="K401" i="4"/>
  <c r="F415" i="22"/>
  <c r="K415" i="4"/>
  <c r="F427" i="22"/>
  <c r="K427" i="4"/>
  <c r="K442" i="4"/>
  <c r="F442" i="22"/>
  <c r="K458" i="4"/>
  <c r="J458" i="4"/>
  <c r="F458" i="22" s="1"/>
  <c r="F470" i="22"/>
  <c r="K470" i="4"/>
  <c r="K482" i="4"/>
  <c r="F482" i="22"/>
  <c r="K541" i="4"/>
  <c r="F539" i="22"/>
  <c r="K554" i="4"/>
  <c r="F552" i="22"/>
  <c r="K567" i="4"/>
  <c r="F565" i="22"/>
  <c r="K579" i="4"/>
  <c r="F577" i="22"/>
  <c r="K592" i="4"/>
  <c r="F589" i="22"/>
  <c r="K607" i="4"/>
  <c r="J607" i="4"/>
  <c r="F604" i="22" s="1"/>
  <c r="K619" i="4"/>
  <c r="F616" i="22"/>
  <c r="K631" i="4"/>
  <c r="F628" i="22"/>
  <c r="K643" i="4"/>
  <c r="F640" i="22"/>
  <c r="K655" i="4"/>
  <c r="F652" i="22"/>
  <c r="K667" i="4"/>
  <c r="F664" i="22"/>
  <c r="F679" i="22"/>
  <c r="K683" i="4"/>
  <c r="F691" i="22"/>
  <c r="K695" i="4"/>
  <c r="J709" i="4"/>
  <c r="F705" i="22" s="1"/>
  <c r="K709" i="4"/>
  <c r="J721" i="4"/>
  <c r="F717" i="22" s="1"/>
  <c r="K721" i="4"/>
  <c r="J735" i="4"/>
  <c r="F731" i="22" s="1"/>
  <c r="K735" i="4"/>
  <c r="J747" i="4"/>
  <c r="F743" i="22" s="1"/>
  <c r="K747" i="4"/>
  <c r="J760" i="4"/>
  <c r="F757" i="22" s="1"/>
  <c r="K760" i="4"/>
  <c r="K798" i="4"/>
  <c r="J798" i="4"/>
  <c r="F791" i="22" s="1"/>
  <c r="J826" i="4"/>
  <c r="F819" i="22" s="1"/>
  <c r="K826" i="4"/>
  <c r="J838" i="4"/>
  <c r="F831" i="22" s="1"/>
  <c r="K838" i="4"/>
  <c r="J850" i="4"/>
  <c r="F843" i="22" s="1"/>
  <c r="K850" i="4"/>
  <c r="J862" i="4"/>
  <c r="F855" i="22" s="1"/>
  <c r="K862" i="4"/>
  <c r="J874" i="4"/>
  <c r="F867" i="22" s="1"/>
  <c r="K874" i="4"/>
  <c r="K887" i="4"/>
  <c r="J887" i="4"/>
  <c r="K899" i="4"/>
  <c r="J899" i="4"/>
  <c r="K911" i="4"/>
  <c r="J911" i="4"/>
  <c r="J923" i="4"/>
  <c r="K923" i="4"/>
  <c r="K6" i="4"/>
  <c r="J6" i="4"/>
  <c r="F6" i="22" s="1"/>
  <c r="F145" i="22"/>
  <c r="K144" i="4"/>
  <c r="F181" i="22"/>
  <c r="K180" i="4"/>
  <c r="J267" i="4"/>
  <c r="F267" i="22" s="1"/>
  <c r="K267" i="4"/>
  <c r="K381" i="4"/>
  <c r="F381" i="22"/>
  <c r="K545" i="4"/>
  <c r="F543" i="22"/>
  <c r="F656" i="22"/>
  <c r="K659" i="4"/>
  <c r="J751" i="4"/>
  <c r="F748" i="22" s="1"/>
  <c r="K751" i="4"/>
  <c r="K878" i="4"/>
  <c r="J878" i="4"/>
  <c r="F871" i="22" s="1"/>
  <c r="K19" i="4"/>
  <c r="J19" i="4"/>
  <c r="F19" i="22" s="1"/>
  <c r="K157" i="4"/>
  <c r="F158" i="22"/>
  <c r="K232" i="4"/>
  <c r="F232" i="22"/>
  <c r="K305" i="4"/>
  <c r="F305" i="22"/>
  <c r="F382" i="22"/>
  <c r="K382" i="4"/>
  <c r="F532" i="22"/>
  <c r="K534" i="4"/>
  <c r="F633" i="22"/>
  <c r="K636" i="4"/>
  <c r="K740" i="4"/>
  <c r="J740" i="4"/>
  <c r="F736" i="22" s="1"/>
  <c r="J916" i="4"/>
  <c r="K916" i="4"/>
  <c r="K20" i="4"/>
  <c r="J20" i="4"/>
  <c r="F20" i="22" s="1"/>
  <c r="K170" i="4"/>
  <c r="F171" i="22"/>
  <c r="F294" i="22"/>
  <c r="K294" i="4"/>
  <c r="J421" i="4"/>
  <c r="F421" i="22" s="1"/>
  <c r="K421" i="4"/>
  <c r="K573" i="4"/>
  <c r="F571" i="22"/>
  <c r="K661" i="4"/>
  <c r="F658" i="22"/>
  <c r="K792" i="4"/>
  <c r="J792" i="4"/>
  <c r="F785" i="22" s="1"/>
  <c r="J905" i="4"/>
  <c r="K905" i="4"/>
  <c r="F76" i="22"/>
  <c r="K75" i="4"/>
  <c r="K140" i="4"/>
  <c r="F141" i="22"/>
  <c r="K190" i="4"/>
  <c r="F190" i="22"/>
  <c r="F228" i="22"/>
  <c r="K228" i="4"/>
  <c r="K313" i="4"/>
  <c r="F313" i="22"/>
  <c r="K354" i="4"/>
  <c r="F416" i="22"/>
  <c r="K416" i="4"/>
  <c r="F459" i="22"/>
  <c r="K459" i="4"/>
  <c r="K542" i="4"/>
  <c r="F540" i="22"/>
  <c r="F578" i="22"/>
  <c r="K580" i="4"/>
  <c r="F629" i="22"/>
  <c r="K632" i="4"/>
  <c r="F665" i="22"/>
  <c r="K668" i="4"/>
  <c r="F692" i="22"/>
  <c r="K696" i="4"/>
  <c r="K710" i="4"/>
  <c r="J710" i="4"/>
  <c r="F706" i="22" s="1"/>
  <c r="J736" i="4"/>
  <c r="F732" i="22" s="1"/>
  <c r="K736" i="4"/>
  <c r="J762" i="4"/>
  <c r="F758" i="22" s="1"/>
  <c r="K762" i="4"/>
  <c r="K815" i="4"/>
  <c r="J815" i="4"/>
  <c r="F808" i="22" s="1"/>
  <c r="J827" i="4"/>
  <c r="F820" i="22" s="1"/>
  <c r="K827" i="4"/>
  <c r="J851" i="4"/>
  <c r="F844" i="22" s="1"/>
  <c r="K851" i="4"/>
  <c r="K863" i="4"/>
  <c r="J863" i="4"/>
  <c r="F856" i="22" s="1"/>
  <c r="J875" i="4"/>
  <c r="F868" i="22" s="1"/>
  <c r="K875" i="4"/>
  <c r="K900" i="4"/>
  <c r="J900" i="4"/>
  <c r="K912" i="4"/>
  <c r="J912" i="4"/>
  <c r="K924" i="4"/>
  <c r="J924" i="4"/>
  <c r="K82" i="4"/>
  <c r="F83" i="22"/>
  <c r="K131" i="4"/>
  <c r="F132" i="22"/>
  <c r="K207" i="4"/>
  <c r="F207" i="22"/>
  <c r="F304" i="22"/>
  <c r="K304" i="4"/>
  <c r="K393" i="4"/>
  <c r="F393" i="22"/>
  <c r="F556" i="22"/>
  <c r="K558" i="4"/>
  <c r="F644" i="22"/>
  <c r="K647" i="4"/>
  <c r="K739" i="4"/>
  <c r="J739" i="4"/>
  <c r="F735" i="22" s="1"/>
  <c r="K854" i="4"/>
  <c r="J854" i="4"/>
  <c r="F847" i="22" s="1"/>
  <c r="F121" i="22"/>
  <c r="K120" i="4"/>
  <c r="K220" i="4"/>
  <c r="F220" i="22"/>
  <c r="K293" i="4"/>
  <c r="F370" i="22"/>
  <c r="K370" i="4"/>
  <c r="K463" i="4"/>
  <c r="F463" i="22"/>
  <c r="F582" i="22"/>
  <c r="K584" i="4"/>
  <c r="K675" i="4"/>
  <c r="K791" i="4"/>
  <c r="J791" i="4"/>
  <c r="F784" i="22" s="1"/>
  <c r="K879" i="4"/>
  <c r="J879" i="4"/>
  <c r="F872" i="22" s="1"/>
  <c r="F109" i="22"/>
  <c r="K108" i="4"/>
  <c r="K195" i="4"/>
  <c r="F195" i="22"/>
  <c r="K281" i="4"/>
  <c r="J281" i="4"/>
  <c r="F281" i="22" s="1"/>
  <c r="K383" i="4"/>
  <c r="F383" i="22"/>
  <c r="K547" i="4"/>
  <c r="F545" i="22"/>
  <c r="K625" i="4"/>
  <c r="F622" i="22"/>
  <c r="J727" i="4"/>
  <c r="F723" i="22" s="1"/>
  <c r="K727" i="4"/>
  <c r="J844" i="4"/>
  <c r="F837" i="22" s="1"/>
  <c r="K844" i="4"/>
  <c r="F116" i="22"/>
  <c r="K115" i="4"/>
  <c r="K35" i="4"/>
  <c r="F35" i="22"/>
  <c r="K103" i="4"/>
  <c r="F104" i="22"/>
  <c r="F129" i="22"/>
  <c r="K128" i="4"/>
  <c r="K165" i="4"/>
  <c r="F166" i="22"/>
  <c r="F216" i="22"/>
  <c r="K216" i="4"/>
  <c r="F252" i="22"/>
  <c r="K252" i="4"/>
  <c r="K289" i="4"/>
  <c r="F289" i="22"/>
  <c r="K328" i="4"/>
  <c r="F328" i="22"/>
  <c r="F366" i="22"/>
  <c r="K366" i="4"/>
  <c r="K390" i="4"/>
  <c r="K443" i="4"/>
  <c r="F483" i="22"/>
  <c r="K483" i="4"/>
  <c r="F566" i="22"/>
  <c r="K568" i="4"/>
  <c r="J608" i="4"/>
  <c r="F605" i="22" s="1"/>
  <c r="K608" i="4"/>
  <c r="F653" i="22"/>
  <c r="K656" i="4"/>
  <c r="K722" i="4"/>
  <c r="J722" i="4"/>
  <c r="F718" i="22" s="1"/>
  <c r="K16" i="4"/>
  <c r="J16" i="4"/>
  <c r="F16" i="22" s="1"/>
  <c r="K36" i="4"/>
  <c r="F36" i="22"/>
  <c r="F79" i="22"/>
  <c r="K78" i="4"/>
  <c r="K92" i="4"/>
  <c r="F93" i="22"/>
  <c r="F105" i="22"/>
  <c r="K104" i="4"/>
  <c r="K117" i="4"/>
  <c r="F118" i="22"/>
  <c r="K129" i="4"/>
  <c r="F130" i="22"/>
  <c r="K141" i="4"/>
  <c r="F142" i="22"/>
  <c r="K154" i="4"/>
  <c r="F155" i="22"/>
  <c r="K166" i="4"/>
  <c r="F167" i="22"/>
  <c r="K178" i="4"/>
  <c r="F179" i="22"/>
  <c r="K191" i="4"/>
  <c r="F191" i="22"/>
  <c r="K203" i="4"/>
  <c r="F203" i="22"/>
  <c r="K217" i="4"/>
  <c r="I286" i="10"/>
  <c r="K229" i="4"/>
  <c r="F229" i="22"/>
  <c r="F241" i="22"/>
  <c r="K241" i="4"/>
  <c r="F253" i="22"/>
  <c r="K253" i="4"/>
  <c r="K265" i="4"/>
  <c r="J265" i="4"/>
  <c r="F265" i="22" s="1"/>
  <c r="K277" i="4"/>
  <c r="J277" i="4"/>
  <c r="F277" i="22" s="1"/>
  <c r="F290" i="22"/>
  <c r="K290" i="4"/>
  <c r="K302" i="4"/>
  <c r="F302" i="22"/>
  <c r="F314" i="22"/>
  <c r="K314" i="4"/>
  <c r="K329" i="4"/>
  <c r="F329" i="22"/>
  <c r="F342" i="22"/>
  <c r="K342" i="4"/>
  <c r="K355" i="4"/>
  <c r="F355" i="22"/>
  <c r="K367" i="4"/>
  <c r="F367" i="22"/>
  <c r="F379" i="22"/>
  <c r="K379" i="4"/>
  <c r="F391" i="22"/>
  <c r="K391" i="4"/>
  <c r="F403" i="22"/>
  <c r="K403" i="4"/>
  <c r="K417" i="4"/>
  <c r="F417" i="22"/>
  <c r="K429" i="4"/>
  <c r="F429" i="22"/>
  <c r="K445" i="4"/>
  <c r="F445" i="22"/>
  <c r="K460" i="4"/>
  <c r="F460" i="22"/>
  <c r="K472" i="4"/>
  <c r="F472" i="22"/>
  <c r="K484" i="4"/>
  <c r="F484" i="22"/>
  <c r="F541" i="22"/>
  <c r="K543" i="4"/>
  <c r="F554" i="22"/>
  <c r="K556" i="4"/>
  <c r="F567" i="22"/>
  <c r="K569" i="4"/>
  <c r="F579" i="22"/>
  <c r="K581" i="4"/>
  <c r="K597" i="4"/>
  <c r="F594" i="22"/>
  <c r="J609" i="4"/>
  <c r="F606" i="22" s="1"/>
  <c r="K609" i="4"/>
  <c r="K621" i="4"/>
  <c r="F618" i="22"/>
  <c r="F630" i="22"/>
  <c r="K633" i="4"/>
  <c r="K645" i="4"/>
  <c r="F642" i="22"/>
  <c r="F654" i="22"/>
  <c r="K657" i="4"/>
  <c r="F666" i="22"/>
  <c r="K669" i="4"/>
  <c r="K685" i="4"/>
  <c r="F681" i="22"/>
  <c r="K697" i="4"/>
  <c r="J711" i="4"/>
  <c r="F707" i="22" s="1"/>
  <c r="K711" i="4"/>
  <c r="J723" i="4"/>
  <c r="F719" i="22" s="1"/>
  <c r="K723" i="4"/>
  <c r="J737" i="4"/>
  <c r="F733" i="22" s="1"/>
  <c r="K737" i="4"/>
  <c r="J749" i="4"/>
  <c r="F745" i="22" s="1"/>
  <c r="K749" i="4"/>
  <c r="J763" i="4"/>
  <c r="F761" i="22" s="1"/>
  <c r="K763" i="4"/>
  <c r="J800" i="4"/>
  <c r="F793" i="22" s="1"/>
  <c r="K800" i="4"/>
  <c r="K816" i="4"/>
  <c r="K814" i="4" s="1"/>
  <c r="J816" i="4"/>
  <c r="F809" i="22" s="1"/>
  <c r="K828" i="4"/>
  <c r="J828" i="4"/>
  <c r="F821" i="22" s="1"/>
  <c r="K840" i="4"/>
  <c r="J840" i="4"/>
  <c r="F833" i="22" s="1"/>
  <c r="K852" i="4"/>
  <c r="J852" i="4"/>
  <c r="F845" i="22" s="1"/>
  <c r="K864" i="4"/>
  <c r="J864" i="4"/>
  <c r="F857" i="22" s="1"/>
  <c r="K876" i="4"/>
  <c r="J876" i="4"/>
  <c r="F869" i="22" s="1"/>
  <c r="J889" i="4"/>
  <c r="K889" i="4"/>
  <c r="J901" i="4"/>
  <c r="K901" i="4"/>
  <c r="J913" i="4"/>
  <c r="K913" i="4"/>
  <c r="J925" i="4"/>
  <c r="F918" i="22" s="1"/>
  <c r="K925" i="4"/>
  <c r="K121" i="4"/>
  <c r="F122" i="22"/>
  <c r="K221" i="4"/>
  <c r="F306" i="22"/>
  <c r="K306" i="4"/>
  <c r="K371" i="4"/>
  <c r="F371" i="22"/>
  <c r="F433" i="22"/>
  <c r="K433" i="4"/>
  <c r="K560" i="4"/>
  <c r="F558" i="22"/>
  <c r="K649" i="4"/>
  <c r="F646" i="22"/>
  <c r="K715" i="4"/>
  <c r="J715" i="4"/>
  <c r="F711" i="22" s="1"/>
  <c r="J820" i="4"/>
  <c r="F813" i="22" s="1"/>
  <c r="K820" i="4"/>
  <c r="J893" i="4"/>
  <c r="K893" i="4"/>
  <c r="K152" i="4"/>
  <c r="F153" i="22"/>
  <c r="J15" i="4"/>
  <c r="F15" i="22" s="1"/>
  <c r="K15" i="4"/>
  <c r="F92" i="22"/>
  <c r="K91" i="4"/>
  <c r="K116" i="4"/>
  <c r="F117" i="22"/>
  <c r="K153" i="4"/>
  <c r="F154" i="22"/>
  <c r="K177" i="4"/>
  <c r="F178" i="22"/>
  <c r="K202" i="4"/>
  <c r="F202" i="22"/>
  <c r="F240" i="22"/>
  <c r="K240" i="4"/>
  <c r="J276" i="4"/>
  <c r="F276" i="22" s="1"/>
  <c r="K276" i="4"/>
  <c r="K301" i="4"/>
  <c r="F301" i="22"/>
  <c r="K341" i="4"/>
  <c r="F341" i="22"/>
  <c r="K378" i="4"/>
  <c r="F378" i="22"/>
  <c r="K402" i="4"/>
  <c r="F402" i="22"/>
  <c r="F428" i="22"/>
  <c r="K428" i="4"/>
  <c r="F471" i="22"/>
  <c r="K471" i="4"/>
  <c r="F553" i="22"/>
  <c r="K555" i="4"/>
  <c r="F593" i="22"/>
  <c r="K596" i="4"/>
  <c r="F617" i="22"/>
  <c r="K620" i="4"/>
  <c r="F641" i="22"/>
  <c r="K644" i="4"/>
  <c r="F680" i="22"/>
  <c r="K684" i="4"/>
  <c r="K748" i="4"/>
  <c r="J748" i="4"/>
  <c r="F744" i="22" s="1"/>
  <c r="J799" i="4"/>
  <c r="F792" i="22" s="1"/>
  <c r="K799" i="4"/>
  <c r="K839" i="4"/>
  <c r="J839" i="4"/>
  <c r="F832" i="22" s="1"/>
  <c r="K888" i="4"/>
  <c r="J888" i="4"/>
  <c r="J5" i="4"/>
  <c r="K5" i="4"/>
  <c r="K17" i="4"/>
  <c r="J17" i="4"/>
  <c r="F17" i="22" s="1"/>
  <c r="F37" i="22"/>
  <c r="K37" i="4"/>
  <c r="F82" i="22"/>
  <c r="K81" i="4"/>
  <c r="K93" i="4"/>
  <c r="F94" i="22"/>
  <c r="K105" i="4"/>
  <c r="F106" i="22"/>
  <c r="F119" i="22"/>
  <c r="K118" i="4"/>
  <c r="K130" i="4"/>
  <c r="F131" i="22"/>
  <c r="K143" i="4"/>
  <c r="F144" i="22"/>
  <c r="K155" i="4"/>
  <c r="F156" i="22"/>
  <c r="K167" i="4"/>
  <c r="F168" i="22"/>
  <c r="K179" i="4"/>
  <c r="F180" i="22"/>
  <c r="F192" i="22"/>
  <c r="K192" i="4"/>
  <c r="F204" i="22"/>
  <c r="K204" i="4"/>
  <c r="K218" i="4"/>
  <c r="F218" i="22"/>
  <c r="F230" i="22"/>
  <c r="K230" i="4"/>
  <c r="K242" i="4"/>
  <c r="F242" i="22"/>
  <c r="K254" i="4"/>
  <c r="J254" i="4"/>
  <c r="F254" i="22" s="1"/>
  <c r="K266" i="4"/>
  <c r="J266" i="4"/>
  <c r="F266" i="22" s="1"/>
  <c r="K278" i="4"/>
  <c r="J278" i="4"/>
  <c r="F278" i="22" s="1"/>
  <c r="K291" i="4"/>
  <c r="F303" i="22"/>
  <c r="K303" i="4"/>
  <c r="K315" i="4"/>
  <c r="F315" i="22"/>
  <c r="F330" i="22"/>
  <c r="K330" i="4"/>
  <c r="K343" i="4"/>
  <c r="F343" i="22"/>
  <c r="K356" i="4"/>
  <c r="F356" i="22"/>
  <c r="K368" i="4"/>
  <c r="F368" i="22"/>
  <c r="F380" i="22"/>
  <c r="K380" i="4"/>
  <c r="K392" i="4"/>
  <c r="F392" i="22"/>
  <c r="F404" i="22"/>
  <c r="K404" i="4"/>
  <c r="F418" i="22"/>
  <c r="K418" i="4"/>
  <c r="F430" i="22"/>
  <c r="K430" i="4"/>
  <c r="K449" i="4"/>
  <c r="F449" i="22"/>
  <c r="K461" i="4"/>
  <c r="F461" i="22"/>
  <c r="K473" i="4"/>
  <c r="F473" i="22"/>
  <c r="K485" i="4"/>
  <c r="F485" i="22"/>
  <c r="K544" i="4"/>
  <c r="F542" i="22"/>
  <c r="K557" i="4"/>
  <c r="F555" i="22"/>
  <c r="K570" i="4"/>
  <c r="F568" i="22"/>
  <c r="K582" i="4"/>
  <c r="F580" i="22"/>
  <c r="K598" i="4"/>
  <c r="F595" i="22"/>
  <c r="K610" i="4"/>
  <c r="J610" i="4"/>
  <c r="F607" i="22" s="1"/>
  <c r="K622" i="4"/>
  <c r="F619" i="22"/>
  <c r="K634" i="4"/>
  <c r="F631" i="22"/>
  <c r="K646" i="4"/>
  <c r="F643" i="22"/>
  <c r="K658" i="4"/>
  <c r="F655" i="22"/>
  <c r="K670" i="4"/>
  <c r="F667" i="22"/>
  <c r="F682" i="22"/>
  <c r="K686" i="4"/>
  <c r="J699" i="4"/>
  <c r="F695" i="22" s="1"/>
  <c r="K699" i="4"/>
  <c r="J712" i="4"/>
  <c r="F708" i="22" s="1"/>
  <c r="K712" i="4"/>
  <c r="K724" i="4"/>
  <c r="J724" i="4"/>
  <c r="F720" i="22" s="1"/>
  <c r="J738" i="4"/>
  <c r="F734" i="22" s="1"/>
  <c r="K738" i="4"/>
  <c r="J750" i="4"/>
  <c r="F746" i="22" s="1"/>
  <c r="K750" i="4"/>
  <c r="J764" i="4"/>
  <c r="F762" i="22" s="1"/>
  <c r="K764" i="4"/>
  <c r="K801" i="4"/>
  <c r="J801" i="4"/>
  <c r="F794" i="22" s="1"/>
  <c r="J817" i="4"/>
  <c r="F810" i="22" s="1"/>
  <c r="K817" i="4"/>
  <c r="J829" i="4"/>
  <c r="F822" i="22" s="1"/>
  <c r="K829" i="4"/>
  <c r="J841" i="4"/>
  <c r="F834" i="22" s="1"/>
  <c r="K841" i="4"/>
  <c r="J853" i="4"/>
  <c r="F846" i="22" s="1"/>
  <c r="K853" i="4"/>
  <c r="J865" i="4"/>
  <c r="F858" i="22" s="1"/>
  <c r="K865" i="4"/>
  <c r="J877" i="4"/>
  <c r="F870" i="22" s="1"/>
  <c r="K877" i="4"/>
  <c r="K890" i="4"/>
  <c r="J890" i="4"/>
  <c r="K902" i="4"/>
  <c r="J902" i="4"/>
  <c r="K914" i="4"/>
  <c r="J914" i="4"/>
  <c r="K926" i="4"/>
  <c r="J926" i="4"/>
  <c r="D919" i="22" s="1"/>
  <c r="E918" i="22" s="1"/>
  <c r="F179" i="32"/>
  <c r="G179" i="32" s="1"/>
  <c r="H1600" i="4"/>
  <c r="G1600" i="4"/>
  <c r="O1600" i="4" s="1"/>
  <c r="H1520" i="4"/>
  <c r="G1520" i="4"/>
  <c r="H1528" i="4"/>
  <c r="G1528" i="4"/>
  <c r="H1536" i="4"/>
  <c r="G1536" i="4"/>
  <c r="H1544" i="4"/>
  <c r="G1544" i="4"/>
  <c r="H1552" i="4"/>
  <c r="G1552" i="4"/>
  <c r="H1560" i="4"/>
  <c r="G1560" i="4"/>
  <c r="H1568" i="4"/>
  <c r="G1568" i="4"/>
  <c r="O1568" i="4" s="1"/>
  <c r="H1576" i="4"/>
  <c r="G1576" i="4"/>
  <c r="H1584" i="4"/>
  <c r="G1584" i="4"/>
  <c r="O1584" i="4" s="1"/>
  <c r="H1592" i="4"/>
  <c r="G1592" i="4"/>
  <c r="O1592" i="4" s="1"/>
  <c r="H1608" i="4"/>
  <c r="G1608" i="4"/>
  <c r="O1608" i="4" s="1"/>
  <c r="H1616" i="4"/>
  <c r="G1616" i="4"/>
  <c r="H1626" i="4"/>
  <c r="G1626" i="4"/>
  <c r="H1642" i="4"/>
  <c r="I414" i="16" s="1"/>
  <c r="J414" i="16" s="1"/>
  <c r="G1642" i="4"/>
  <c r="H1650" i="4"/>
  <c r="I421" i="16" s="1"/>
  <c r="J421" i="16" s="1"/>
  <c r="G1650" i="4"/>
  <c r="H421" i="16" s="1"/>
  <c r="H1658" i="4"/>
  <c r="I426" i="16" s="1"/>
  <c r="J426" i="16" s="1"/>
  <c r="G1658" i="4"/>
  <c r="H426" i="16" s="1"/>
  <c r="H1666" i="4"/>
  <c r="G1666" i="4"/>
  <c r="O1666" i="4" s="1"/>
  <c r="H1674" i="4"/>
  <c r="G1674" i="4"/>
  <c r="O1674" i="4" s="1"/>
  <c r="H1682" i="4"/>
  <c r="I436" i="16" s="1"/>
  <c r="J436" i="16" s="1"/>
  <c r="G1682" i="4"/>
  <c r="H436" i="16" s="1"/>
  <c r="H1690" i="4"/>
  <c r="G1690" i="4"/>
  <c r="O1690" i="4" s="1"/>
  <c r="H1698" i="4"/>
  <c r="I444" i="16" s="1"/>
  <c r="J444" i="16" s="1"/>
  <c r="G1698" i="4"/>
  <c r="H444" i="16" s="1"/>
  <c r="H1706" i="4"/>
  <c r="G1706" i="4"/>
  <c r="O1706" i="4" s="1"/>
  <c r="H1714" i="4"/>
  <c r="G1714" i="4"/>
  <c r="O1714" i="4" s="1"/>
  <c r="H1722" i="4"/>
  <c r="G1722" i="4"/>
  <c r="O1722" i="4" s="1"/>
  <c r="H1730" i="4"/>
  <c r="I448" i="16" s="1"/>
  <c r="J448" i="16" s="1"/>
  <c r="G1730" i="4"/>
  <c r="H448" i="16" s="1"/>
  <c r="H1738" i="4"/>
  <c r="G1738" i="4"/>
  <c r="O1738" i="4" s="1"/>
  <c r="H1748" i="4"/>
  <c r="G1748" i="4"/>
  <c r="O1748" i="4" s="1"/>
  <c r="H1765" i="4"/>
  <c r="G1765" i="4"/>
  <c r="O1765" i="4" s="1"/>
  <c r="H1521" i="4"/>
  <c r="G1521" i="4"/>
  <c r="H1529" i="4"/>
  <c r="G1529" i="4"/>
  <c r="H1537" i="4"/>
  <c r="G1537" i="4"/>
  <c r="H1545" i="4"/>
  <c r="G1545" i="4"/>
  <c r="H1553" i="4"/>
  <c r="G1553" i="4"/>
  <c r="H1561" i="4"/>
  <c r="G1561" i="4"/>
  <c r="H1569" i="4"/>
  <c r="G1569" i="4"/>
  <c r="O1569" i="4" s="1"/>
  <c r="H1577" i="4"/>
  <c r="G1577" i="4"/>
  <c r="H1585" i="4"/>
  <c r="G1585" i="4"/>
  <c r="O1585" i="4" s="1"/>
  <c r="H1593" i="4"/>
  <c r="G1593" i="4"/>
  <c r="O1593" i="4" s="1"/>
  <c r="H1601" i="4"/>
  <c r="G1601" i="4"/>
  <c r="O1601" i="4" s="1"/>
  <c r="H1609" i="4"/>
  <c r="G1609" i="4"/>
  <c r="O1609" i="4" s="1"/>
  <c r="H1617" i="4"/>
  <c r="G1617" i="4"/>
  <c r="H1627" i="4"/>
  <c r="G1627" i="4"/>
  <c r="O1627" i="4" s="1"/>
  <c r="H1643" i="4"/>
  <c r="I415" i="16" s="1"/>
  <c r="J415" i="16" s="1"/>
  <c r="G1643" i="4"/>
  <c r="H1651" i="4"/>
  <c r="G1651" i="4"/>
  <c r="O1651" i="4" s="1"/>
  <c r="H1659" i="4"/>
  <c r="I427" i="16" s="1"/>
  <c r="J427" i="16" s="1"/>
  <c r="G1659" i="4"/>
  <c r="H427" i="16" s="1"/>
  <c r="H1667" i="4"/>
  <c r="I434" i="16" s="1"/>
  <c r="J434" i="16" s="1"/>
  <c r="G1667" i="4"/>
  <c r="H434" i="16" s="1"/>
  <c r="H1675" i="4"/>
  <c r="G1675" i="4"/>
  <c r="O1675" i="4" s="1"/>
  <c r="H1683" i="4"/>
  <c r="I437" i="16" s="1"/>
  <c r="J437" i="16" s="1"/>
  <c r="G1683" i="4"/>
  <c r="H437" i="16" s="1"/>
  <c r="H1691" i="4"/>
  <c r="G1691" i="4"/>
  <c r="O1691" i="4" s="1"/>
  <c r="H1699" i="4"/>
  <c r="I445" i="16" s="1"/>
  <c r="J445" i="16" s="1"/>
  <c r="G1699" i="4"/>
  <c r="H445" i="16" s="1"/>
  <c r="H1707" i="4"/>
  <c r="G1707" i="4"/>
  <c r="O1707" i="4" s="1"/>
  <c r="H1715" i="4"/>
  <c r="G1715" i="4"/>
  <c r="O1715" i="4" s="1"/>
  <c r="H1723" i="4"/>
  <c r="G1723" i="4"/>
  <c r="O1723" i="4" s="1"/>
  <c r="H1731" i="4"/>
  <c r="I449" i="16" s="1"/>
  <c r="J449" i="16" s="1"/>
  <c r="G1731" i="4"/>
  <c r="H449" i="16" s="1"/>
  <c r="H1741" i="4"/>
  <c r="G1741" i="4"/>
  <c r="O1741" i="4" s="1"/>
  <c r="H1749" i="4"/>
  <c r="G1749" i="4"/>
  <c r="O1749" i="4" s="1"/>
  <c r="H1766" i="4"/>
  <c r="G1766" i="4"/>
  <c r="O1766" i="4" s="1"/>
  <c r="H1522" i="4"/>
  <c r="G1522" i="4"/>
  <c r="H1530" i="4"/>
  <c r="G1530" i="4"/>
  <c r="H1538" i="4"/>
  <c r="G1538" i="4"/>
  <c r="H1546" i="4"/>
  <c r="G1546" i="4"/>
  <c r="H1554" i="4"/>
  <c r="G1554" i="4"/>
  <c r="H1562" i="4"/>
  <c r="G1562" i="4"/>
  <c r="H384" i="16" s="1"/>
  <c r="H1570" i="4"/>
  <c r="G1570" i="4"/>
  <c r="O1570" i="4" s="1"/>
  <c r="H1578" i="4"/>
  <c r="G1578" i="4"/>
  <c r="H1586" i="4"/>
  <c r="G1586" i="4"/>
  <c r="O1586" i="4" s="1"/>
  <c r="H1594" i="4"/>
  <c r="G1594" i="4"/>
  <c r="O1594" i="4" s="1"/>
  <c r="H1602" i="4"/>
  <c r="G1602" i="4"/>
  <c r="O1602" i="4" s="1"/>
  <c r="H1610" i="4"/>
  <c r="G1610" i="4"/>
  <c r="H1618" i="4"/>
  <c r="G1618" i="4"/>
  <c r="O1618" i="4" s="1"/>
  <c r="H1628" i="4"/>
  <c r="G1628" i="4"/>
  <c r="O1628" i="4" s="1"/>
  <c r="H1644" i="4"/>
  <c r="I416" i="16" s="1"/>
  <c r="J416" i="16" s="1"/>
  <c r="G1644" i="4"/>
  <c r="H416" i="16" s="1"/>
  <c r="H1652" i="4"/>
  <c r="I422" i="16" s="1"/>
  <c r="J422" i="16" s="1"/>
  <c r="G1652" i="4"/>
  <c r="H422" i="16" s="1"/>
  <c r="H1660" i="4"/>
  <c r="I428" i="16" s="1"/>
  <c r="J428" i="16" s="1"/>
  <c r="G1660" i="4"/>
  <c r="H428" i="16" s="1"/>
  <c r="H1668" i="4"/>
  <c r="I435" i="16" s="1"/>
  <c r="J435" i="16" s="1"/>
  <c r="G1668" i="4"/>
  <c r="H435" i="16" s="1"/>
  <c r="H1676" i="4"/>
  <c r="G1676" i="4"/>
  <c r="O1676" i="4" s="1"/>
  <c r="H1684" i="4"/>
  <c r="G1684" i="4"/>
  <c r="O1684" i="4" s="1"/>
  <c r="H1692" i="4"/>
  <c r="G1692" i="4"/>
  <c r="O1692" i="4" s="1"/>
  <c r="H1700" i="4"/>
  <c r="G1700" i="4"/>
  <c r="O1700" i="4" s="1"/>
  <c r="H1708" i="4"/>
  <c r="G1708" i="4"/>
  <c r="O1708" i="4" s="1"/>
  <c r="H1716" i="4"/>
  <c r="G1716" i="4"/>
  <c r="O1716" i="4" s="1"/>
  <c r="H1724" i="4"/>
  <c r="G1724" i="4"/>
  <c r="O1724" i="4" s="1"/>
  <c r="H1732" i="4"/>
  <c r="G1732" i="4"/>
  <c r="O1732" i="4" s="1"/>
  <c r="H1742" i="4"/>
  <c r="G1742" i="4"/>
  <c r="O1742" i="4" s="1"/>
  <c r="H1750" i="4"/>
  <c r="G1750" i="4"/>
  <c r="O1750" i="4" s="1"/>
  <c r="H1767" i="4"/>
  <c r="G1767" i="4"/>
  <c r="O1767" i="4" s="1"/>
  <c r="O682" i="4"/>
  <c r="H1523" i="4"/>
  <c r="G1523" i="4"/>
  <c r="H1531" i="4"/>
  <c r="G1531" i="4"/>
  <c r="H1539" i="4"/>
  <c r="G1539" i="4"/>
  <c r="H1547" i="4"/>
  <c r="G1547" i="4"/>
  <c r="H1555" i="4"/>
  <c r="G1555" i="4"/>
  <c r="H1563" i="4"/>
  <c r="G1563" i="4"/>
  <c r="H1571" i="4"/>
  <c r="G1571" i="4"/>
  <c r="O1571" i="4" s="1"/>
  <c r="H1579" i="4"/>
  <c r="H1587" i="4"/>
  <c r="G1587" i="4"/>
  <c r="O1587" i="4" s="1"/>
  <c r="H1595" i="4"/>
  <c r="G1595" i="4"/>
  <c r="O1595" i="4" s="1"/>
  <c r="H1603" i="4"/>
  <c r="G1603" i="4"/>
  <c r="O1603" i="4" s="1"/>
  <c r="H1611" i="4"/>
  <c r="G1611" i="4"/>
  <c r="H1621" i="4"/>
  <c r="G1621" i="4"/>
  <c r="O1621" i="4" s="1"/>
  <c r="H1629" i="4"/>
  <c r="G1629" i="4"/>
  <c r="O1629" i="4" s="1"/>
  <c r="H1645" i="4"/>
  <c r="I417" i="16" s="1"/>
  <c r="J417" i="16" s="1"/>
  <c r="G1645" i="4"/>
  <c r="H417" i="16" s="1"/>
  <c r="H1653" i="4"/>
  <c r="I423" i="16" s="1"/>
  <c r="J423" i="16" s="1"/>
  <c r="O1653" i="4"/>
  <c r="H1661" i="4"/>
  <c r="I429" i="16" s="1"/>
  <c r="J429" i="16" s="1"/>
  <c r="G1661" i="4"/>
  <c r="H1669" i="4"/>
  <c r="G1669" i="4"/>
  <c r="O1669" i="4" s="1"/>
  <c r="H1677" i="4"/>
  <c r="G1677" i="4"/>
  <c r="O1677" i="4" s="1"/>
  <c r="H1685" i="4"/>
  <c r="I438" i="16" s="1"/>
  <c r="J438" i="16" s="1"/>
  <c r="G1685" i="4"/>
  <c r="H438" i="16" s="1"/>
  <c r="H1693" i="4"/>
  <c r="G1693" i="4"/>
  <c r="O1693" i="4" s="1"/>
  <c r="H1701" i="4"/>
  <c r="G1701" i="4"/>
  <c r="O1701" i="4" s="1"/>
  <c r="H1709" i="4"/>
  <c r="G1709" i="4"/>
  <c r="O1709" i="4" s="1"/>
  <c r="H1717" i="4"/>
  <c r="G1717" i="4"/>
  <c r="O1717" i="4" s="1"/>
  <c r="H1725" i="4"/>
  <c r="G1725" i="4"/>
  <c r="O1725" i="4" s="1"/>
  <c r="H1733" i="4"/>
  <c r="G1733" i="4"/>
  <c r="O1733" i="4" s="1"/>
  <c r="H1743" i="4"/>
  <c r="G1743" i="4"/>
  <c r="O1743" i="4" s="1"/>
  <c r="H1751" i="4"/>
  <c r="G1751" i="4"/>
  <c r="O1751" i="4" s="1"/>
  <c r="H1768" i="4"/>
  <c r="G1768" i="4"/>
  <c r="O1768" i="4" s="1"/>
  <c r="H1524" i="4"/>
  <c r="G1524" i="4"/>
  <c r="H1532" i="4"/>
  <c r="G1532" i="4"/>
  <c r="H1540" i="4"/>
  <c r="G1540" i="4"/>
  <c r="H1548" i="4"/>
  <c r="G1548" i="4"/>
  <c r="H1556" i="4"/>
  <c r="G1556" i="4"/>
  <c r="H1564" i="4"/>
  <c r="G1564" i="4"/>
  <c r="H1572" i="4"/>
  <c r="G1572" i="4"/>
  <c r="O1572" i="4" s="1"/>
  <c r="H1580" i="4"/>
  <c r="G1580" i="4"/>
  <c r="O1580" i="4" s="1"/>
  <c r="H1588" i="4"/>
  <c r="G1588" i="4"/>
  <c r="O1588" i="4" s="1"/>
  <c r="H1596" i="4"/>
  <c r="G1596" i="4"/>
  <c r="O1596" i="4" s="1"/>
  <c r="H1604" i="4"/>
  <c r="G1604" i="4"/>
  <c r="O1604" i="4" s="1"/>
  <c r="H1612" i="4"/>
  <c r="G1612" i="4"/>
  <c r="O1612" i="4" s="1"/>
  <c r="H1622" i="4"/>
  <c r="G1622" i="4"/>
  <c r="O1622" i="4" s="1"/>
  <c r="H1630" i="4"/>
  <c r="G1630" i="4"/>
  <c r="O1630" i="4" s="1"/>
  <c r="H1646" i="4"/>
  <c r="I418" i="16" s="1"/>
  <c r="J418" i="16" s="1"/>
  <c r="G1646" i="4"/>
  <c r="H418" i="16" s="1"/>
  <c r="H1654" i="4"/>
  <c r="G1654" i="4"/>
  <c r="O1654" i="4" s="1"/>
  <c r="H1662" i="4"/>
  <c r="I430" i="16" s="1"/>
  <c r="J430" i="16" s="1"/>
  <c r="G1662" i="4"/>
  <c r="H430" i="16" s="1"/>
  <c r="H1670" i="4"/>
  <c r="G1670" i="4"/>
  <c r="H1678" i="4"/>
  <c r="G1678" i="4"/>
  <c r="O1678" i="4" s="1"/>
  <c r="H1686" i="4"/>
  <c r="I439" i="16" s="1"/>
  <c r="J439" i="16" s="1"/>
  <c r="G1686" i="4"/>
  <c r="H439" i="16" s="1"/>
  <c r="H1694" i="4"/>
  <c r="I440" i="16" s="1"/>
  <c r="J440" i="16" s="1"/>
  <c r="G1694" i="4"/>
  <c r="H440" i="16" s="1"/>
  <c r="H1702" i="4"/>
  <c r="G1702" i="4"/>
  <c r="O1702" i="4" s="1"/>
  <c r="H1710" i="4"/>
  <c r="G1710" i="4"/>
  <c r="O1710" i="4" s="1"/>
  <c r="H1718" i="4"/>
  <c r="G1718" i="4"/>
  <c r="O1718" i="4" s="1"/>
  <c r="H1726" i="4"/>
  <c r="G1726" i="4"/>
  <c r="O1726" i="4" s="1"/>
  <c r="H1734" i="4"/>
  <c r="G1734" i="4"/>
  <c r="O1734" i="4" s="1"/>
  <c r="H1744" i="4"/>
  <c r="G1744" i="4"/>
  <c r="O1744" i="4" s="1"/>
  <c r="H1752" i="4"/>
  <c r="G1752" i="4"/>
  <c r="O1752" i="4" s="1"/>
  <c r="H1525" i="4"/>
  <c r="G1525" i="4"/>
  <c r="H1533" i="4"/>
  <c r="G1533" i="4"/>
  <c r="H1541" i="4"/>
  <c r="G1541" i="4"/>
  <c r="H1549" i="4"/>
  <c r="G1549" i="4"/>
  <c r="H1557" i="4"/>
  <c r="G1557" i="4"/>
  <c r="H1565" i="4"/>
  <c r="G1565" i="4"/>
  <c r="H1573" i="4"/>
  <c r="G1573" i="4"/>
  <c r="O1573" i="4" s="1"/>
  <c r="H1581" i="4"/>
  <c r="G1581" i="4"/>
  <c r="O1581" i="4" s="1"/>
  <c r="H1589" i="4"/>
  <c r="G1589" i="4"/>
  <c r="O1589" i="4" s="1"/>
  <c r="H1597" i="4"/>
  <c r="G1597" i="4"/>
  <c r="O1597" i="4" s="1"/>
  <c r="H1605" i="4"/>
  <c r="G1605" i="4"/>
  <c r="O1605" i="4" s="1"/>
  <c r="H1613" i="4"/>
  <c r="G1613" i="4"/>
  <c r="O1613" i="4" s="1"/>
  <c r="H1623" i="4"/>
  <c r="G1623" i="4"/>
  <c r="O1623" i="4" s="1"/>
  <c r="H1631" i="4"/>
  <c r="G1631" i="4"/>
  <c r="O1631" i="4" s="1"/>
  <c r="H1647" i="4"/>
  <c r="I419" i="16" s="1"/>
  <c r="J419" i="16" s="1"/>
  <c r="G1647" i="4"/>
  <c r="H419" i="16" s="1"/>
  <c r="H1655" i="4"/>
  <c r="I424" i="16" s="1"/>
  <c r="J424" i="16" s="1"/>
  <c r="G1655" i="4"/>
  <c r="H424" i="16" s="1"/>
  <c r="H1663" i="4"/>
  <c r="I431" i="16" s="1"/>
  <c r="J431" i="16" s="1"/>
  <c r="G1663" i="4"/>
  <c r="H431" i="16" s="1"/>
  <c r="H1671" i="4"/>
  <c r="G1671" i="4"/>
  <c r="H1679" i="4"/>
  <c r="G1679" i="4"/>
  <c r="O1679" i="4" s="1"/>
  <c r="H1687" i="4"/>
  <c r="G1687" i="4"/>
  <c r="O1687" i="4" s="1"/>
  <c r="H1695" i="4"/>
  <c r="I441" i="16" s="1"/>
  <c r="J441" i="16" s="1"/>
  <c r="G1695" i="4"/>
  <c r="H441" i="16" s="1"/>
  <c r="H1703" i="4"/>
  <c r="G1703" i="4"/>
  <c r="O1703" i="4" s="1"/>
  <c r="H1711" i="4"/>
  <c r="G1711" i="4"/>
  <c r="O1711" i="4" s="1"/>
  <c r="H1719" i="4"/>
  <c r="G1719" i="4"/>
  <c r="O1719" i="4" s="1"/>
  <c r="H1727" i="4"/>
  <c r="I446" i="16" s="1"/>
  <c r="J446" i="16" s="1"/>
  <c r="G1727" i="4"/>
  <c r="H1735" i="4"/>
  <c r="G1735" i="4"/>
  <c r="O1735" i="4" s="1"/>
  <c r="H1745" i="4"/>
  <c r="G1745" i="4"/>
  <c r="H1762" i="4"/>
  <c r="G1762" i="4"/>
  <c r="O1762" i="4" s="1"/>
  <c r="H1526" i="4"/>
  <c r="G1526" i="4"/>
  <c r="H1534" i="4"/>
  <c r="G1534" i="4"/>
  <c r="H1542" i="4"/>
  <c r="G1542" i="4"/>
  <c r="H1550" i="4"/>
  <c r="G1550" i="4"/>
  <c r="H1558" i="4"/>
  <c r="G1558" i="4"/>
  <c r="H1566" i="4"/>
  <c r="G1566" i="4"/>
  <c r="H1574" i="4"/>
  <c r="G1574" i="4"/>
  <c r="H1582" i="4"/>
  <c r="G1582" i="4"/>
  <c r="O1582" i="4" s="1"/>
  <c r="H1590" i="4"/>
  <c r="G1590" i="4"/>
  <c r="O1590" i="4" s="1"/>
  <c r="H1598" i="4"/>
  <c r="G1598" i="4"/>
  <c r="O1598" i="4" s="1"/>
  <c r="H1606" i="4"/>
  <c r="G1606" i="4"/>
  <c r="O1606" i="4" s="1"/>
  <c r="H1614" i="4"/>
  <c r="G1614" i="4"/>
  <c r="O1614" i="4" s="1"/>
  <c r="H1624" i="4"/>
  <c r="G1624" i="4"/>
  <c r="H1632" i="4"/>
  <c r="G1632" i="4"/>
  <c r="O1632" i="4" s="1"/>
  <c r="H1648" i="4"/>
  <c r="G1648" i="4"/>
  <c r="O1648" i="4" s="1"/>
  <c r="H1656" i="4"/>
  <c r="I425" i="16" s="1"/>
  <c r="J425" i="16" s="1"/>
  <c r="G1656" i="4"/>
  <c r="H425" i="16" s="1"/>
  <c r="H1664" i="4"/>
  <c r="I432" i="16" s="1"/>
  <c r="J432" i="16" s="1"/>
  <c r="G1664" i="4"/>
  <c r="H432" i="16" s="1"/>
  <c r="H1672" i="4"/>
  <c r="G1672" i="4"/>
  <c r="O1672" i="4" s="1"/>
  <c r="H1680" i="4"/>
  <c r="G1680" i="4"/>
  <c r="O1680" i="4" s="1"/>
  <c r="H1688" i="4"/>
  <c r="G1688" i="4"/>
  <c r="O1688" i="4" s="1"/>
  <c r="H1696" i="4"/>
  <c r="I442" i="16" s="1"/>
  <c r="J442" i="16" s="1"/>
  <c r="G1696" i="4"/>
  <c r="H442" i="16" s="1"/>
  <c r="H1704" i="4"/>
  <c r="G1704" i="4"/>
  <c r="O1704" i="4" s="1"/>
  <c r="H1712" i="4"/>
  <c r="G1712" i="4"/>
  <c r="O1712" i="4" s="1"/>
  <c r="H1720" i="4"/>
  <c r="G1720" i="4"/>
  <c r="O1720" i="4" s="1"/>
  <c r="H1728" i="4"/>
  <c r="I447" i="16" s="1"/>
  <c r="J447" i="16" s="1"/>
  <c r="G1728" i="4"/>
  <c r="H1736" i="4"/>
  <c r="I450" i="16" s="1"/>
  <c r="J450" i="16" s="1"/>
  <c r="G1736" i="4"/>
  <c r="H450" i="16" s="1"/>
  <c r="H1746" i="4"/>
  <c r="G1746" i="4"/>
  <c r="H1763" i="4"/>
  <c r="G1763" i="4"/>
  <c r="O1763" i="4" s="1"/>
  <c r="F612" i="32"/>
  <c r="G612" i="32" s="1"/>
  <c r="H1527" i="4"/>
  <c r="G1527" i="4"/>
  <c r="H1535" i="4"/>
  <c r="G1535" i="4"/>
  <c r="H1543" i="4"/>
  <c r="G1543" i="4"/>
  <c r="H1551" i="4"/>
  <c r="G1551" i="4"/>
  <c r="H1559" i="4"/>
  <c r="G1559" i="4"/>
  <c r="H1567" i="4"/>
  <c r="G1567" i="4"/>
  <c r="O1567" i="4" s="1"/>
  <c r="H1575" i="4"/>
  <c r="G1575" i="4"/>
  <c r="H1583" i="4"/>
  <c r="G1583" i="4"/>
  <c r="O1583" i="4" s="1"/>
  <c r="H1591" i="4"/>
  <c r="G1591" i="4"/>
  <c r="O1591" i="4" s="1"/>
  <c r="H1599" i="4"/>
  <c r="G1599" i="4"/>
  <c r="O1599" i="4" s="1"/>
  <c r="H1607" i="4"/>
  <c r="G1607" i="4"/>
  <c r="O1607" i="4" s="1"/>
  <c r="H1615" i="4"/>
  <c r="G1615" i="4"/>
  <c r="O1615" i="4" s="1"/>
  <c r="H1625" i="4"/>
  <c r="G1625" i="4"/>
  <c r="H1641" i="4"/>
  <c r="I413" i="16" s="1"/>
  <c r="J413" i="16" s="1"/>
  <c r="G1641" i="4"/>
  <c r="H413" i="16" s="1"/>
  <c r="H1649" i="4"/>
  <c r="I420" i="16" s="1"/>
  <c r="J420" i="16" s="1"/>
  <c r="G1649" i="4"/>
  <c r="H420" i="16" s="1"/>
  <c r="H1657" i="4"/>
  <c r="G1657" i="4"/>
  <c r="O1657" i="4" s="1"/>
  <c r="H1665" i="4"/>
  <c r="I433" i="16" s="1"/>
  <c r="J433" i="16" s="1"/>
  <c r="G1665" i="4"/>
  <c r="H433" i="16" s="1"/>
  <c r="H1673" i="4"/>
  <c r="G1673" i="4"/>
  <c r="O1673" i="4" s="1"/>
  <c r="H1681" i="4"/>
  <c r="G1681" i="4"/>
  <c r="O1681" i="4" s="1"/>
  <c r="H1689" i="4"/>
  <c r="G1689" i="4"/>
  <c r="O1689" i="4" s="1"/>
  <c r="H1697" i="4"/>
  <c r="I443" i="16" s="1"/>
  <c r="J443" i="16" s="1"/>
  <c r="G1697" i="4"/>
  <c r="H443" i="16" s="1"/>
  <c r="H1705" i="4"/>
  <c r="G1705" i="4"/>
  <c r="O1705" i="4" s="1"/>
  <c r="H1713" i="4"/>
  <c r="G1713" i="4"/>
  <c r="O1713" i="4" s="1"/>
  <c r="H1721" i="4"/>
  <c r="G1721" i="4"/>
  <c r="O1721" i="4" s="1"/>
  <c r="H1729" i="4"/>
  <c r="G1729" i="4"/>
  <c r="O1729" i="4" s="1"/>
  <c r="H1737" i="4"/>
  <c r="I451" i="16" s="1"/>
  <c r="J451" i="16" s="1"/>
  <c r="G1737" i="4"/>
  <c r="H451" i="16" s="1"/>
  <c r="H1747" i="4"/>
  <c r="G1747" i="4"/>
  <c r="O1747" i="4" s="1"/>
  <c r="H1764" i="4"/>
  <c r="G1764" i="4"/>
  <c r="O1764" i="4" s="1"/>
  <c r="F42" i="4"/>
  <c r="J42" i="4" s="1"/>
  <c r="F65" i="4"/>
  <c r="J65" i="4" s="1"/>
  <c r="F67" i="4"/>
  <c r="J67" i="4" s="1"/>
  <c r="F68" i="4"/>
  <c r="J68" i="4" s="1"/>
  <c r="C61" i="22"/>
  <c r="C77" i="22"/>
  <c r="C63" i="22"/>
  <c r="C21" i="22"/>
  <c r="G21" i="22" s="1"/>
  <c r="D949" i="10" l="1"/>
  <c r="D948" i="10"/>
  <c r="P650" i="4"/>
  <c r="H269" i="16"/>
  <c r="D1081" i="10"/>
  <c r="I305" i="10"/>
  <c r="H670" i="16"/>
  <c r="I799" i="16"/>
  <c r="I539" i="16"/>
  <c r="J539" i="16" s="1"/>
  <c r="I519" i="16"/>
  <c r="J519" i="16" s="1"/>
  <c r="I747" i="16"/>
  <c r="J747" i="16" s="1"/>
  <c r="H799" i="16"/>
  <c r="E1121" i="10"/>
  <c r="D850" i="10"/>
  <c r="I608" i="16"/>
  <c r="J608" i="16" s="1"/>
  <c r="D1123" i="10"/>
  <c r="E284" i="10"/>
  <c r="G284" i="10" s="1"/>
  <c r="H584" i="16"/>
  <c r="D1052" i="10"/>
  <c r="D1121" i="10"/>
  <c r="E1216" i="10"/>
  <c r="E1136" i="10"/>
  <c r="E1123" i="10"/>
  <c r="D1021" i="10"/>
  <c r="E1017" i="10"/>
  <c r="E282" i="10"/>
  <c r="G282" i="10" s="1"/>
  <c r="E1019" i="10"/>
  <c r="E291" i="10"/>
  <c r="G291" i="10" s="1"/>
  <c r="H572" i="16"/>
  <c r="D1017" i="10"/>
  <c r="H619" i="16"/>
  <c r="D1019" i="10"/>
  <c r="D1016" i="10"/>
  <c r="H620" i="16"/>
  <c r="D1030" i="10"/>
  <c r="D1015" i="10"/>
  <c r="E1021" i="10"/>
  <c r="E1015" i="10"/>
  <c r="E315" i="10"/>
  <c r="G315" i="10" s="1"/>
  <c r="O22" i="4"/>
  <c r="D345" i="10"/>
  <c r="D383" i="10" s="1"/>
  <c r="E292" i="10"/>
  <c r="G292" i="10" s="1"/>
  <c r="D1013" i="10"/>
  <c r="D1022" i="10"/>
  <c r="E24" i="6"/>
  <c r="G286" i="10"/>
  <c r="G806" i="22"/>
  <c r="I806" i="22" s="1"/>
  <c r="AA806" i="22" s="1"/>
  <c r="D945" i="10"/>
  <c r="C805" i="22"/>
  <c r="R813" i="4" s="1"/>
  <c r="D1136" i="10"/>
  <c r="H769" i="16"/>
  <c r="H509" i="16"/>
  <c r="I556" i="16"/>
  <c r="J556" i="16" s="1"/>
  <c r="I527" i="16"/>
  <c r="J527" i="16" s="1"/>
  <c r="I511" i="16"/>
  <c r="J511" i="16" s="1"/>
  <c r="H700" i="16"/>
  <c r="I700" i="16"/>
  <c r="J700" i="16" s="1"/>
  <c r="H712" i="16"/>
  <c r="I712" i="16"/>
  <c r="J712" i="16" s="1"/>
  <c r="I772" i="16"/>
  <c r="H547" i="16"/>
  <c r="I769" i="16"/>
  <c r="I514" i="16"/>
  <c r="J514" i="16" s="1"/>
  <c r="H745" i="16"/>
  <c r="H529" i="16"/>
  <c r="I483" i="16"/>
  <c r="J483" i="16" s="1"/>
  <c r="I818" i="16"/>
  <c r="I755" i="16"/>
  <c r="J755" i="16" s="1"/>
  <c r="H539" i="16"/>
  <c r="H821" i="16"/>
  <c r="I526" i="16"/>
  <c r="J526" i="16" s="1"/>
  <c r="H608" i="16"/>
  <c r="I701" i="16"/>
  <c r="J701" i="16" s="1"/>
  <c r="I651" i="16"/>
  <c r="J651" i="16" s="1"/>
  <c r="I852" i="16"/>
  <c r="H789" i="16"/>
  <c r="H607" i="16"/>
  <c r="I796" i="16"/>
  <c r="H828" i="16"/>
  <c r="I748" i="16"/>
  <c r="J748" i="16" s="1"/>
  <c r="I764" i="16"/>
  <c r="J764" i="16" s="1"/>
  <c r="I670" i="16"/>
  <c r="J670" i="16" s="1"/>
  <c r="H637" i="16"/>
  <c r="H678" i="16"/>
  <c r="I554" i="16"/>
  <c r="J554" i="16" s="1"/>
  <c r="H648" i="16"/>
  <c r="I771" i="16"/>
  <c r="I765" i="16"/>
  <c r="J765" i="16" s="1"/>
  <c r="I571" i="16"/>
  <c r="J571" i="16" s="1"/>
  <c r="I607" i="16"/>
  <c r="J607" i="16" s="1"/>
  <c r="H788" i="16"/>
  <c r="H378" i="16"/>
  <c r="H744" i="16"/>
  <c r="H528" i="16"/>
  <c r="H556" i="16"/>
  <c r="H795" i="16"/>
  <c r="H681" i="16"/>
  <c r="H634" i="16"/>
  <c r="H811" i="16"/>
  <c r="H527" i="16"/>
  <c r="I500" i="16"/>
  <c r="J500" i="16" s="1"/>
  <c r="H653" i="16"/>
  <c r="I735" i="16"/>
  <c r="J735" i="16" s="1"/>
  <c r="I653" i="16"/>
  <c r="J653" i="16" s="1"/>
  <c r="H616" i="16"/>
  <c r="H801" i="16"/>
  <c r="H748" i="16"/>
  <c r="I602" i="16"/>
  <c r="J602" i="16" s="1"/>
  <c r="H764" i="16"/>
  <c r="I644" i="16"/>
  <c r="J644" i="16" s="1"/>
  <c r="R47" i="4"/>
  <c r="I734" i="16"/>
  <c r="J734" i="16" s="1"/>
  <c r="I475" i="16"/>
  <c r="J475" i="16" s="1"/>
  <c r="H721" i="16"/>
  <c r="I780" i="16"/>
  <c r="I756" i="16"/>
  <c r="J756" i="16" s="1"/>
  <c r="I638" i="16"/>
  <c r="J638" i="16" s="1"/>
  <c r="I541" i="16"/>
  <c r="J541" i="16" s="1"/>
  <c r="I634" i="16"/>
  <c r="J634" i="16" s="1"/>
  <c r="H779" i="16"/>
  <c r="I540" i="16"/>
  <c r="J540" i="16" s="1"/>
  <c r="I503" i="16"/>
  <c r="J503" i="16" s="1"/>
  <c r="H817" i="16"/>
  <c r="I811" i="16"/>
  <c r="H526" i="16"/>
  <c r="E795" i="10"/>
  <c r="E799" i="10" s="1"/>
  <c r="J596" i="10"/>
  <c r="G1002" i="10"/>
  <c r="G1004" i="10" s="1"/>
  <c r="I997" i="10" s="1"/>
  <c r="I904" i="10"/>
  <c r="F113" i="22"/>
  <c r="I282" i="10"/>
  <c r="F291" i="22"/>
  <c r="I293" i="10"/>
  <c r="F434" i="22"/>
  <c r="I295" i="10"/>
  <c r="I851" i="16"/>
  <c r="H647" i="16"/>
  <c r="H475" i="16"/>
  <c r="I721" i="16"/>
  <c r="J721" i="16" s="1"/>
  <c r="I499" i="16"/>
  <c r="J499" i="16" s="1"/>
  <c r="I488" i="16"/>
  <c r="J488" i="16" s="1"/>
  <c r="F724" i="22"/>
  <c r="I311" i="10"/>
  <c r="H390" i="16"/>
  <c r="H415" i="16"/>
  <c r="F704" i="22"/>
  <c r="I903" i="10"/>
  <c r="I384" i="16"/>
  <c r="J384" i="16" s="1"/>
  <c r="H389" i="16"/>
  <c r="H414" i="16"/>
  <c r="F443" i="22"/>
  <c r="I297" i="10"/>
  <c r="F354" i="22"/>
  <c r="I829" i="16"/>
  <c r="I642" i="16"/>
  <c r="J642" i="16" s="1"/>
  <c r="F221" i="22"/>
  <c r="I290" i="10"/>
  <c r="F390" i="22"/>
  <c r="I299" i="10"/>
  <c r="H404" i="16"/>
  <c r="H429" i="16"/>
  <c r="H383" i="16"/>
  <c r="H555" i="16"/>
  <c r="F700" i="22"/>
  <c r="I309" i="10"/>
  <c r="I377" i="16"/>
  <c r="J377" i="16" s="1"/>
  <c r="I383" i="16"/>
  <c r="J383" i="16" s="1"/>
  <c r="F214" i="22"/>
  <c r="I289" i="10"/>
  <c r="F321" i="22"/>
  <c r="I773" i="16"/>
  <c r="I703" i="16"/>
  <c r="J703" i="16" s="1"/>
  <c r="O1728" i="4"/>
  <c r="H447" i="16"/>
  <c r="O1727" i="4"/>
  <c r="H446" i="16"/>
  <c r="F439" i="22"/>
  <c r="I296" i="10"/>
  <c r="I795" i="16"/>
  <c r="I792" i="16"/>
  <c r="H644" i="16"/>
  <c r="H688" i="16"/>
  <c r="E1045" i="10"/>
  <c r="E1059" i="10" s="1"/>
  <c r="E1016" i="10"/>
  <c r="E1013" i="10"/>
  <c r="E1026" i="10"/>
  <c r="E1135" i="10"/>
  <c r="O1387" i="4"/>
  <c r="O1498" i="4"/>
  <c r="O1337" i="4"/>
  <c r="E1143" i="10"/>
  <c r="E1145" i="10" s="1"/>
  <c r="E1086" i="10"/>
  <c r="G328" i="10"/>
  <c r="E1210" i="10"/>
  <c r="E1122" i="10"/>
  <c r="E1137" i="10"/>
  <c r="O1485" i="4"/>
  <c r="O1515" i="4"/>
  <c r="E1196" i="10"/>
  <c r="E1201" i="10" s="1"/>
  <c r="O1473" i="4"/>
  <c r="O1369" i="4"/>
  <c r="E1082" i="10"/>
  <c r="O1484" i="4"/>
  <c r="O1469" i="4"/>
  <c r="O1468" i="4"/>
  <c r="E1195" i="10"/>
  <c r="O1379" i="4"/>
  <c r="E1089" i="10"/>
  <c r="O1470" i="4"/>
  <c r="O1391" i="4"/>
  <c r="O1503" i="4"/>
  <c r="O1502" i="4"/>
  <c r="O1364" i="4"/>
  <c r="O1360" i="4"/>
  <c r="O1472" i="4"/>
  <c r="O1370" i="4"/>
  <c r="E1081" i="10"/>
  <c r="O1487" i="4"/>
  <c r="G331" i="10"/>
  <c r="G333" i="10" s="1"/>
  <c r="E1214" i="10"/>
  <c r="O1500" i="4"/>
  <c r="E1085" i="10"/>
  <c r="E1119" i="10"/>
  <c r="E1020" i="10"/>
  <c r="E1106" i="10"/>
  <c r="E1108" i="10" s="1"/>
  <c r="E1118" i="10"/>
  <c r="O1436" i="4"/>
  <c r="O1490" i="4"/>
  <c r="E1033" i="10"/>
  <c r="G327" i="10"/>
  <c r="E1209" i="10"/>
  <c r="O1390" i="4"/>
  <c r="O1483" i="4"/>
  <c r="H642" i="16"/>
  <c r="H279" i="16"/>
  <c r="I476" i="16"/>
  <c r="J476" i="16" s="1"/>
  <c r="I158" i="16"/>
  <c r="H773" i="16"/>
  <c r="H500" i="16"/>
  <c r="I720" i="16"/>
  <c r="J720" i="16" s="1"/>
  <c r="H796" i="16"/>
  <c r="H780" i="16"/>
  <c r="I681" i="16"/>
  <c r="J681" i="16" s="1"/>
  <c r="I646" i="16"/>
  <c r="J646" i="16" s="1"/>
  <c r="I538" i="16"/>
  <c r="J538" i="16" s="1"/>
  <c r="I831" i="16"/>
  <c r="I777" i="16"/>
  <c r="H818" i="16"/>
  <c r="H651" i="16"/>
  <c r="I609" i="16"/>
  <c r="J609" i="16" s="1"/>
  <c r="I474" i="16"/>
  <c r="J474" i="16" s="1"/>
  <c r="H538" i="16"/>
  <c r="H502" i="16"/>
  <c r="I668" i="16"/>
  <c r="J668" i="16" s="1"/>
  <c r="I555" i="16"/>
  <c r="J555" i="16" s="1"/>
  <c r="I666" i="16"/>
  <c r="J666" i="16" s="1"/>
  <c r="I736" i="16"/>
  <c r="J736" i="16" s="1"/>
  <c r="H476" i="16"/>
  <c r="H617" i="16"/>
  <c r="I547" i="16"/>
  <c r="J547" i="16" s="1"/>
  <c r="I648" i="16"/>
  <c r="J648" i="16" s="1"/>
  <c r="H669" i="16"/>
  <c r="H488" i="16"/>
  <c r="I745" i="16"/>
  <c r="J745" i="16" s="1"/>
  <c r="H483" i="16"/>
  <c r="I779" i="16"/>
  <c r="I528" i="16"/>
  <c r="J528" i="16" s="1"/>
  <c r="H489" i="16"/>
  <c r="H641" i="16"/>
  <c r="H797" i="16"/>
  <c r="I830" i="16"/>
  <c r="I647" i="16"/>
  <c r="J647" i="16" s="1"/>
  <c r="H571" i="16"/>
  <c r="H701" i="16"/>
  <c r="I688" i="16"/>
  <c r="J688" i="16" s="1"/>
  <c r="H638" i="16"/>
  <c r="H541" i="16"/>
  <c r="I563" i="16"/>
  <c r="J563" i="16" s="1"/>
  <c r="H602" i="16"/>
  <c r="H499" i="16"/>
  <c r="I788" i="16"/>
  <c r="H735" i="16"/>
  <c r="I654" i="16"/>
  <c r="J654" i="16" s="1"/>
  <c r="I509" i="16"/>
  <c r="J509" i="16" s="1"/>
  <c r="H771" i="16"/>
  <c r="I821" i="16"/>
  <c r="H792" i="16"/>
  <c r="H540" i="16"/>
  <c r="H503" i="16"/>
  <c r="I728" i="16"/>
  <c r="J728" i="16" s="1"/>
  <c r="I778" i="16"/>
  <c r="H808" i="16"/>
  <c r="I776" i="16"/>
  <c r="H777" i="16"/>
  <c r="I817" i="16"/>
  <c r="I766" i="16"/>
  <c r="I744" i="16"/>
  <c r="J744" i="16" s="1"/>
  <c r="H656" i="16"/>
  <c r="I516" i="16"/>
  <c r="J516" i="16" s="1"/>
  <c r="I849" i="16"/>
  <c r="H772" i="16"/>
  <c r="I679" i="16"/>
  <c r="J679" i="16" s="1"/>
  <c r="I789" i="16"/>
  <c r="H849" i="16"/>
  <c r="I850" i="16"/>
  <c r="I801" i="16"/>
  <c r="H519" i="16"/>
  <c r="H778" i="16"/>
  <c r="I847" i="16"/>
  <c r="I855" i="16"/>
  <c r="I531" i="16"/>
  <c r="J531" i="16" s="1"/>
  <c r="I828" i="16"/>
  <c r="I678" i="16"/>
  <c r="J678" i="16" s="1"/>
  <c r="H776" i="16"/>
  <c r="H666" i="16"/>
  <c r="I558" i="16"/>
  <c r="J558" i="16" s="1"/>
  <c r="I637" i="16"/>
  <c r="J637" i="16" s="1"/>
  <c r="I572" i="16"/>
  <c r="J572" i="16" s="1"/>
  <c r="H474" i="16"/>
  <c r="H668" i="16"/>
  <c r="I848" i="16"/>
  <c r="I808" i="16"/>
  <c r="I529" i="16"/>
  <c r="J529" i="16" s="1"/>
  <c r="I493" i="16"/>
  <c r="J493" i="16" s="1"/>
  <c r="H742" i="16"/>
  <c r="I636" i="16"/>
  <c r="J636" i="16" s="1"/>
  <c r="H853" i="16"/>
  <c r="I502" i="16"/>
  <c r="J502" i="16" s="1"/>
  <c r="H832" i="16"/>
  <c r="I853" i="16"/>
  <c r="I617" i="16"/>
  <c r="J617" i="16" s="1"/>
  <c r="H514" i="16"/>
  <c r="H847" i="16"/>
  <c r="H855" i="16"/>
  <c r="I832" i="16"/>
  <c r="I833" i="16"/>
  <c r="H840" i="16"/>
  <c r="H852" i="16"/>
  <c r="H839" i="16"/>
  <c r="I835" i="16"/>
  <c r="I839" i="16"/>
  <c r="H838" i="16"/>
  <c r="H837" i="16"/>
  <c r="I838" i="16"/>
  <c r="I837" i="16"/>
  <c r="H836" i="16"/>
  <c r="I836" i="16"/>
  <c r="H834" i="16"/>
  <c r="I834" i="16"/>
  <c r="H841" i="16"/>
  <c r="I841" i="16"/>
  <c r="I840" i="16"/>
  <c r="H835" i="16"/>
  <c r="H146" i="16"/>
  <c r="I280" i="16"/>
  <c r="J280" i="16" s="1"/>
  <c r="I279" i="16"/>
  <c r="J279" i="16" s="1"/>
  <c r="I806" i="16"/>
  <c r="I782" i="16"/>
  <c r="H531" i="16"/>
  <c r="I639" i="16"/>
  <c r="J639" i="16" s="1"/>
  <c r="H694" i="16"/>
  <c r="H810" i="16"/>
  <c r="H820" i="16"/>
  <c r="I757" i="16"/>
  <c r="J757" i="16" s="1"/>
  <c r="I485" i="16"/>
  <c r="J485" i="16" s="1"/>
  <c r="I807" i="16"/>
  <c r="I694" i="16"/>
  <c r="J694" i="16" s="1"/>
  <c r="I665" i="16"/>
  <c r="J665" i="16" s="1"/>
  <c r="I489" i="16"/>
  <c r="J489" i="16" s="1"/>
  <c r="I560" i="16"/>
  <c r="J560" i="16" s="1"/>
  <c r="I717" i="16"/>
  <c r="J717" i="16" s="1"/>
  <c r="I810" i="16"/>
  <c r="H703" i="16"/>
  <c r="H768" i="16"/>
  <c r="H565" i="16"/>
  <c r="D961" i="10"/>
  <c r="H277" i="16"/>
  <c r="H513" i="16"/>
  <c r="H517" i="16"/>
  <c r="H684" i="16"/>
  <c r="H697" i="16"/>
  <c r="H606" i="16"/>
  <c r="H614" i="16"/>
  <c r="H652" i="16"/>
  <c r="H733" i="16"/>
  <c r="H685" i="16"/>
  <c r="H698" i="16"/>
  <c r="I533" i="16"/>
  <c r="J533" i="16" s="1"/>
  <c r="I669" i="16"/>
  <c r="J669" i="16" s="1"/>
  <c r="I732" i="16"/>
  <c r="J732" i="16" s="1"/>
  <c r="I615" i="16"/>
  <c r="J615" i="16" s="1"/>
  <c r="I578" i="16"/>
  <c r="J578" i="16" s="1"/>
  <c r="I583" i="16"/>
  <c r="J583" i="16" s="1"/>
  <c r="I520" i="16"/>
  <c r="J520" i="16" s="1"/>
  <c r="I564" i="16"/>
  <c r="J564" i="16" s="1"/>
  <c r="I530" i="16"/>
  <c r="J530" i="16" s="1"/>
  <c r="I815" i="16"/>
  <c r="I753" i="16"/>
  <c r="J753" i="16" s="1"/>
  <c r="I677" i="16"/>
  <c r="J677" i="16" s="1"/>
  <c r="H559" i="16"/>
  <c r="I537" i="16"/>
  <c r="J537" i="16" s="1"/>
  <c r="I566" i="16"/>
  <c r="J566" i="16" s="1"/>
  <c r="I774" i="16"/>
  <c r="I803" i="16"/>
  <c r="I740" i="16"/>
  <c r="J740" i="16" s="1"/>
  <c r="I692" i="16"/>
  <c r="J692" i="16" s="1"/>
  <c r="I706" i="16"/>
  <c r="J706" i="16" s="1"/>
  <c r="I661" i="16"/>
  <c r="J661" i="16" s="1"/>
  <c r="I672" i="16"/>
  <c r="J672" i="16" s="1"/>
  <c r="H626" i="16"/>
  <c r="I553" i="16"/>
  <c r="J553" i="16" s="1"/>
  <c r="I557" i="16"/>
  <c r="J557" i="16" s="1"/>
  <c r="I524" i="16"/>
  <c r="J524" i="16" s="1"/>
  <c r="I543" i="16"/>
  <c r="J543" i="16" s="1"/>
  <c r="I791" i="16"/>
  <c r="H550" i="16"/>
  <c r="I775" i="16"/>
  <c r="I601" i="16"/>
  <c r="J601" i="16" s="1"/>
  <c r="I762" i="16"/>
  <c r="J762" i="16" s="1"/>
  <c r="I812" i="16"/>
  <c r="H496" i="16"/>
  <c r="H781" i="16"/>
  <c r="I813" i="16"/>
  <c r="H750" i="16"/>
  <c r="H702" i="16"/>
  <c r="I593" i="16"/>
  <c r="J593" i="16" s="1"/>
  <c r="I599" i="16"/>
  <c r="J599" i="16" s="1"/>
  <c r="H534" i="16"/>
  <c r="H497" i="16"/>
  <c r="H501" i="16"/>
  <c r="H562" i="16"/>
  <c r="H504" i="16"/>
  <c r="H508" i="16"/>
  <c r="I684" i="16"/>
  <c r="J684" i="16" s="1"/>
  <c r="I697" i="16"/>
  <c r="J697" i="16" s="1"/>
  <c r="I606" i="16"/>
  <c r="J606" i="16" s="1"/>
  <c r="I614" i="16"/>
  <c r="J614" i="16" s="1"/>
  <c r="I652" i="16"/>
  <c r="J652" i="16" s="1"/>
  <c r="I733" i="16"/>
  <c r="J733" i="16" s="1"/>
  <c r="I685" i="16"/>
  <c r="J685" i="16" s="1"/>
  <c r="I698" i="16"/>
  <c r="J698" i="16" s="1"/>
  <c r="I616" i="16"/>
  <c r="J616" i="16" s="1"/>
  <c r="I487" i="16"/>
  <c r="J487" i="16" s="1"/>
  <c r="H786" i="16"/>
  <c r="H804" i="16"/>
  <c r="I544" i="16"/>
  <c r="J544" i="16" s="1"/>
  <c r="H662" i="16"/>
  <c r="H673" i="16"/>
  <c r="H783" i="16"/>
  <c r="I478" i="16"/>
  <c r="J478" i="16" s="1"/>
  <c r="H549" i="16"/>
  <c r="I794" i="16"/>
  <c r="I763" i="16"/>
  <c r="J763" i="16" s="1"/>
  <c r="H730" i="16"/>
  <c r="H518" i="16"/>
  <c r="H482" i="16"/>
  <c r="H484" i="16"/>
  <c r="H523" i="16"/>
  <c r="H784" i="16"/>
  <c r="H761" i="16"/>
  <c r="H719" i="16"/>
  <c r="H535" i="16"/>
  <c r="I496" i="16"/>
  <c r="J496" i="16" s="1"/>
  <c r="I781" i="16"/>
  <c r="H813" i="16"/>
  <c r="I750" i="16"/>
  <c r="J750" i="16" s="1"/>
  <c r="I702" i="16"/>
  <c r="J702" i="16" s="1"/>
  <c r="I674" i="16"/>
  <c r="J674" i="16" s="1"/>
  <c r="I635" i="16"/>
  <c r="J635" i="16" s="1"/>
  <c r="H593" i="16"/>
  <c r="H599" i="16"/>
  <c r="I534" i="16"/>
  <c r="J534" i="16" s="1"/>
  <c r="I497" i="16"/>
  <c r="J497" i="16" s="1"/>
  <c r="I501" i="16"/>
  <c r="J501" i="16" s="1"/>
  <c r="I562" i="16"/>
  <c r="J562" i="16" s="1"/>
  <c r="I504" i="16"/>
  <c r="J504" i="16" s="1"/>
  <c r="I508" i="16"/>
  <c r="J508" i="16" s="1"/>
  <c r="H680" i="16"/>
  <c r="H693" i="16"/>
  <c r="I575" i="16"/>
  <c r="J575" i="16" s="1"/>
  <c r="I580" i="16"/>
  <c r="J580" i="16" s="1"/>
  <c r="H639" i="16"/>
  <c r="H787" i="16"/>
  <c r="H723" i="16"/>
  <c r="H741" i="16"/>
  <c r="H545" i="16"/>
  <c r="I786" i="16"/>
  <c r="I804" i="16"/>
  <c r="I645" i="16"/>
  <c r="J645" i="16" s="1"/>
  <c r="H544" i="16"/>
  <c r="I699" i="16"/>
  <c r="J699" i="16" s="1"/>
  <c r="I662" i="16"/>
  <c r="J662" i="16" s="1"/>
  <c r="I673" i="16"/>
  <c r="J673" i="16" s="1"/>
  <c r="I525" i="16"/>
  <c r="J525" i="16" s="1"/>
  <c r="I783" i="16"/>
  <c r="H782" i="16"/>
  <c r="I549" i="16"/>
  <c r="J549" i="16" s="1"/>
  <c r="H794" i="16"/>
  <c r="H763" i="16"/>
  <c r="I730" i="16"/>
  <c r="J730" i="16" s="1"/>
  <c r="I518" i="16"/>
  <c r="J518" i="16" s="1"/>
  <c r="I482" i="16"/>
  <c r="J482" i="16" s="1"/>
  <c r="I484" i="16"/>
  <c r="J484" i="16" s="1"/>
  <c r="I594" i="16"/>
  <c r="J594" i="16" s="1"/>
  <c r="I523" i="16"/>
  <c r="J523" i="16" s="1"/>
  <c r="I507" i="16"/>
  <c r="J507" i="16" s="1"/>
  <c r="I746" i="16"/>
  <c r="J746" i="16" s="1"/>
  <c r="I825" i="16"/>
  <c r="I784" i="16"/>
  <c r="I761" i="16"/>
  <c r="J761" i="16" s="1"/>
  <c r="I719" i="16"/>
  <c r="J719" i="16" s="1"/>
  <c r="I643" i="16"/>
  <c r="I535" i="16"/>
  <c r="J535" i="16" s="1"/>
  <c r="I737" i="16"/>
  <c r="J737" i="16" s="1"/>
  <c r="H822" i="16"/>
  <c r="H770" i="16"/>
  <c r="H738" i="16"/>
  <c r="H690" i="16"/>
  <c r="H704" i="16"/>
  <c r="H659" i="16"/>
  <c r="H624" i="16"/>
  <c r="I552" i="16"/>
  <c r="J552" i="16" s="1"/>
  <c r="H522" i="16"/>
  <c r="H689" i="16"/>
  <c r="H600" i="16"/>
  <c r="I680" i="16"/>
  <c r="J680" i="16" s="1"/>
  <c r="I693" i="16"/>
  <c r="J693" i="16" s="1"/>
  <c r="H575" i="16"/>
  <c r="H580" i="16"/>
  <c r="I787" i="16"/>
  <c r="I723" i="16"/>
  <c r="J723" i="16" s="1"/>
  <c r="I741" i="16"/>
  <c r="J741" i="16" s="1"/>
  <c r="I683" i="16"/>
  <c r="J683" i="16" s="1"/>
  <c r="I696" i="16"/>
  <c r="J696" i="16" s="1"/>
  <c r="I605" i="16"/>
  <c r="J605" i="16" s="1"/>
  <c r="I613" i="16"/>
  <c r="J613" i="16" s="1"/>
  <c r="I545" i="16"/>
  <c r="J545" i="16" s="1"/>
  <c r="I658" i="16"/>
  <c r="J658" i="16" s="1"/>
  <c r="H798" i="16"/>
  <c r="H816" i="16"/>
  <c r="H800" i="16"/>
  <c r="H819" i="16"/>
  <c r="H532" i="16"/>
  <c r="H650" i="16"/>
  <c r="H649" i="16"/>
  <c r="H731" i="16"/>
  <c r="H749" i="16"/>
  <c r="H506" i="16"/>
  <c r="H682" i="16"/>
  <c r="H695" i="16"/>
  <c r="I785" i="16"/>
  <c r="H657" i="16"/>
  <c r="I814" i="16"/>
  <c r="H751" i="16"/>
  <c r="H675" i="16"/>
  <c r="H625" i="16"/>
  <c r="I568" i="16"/>
  <c r="J568" i="16" s="1"/>
  <c r="I573" i="16"/>
  <c r="J573" i="16" s="1"/>
  <c r="I822" i="16"/>
  <c r="I802" i="16"/>
  <c r="I770" i="16"/>
  <c r="I738" i="16"/>
  <c r="J738" i="16" s="1"/>
  <c r="I690" i="16"/>
  <c r="J690" i="16" s="1"/>
  <c r="I704" i="16"/>
  <c r="J704" i="16" s="1"/>
  <c r="I659" i="16"/>
  <c r="J659" i="16" s="1"/>
  <c r="I624" i="16"/>
  <c r="J624" i="16" s="1"/>
  <c r="H552" i="16"/>
  <c r="I522" i="16"/>
  <c r="J522" i="16" s="1"/>
  <c r="I689" i="16"/>
  <c r="J689" i="16" s="1"/>
  <c r="I600" i="16"/>
  <c r="J600" i="16" s="1"/>
  <c r="H665" i="16"/>
  <c r="H479" i="16"/>
  <c r="H574" i="16"/>
  <c r="H579" i="16"/>
  <c r="H679" i="16"/>
  <c r="H560" i="16"/>
  <c r="H658" i="16"/>
  <c r="I798" i="16"/>
  <c r="I816" i="16"/>
  <c r="I754" i="16"/>
  <c r="J754" i="16" s="1"/>
  <c r="I800" i="16"/>
  <c r="I819" i="16"/>
  <c r="I532" i="16"/>
  <c r="J532" i="16" s="1"/>
  <c r="I650" i="16"/>
  <c r="J650" i="16" s="1"/>
  <c r="I649" i="16"/>
  <c r="J649" i="16" s="1"/>
  <c r="I731" i="16"/>
  <c r="J731" i="16" s="1"/>
  <c r="I749" i="16"/>
  <c r="J749" i="16" s="1"/>
  <c r="I506" i="16"/>
  <c r="J506" i="16" s="1"/>
  <c r="I682" i="16"/>
  <c r="J682" i="16" s="1"/>
  <c r="I695" i="16"/>
  <c r="J695" i="16" s="1"/>
  <c r="I826" i="16"/>
  <c r="H785" i="16"/>
  <c r="I577" i="16"/>
  <c r="J577" i="16" s="1"/>
  <c r="I582" i="16"/>
  <c r="J582" i="16" s="1"/>
  <c r="H511" i="16"/>
  <c r="I718" i="16"/>
  <c r="J718" i="16" s="1"/>
  <c r="I657" i="16"/>
  <c r="J657" i="16" s="1"/>
  <c r="H814" i="16"/>
  <c r="I751" i="16"/>
  <c r="J751" i="16" s="1"/>
  <c r="I675" i="16"/>
  <c r="J675" i="16" s="1"/>
  <c r="I625" i="16"/>
  <c r="J625" i="16" s="1"/>
  <c r="H568" i="16"/>
  <c r="H573" i="16"/>
  <c r="H844" i="16"/>
  <c r="H863" i="16"/>
  <c r="H845" i="16"/>
  <c r="H864" i="16"/>
  <c r="H793" i="16"/>
  <c r="H729" i="16"/>
  <c r="H576" i="16"/>
  <c r="H581" i="16"/>
  <c r="H633" i="16"/>
  <c r="H687" i="16"/>
  <c r="I641" i="16"/>
  <c r="J641" i="16" s="1"/>
  <c r="I574" i="16"/>
  <c r="J574" i="16" s="1"/>
  <c r="I579" i="16"/>
  <c r="J579" i="16" s="1"/>
  <c r="H592" i="16"/>
  <c r="H598" i="16"/>
  <c r="H477" i="16"/>
  <c r="H663" i="16"/>
  <c r="H628" i="16"/>
  <c r="I490" i="16"/>
  <c r="J490" i="16" s="1"/>
  <c r="I492" i="16"/>
  <c r="J492" i="16" s="1"/>
  <c r="H827" i="16"/>
  <c r="H570" i="16"/>
  <c r="H752" i="16"/>
  <c r="I710" i="16"/>
  <c r="J710" i="16" s="1"/>
  <c r="H676" i="16"/>
  <c r="H536" i="16"/>
  <c r="I823" i="16"/>
  <c r="I610" i="16"/>
  <c r="J610" i="16" s="1"/>
  <c r="I618" i="16"/>
  <c r="J618" i="16" s="1"/>
  <c r="H640" i="16"/>
  <c r="I495" i="16"/>
  <c r="J495" i="16" s="1"/>
  <c r="H691" i="16"/>
  <c r="H705" i="16"/>
  <c r="H660" i="16"/>
  <c r="H671" i="16"/>
  <c r="I498" i="16"/>
  <c r="J498" i="16" s="1"/>
  <c r="H603" i="16"/>
  <c r="I768" i="16"/>
  <c r="I844" i="16"/>
  <c r="I863" i="16"/>
  <c r="I845" i="16"/>
  <c r="I864" i="16"/>
  <c r="I793" i="16"/>
  <c r="I729" i="16"/>
  <c r="J729" i="16" s="1"/>
  <c r="I612" i="16"/>
  <c r="J612" i="16" s="1"/>
  <c r="I620" i="16"/>
  <c r="J620" i="16" s="1"/>
  <c r="I576" i="16"/>
  <c r="J576" i="16" s="1"/>
  <c r="I581" i="16"/>
  <c r="J581" i="16" s="1"/>
  <c r="I480" i="16"/>
  <c r="J480" i="16" s="1"/>
  <c r="I633" i="16"/>
  <c r="J633" i="16" s="1"/>
  <c r="I687" i="16"/>
  <c r="J687" i="16" s="1"/>
  <c r="I797" i="16"/>
  <c r="H485" i="16"/>
  <c r="H807" i="16"/>
  <c r="H790" i="16"/>
  <c r="H806" i="16"/>
  <c r="H743" i="16"/>
  <c r="I664" i="16"/>
  <c r="J664" i="16" s="1"/>
  <c r="H491" i="16"/>
  <c r="I592" i="16"/>
  <c r="J592" i="16" s="1"/>
  <c r="I598" i="16"/>
  <c r="J598" i="16" s="1"/>
  <c r="I477" i="16"/>
  <c r="J477" i="16" s="1"/>
  <c r="I805" i="16"/>
  <c r="I742" i="16"/>
  <c r="J742" i="16" s="1"/>
  <c r="I663" i="16"/>
  <c r="J663" i="16" s="1"/>
  <c r="I628" i="16"/>
  <c r="J628" i="16" s="1"/>
  <c r="H490" i="16"/>
  <c r="H492" i="16"/>
  <c r="I611" i="16"/>
  <c r="J611" i="16" s="1"/>
  <c r="I619" i="16"/>
  <c r="J619" i="16" s="1"/>
  <c r="I820" i="16"/>
  <c r="I827" i="16"/>
  <c r="I570" i="16"/>
  <c r="J570" i="16" s="1"/>
  <c r="I656" i="16"/>
  <c r="J656" i="16" s="1"/>
  <c r="I752" i="16"/>
  <c r="J752" i="16" s="1"/>
  <c r="H710" i="16"/>
  <c r="I676" i="16"/>
  <c r="J676" i="16" s="1"/>
  <c r="I536" i="16"/>
  <c r="J536" i="16" s="1"/>
  <c r="H823" i="16"/>
  <c r="H610" i="16"/>
  <c r="H618" i="16"/>
  <c r="I640" i="16"/>
  <c r="J640" i="16" s="1"/>
  <c r="H495" i="16"/>
  <c r="I739" i="16"/>
  <c r="J739" i="16" s="1"/>
  <c r="I691" i="16"/>
  <c r="J691" i="16" s="1"/>
  <c r="I705" i="16"/>
  <c r="J705" i="16" s="1"/>
  <c r="I660" i="16"/>
  <c r="J660" i="16" s="1"/>
  <c r="I671" i="16"/>
  <c r="J671" i="16" s="1"/>
  <c r="H498" i="16"/>
  <c r="I603" i="16"/>
  <c r="J603" i="16" s="1"/>
  <c r="H515" i="16"/>
  <c r="H824" i="16"/>
  <c r="H567" i="16"/>
  <c r="I542" i="16"/>
  <c r="J542" i="16" s="1"/>
  <c r="I510" i="16"/>
  <c r="J510" i="16" s="1"/>
  <c r="H809" i="16"/>
  <c r="I513" i="16"/>
  <c r="J513" i="16" s="1"/>
  <c r="I517" i="16"/>
  <c r="J517" i="16" s="1"/>
  <c r="I565" i="16"/>
  <c r="J565" i="16" s="1"/>
  <c r="I790" i="16"/>
  <c r="I743" i="16"/>
  <c r="J743" i="16" s="1"/>
  <c r="H664" i="16"/>
  <c r="I491" i="16"/>
  <c r="J491" i="16" s="1"/>
  <c r="H533" i="16"/>
  <c r="H732" i="16"/>
  <c r="H615" i="16"/>
  <c r="H578" i="16"/>
  <c r="H583" i="16"/>
  <c r="H520" i="16"/>
  <c r="H564" i="16"/>
  <c r="H530" i="16"/>
  <c r="H815" i="16"/>
  <c r="H753" i="16"/>
  <c r="H677" i="16"/>
  <c r="I559" i="16"/>
  <c r="J559" i="16" s="1"/>
  <c r="H537" i="16"/>
  <c r="H566" i="16"/>
  <c r="H774" i="16"/>
  <c r="H692" i="16"/>
  <c r="H706" i="16"/>
  <c r="H661" i="16"/>
  <c r="H672" i="16"/>
  <c r="I626" i="16"/>
  <c r="J626" i="16" s="1"/>
  <c r="H553" i="16"/>
  <c r="H557" i="16"/>
  <c r="H543" i="16"/>
  <c r="H791" i="16"/>
  <c r="I550" i="16"/>
  <c r="J550" i="16" s="1"/>
  <c r="H601" i="16"/>
  <c r="H762" i="16"/>
  <c r="I551" i="16"/>
  <c r="J551" i="16" s="1"/>
  <c r="I758" i="16"/>
  <c r="J758" i="16" s="1"/>
  <c r="I515" i="16"/>
  <c r="J515" i="16" s="1"/>
  <c r="I824" i="16"/>
  <c r="I760" i="16"/>
  <c r="J760" i="16" s="1"/>
  <c r="I567" i="16"/>
  <c r="J567" i="16" s="1"/>
  <c r="H510" i="16"/>
  <c r="I809" i="16"/>
  <c r="I667" i="16"/>
  <c r="J667" i="16" s="1"/>
  <c r="I860" i="16"/>
  <c r="H859" i="16"/>
  <c r="H858" i="16"/>
  <c r="I846" i="16"/>
  <c r="I859" i="16"/>
  <c r="H856" i="16"/>
  <c r="I856" i="16"/>
  <c r="H857" i="16"/>
  <c r="I857" i="16"/>
  <c r="D1196" i="10"/>
  <c r="I862" i="16"/>
  <c r="I861" i="16"/>
  <c r="H860" i="16"/>
  <c r="I858" i="16"/>
  <c r="H846" i="16"/>
  <c r="I140" i="16"/>
  <c r="I305" i="16"/>
  <c r="J305" i="16" s="1"/>
  <c r="H281" i="16"/>
  <c r="I263" i="16"/>
  <c r="J263" i="16" s="1"/>
  <c r="H157" i="16"/>
  <c r="H270" i="16"/>
  <c r="H158" i="16"/>
  <c r="H273" i="16"/>
  <c r="I157" i="16"/>
  <c r="I237" i="16"/>
  <c r="I868" i="10"/>
  <c r="D960" i="10"/>
  <c r="I131" i="16"/>
  <c r="H14" i="16"/>
  <c r="H15" i="16"/>
  <c r="I230" i="16"/>
  <c r="H237" i="16"/>
  <c r="I21" i="16"/>
  <c r="I22" i="16"/>
  <c r="I103" i="16"/>
  <c r="I126" i="16"/>
  <c r="I14" i="16"/>
  <c r="I15" i="16"/>
  <c r="I147" i="16"/>
  <c r="H136" i="16"/>
  <c r="D851" i="10"/>
  <c r="H209" i="16"/>
  <c r="H244" i="16"/>
  <c r="H140" i="16"/>
  <c r="H147" i="16"/>
  <c r="I136" i="16"/>
  <c r="I146" i="16"/>
  <c r="I270" i="16"/>
  <c r="J270" i="16" s="1"/>
  <c r="I244" i="16"/>
  <c r="H276" i="16"/>
  <c r="H263" i="16"/>
  <c r="I75" i="16"/>
  <c r="D846" i="10"/>
  <c r="H208" i="16"/>
  <c r="H18" i="16"/>
  <c r="H19" i="16"/>
  <c r="I148" i="16"/>
  <c r="H272" i="16"/>
  <c r="H128" i="16"/>
  <c r="I18" i="16"/>
  <c r="I19" i="16"/>
  <c r="H148" i="16"/>
  <c r="I272" i="16"/>
  <c r="J272" i="16" s="1"/>
  <c r="I128" i="16"/>
  <c r="H21" i="16"/>
  <c r="H22" i="16"/>
  <c r="H271" i="16"/>
  <c r="H318" i="16"/>
  <c r="D828" i="10"/>
  <c r="D835" i="10" s="1"/>
  <c r="D1045" i="10"/>
  <c r="H87" i="16"/>
  <c r="H683" i="16"/>
  <c r="D1086" i="10"/>
  <c r="H646" i="16"/>
  <c r="D1018" i="10"/>
  <c r="H605" i="16"/>
  <c r="D1122" i="10"/>
  <c r="H487" i="16"/>
  <c r="D1020" i="10"/>
  <c r="H563" i="16"/>
  <c r="D1118" i="10"/>
  <c r="H747" i="16"/>
  <c r="D1089" i="10"/>
  <c r="H757" i="16"/>
  <c r="H802" i="16"/>
  <c r="H274" i="16"/>
  <c r="D914" i="10"/>
  <c r="E290" i="10"/>
  <c r="G290" i="10" s="1"/>
  <c r="D932" i="10"/>
  <c r="G306" i="10"/>
  <c r="H755" i="16"/>
  <c r="H754" i="16"/>
  <c r="H577" i="16"/>
  <c r="D1055" i="10"/>
  <c r="H718" i="16"/>
  <c r="D1143" i="10"/>
  <c r="H558" i="16"/>
  <c r="H736" i="16"/>
  <c r="H597" i="16"/>
  <c r="D1029" i="10"/>
  <c r="H612" i="16"/>
  <c r="H480" i="16"/>
  <c r="D1037" i="10"/>
  <c r="D1085" i="10"/>
  <c r="E293" i="10"/>
  <c r="G293" i="10" s="1"/>
  <c r="D959" i="10"/>
  <c r="I159" i="16"/>
  <c r="E297" i="10"/>
  <c r="G297" i="10" s="1"/>
  <c r="J591" i="10"/>
  <c r="E299" i="10"/>
  <c r="G299" i="10" s="1"/>
  <c r="H861" i="16"/>
  <c r="D1199" i="10"/>
  <c r="H766" i="16"/>
  <c r="H654" i="16"/>
  <c r="D1083" i="10"/>
  <c r="H548" i="16"/>
  <c r="D1120" i="10"/>
  <c r="H516" i="16"/>
  <c r="D1026" i="10"/>
  <c r="H805" i="16"/>
  <c r="H611" i="16"/>
  <c r="H717" i="16"/>
  <c r="D1142" i="10"/>
  <c r="H739" i="16"/>
  <c r="D1216" i="10"/>
  <c r="D1218" i="10" s="1"/>
  <c r="H268" i="16"/>
  <c r="D891" i="10"/>
  <c r="D894" i="10" s="1"/>
  <c r="I73" i="16"/>
  <c r="I130" i="16"/>
  <c r="I87" i="16"/>
  <c r="H629" i="16"/>
  <c r="H758" i="16"/>
  <c r="H760" i="16"/>
  <c r="H667" i="16"/>
  <c r="D1135" i="10"/>
  <c r="D848" i="10"/>
  <c r="E308" i="10"/>
  <c r="G308" i="10" s="1"/>
  <c r="H734" i="16"/>
  <c r="H596" i="16"/>
  <c r="H803" i="16"/>
  <c r="H740" i="16"/>
  <c r="H524" i="16"/>
  <c r="D1117" i="10"/>
  <c r="H636" i="16"/>
  <c r="E328" i="10"/>
  <c r="D1210" i="10"/>
  <c r="H542" i="16"/>
  <c r="I275" i="16"/>
  <c r="J275" i="16" s="1"/>
  <c r="E311" i="10"/>
  <c r="G311" i="10" s="1"/>
  <c r="I281" i="16"/>
  <c r="J281" i="16" s="1"/>
  <c r="E314" i="10"/>
  <c r="G314" i="10" s="1"/>
  <c r="D879" i="10"/>
  <c r="D882" i="10" s="1"/>
  <c r="H904" i="10"/>
  <c r="H906" i="10" s="1"/>
  <c r="H609" i="16"/>
  <c r="H765" i="16"/>
  <c r="H868" i="10"/>
  <c r="H478" i="16"/>
  <c r="H674" i="16"/>
  <c r="H635" i="16"/>
  <c r="D1209" i="10"/>
  <c r="E327" i="10"/>
  <c r="H759" i="16"/>
  <c r="H275" i="16"/>
  <c r="D915" i="10"/>
  <c r="H756" i="16"/>
  <c r="H716" i="16"/>
  <c r="D1141" i="10"/>
  <c r="H645" i="16"/>
  <c r="D1191" i="10"/>
  <c r="H699" i="16"/>
  <c r="D1137" i="10"/>
  <c r="H554" i="16"/>
  <c r="D1106" i="10"/>
  <c r="H525" i="16"/>
  <c r="D1033" i="10"/>
  <c r="H594" i="16"/>
  <c r="D1119" i="10"/>
  <c r="H507" i="16"/>
  <c r="D1105" i="10"/>
  <c r="H643" i="16"/>
  <c r="D1192" i="10"/>
  <c r="H737" i="16"/>
  <c r="H551" i="16"/>
  <c r="H304" i="16"/>
  <c r="I74" i="16"/>
  <c r="H300" i="16"/>
  <c r="H746" i="16"/>
  <c r="H493" i="16"/>
  <c r="H284" i="16"/>
  <c r="H280" i="16"/>
  <c r="I331" i="16"/>
  <c r="J331" i="16" s="1"/>
  <c r="I459" i="16"/>
  <c r="J459" i="16" s="1"/>
  <c r="I375" i="16"/>
  <c r="J375" i="16" s="1"/>
  <c r="I401" i="16"/>
  <c r="J401" i="16" s="1"/>
  <c r="H355" i="16"/>
  <c r="I388" i="16"/>
  <c r="J388" i="16" s="1"/>
  <c r="I350" i="16"/>
  <c r="J350" i="16" s="1"/>
  <c r="I149" i="16"/>
  <c r="H101" i="16"/>
  <c r="H75" i="16"/>
  <c r="I123" i="16"/>
  <c r="I69" i="16"/>
  <c r="I118" i="16"/>
  <c r="H141" i="16"/>
  <c r="I464" i="16"/>
  <c r="J464" i="16" s="1"/>
  <c r="I372" i="16"/>
  <c r="J372" i="16" s="1"/>
  <c r="H328" i="16"/>
  <c r="H243" i="16"/>
  <c r="H369" i="16"/>
  <c r="I106" i="16"/>
  <c r="H288" i="16"/>
  <c r="H365" i="16"/>
  <c r="I407" i="16"/>
  <c r="J407" i="16" s="1"/>
  <c r="H330" i="16"/>
  <c r="I394" i="16"/>
  <c r="J394" i="16" s="1"/>
  <c r="I330" i="16"/>
  <c r="J330" i="16" s="1"/>
  <c r="H400" i="16"/>
  <c r="H394" i="16"/>
  <c r="H375" i="16"/>
  <c r="H319" i="16"/>
  <c r="H80" i="16"/>
  <c r="H245" i="16"/>
  <c r="I72" i="16"/>
  <c r="I242" i="16"/>
  <c r="H154" i="16"/>
  <c r="I319" i="16"/>
  <c r="J319" i="16" s="1"/>
  <c r="I80" i="16"/>
  <c r="I101" i="16"/>
  <c r="H123" i="16"/>
  <c r="H326" i="16"/>
  <c r="H88" i="16"/>
  <c r="I323" i="16"/>
  <c r="J323" i="16" s="1"/>
  <c r="H106" i="16"/>
  <c r="I266" i="16"/>
  <c r="J266" i="16" s="1"/>
  <c r="H726" i="16"/>
  <c r="R1348" i="4"/>
  <c r="H724" i="16"/>
  <c r="R1344" i="4"/>
  <c r="H728" i="16"/>
  <c r="R1352" i="4"/>
  <c r="H727" i="16"/>
  <c r="R1350" i="4"/>
  <c r="R49" i="4"/>
  <c r="R48" i="4"/>
  <c r="I58" i="16"/>
  <c r="H311" i="16"/>
  <c r="H99" i="16"/>
  <c r="H58" i="16"/>
  <c r="H149" i="16"/>
  <c r="I245" i="16"/>
  <c r="H65" i="16"/>
  <c r="H323" i="16"/>
  <c r="H302" i="16"/>
  <c r="H236" i="16"/>
  <c r="H262" i="16"/>
  <c r="I84" i="16"/>
  <c r="H111" i="16"/>
  <c r="H64" i="16"/>
  <c r="H331" i="16"/>
  <c r="I251" i="16"/>
  <c r="J251" i="16" s="1"/>
  <c r="H250" i="16"/>
  <c r="I343" i="16"/>
  <c r="J343" i="16" s="1"/>
  <c r="I346" i="16"/>
  <c r="J346" i="16" s="1"/>
  <c r="I380" i="16"/>
  <c r="J380" i="16" s="1"/>
  <c r="I379" i="16"/>
  <c r="J379" i="16" s="1"/>
  <c r="I355" i="16"/>
  <c r="J355" i="16" s="1"/>
  <c r="I399" i="16"/>
  <c r="J399" i="16" s="1"/>
  <c r="I369" i="16"/>
  <c r="J369" i="16" s="1"/>
  <c r="I151" i="16"/>
  <c r="H67" i="16"/>
  <c r="H74" i="16"/>
  <c r="I304" i="16"/>
  <c r="J304" i="16" s="1"/>
  <c r="I65" i="16"/>
  <c r="I236" i="16"/>
  <c r="I262" i="16"/>
  <c r="J262" i="16" s="1"/>
  <c r="H84" i="16"/>
  <c r="I111" i="16"/>
  <c r="I64" i="16"/>
  <c r="I347" i="16"/>
  <c r="J347" i="16" s="1"/>
  <c r="I108" i="16"/>
  <c r="I249" i="16"/>
  <c r="J249" i="16" s="1"/>
  <c r="I120" i="16"/>
  <c r="H347" i="16"/>
  <c r="H368" i="16"/>
  <c r="I114" i="16"/>
  <c r="I295" i="16"/>
  <c r="J295" i="16" s="1"/>
  <c r="H351" i="16"/>
  <c r="H352" i="16"/>
  <c r="H376" i="16"/>
  <c r="I376" i="16"/>
  <c r="J376" i="16" s="1"/>
  <c r="H381" i="16"/>
  <c r="H155" i="16"/>
  <c r="H249" i="16"/>
  <c r="I351" i="16"/>
  <c r="J351" i="16" s="1"/>
  <c r="H120" i="16"/>
  <c r="I361" i="16"/>
  <c r="J361" i="16" s="1"/>
  <c r="I405" i="16"/>
  <c r="J405" i="16" s="1"/>
  <c r="I77" i="16"/>
  <c r="H366" i="16"/>
  <c r="I458" i="16"/>
  <c r="J458" i="16" s="1"/>
  <c r="I400" i="16"/>
  <c r="J400" i="16" s="1"/>
  <c r="I381" i="16"/>
  <c r="J381" i="16" s="1"/>
  <c r="H76" i="16"/>
  <c r="H238" i="16"/>
  <c r="H344" i="16"/>
  <c r="H127" i="16"/>
  <c r="I398" i="16"/>
  <c r="J398" i="16" s="1"/>
  <c r="I368" i="16"/>
  <c r="J368" i="16" s="1"/>
  <c r="H69" i="16"/>
  <c r="I391" i="16"/>
  <c r="J391" i="16" s="1"/>
  <c r="I408" i="16"/>
  <c r="J408" i="16" s="1"/>
  <c r="I264" i="16"/>
  <c r="J264" i="16" s="1"/>
  <c r="I348" i="16"/>
  <c r="J348" i="16" s="1"/>
  <c r="H358" i="16"/>
  <c r="I358" i="16"/>
  <c r="J358" i="16" s="1"/>
  <c r="I155" i="16"/>
  <c r="H361" i="16"/>
  <c r="I365" i="16"/>
  <c r="J365" i="16" s="1"/>
  <c r="H459" i="16"/>
  <c r="I463" i="16"/>
  <c r="J463" i="16" s="1"/>
  <c r="I122" i="16"/>
  <c r="I334" i="16"/>
  <c r="J334" i="16" s="1"/>
  <c r="I345" i="16"/>
  <c r="J345" i="16" s="1"/>
  <c r="I457" i="16"/>
  <c r="J457" i="16" s="1"/>
  <c r="H356" i="16"/>
  <c r="I356" i="16"/>
  <c r="J356" i="16" s="1"/>
  <c r="H370" i="16"/>
  <c r="I386" i="16"/>
  <c r="J386" i="16" s="1"/>
  <c r="H360" i="16"/>
  <c r="I344" i="16"/>
  <c r="J344" i="16" s="1"/>
  <c r="I352" i="16"/>
  <c r="J352" i="16" s="1"/>
  <c r="H345" i="16"/>
  <c r="I359" i="16"/>
  <c r="J359" i="16" s="1"/>
  <c r="I392" i="16"/>
  <c r="J392" i="16" s="1"/>
  <c r="H353" i="16"/>
  <c r="I406" i="16"/>
  <c r="J406" i="16" s="1"/>
  <c r="I349" i="16"/>
  <c r="H348" i="16"/>
  <c r="H362" i="16"/>
  <c r="I360" i="16"/>
  <c r="J360" i="16" s="1"/>
  <c r="I410" i="16"/>
  <c r="J410" i="16" s="1"/>
  <c r="H371" i="16"/>
  <c r="I403" i="16"/>
  <c r="J403" i="16" s="1"/>
  <c r="I396" i="16"/>
  <c r="J396" i="16" s="1"/>
  <c r="I390" i="16"/>
  <c r="J390" i="16" s="1"/>
  <c r="I393" i="16"/>
  <c r="J393" i="16" s="1"/>
  <c r="H354" i="16"/>
  <c r="I371" i="16"/>
  <c r="J371" i="16" s="1"/>
  <c r="I460" i="16"/>
  <c r="J460" i="16" s="1"/>
  <c r="H359" i="16"/>
  <c r="I461" i="16"/>
  <c r="J461" i="16" s="1"/>
  <c r="I402" i="16"/>
  <c r="J402" i="16" s="1"/>
  <c r="H409" i="16"/>
  <c r="I366" i="16"/>
  <c r="J366" i="16" s="1"/>
  <c r="I353" i="16"/>
  <c r="J353" i="16" s="1"/>
  <c r="H373" i="16"/>
  <c r="H349" i="16"/>
  <c r="I373" i="16"/>
  <c r="J373" i="16" s="1"/>
  <c r="I462" i="16"/>
  <c r="J462" i="16" s="1"/>
  <c r="H367" i="16"/>
  <c r="H363" i="16"/>
  <c r="H357" i="16"/>
  <c r="H374" i="16"/>
  <c r="I367" i="16"/>
  <c r="J367" i="16" s="1"/>
  <c r="I354" i="16"/>
  <c r="J354" i="16" s="1"/>
  <c r="I404" i="16"/>
  <c r="J404" i="16" s="1"/>
  <c r="H364" i="16"/>
  <c r="I397" i="16"/>
  <c r="J397" i="16" s="1"/>
  <c r="I363" i="16"/>
  <c r="J363" i="16" s="1"/>
  <c r="I382" i="16"/>
  <c r="J382" i="16" s="1"/>
  <c r="I357" i="16"/>
  <c r="J357" i="16" s="1"/>
  <c r="I387" i="16"/>
  <c r="J387" i="16" s="1"/>
  <c r="I378" i="16"/>
  <c r="J378" i="16" s="1"/>
  <c r="I385" i="16"/>
  <c r="J385" i="16" s="1"/>
  <c r="I362" i="16"/>
  <c r="J362" i="16" s="1"/>
  <c r="H386" i="16"/>
  <c r="I409" i="16"/>
  <c r="J409" i="16" s="1"/>
  <c r="I370" i="16"/>
  <c r="J370" i="16" s="1"/>
  <c r="I395" i="16"/>
  <c r="J395" i="16" s="1"/>
  <c r="I389" i="16"/>
  <c r="J389" i="16" s="1"/>
  <c r="I374" i="16"/>
  <c r="J374" i="16" s="1"/>
  <c r="H372" i="16"/>
  <c r="I364" i="16"/>
  <c r="J364" i="16" s="1"/>
  <c r="H388" i="16"/>
  <c r="H350" i="16"/>
  <c r="H343" i="16"/>
  <c r="H346" i="16"/>
  <c r="H126" i="16"/>
  <c r="H131" i="16"/>
  <c r="I307" i="16"/>
  <c r="J307" i="16" s="1"/>
  <c r="H105" i="16"/>
  <c r="H333" i="16"/>
  <c r="I342" i="16"/>
  <c r="J342" i="16" s="1"/>
  <c r="H119" i="16"/>
  <c r="H94" i="16"/>
  <c r="I326" i="16"/>
  <c r="J326" i="16" s="1"/>
  <c r="I67" i="16"/>
  <c r="I88" i="16"/>
  <c r="H115" i="16"/>
  <c r="I83" i="16"/>
  <c r="H264" i="16"/>
  <c r="I105" i="16"/>
  <c r="I335" i="16"/>
  <c r="J335" i="16" s="1"/>
  <c r="H310" i="16"/>
  <c r="H308" i="16"/>
  <c r="H240" i="16"/>
  <c r="I333" i="16"/>
  <c r="J333" i="16" s="1"/>
  <c r="I115" i="16"/>
  <c r="H83" i="16"/>
  <c r="I310" i="16"/>
  <c r="J310" i="16" s="1"/>
  <c r="I308" i="16"/>
  <c r="J308" i="16" s="1"/>
  <c r="I240" i="16"/>
  <c r="I137" i="16"/>
  <c r="H257" i="16"/>
  <c r="I93" i="16"/>
  <c r="H335" i="16"/>
  <c r="I257" i="16"/>
  <c r="J257" i="16" s="1"/>
  <c r="I113" i="16"/>
  <c r="H77" i="16"/>
  <c r="H307" i="16"/>
  <c r="H93" i="16"/>
  <c r="H82" i="16"/>
  <c r="H338" i="16"/>
  <c r="I142" i="16"/>
  <c r="H306" i="16"/>
  <c r="H114" i="16"/>
  <c r="H102" i="16"/>
  <c r="H337" i="16"/>
  <c r="H108" i="16"/>
  <c r="I100" i="16"/>
  <c r="H285" i="16"/>
  <c r="H89" i="16"/>
  <c r="H248" i="16"/>
  <c r="I78" i="16"/>
  <c r="H289" i="16"/>
  <c r="H117" i="16"/>
  <c r="I332" i="16"/>
  <c r="J332" i="16" s="1"/>
  <c r="I125" i="16"/>
  <c r="H340" i="16"/>
  <c r="I138" i="16"/>
  <c r="I235" i="16"/>
  <c r="I90" i="16"/>
  <c r="H137" i="16"/>
  <c r="I322" i="16"/>
  <c r="J322" i="16" s="1"/>
  <c r="I316" i="16"/>
  <c r="J316" i="16" s="1"/>
  <c r="I76" i="16"/>
  <c r="I238" i="16"/>
  <c r="I312" i="16"/>
  <c r="J312" i="16" s="1"/>
  <c r="I127" i="16"/>
  <c r="H266" i="16"/>
  <c r="H122" i="16"/>
  <c r="H309" i="16"/>
  <c r="I294" i="16"/>
  <c r="J294" i="16" s="1"/>
  <c r="H86" i="16"/>
  <c r="H342" i="16"/>
  <c r="I94" i="16"/>
  <c r="I247" i="16"/>
  <c r="I224" i="16"/>
  <c r="H228" i="16"/>
  <c r="H205" i="16"/>
  <c r="H223" i="16"/>
  <c r="H200" i="16"/>
  <c r="I170" i="16"/>
  <c r="I152" i="16"/>
  <c r="I150" i="16"/>
  <c r="I229" i="16"/>
  <c r="I206" i="16"/>
  <c r="H283" i="16"/>
  <c r="H260" i="16"/>
  <c r="I227" i="16"/>
  <c r="I204" i="16"/>
  <c r="I71" i="16"/>
  <c r="H341" i="16"/>
  <c r="H246" i="16"/>
  <c r="I102" i="16"/>
  <c r="I252" i="16"/>
  <c r="J252" i="16" s="1"/>
  <c r="I81" i="16"/>
  <c r="H79" i="16"/>
  <c r="H57" i="16"/>
  <c r="H312" i="16"/>
  <c r="I215" i="16"/>
  <c r="I192" i="16"/>
  <c r="I239" i="16"/>
  <c r="H55" i="16"/>
  <c r="H329" i="16"/>
  <c r="I107" i="16"/>
  <c r="H327" i="16"/>
  <c r="I139" i="16"/>
  <c r="H71" i="16"/>
  <c r="I82" i="16"/>
  <c r="I338" i="16"/>
  <c r="J338" i="16" s="1"/>
  <c r="H142" i="16"/>
  <c r="H104" i="16"/>
  <c r="I52" i="16"/>
  <c r="I43" i="16"/>
  <c r="I220" i="16"/>
  <c r="I197" i="16"/>
  <c r="I96" i="16"/>
  <c r="I306" i="16"/>
  <c r="J306" i="16" s="1"/>
  <c r="I133" i="16"/>
  <c r="I174" i="16"/>
  <c r="I156" i="16"/>
  <c r="I59" i="16"/>
  <c r="I50" i="16"/>
  <c r="I66" i="16"/>
  <c r="I296" i="16"/>
  <c r="J296" i="16" s="1"/>
  <c r="I290" i="16"/>
  <c r="J290" i="16" s="1"/>
  <c r="I246" i="16"/>
  <c r="H252" i="16"/>
  <c r="H81" i="16"/>
  <c r="I79" i="16"/>
  <c r="I57" i="16"/>
  <c r="H215" i="16"/>
  <c r="H192" i="16"/>
  <c r="H73" i="16"/>
  <c r="H239" i="16"/>
  <c r="I55" i="16"/>
  <c r="I329" i="16"/>
  <c r="J329" i="16" s="1"/>
  <c r="I313" i="16"/>
  <c r="J313" i="16" s="1"/>
  <c r="H253" i="16"/>
  <c r="H230" i="16"/>
  <c r="H121" i="16"/>
  <c r="H292" i="16"/>
  <c r="H286" i="16"/>
  <c r="I289" i="16"/>
  <c r="J289" i="16" s="1"/>
  <c r="H135" i="16"/>
  <c r="H334" i="16"/>
  <c r="H212" i="16"/>
  <c r="H189" i="16"/>
  <c r="I60" i="16"/>
  <c r="I51" i="16"/>
  <c r="H241" i="16"/>
  <c r="H218" i="16"/>
  <c r="H161" i="16"/>
  <c r="H145" i="16"/>
  <c r="I97" i="16"/>
  <c r="H70" i="16"/>
  <c r="H61" i="16"/>
  <c r="H103" i="16"/>
  <c r="H49" i="16"/>
  <c r="H40" i="16"/>
  <c r="H234" i="16"/>
  <c r="H336" i="16"/>
  <c r="H134" i="16"/>
  <c r="I112" i="16"/>
  <c r="I121" i="16"/>
  <c r="I135" i="16"/>
  <c r="I119" i="16"/>
  <c r="I212" i="16"/>
  <c r="I189" i="16"/>
  <c r="H60" i="16"/>
  <c r="H51" i="16"/>
  <c r="I241" i="16"/>
  <c r="I218" i="16"/>
  <c r="I161" i="16"/>
  <c r="I145" i="16"/>
  <c r="H97" i="16"/>
  <c r="I70" i="16"/>
  <c r="I61" i="16"/>
  <c r="I49" i="16"/>
  <c r="I40" i="16"/>
  <c r="H294" i="16"/>
  <c r="I234" i="16"/>
  <c r="I336" i="16"/>
  <c r="J336" i="16" s="1"/>
  <c r="I134" i="16"/>
  <c r="I214" i="16"/>
  <c r="I191" i="16"/>
  <c r="H90" i="16"/>
  <c r="H174" i="16"/>
  <c r="H156" i="16"/>
  <c r="H317" i="16"/>
  <c r="H265" i="16"/>
  <c r="I222" i="16"/>
  <c r="I199" i="16"/>
  <c r="H296" i="16"/>
  <c r="H290" i="16"/>
  <c r="H320" i="16"/>
  <c r="I63" i="16"/>
  <c r="I54" i="16"/>
  <c r="I317" i="16"/>
  <c r="J317" i="16" s="1"/>
  <c r="H322" i="16"/>
  <c r="I91" i="16"/>
  <c r="H219" i="16"/>
  <c r="H196" i="16"/>
  <c r="H125" i="16"/>
  <c r="I314" i="16"/>
  <c r="J314" i="16" s="1"/>
  <c r="H324" i="16"/>
  <c r="I68" i="16"/>
  <c r="I219" i="16"/>
  <c r="I196" i="16"/>
  <c r="I109" i="16"/>
  <c r="I56" i="16"/>
  <c r="H314" i="16"/>
  <c r="I324" i="16"/>
  <c r="J324" i="16" s="1"/>
  <c r="I254" i="16"/>
  <c r="J254" i="16" s="1"/>
  <c r="I231" i="16"/>
  <c r="I298" i="16"/>
  <c r="J298" i="16" s="1"/>
  <c r="H143" i="16"/>
  <c r="I95" i="16"/>
  <c r="I339" i="16"/>
  <c r="J339" i="16" s="1"/>
  <c r="H301" i="16"/>
  <c r="H221" i="16"/>
  <c r="H198" i="16"/>
  <c r="H85" i="16"/>
  <c r="H287" i="16"/>
  <c r="H261" i="16"/>
  <c r="H112" i="16"/>
  <c r="H216" i="16"/>
  <c r="H193" i="16"/>
  <c r="I98" i="16"/>
  <c r="I216" i="16"/>
  <c r="I193" i="16"/>
  <c r="I303" i="16"/>
  <c r="J303" i="16" s="1"/>
  <c r="I297" i="16"/>
  <c r="J297" i="16" s="1"/>
  <c r="H59" i="16"/>
  <c r="H50" i="16"/>
  <c r="H100" i="16"/>
  <c r="H303" i="16"/>
  <c r="H297" i="16"/>
  <c r="I337" i="16"/>
  <c r="J337" i="16" s="1"/>
  <c r="I223" i="16"/>
  <c r="I200" i="16"/>
  <c r="I320" i="16"/>
  <c r="J320" i="16" s="1"/>
  <c r="I217" i="16"/>
  <c r="I194" i="16"/>
  <c r="H113" i="16"/>
  <c r="H227" i="16"/>
  <c r="H204" i="16"/>
  <c r="H217" i="16"/>
  <c r="H194" i="16"/>
  <c r="I285" i="16"/>
  <c r="J285" i="16" s="1"/>
  <c r="H170" i="16"/>
  <c r="H152" i="16"/>
  <c r="I265" i="16"/>
  <c r="J265" i="16" s="1"/>
  <c r="I325" i="16"/>
  <c r="J325" i="16" s="1"/>
  <c r="H150" i="16"/>
  <c r="I89" i="16"/>
  <c r="H139" i="16"/>
  <c r="H52" i="16"/>
  <c r="H43" i="16"/>
  <c r="H220" i="16"/>
  <c r="H197" i="16"/>
  <c r="H332" i="16"/>
  <c r="H68" i="16"/>
  <c r="H316" i="16"/>
  <c r="H92" i="16"/>
  <c r="H254" i="16"/>
  <c r="H231" i="16"/>
  <c r="H313" i="16"/>
  <c r="I248" i="16"/>
  <c r="H91" i="16"/>
  <c r="H256" i="16"/>
  <c r="H233" i="16"/>
  <c r="I92" i="16"/>
  <c r="H78" i="16"/>
  <c r="H305" i="16"/>
  <c r="H225" i="16"/>
  <c r="H202" i="16"/>
  <c r="I153" i="16"/>
  <c r="H258" i="16"/>
  <c r="H321" i="16"/>
  <c r="H315" i="16"/>
  <c r="H255" i="16"/>
  <c r="H232" i="16"/>
  <c r="I124" i="16"/>
  <c r="H110" i="16"/>
  <c r="H298" i="16"/>
  <c r="I340" i="16"/>
  <c r="J340" i="16" s="1"/>
  <c r="I143" i="16"/>
  <c r="H95" i="16"/>
  <c r="H339" i="16"/>
  <c r="I301" i="16"/>
  <c r="J301" i="16" s="1"/>
  <c r="I221" i="16"/>
  <c r="I198" i="16"/>
  <c r="H138" i="16"/>
  <c r="I86" i="16"/>
  <c r="I85" i="16"/>
  <c r="I287" i="16"/>
  <c r="J287" i="16" s="1"/>
  <c r="I261" i="16"/>
  <c r="J261" i="16" s="1"/>
  <c r="H299" i="16"/>
  <c r="H211" i="16"/>
  <c r="H188" i="16"/>
  <c r="H247" i="16"/>
  <c r="H224" i="16"/>
  <c r="I228" i="16"/>
  <c r="I205" i="16"/>
  <c r="I226" i="16"/>
  <c r="I203" i="16"/>
  <c r="I211" i="16"/>
  <c r="I188" i="16"/>
  <c r="H229" i="16"/>
  <c r="H206" i="16"/>
  <c r="I213" i="16"/>
  <c r="I190" i="16"/>
  <c r="H63" i="16"/>
  <c r="H54" i="16"/>
  <c r="I62" i="16"/>
  <c r="I53" i="16"/>
  <c r="I283" i="16"/>
  <c r="J283" i="16" s="1"/>
  <c r="I260" i="16"/>
  <c r="J260" i="16" s="1"/>
  <c r="H325" i="16"/>
  <c r="H66" i="16"/>
  <c r="H213" i="16"/>
  <c r="H190" i="16"/>
  <c r="H62" i="16"/>
  <c r="H53" i="16"/>
  <c r="H222" i="16"/>
  <c r="H199" i="16"/>
  <c r="H107" i="16"/>
  <c r="I327" i="16"/>
  <c r="J327" i="16" s="1"/>
  <c r="I117" i="16"/>
  <c r="I104" i="16"/>
  <c r="H96" i="16"/>
  <c r="I256" i="16"/>
  <c r="J256" i="16" s="1"/>
  <c r="I233" i="16"/>
  <c r="H109" i="16"/>
  <c r="H56" i="16"/>
  <c r="I225" i="16"/>
  <c r="I202" i="16"/>
  <c r="H153" i="16"/>
  <c r="I258" i="16"/>
  <c r="J258" i="16" s="1"/>
  <c r="H130" i="16"/>
  <c r="I321" i="16"/>
  <c r="J321" i="16" s="1"/>
  <c r="I315" i="16"/>
  <c r="J315" i="16" s="1"/>
  <c r="I255" i="16"/>
  <c r="J255" i="16" s="1"/>
  <c r="I232" i="16"/>
  <c r="H124" i="16"/>
  <c r="I110" i="16"/>
  <c r="H214" i="16"/>
  <c r="H191" i="16"/>
  <c r="I328" i="16"/>
  <c r="J328" i="16" s="1"/>
  <c r="I311" i="16"/>
  <c r="J311" i="16" s="1"/>
  <c r="I243" i="16"/>
  <c r="H118" i="16"/>
  <c r="I99" i="16"/>
  <c r="H72" i="16"/>
  <c r="H242" i="16"/>
  <c r="H251" i="16"/>
  <c r="I250" i="16"/>
  <c r="J250" i="16" s="1"/>
  <c r="H133" i="16"/>
  <c r="H98" i="16"/>
  <c r="I141" i="16"/>
  <c r="H295" i="16"/>
  <c r="H235" i="16"/>
  <c r="I154" i="16"/>
  <c r="H226" i="16"/>
  <c r="H203" i="16"/>
  <c r="I299" i="16"/>
  <c r="J299" i="16" s="1"/>
  <c r="H37" i="16"/>
  <c r="I37" i="16"/>
  <c r="H862" i="16"/>
  <c r="C1505" i="22"/>
  <c r="O1646" i="4"/>
  <c r="H399" i="16"/>
  <c r="O1671" i="4"/>
  <c r="H464" i="16"/>
  <c r="O1649" i="4"/>
  <c r="H401" i="16"/>
  <c r="O1624" i="4"/>
  <c r="H391" i="16"/>
  <c r="O1694" i="4"/>
  <c r="O1668" i="4"/>
  <c r="H461" i="16"/>
  <c r="O1642" i="4"/>
  <c r="H395" i="16"/>
  <c r="O1658" i="4"/>
  <c r="H407" i="16"/>
  <c r="O1655" i="4"/>
  <c r="H405" i="16"/>
  <c r="O1698" i="4"/>
  <c r="O1575" i="4"/>
  <c r="H380" i="16"/>
  <c r="O1664" i="4"/>
  <c r="H458" i="16"/>
  <c r="O1656" i="4"/>
  <c r="H406" i="16"/>
  <c r="O1661" i="4"/>
  <c r="H410" i="16"/>
  <c r="O1652" i="4"/>
  <c r="H403" i="16"/>
  <c r="O1643" i="4"/>
  <c r="H396" i="16"/>
  <c r="O1626" i="4"/>
  <c r="H393" i="16"/>
  <c r="O1565" i="4"/>
  <c r="H377" i="16"/>
  <c r="O1685" i="4"/>
  <c r="O1667" i="4"/>
  <c r="H460" i="16"/>
  <c r="O1610" i="4"/>
  <c r="H385" i="16"/>
  <c r="O1659" i="4"/>
  <c r="H408" i="16"/>
  <c r="O1650" i="4"/>
  <c r="H402" i="16"/>
  <c r="O1699" i="4"/>
  <c r="O1574" i="4"/>
  <c r="H379" i="16"/>
  <c r="O1625" i="4"/>
  <c r="H392" i="16"/>
  <c r="O1670" i="4"/>
  <c r="H462" i="16"/>
  <c r="O1682" i="4"/>
  <c r="H463" i="16"/>
  <c r="O1696" i="4"/>
  <c r="O1662" i="4"/>
  <c r="O1644" i="4"/>
  <c r="H397" i="16"/>
  <c r="O1683" i="4"/>
  <c r="O1577" i="4"/>
  <c r="H382" i="16"/>
  <c r="O1616" i="4"/>
  <c r="H387" i="16"/>
  <c r="O1736" i="4"/>
  <c r="O1645" i="4"/>
  <c r="H398" i="16"/>
  <c r="O1697" i="4"/>
  <c r="O1663" i="4"/>
  <c r="H457" i="16"/>
  <c r="O1737" i="4"/>
  <c r="O1686" i="4"/>
  <c r="I278" i="16"/>
  <c r="J278" i="16" s="1"/>
  <c r="I284" i="16"/>
  <c r="J284" i="16" s="1"/>
  <c r="I302" i="16"/>
  <c r="J302" i="16" s="1"/>
  <c r="I269" i="16"/>
  <c r="J269" i="16" s="1"/>
  <c r="I277" i="16"/>
  <c r="J277" i="16" s="1"/>
  <c r="I268" i="16"/>
  <c r="J268" i="16" s="1"/>
  <c r="I300" i="16"/>
  <c r="J300" i="16" s="1"/>
  <c r="J469" i="16"/>
  <c r="I273" i="16"/>
  <c r="J273" i="16" s="1"/>
  <c r="I341" i="16"/>
  <c r="J341" i="16" s="1"/>
  <c r="J468" i="16"/>
  <c r="I271" i="16"/>
  <c r="J271" i="16" s="1"/>
  <c r="I293" i="16"/>
  <c r="J293" i="16" s="1"/>
  <c r="I276" i="16"/>
  <c r="J276" i="16" s="1"/>
  <c r="I253" i="16"/>
  <c r="J253" i="16" s="1"/>
  <c r="I292" i="16"/>
  <c r="J292" i="16" s="1"/>
  <c r="I309" i="16"/>
  <c r="J309" i="16" s="1"/>
  <c r="I291" i="16"/>
  <c r="J291" i="16" s="1"/>
  <c r="I288" i="16"/>
  <c r="J288" i="16" s="1"/>
  <c r="I318" i="16"/>
  <c r="J318" i="16" s="1"/>
  <c r="J467" i="16"/>
  <c r="J259" i="16"/>
  <c r="J267" i="16"/>
  <c r="J274" i="16"/>
  <c r="N1224" i="4"/>
  <c r="O1224" i="4" s="1"/>
  <c r="O1363" i="4"/>
  <c r="O1333" i="4"/>
  <c r="N1238" i="4"/>
  <c r="O1238" i="4" s="1"/>
  <c r="N1228" i="4"/>
  <c r="O1228" i="4" s="1"/>
  <c r="O1394" i="4"/>
  <c r="N1229" i="4"/>
  <c r="O1229" i="4" s="1"/>
  <c r="N1385" i="4"/>
  <c r="O1385" i="4" s="1"/>
  <c r="N1329" i="4"/>
  <c r="O1329" i="4" s="1"/>
  <c r="O1336" i="4"/>
  <c r="N1236" i="4"/>
  <c r="O1236" i="4" s="1"/>
  <c r="O1392" i="4"/>
  <c r="O1292" i="4"/>
  <c r="N1332" i="4"/>
  <c r="O1332" i="4" s="1"/>
  <c r="N1396" i="4"/>
  <c r="O1396" i="4" s="1"/>
  <c r="N1426" i="4"/>
  <c r="O1426" i="4" s="1"/>
  <c r="N1249" i="4"/>
  <c r="O1249" i="4" s="1"/>
  <c r="N1328" i="4"/>
  <c r="O1328" i="4" s="1"/>
  <c r="O1414" i="4"/>
  <c r="N1317" i="4"/>
  <c r="O1317" i="4" s="1"/>
  <c r="O1386" i="4"/>
  <c r="N1427" i="4"/>
  <c r="O1427" i="4" s="1"/>
  <c r="N1250" i="4"/>
  <c r="O1250" i="4" s="1"/>
  <c r="O1365" i="4"/>
  <c r="O1309" i="4"/>
  <c r="N1248" i="4"/>
  <c r="O1248" i="4" s="1"/>
  <c r="O1335" i="4"/>
  <c r="O1368" i="4"/>
  <c r="O1299" i="4"/>
  <c r="O1344" i="4"/>
  <c r="N1241" i="4"/>
  <c r="O1241" i="4" s="1"/>
  <c r="N1375" i="4"/>
  <c r="O1375" i="4" s="1"/>
  <c r="O1389" i="4"/>
  <c r="O1412" i="4"/>
  <c r="O1366" i="4"/>
  <c r="N1425" i="4"/>
  <c r="O1425" i="4" s="1"/>
  <c r="N1240" i="4"/>
  <c r="O1240" i="4" s="1"/>
  <c r="N1410" i="4"/>
  <c r="O1410" i="4" s="1"/>
  <c r="O1321" i="4"/>
  <c r="O1431" i="4"/>
  <c r="N1320" i="4"/>
  <c r="O1320" i="4" s="1"/>
  <c r="O1388" i="4"/>
  <c r="N1416" i="4"/>
  <c r="O1416" i="4" s="1"/>
  <c r="N1339" i="4"/>
  <c r="O1339" i="4" s="1"/>
  <c r="N1319" i="4"/>
  <c r="O1319" i="4" s="1"/>
  <c r="O1346" i="4"/>
  <c r="N1247" i="4"/>
  <c r="O1247" i="4" s="1"/>
  <c r="N1260" i="4"/>
  <c r="O1260" i="4" s="1"/>
  <c r="N1239" i="4"/>
  <c r="O1239" i="4" s="1"/>
  <c r="O1424" i="4"/>
  <c r="N1374" i="4"/>
  <c r="O1374" i="4" s="1"/>
  <c r="N1227" i="4"/>
  <c r="O1227" i="4" s="1"/>
  <c r="N1244" i="4"/>
  <c r="O1244" i="4" s="1"/>
  <c r="J604" i="16"/>
  <c r="J595" i="16"/>
  <c r="J596" i="16"/>
  <c r="J569" i="16"/>
  <c r="J622" i="16"/>
  <c r="R26" i="4"/>
  <c r="I14" i="20"/>
  <c r="L668" i="22"/>
  <c r="AA668" i="22" s="1"/>
  <c r="O1532" i="4"/>
  <c r="O478" i="4"/>
  <c r="O397" i="4"/>
  <c r="O160" i="4"/>
  <c r="O548" i="4"/>
  <c r="O196" i="4"/>
  <c r="O90" i="4"/>
  <c r="O433" i="4"/>
  <c r="O359" i="4"/>
  <c r="O157" i="4"/>
  <c r="O579" i="4"/>
  <c r="O376" i="4"/>
  <c r="O916" i="4"/>
  <c r="O164" i="4"/>
  <c r="O533" i="4"/>
  <c r="O180" i="4"/>
  <c r="O570" i="4"/>
  <c r="O377" i="4"/>
  <c r="O87" i="4"/>
  <c r="O634" i="4"/>
  <c r="O482" i="4"/>
  <c r="O412" i="4"/>
  <c r="O913" i="4"/>
  <c r="O657" i="4"/>
  <c r="O581" i="4"/>
  <c r="O460" i="4"/>
  <c r="O154" i="4"/>
  <c r="O252" i="4"/>
  <c r="O103" i="4"/>
  <c r="R57" i="4"/>
  <c r="O888" i="4"/>
  <c r="O632" i="4"/>
  <c r="O297" i="4"/>
  <c r="O1155" i="4"/>
  <c r="O1002" i="4"/>
  <c r="O1153" i="4"/>
  <c r="O1062" i="4"/>
  <c r="O988" i="4"/>
  <c r="O991" i="4"/>
  <c r="O1194" i="4"/>
  <c r="O1080" i="4"/>
  <c r="O1065" i="4"/>
  <c r="O1053" i="4"/>
  <c r="O1535" i="4"/>
  <c r="O603" i="4"/>
  <c r="O86" i="4"/>
  <c r="O105" i="4"/>
  <c r="R60" i="4"/>
  <c r="O881" i="4"/>
  <c r="O270" i="4"/>
  <c r="O174" i="4"/>
  <c r="O410" i="4"/>
  <c r="O637" i="4"/>
  <c r="O281" i="4"/>
  <c r="O344" i="4"/>
  <c r="O193" i="4"/>
  <c r="O380" i="4"/>
  <c r="O910" i="4"/>
  <c r="O992" i="4"/>
  <c r="O1193" i="4"/>
  <c r="O1058" i="4"/>
  <c r="O1527" i="4"/>
  <c r="O1562" i="4"/>
  <c r="O1553" i="4"/>
  <c r="O1536" i="4"/>
  <c r="O587" i="4"/>
  <c r="O308" i="4"/>
  <c r="O280" i="4"/>
  <c r="O399" i="4"/>
  <c r="O614" i="4"/>
  <c r="O536" i="4"/>
  <c r="O258" i="4"/>
  <c r="O469" i="4"/>
  <c r="O126" i="4"/>
  <c r="O547" i="4"/>
  <c r="O346" i="4"/>
  <c r="O269" i="4"/>
  <c r="R76" i="4"/>
  <c r="O442" i="4"/>
  <c r="O898" i="4"/>
  <c r="O137" i="4"/>
  <c r="O467" i="4"/>
  <c r="O163" i="4"/>
  <c r="O611" i="4"/>
  <c r="O405" i="4"/>
  <c r="O331" i="4"/>
  <c r="O106" i="4"/>
  <c r="R61" i="4"/>
  <c r="O426" i="4"/>
  <c r="O387" i="4"/>
  <c r="O291" i="4"/>
  <c r="O605" i="4"/>
  <c r="O424" i="4"/>
  <c r="O302" i="4"/>
  <c r="O224" i="4"/>
  <c r="O416" i="4"/>
  <c r="O341" i="4"/>
  <c r="O617" i="4"/>
  <c r="O1154" i="4"/>
  <c r="O1165" i="4"/>
  <c r="O1000" i="4"/>
  <c r="O999" i="4"/>
  <c r="O967" i="4"/>
  <c r="O1018" i="4"/>
  <c r="O1219" i="4"/>
  <c r="O1136" i="4"/>
  <c r="O1048" i="4"/>
  <c r="O1176" i="4"/>
  <c r="O1084" i="4"/>
  <c r="O1011" i="4"/>
  <c r="O1022" i="4"/>
  <c r="O1132" i="4"/>
  <c r="O1034" i="4"/>
  <c r="O1043" i="4"/>
  <c r="C256" i="22"/>
  <c r="R256" i="4" s="1"/>
  <c r="O626" i="4"/>
  <c r="O347" i="4"/>
  <c r="O188" i="4"/>
  <c r="O1075" i="4"/>
  <c r="O971" i="4"/>
  <c r="O1060" i="4"/>
  <c r="O1549" i="4"/>
  <c r="O1558" i="4"/>
  <c r="O1541" i="4"/>
  <c r="O1524" i="4"/>
  <c r="O1563" i="4"/>
  <c r="O466" i="4"/>
  <c r="O385" i="4"/>
  <c r="O223" i="4"/>
  <c r="O71" i="4"/>
  <c r="O408" i="4"/>
  <c r="O335" i="4"/>
  <c r="O589" i="4"/>
  <c r="O421" i="4"/>
  <c r="O195" i="4"/>
  <c r="O463" i="4"/>
  <c r="O311" i="4"/>
  <c r="O101" i="4"/>
  <c r="R55" i="4"/>
  <c r="O393" i="4"/>
  <c r="O168" i="4"/>
  <c r="O544" i="4"/>
  <c r="O330" i="4"/>
  <c r="O179" i="4"/>
  <c r="O364" i="4"/>
  <c r="O298" i="4"/>
  <c r="O628" i="4"/>
  <c r="O610" i="4"/>
  <c r="O266" i="4"/>
  <c r="O352" i="4"/>
  <c r="O909" i="4"/>
  <c r="O901" i="4"/>
  <c r="O569" i="4"/>
  <c r="O162" i="4"/>
  <c r="O616" i="4"/>
  <c r="O542" i="4"/>
  <c r="O190" i="4"/>
  <c r="O911" i="4"/>
  <c r="O236" i="4"/>
  <c r="O1140" i="4"/>
  <c r="O1052" i="4"/>
  <c r="O976" i="4"/>
  <c r="O1212" i="4"/>
  <c r="O973" i="4"/>
  <c r="O1175" i="4"/>
  <c r="O1192" i="4"/>
  <c r="O1021" i="4"/>
  <c r="C259" i="22"/>
  <c r="R259" i="4" s="1"/>
  <c r="O1544" i="4"/>
  <c r="O102" i="4"/>
  <c r="R56" i="4"/>
  <c r="O422" i="4"/>
  <c r="O566" i="4"/>
  <c r="O559" i="4"/>
  <c r="O406" i="4"/>
  <c r="O315" i="4"/>
  <c r="O391" i="4"/>
  <c r="O92" i="4"/>
  <c r="R43" i="4"/>
  <c r="O1003" i="4"/>
  <c r="O1179" i="4"/>
  <c r="O932" i="4"/>
  <c r="O1042" i="4"/>
  <c r="O1554" i="4"/>
  <c r="O1545" i="4"/>
  <c r="O1528" i="4"/>
  <c r="O575" i="4"/>
  <c r="O572" i="4"/>
  <c r="O602" i="4"/>
  <c r="O321" i="4"/>
  <c r="O246" i="4"/>
  <c r="O171" i="4"/>
  <c r="O95" i="4"/>
  <c r="R46" i="4"/>
  <c r="O400" i="4"/>
  <c r="O74" i="4"/>
  <c r="O613" i="4"/>
  <c r="O535" i="4"/>
  <c r="O407" i="4"/>
  <c r="R63" i="4"/>
  <c r="O599" i="4"/>
  <c r="O474" i="4"/>
  <c r="O243" i="4"/>
  <c r="O94" i="4"/>
  <c r="R45" i="4"/>
  <c r="O890" i="4"/>
  <c r="O418" i="4"/>
  <c r="O415" i="4"/>
  <c r="O641" i="4"/>
  <c r="O149" i="4"/>
  <c r="O402" i="4"/>
  <c r="O328" i="4"/>
  <c r="O619" i="4"/>
  <c r="O1051" i="4"/>
  <c r="O975" i="4"/>
  <c r="O1214" i="4"/>
  <c r="O1029" i="4"/>
  <c r="O1113" i="4"/>
  <c r="O998" i="4"/>
  <c r="E63" i="6"/>
  <c r="O1044" i="4"/>
  <c r="O1162" i="4"/>
  <c r="O1009" i="4"/>
  <c r="O979" i="4"/>
  <c r="O941" i="4"/>
  <c r="O966" i="4"/>
  <c r="O604" i="4"/>
  <c r="O267" i="4"/>
  <c r="O470" i="4"/>
  <c r="O468" i="4"/>
  <c r="O167" i="4"/>
  <c r="O665" i="4"/>
  <c r="O1086" i="4"/>
  <c r="O1056" i="4"/>
  <c r="O1092" i="4"/>
  <c r="O931" i="4"/>
  <c r="O1055" i="4"/>
  <c r="O943" i="4"/>
  <c r="O1191" i="4"/>
  <c r="O1550" i="4"/>
  <c r="O1533" i="4"/>
  <c r="O1564" i="4"/>
  <c r="R1519" i="4"/>
  <c r="O1555" i="4"/>
  <c r="O454" i="4"/>
  <c r="O373" i="4"/>
  <c r="O296" i="4"/>
  <c r="O232" i="4"/>
  <c r="O477" i="4"/>
  <c r="O396" i="4"/>
  <c r="O420" i="4"/>
  <c r="O427" i="4"/>
  <c r="O480" i="4"/>
  <c r="O333" i="4"/>
  <c r="O394" i="4"/>
  <c r="O340" i="4"/>
  <c r="O629" i="4"/>
  <c r="O73" i="4"/>
  <c r="O374" i="4"/>
  <c r="O244" i="4"/>
  <c r="O643" i="4"/>
  <c r="O388" i="4"/>
  <c r="O231" i="4"/>
  <c r="O156" i="4"/>
  <c r="O473" i="4"/>
  <c r="O303" i="4"/>
  <c r="O155" i="4"/>
  <c r="O299" i="4"/>
  <c r="O225" i="4"/>
  <c r="O479" i="4"/>
  <c r="O582" i="4"/>
  <c r="O392" i="4"/>
  <c r="O242" i="4"/>
  <c r="O274" i="4"/>
  <c r="O425" i="4"/>
  <c r="O889" i="4"/>
  <c r="O633" i="4"/>
  <c r="O129" i="4"/>
  <c r="O550" i="4"/>
  <c r="O99" i="4"/>
  <c r="R53" i="4"/>
  <c r="O608" i="4"/>
  <c r="O165" i="4"/>
  <c r="O899" i="4"/>
  <c r="O567" i="4"/>
  <c r="O640" i="4"/>
  <c r="O173" i="4"/>
  <c r="O1211" i="4"/>
  <c r="O1209" i="4"/>
  <c r="O1115" i="4"/>
  <c r="O961" i="4"/>
  <c r="O1151" i="4"/>
  <c r="O985" i="4"/>
  <c r="O1163" i="4"/>
  <c r="O997" i="4"/>
  <c r="O1067" i="4"/>
  <c r="O980" i="4"/>
  <c r="O1082" i="4"/>
  <c r="O1008" i="4"/>
  <c r="O964" i="4"/>
  <c r="O245" i="4"/>
  <c r="O1215" i="4"/>
  <c r="O1059" i="4"/>
  <c r="O969" i="4"/>
  <c r="O1213" i="4"/>
  <c r="O1134" i="4"/>
  <c r="O170" i="4"/>
  <c r="O659" i="4"/>
  <c r="O565" i="4"/>
  <c r="O1210" i="4"/>
  <c r="O1094" i="4"/>
  <c r="O1547" i="4"/>
  <c r="O361" i="4"/>
  <c r="O283" i="4"/>
  <c r="O197" i="4"/>
  <c r="O534" i="4"/>
  <c r="O169" i="4"/>
  <c r="O458" i="4"/>
  <c r="O465" i="4"/>
  <c r="O384" i="4"/>
  <c r="O307" i="4"/>
  <c r="O339" i="4"/>
  <c r="O124" i="4"/>
  <c r="O601" i="4"/>
  <c r="O476" i="4"/>
  <c r="O395" i="4"/>
  <c r="O96" i="4"/>
  <c r="O130" i="4"/>
  <c r="O138" i="4"/>
  <c r="O194" i="4"/>
  <c r="O369" i="4"/>
  <c r="O93" i="4"/>
  <c r="R44" i="4"/>
  <c r="O226" i="4"/>
  <c r="O150" i="4"/>
  <c r="O557" i="4"/>
  <c r="O275" i="4"/>
  <c r="O666" i="4"/>
  <c r="O238" i="4"/>
  <c r="O198" i="4"/>
  <c r="O543" i="4"/>
  <c r="O417" i="4"/>
  <c r="O342" i="4"/>
  <c r="O117" i="4"/>
  <c r="O177" i="4"/>
  <c r="O140" i="4"/>
  <c r="O887" i="4"/>
  <c r="O1028" i="4"/>
  <c r="O1137" i="4"/>
  <c r="O972" i="4"/>
  <c r="O1186" i="4"/>
  <c r="O953" i="4"/>
  <c r="O982" i="4"/>
  <c r="O1161" i="4"/>
  <c r="C273" i="22"/>
  <c r="R273" i="4" s="1"/>
  <c r="O1561" i="4"/>
  <c r="O1559" i="4"/>
  <c r="O1520" i="4"/>
  <c r="O895" i="4"/>
  <c r="O551" i="4"/>
  <c r="O462" i="4"/>
  <c r="O82" i="4"/>
  <c r="O1117" i="4"/>
  <c r="O1116" i="4"/>
  <c r="O1556" i="4"/>
  <c r="O1538" i="4"/>
  <c r="O1529" i="4"/>
  <c r="O627" i="4"/>
  <c r="O365" i="4"/>
  <c r="O574" i="4"/>
  <c r="O372" i="4"/>
  <c r="O222" i="4"/>
  <c r="O70" i="4"/>
  <c r="R21" i="4"/>
  <c r="O660" i="4"/>
  <c r="O338" i="4"/>
  <c r="O917" i="4"/>
  <c r="O383" i="4"/>
  <c r="O306" i="4"/>
  <c r="O233" i="4"/>
  <c r="O158" i="4"/>
  <c r="O84" i="4"/>
  <c r="O305" i="4"/>
  <c r="O578" i="4"/>
  <c r="O600" i="4"/>
  <c r="O571" i="4"/>
  <c r="O450" i="4"/>
  <c r="O278" i="4"/>
  <c r="O139" i="4"/>
  <c r="O265" i="4"/>
  <c r="O191" i="4"/>
  <c r="O471" i="4"/>
  <c r="O456" i="4"/>
  <c r="O896" i="4"/>
  <c r="O438" i="4"/>
  <c r="O459" i="4"/>
  <c r="O378" i="4"/>
  <c r="O401" i="4"/>
  <c r="O125" i="4"/>
  <c r="O1102" i="4"/>
  <c r="O1006" i="4"/>
  <c r="O1030" i="4"/>
  <c r="O946" i="4"/>
  <c r="O1054" i="4"/>
  <c r="O1041" i="4"/>
  <c r="O1114" i="4"/>
  <c r="O1177" i="4"/>
  <c r="O1130" i="4"/>
  <c r="O1135" i="4"/>
  <c r="O1047" i="4"/>
  <c r="O970" i="4"/>
  <c r="O938" i="4"/>
  <c r="O662" i="4"/>
  <c r="O345" i="4"/>
  <c r="O272" i="4"/>
  <c r="O277" i="4"/>
  <c r="O100" i="4"/>
  <c r="R54" i="4"/>
  <c r="O483" i="4"/>
  <c r="O962" i="4"/>
  <c r="O1551" i="4"/>
  <c r="O1560" i="4"/>
  <c r="O1534" i="4"/>
  <c r="O1548" i="4"/>
  <c r="O1539" i="4"/>
  <c r="O423" i="4"/>
  <c r="O349" i="4"/>
  <c r="O271" i="4"/>
  <c r="O453" i="4"/>
  <c r="O118" i="4"/>
  <c r="O239" i="4"/>
  <c r="O661" i="4"/>
  <c r="O464" i="4"/>
  <c r="O176" i="4"/>
  <c r="O642" i="4"/>
  <c r="O262" i="4"/>
  <c r="O279" i="4"/>
  <c r="O207" i="4"/>
  <c r="O404" i="4"/>
  <c r="O607" i="4"/>
  <c r="O606" i="4"/>
  <c r="O192" i="4"/>
  <c r="O618" i="4"/>
  <c r="O310" i="4"/>
  <c r="O685" i="4"/>
  <c r="O609" i="4"/>
  <c r="O329" i="4"/>
  <c r="O178" i="4"/>
  <c r="O104" i="4"/>
  <c r="R58" i="4"/>
  <c r="O375" i="4"/>
  <c r="O398" i="4"/>
  <c r="O912" i="4"/>
  <c r="O656" i="4"/>
  <c r="O580" i="4"/>
  <c r="O366" i="4"/>
  <c r="O264" i="4"/>
  <c r="O312" i="4"/>
  <c r="O1183" i="4"/>
  <c r="O1016" i="4"/>
  <c r="O995" i="4"/>
  <c r="O947" i="4"/>
  <c r="O1087" i="4"/>
  <c r="O1014" i="4"/>
  <c r="O933" i="4"/>
  <c r="O1019" i="4"/>
  <c r="O960" i="4"/>
  <c r="O956" i="4"/>
  <c r="O1057" i="4"/>
  <c r="O981" i="4"/>
  <c r="O1129" i="4"/>
  <c r="C263" i="22"/>
  <c r="R263" i="4" s="1"/>
  <c r="O1522" i="4"/>
  <c r="O1546" i="4"/>
  <c r="O639" i="4"/>
  <c r="O918" i="4"/>
  <c r="O234" i="4"/>
  <c r="O85" i="4"/>
  <c r="O251" i="4"/>
  <c r="O304" i="4"/>
  <c r="O1146" i="4"/>
  <c r="O1525" i="4"/>
  <c r="O1521" i="4"/>
  <c r="O1552" i="4"/>
  <c r="O615" i="4"/>
  <c r="O537" i="4"/>
  <c r="O172" i="4"/>
  <c r="O98" i="4"/>
  <c r="R52" i="4"/>
  <c r="O83" i="4"/>
  <c r="O189" i="4"/>
  <c r="O386" i="4"/>
  <c r="O638" i="4"/>
  <c r="O360" i="4"/>
  <c r="O282" i="4"/>
  <c r="O612" i="4"/>
  <c r="O630" i="4"/>
  <c r="O250" i="4"/>
  <c r="O588" i="4"/>
  <c r="O371" i="4"/>
  <c r="O636" i="4"/>
  <c r="O127" i="4"/>
  <c r="O457" i="4"/>
  <c r="O72" i="4"/>
  <c r="O389" i="4"/>
  <c r="O635" i="4"/>
  <c r="O131" i="4"/>
  <c r="O151" i="4"/>
  <c r="O577" i="4"/>
  <c r="O88" i="4"/>
  <c r="O248" i="4"/>
  <c r="O343" i="4"/>
  <c r="O175" i="4"/>
  <c r="O403" i="4"/>
  <c r="O253" i="4"/>
  <c r="O301" i="4"/>
  <c r="O153" i="4"/>
  <c r="O455" i="4"/>
  <c r="O935" i="4"/>
  <c r="O934" i="4"/>
  <c r="O945" i="4"/>
  <c r="O1185" i="4"/>
  <c r="O1164" i="4"/>
  <c r="O944" i="4"/>
  <c r="O1145" i="4"/>
  <c r="O1066" i="4"/>
  <c r="O1143" i="4"/>
  <c r="O1112" i="4"/>
  <c r="O1070" i="4"/>
  <c r="O942" i="4"/>
  <c r="O1079" i="4"/>
  <c r="O1083" i="4"/>
  <c r="O1147" i="4"/>
  <c r="C268" i="22"/>
  <c r="R268" i="4" s="1"/>
  <c r="O1537" i="4"/>
  <c r="O123" i="4"/>
  <c r="O586" i="4"/>
  <c r="O159" i="4"/>
  <c r="O370" i="4"/>
  <c r="O411" i="4"/>
  <c r="O260" i="4"/>
  <c r="O583" i="4"/>
  <c r="O914" i="4"/>
  <c r="O313" i="4"/>
  <c r="O199" i="4"/>
  <c r="O1144" i="4"/>
  <c r="O1526" i="4"/>
  <c r="O1557" i="4"/>
  <c r="O1531" i="4"/>
  <c r="O409" i="4"/>
  <c r="O247" i="4"/>
  <c r="O152" i="4"/>
  <c r="O249" i="4"/>
  <c r="O573" i="4"/>
  <c r="O452" i="4"/>
  <c r="O69" i="4"/>
  <c r="O897" i="4"/>
  <c r="O475" i="4"/>
  <c r="O545" i="4"/>
  <c r="O419" i="4"/>
  <c r="O119" i="4"/>
  <c r="O89" i="4"/>
  <c r="O161" i="4"/>
  <c r="O658" i="4"/>
  <c r="O461" i="4"/>
  <c r="O631" i="4"/>
  <c r="O261" i="4"/>
  <c r="O576" i="4"/>
  <c r="O472" i="4"/>
  <c r="O314" i="4"/>
  <c r="O166" i="4"/>
  <c r="O276" i="4"/>
  <c r="O128" i="4"/>
  <c r="O309" i="4"/>
  <c r="O900" i="4"/>
  <c r="O568" i="4"/>
  <c r="O428" i="4"/>
  <c r="O240" i="4"/>
  <c r="O91" i="4"/>
  <c r="O227" i="4"/>
  <c r="O362" i="4"/>
  <c r="O1168" i="4"/>
  <c r="O1077" i="4"/>
  <c r="O1001" i="4"/>
  <c r="O940" i="4"/>
  <c r="O965" i="4"/>
  <c r="O1020" i="4"/>
  <c r="O1184" i="4"/>
  <c r="O1216" i="4"/>
  <c r="O1133" i="4"/>
  <c r="O968" i="4"/>
  <c r="O1131" i="4"/>
  <c r="O1078" i="4"/>
  <c r="O1514" i="4"/>
  <c r="E60" i="6"/>
  <c r="O1378" i="4"/>
  <c r="O915" i="4"/>
  <c r="G16" i="23"/>
  <c r="E974" i="10" s="1"/>
  <c r="E22" i="23"/>
  <c r="F269" i="22"/>
  <c r="H14" i="20" a="1"/>
  <c r="H14" i="20" s="1"/>
  <c r="K1776" i="4"/>
  <c r="K1775" i="4"/>
  <c r="O930" i="4"/>
  <c r="J711" i="16"/>
  <c r="J722" i="16"/>
  <c r="J709" i="16"/>
  <c r="J727" i="16"/>
  <c r="O1138" i="4"/>
  <c r="O977" i="4"/>
  <c r="O1157" i="4"/>
  <c r="O1169" i="4"/>
  <c r="O1195" i="4"/>
  <c r="O1064" i="4"/>
  <c r="O1139" i="4"/>
  <c r="O996" i="4"/>
  <c r="O963" i="4"/>
  <c r="H13" i="20" a="1"/>
  <c r="H13" i="20" s="1"/>
  <c r="C451" i="22"/>
  <c r="R451" i="4" s="1"/>
  <c r="I13" i="20"/>
  <c r="F451" i="22"/>
  <c r="I12" i="20"/>
  <c r="H12" i="20" a="1"/>
  <c r="H12" i="20" s="1"/>
  <c r="C1335" i="22"/>
  <c r="K18" i="23"/>
  <c r="E976" i="10" s="1"/>
  <c r="G976" i="10" s="1"/>
  <c r="H976" i="10" s="1"/>
  <c r="F22" i="22"/>
  <c r="F217" i="22"/>
  <c r="F185" i="22"/>
  <c r="I24" i="20"/>
  <c r="F812" i="22"/>
  <c r="F231" i="22"/>
  <c r="F693" i="22"/>
  <c r="O993" i="4"/>
  <c r="O1480" i="4"/>
  <c r="O1237" i="4"/>
  <c r="O1482" i="4"/>
  <c r="O1108" i="4"/>
  <c r="O1005" i="4"/>
  <c r="O143" i="4"/>
  <c r="O290" i="4"/>
  <c r="O1095" i="4"/>
  <c r="O1015" i="4"/>
  <c r="O620" i="4"/>
  <c r="O228" i="4"/>
  <c r="O990" i="4"/>
  <c r="O645" i="4"/>
  <c r="O539" i="4"/>
  <c r="O145" i="4"/>
  <c r="O1171" i="4"/>
  <c r="O1099" i="4"/>
  <c r="O1096" i="4"/>
  <c r="S823" i="4"/>
  <c r="O1110" i="4"/>
  <c r="O1107" i="4"/>
  <c r="O958" i="4"/>
  <c r="P989" i="4"/>
  <c r="P1013" i="4"/>
  <c r="P1150" i="4"/>
  <c r="P957" i="4"/>
  <c r="P1073" i="4"/>
  <c r="P1045" i="4"/>
  <c r="P1040" i="4"/>
  <c r="P1221" i="4"/>
  <c r="P1050" i="4"/>
  <c r="P1098" i="4"/>
  <c r="P1023" i="4"/>
  <c r="P1046" i="4"/>
  <c r="P1081" i="4"/>
  <c r="P1109" i="4"/>
  <c r="P1038" i="4"/>
  <c r="P1061" i="4"/>
  <c r="P1171" i="4"/>
  <c r="P978" i="4"/>
  <c r="P948" i="4"/>
  <c r="P1039" i="4"/>
  <c r="P1170" i="4"/>
  <c r="P1106" i="4"/>
  <c r="J471" i="16"/>
  <c r="P937" i="4"/>
  <c r="P1036" i="4"/>
  <c r="J586" i="16"/>
  <c r="P1160" i="4"/>
  <c r="P1204" i="4"/>
  <c r="J561" i="16"/>
  <c r="P1110" i="4"/>
  <c r="P1033" i="4"/>
  <c r="P955" i="4"/>
  <c r="P1007" i="4"/>
  <c r="P1049" i="4"/>
  <c r="J548" i="16"/>
  <c r="P1091" i="4"/>
  <c r="P1004" i="4"/>
  <c r="P1197" i="4"/>
  <c r="P1101" i="4"/>
  <c r="P1026" i="4"/>
  <c r="P1220" i="4"/>
  <c r="P1099" i="4"/>
  <c r="P1024" i="4"/>
  <c r="P1071" i="4"/>
  <c r="P1205" i="4"/>
  <c r="P1068" i="4"/>
  <c r="J505" i="16"/>
  <c r="P1005" i="4"/>
  <c r="P1096" i="4"/>
  <c r="J546" i="16"/>
  <c r="P1089" i="4"/>
  <c r="P1015" i="4"/>
  <c r="P1180" i="4"/>
  <c r="P1037" i="4"/>
  <c r="P1095" i="4"/>
  <c r="P1149" i="4"/>
  <c r="P983" i="4"/>
  <c r="P1148" i="4"/>
  <c r="P993" i="4"/>
  <c r="P1035" i="4"/>
  <c r="P1217" i="4"/>
  <c r="P1027" i="4"/>
  <c r="J479" i="16"/>
  <c r="P958" i="4"/>
  <c r="J621" i="16"/>
  <c r="P1181" i="4"/>
  <c r="P1012" i="4"/>
  <c r="O1149" i="4"/>
  <c r="P984" i="4"/>
  <c r="J585" i="16"/>
  <c r="P1159" i="4"/>
  <c r="P1097" i="4"/>
  <c r="P1069" i="4"/>
  <c r="J494" i="16"/>
  <c r="P990" i="4"/>
  <c r="J589" i="16"/>
  <c r="P1167" i="4"/>
  <c r="J588" i="16"/>
  <c r="P1166" i="4"/>
  <c r="P1074" i="4"/>
  <c r="P949" i="4"/>
  <c r="P1100" i="4"/>
  <c r="P1025" i="4"/>
  <c r="P1172" i="4"/>
  <c r="P1072" i="4"/>
  <c r="P1218" i="4"/>
  <c r="P1111" i="4"/>
  <c r="J584" i="16"/>
  <c r="P1158" i="4"/>
  <c r="O229" i="4"/>
  <c r="O1089" i="4"/>
  <c r="O1024" i="4"/>
  <c r="O1038" i="4"/>
  <c r="O564" i="4"/>
  <c r="S708" i="4"/>
  <c r="O445" i="4"/>
  <c r="O379" i="4"/>
  <c r="O1180" i="4"/>
  <c r="F111" i="32"/>
  <c r="G111" i="32" s="1"/>
  <c r="O622" i="4"/>
  <c r="O652" i="4"/>
  <c r="O922" i="4"/>
  <c r="O351" i="4"/>
  <c r="S756" i="4"/>
  <c r="O983" i="4"/>
  <c r="O1071" i="4"/>
  <c r="O1101" i="4"/>
  <c r="O121" i="4"/>
  <c r="O116" i="4"/>
  <c r="O948" i="4"/>
  <c r="O1036" i="4"/>
  <c r="O201" i="4"/>
  <c r="O1106" i="4"/>
  <c r="O937" i="4"/>
  <c r="O1039" i="4"/>
  <c r="O1023" i="4"/>
  <c r="O431" i="4"/>
  <c r="O1033" i="4"/>
  <c r="O1160" i="4"/>
  <c r="O254" i="4"/>
  <c r="O978" i="4"/>
  <c r="O1061" i="4"/>
  <c r="O677" i="4"/>
  <c r="O213" i="4"/>
  <c r="O678" i="4"/>
  <c r="O891" i="4"/>
  <c r="O592" i="4"/>
  <c r="O679" i="4"/>
  <c r="O323" i="4"/>
  <c r="O382" i="4"/>
  <c r="O322" i="4"/>
  <c r="O1513" i="4"/>
  <c r="S819" i="4"/>
  <c r="O181" i="4"/>
  <c r="O449" i="4"/>
  <c r="O1221" i="4"/>
  <c r="O202" i="4"/>
  <c r="O110" i="4"/>
  <c r="O1428" i="4"/>
  <c r="O185" i="4"/>
  <c r="O920" i="4"/>
  <c r="O903" i="4"/>
  <c r="O1050" i="4"/>
  <c r="O653" i="4"/>
  <c r="O1091" i="4"/>
  <c r="O921" i="4"/>
  <c r="O325" i="4"/>
  <c r="O259" i="4"/>
  <c r="O1040" i="4"/>
  <c r="O132" i="4"/>
  <c r="O219" i="4"/>
  <c r="O1027" i="4"/>
  <c r="O368" i="4"/>
  <c r="O432" i="4"/>
  <c r="O144" i="4"/>
  <c r="O363" i="4"/>
  <c r="O683" i="4"/>
  <c r="O541" i="4"/>
  <c r="O1097" i="4"/>
  <c r="O1172" i="4"/>
  <c r="O273" i="4"/>
  <c r="O218" i="4"/>
  <c r="O1217" i="4"/>
  <c r="O1158" i="4"/>
  <c r="O350" i="4"/>
  <c r="O957" i="4"/>
  <c r="O1035" i="4"/>
  <c r="O256" i="4"/>
  <c r="O1013" i="4"/>
  <c r="O217" i="4"/>
  <c r="O1074" i="4"/>
  <c r="O1167" i="4"/>
  <c r="O949" i="4"/>
  <c r="O136" i="4"/>
  <c r="O324" i="4"/>
  <c r="O654" i="4"/>
  <c r="O1159" i="4"/>
  <c r="O556" i="4"/>
  <c r="O893" i="4"/>
  <c r="O646" i="4"/>
  <c r="O1150" i="4"/>
  <c r="O381" i="4"/>
  <c r="O429" i="4"/>
  <c r="O353" i="4"/>
  <c r="O5" i="4"/>
  <c r="O355" i="4"/>
  <c r="O926" i="4"/>
  <c r="O1072" i="4"/>
  <c r="O120" i="4"/>
  <c r="O337" i="4"/>
  <c r="O203" i="4"/>
  <c r="O215" i="4"/>
  <c r="O1218" i="4"/>
  <c r="O989" i="4"/>
  <c r="O621" i="4"/>
  <c r="O133" i="4"/>
  <c r="O684" i="4"/>
  <c r="O1166" i="4"/>
  <c r="O33" i="4"/>
  <c r="O538" i="4"/>
  <c r="O263" i="4"/>
  <c r="O919" i="4"/>
  <c r="O108" i="4"/>
  <c r="S859" i="4"/>
  <c r="O235" i="4"/>
  <c r="O663" i="4"/>
  <c r="J724" i="16"/>
  <c r="O147" i="4"/>
  <c r="O906" i="4"/>
  <c r="O184" i="4"/>
  <c r="S811" i="4"/>
  <c r="O107" i="4"/>
  <c r="O212" i="4"/>
  <c r="O182" i="4"/>
  <c r="S879" i="4"/>
  <c r="S702" i="4"/>
  <c r="O200" i="4"/>
  <c r="O287" i="4"/>
  <c r="O1475" i="4"/>
  <c r="O902" i="4"/>
  <c r="O651" i="4"/>
  <c r="O37" i="4"/>
  <c r="O676" i="4"/>
  <c r="O923" i="4"/>
  <c r="O134" i="4"/>
  <c r="O907" i="4"/>
  <c r="O6" i="4"/>
  <c r="O885" i="4"/>
  <c r="O148" i="4"/>
  <c r="O358" i="4"/>
  <c r="O549" i="4"/>
  <c r="C6" i="22"/>
  <c r="O883" i="4"/>
  <c r="O319" i="4"/>
  <c r="O812" i="4"/>
  <c r="O904" i="4"/>
  <c r="O680" i="4"/>
  <c r="O7" i="4"/>
  <c r="O894" i="4"/>
  <c r="O590" i="4"/>
  <c r="O293" i="4"/>
  <c r="O584" i="4"/>
  <c r="O268" i="4"/>
  <c r="O886" i="4"/>
  <c r="O892" i="4"/>
  <c r="G1771" i="4"/>
  <c r="O135" i="4"/>
  <c r="G65" i="4"/>
  <c r="H44" i="16" s="1"/>
  <c r="H65" i="4"/>
  <c r="I44" i="16" s="1"/>
  <c r="O356" i="4"/>
  <c r="O644" i="4"/>
  <c r="O237" i="4"/>
  <c r="H42" i="4"/>
  <c r="E280" i="10" s="1"/>
  <c r="G42" i="4"/>
  <c r="O183" i="4"/>
  <c r="O437" i="4"/>
  <c r="O221" i="4"/>
  <c r="O540" i="4"/>
  <c r="O884" i="4"/>
  <c r="G67" i="4"/>
  <c r="H46" i="16" s="1"/>
  <c r="H67" i="4"/>
  <c r="I46" i="16" s="1"/>
  <c r="S831" i="4"/>
  <c r="O441" i="4"/>
  <c r="O186" i="4"/>
  <c r="H68" i="4"/>
  <c r="G68" i="4"/>
  <c r="O255" i="4"/>
  <c r="O623" i="4"/>
  <c r="O675" i="4"/>
  <c r="O546" i="4"/>
  <c r="S760" i="4"/>
  <c r="O216" i="4"/>
  <c r="O214" i="4"/>
  <c r="O300" i="4"/>
  <c r="O230" i="4"/>
  <c r="O122" i="4"/>
  <c r="O1331" i="4"/>
  <c r="O674" i="4"/>
  <c r="O554" i="4"/>
  <c r="O146" i="4"/>
  <c r="O1433" i="4"/>
  <c r="O204" i="4"/>
  <c r="O430" i="4"/>
  <c r="O648" i="4"/>
  <c r="O905" i="4"/>
  <c r="O109" i="4"/>
  <c r="O115" i="4"/>
  <c r="O354" i="4"/>
  <c r="O655" i="4"/>
  <c r="O908" i="4"/>
  <c r="O585" i="4"/>
  <c r="O294" i="4"/>
  <c r="O318" i="4"/>
  <c r="J470" i="16"/>
  <c r="J632" i="16"/>
  <c r="J630" i="16"/>
  <c r="N1376" i="4"/>
  <c r="O1376" i="4" s="1"/>
  <c r="J726" i="16"/>
  <c r="J473" i="16"/>
  <c r="J472" i="16"/>
  <c r="N1408" i="4"/>
  <c r="O1408" i="4" s="1"/>
  <c r="J481" i="16"/>
  <c r="O790" i="4"/>
  <c r="S790" i="4"/>
  <c r="O734" i="4"/>
  <c r="S734" i="4"/>
  <c r="O834" i="4"/>
  <c r="S834" i="4"/>
  <c r="O1230" i="4"/>
  <c r="O738" i="4"/>
  <c r="S738" i="4"/>
  <c r="C7" i="22"/>
  <c r="O695" i="4"/>
  <c r="S695" i="4"/>
  <c r="O863" i="4"/>
  <c r="S863" i="4"/>
  <c r="S728" i="4"/>
  <c r="O833" i="4"/>
  <c r="S833" i="4"/>
  <c r="O841" i="4"/>
  <c r="S841" i="4"/>
  <c r="O854" i="4"/>
  <c r="S854" i="4"/>
  <c r="O796" i="4"/>
  <c r="S796" i="4"/>
  <c r="O719" i="4"/>
  <c r="S719" i="4"/>
  <c r="O861" i="4"/>
  <c r="S861" i="4"/>
  <c r="O836" i="4"/>
  <c r="S836" i="4"/>
  <c r="O709" i="4"/>
  <c r="S709" i="4"/>
  <c r="O843" i="4"/>
  <c r="S843" i="4"/>
  <c r="O716" i="4"/>
  <c r="S716" i="4"/>
  <c r="O866" i="4"/>
  <c r="S866" i="4"/>
  <c r="O818" i="4"/>
  <c r="S818" i="4"/>
  <c r="O741" i="4"/>
  <c r="S741" i="4"/>
  <c r="O689" i="4"/>
  <c r="S689" i="4"/>
  <c r="O791" i="4"/>
  <c r="S791" i="4"/>
  <c r="O817" i="4"/>
  <c r="S817" i="4"/>
  <c r="O746" i="4"/>
  <c r="S746" i="4"/>
  <c r="O696" i="4"/>
  <c r="S696" i="4"/>
  <c r="S686" i="4"/>
  <c r="O724" i="4"/>
  <c r="S724" i="4"/>
  <c r="O880" i="4"/>
  <c r="S880" i="4"/>
  <c r="O739" i="4"/>
  <c r="S739" i="4"/>
  <c r="O736" i="4"/>
  <c r="S736" i="4"/>
  <c r="O793" i="4"/>
  <c r="S793" i="4"/>
  <c r="O688" i="4"/>
  <c r="S688" i="4"/>
  <c r="O737" i="4"/>
  <c r="S737" i="4"/>
  <c r="O852" i="4"/>
  <c r="S852" i="4"/>
  <c r="O707" i="4"/>
  <c r="S707" i="4"/>
  <c r="O705" i="4"/>
  <c r="S705" i="4"/>
  <c r="O862" i="4"/>
  <c r="S862" i="4"/>
  <c r="O821" i="4"/>
  <c r="S821" i="4"/>
  <c r="O747" i="4"/>
  <c r="S747" i="4"/>
  <c r="O815" i="4"/>
  <c r="S815" i="4"/>
  <c r="S824" i="4"/>
  <c r="O853" i="4"/>
  <c r="S853" i="4"/>
  <c r="O876" i="4"/>
  <c r="S876" i="4"/>
  <c r="O828" i="4"/>
  <c r="S828" i="4"/>
  <c r="O751" i="4"/>
  <c r="S751" i="4"/>
  <c r="O700" i="4"/>
  <c r="S700" i="4"/>
  <c r="O835" i="4"/>
  <c r="S835" i="4"/>
  <c r="O759" i="4"/>
  <c r="S759" i="4"/>
  <c r="O858" i="4"/>
  <c r="S858" i="4"/>
  <c r="O808" i="4"/>
  <c r="S808" i="4"/>
  <c r="O733" i="4"/>
  <c r="S733" i="4"/>
  <c r="O748" i="4"/>
  <c r="S748" i="4"/>
  <c r="O799" i="4"/>
  <c r="S799" i="4"/>
  <c r="O822" i="4"/>
  <c r="S822" i="4"/>
  <c r="O829" i="4"/>
  <c r="S829" i="4"/>
  <c r="O725" i="4"/>
  <c r="S725" i="4"/>
  <c r="O758" i="4"/>
  <c r="S758" i="4"/>
  <c r="O755" i="4"/>
  <c r="S755" i="4"/>
  <c r="O722" i="4"/>
  <c r="S722" i="4"/>
  <c r="O851" i="4"/>
  <c r="S851" i="4"/>
  <c r="O874" i="4"/>
  <c r="S874" i="4"/>
  <c r="O826" i="4"/>
  <c r="S826" i="4"/>
  <c r="O749" i="4"/>
  <c r="S749" i="4"/>
  <c r="O697" i="4"/>
  <c r="S697" i="4"/>
  <c r="O807" i="4"/>
  <c r="S807" i="4"/>
  <c r="O825" i="4"/>
  <c r="S825" i="4"/>
  <c r="O706" i="4"/>
  <c r="S706" i="4"/>
  <c r="O832" i="4"/>
  <c r="S832" i="4"/>
  <c r="O687" i="4"/>
  <c r="S687" i="4"/>
  <c r="O855" i="4"/>
  <c r="S855" i="4"/>
  <c r="O720" i="4"/>
  <c r="S720" i="4"/>
  <c r="O763" i="4"/>
  <c r="S763" i="4"/>
  <c r="O803" i="4"/>
  <c r="S803" i="4"/>
  <c r="O864" i="4"/>
  <c r="S864" i="4"/>
  <c r="O729" i="4"/>
  <c r="S729" i="4"/>
  <c r="S847" i="4"/>
  <c r="O712" i="4"/>
  <c r="S712" i="4"/>
  <c r="O870" i="4"/>
  <c r="S870" i="4"/>
  <c r="O840" i="4"/>
  <c r="S840" i="4"/>
  <c r="O701" i="4"/>
  <c r="S701" i="4"/>
  <c r="O692" i="4"/>
  <c r="S692" i="4"/>
  <c r="O794" i="4"/>
  <c r="S794" i="4"/>
  <c r="O797" i="4"/>
  <c r="S797" i="4"/>
  <c r="O846" i="4"/>
  <c r="S846" i="4"/>
  <c r="O726" i="4"/>
  <c r="S726" i="4"/>
  <c r="O816" i="4"/>
  <c r="S816" i="4"/>
  <c r="O764" i="4"/>
  <c r="S764" i="4"/>
  <c r="O838" i="4"/>
  <c r="S838" i="4"/>
  <c r="O753" i="4"/>
  <c r="S753" i="4"/>
  <c r="O845" i="4"/>
  <c r="S845" i="4"/>
  <c r="O795" i="4"/>
  <c r="S795" i="4"/>
  <c r="O718" i="4"/>
  <c r="S718" i="4"/>
  <c r="O868" i="4"/>
  <c r="S868" i="4"/>
  <c r="O820" i="4"/>
  <c r="S820" i="4"/>
  <c r="O743" i="4"/>
  <c r="S743" i="4"/>
  <c r="O691" i="4"/>
  <c r="S691" i="4"/>
  <c r="O875" i="4"/>
  <c r="S875" i="4"/>
  <c r="O827" i="4"/>
  <c r="S827" i="4"/>
  <c r="O750" i="4"/>
  <c r="S750" i="4"/>
  <c r="O699" i="4"/>
  <c r="S699" i="4"/>
  <c r="O850" i="4"/>
  <c r="S850" i="4"/>
  <c r="O800" i="4"/>
  <c r="S800" i="4"/>
  <c r="O723" i="4"/>
  <c r="S723" i="4"/>
  <c r="O865" i="4"/>
  <c r="S865" i="4"/>
  <c r="O732" i="4"/>
  <c r="S732" i="4"/>
  <c r="O873" i="4"/>
  <c r="S873" i="4"/>
  <c r="O804" i="4"/>
  <c r="S804" i="4"/>
  <c r="O844" i="4"/>
  <c r="S844" i="4"/>
  <c r="O801" i="4"/>
  <c r="S801" i="4"/>
  <c r="O872" i="4"/>
  <c r="S872" i="4"/>
  <c r="O711" i="4"/>
  <c r="S711" i="4"/>
  <c r="O856" i="4"/>
  <c r="S856" i="4"/>
  <c r="O798" i="4"/>
  <c r="S798" i="4"/>
  <c r="O721" i="4"/>
  <c r="S721" i="4"/>
  <c r="O839" i="4"/>
  <c r="S839" i="4"/>
  <c r="O754" i="4"/>
  <c r="S754" i="4"/>
  <c r="O704" i="4"/>
  <c r="S704" i="4"/>
  <c r="S812" i="4"/>
  <c r="O848" i="4"/>
  <c r="S848" i="4"/>
  <c r="O713" i="4"/>
  <c r="S713" i="4"/>
  <c r="O694" i="4"/>
  <c r="S694" i="4"/>
  <c r="O877" i="4"/>
  <c r="S877" i="4"/>
  <c r="O752" i="4"/>
  <c r="S752" i="4"/>
  <c r="O802" i="4"/>
  <c r="S802" i="4"/>
  <c r="O809" i="4"/>
  <c r="S809" i="4"/>
  <c r="O871" i="4"/>
  <c r="S871" i="4"/>
  <c r="S727" i="4"/>
  <c r="O869" i="4"/>
  <c r="S869" i="4"/>
  <c r="O744" i="4"/>
  <c r="S744" i="4"/>
  <c r="O717" i="4"/>
  <c r="S717" i="4"/>
  <c r="O878" i="4"/>
  <c r="S878" i="4"/>
  <c r="O830" i="4"/>
  <c r="S830" i="4"/>
  <c r="O745" i="4"/>
  <c r="S745" i="4"/>
  <c r="O693" i="4"/>
  <c r="S693" i="4"/>
  <c r="O837" i="4"/>
  <c r="S837" i="4"/>
  <c r="O762" i="4"/>
  <c r="S762" i="4"/>
  <c r="O710" i="4"/>
  <c r="S710" i="4"/>
  <c r="O860" i="4"/>
  <c r="S860" i="4"/>
  <c r="S810" i="4"/>
  <c r="O735" i="4"/>
  <c r="S735" i="4"/>
  <c r="O867" i="4"/>
  <c r="S867" i="4"/>
  <c r="O742" i="4"/>
  <c r="S742" i="4"/>
  <c r="O690" i="4"/>
  <c r="S690" i="4"/>
  <c r="O842" i="4"/>
  <c r="S842" i="4"/>
  <c r="O792" i="4"/>
  <c r="S792" i="4"/>
  <c r="O715" i="4"/>
  <c r="S715" i="4"/>
  <c r="O849" i="4"/>
  <c r="S849" i="4"/>
  <c r="O714" i="4"/>
  <c r="S714" i="4"/>
  <c r="O857" i="4"/>
  <c r="S857" i="4"/>
  <c r="O740" i="4"/>
  <c r="S740" i="4"/>
  <c r="J627" i="16"/>
  <c r="K42" i="4"/>
  <c r="I280" i="10"/>
  <c r="J715" i="16"/>
  <c r="O1330" i="4"/>
  <c r="K68" i="4"/>
  <c r="F67" i="22"/>
  <c r="K67" i="4"/>
  <c r="O1341" i="4"/>
  <c r="F65" i="22"/>
  <c r="K65" i="4"/>
  <c r="O1501" i="4"/>
  <c r="O1419" i="4"/>
  <c r="O1499" i="4"/>
  <c r="O1399" i="4"/>
  <c r="O1491" i="4"/>
  <c r="N1225" i="4"/>
  <c r="O1225" i="4" s="1"/>
  <c r="O951" i="4"/>
  <c r="N1226" i="4"/>
  <c r="O1226" i="4" s="1"/>
  <c r="O111" i="4"/>
  <c r="O925" i="4"/>
  <c r="O1068" i="4"/>
  <c r="O1170" i="4"/>
  <c r="O1439" i="4"/>
  <c r="O1373" i="4"/>
  <c r="O1277" i="4"/>
  <c r="O1492" i="4"/>
  <c r="O1340" i="4"/>
  <c r="O1111" i="4"/>
  <c r="O1105" i="4"/>
  <c r="O1045" i="4"/>
  <c r="O1081" i="4"/>
  <c r="O955" i="4"/>
  <c r="O1504" i="4"/>
  <c r="O1509" i="4"/>
  <c r="O1409" i="4"/>
  <c r="O1476" i="4"/>
  <c r="O1432" i="4"/>
  <c r="J597" i="16"/>
  <c r="J759" i="16"/>
  <c r="J713" i="16"/>
  <c r="O950" i="4"/>
  <c r="O686" i="4"/>
  <c r="O824" i="4"/>
  <c r="O823" i="4"/>
  <c r="O141" i="4"/>
  <c r="J587" i="16"/>
  <c r="O485" i="4"/>
  <c r="C485" i="22"/>
  <c r="R485" i="4" s="1"/>
  <c r="O1434" i="4"/>
  <c r="O1478" i="4"/>
  <c r="O1493" i="4"/>
  <c r="O1447" i="4"/>
  <c r="O1382" i="4"/>
  <c r="J591" i="16"/>
  <c r="O1358" i="4"/>
  <c r="O1359" i="4"/>
  <c r="O1477" i="4"/>
  <c r="O1437" i="4"/>
  <c r="J725" i="16"/>
  <c r="O1448" i="4"/>
  <c r="O1383" i="4"/>
  <c r="O1342" i="4"/>
  <c r="O1293" i="4"/>
  <c r="O1481" i="4"/>
  <c r="O1486" i="4"/>
  <c r="O1356" i="4"/>
  <c r="O1446" i="4"/>
  <c r="O1512" i="4"/>
  <c r="O1494" i="4"/>
  <c r="O1357" i="4"/>
  <c r="O1310" i="4"/>
  <c r="O1343" i="4"/>
  <c r="J714" i="16"/>
  <c r="J631" i="16"/>
  <c r="O1495" i="4"/>
  <c r="J707" i="16"/>
  <c r="O1438" i="4"/>
  <c r="O1318" i="4"/>
  <c r="O1418" i="4"/>
  <c r="J629" i="16"/>
  <c r="J686" i="16"/>
  <c r="O1449" i="4"/>
  <c r="O1417" i="4"/>
  <c r="O1384" i="4"/>
  <c r="O1508" i="4"/>
  <c r="O1440" i="4"/>
  <c r="F59" i="6"/>
  <c r="J655" i="16"/>
  <c r="O1398" i="4"/>
  <c r="O1397" i="4"/>
  <c r="J623" i="16"/>
  <c r="J590" i="16"/>
  <c r="O1435" i="4"/>
  <c r="O1474" i="4"/>
  <c r="J716" i="16"/>
  <c r="J708" i="16"/>
  <c r="J1775" i="4"/>
  <c r="J512" i="16"/>
  <c r="J521" i="16"/>
  <c r="F66" i="6"/>
  <c r="F65" i="6" s="1"/>
  <c r="J486" i="16"/>
  <c r="F70" i="6"/>
  <c r="L1255" i="10" s="1"/>
  <c r="G1775" i="4"/>
  <c r="F557" i="32"/>
  <c r="G557" i="32" s="1"/>
  <c r="F91" i="32"/>
  <c r="G91" i="32" s="1"/>
  <c r="O284" i="4"/>
  <c r="G319" i="32"/>
  <c r="O1523" i="4"/>
  <c r="C34" i="22"/>
  <c r="O34" i="4"/>
  <c r="F575" i="32"/>
  <c r="G575" i="32" s="1"/>
  <c r="F149" i="32"/>
  <c r="G149" i="32" s="1"/>
  <c r="O552" i="4"/>
  <c r="F312" i="32"/>
  <c r="G312" i="32" s="1"/>
  <c r="O1578" i="4"/>
  <c r="D21" i="20" a="1"/>
  <c r="D21" i="20" s="1"/>
  <c r="O97" i="4"/>
  <c r="F92" i="32"/>
  <c r="G92" i="32" s="1"/>
  <c r="O286" i="4"/>
  <c r="F650" i="32"/>
  <c r="G650" i="32" s="1"/>
  <c r="F462" i="32"/>
  <c r="G462" i="32" s="1"/>
  <c r="O1100" i="4"/>
  <c r="F115" i="32"/>
  <c r="G115" i="32" s="1"/>
  <c r="O357" i="4"/>
  <c r="F313" i="32"/>
  <c r="G313" i="32" s="1"/>
  <c r="O1579" i="4"/>
  <c r="C1188" i="22"/>
  <c r="R1198" i="4" s="1"/>
  <c r="O1198" i="4"/>
  <c r="C18" i="22"/>
  <c r="G18" i="22" s="1"/>
  <c r="AA18" i="22" s="1"/>
  <c r="O18" i="4"/>
  <c r="C17" i="22"/>
  <c r="G17" i="22" s="1"/>
  <c r="AA17" i="22" s="1"/>
  <c r="O17" i="4"/>
  <c r="C206" i="22"/>
  <c r="R206" i="4" s="1"/>
  <c r="O209" i="4"/>
  <c r="C28" i="22"/>
  <c r="G28" i="22" s="1"/>
  <c r="AA28" i="22" s="1"/>
  <c r="O28" i="4"/>
  <c r="F70" i="32"/>
  <c r="G70" i="32" s="1"/>
  <c r="O210" i="4"/>
  <c r="C19" i="22"/>
  <c r="O19" i="4"/>
  <c r="G351" i="32"/>
  <c r="O1695" i="4"/>
  <c r="F700" i="32"/>
  <c r="G700" i="32" s="1"/>
  <c r="F501" i="32"/>
  <c r="G501" i="32" s="1"/>
  <c r="O1181" i="4"/>
  <c r="F460" i="32"/>
  <c r="G460" i="32" s="1"/>
  <c r="O1098" i="4"/>
  <c r="C238" i="22"/>
  <c r="R238" i="4" s="1"/>
  <c r="O241" i="4"/>
  <c r="C11" i="22"/>
  <c r="G11" i="22" s="1"/>
  <c r="AA11" i="22" s="1"/>
  <c r="O11" i="4"/>
  <c r="F181" i="32"/>
  <c r="G181" i="32" s="1"/>
  <c r="O664" i="4"/>
  <c r="F136" i="32"/>
  <c r="G136" i="32" s="1"/>
  <c r="O451" i="4"/>
  <c r="C1197" i="22"/>
  <c r="R1207" i="4" s="1"/>
  <c r="O1207" i="4"/>
  <c r="F452" i="32"/>
  <c r="G452" i="32" s="1"/>
  <c r="O1085" i="4"/>
  <c r="F242" i="32"/>
  <c r="G242" i="32" s="1"/>
  <c r="O819" i="4"/>
  <c r="G357" i="32"/>
  <c r="O1731" i="4"/>
  <c r="F642" i="32"/>
  <c r="G642" i="32" s="1"/>
  <c r="F483" i="32"/>
  <c r="G483" i="32" s="1"/>
  <c r="O1063" i="4"/>
  <c r="F469" i="32"/>
  <c r="G469" i="32" s="1"/>
  <c r="O1031" i="4"/>
  <c r="F163" i="32"/>
  <c r="G163" i="32" s="1"/>
  <c r="O597" i="4"/>
  <c r="F154" i="32"/>
  <c r="G154" i="32" s="1"/>
  <c r="O560" i="4"/>
  <c r="F132" i="32"/>
  <c r="G132" i="32" s="1"/>
  <c r="O443" i="4"/>
  <c r="F466" i="32"/>
  <c r="G466" i="32" s="1"/>
  <c r="O1109" i="4"/>
  <c r="F177" i="32"/>
  <c r="G177" i="32" s="1"/>
  <c r="O650" i="4"/>
  <c r="F560" i="32"/>
  <c r="G560" i="32" s="1"/>
  <c r="C285" i="22"/>
  <c r="R285" i="4" s="1"/>
  <c r="O289" i="4"/>
  <c r="C9" i="22"/>
  <c r="O9" i="4"/>
  <c r="C13" i="22"/>
  <c r="O13" i="4"/>
  <c r="F85" i="32"/>
  <c r="G85" i="32" s="1"/>
  <c r="O257" i="4"/>
  <c r="C12" i="22"/>
  <c r="O12" i="4"/>
  <c r="F470" i="32"/>
  <c r="G470" i="32" s="1"/>
  <c r="O1032" i="4"/>
  <c r="J14" i="23"/>
  <c r="O924" i="4"/>
  <c r="C666" i="22"/>
  <c r="R669" i="4" s="1"/>
  <c r="O669" i="4"/>
  <c r="F528" i="32"/>
  <c r="G528" i="32" s="1"/>
  <c r="O1220" i="4"/>
  <c r="C872" i="22"/>
  <c r="R879" i="4" s="1"/>
  <c r="O879" i="4"/>
  <c r="F553" i="32"/>
  <c r="G553" i="32" s="1"/>
  <c r="F315" i="32"/>
  <c r="G315" i="32" s="1"/>
  <c r="O1611" i="4"/>
  <c r="C1501" i="22"/>
  <c r="R1511" i="4" s="1"/>
  <c r="O1511" i="4"/>
  <c r="F193" i="32"/>
  <c r="G193" i="32" s="1"/>
  <c r="O563" i="4"/>
  <c r="F128" i="32"/>
  <c r="G128" i="32" s="1"/>
  <c r="O434" i="4"/>
  <c r="F299" i="32"/>
  <c r="G299" i="32" s="1"/>
  <c r="O1543" i="4"/>
  <c r="F688" i="32"/>
  <c r="G688" i="32" s="1"/>
  <c r="F548" i="32"/>
  <c r="G548" i="32" s="1"/>
  <c r="F496" i="32"/>
  <c r="G496" i="32" s="1"/>
  <c r="O1173" i="4"/>
  <c r="C664" i="22"/>
  <c r="R667" i="4" s="1"/>
  <c r="O667" i="4"/>
  <c r="C30" i="22"/>
  <c r="G30" i="22" s="1"/>
  <c r="AA30" i="22" s="1"/>
  <c r="O30" i="4"/>
  <c r="F694" i="32"/>
  <c r="G694" i="32" s="1"/>
  <c r="F599" i="32"/>
  <c r="G599" i="32" s="1"/>
  <c r="F498" i="32"/>
  <c r="G498" i="32" s="1"/>
  <c r="O1090" i="4"/>
  <c r="G394" i="32"/>
  <c r="O984" i="4"/>
  <c r="F107" i="32"/>
  <c r="G107" i="32" s="1"/>
  <c r="O332" i="4"/>
  <c r="F95" i="32"/>
  <c r="G95" i="32" s="1"/>
  <c r="O292" i="4"/>
  <c r="F108" i="32"/>
  <c r="G108" i="32" s="1"/>
  <c r="O336" i="4"/>
  <c r="F422" i="32"/>
  <c r="G422" i="32" s="1"/>
  <c r="O1026" i="4"/>
  <c r="C1198" i="22"/>
  <c r="R1208" i="4" s="1"/>
  <c r="O1208" i="4"/>
  <c r="F421" i="32"/>
  <c r="G421" i="32" s="1"/>
  <c r="O1025" i="4"/>
  <c r="F226" i="32"/>
  <c r="G226" i="32" s="1"/>
  <c r="O760" i="4"/>
  <c r="C205" i="22"/>
  <c r="R205" i="4" s="1"/>
  <c r="O208" i="4"/>
  <c r="C10" i="22"/>
  <c r="O10" i="4"/>
  <c r="G396" i="32"/>
  <c r="O1730" i="4"/>
  <c r="F696" i="32"/>
  <c r="G696" i="32" s="1"/>
  <c r="F479" i="32"/>
  <c r="G479" i="32" s="1"/>
  <c r="O1148" i="4"/>
  <c r="F437" i="32"/>
  <c r="G437" i="32" s="1"/>
  <c r="O1046" i="4"/>
  <c r="C665" i="22"/>
  <c r="R668" i="4" s="1"/>
  <c r="O668" i="4"/>
  <c r="F162" i="32"/>
  <c r="G162" i="32" s="1"/>
  <c r="O596" i="4"/>
  <c r="F711" i="32"/>
  <c r="G711" i="32" s="1"/>
  <c r="C1196" i="22"/>
  <c r="R1206" i="4" s="1"/>
  <c r="O1206" i="4"/>
  <c r="F94" i="32"/>
  <c r="G94" i="32" s="1"/>
  <c r="O288" i="4"/>
  <c r="C15" i="22"/>
  <c r="G15" i="22" s="1"/>
  <c r="AA15" i="22" s="1"/>
  <c r="O15" i="4"/>
  <c r="F169" i="32"/>
  <c r="G169" i="32" s="1"/>
  <c r="O624" i="4"/>
  <c r="F151" i="32"/>
  <c r="G151" i="32" s="1"/>
  <c r="O555" i="4"/>
  <c r="C36" i="22"/>
  <c r="G36" i="22" s="1"/>
  <c r="AA36" i="22" s="1"/>
  <c r="O36" i="4"/>
  <c r="C667" i="22"/>
  <c r="R670" i="4" s="1"/>
  <c r="O670" i="4"/>
  <c r="F289" i="32"/>
  <c r="G289" i="32" s="1"/>
  <c r="O1530" i="4"/>
  <c r="F592" i="32"/>
  <c r="G592" i="32" s="1"/>
  <c r="O1233" i="4"/>
  <c r="C1189" i="22"/>
  <c r="R1199" i="4" s="1"/>
  <c r="O1199" i="4"/>
  <c r="G317" i="32"/>
  <c r="O1617" i="4"/>
  <c r="F117" i="32"/>
  <c r="G117" i="32" s="1"/>
  <c r="O367" i="4"/>
  <c r="F97" i="32"/>
  <c r="G97" i="32" s="1"/>
  <c r="O295" i="4"/>
  <c r="C81" i="22"/>
  <c r="R80" i="4" s="1"/>
  <c r="O81" i="4"/>
  <c r="F641" i="32"/>
  <c r="G641" i="32" s="1"/>
  <c r="G343" i="32"/>
  <c r="O1665" i="4"/>
  <c r="F307" i="32"/>
  <c r="G307" i="32" s="1"/>
  <c r="O1566" i="4"/>
  <c r="F218" i="32"/>
  <c r="G218" i="32" s="1"/>
  <c r="O727" i="4"/>
  <c r="F673" i="32"/>
  <c r="G673" i="32" s="1"/>
  <c r="F40" i="32"/>
  <c r="G40" i="32" s="1"/>
  <c r="O112" i="4"/>
  <c r="C66" i="22"/>
  <c r="G66" i="22" s="1"/>
  <c r="O66" i="4"/>
  <c r="C14" i="22"/>
  <c r="O14" i="4"/>
  <c r="F655" i="32"/>
  <c r="G655" i="32" s="1"/>
  <c r="C23" i="22"/>
  <c r="G23" i="22" s="1"/>
  <c r="AA23" i="22" s="1"/>
  <c r="O23" i="4"/>
  <c r="C35" i="22"/>
  <c r="G35" i="22" s="1"/>
  <c r="AA35" i="22" s="1"/>
  <c r="O35" i="4"/>
  <c r="F554" i="32"/>
  <c r="G554" i="32" s="1"/>
  <c r="O847" i="4"/>
  <c r="F130" i="32"/>
  <c r="G130" i="32" s="1"/>
  <c r="O439" i="4"/>
  <c r="C16" i="22"/>
  <c r="G16" i="22" s="1"/>
  <c r="AA16" i="22" s="1"/>
  <c r="O16" i="4"/>
  <c r="F102" i="32"/>
  <c r="G102" i="32" s="1"/>
  <c r="O320" i="4"/>
  <c r="G361" i="32"/>
  <c r="O1641" i="4"/>
  <c r="F681" i="32"/>
  <c r="G681" i="32" s="1"/>
  <c r="O1204" i="4"/>
  <c r="F153" i="32"/>
  <c r="G153" i="32" s="1"/>
  <c r="O558" i="4"/>
  <c r="G364" i="32"/>
  <c r="O1746" i="4"/>
  <c r="F298" i="32"/>
  <c r="G298" i="32" s="1"/>
  <c r="O1542" i="4"/>
  <c r="F687" i="32"/>
  <c r="G687" i="32" s="1"/>
  <c r="C1193" i="22"/>
  <c r="R1203" i="4" s="1"/>
  <c r="O1203" i="4"/>
  <c r="F414" i="32"/>
  <c r="G414" i="32" s="1"/>
  <c r="O1012" i="4"/>
  <c r="F248" i="32"/>
  <c r="G248" i="32" s="1"/>
  <c r="O831" i="4"/>
  <c r="F219" i="32"/>
  <c r="G219" i="32" s="1"/>
  <c r="O728" i="4"/>
  <c r="F170" i="32"/>
  <c r="G170" i="32" s="1"/>
  <c r="O625" i="4"/>
  <c r="F210" i="32"/>
  <c r="G210" i="32" s="1"/>
  <c r="O702" i="4"/>
  <c r="F624" i="32"/>
  <c r="G624" i="32" s="1"/>
  <c r="F643" i="32"/>
  <c r="G643" i="32" s="1"/>
  <c r="C1191" i="22"/>
  <c r="R1201" i="4" s="1"/>
  <c r="O1201" i="4"/>
  <c r="F593" i="32"/>
  <c r="G593" i="32" s="1"/>
  <c r="C1190" i="22"/>
  <c r="R1200" i="4" s="1"/>
  <c r="O1200" i="4"/>
  <c r="F438" i="32"/>
  <c r="G438" i="32" s="1"/>
  <c r="O1049" i="4"/>
  <c r="O1017" i="4"/>
  <c r="O810" i="4"/>
  <c r="F211" i="32"/>
  <c r="G211" i="32" s="1"/>
  <c r="O647" i="4"/>
  <c r="F310" i="32"/>
  <c r="G310" i="32" s="1"/>
  <c r="O1576" i="4"/>
  <c r="O1205" i="4"/>
  <c r="F106" i="32"/>
  <c r="G106" i="32" s="1"/>
  <c r="O326" i="4"/>
  <c r="F41" i="32"/>
  <c r="G41" i="32" s="1"/>
  <c r="O114" i="4"/>
  <c r="F640" i="32"/>
  <c r="G640" i="32" s="1"/>
  <c r="C1186" i="22"/>
  <c r="R1196" i="4" s="1"/>
  <c r="O1196" i="4"/>
  <c r="F77" i="32"/>
  <c r="G77" i="32" s="1"/>
  <c r="O220" i="4"/>
  <c r="F618" i="32"/>
  <c r="G618" i="32" s="1"/>
  <c r="F143" i="32"/>
  <c r="G143" i="32" s="1"/>
  <c r="O484" i="4"/>
  <c r="F176" i="32"/>
  <c r="G176" i="32" s="1"/>
  <c r="O649" i="4"/>
  <c r="F559" i="32"/>
  <c r="G559" i="32" s="1"/>
  <c r="F448" i="32"/>
  <c r="G448" i="32" s="1"/>
  <c r="O1073" i="4"/>
  <c r="F412" i="32"/>
  <c r="G412" i="32" s="1"/>
  <c r="O936" i="4"/>
  <c r="F224" i="32"/>
  <c r="G224" i="32" s="1"/>
  <c r="O756" i="4"/>
  <c r="O78" i="4"/>
  <c r="F660" i="32"/>
  <c r="G660" i="32" s="1"/>
  <c r="F561" i="32"/>
  <c r="G561" i="32" s="1"/>
  <c r="C1500" i="22"/>
  <c r="R1510" i="4" s="1"/>
  <c r="O1510" i="4"/>
  <c r="F254" i="32"/>
  <c r="G254" i="32" s="1"/>
  <c r="O859" i="4"/>
  <c r="F683" i="32"/>
  <c r="G683" i="32" s="1"/>
  <c r="F445" i="32"/>
  <c r="G445" i="32" s="1"/>
  <c r="O1069" i="4"/>
  <c r="F432" i="32"/>
  <c r="G432" i="32" s="1"/>
  <c r="O1037" i="4"/>
  <c r="F409" i="32"/>
  <c r="G409" i="32" s="1"/>
  <c r="O1004" i="4"/>
  <c r="C8" i="22"/>
  <c r="O8" i="4"/>
  <c r="F71" i="32"/>
  <c r="G71" i="32" s="1"/>
  <c r="O211" i="4"/>
  <c r="C76" i="22"/>
  <c r="R75" i="4" s="1"/>
  <c r="O75" i="4"/>
  <c r="C40" i="22"/>
  <c r="G40" i="22" s="1"/>
  <c r="AA40" i="22" s="1"/>
  <c r="O40" i="4"/>
  <c r="G403" i="32"/>
  <c r="O1745" i="4"/>
  <c r="G329" i="32"/>
  <c r="O1647" i="4"/>
  <c r="C1192" i="22"/>
  <c r="R1202" i="4" s="1"/>
  <c r="O1202" i="4"/>
  <c r="F296" i="32"/>
  <c r="G296" i="32" s="1"/>
  <c r="O1540" i="4"/>
  <c r="F236" i="32"/>
  <c r="G236" i="32" s="1"/>
  <c r="O811" i="4"/>
  <c r="C20" i="22"/>
  <c r="O20" i="4"/>
  <c r="F164" i="32"/>
  <c r="G164" i="32" s="1"/>
  <c r="O598" i="4"/>
  <c r="F155" i="32"/>
  <c r="G155" i="32" s="1"/>
  <c r="O561" i="4"/>
  <c r="F141" i="32"/>
  <c r="G141" i="32" s="1"/>
  <c r="O481" i="4"/>
  <c r="G338" i="32"/>
  <c r="O1660" i="4"/>
  <c r="F697" i="32"/>
  <c r="G697" i="32" s="1"/>
  <c r="F672" i="32"/>
  <c r="G672" i="32" s="1"/>
  <c r="F608" i="32"/>
  <c r="G608" i="32" s="1"/>
  <c r="F411" i="32"/>
  <c r="G411" i="32" s="1"/>
  <c r="O1007" i="4"/>
  <c r="O708" i="4"/>
  <c r="O390" i="4"/>
  <c r="F511" i="32"/>
  <c r="G511" i="32" s="1"/>
  <c r="O1197" i="4"/>
  <c r="F717" i="32"/>
  <c r="G717" i="32" s="1"/>
  <c r="F675" i="32"/>
  <c r="G675" i="32" s="1"/>
  <c r="F461" i="32"/>
  <c r="G461" i="32" s="1"/>
  <c r="F622" i="32"/>
  <c r="G622" i="32" s="1"/>
  <c r="F565" i="32"/>
  <c r="G565" i="32" s="1"/>
  <c r="F420" i="32"/>
  <c r="G420" i="32" s="1"/>
  <c r="F617" i="32"/>
  <c r="G617" i="32" s="1"/>
  <c r="F621" i="32"/>
  <c r="G621" i="32" s="1"/>
  <c r="F86" i="32"/>
  <c r="G86" i="32" s="1"/>
  <c r="F632" i="32"/>
  <c r="G632" i="32" s="1"/>
  <c r="F202" i="32"/>
  <c r="G202" i="32" s="1"/>
  <c r="F631" i="32"/>
  <c r="G631" i="32" s="1"/>
  <c r="F419" i="32"/>
  <c r="G419" i="32" s="1"/>
  <c r="F463" i="32"/>
  <c r="G463" i="32" s="1"/>
  <c r="G389" i="32"/>
  <c r="F685" i="32"/>
  <c r="G685" i="32" s="1"/>
  <c r="F571" i="32"/>
  <c r="G571" i="32" s="1"/>
  <c r="F481" i="32"/>
  <c r="G481" i="32" s="1"/>
  <c r="F447" i="32"/>
  <c r="G447" i="32" s="1"/>
  <c r="F435" i="32"/>
  <c r="G435" i="32" s="1"/>
  <c r="F301" i="32"/>
  <c r="G301" i="32" s="1"/>
  <c r="F416" i="32"/>
  <c r="G416" i="32" s="1"/>
  <c r="F53" i="32"/>
  <c r="G53" i="32" s="1"/>
  <c r="F60" i="32"/>
  <c r="G60" i="32" s="1"/>
  <c r="F725" i="32"/>
  <c r="G725" i="32" s="1"/>
  <c r="F680" i="32"/>
  <c r="G680" i="32" s="1"/>
  <c r="F661" i="32"/>
  <c r="G661" i="32" s="1"/>
  <c r="F637" i="32"/>
  <c r="G637" i="32" s="1"/>
  <c r="F84" i="32"/>
  <c r="G84" i="32" s="1"/>
  <c r="F468" i="32"/>
  <c r="G468" i="32" s="1"/>
  <c r="G382" i="32"/>
  <c r="F456" i="32"/>
  <c r="G456" i="32" s="1"/>
  <c r="F309" i="32"/>
  <c r="G309" i="32" s="1"/>
  <c r="F455" i="32"/>
  <c r="G455" i="32" s="1"/>
  <c r="F81" i="32"/>
  <c r="G81" i="32" s="1"/>
  <c r="F48" i="32"/>
  <c r="G48" i="32" s="1"/>
  <c r="G352" i="32"/>
  <c r="F243" i="32"/>
  <c r="G243" i="32" s="1"/>
  <c r="F118" i="32"/>
  <c r="G118" i="32" s="1"/>
  <c r="C311" i="22"/>
  <c r="R311" i="4" s="1"/>
  <c r="F525" i="32"/>
  <c r="G525" i="32" s="1"/>
  <c r="F667" i="32"/>
  <c r="G667" i="32" s="1"/>
  <c r="F434" i="32"/>
  <c r="G434" i="32" s="1"/>
  <c r="F436" i="32"/>
  <c r="G436" i="32" s="1"/>
  <c r="F415" i="32"/>
  <c r="G415" i="32" s="1"/>
  <c r="F89" i="32"/>
  <c r="G89" i="32" s="1"/>
  <c r="F567" i="32"/>
  <c r="G567" i="32" s="1"/>
  <c r="F674" i="32"/>
  <c r="G674" i="32" s="1"/>
  <c r="F638" i="32"/>
  <c r="G638" i="32" s="1"/>
  <c r="F714" i="32"/>
  <c r="G714" i="32" s="1"/>
  <c r="F576" i="32"/>
  <c r="G576" i="32" s="1"/>
  <c r="F433" i="32"/>
  <c r="G433" i="32" s="1"/>
  <c r="F619" i="32"/>
  <c r="G619" i="32" s="1"/>
  <c r="F139" i="32"/>
  <c r="G139" i="32" s="1"/>
  <c r="G354" i="32"/>
  <c r="F105" i="32"/>
  <c r="G105" i="32" s="1"/>
  <c r="F563" i="32"/>
  <c r="G563" i="32" s="1"/>
  <c r="F668" i="32"/>
  <c r="G668" i="32" s="1"/>
  <c r="F423" i="32"/>
  <c r="G423" i="32" s="1"/>
  <c r="G402" i="32"/>
  <c r="G347" i="32"/>
  <c r="G376" i="32"/>
  <c r="F562" i="32"/>
  <c r="G562" i="32" s="1"/>
  <c r="F114" i="32"/>
  <c r="G114" i="32" s="1"/>
  <c r="F291" i="32"/>
  <c r="G291" i="32" s="1"/>
  <c r="F710" i="32"/>
  <c r="G710" i="32" s="1"/>
  <c r="F574" i="32"/>
  <c r="G574" i="32" s="1"/>
  <c r="G387" i="32"/>
  <c r="F709" i="32"/>
  <c r="G709" i="32" s="1"/>
  <c r="F573" i="32"/>
  <c r="G573" i="32" s="1"/>
  <c r="F449" i="32"/>
  <c r="G449" i="32" s="1"/>
  <c r="G373" i="32"/>
  <c r="F698" i="32"/>
  <c r="G698" i="32" s="1"/>
  <c r="F572" i="32"/>
  <c r="G572" i="32" s="1"/>
  <c r="F482" i="32"/>
  <c r="G482" i="32" s="1"/>
  <c r="F465" i="32"/>
  <c r="G465" i="32" s="1"/>
  <c r="F103" i="32"/>
  <c r="G103" i="32" s="1"/>
  <c r="F490" i="32"/>
  <c r="G490" i="32" s="1"/>
  <c r="G331" i="32"/>
  <c r="F293" i="32"/>
  <c r="G293" i="32" s="1"/>
  <c r="F713" i="32"/>
  <c r="G713" i="32" s="1"/>
  <c r="F677" i="32"/>
  <c r="G677" i="32" s="1"/>
  <c r="F587" i="32"/>
  <c r="G587" i="32" s="1"/>
  <c r="G378" i="32"/>
  <c r="F78" i="32"/>
  <c r="G78" i="32" s="1"/>
  <c r="F237" i="32"/>
  <c r="G237" i="32" s="1"/>
  <c r="F98" i="32"/>
  <c r="G98" i="32" s="1"/>
  <c r="F99" i="32"/>
  <c r="G99" i="32" s="1"/>
  <c r="F234" i="32"/>
  <c r="G234" i="32" s="1"/>
  <c r="F451" i="32"/>
  <c r="G451" i="32" s="1"/>
  <c r="G341" i="32"/>
  <c r="G379" i="32"/>
  <c r="F527" i="32"/>
  <c r="G527" i="32" s="1"/>
  <c r="G340" i="32"/>
  <c r="F566" i="32"/>
  <c r="G566" i="32" s="1"/>
  <c r="F625" i="32"/>
  <c r="G625" i="32" s="1"/>
  <c r="F526" i="32"/>
  <c r="G526" i="32" s="1"/>
  <c r="F500" i="32"/>
  <c r="G500" i="32" s="1"/>
  <c r="F430" i="32"/>
  <c r="G430" i="32" s="1"/>
  <c r="F472" i="32"/>
  <c r="G472" i="32" s="1"/>
  <c r="F278" i="32"/>
  <c r="G278" i="32" s="1"/>
  <c r="F263" i="32"/>
  <c r="G263" i="32" s="1"/>
  <c r="G333" i="32"/>
  <c r="F459" i="32"/>
  <c r="G459" i="32" s="1"/>
  <c r="F504" i="32"/>
  <c r="G504" i="32" s="1"/>
  <c r="F429" i="32"/>
  <c r="G429" i="32" s="1"/>
  <c r="F471" i="32"/>
  <c r="G471" i="32" s="1"/>
  <c r="F73" i="32"/>
  <c r="G73" i="32" s="1"/>
  <c r="F43" i="32"/>
  <c r="G43" i="32" s="1"/>
  <c r="F487" i="32"/>
  <c r="G487" i="32" s="1"/>
  <c r="F489" i="32"/>
  <c r="G489" i="32" s="1"/>
  <c r="F410" i="32"/>
  <c r="G410" i="32" s="1"/>
  <c r="F116" i="32"/>
  <c r="G116" i="32" s="1"/>
  <c r="F96" i="32"/>
  <c r="G96" i="32" s="1"/>
  <c r="F611" i="32"/>
  <c r="G611" i="32" s="1"/>
  <c r="F607" i="32"/>
  <c r="G607" i="32" s="1"/>
  <c r="F431" i="32"/>
  <c r="G431" i="32" s="1"/>
  <c r="F473" i="32"/>
  <c r="G473" i="32" s="1"/>
  <c r="G359" i="32"/>
  <c r="F662" i="32"/>
  <c r="G662" i="32" s="1"/>
  <c r="F54" i="32"/>
  <c r="G54" i="32" s="1"/>
  <c r="G335" i="32"/>
  <c r="F547" i="32"/>
  <c r="G547" i="32" s="1"/>
  <c r="F495" i="32"/>
  <c r="G495" i="32" s="1"/>
  <c r="F212" i="32"/>
  <c r="G212" i="32" s="1"/>
  <c r="G399" i="32"/>
  <c r="G355" i="32"/>
  <c r="G395" i="32"/>
  <c r="F678" i="32"/>
  <c r="G678" i="32" s="1"/>
  <c r="F570" i="32"/>
  <c r="G570" i="32" s="1"/>
  <c r="F558" i="32"/>
  <c r="G558" i="32" s="1"/>
  <c r="F253" i="32"/>
  <c r="G253" i="32" s="1"/>
  <c r="F206" i="32"/>
  <c r="G206" i="32" s="1"/>
  <c r="F569" i="32"/>
  <c r="G569" i="32" s="1"/>
  <c r="F600" i="32"/>
  <c r="G600" i="32" s="1"/>
  <c r="F486" i="32"/>
  <c r="G486" i="32" s="1"/>
  <c r="F610" i="32"/>
  <c r="G610" i="32" s="1"/>
  <c r="G377" i="32"/>
  <c r="F458" i="32"/>
  <c r="G458" i="32" s="1"/>
  <c r="F441" i="32"/>
  <c r="G441" i="32" s="1"/>
  <c r="F484" i="32"/>
  <c r="G484" i="32" s="1"/>
  <c r="F446" i="32"/>
  <c r="G446" i="32" s="1"/>
  <c r="F494" i="32"/>
  <c r="G494" i="32" s="1"/>
  <c r="F453" i="32"/>
  <c r="G453" i="32" s="1"/>
  <c r="F497" i="32"/>
  <c r="G497" i="32" s="1"/>
  <c r="G349" i="32"/>
  <c r="F303" i="32"/>
  <c r="G303" i="32" s="1"/>
  <c r="F630" i="32"/>
  <c r="G630" i="32" s="1"/>
  <c r="F545" i="32"/>
  <c r="G545" i="32" s="1"/>
  <c r="F295" i="32"/>
  <c r="G295" i="32" s="1"/>
  <c r="F684" i="32"/>
  <c r="G684" i="32" s="1"/>
  <c r="F544" i="32"/>
  <c r="G544" i="32" s="1"/>
  <c r="G380" i="32"/>
  <c r="F187" i="32"/>
  <c r="G187" i="32" s="1"/>
  <c r="F90" i="32"/>
  <c r="G90" i="32" s="1"/>
  <c r="F480" i="32"/>
  <c r="G480" i="32" s="1"/>
  <c r="F530" i="32"/>
  <c r="G530" i="32" s="1"/>
  <c r="F464" i="32"/>
  <c r="G464" i="32" s="1"/>
  <c r="F88" i="32"/>
  <c r="G88" i="32" s="1"/>
  <c r="G322" i="32"/>
  <c r="F620" i="32"/>
  <c r="G620" i="32" s="1"/>
  <c r="F287" i="32"/>
  <c r="G287" i="32" s="1"/>
  <c r="F676" i="32"/>
  <c r="G676" i="32" s="1"/>
  <c r="F467" i="32"/>
  <c r="G467" i="32" s="1"/>
  <c r="F716" i="32"/>
  <c r="G716" i="32" s="1"/>
  <c r="F539" i="32"/>
  <c r="G539" i="32" s="1"/>
  <c r="F228" i="32"/>
  <c r="G228" i="32" s="1"/>
  <c r="F104" i="32"/>
  <c r="G104" i="32" s="1"/>
  <c r="F113" i="32"/>
  <c r="G113" i="32" s="1"/>
  <c r="F42" i="32"/>
  <c r="G42" i="32" s="1"/>
  <c r="F623" i="32"/>
  <c r="G623" i="32" s="1"/>
  <c r="F112" i="32"/>
  <c r="G112" i="32" s="1"/>
  <c r="G345" i="32"/>
  <c r="F270" i="32"/>
  <c r="G270" i="32" s="1"/>
  <c r="G337" i="32"/>
  <c r="G398" i="32"/>
  <c r="F185" i="32"/>
  <c r="G185" i="32" s="1"/>
  <c r="F564" i="32"/>
  <c r="G564" i="32" s="1"/>
  <c r="F529" i="32"/>
  <c r="G529" i="32" s="1"/>
  <c r="F582" i="32"/>
  <c r="G582" i="32" s="1"/>
  <c r="F609" i="32"/>
  <c r="G609" i="32" s="1"/>
  <c r="G383" i="32"/>
  <c r="F639" i="32"/>
  <c r="G639" i="32" s="1"/>
  <c r="F701" i="32"/>
  <c r="G701" i="32" s="1"/>
  <c r="C37" i="22"/>
  <c r="G37" i="22" s="1"/>
  <c r="AA37" i="22" s="1"/>
  <c r="F18" i="32"/>
  <c r="G18" i="32" s="1"/>
  <c r="F74" i="32"/>
  <c r="G74" i="32" s="1"/>
  <c r="F686" i="32"/>
  <c r="G686" i="32" s="1"/>
  <c r="G393" i="32"/>
  <c r="F67" i="32"/>
  <c r="G67" i="32" s="1"/>
  <c r="F305" i="32"/>
  <c r="G305" i="32" s="1"/>
  <c r="F679" i="32"/>
  <c r="G679" i="32" s="1"/>
  <c r="F578" i="32"/>
  <c r="G578" i="32" s="1"/>
  <c r="F601" i="32"/>
  <c r="G601" i="32" s="1"/>
  <c r="F682" i="32"/>
  <c r="G682" i="32" s="1"/>
  <c r="F87" i="32"/>
  <c r="G87" i="32" s="1"/>
  <c r="C33" i="22"/>
  <c r="G33" i="22" s="1"/>
  <c r="AA33" i="22" s="1"/>
  <c r="F17" i="32"/>
  <c r="G17" i="32" s="1"/>
  <c r="F493" i="32"/>
  <c r="G493" i="32" s="1"/>
  <c r="F450" i="32"/>
  <c r="G450" i="32" s="1"/>
  <c r="F444" i="32"/>
  <c r="G444" i="32" s="1"/>
  <c r="F439" i="32"/>
  <c r="G439" i="32" s="1"/>
  <c r="F649" i="32"/>
  <c r="G649" i="32" s="1"/>
  <c r="F648" i="32"/>
  <c r="G648" i="32" s="1"/>
  <c r="F65" i="32"/>
  <c r="G65" i="32" s="1"/>
  <c r="C1195" i="22"/>
  <c r="R1205" i="4" s="1"/>
  <c r="F518" i="32"/>
  <c r="G518" i="32" s="1"/>
  <c r="F121" i="32"/>
  <c r="G121" i="32" s="1"/>
  <c r="F277" i="32"/>
  <c r="G277" i="32" s="1"/>
  <c r="C1194" i="22"/>
  <c r="R1204" i="4" s="1"/>
  <c r="F517" i="32"/>
  <c r="G517" i="32" s="1"/>
  <c r="C1504" i="22"/>
  <c r="R1514" i="4" s="1"/>
  <c r="F724" i="32"/>
  <c r="G724" i="32" s="1"/>
  <c r="F182" i="32"/>
  <c r="G182" i="32" s="1"/>
  <c r="F39" i="32"/>
  <c r="G39" i="32" s="1"/>
  <c r="F38" i="32"/>
  <c r="G38" i="32" s="1"/>
  <c r="F703" i="32"/>
  <c r="G703" i="32" s="1"/>
  <c r="E22" i="6"/>
  <c r="F22" i="6"/>
  <c r="C286" i="22"/>
  <c r="R286" i="4" s="1"/>
  <c r="C189" i="22"/>
  <c r="R189" i="4" s="1"/>
  <c r="E49" i="6"/>
  <c r="C270" i="22"/>
  <c r="R270" i="4" s="1"/>
  <c r="C139" i="22"/>
  <c r="R138" i="4" s="1"/>
  <c r="C303" i="22"/>
  <c r="R303" i="4" s="1"/>
  <c r="C109" i="22"/>
  <c r="R108" i="4" s="1"/>
  <c r="C172" i="22"/>
  <c r="R171" i="4" s="1"/>
  <c r="C195" i="22"/>
  <c r="R195" i="4" s="1"/>
  <c r="C646" i="22"/>
  <c r="R649" i="4" s="1"/>
  <c r="D29" i="20" a="1"/>
  <c r="D29" i="20" s="1"/>
  <c r="C310" i="22"/>
  <c r="R310" i="4" s="1"/>
  <c r="C240" i="22"/>
  <c r="R240" i="4" s="1"/>
  <c r="C208" i="22"/>
  <c r="R208" i="4" s="1"/>
  <c r="C302" i="22"/>
  <c r="R302" i="4" s="1"/>
  <c r="C148" i="22"/>
  <c r="R147" i="4" s="1"/>
  <c r="C272" i="22"/>
  <c r="R272" i="4" s="1"/>
  <c r="C261" i="22"/>
  <c r="R261" i="4" s="1"/>
  <c r="C255" i="22"/>
  <c r="R255" i="4" s="1"/>
  <c r="C163" i="22"/>
  <c r="R162" i="4" s="1"/>
  <c r="C237" i="22"/>
  <c r="R237" i="4" s="1"/>
  <c r="C168" i="22"/>
  <c r="R167" i="4" s="1"/>
  <c r="C201" i="22"/>
  <c r="R201" i="4" s="1"/>
  <c r="C169" i="22"/>
  <c r="R168" i="4" s="1"/>
  <c r="C254" i="22"/>
  <c r="R254" i="4" s="1"/>
  <c r="C83" i="22"/>
  <c r="R82" i="4" s="1"/>
  <c r="C279" i="22"/>
  <c r="R279" i="4" s="1"/>
  <c r="C99" i="22"/>
  <c r="R98" i="4" s="1"/>
  <c r="C278" i="22"/>
  <c r="R278" i="4" s="1"/>
  <c r="C135" i="22"/>
  <c r="R134" i="4" s="1"/>
  <c r="C231" i="22"/>
  <c r="R231" i="4" s="1"/>
  <c r="C71" i="22"/>
  <c r="C157" i="22"/>
  <c r="R156" i="4" s="1"/>
  <c r="C118" i="22"/>
  <c r="R117" i="4" s="1"/>
  <c r="C295" i="22"/>
  <c r="R295" i="4" s="1"/>
  <c r="C248" i="22"/>
  <c r="R248" i="4" s="1"/>
  <c r="C216" i="22"/>
  <c r="R216" i="4" s="1"/>
  <c r="C171" i="22"/>
  <c r="R170" i="4" s="1"/>
  <c r="C280" i="22"/>
  <c r="R280" i="4" s="1"/>
  <c r="C154" i="22"/>
  <c r="R153" i="4" s="1"/>
  <c r="C196" i="22"/>
  <c r="R196" i="4" s="1"/>
  <c r="C126" i="22"/>
  <c r="R125" i="4" s="1"/>
  <c r="C229" i="22"/>
  <c r="R229" i="4" s="1"/>
  <c r="C289" i="22"/>
  <c r="R289" i="4" s="1"/>
  <c r="C225" i="22"/>
  <c r="R225" i="4" s="1"/>
  <c r="C182" i="22"/>
  <c r="R181" i="4" s="1"/>
  <c r="C180" i="22"/>
  <c r="R179" i="4" s="1"/>
  <c r="C122" i="22"/>
  <c r="R121" i="4" s="1"/>
  <c r="C274" i="22"/>
  <c r="R274" i="4" s="1"/>
  <c r="C176" i="22"/>
  <c r="R175" i="4" s="1"/>
  <c r="C230" i="22"/>
  <c r="R230" i="4" s="1"/>
  <c r="C221" i="22"/>
  <c r="R221" i="4" s="1"/>
  <c r="C175" i="22"/>
  <c r="R174" i="4" s="1"/>
  <c r="C262" i="22"/>
  <c r="R262" i="4" s="1"/>
  <c r="C91" i="22"/>
  <c r="R90" i="4" s="1"/>
  <c r="C150" i="22"/>
  <c r="R149" i="4" s="1"/>
  <c r="C131" i="22"/>
  <c r="R130" i="4" s="1"/>
  <c r="C86" i="22"/>
  <c r="R85" i="4" s="1"/>
  <c r="C151" i="22"/>
  <c r="R150" i="4" s="1"/>
  <c r="C152" i="22"/>
  <c r="R151" i="4" s="1"/>
  <c r="C119" i="22"/>
  <c r="R118" i="4" s="1"/>
  <c r="C87" i="22"/>
  <c r="R86" i="4" s="1"/>
  <c r="C215" i="22"/>
  <c r="R215" i="4" s="1"/>
  <c r="C197" i="22"/>
  <c r="R197" i="4" s="1"/>
  <c r="C165" i="22"/>
  <c r="R164" i="4" s="1"/>
  <c r="C132" i="22"/>
  <c r="R131" i="4" s="1"/>
  <c r="C89" i="22"/>
  <c r="R88" i="4" s="1"/>
  <c r="C129" i="22"/>
  <c r="R128" i="4" s="1"/>
  <c r="C193" i="22"/>
  <c r="R193" i="4" s="1"/>
  <c r="C161" i="22"/>
  <c r="R160" i="4" s="1"/>
  <c r="C199" i="22"/>
  <c r="R199" i="4" s="1"/>
  <c r="C101" i="22"/>
  <c r="R100" i="4" s="1"/>
  <c r="C158" i="22"/>
  <c r="R157" i="4" s="1"/>
  <c r="C276" i="22"/>
  <c r="R276" i="4" s="1"/>
  <c r="C294" i="22"/>
  <c r="R294" i="4" s="1"/>
  <c r="C92" i="22"/>
  <c r="R91" i="4" s="1"/>
  <c r="C82" i="22"/>
  <c r="R81" i="4" s="1"/>
  <c r="C210" i="22"/>
  <c r="R210" i="4" s="1"/>
  <c r="C304" i="22"/>
  <c r="R304" i="4" s="1"/>
  <c r="C144" i="22"/>
  <c r="R143" i="4" s="1"/>
  <c r="C191" i="22"/>
  <c r="R191" i="4" s="1"/>
  <c r="C124" i="22"/>
  <c r="R123" i="4" s="1"/>
  <c r="C137" i="22"/>
  <c r="C249" i="22"/>
  <c r="R249" i="4" s="1"/>
  <c r="C73" i="22"/>
  <c r="R73" i="4" s="1"/>
  <c r="C244" i="22"/>
  <c r="R244" i="4" s="1"/>
  <c r="C141" i="22"/>
  <c r="R140" i="4" s="1"/>
  <c r="C106" i="22"/>
  <c r="R105" i="4" s="1"/>
  <c r="C70" i="22"/>
  <c r="C250" i="22"/>
  <c r="R250" i="4" s="1"/>
  <c r="C236" i="22"/>
  <c r="R236" i="4" s="1"/>
  <c r="C245" i="22"/>
  <c r="R245" i="4" s="1"/>
  <c r="C179" i="22"/>
  <c r="R178" i="4" s="1"/>
  <c r="C69" i="22"/>
  <c r="C209" i="22"/>
  <c r="R209" i="4" s="1"/>
  <c r="C160" i="22"/>
  <c r="R159" i="4" s="1"/>
  <c r="C223" i="22"/>
  <c r="R223" i="4" s="1"/>
  <c r="F17" i="23"/>
  <c r="C194" i="22"/>
  <c r="R194" i="4" s="1"/>
  <c r="C178" i="22"/>
  <c r="R177" i="4" s="1"/>
  <c r="C105" i="22"/>
  <c r="R104" i="4" s="1"/>
  <c r="C188" i="22"/>
  <c r="R188" i="4" s="1"/>
  <c r="C162" i="22"/>
  <c r="R161" i="4" s="1"/>
  <c r="C88" i="22"/>
  <c r="R87" i="4" s="1"/>
  <c r="C283" i="22"/>
  <c r="R283" i="4" s="1"/>
  <c r="C219" i="22"/>
  <c r="R219" i="4" s="1"/>
  <c r="C153" i="22"/>
  <c r="R152" i="4" s="1"/>
  <c r="C271" i="22"/>
  <c r="R271" i="4" s="1"/>
  <c r="C93" i="22"/>
  <c r="R92" i="4" s="1"/>
  <c r="C183" i="22"/>
  <c r="R182" i="4" s="1"/>
  <c r="C94" i="22"/>
  <c r="R93" i="4" s="1"/>
  <c r="C1503" i="22"/>
  <c r="R1513" i="4" s="1"/>
  <c r="C155" i="22"/>
  <c r="R154" i="4" s="1"/>
  <c r="C1211" i="22"/>
  <c r="R1221" i="4" s="1"/>
  <c r="C252" i="22"/>
  <c r="R252" i="4" s="1"/>
  <c r="C156" i="22"/>
  <c r="R155" i="4" s="1"/>
  <c r="C919" i="22"/>
  <c r="R926" i="4" s="1"/>
  <c r="C84" i="22"/>
  <c r="R83" i="4" s="1"/>
  <c r="C307" i="22"/>
  <c r="R307" i="4" s="1"/>
  <c r="C275" i="22"/>
  <c r="R275" i="4" s="1"/>
  <c r="C243" i="22"/>
  <c r="R243" i="4" s="1"/>
  <c r="C258" i="22"/>
  <c r="R258" i="4" s="1"/>
  <c r="C202" i="22"/>
  <c r="R202" i="4" s="1"/>
  <c r="C305" i="22"/>
  <c r="R305" i="4" s="1"/>
  <c r="C241" i="22"/>
  <c r="R241" i="4" s="1"/>
  <c r="C177" i="22"/>
  <c r="R176" i="4" s="1"/>
  <c r="C145" i="22"/>
  <c r="R144" i="4" s="1"/>
  <c r="C247" i="22"/>
  <c r="R247" i="4" s="1"/>
  <c r="C264" i="22"/>
  <c r="R264" i="4" s="1"/>
  <c r="C232" i="22"/>
  <c r="R232" i="4" s="1"/>
  <c r="C200" i="22"/>
  <c r="R200" i="4" s="1"/>
  <c r="C103" i="22"/>
  <c r="R102" i="4" s="1"/>
  <c r="C167" i="22"/>
  <c r="R166" i="4" s="1"/>
  <c r="C222" i="22"/>
  <c r="R222" i="4" s="1"/>
  <c r="C309" i="22"/>
  <c r="R309" i="4" s="1"/>
  <c r="C277" i="22"/>
  <c r="R277" i="4" s="1"/>
  <c r="C181" i="22"/>
  <c r="R180" i="4" s="1"/>
  <c r="C149" i="22"/>
  <c r="R148" i="4" s="1"/>
  <c r="C121" i="22"/>
  <c r="R120" i="4" s="1"/>
  <c r="C1187" i="22"/>
  <c r="R1197" i="4" s="1"/>
  <c r="C104" i="22"/>
  <c r="R103" i="4" s="1"/>
  <c r="C159" i="22"/>
  <c r="R158" i="4" s="1"/>
  <c r="C246" i="22"/>
  <c r="R246" i="4" s="1"/>
  <c r="C300" i="22"/>
  <c r="R300" i="4" s="1"/>
  <c r="C220" i="22"/>
  <c r="R220" i="4" s="1"/>
  <c r="C123" i="22"/>
  <c r="R122" i="4" s="1"/>
  <c r="C212" i="22"/>
  <c r="R212" i="4" s="1"/>
  <c r="C134" i="22"/>
  <c r="R133" i="4" s="1"/>
  <c r="C117" i="22"/>
  <c r="R116" i="4" s="1"/>
  <c r="C308" i="22"/>
  <c r="R308" i="4" s="1"/>
  <c r="C1502" i="22"/>
  <c r="R1512" i="4" s="1"/>
  <c r="C108" i="22"/>
  <c r="R107" i="4" s="1"/>
  <c r="C72" i="22"/>
  <c r="R72" i="4" s="1"/>
  <c r="C299" i="22"/>
  <c r="R299" i="4" s="1"/>
  <c r="C267" i="22"/>
  <c r="R267" i="4" s="1"/>
  <c r="C235" i="22"/>
  <c r="R235" i="4" s="1"/>
  <c r="C138" i="22"/>
  <c r="R137" i="4" s="1"/>
  <c r="C98" i="22"/>
  <c r="R97" i="4" s="1"/>
  <c r="C306" i="22"/>
  <c r="R306" i="4" s="1"/>
  <c r="C242" i="22"/>
  <c r="R242" i="4" s="1"/>
  <c r="C298" i="22"/>
  <c r="R298" i="4" s="1"/>
  <c r="C234" i="22"/>
  <c r="R234" i="4" s="1"/>
  <c r="C293" i="22"/>
  <c r="R293" i="4" s="1"/>
  <c r="C120" i="22"/>
  <c r="R119" i="4" s="1"/>
  <c r="C251" i="22"/>
  <c r="R251" i="4" s="1"/>
  <c r="C185" i="22"/>
  <c r="C166" i="22"/>
  <c r="R165" i="4" s="1"/>
  <c r="C297" i="22"/>
  <c r="R297" i="4" s="1"/>
  <c r="C125" i="22"/>
  <c r="R124" i="4" s="1"/>
  <c r="C224" i="22"/>
  <c r="R224" i="4" s="1"/>
  <c r="C192" i="22"/>
  <c r="R192" i="4" s="1"/>
  <c r="C127" i="22"/>
  <c r="R126" i="4" s="1"/>
  <c r="C95" i="22"/>
  <c r="R94" i="4" s="1"/>
  <c r="C190" i="22"/>
  <c r="R190" i="4" s="1"/>
  <c r="C239" i="22"/>
  <c r="R239" i="4" s="1"/>
  <c r="C198" i="22"/>
  <c r="R198" i="4" s="1"/>
  <c r="C301" i="22"/>
  <c r="R301" i="4" s="1"/>
  <c r="C173" i="22"/>
  <c r="R172" i="4" s="1"/>
  <c r="C140" i="22"/>
  <c r="R139" i="4" s="1"/>
  <c r="C170" i="22"/>
  <c r="R169" i="4" s="1"/>
  <c r="C146" i="22"/>
  <c r="R145" i="4" s="1"/>
  <c r="C128" i="22"/>
  <c r="R127" i="4" s="1"/>
  <c r="C96" i="22"/>
  <c r="R95" i="4" s="1"/>
  <c r="C142" i="22"/>
  <c r="R141" i="4" s="1"/>
  <c r="C133" i="22"/>
  <c r="R132" i="4" s="1"/>
  <c r="C164" i="22"/>
  <c r="R163" i="4" s="1"/>
  <c r="C110" i="22"/>
  <c r="R109" i="4" s="1"/>
  <c r="C174" i="22"/>
  <c r="R173" i="4" s="1"/>
  <c r="C85" i="22"/>
  <c r="R84" i="4" s="1"/>
  <c r="C292" i="22"/>
  <c r="R292" i="4" s="1"/>
  <c r="C107" i="22"/>
  <c r="R106" i="4" s="1"/>
  <c r="C100" i="22"/>
  <c r="R99" i="4" s="1"/>
  <c r="C130" i="22"/>
  <c r="R129" i="4" s="1"/>
  <c r="C90" i="22"/>
  <c r="R89" i="4" s="1"/>
  <c r="C226" i="22"/>
  <c r="R226" i="4" s="1"/>
  <c r="E21" i="6"/>
  <c r="E20" i="6"/>
  <c r="E13" i="6"/>
  <c r="E55" i="6"/>
  <c r="E54" i="6"/>
  <c r="E43" i="6"/>
  <c r="E44" i="6"/>
  <c r="E42" i="6"/>
  <c r="E39" i="6"/>
  <c r="F60" i="6"/>
  <c r="F63" i="6"/>
  <c r="F14" i="6"/>
  <c r="F43" i="6"/>
  <c r="F44" i="6"/>
  <c r="F13" i="6"/>
  <c r="F45" i="6"/>
  <c r="F16" i="6"/>
  <c r="F46" i="6"/>
  <c r="F42" i="6"/>
  <c r="F39" i="6"/>
  <c r="D22" i="20" a="1"/>
  <c r="D22" i="20" s="1"/>
  <c r="D18" i="20" a="1"/>
  <c r="D18" i="20" s="1"/>
  <c r="D14" i="20" a="1"/>
  <c r="D14" i="20" s="1"/>
  <c r="D24" i="20" a="1"/>
  <c r="D24" i="20" s="1"/>
  <c r="D23" i="20" s="1"/>
  <c r="D32" i="20" a="1"/>
  <c r="D32" i="20" s="1"/>
  <c r="D30" i="20" a="1"/>
  <c r="D30" i="20" s="1"/>
  <c r="D34" i="20" a="1"/>
  <c r="D34" i="20" s="1"/>
  <c r="D33" i="20" a="1"/>
  <c r="D33" i="20" s="1"/>
  <c r="D16" i="20" a="1"/>
  <c r="D16" i="20" s="1"/>
  <c r="H1772" i="4"/>
  <c r="C282" i="22"/>
  <c r="R282" i="4" s="1"/>
  <c r="C204" i="22"/>
  <c r="R204" i="4" s="1"/>
  <c r="C111" i="22"/>
  <c r="R110" i="4" s="1"/>
  <c r="C253" i="22"/>
  <c r="R253" i="4" s="1"/>
  <c r="C214" i="22"/>
  <c r="R214" i="4" s="1"/>
  <c r="C233" i="22"/>
  <c r="R233" i="4" s="1"/>
  <c r="C228" i="22"/>
  <c r="R228" i="4" s="1"/>
  <c r="C284" i="22"/>
  <c r="R284" i="4" s="1"/>
  <c r="C269" i="22"/>
  <c r="R269" i="4" s="1"/>
  <c r="C207" i="22"/>
  <c r="R207" i="4" s="1"/>
  <c r="C266" i="22"/>
  <c r="R266" i="4" s="1"/>
  <c r="F37" i="6"/>
  <c r="E70" i="6"/>
  <c r="H32" i="20"/>
  <c r="H37" i="20"/>
  <c r="I37" i="20"/>
  <c r="C337" i="22"/>
  <c r="R337" i="4" s="1"/>
  <c r="C329" i="22"/>
  <c r="R329" i="4" s="1"/>
  <c r="C326" i="22"/>
  <c r="R326" i="4" s="1"/>
  <c r="C316" i="22"/>
  <c r="R316" i="4" s="1"/>
  <c r="C314" i="22"/>
  <c r="R314" i="4" s="1"/>
  <c r="C340" i="22"/>
  <c r="R340" i="4" s="1"/>
  <c r="C338" i="22"/>
  <c r="R338" i="4" s="1"/>
  <c r="C332" i="22"/>
  <c r="R332" i="4" s="1"/>
  <c r="C325" i="22"/>
  <c r="R325" i="4" s="1"/>
  <c r="C330" i="22"/>
  <c r="R330" i="4" s="1"/>
  <c r="C22" i="22"/>
  <c r="R22" i="4" s="1"/>
  <c r="C116" i="22"/>
  <c r="R115" i="4" s="1"/>
  <c r="I28" i="20"/>
  <c r="H28" i="20"/>
  <c r="H24" i="20"/>
  <c r="C288" i="22"/>
  <c r="R288" i="4" s="1"/>
  <c r="C281" i="22"/>
  <c r="R281" i="4" s="1"/>
  <c r="C102" i="22"/>
  <c r="R101" i="4" s="1"/>
  <c r="C203" i="22"/>
  <c r="R203" i="4" s="1"/>
  <c r="C147" i="22"/>
  <c r="R146" i="4" s="1"/>
  <c r="C136" i="22"/>
  <c r="R135" i="4" s="1"/>
  <c r="C186" i="22"/>
  <c r="R185" i="4" s="1"/>
  <c r="C211" i="22"/>
  <c r="R211" i="4" s="1"/>
  <c r="E37" i="6"/>
  <c r="E62" i="6"/>
  <c r="F62" i="6"/>
  <c r="F31" i="6"/>
  <c r="G63" i="22"/>
  <c r="AB63" i="22" s="1"/>
  <c r="F41" i="4"/>
  <c r="J41" i="4" s="1"/>
  <c r="E18" i="6"/>
  <c r="E17" i="6" s="1"/>
  <c r="E59" i="6"/>
  <c r="G77" i="22"/>
  <c r="AA21" i="22"/>
  <c r="F55" i="6"/>
  <c r="I26" i="20"/>
  <c r="I19" i="20"/>
  <c r="I27" i="20"/>
  <c r="E66" i="6"/>
  <c r="E65" i="6" s="1"/>
  <c r="E14" i="6"/>
  <c r="E31" i="6"/>
  <c r="E29" i="6"/>
  <c r="E48" i="6"/>
  <c r="E26" i="6"/>
  <c r="E25" i="6"/>
  <c r="E47" i="6"/>
  <c r="E30" i="6"/>
  <c r="E46" i="6"/>
  <c r="E23" i="6"/>
  <c r="E16" i="6"/>
  <c r="E15" i="6" s="1"/>
  <c r="E45" i="6"/>
  <c r="F54" i="6"/>
  <c r="F47" i="6"/>
  <c r="F48" i="6"/>
  <c r="F49" i="6"/>
  <c r="F30" i="6"/>
  <c r="F29" i="6"/>
  <c r="F18" i="6"/>
  <c r="F17" i="6" s="1"/>
  <c r="F25" i="6"/>
  <c r="F20" i="6"/>
  <c r="F21" i="6"/>
  <c r="F26" i="6"/>
  <c r="F24" i="6"/>
  <c r="G25" i="6" s="1"/>
  <c r="F23" i="6"/>
  <c r="C257" i="22"/>
  <c r="R257" i="4" s="1"/>
  <c r="C80" i="22"/>
  <c r="R79" i="4" s="1"/>
  <c r="C25" i="22"/>
  <c r="R25" i="4" s="1"/>
  <c r="C319" i="22"/>
  <c r="R319" i="4" s="1"/>
  <c r="C187" i="22"/>
  <c r="R186" i="4" s="1"/>
  <c r="C184" i="22"/>
  <c r="R183" i="4" s="1"/>
  <c r="C38" i="22"/>
  <c r="G38" i="22" s="1"/>
  <c r="E21" i="20" a="1"/>
  <c r="E21" i="20" s="1"/>
  <c r="E14" i="20" a="1"/>
  <c r="E14" i="20" s="1"/>
  <c r="C218" i="22"/>
  <c r="R218" i="4" s="1"/>
  <c r="C64" i="22"/>
  <c r="R64" i="4" s="1"/>
  <c r="C265" i="22"/>
  <c r="R265" i="4" s="1"/>
  <c r="C39" i="22"/>
  <c r="G39" i="22" s="1"/>
  <c r="C24" i="22"/>
  <c r="G24" i="22" s="1"/>
  <c r="C260" i="22"/>
  <c r="R260" i="4" s="1"/>
  <c r="C318" i="22"/>
  <c r="R318" i="4" s="1"/>
  <c r="C287" i="22"/>
  <c r="R287" i="4" s="1"/>
  <c r="C97" i="22"/>
  <c r="R96" i="4" s="1"/>
  <c r="C321" i="22"/>
  <c r="R321" i="4" s="1"/>
  <c r="C290" i="22"/>
  <c r="R290" i="4" s="1"/>
  <c r="E18" i="20" a="1"/>
  <c r="E18" i="20" s="1"/>
  <c r="C112" i="22"/>
  <c r="R111" i="4" s="1"/>
  <c r="C79" i="22"/>
  <c r="R78" i="4" s="1"/>
  <c r="C213" i="22"/>
  <c r="R213" i="4" s="1"/>
  <c r="C29" i="22"/>
  <c r="R29" i="4" s="1"/>
  <c r="C115" i="22"/>
  <c r="R114" i="4" s="1"/>
  <c r="C322" i="22"/>
  <c r="R322" i="4" s="1"/>
  <c r="C291" i="22"/>
  <c r="R291" i="4" s="1"/>
  <c r="C227" i="22"/>
  <c r="R227" i="4" s="1"/>
  <c r="C217" i="22"/>
  <c r="R217" i="4" s="1"/>
  <c r="C327" i="22"/>
  <c r="R327" i="4" s="1"/>
  <c r="C296" i="22"/>
  <c r="R296" i="4" s="1"/>
  <c r="I25" i="20"/>
  <c r="H25" i="20"/>
  <c r="I18" i="20"/>
  <c r="F895" i="10" s="1"/>
  <c r="I31" i="20"/>
  <c r="F952" i="10" s="1"/>
  <c r="H18" i="20"/>
  <c r="H17" i="20"/>
  <c r="H19" i="20"/>
  <c r="I17" i="20"/>
  <c r="F883" i="10" s="1"/>
  <c r="I21" i="20"/>
  <c r="F919" i="10" s="1"/>
  <c r="H21" i="20"/>
  <c r="H20" i="20" s="1"/>
  <c r="H27" i="20"/>
  <c r="H26" i="20"/>
  <c r="I32" i="20"/>
  <c r="F964" i="10" s="1"/>
  <c r="E30" i="20" a="1"/>
  <c r="E30" i="20" s="1"/>
  <c r="E32" i="20" a="1"/>
  <c r="E32" i="20" s="1"/>
  <c r="E34" i="20" a="1"/>
  <c r="E34" i="20" s="1"/>
  <c r="E22" i="20" a="1"/>
  <c r="E22" i="20" s="1"/>
  <c r="E33" i="20" a="1"/>
  <c r="E33" i="20" s="1"/>
  <c r="E16" i="20" a="1"/>
  <c r="E16" i="20" s="1"/>
  <c r="E24" i="20" a="1"/>
  <c r="E24" i="20" s="1"/>
  <c r="E23" i="20" s="1"/>
  <c r="F854" i="10" s="1"/>
  <c r="E20" i="20" a="1"/>
  <c r="E20" i="20" s="1"/>
  <c r="E29" i="20" a="1"/>
  <c r="E29" i="20" s="1"/>
  <c r="J1772" i="4"/>
  <c r="D979" i="10" s="1"/>
  <c r="J1776" i="4"/>
  <c r="J1771" i="4"/>
  <c r="P1771" i="4" s="1"/>
  <c r="H1775" i="4"/>
  <c r="G1776" i="4"/>
  <c r="G1772" i="4"/>
  <c r="E973" i="10" l="1"/>
  <c r="G973" i="10" s="1"/>
  <c r="L17" i="23"/>
  <c r="D951" i="10"/>
  <c r="J868" i="10"/>
  <c r="D1059" i="10"/>
  <c r="F1059" i="10" s="1"/>
  <c r="F991" i="10"/>
  <c r="R136" i="4"/>
  <c r="G137" i="22"/>
  <c r="E1184" i="10"/>
  <c r="G1184" i="10" s="1"/>
  <c r="D1184" i="10"/>
  <c r="F1184" i="10" s="1"/>
  <c r="F990" i="10"/>
  <c r="I317" i="10"/>
  <c r="R812" i="4"/>
  <c r="D19" i="20"/>
  <c r="F835" i="10" s="1"/>
  <c r="E301" i="10"/>
  <c r="D853" i="10"/>
  <c r="F853" i="10" s="1"/>
  <c r="G805" i="22"/>
  <c r="I805" i="22" s="1"/>
  <c r="AA805" i="22" s="1"/>
  <c r="F882" i="10"/>
  <c r="D1041" i="10"/>
  <c r="F1041" i="10" s="1"/>
  <c r="G1777" i="4"/>
  <c r="K1777" i="4"/>
  <c r="AB806" i="22"/>
  <c r="I906" i="10"/>
  <c r="K906" i="10" s="1"/>
  <c r="K799" i="10"/>
  <c r="I301" i="10"/>
  <c r="G1059" i="10"/>
  <c r="G329" i="10"/>
  <c r="G335" i="10" s="1"/>
  <c r="G336" i="10" s="1"/>
  <c r="E1139" i="10"/>
  <c r="G1139" i="10" s="1"/>
  <c r="E1218" i="10"/>
  <c r="E1212" i="10"/>
  <c r="G1108" i="10"/>
  <c r="E1091" i="10"/>
  <c r="E1126" i="10"/>
  <c r="G1126" i="10" s="1"/>
  <c r="G1195" i="10"/>
  <c r="E1041" i="10"/>
  <c r="H866" i="10"/>
  <c r="J866" i="10" s="1"/>
  <c r="G1201" i="10"/>
  <c r="G1145" i="10"/>
  <c r="D963" i="10"/>
  <c r="F963" i="10" s="1"/>
  <c r="D1201" i="10"/>
  <c r="F1201" i="10" s="1"/>
  <c r="D1212" i="10"/>
  <c r="D1219" i="10" s="1"/>
  <c r="D1091" i="10"/>
  <c r="G870" i="10"/>
  <c r="J870" i="10" s="1"/>
  <c r="D918" i="10"/>
  <c r="F918" i="10" s="1"/>
  <c r="D1108" i="10"/>
  <c r="F1108" i="10" s="1"/>
  <c r="J906" i="10"/>
  <c r="E317" i="10"/>
  <c r="E321" i="10" s="1"/>
  <c r="D1139" i="10"/>
  <c r="F1139" i="10" s="1"/>
  <c r="G280" i="10"/>
  <c r="G301" i="10" s="1"/>
  <c r="E329" i="10"/>
  <c r="E335" i="10" s="1"/>
  <c r="E336" i="10" s="1"/>
  <c r="D1126" i="10"/>
  <c r="F1126" i="10" s="1"/>
  <c r="G974" i="10"/>
  <c r="F975" i="10"/>
  <c r="G975" i="10" s="1"/>
  <c r="D1195" i="10"/>
  <c r="F1195" i="10" s="1"/>
  <c r="F894" i="10"/>
  <c r="D1145" i="10"/>
  <c r="F1145" i="10" s="1"/>
  <c r="G317" i="10"/>
  <c r="G34" i="22"/>
  <c r="AA34" i="22" s="1"/>
  <c r="R27" i="4"/>
  <c r="R6" i="4"/>
  <c r="G1505" i="22"/>
  <c r="L1505" i="22" s="1"/>
  <c r="AA1505" i="22" s="1"/>
  <c r="R1515" i="4"/>
  <c r="R187" i="4"/>
  <c r="R184" i="4"/>
  <c r="H48" i="16"/>
  <c r="H39" i="16"/>
  <c r="I48" i="16"/>
  <c r="I39" i="16"/>
  <c r="H47" i="16"/>
  <c r="H38" i="16"/>
  <c r="H45" i="16"/>
  <c r="H36" i="16"/>
  <c r="I47" i="16"/>
  <c r="I38" i="16"/>
  <c r="I45" i="16"/>
  <c r="I36" i="16"/>
  <c r="J1777" i="4"/>
  <c r="R69" i="4"/>
  <c r="AB668" i="22"/>
  <c r="AA66" i="22"/>
  <c r="AB66" i="22"/>
  <c r="G285" i="22"/>
  <c r="G664" i="22"/>
  <c r="G1189" i="22"/>
  <c r="G186" i="22"/>
  <c r="G665" i="22"/>
  <c r="G1192" i="22"/>
  <c r="R71" i="4"/>
  <c r="G205" i="22"/>
  <c r="G1197" i="22"/>
  <c r="G206" i="22"/>
  <c r="G1190" i="22"/>
  <c r="G1198" i="22"/>
  <c r="G872" i="22"/>
  <c r="G1188" i="22"/>
  <c r="T1188" i="22" s="1"/>
  <c r="G1193" i="22"/>
  <c r="G666" i="22"/>
  <c r="G1191" i="22"/>
  <c r="G667" i="22"/>
  <c r="G1196" i="22"/>
  <c r="G1186" i="22"/>
  <c r="G1502" i="22"/>
  <c r="G1504" i="22"/>
  <c r="G1503" i="22"/>
  <c r="G1501" i="22"/>
  <c r="G1500" i="22"/>
  <c r="R34" i="4"/>
  <c r="R24" i="4"/>
  <c r="R38" i="4"/>
  <c r="G10" i="22"/>
  <c r="AA10" i="22" s="1"/>
  <c r="R10" i="4"/>
  <c r="G9" i="22"/>
  <c r="AA9" i="22" s="1"/>
  <c r="R9" i="4"/>
  <c r="R20" i="4"/>
  <c r="R36" i="4"/>
  <c r="R33" i="4"/>
  <c r="R16" i="4"/>
  <c r="R19" i="4"/>
  <c r="R67" i="4"/>
  <c r="R39" i="4"/>
  <c r="R66" i="4"/>
  <c r="G20" i="22"/>
  <c r="AA20" i="22" s="1"/>
  <c r="R31" i="4"/>
  <c r="R28" i="4"/>
  <c r="G7" i="22"/>
  <c r="AA7" i="22" s="1"/>
  <c r="R7" i="4"/>
  <c r="R18" i="4"/>
  <c r="G8" i="22"/>
  <c r="AA8" i="22" s="1"/>
  <c r="R8" i="4"/>
  <c r="G14" i="22"/>
  <c r="AA14" i="22" s="1"/>
  <c r="R14" i="4"/>
  <c r="R17" i="4"/>
  <c r="R35" i="4"/>
  <c r="G13" i="22"/>
  <c r="AA13" i="22" s="1"/>
  <c r="R13" i="4"/>
  <c r="G12" i="22"/>
  <c r="AA12" i="22" s="1"/>
  <c r="R12" i="4"/>
  <c r="R23" i="4"/>
  <c r="R37" i="4"/>
  <c r="R15" i="4"/>
  <c r="R30" i="4"/>
  <c r="R40" i="4"/>
  <c r="G19" i="22"/>
  <c r="AA19" i="22" s="1"/>
  <c r="R11" i="4"/>
  <c r="R68" i="4"/>
  <c r="R70" i="4"/>
  <c r="G6" i="22"/>
  <c r="AA6" i="22" s="1"/>
  <c r="G20" i="23"/>
  <c r="G22" i="23" s="1"/>
  <c r="J16" i="23"/>
  <c r="K16" i="23" s="1"/>
  <c r="L16" i="23" s="1"/>
  <c r="L18" i="23"/>
  <c r="F20" i="23"/>
  <c r="F22" i="23" s="1"/>
  <c r="H11" i="20"/>
  <c r="L596" i="10" s="1"/>
  <c r="I11" i="20"/>
  <c r="L597" i="10" s="1"/>
  <c r="I20" i="20"/>
  <c r="F42" i="22"/>
  <c r="F68" i="22"/>
  <c r="F75" i="22"/>
  <c r="O68" i="4"/>
  <c r="G41" i="4"/>
  <c r="D12" i="20" s="1" a="1"/>
  <c r="D12" i="20" s="1"/>
  <c r="H41" i="4"/>
  <c r="G279" i="22"/>
  <c r="K41" i="4"/>
  <c r="G271" i="22"/>
  <c r="G176" i="22"/>
  <c r="D28" i="20"/>
  <c r="K605" i="10" s="1"/>
  <c r="G81" i="22"/>
  <c r="G78" i="22"/>
  <c r="G76" i="22"/>
  <c r="L1510" i="4"/>
  <c r="C65" i="22"/>
  <c r="O65" i="4"/>
  <c r="C67" i="22"/>
  <c r="G67" i="22" s="1"/>
  <c r="O67" i="4"/>
  <c r="L1511" i="4"/>
  <c r="F21" i="32"/>
  <c r="G21" i="32" s="1"/>
  <c r="O42" i="4"/>
  <c r="C74" i="22"/>
  <c r="F31" i="32"/>
  <c r="G31" i="32" s="1"/>
  <c r="G197" i="22"/>
  <c r="G22" i="22"/>
  <c r="AA22" i="22" s="1"/>
  <c r="G296" i="22"/>
  <c r="G306" i="22"/>
  <c r="G80" i="22"/>
  <c r="G269" i="22"/>
  <c r="G263" i="22"/>
  <c r="G181" i="22"/>
  <c r="G253" i="22"/>
  <c r="G284" i="22"/>
  <c r="G128" i="22"/>
  <c r="G136" i="22"/>
  <c r="G101" i="22"/>
  <c r="G105" i="22"/>
  <c r="G258" i="22"/>
  <c r="G247" i="22"/>
  <c r="G289" i="22"/>
  <c r="G231" i="22"/>
  <c r="G133" i="22"/>
  <c r="G304" i="22"/>
  <c r="G207" i="22"/>
  <c r="G202" i="22"/>
  <c r="G233" i="22"/>
  <c r="G198" i="22"/>
  <c r="G96" i="22"/>
  <c r="G239" i="22"/>
  <c r="G242" i="22"/>
  <c r="G300" i="22"/>
  <c r="G179" i="22"/>
  <c r="G73" i="22"/>
  <c r="G92" i="22"/>
  <c r="G262" i="22"/>
  <c r="G168" i="22"/>
  <c r="G155" i="22"/>
  <c r="G245" i="22"/>
  <c r="G146" i="22"/>
  <c r="G95" i="22"/>
  <c r="G98" i="22"/>
  <c r="G145" i="22"/>
  <c r="G275" i="22"/>
  <c r="G224" i="22"/>
  <c r="G93" i="22"/>
  <c r="G79" i="22"/>
  <c r="G301" i="22"/>
  <c r="G125" i="22"/>
  <c r="G152" i="22"/>
  <c r="G274" i="22"/>
  <c r="G161" i="22"/>
  <c r="G291" i="22"/>
  <c r="G214" i="22"/>
  <c r="G277" i="22"/>
  <c r="G264" i="22"/>
  <c r="G309" i="22"/>
  <c r="G249" i="22"/>
  <c r="G115" i="22"/>
  <c r="G97" i="22"/>
  <c r="G111" i="22"/>
  <c r="G159" i="22"/>
  <c r="G222" i="22"/>
  <c r="G213" i="22"/>
  <c r="G318" i="22"/>
  <c r="G25" i="22"/>
  <c r="AA25" i="22" s="1"/>
  <c r="G200" i="22"/>
  <c r="G156" i="22"/>
  <c r="G230" i="22"/>
  <c r="G281" i="22"/>
  <c r="G166" i="22"/>
  <c r="G108" i="22"/>
  <c r="G219" i="22"/>
  <c r="G310" i="22"/>
  <c r="G292" i="22"/>
  <c r="G190" i="22"/>
  <c r="G243" i="22"/>
  <c r="G217" i="22"/>
  <c r="G147" i="22"/>
  <c r="G226" i="22"/>
  <c r="G227" i="22"/>
  <c r="G211" i="22"/>
  <c r="G64" i="22"/>
  <c r="G266" i="22"/>
  <c r="G228" i="22"/>
  <c r="G259" i="22"/>
  <c r="G218" i="22"/>
  <c r="G256" i="22"/>
  <c r="G100" i="22"/>
  <c r="G72" i="22"/>
  <c r="G244" i="22"/>
  <c r="G144" i="22"/>
  <c r="G82" i="22"/>
  <c r="G91" i="22"/>
  <c r="G278" i="22"/>
  <c r="G83" i="22"/>
  <c r="G255" i="22"/>
  <c r="G295" i="22"/>
  <c r="G99" i="22"/>
  <c r="G286" i="22"/>
  <c r="G294" i="22"/>
  <c r="G118" i="22"/>
  <c r="G229" i="22"/>
  <c r="G250" i="22"/>
  <c r="G85" i="22"/>
  <c r="G158" i="22"/>
  <c r="G86" i="22"/>
  <c r="G140" i="22"/>
  <c r="G192" i="22"/>
  <c r="G160" i="22"/>
  <c r="G87" i="22"/>
  <c r="G117" i="22"/>
  <c r="G130" i="22"/>
  <c r="G164" i="22"/>
  <c r="G173" i="22"/>
  <c r="G103" i="22"/>
  <c r="G209" i="22"/>
  <c r="G124" i="22"/>
  <c r="G119" i="22"/>
  <c r="G221" i="22"/>
  <c r="G290" i="22"/>
  <c r="G237" i="22"/>
  <c r="G195" i="22"/>
  <c r="G139" i="22"/>
  <c r="G107" i="22"/>
  <c r="G102" i="22"/>
  <c r="G234" i="22"/>
  <c r="G299" i="22"/>
  <c r="G123" i="22"/>
  <c r="G149" i="22"/>
  <c r="G305" i="22"/>
  <c r="G178" i="22"/>
  <c r="G129" i="22"/>
  <c r="G131" i="22"/>
  <c r="G29" i="22"/>
  <c r="AA29" i="22" s="1"/>
  <c r="G287" i="22"/>
  <c r="G257" i="22"/>
  <c r="G116" i="22"/>
  <c r="G142" i="22"/>
  <c r="G297" i="22"/>
  <c r="AA297" i="22" s="1"/>
  <c r="G298" i="22"/>
  <c r="G220" i="22"/>
  <c r="G232" i="22"/>
  <c r="G252" i="22"/>
  <c r="G153" i="22"/>
  <c r="G194" i="22"/>
  <c r="G69" i="22"/>
  <c r="G141" i="22"/>
  <c r="L141" i="22" s="1"/>
  <c r="G191" i="22"/>
  <c r="G210" i="22"/>
  <c r="G199" i="22"/>
  <c r="G89" i="22"/>
  <c r="G150" i="22"/>
  <c r="G135" i="22"/>
  <c r="G163" i="22"/>
  <c r="G270" i="22"/>
  <c r="G1195" i="22"/>
  <c r="G61" i="22"/>
  <c r="H77" i="22"/>
  <c r="AB77" i="22" s="1"/>
  <c r="G646" i="22"/>
  <c r="G246" i="22"/>
  <c r="G88" i="22"/>
  <c r="G223" i="22"/>
  <c r="G236" i="22"/>
  <c r="G70" i="22"/>
  <c r="G165" i="22"/>
  <c r="G175" i="22"/>
  <c r="G122" i="22"/>
  <c r="G280" i="22"/>
  <c r="G169" i="22"/>
  <c r="G148" i="22"/>
  <c r="G1211" i="22"/>
  <c r="G132" i="22"/>
  <c r="G154" i="22"/>
  <c r="G288" i="22"/>
  <c r="G314" i="22"/>
  <c r="G204" i="22"/>
  <c r="G174" i="22"/>
  <c r="G170" i="22"/>
  <c r="G127" i="22"/>
  <c r="G251" i="22"/>
  <c r="G138" i="22"/>
  <c r="G104" i="22"/>
  <c r="G177" i="22"/>
  <c r="G307" i="22"/>
  <c r="G94" i="22"/>
  <c r="G162" i="22"/>
  <c r="G106" i="22"/>
  <c r="G276" i="22"/>
  <c r="G151" i="22"/>
  <c r="G180" i="22"/>
  <c r="G171" i="22"/>
  <c r="G201" i="22"/>
  <c r="G261" i="22"/>
  <c r="G302" i="22"/>
  <c r="G172" i="22"/>
  <c r="G189" i="22"/>
  <c r="G1194" i="22"/>
  <c r="G193" i="22"/>
  <c r="G254" i="22"/>
  <c r="G112" i="22"/>
  <c r="G184" i="22"/>
  <c r="G308" i="22"/>
  <c r="G187" i="22"/>
  <c r="G265" i="22"/>
  <c r="AA63" i="22"/>
  <c r="G203" i="22"/>
  <c r="G330" i="22"/>
  <c r="G338" i="22"/>
  <c r="AA338" i="22" s="1"/>
  <c r="G316" i="22"/>
  <c r="G282" i="22"/>
  <c r="G90" i="22"/>
  <c r="G110" i="22"/>
  <c r="G120" i="22"/>
  <c r="G235" i="22"/>
  <c r="G134" i="22"/>
  <c r="G1187" i="22"/>
  <c r="G167" i="22"/>
  <c r="G241" i="22"/>
  <c r="G84" i="22"/>
  <c r="G183" i="22"/>
  <c r="G188" i="22"/>
  <c r="G215" i="22"/>
  <c r="G182" i="22"/>
  <c r="G126" i="22"/>
  <c r="G216" i="22"/>
  <c r="G157" i="22"/>
  <c r="G272" i="22"/>
  <c r="G208" i="22"/>
  <c r="G109" i="22"/>
  <c r="G311" i="22"/>
  <c r="G260" i="22"/>
  <c r="G185" i="22"/>
  <c r="G283" i="22"/>
  <c r="G322" i="22"/>
  <c r="G293" i="22"/>
  <c r="G267" i="22"/>
  <c r="G212" i="22"/>
  <c r="G121" i="22"/>
  <c r="G273" i="22"/>
  <c r="G268" i="22"/>
  <c r="G225" i="22"/>
  <c r="G196" i="22"/>
  <c r="G248" i="22"/>
  <c r="G71" i="22"/>
  <c r="G240" i="22"/>
  <c r="G303" i="22"/>
  <c r="G238" i="22"/>
  <c r="L1514" i="4"/>
  <c r="L1512" i="4"/>
  <c r="L1513" i="4"/>
  <c r="C75" i="22"/>
  <c r="C68" i="22"/>
  <c r="AA38" i="22"/>
  <c r="AA24" i="22"/>
  <c r="AA39" i="22"/>
  <c r="E12" i="6"/>
  <c r="E10" i="6" s="1"/>
  <c r="F61" i="6"/>
  <c r="E61" i="6"/>
  <c r="F15" i="6"/>
  <c r="C334" i="22"/>
  <c r="R334" i="4" s="1"/>
  <c r="C313" i="22"/>
  <c r="R313" i="4" s="1"/>
  <c r="C333" i="22"/>
  <c r="R333" i="4" s="1"/>
  <c r="C336" i="22"/>
  <c r="R336" i="4" s="1"/>
  <c r="G327" i="22"/>
  <c r="G340" i="22"/>
  <c r="G337" i="22"/>
  <c r="C324" i="22"/>
  <c r="R324" i="4" s="1"/>
  <c r="C315" i="22"/>
  <c r="R315" i="4" s="1"/>
  <c r="G319" i="22"/>
  <c r="F317" i="4"/>
  <c r="J317" i="4" s="1"/>
  <c r="C342" i="22"/>
  <c r="R342" i="4" s="1"/>
  <c r="G321" i="22"/>
  <c r="C331" i="22"/>
  <c r="R331" i="4" s="1"/>
  <c r="C335" i="22"/>
  <c r="R335" i="4" s="1"/>
  <c r="G332" i="22"/>
  <c r="G326" i="22"/>
  <c r="C339" i="22"/>
  <c r="R339" i="4" s="1"/>
  <c r="C341" i="22"/>
  <c r="R341" i="4" s="1"/>
  <c r="G325" i="22"/>
  <c r="C328" i="22"/>
  <c r="R328" i="4" s="1"/>
  <c r="C408" i="22"/>
  <c r="R408" i="4" s="1"/>
  <c r="G329" i="22"/>
  <c r="AB329" i="22" s="1"/>
  <c r="C447" i="22"/>
  <c r="R447" i="4" s="1"/>
  <c r="C659" i="22"/>
  <c r="R662" i="4" s="1"/>
  <c r="C355" i="22"/>
  <c r="R355" i="4" s="1"/>
  <c r="C967" i="22"/>
  <c r="R976" i="4" s="1"/>
  <c r="C1041" i="22"/>
  <c r="R1050" i="4" s="1"/>
  <c r="C1167" i="22"/>
  <c r="R1177" i="4" s="1"/>
  <c r="D485" i="22"/>
  <c r="G485" i="22" s="1"/>
  <c r="C1201" i="22"/>
  <c r="R1211" i="4" s="1"/>
  <c r="C1128" i="22"/>
  <c r="R1137" i="4" s="1"/>
  <c r="C708" i="22"/>
  <c r="R712" i="4" s="1"/>
  <c r="C1130" i="22"/>
  <c r="R1139" i="4" s="1"/>
  <c r="C552" i="22"/>
  <c r="R554" i="4" s="1"/>
  <c r="C460" i="22"/>
  <c r="R460" i="4" s="1"/>
  <c r="C903" i="22"/>
  <c r="R910" i="4" s="1"/>
  <c r="C674" i="22"/>
  <c r="R677" i="4" s="1"/>
  <c r="C418" i="22"/>
  <c r="R418" i="4" s="1"/>
  <c r="C946" i="22"/>
  <c r="R955" i="4" s="1"/>
  <c r="C455" i="22"/>
  <c r="R455" i="4" s="1"/>
  <c r="F902" i="22"/>
  <c r="C937" i="22"/>
  <c r="R946" i="4" s="1"/>
  <c r="C457" i="22"/>
  <c r="R457" i="4" s="1"/>
  <c r="F348" i="4"/>
  <c r="J348" i="4" s="1"/>
  <c r="C543" i="22"/>
  <c r="R545" i="4" s="1"/>
  <c r="C881" i="22"/>
  <c r="R888" i="4" s="1"/>
  <c r="C345" i="22"/>
  <c r="R345" i="4" s="1"/>
  <c r="C419" i="22"/>
  <c r="R419" i="4" s="1"/>
  <c r="C369" i="22"/>
  <c r="R369" i="4" s="1"/>
  <c r="C628" i="22"/>
  <c r="R631" i="4" s="1"/>
  <c r="C717" i="22"/>
  <c r="R721" i="4" s="1"/>
  <c r="C922" i="22"/>
  <c r="R931" i="4" s="1"/>
  <c r="C366" i="22"/>
  <c r="R366" i="4" s="1"/>
  <c r="C733" i="22"/>
  <c r="R737" i="4" s="1"/>
  <c r="C449" i="22"/>
  <c r="R449" i="4" s="1"/>
  <c r="C972" i="22"/>
  <c r="R981" i="4" s="1"/>
  <c r="C966" i="22"/>
  <c r="R975" i="4" s="1"/>
  <c r="C912" i="22"/>
  <c r="R919" i="4" s="1"/>
  <c r="C534" i="22"/>
  <c r="R536" i="4" s="1"/>
  <c r="C346" i="22"/>
  <c r="R346" i="4" s="1"/>
  <c r="C702" i="22"/>
  <c r="R706" i="4" s="1"/>
  <c r="C995" i="22"/>
  <c r="R1004" i="4" s="1"/>
  <c r="C425" i="22"/>
  <c r="R425" i="4" s="1"/>
  <c r="C735" i="22"/>
  <c r="R739" i="4" s="1"/>
  <c r="C692" i="22"/>
  <c r="R696" i="4" s="1"/>
  <c r="C715" i="22"/>
  <c r="R719" i="4" s="1"/>
  <c r="F905" i="22"/>
  <c r="C956" i="22"/>
  <c r="R965" i="4" s="1"/>
  <c r="C390" i="22"/>
  <c r="R390" i="4" s="1"/>
  <c r="C456" i="22"/>
  <c r="R456" i="4" s="1"/>
  <c r="C807" i="22"/>
  <c r="R814" i="4" s="1"/>
  <c r="C378" i="22"/>
  <c r="R378" i="4" s="1"/>
  <c r="C395" i="22"/>
  <c r="R395" i="4" s="1"/>
  <c r="C817" i="22"/>
  <c r="R824" i="4" s="1"/>
  <c r="C750" i="22"/>
  <c r="R753" i="4" s="1"/>
  <c r="C576" i="22"/>
  <c r="R578" i="4" s="1"/>
  <c r="C873" i="22"/>
  <c r="R880" i="4" s="1"/>
  <c r="F879" i="22"/>
  <c r="F880" i="22"/>
  <c r="F896" i="22"/>
  <c r="F915" i="22"/>
  <c r="F881" i="22"/>
  <c r="F907" i="22"/>
  <c r="C533" i="22"/>
  <c r="R535" i="4" s="1"/>
  <c r="C603" i="22"/>
  <c r="R606" i="4" s="1"/>
  <c r="C898" i="22"/>
  <c r="R905" i="4" s="1"/>
  <c r="C412" i="22"/>
  <c r="R412" i="4" s="1"/>
  <c r="C792" i="22"/>
  <c r="R799" i="4" s="1"/>
  <c r="C468" i="22"/>
  <c r="R468" i="4" s="1"/>
  <c r="C905" i="22"/>
  <c r="R912" i="4" s="1"/>
  <c r="C883" i="22"/>
  <c r="R890" i="4" s="1"/>
  <c r="C857" i="22"/>
  <c r="R864" i="4" s="1"/>
  <c r="C611" i="22"/>
  <c r="R614" i="4" s="1"/>
  <c r="C906" i="22"/>
  <c r="R913" i="4" s="1"/>
  <c r="F891" i="22"/>
  <c r="F888" i="22"/>
  <c r="F903" i="22"/>
  <c r="F913" i="22"/>
  <c r="F914" i="22"/>
  <c r="C594" i="22"/>
  <c r="R597" i="4" s="1"/>
  <c r="C1071" i="22"/>
  <c r="R1080" i="4" s="1"/>
  <c r="C375" i="22"/>
  <c r="R375" i="4" s="1"/>
  <c r="C627" i="22"/>
  <c r="R630" i="4" s="1"/>
  <c r="C923" i="22"/>
  <c r="R932" i="4" s="1"/>
  <c r="C417" i="22"/>
  <c r="R417" i="4" s="1"/>
  <c r="C1121" i="22"/>
  <c r="R1130" i="4" s="1"/>
  <c r="C1159" i="22"/>
  <c r="R1169" i="4" s="1"/>
  <c r="C1024" i="22"/>
  <c r="R1033" i="4" s="1"/>
  <c r="C649" i="22"/>
  <c r="R652" i="4" s="1"/>
  <c r="C567" i="22"/>
  <c r="R569" i="4" s="1"/>
  <c r="C932" i="22"/>
  <c r="R941" i="4" s="1"/>
  <c r="C483" i="22"/>
  <c r="R483" i="4" s="1"/>
  <c r="C826" i="22"/>
  <c r="R833" i="4" s="1"/>
  <c r="C737" i="22"/>
  <c r="R741" i="4" s="1"/>
  <c r="C1111" i="22"/>
  <c r="R1120" i="4" s="1"/>
  <c r="C1138" i="22"/>
  <c r="R1148" i="4" s="1"/>
  <c r="C1133" i="22"/>
  <c r="R1143" i="4" s="1"/>
  <c r="C951" i="22"/>
  <c r="R960" i="4" s="1"/>
  <c r="C924" i="22"/>
  <c r="R933" i="4" s="1"/>
  <c r="C643" i="22"/>
  <c r="R646" i="4" s="1"/>
  <c r="C975" i="22"/>
  <c r="R984" i="4" s="1"/>
  <c r="F898" i="22"/>
  <c r="F878" i="22"/>
  <c r="F904" i="22"/>
  <c r="C113" i="22"/>
  <c r="R112" i="4" s="1"/>
  <c r="H23" i="20"/>
  <c r="F932" i="10" s="1"/>
  <c r="I23" i="20"/>
  <c r="F933" i="10" s="1"/>
  <c r="C42" i="22"/>
  <c r="R42" i="4" s="1"/>
  <c r="F58" i="6"/>
  <c r="F36" i="6"/>
  <c r="F12" i="6"/>
  <c r="E58" i="6"/>
  <c r="F53" i="6"/>
  <c r="F28" i="6"/>
  <c r="E28" i="6"/>
  <c r="E36" i="6"/>
  <c r="E41" i="6"/>
  <c r="E53" i="6"/>
  <c r="F41" i="6"/>
  <c r="I30" i="20"/>
  <c r="I16" i="20"/>
  <c r="H16" i="20"/>
  <c r="E28" i="20"/>
  <c r="K606" i="10" s="1"/>
  <c r="E19" i="20"/>
  <c r="F836" i="10" s="1"/>
  <c r="E31" i="20"/>
  <c r="I871" i="10" s="1"/>
  <c r="D31" i="20"/>
  <c r="E978" i="10" l="1"/>
  <c r="L20" i="23"/>
  <c r="F998" i="10"/>
  <c r="J20" i="23"/>
  <c r="J22" i="23" s="1"/>
  <c r="AB805" i="22"/>
  <c r="AB340" i="22"/>
  <c r="AA340" i="22"/>
  <c r="I319" i="10"/>
  <c r="E870" i="10"/>
  <c r="E1219" i="10"/>
  <c r="G1041" i="10"/>
  <c r="E1061" i="10"/>
  <c r="E1077" i="10" s="1"/>
  <c r="G319" i="10"/>
  <c r="H870" i="10"/>
  <c r="I870" i="10" s="1"/>
  <c r="H975" i="10"/>
  <c r="F978" i="10"/>
  <c r="D1061" i="10"/>
  <c r="H973" i="10"/>
  <c r="F302" i="10"/>
  <c r="E319" i="10"/>
  <c r="E37" i="20"/>
  <c r="AA194" i="22"/>
  <c r="AB194" i="22"/>
  <c r="AA235" i="22"/>
  <c r="AB235" i="22"/>
  <c r="AA192" i="22"/>
  <c r="AB192" i="22"/>
  <c r="AA219" i="22"/>
  <c r="AB219" i="22"/>
  <c r="AA168" i="22"/>
  <c r="AB168" i="22"/>
  <c r="AA212" i="22"/>
  <c r="AB212" i="22"/>
  <c r="AA120" i="22"/>
  <c r="AB120" i="22"/>
  <c r="AA180" i="22"/>
  <c r="AB180" i="22"/>
  <c r="AA175" i="22"/>
  <c r="AB175" i="22"/>
  <c r="AA232" i="22"/>
  <c r="AB232" i="22"/>
  <c r="AA83" i="22"/>
  <c r="AB83" i="22"/>
  <c r="AA108" i="22"/>
  <c r="AB108" i="22"/>
  <c r="AA126" i="22"/>
  <c r="AB126" i="22"/>
  <c r="AA110" i="22"/>
  <c r="AB110" i="22"/>
  <c r="AA184" i="22"/>
  <c r="AB184" i="22"/>
  <c r="AA151" i="22"/>
  <c r="AB151" i="22"/>
  <c r="AA174" i="22"/>
  <c r="AB174" i="22"/>
  <c r="AA165" i="22"/>
  <c r="AB165" i="22"/>
  <c r="AA135" i="22"/>
  <c r="AB135" i="22"/>
  <c r="S220" i="22"/>
  <c r="AA220" i="22" s="1"/>
  <c r="AA124" i="22"/>
  <c r="AB124" i="22"/>
  <c r="AA86" i="22"/>
  <c r="AB86" i="22"/>
  <c r="S278" i="22"/>
  <c r="AA278" i="22" s="1"/>
  <c r="AA64" i="22"/>
  <c r="AB64" i="22"/>
  <c r="AA166" i="22"/>
  <c r="AB166" i="22"/>
  <c r="J79" i="22"/>
  <c r="AB79" i="22" s="1"/>
  <c r="AA92" i="22"/>
  <c r="AB92" i="22"/>
  <c r="AA133" i="22"/>
  <c r="AB133" i="22"/>
  <c r="S263" i="22"/>
  <c r="AB263" i="22" s="1"/>
  <c r="AA182" i="22"/>
  <c r="AB182" i="22"/>
  <c r="AA298" i="22"/>
  <c r="AB298" i="22"/>
  <c r="S231" i="22"/>
  <c r="AA231" i="22" s="1"/>
  <c r="AA89" i="22"/>
  <c r="AB89" i="22"/>
  <c r="AA82" i="22"/>
  <c r="AB82" i="22"/>
  <c r="AA224" i="22"/>
  <c r="AB224" i="22"/>
  <c r="AA240" i="22"/>
  <c r="AB240" i="22"/>
  <c r="AA283" i="22"/>
  <c r="AB283" i="22"/>
  <c r="AA188" i="22"/>
  <c r="AB188" i="22"/>
  <c r="S316" i="22"/>
  <c r="AB316" i="22" s="1"/>
  <c r="AA193" i="22"/>
  <c r="AB193" i="22"/>
  <c r="AA162" i="22"/>
  <c r="AB162" i="22"/>
  <c r="S288" i="22"/>
  <c r="AB288" i="22" s="1"/>
  <c r="AA199" i="22"/>
  <c r="AB199" i="22"/>
  <c r="AA234" i="22"/>
  <c r="AB234" i="22"/>
  <c r="AA173" i="22"/>
  <c r="AB173" i="22"/>
  <c r="AA250" i="22"/>
  <c r="AB250" i="22"/>
  <c r="AA144" i="22"/>
  <c r="AB144" i="22"/>
  <c r="AA226" i="22"/>
  <c r="AB226" i="22"/>
  <c r="AA156" i="22"/>
  <c r="AB156" i="22"/>
  <c r="S300" i="22"/>
  <c r="AA300" i="22" s="1"/>
  <c r="AA247" i="22"/>
  <c r="AB247" i="22"/>
  <c r="AA306" i="22"/>
  <c r="AB306" i="22"/>
  <c r="AA67" i="22"/>
  <c r="AB67" i="22"/>
  <c r="AA1191" i="22"/>
  <c r="AB1191" i="22"/>
  <c r="AA238" i="22"/>
  <c r="AB238" i="22"/>
  <c r="AA158" i="22"/>
  <c r="AB158" i="22"/>
  <c r="AA73" i="22"/>
  <c r="AB73" i="22"/>
  <c r="AA872" i="22"/>
  <c r="AB872" i="22"/>
  <c r="AA215" i="22"/>
  <c r="AB215" i="22"/>
  <c r="AB297" i="22"/>
  <c r="AA309" i="22"/>
  <c r="AB309" i="22"/>
  <c r="AA71" i="22"/>
  <c r="AB71" i="22"/>
  <c r="AA185" i="22"/>
  <c r="AB185" i="22"/>
  <c r="AA183" i="22"/>
  <c r="AB183" i="22"/>
  <c r="AB338" i="22"/>
  <c r="AA94" i="22"/>
  <c r="AB94" i="22"/>
  <c r="AA154" i="22"/>
  <c r="AB154" i="22"/>
  <c r="AA88" i="22"/>
  <c r="AB88" i="22"/>
  <c r="S210" i="22"/>
  <c r="AA210" i="22" s="1"/>
  <c r="AA164" i="22"/>
  <c r="AB164" i="22"/>
  <c r="AA229" i="22"/>
  <c r="AB229" i="22"/>
  <c r="AA244" i="22"/>
  <c r="AB244" i="22"/>
  <c r="AA200" i="22"/>
  <c r="AB200" i="22"/>
  <c r="AA145" i="22"/>
  <c r="AB145" i="22"/>
  <c r="AA242" i="22"/>
  <c r="AB242" i="22"/>
  <c r="L665" i="22"/>
  <c r="AA665" i="22" s="1"/>
  <c r="AA254" i="22"/>
  <c r="AB254" i="22"/>
  <c r="AA106" i="22"/>
  <c r="AB106" i="22"/>
  <c r="AA299" i="22"/>
  <c r="AB299" i="22"/>
  <c r="AA85" i="22"/>
  <c r="AB85" i="22"/>
  <c r="S230" i="22"/>
  <c r="AA230" i="22" s="1"/>
  <c r="AA248" i="22"/>
  <c r="AB248" i="22"/>
  <c r="S260" i="22"/>
  <c r="AB260" i="22" s="1"/>
  <c r="AA84" i="22"/>
  <c r="AB84" i="22"/>
  <c r="AA330" i="22"/>
  <c r="AB330" i="22"/>
  <c r="AA189" i="22"/>
  <c r="AB189" i="22"/>
  <c r="AA307" i="22"/>
  <c r="AB307" i="22"/>
  <c r="AA132" i="22"/>
  <c r="AB132" i="22"/>
  <c r="AA246" i="22"/>
  <c r="AB246" i="22"/>
  <c r="AA191" i="22"/>
  <c r="AB191" i="22"/>
  <c r="AA107" i="22"/>
  <c r="AB107" i="22"/>
  <c r="AA130" i="22"/>
  <c r="AB130" i="22"/>
  <c r="AA118" i="22"/>
  <c r="AB118" i="22"/>
  <c r="AA72" i="22"/>
  <c r="AB72" i="22"/>
  <c r="S217" i="22"/>
  <c r="AB217" i="22" s="1"/>
  <c r="S214" i="22"/>
  <c r="AB214" i="22" s="1"/>
  <c r="L98" i="22"/>
  <c r="AA98" i="22" s="1"/>
  <c r="AA239" i="22"/>
  <c r="AB239" i="22"/>
  <c r="AA105" i="22"/>
  <c r="AB105" i="22"/>
  <c r="S279" i="22"/>
  <c r="AA279" i="22" s="1"/>
  <c r="L1504" i="22"/>
  <c r="AB1504" i="22" s="1"/>
  <c r="AA1190" i="22"/>
  <c r="AB1190" i="22"/>
  <c r="L138" i="22"/>
  <c r="AA138" i="22" s="1"/>
  <c r="AA61" i="22"/>
  <c r="AB61" i="22"/>
  <c r="AA222" i="22"/>
  <c r="AB222" i="22"/>
  <c r="AA128" i="22"/>
  <c r="AB128" i="22"/>
  <c r="H78" i="22"/>
  <c r="AA78" i="22" s="1"/>
  <c r="S272" i="22"/>
  <c r="AB272" i="22" s="1"/>
  <c r="AA134" i="22"/>
  <c r="AB134" i="22"/>
  <c r="AA201" i="22"/>
  <c r="AB201" i="22"/>
  <c r="S280" i="22"/>
  <c r="AA280" i="22" s="1"/>
  <c r="AA153" i="22"/>
  <c r="AB153" i="22"/>
  <c r="AA160" i="22"/>
  <c r="AB160" i="22"/>
  <c r="S259" i="22"/>
  <c r="AB259" i="22" s="1"/>
  <c r="AA159" i="22"/>
  <c r="AB159" i="22"/>
  <c r="AA155" i="22"/>
  <c r="AB155" i="22"/>
  <c r="S284" i="22"/>
  <c r="AA284" i="22" s="1"/>
  <c r="AA1186" i="22"/>
  <c r="AB1186" i="22"/>
  <c r="AA157" i="22"/>
  <c r="AB157" i="22"/>
  <c r="AA308" i="22"/>
  <c r="AB308" i="22"/>
  <c r="AA127" i="22"/>
  <c r="AB127" i="22"/>
  <c r="AA252" i="22"/>
  <c r="AB252" i="22"/>
  <c r="S221" i="22"/>
  <c r="AA221" i="22" s="1"/>
  <c r="L664" i="22"/>
  <c r="AA664" i="22" s="1"/>
  <c r="S216" i="22"/>
  <c r="AA216" i="22" s="1"/>
  <c r="AA170" i="22"/>
  <c r="AB170" i="22"/>
  <c r="AA163" i="22"/>
  <c r="AB163" i="22"/>
  <c r="AA305" i="22"/>
  <c r="AB305" i="22"/>
  <c r="AA119" i="22"/>
  <c r="AB119" i="22"/>
  <c r="AA301" i="22"/>
  <c r="AB301" i="22"/>
  <c r="AA304" i="22"/>
  <c r="AB304" i="22"/>
  <c r="AA181" i="22"/>
  <c r="AB181" i="22"/>
  <c r="AA205" i="22"/>
  <c r="AB205" i="22"/>
  <c r="AA176" i="22"/>
  <c r="AB176" i="22"/>
  <c r="L667" i="22"/>
  <c r="AA667" i="22" s="1"/>
  <c r="AA303" i="22"/>
  <c r="AB303" i="22"/>
  <c r="AA314" i="22"/>
  <c r="AB314" i="22"/>
  <c r="J80" i="22"/>
  <c r="AA80" i="22" s="1"/>
  <c r="AA196" i="22"/>
  <c r="AB196" i="22"/>
  <c r="AA311" i="22"/>
  <c r="AB311" i="22"/>
  <c r="AA241" i="22"/>
  <c r="AB241" i="22"/>
  <c r="AA172" i="22"/>
  <c r="AB172" i="22"/>
  <c r="AA177" i="22"/>
  <c r="AB177" i="22"/>
  <c r="R646" i="22"/>
  <c r="AA646" i="22" s="1"/>
  <c r="AA141" i="22"/>
  <c r="AB141" i="22"/>
  <c r="H117" i="22"/>
  <c r="AA117" i="22" s="1"/>
  <c r="S294" i="22"/>
  <c r="AA294" i="22" s="1"/>
  <c r="AA100" i="22"/>
  <c r="AB100" i="22"/>
  <c r="AA243" i="22"/>
  <c r="AB243" i="22"/>
  <c r="AA95" i="22"/>
  <c r="AB95" i="22"/>
  <c r="AA96" i="22"/>
  <c r="AB96" i="22"/>
  <c r="AA101" i="22"/>
  <c r="AB101" i="22"/>
  <c r="S261" i="22"/>
  <c r="AA261" i="22" s="1"/>
  <c r="AA169" i="22"/>
  <c r="AB169" i="22"/>
  <c r="AA131" i="22"/>
  <c r="AB131" i="22"/>
  <c r="AA99" i="22"/>
  <c r="AB99" i="22"/>
  <c r="S292" i="22"/>
  <c r="AA292" i="22" s="1"/>
  <c r="AA245" i="22"/>
  <c r="AB245" i="22"/>
  <c r="AA1189" i="22"/>
  <c r="AB1189" i="22"/>
  <c r="AA251" i="22"/>
  <c r="AB251" i="22"/>
  <c r="AA129" i="22"/>
  <c r="AB129" i="22"/>
  <c r="S295" i="22"/>
  <c r="AA295" i="22" s="1"/>
  <c r="AA310" i="22"/>
  <c r="AB310" i="22"/>
  <c r="AA152" i="22"/>
  <c r="AB152" i="22"/>
  <c r="AA202" i="22"/>
  <c r="AB202" i="22"/>
  <c r="J81" i="22"/>
  <c r="AA81" i="22" s="1"/>
  <c r="AA121" i="22"/>
  <c r="AB121" i="22"/>
  <c r="AA171" i="22"/>
  <c r="AB171" i="22"/>
  <c r="AA122" i="22"/>
  <c r="AB122" i="22"/>
  <c r="AA178" i="22"/>
  <c r="AB178" i="22"/>
  <c r="AA255" i="22"/>
  <c r="AB255" i="22"/>
  <c r="AA125" i="22"/>
  <c r="AB125" i="22"/>
  <c r="AA253" i="22"/>
  <c r="AB253" i="22"/>
  <c r="AA1188" i="22"/>
  <c r="AB1188" i="22"/>
  <c r="AA90" i="22"/>
  <c r="AB90" i="22"/>
  <c r="AA70" i="22"/>
  <c r="AB70" i="22"/>
  <c r="AA150" i="22"/>
  <c r="AB150" i="22"/>
  <c r="AA209" i="22"/>
  <c r="AB209" i="22"/>
  <c r="AA91" i="22"/>
  <c r="AB91" i="22"/>
  <c r="S281" i="22"/>
  <c r="AA281" i="22" s="1"/>
  <c r="AA249" i="22"/>
  <c r="AB249" i="22"/>
  <c r="AA93" i="22"/>
  <c r="AB93" i="22"/>
  <c r="S269" i="22"/>
  <c r="AB269" i="22" s="1"/>
  <c r="S282" i="22"/>
  <c r="AA282" i="22" s="1"/>
  <c r="S236" i="22"/>
  <c r="AA236" i="22" s="1"/>
  <c r="H103" i="22"/>
  <c r="AA103" i="22" s="1"/>
  <c r="AA179" i="22"/>
  <c r="AB179" i="22"/>
  <c r="AA225" i="22"/>
  <c r="AB225" i="22"/>
  <c r="AA109" i="22"/>
  <c r="AB109" i="22"/>
  <c r="AA167" i="22"/>
  <c r="AB167" i="22"/>
  <c r="AA302" i="22"/>
  <c r="AB302" i="22"/>
  <c r="AA104" i="22"/>
  <c r="AB104" i="22"/>
  <c r="AA69" i="22"/>
  <c r="AB69" i="22"/>
  <c r="AA195" i="22"/>
  <c r="AB195" i="22"/>
  <c r="AA87" i="22"/>
  <c r="AB87" i="22"/>
  <c r="S286" i="22"/>
  <c r="AA286" i="22" s="1"/>
  <c r="S256" i="22"/>
  <c r="AA256" i="22" s="1"/>
  <c r="AA190" i="22"/>
  <c r="AB190" i="22"/>
  <c r="AA161" i="22"/>
  <c r="AB161" i="22"/>
  <c r="AA146" i="22"/>
  <c r="AB146" i="22"/>
  <c r="AA198" i="22"/>
  <c r="AB198" i="22"/>
  <c r="AA197" i="22"/>
  <c r="AB197" i="22"/>
  <c r="L1502" i="22"/>
  <c r="AA1502" i="22" s="1"/>
  <c r="L666" i="22"/>
  <c r="AA666" i="22" s="1"/>
  <c r="AA206" i="22"/>
  <c r="AB206" i="22"/>
  <c r="L1501" i="22"/>
  <c r="AA1501" i="22" s="1"/>
  <c r="Z1194" i="22"/>
  <c r="AA1194" i="22" s="1"/>
  <c r="I1198" i="22"/>
  <c r="AA1198" i="22" s="1"/>
  <c r="G932" i="22"/>
  <c r="G1041" i="22"/>
  <c r="L1503" i="22"/>
  <c r="AA1503" i="22" s="1"/>
  <c r="G1159" i="22"/>
  <c r="G966" i="22"/>
  <c r="G331" i="22"/>
  <c r="H1192" i="22"/>
  <c r="AA1192" i="22" s="1"/>
  <c r="G924" i="22"/>
  <c r="G923" i="22"/>
  <c r="G956" i="22"/>
  <c r="G972" i="22"/>
  <c r="G328" i="22"/>
  <c r="T1187" i="22"/>
  <c r="AA1187" i="22" s="1"/>
  <c r="G946" i="22"/>
  <c r="G995" i="22"/>
  <c r="G967" i="22"/>
  <c r="G951" i="22"/>
  <c r="G1121" i="22"/>
  <c r="H1211" i="22"/>
  <c r="AA1211" i="22" s="1"/>
  <c r="G1133" i="22"/>
  <c r="G1130" i="22"/>
  <c r="G1138" i="22"/>
  <c r="G1111" i="22"/>
  <c r="G1128" i="22"/>
  <c r="Z1195" i="22"/>
  <c r="AA1195" i="22" s="1"/>
  <c r="G937" i="22"/>
  <c r="G1201" i="22"/>
  <c r="H1193" i="22"/>
  <c r="AA1193" i="22" s="1"/>
  <c r="H1197" i="22"/>
  <c r="AA1197" i="22" s="1"/>
  <c r="G1024" i="22"/>
  <c r="G1071" i="22"/>
  <c r="G975" i="22"/>
  <c r="G1167" i="22"/>
  <c r="L1500" i="22"/>
  <c r="AA1500" i="22" s="1"/>
  <c r="H1196" i="22"/>
  <c r="AA1196" i="22" s="1"/>
  <c r="G74" i="22"/>
  <c r="R74" i="4"/>
  <c r="G65" i="22"/>
  <c r="R65" i="4"/>
  <c r="G113" i="22"/>
  <c r="K20" i="23"/>
  <c r="K22" i="23" s="1"/>
  <c r="M20" i="23"/>
  <c r="I33" i="20"/>
  <c r="I34" i="20" s="1"/>
  <c r="E12" i="20" a="1"/>
  <c r="E12" i="20" s="1"/>
  <c r="F41" i="22"/>
  <c r="I123" i="22"/>
  <c r="AA123" i="22" s="1"/>
  <c r="H348" i="4"/>
  <c r="I129" i="16" s="1"/>
  <c r="G348" i="4"/>
  <c r="H129" i="16" s="1"/>
  <c r="H317" i="4"/>
  <c r="G317" i="4"/>
  <c r="K317" i="4"/>
  <c r="F317" i="22"/>
  <c r="F348" i="22"/>
  <c r="K348" i="4"/>
  <c r="L149" i="22"/>
  <c r="AA149" i="22" s="1"/>
  <c r="T337" i="22"/>
  <c r="AA337" i="22" s="1"/>
  <c r="S237" i="22"/>
  <c r="AA237" i="22" s="1"/>
  <c r="S293" i="22"/>
  <c r="AA293" i="22" s="1"/>
  <c r="S223" i="22"/>
  <c r="AA223" i="22" s="1"/>
  <c r="L142" i="22"/>
  <c r="AA142" i="22" s="1"/>
  <c r="O41" i="4"/>
  <c r="G649" i="22"/>
  <c r="G567" i="22"/>
  <c r="AB567" i="22" s="1"/>
  <c r="G333" i="22"/>
  <c r="G419" i="22"/>
  <c r="AA419" i="22" s="1"/>
  <c r="G315" i="22"/>
  <c r="G737" i="22"/>
  <c r="AB737" i="22" s="1"/>
  <c r="G543" i="22"/>
  <c r="AB543" i="22" s="1"/>
  <c r="G335" i="22"/>
  <c r="AA335" i="22" s="1"/>
  <c r="G42" i="22"/>
  <c r="AA42" i="22" s="1"/>
  <c r="G898" i="22"/>
  <c r="G534" i="22"/>
  <c r="AB534" i="22" s="1"/>
  <c r="G717" i="22"/>
  <c r="AB717" i="22" s="1"/>
  <c r="G807" i="22"/>
  <c r="G628" i="22"/>
  <c r="G692" i="22"/>
  <c r="AB692" i="22" s="1"/>
  <c r="G457" i="22"/>
  <c r="G342" i="22"/>
  <c r="AA342" i="22" s="1"/>
  <c r="G417" i="22"/>
  <c r="AA417" i="22" s="1"/>
  <c r="G857" i="22"/>
  <c r="AB857" i="22" s="1"/>
  <c r="G447" i="22"/>
  <c r="G324" i="22"/>
  <c r="AA329" i="22"/>
  <c r="G905" i="22"/>
  <c r="G425" i="22"/>
  <c r="AA425" i="22" s="1"/>
  <c r="G449" i="22"/>
  <c r="G903" i="22"/>
  <c r="G341" i="22"/>
  <c r="AA341" i="22" s="1"/>
  <c r="G313" i="22"/>
  <c r="G390" i="22"/>
  <c r="G881" i="22"/>
  <c r="G339" i="22"/>
  <c r="AA339" i="22" s="1"/>
  <c r="G334" i="22"/>
  <c r="AA334" i="22" s="1"/>
  <c r="G68" i="22"/>
  <c r="G75" i="22"/>
  <c r="T327" i="22"/>
  <c r="AB327" i="22" s="1"/>
  <c r="G659" i="22"/>
  <c r="G336" i="22"/>
  <c r="F383" i="10"/>
  <c r="F20" i="32"/>
  <c r="G20" i="32" s="1"/>
  <c r="T332" i="22"/>
  <c r="AA332" i="22" s="1"/>
  <c r="T325" i="22"/>
  <c r="AA325" i="22" s="1"/>
  <c r="T326" i="22"/>
  <c r="AA326" i="22" s="1"/>
  <c r="S187" i="22"/>
  <c r="AA187" i="22" s="1"/>
  <c r="S204" i="22"/>
  <c r="AA204" i="22" s="1"/>
  <c r="S207" i="22"/>
  <c r="AA207" i="22" s="1"/>
  <c r="E34" i="6"/>
  <c r="E51" i="6" s="1"/>
  <c r="F10" i="6"/>
  <c r="F34" i="6" s="1"/>
  <c r="F51" i="6" s="1"/>
  <c r="C385" i="22"/>
  <c r="R385" i="4" s="1"/>
  <c r="C863" i="22"/>
  <c r="R870" i="4" s="1"/>
  <c r="C675" i="22"/>
  <c r="R678" i="4" s="1"/>
  <c r="C323" i="22"/>
  <c r="R323" i="4" s="1"/>
  <c r="C650" i="22"/>
  <c r="R653" i="4" s="1"/>
  <c r="C320" i="22"/>
  <c r="R320" i="4" s="1"/>
  <c r="C724" i="22"/>
  <c r="R728" i="4" s="1"/>
  <c r="C368" i="22"/>
  <c r="R368" i="4" s="1"/>
  <c r="C1086" i="22"/>
  <c r="R1095" i="4" s="1"/>
  <c r="C788" i="22"/>
  <c r="R795" i="4" s="1"/>
  <c r="C739" i="22"/>
  <c r="R743" i="4" s="1"/>
  <c r="C415" i="22"/>
  <c r="R415" i="4" s="1"/>
  <c r="C1006" i="22"/>
  <c r="R1015" i="4" s="1"/>
  <c r="C607" i="22"/>
  <c r="R610" i="4" s="1"/>
  <c r="C1140" i="22"/>
  <c r="R1150" i="4" s="1"/>
  <c r="C472" i="22"/>
  <c r="R472" i="4" s="1"/>
  <c r="C955" i="22"/>
  <c r="R964" i="4" s="1"/>
  <c r="C403" i="22"/>
  <c r="R403" i="4" s="1"/>
  <c r="C835" i="22"/>
  <c r="R842" i="4" s="1"/>
  <c r="C1036" i="22"/>
  <c r="R1045" i="4" s="1"/>
  <c r="C710" i="22"/>
  <c r="R714" i="4" s="1"/>
  <c r="C354" i="22"/>
  <c r="R354" i="4" s="1"/>
  <c r="C1003" i="22"/>
  <c r="R1012" i="4" s="1"/>
  <c r="C391" i="22"/>
  <c r="R391" i="4" s="1"/>
  <c r="C822" i="22"/>
  <c r="R829" i="4" s="1"/>
  <c r="C821" i="22"/>
  <c r="R828" i="4" s="1"/>
  <c r="C927" i="22"/>
  <c r="R936" i="4" s="1"/>
  <c r="C564" i="22"/>
  <c r="R566" i="4" s="1"/>
  <c r="C459" i="22"/>
  <c r="R459" i="4" s="1"/>
  <c r="C845" i="22"/>
  <c r="R852" i="4" s="1"/>
  <c r="C470" i="22"/>
  <c r="R470" i="4" s="1"/>
  <c r="C1046" i="22"/>
  <c r="R1055" i="4" s="1"/>
  <c r="C730" i="22"/>
  <c r="R734" i="4" s="1"/>
  <c r="C372" i="22"/>
  <c r="R372" i="4" s="1"/>
  <c r="C1203" i="22"/>
  <c r="R1213" i="4" s="1"/>
  <c r="C1021" i="22"/>
  <c r="R1030" i="4" s="1"/>
  <c r="C695" i="22"/>
  <c r="R699" i="4" s="1"/>
  <c r="C884" i="22"/>
  <c r="R891" i="4" s="1"/>
  <c r="C458" i="22"/>
  <c r="R458" i="4" s="1"/>
  <c r="C1174" i="22"/>
  <c r="R1184" i="4" s="1"/>
  <c r="C838" i="22"/>
  <c r="R845" i="4" s="1"/>
  <c r="C539" i="22"/>
  <c r="R541" i="4" s="1"/>
  <c r="C720" i="22"/>
  <c r="R724" i="4" s="1"/>
  <c r="C364" i="22"/>
  <c r="R364" i="4" s="1"/>
  <c r="C895" i="22"/>
  <c r="R902" i="4" s="1"/>
  <c r="C484" i="22"/>
  <c r="R484" i="4" s="1"/>
  <c r="C1091" i="22"/>
  <c r="R1100" i="4" s="1"/>
  <c r="C685" i="22"/>
  <c r="R689" i="4" s="1"/>
  <c r="C644" i="22"/>
  <c r="R647" i="4" s="1"/>
  <c r="C791" i="22"/>
  <c r="R798" i="4" s="1"/>
  <c r="C388" i="22"/>
  <c r="R388" i="4" s="1"/>
  <c r="C1018" i="22"/>
  <c r="R1027" i="4" s="1"/>
  <c r="C691" i="22"/>
  <c r="R695" i="4" s="1"/>
  <c r="C549" i="22"/>
  <c r="R551" i="4" s="1"/>
  <c r="C1060" i="22"/>
  <c r="R1069" i="4" s="1"/>
  <c r="C732" i="22"/>
  <c r="R736" i="4" s="1"/>
  <c r="C705" i="22"/>
  <c r="R709" i="4" s="1"/>
  <c r="C971" i="22"/>
  <c r="R980" i="4" s="1"/>
  <c r="C572" i="22"/>
  <c r="R574" i="4" s="1"/>
  <c r="C1090" i="22"/>
  <c r="R1099" i="4" s="1"/>
  <c r="C1097" i="22"/>
  <c r="R1106" i="4" s="1"/>
  <c r="C381" i="22"/>
  <c r="R381" i="4" s="1"/>
  <c r="C371" i="22"/>
  <c r="R371" i="4" s="1"/>
  <c r="C1057" i="22"/>
  <c r="R1066" i="4" s="1"/>
  <c r="C745" i="22"/>
  <c r="R749" i="4" s="1"/>
  <c r="C969" i="22"/>
  <c r="R978" i="4" s="1"/>
  <c r="C677" i="22"/>
  <c r="R680" i="4" s="1"/>
  <c r="C833" i="22"/>
  <c r="R840" i="4" s="1"/>
  <c r="C359" i="22"/>
  <c r="R359" i="4" s="1"/>
  <c r="C1120" i="22"/>
  <c r="R1129" i="4" s="1"/>
  <c r="C722" i="22"/>
  <c r="R726" i="4" s="1"/>
  <c r="C787" i="22"/>
  <c r="R794" i="4" s="1"/>
  <c r="C894" i="22"/>
  <c r="R901" i="4" s="1"/>
  <c r="C714" i="22"/>
  <c r="R718" i="4" s="1"/>
  <c r="C813" i="22"/>
  <c r="R820" i="4" s="1"/>
  <c r="C1022" i="22"/>
  <c r="R1031" i="4" s="1"/>
  <c r="C696" i="22"/>
  <c r="R700" i="4" s="1"/>
  <c r="C1152" i="22"/>
  <c r="R1162" i="4" s="1"/>
  <c r="C988" i="22"/>
  <c r="R997" i="4" s="1"/>
  <c r="C475" i="22"/>
  <c r="R475" i="4" s="1"/>
  <c r="C1160" i="22"/>
  <c r="R1170" i="4" s="1"/>
  <c r="C1063" i="22"/>
  <c r="R1072" i="4" s="1"/>
  <c r="C1139" i="22"/>
  <c r="R1149" i="4" s="1"/>
  <c r="C796" i="22"/>
  <c r="R803" i="4" s="1"/>
  <c r="C837" i="22"/>
  <c r="R844" i="4" s="1"/>
  <c r="C462" i="22"/>
  <c r="R462" i="4" s="1"/>
  <c r="C389" i="22"/>
  <c r="R389" i="4" s="1"/>
  <c r="C452" i="22"/>
  <c r="R452" i="4" s="1"/>
  <c r="C719" i="22"/>
  <c r="R723" i="4" s="1"/>
  <c r="C561" i="22"/>
  <c r="R563" i="4" s="1"/>
  <c r="C701" i="22"/>
  <c r="R705" i="4" s="1"/>
  <c r="C424" i="22"/>
  <c r="R424" i="4" s="1"/>
  <c r="C1040" i="22"/>
  <c r="R1049" i="4" s="1"/>
  <c r="C672" i="22"/>
  <c r="C936" i="22"/>
  <c r="R945" i="4" s="1"/>
  <c r="C538" i="22"/>
  <c r="R540" i="4" s="1"/>
  <c r="C467" i="22"/>
  <c r="R467" i="4" s="1"/>
  <c r="C1185" i="22"/>
  <c r="R1195" i="4" s="1"/>
  <c r="C1037" i="22"/>
  <c r="R1046" i="4" s="1"/>
  <c r="C711" i="22"/>
  <c r="R715" i="4" s="1"/>
  <c r="C934" i="22"/>
  <c r="R943" i="4" s="1"/>
  <c r="C637" i="22"/>
  <c r="R640" i="4" s="1"/>
  <c r="C874" i="22"/>
  <c r="R881" i="4" s="1"/>
  <c r="C466" i="22"/>
  <c r="R466" i="4" s="1"/>
  <c r="C1056" i="22"/>
  <c r="R1065" i="4" s="1"/>
  <c r="C689" i="22"/>
  <c r="R693" i="4" s="1"/>
  <c r="C860" i="22"/>
  <c r="R867" i="4" s="1"/>
  <c r="C453" i="22"/>
  <c r="R453" i="4" s="1"/>
  <c r="C681" i="22"/>
  <c r="R685" i="4" s="1"/>
  <c r="C757" i="22"/>
  <c r="R760" i="4" s="1"/>
  <c r="C989" i="22"/>
  <c r="R998" i="4" s="1"/>
  <c r="C655" i="22"/>
  <c r="R658" i="4" s="1"/>
  <c r="C1110" i="22"/>
  <c r="R1119" i="4" s="1"/>
  <c r="C953" i="22"/>
  <c r="R962" i="4" s="1"/>
  <c r="C818" i="22"/>
  <c r="R825" i="4" s="1"/>
  <c r="C438" i="22"/>
  <c r="R438" i="4" s="1"/>
  <c r="C1089" i="22"/>
  <c r="R1098" i="4" s="1"/>
  <c r="C1011" i="22"/>
  <c r="R1020" i="4" s="1"/>
  <c r="C1096" i="22"/>
  <c r="R1105" i="4" s="1"/>
  <c r="C740" i="22"/>
  <c r="R744" i="4" s="1"/>
  <c r="C423" i="22"/>
  <c r="R423" i="4" s="1"/>
  <c r="C980" i="22"/>
  <c r="R989" i="4" s="1"/>
  <c r="C615" i="22"/>
  <c r="R618" i="4" s="1"/>
  <c r="C421" i="22"/>
  <c r="R421" i="4" s="1"/>
  <c r="C357" i="22"/>
  <c r="R357" i="4" s="1"/>
  <c r="C379" i="22"/>
  <c r="R379" i="4" s="1"/>
  <c r="C686" i="22"/>
  <c r="R690" i="4" s="1"/>
  <c r="C942" i="22"/>
  <c r="R951" i="4" s="1"/>
  <c r="C613" i="22"/>
  <c r="R616" i="4" s="1"/>
  <c r="C636" i="22"/>
  <c r="R639" i="4" s="1"/>
  <c r="C1008" i="22"/>
  <c r="R1017" i="4" s="1"/>
  <c r="C657" i="22"/>
  <c r="R660" i="4" s="1"/>
  <c r="C632" i="22"/>
  <c r="R635" i="4" s="1"/>
  <c r="C902" i="22"/>
  <c r="R909" i="4" s="1"/>
  <c r="C461" i="22"/>
  <c r="R461" i="4" s="1"/>
  <c r="C1141" i="22"/>
  <c r="R1151" i="4" s="1"/>
  <c r="C654" i="22"/>
  <c r="R657" i="4" s="1"/>
  <c r="C1005" i="22"/>
  <c r="R1014" i="4" s="1"/>
  <c r="C900" i="22"/>
  <c r="R907" i="4" s="1"/>
  <c r="C605" i="22"/>
  <c r="R608" i="4" s="1"/>
  <c r="C1032" i="22"/>
  <c r="R1041" i="4" s="1"/>
  <c r="C624" i="22"/>
  <c r="R627" i="4" s="1"/>
  <c r="C1155" i="22"/>
  <c r="R1165" i="4" s="1"/>
  <c r="C794" i="22"/>
  <c r="R801" i="4" s="1"/>
  <c r="C414" i="22"/>
  <c r="C361" i="22"/>
  <c r="R361" i="4" s="1"/>
  <c r="C625" i="22"/>
  <c r="R628" i="4" s="1"/>
  <c r="C721" i="22"/>
  <c r="R725" i="4" s="1"/>
  <c r="C954" i="22"/>
  <c r="R963" i="4" s="1"/>
  <c r="C623" i="22"/>
  <c r="R626" i="4" s="1"/>
  <c r="C1073" i="22"/>
  <c r="R1082" i="4" s="1"/>
  <c r="C917" i="22"/>
  <c r="R924" i="4" s="1"/>
  <c r="C1044" i="22"/>
  <c r="R1053" i="4" s="1"/>
  <c r="C784" i="22"/>
  <c r="R791" i="4" s="1"/>
  <c r="C402" i="22"/>
  <c r="R402" i="4" s="1"/>
  <c r="C977" i="22"/>
  <c r="R986" i="4" s="1"/>
  <c r="C933" i="22"/>
  <c r="R942" i="4" s="1"/>
  <c r="C706" i="22"/>
  <c r="R710" i="4" s="1"/>
  <c r="C748" i="22"/>
  <c r="R751" i="4" s="1"/>
  <c r="C910" i="22"/>
  <c r="R917" i="4" s="1"/>
  <c r="C580" i="22"/>
  <c r="R582" i="4" s="1"/>
  <c r="C785" i="22"/>
  <c r="R792" i="4" s="1"/>
  <c r="C1113" i="22"/>
  <c r="R1122" i="4" s="1"/>
  <c r="C347" i="22"/>
  <c r="R347" i="4" s="1"/>
  <c r="C908" i="22"/>
  <c r="R915" i="4" s="1"/>
  <c r="C578" i="22"/>
  <c r="R580" i="4" s="1"/>
  <c r="C1019" i="22"/>
  <c r="R1028" i="4" s="1"/>
  <c r="C1109" i="22"/>
  <c r="R1118" i="4" s="1"/>
  <c r="C585" i="22"/>
  <c r="R587" i="4" s="1"/>
  <c r="C823" i="22"/>
  <c r="R830" i="4" s="1"/>
  <c r="C1072" i="22"/>
  <c r="R1081" i="4" s="1"/>
  <c r="C1124" i="22"/>
  <c r="R1133" i="4" s="1"/>
  <c r="C974" i="22"/>
  <c r="R983" i="4" s="1"/>
  <c r="C1126" i="22"/>
  <c r="R1135" i="4" s="1"/>
  <c r="C887" i="22"/>
  <c r="R894" i="4" s="1"/>
  <c r="C1026" i="22"/>
  <c r="R1035" i="4" s="1"/>
  <c r="C914" i="22"/>
  <c r="R921" i="4" s="1"/>
  <c r="C584" i="22"/>
  <c r="R586" i="4" s="1"/>
  <c r="C618" i="22"/>
  <c r="R621" i="4" s="1"/>
  <c r="C938" i="22"/>
  <c r="R947" i="4" s="1"/>
  <c r="C593" i="22"/>
  <c r="R596" i="4" s="1"/>
  <c r="C600" i="22"/>
  <c r="R603" i="4" s="1"/>
  <c r="C836" i="22"/>
  <c r="R843" i="4" s="1"/>
  <c r="C422" i="22"/>
  <c r="R422" i="4" s="1"/>
  <c r="C1100" i="22"/>
  <c r="R1109" i="4" s="1"/>
  <c r="C1017" i="22"/>
  <c r="R1026" i="4" s="1"/>
  <c r="C471" i="22"/>
  <c r="R471" i="4" s="1"/>
  <c r="C1105" i="22"/>
  <c r="R1114" i="4" s="1"/>
  <c r="C622" i="22"/>
  <c r="R625" i="4" s="1"/>
  <c r="C970" i="22"/>
  <c r="R979" i="4" s="1"/>
  <c r="C866" i="22"/>
  <c r="R873" i="4" s="1"/>
  <c r="C570" i="22"/>
  <c r="R572" i="4" s="1"/>
  <c r="C709" i="22"/>
  <c r="R713" i="4" s="1"/>
  <c r="C610" i="22"/>
  <c r="R613" i="4" s="1"/>
  <c r="C601" i="22"/>
  <c r="R604" i="4" s="1"/>
  <c r="C1000" i="22"/>
  <c r="R1009" i="4" s="1"/>
  <c r="C574" i="22"/>
  <c r="R576" i="4" s="1"/>
  <c r="C589" i="22"/>
  <c r="R592" i="4" s="1"/>
  <c r="C1112" i="22"/>
  <c r="R1121" i="4" s="1"/>
  <c r="C738" i="22"/>
  <c r="R742" i="4" s="1"/>
  <c r="C380" i="22"/>
  <c r="R380" i="4" s="1"/>
  <c r="C557" i="22"/>
  <c r="R559" i="4" s="1"/>
  <c r="C688" i="22"/>
  <c r="R692" i="4" s="1"/>
  <c r="C1184" i="22"/>
  <c r="R1194" i="4" s="1"/>
  <c r="C886" i="22"/>
  <c r="R893" i="4" s="1"/>
  <c r="C588" i="22"/>
  <c r="R590" i="4" s="1"/>
  <c r="C885" i="22"/>
  <c r="R892" i="4" s="1"/>
  <c r="C1020" i="22"/>
  <c r="R1029" i="4" s="1"/>
  <c r="C728" i="22"/>
  <c r="R732" i="4" s="1"/>
  <c r="C370" i="22"/>
  <c r="R370" i="4" s="1"/>
  <c r="C907" i="22"/>
  <c r="R914" i="4" s="1"/>
  <c r="C865" i="22"/>
  <c r="R872" i="4" s="1"/>
  <c r="C673" i="22"/>
  <c r="R676" i="4" s="1"/>
  <c r="C680" i="22"/>
  <c r="R684" i="4" s="1"/>
  <c r="C878" i="22"/>
  <c r="R885" i="4" s="1"/>
  <c r="C547" i="22"/>
  <c r="R549" i="4" s="1"/>
  <c r="C1182" i="22"/>
  <c r="R1192" i="4" s="1"/>
  <c r="C1076" i="22"/>
  <c r="R1085" i="4" s="1"/>
  <c r="C662" i="22"/>
  <c r="R665" i="4" s="1"/>
  <c r="C944" i="22"/>
  <c r="R953" i="4" s="1"/>
  <c r="C842" i="22"/>
  <c r="R849" i="4" s="1"/>
  <c r="C544" i="22"/>
  <c r="R546" i="4" s="1"/>
  <c r="C959" i="22"/>
  <c r="R968" i="4" s="1"/>
  <c r="C1051" i="22"/>
  <c r="R1060" i="4" s="1"/>
  <c r="C474" i="22"/>
  <c r="R474" i="4" s="1"/>
  <c r="C1081" i="22"/>
  <c r="R1090" i="4" s="1"/>
  <c r="C1384" i="22"/>
  <c r="R1394" i="4" s="1"/>
  <c r="C882" i="22"/>
  <c r="R889" i="4" s="1"/>
  <c r="C435" i="22"/>
  <c r="R435" i="4" s="1"/>
  <c r="C896" i="22"/>
  <c r="R903" i="4" s="1"/>
  <c r="C398" i="22"/>
  <c r="R398" i="4" s="1"/>
  <c r="C565" i="22"/>
  <c r="R567" i="4" s="1"/>
  <c r="C1163" i="22"/>
  <c r="R1173" i="4" s="1"/>
  <c r="C746" i="22"/>
  <c r="R750" i="4" s="1"/>
  <c r="C356" i="22"/>
  <c r="R356" i="4" s="1"/>
  <c r="C984" i="22"/>
  <c r="R993" i="4" s="1"/>
  <c r="C1068" i="22"/>
  <c r="R1077" i="4" s="1"/>
  <c r="C393" i="22"/>
  <c r="R393" i="4" s="1"/>
  <c r="C935" i="22"/>
  <c r="R944" i="4" s="1"/>
  <c r="C834" i="22"/>
  <c r="R841" i="4" s="1"/>
  <c r="C536" i="22"/>
  <c r="R538" i="4" s="1"/>
  <c r="C1202" i="22"/>
  <c r="R1212" i="4" s="1"/>
  <c r="C612" i="22"/>
  <c r="R615" i="4" s="1"/>
  <c r="C575" i="22"/>
  <c r="R577" i="4" s="1"/>
  <c r="C479" i="22"/>
  <c r="R479" i="4" s="1"/>
  <c r="C929" i="22"/>
  <c r="R938" i="4" s="1"/>
  <c r="C382" i="22"/>
  <c r="R382" i="4" s="1"/>
  <c r="C556" i="22"/>
  <c r="R558" i="4" s="1"/>
  <c r="C1030" i="22"/>
  <c r="R1039" i="4" s="1"/>
  <c r="C704" i="22"/>
  <c r="R708" i="4" s="1"/>
  <c r="C684" i="22"/>
  <c r="R688" i="4" s="1"/>
  <c r="C648" i="22"/>
  <c r="R651" i="4" s="1"/>
  <c r="C1145" i="22"/>
  <c r="R1155" i="4" s="1"/>
  <c r="C852" i="22"/>
  <c r="R859" i="4" s="1"/>
  <c r="C555" i="22"/>
  <c r="R557" i="4" s="1"/>
  <c r="C614" i="22"/>
  <c r="R617" i="4" s="1"/>
  <c r="C987" i="22"/>
  <c r="R996" i="4" s="1"/>
  <c r="C653" i="22"/>
  <c r="R656" i="4" s="1"/>
  <c r="C841" i="22"/>
  <c r="R848" i="4" s="1"/>
  <c r="C809" i="22"/>
  <c r="R816" i="4" s="1"/>
  <c r="C609" i="22"/>
  <c r="R612" i="4" s="1"/>
  <c r="C640" i="22"/>
  <c r="R643" i="4" s="1"/>
  <c r="C1171" i="22"/>
  <c r="R1181" i="4" s="1"/>
  <c r="C844" i="22"/>
  <c r="R851" i="4" s="1"/>
  <c r="C469" i="22"/>
  <c r="R469" i="4" s="1"/>
  <c r="C1102" i="22"/>
  <c r="R1111" i="4" s="1"/>
  <c r="C1031" i="22"/>
  <c r="R1040" i="4" s="1"/>
  <c r="C630" i="22"/>
  <c r="R633" i="4" s="1"/>
  <c r="C909" i="22"/>
  <c r="R916" i="4" s="1"/>
  <c r="C810" i="22"/>
  <c r="R817" i="4" s="1"/>
  <c r="C428" i="22"/>
  <c r="R428" i="4" s="1"/>
  <c r="C899" i="22"/>
  <c r="R906" i="4" s="1"/>
  <c r="C986" i="22"/>
  <c r="R995" i="4" s="1"/>
  <c r="C427" i="22"/>
  <c r="R427" i="4" s="1"/>
  <c r="C1002" i="22"/>
  <c r="R1011" i="4" s="1"/>
  <c r="C723" i="22"/>
  <c r="R727" i="4" s="1"/>
  <c r="C848" i="22"/>
  <c r="R855" i="4" s="1"/>
  <c r="C473" i="22"/>
  <c r="R473" i="4" s="1"/>
  <c r="C399" i="22"/>
  <c r="R399" i="4" s="1"/>
  <c r="C1165" i="22"/>
  <c r="R1175" i="4" s="1"/>
  <c r="C862" i="22"/>
  <c r="R869" i="4" s="1"/>
  <c r="C861" i="22"/>
  <c r="R868" i="4" s="1"/>
  <c r="C531" i="22"/>
  <c r="R533" i="4" s="1"/>
  <c r="C1083" i="22"/>
  <c r="R1092" i="4" s="1"/>
  <c r="C712" i="22"/>
  <c r="R716" i="4" s="1"/>
  <c r="C413" i="22"/>
  <c r="R413" i="4" s="1"/>
  <c r="C913" i="22"/>
  <c r="R920" i="4" s="1"/>
  <c r="C1047" i="22"/>
  <c r="R1056" i="4" s="1"/>
  <c r="C476" i="22"/>
  <c r="R476" i="4" s="1"/>
  <c r="C800" i="22"/>
  <c r="R807" i="4" s="1"/>
  <c r="C420" i="22"/>
  <c r="R420" i="4" s="1"/>
  <c r="C535" i="22"/>
  <c r="R537" i="4" s="1"/>
  <c r="C541" i="22"/>
  <c r="R543" i="4" s="1"/>
  <c r="C406" i="22"/>
  <c r="R406" i="4" s="1"/>
  <c r="C888" i="22"/>
  <c r="R895" i="4" s="1"/>
  <c r="C478" i="22"/>
  <c r="R478" i="4" s="1"/>
  <c r="C997" i="22"/>
  <c r="R1006" i="4" s="1"/>
  <c r="C631" i="22"/>
  <c r="R634" i="4" s="1"/>
  <c r="C377" i="22"/>
  <c r="R377" i="4" s="1"/>
  <c r="C450" i="22"/>
  <c r="R450" i="4" s="1"/>
  <c r="C1104" i="22"/>
  <c r="R1113" i="4" s="1"/>
  <c r="C820" i="22"/>
  <c r="R827" i="4" s="1"/>
  <c r="C477" i="22"/>
  <c r="R477" i="4" s="1"/>
  <c r="C579" i="22"/>
  <c r="R581" i="4" s="1"/>
  <c r="C819" i="22"/>
  <c r="R826" i="4" s="1"/>
  <c r="C952" i="22"/>
  <c r="R961" i="4" s="1"/>
  <c r="C621" i="22"/>
  <c r="R624" i="4" s="1"/>
  <c r="C743" i="22"/>
  <c r="R747" i="4" s="1"/>
  <c r="C904" i="22"/>
  <c r="R911" i="4" s="1"/>
  <c r="C540" i="22"/>
  <c r="R542" i="4" s="1"/>
  <c r="C608" i="22"/>
  <c r="R611" i="4" s="1"/>
  <c r="C1137" i="22"/>
  <c r="R1147" i="4" s="1"/>
  <c r="C812" i="22"/>
  <c r="R819" i="4" s="1"/>
  <c r="C432" i="22"/>
  <c r="R432" i="4" s="1"/>
  <c r="C998" i="22"/>
  <c r="R1007" i="4" s="1"/>
  <c r="C598" i="22"/>
  <c r="R601" i="4" s="1"/>
  <c r="C1170" i="22"/>
  <c r="R1180" i="4" s="1"/>
  <c r="C877" i="22"/>
  <c r="R884" i="4" s="1"/>
  <c r="C753" i="22"/>
  <c r="R756" i="4" s="1"/>
  <c r="C394" i="22"/>
  <c r="R394" i="4" s="1"/>
  <c r="C825" i="22"/>
  <c r="R832" i="4" s="1"/>
  <c r="C915" i="22"/>
  <c r="R922" i="4" s="1"/>
  <c r="C616" i="22"/>
  <c r="R619" i="4" s="1"/>
  <c r="C446" i="22"/>
  <c r="R446" i="4" s="1"/>
  <c r="C1004" i="22"/>
  <c r="R1013" i="4" s="1"/>
  <c r="C454" i="22"/>
  <c r="R454" i="4" s="1"/>
  <c r="C1162" i="22"/>
  <c r="R1172" i="4" s="1"/>
  <c r="C870" i="22"/>
  <c r="R877" i="4" s="1"/>
  <c r="C963" i="22"/>
  <c r="R972" i="4" s="1"/>
  <c r="C1147" i="22"/>
  <c r="R1157" i="4" s="1"/>
  <c r="C1027" i="22"/>
  <c r="R1036" i="4" s="1"/>
  <c r="C948" i="22"/>
  <c r="R957" i="4" s="1"/>
  <c r="C1015" i="22"/>
  <c r="R1024" i="4" s="1"/>
  <c r="C1023" i="22"/>
  <c r="R1032" i="4" s="1"/>
  <c r="C839" i="22"/>
  <c r="R846" i="4" s="1"/>
  <c r="C1045" i="22"/>
  <c r="R1054" i="4" s="1"/>
  <c r="C846" i="22"/>
  <c r="R853" i="4" s="1"/>
  <c r="C1123" i="22"/>
  <c r="R1132" i="4" s="1"/>
  <c r="C982" i="22"/>
  <c r="R991" i="4" s="1"/>
  <c r="C1148" i="22"/>
  <c r="R1158" i="4" s="1"/>
  <c r="C755" i="22"/>
  <c r="R758" i="4" s="1"/>
  <c r="C1058" i="22"/>
  <c r="R1067" i="4" s="1"/>
  <c r="C867" i="22"/>
  <c r="R874" i="4" s="1"/>
  <c r="C854" i="22"/>
  <c r="R861" i="4" s="1"/>
  <c r="C411" i="22"/>
  <c r="R411" i="4" s="1"/>
  <c r="C729" i="22"/>
  <c r="R733" i="4" s="1"/>
  <c r="C416" i="22"/>
  <c r="R416" i="4" s="1"/>
  <c r="C725" i="22"/>
  <c r="R729" i="4" s="1"/>
  <c r="C1134" i="22"/>
  <c r="R1144" i="4" s="1"/>
  <c r="C1054" i="22"/>
  <c r="R1063" i="4" s="1"/>
  <c r="C1049" i="22"/>
  <c r="R1058" i="4" s="1"/>
  <c r="C993" i="22"/>
  <c r="R1002" i="4" s="1"/>
  <c r="C1077" i="22"/>
  <c r="R1086" i="4" s="1"/>
  <c r="C1035" i="22"/>
  <c r="R1044" i="4" s="1"/>
  <c r="C1062" i="22"/>
  <c r="R1071" i="4" s="1"/>
  <c r="C1034" i="22"/>
  <c r="R1043" i="4" s="1"/>
  <c r="F909" i="22"/>
  <c r="G735" i="22"/>
  <c r="AB735" i="22" s="1"/>
  <c r="F673" i="22"/>
  <c r="C815" i="22"/>
  <c r="R822" i="4" s="1"/>
  <c r="C1270" i="22"/>
  <c r="R1280" i="4" s="1"/>
  <c r="G702" i="22"/>
  <c r="AB702" i="22" s="1"/>
  <c r="C1400" i="22"/>
  <c r="R1410" i="4" s="1"/>
  <c r="C1261" i="22"/>
  <c r="R1271" i="4" s="1"/>
  <c r="C1435" i="22"/>
  <c r="R1445" i="4" s="1"/>
  <c r="C1377" i="22"/>
  <c r="R1387" i="4" s="1"/>
  <c r="C1396" i="22"/>
  <c r="R1406" i="4" s="1"/>
  <c r="C1457" i="22"/>
  <c r="R1467" i="4" s="1"/>
  <c r="C1300" i="22"/>
  <c r="R1310" i="4" s="1"/>
  <c r="C1221" i="22"/>
  <c r="R1231" i="4" s="1"/>
  <c r="C1488" i="22"/>
  <c r="R1498" i="4" s="1"/>
  <c r="C1430" i="22"/>
  <c r="R1440" i="4" s="1"/>
  <c r="C1411" i="22"/>
  <c r="R1421" i="4" s="1"/>
  <c r="C1449" i="22"/>
  <c r="G1449" i="22" s="1"/>
  <c r="C1279" i="22"/>
  <c r="R1289" i="4" s="1"/>
  <c r="C1470" i="22"/>
  <c r="R1480" i="4" s="1"/>
  <c r="C431" i="22"/>
  <c r="R431" i="4" s="1"/>
  <c r="C546" i="22"/>
  <c r="R548" i="4" s="1"/>
  <c r="C1481" i="22"/>
  <c r="R1491" i="4" s="1"/>
  <c r="C764" i="22"/>
  <c r="R766" i="4" s="1"/>
  <c r="C639" i="22"/>
  <c r="R642" i="4" s="1"/>
  <c r="C879" i="22"/>
  <c r="R886" i="4" s="1"/>
  <c r="C916" i="22"/>
  <c r="R923" i="4" s="1"/>
  <c r="C573" i="22"/>
  <c r="R575" i="4" s="1"/>
  <c r="C563" i="22"/>
  <c r="R565" i="4" s="1"/>
  <c r="C849" i="22"/>
  <c r="R856" i="4" s="1"/>
  <c r="C374" i="22"/>
  <c r="R374" i="4" s="1"/>
  <c r="C802" i="22"/>
  <c r="R809" i="4" s="1"/>
  <c r="C1052" i="22"/>
  <c r="R1061" i="4" s="1"/>
  <c r="C939" i="22"/>
  <c r="R948" i="4" s="1"/>
  <c r="C1078" i="22"/>
  <c r="R1087" i="4" s="1"/>
  <c r="C1080" i="22"/>
  <c r="R1089" i="4" s="1"/>
  <c r="C1200" i="22"/>
  <c r="R1210" i="4" s="1"/>
  <c r="C868" i="22"/>
  <c r="R875" i="4" s="1"/>
  <c r="C1205" i="22"/>
  <c r="R1215" i="4" s="1"/>
  <c r="C1157" i="22"/>
  <c r="R1167" i="4" s="1"/>
  <c r="C1012" i="22"/>
  <c r="R1021" i="4" s="1"/>
  <c r="C1053" i="22"/>
  <c r="R1062" i="4" s="1"/>
  <c r="C941" i="22"/>
  <c r="R950" i="4" s="1"/>
  <c r="G375" i="22"/>
  <c r="AA375" i="22" s="1"/>
  <c r="F894" i="22"/>
  <c r="C814" i="22"/>
  <c r="R821" i="4" s="1"/>
  <c r="C1486" i="22"/>
  <c r="R1496" i="4" s="1"/>
  <c r="G483" i="22"/>
  <c r="AB483" i="22" s="1"/>
  <c r="C1383" i="22"/>
  <c r="R1393" i="4" s="1"/>
  <c r="C1309" i="22"/>
  <c r="R1319" i="4" s="1"/>
  <c r="C1419" i="22"/>
  <c r="R1429" i="4" s="1"/>
  <c r="C1358" i="22"/>
  <c r="R1368" i="4" s="1"/>
  <c r="F887" i="22"/>
  <c r="C1409" i="22"/>
  <c r="R1419" i="4" s="1"/>
  <c r="C1278" i="22"/>
  <c r="R1288" i="4" s="1"/>
  <c r="C1376" i="22"/>
  <c r="R1386" i="4" s="1"/>
  <c r="C1222" i="22"/>
  <c r="R1232" i="4" s="1"/>
  <c r="C1395" i="22"/>
  <c r="R1405" i="4" s="1"/>
  <c r="C1434" i="22"/>
  <c r="R1444" i="4" s="1"/>
  <c r="C1263" i="22"/>
  <c r="R1273" i="4" s="1"/>
  <c r="C1454" i="22"/>
  <c r="R1464" i="4" s="1"/>
  <c r="C669" i="22"/>
  <c r="R672" i="4" s="1"/>
  <c r="C1301" i="22"/>
  <c r="R1311" i="4" s="1"/>
  <c r="C703" i="22"/>
  <c r="R707" i="4" s="1"/>
  <c r="C968" i="22"/>
  <c r="R977" i="4" s="1"/>
  <c r="C1323" i="22"/>
  <c r="R1333" i="4" s="1"/>
  <c r="C1484" i="22"/>
  <c r="R1494" i="4" s="1"/>
  <c r="C1405" i="22"/>
  <c r="R1415" i="4" s="1"/>
  <c r="C1431" i="22"/>
  <c r="R1441" i="4" s="1"/>
  <c r="C1469" i="22"/>
  <c r="R1479" i="4" s="1"/>
  <c r="C1436" i="22"/>
  <c r="R1446" i="4" s="1"/>
  <c r="C1282" i="22"/>
  <c r="C1218" i="22"/>
  <c r="R1228" i="4" s="1"/>
  <c r="C586" i="22"/>
  <c r="R588" i="4" s="1"/>
  <c r="C1473" i="22"/>
  <c r="R1483" i="4" s="1"/>
  <c r="C1352" i="22"/>
  <c r="R1362" i="4" s="1"/>
  <c r="C1285" i="22"/>
  <c r="R1295" i="4" s="1"/>
  <c r="C1243" i="22"/>
  <c r="R1253" i="4" s="1"/>
  <c r="C400" i="22"/>
  <c r="R400" i="4" s="1"/>
  <c r="C1169" i="22"/>
  <c r="R1179" i="4" s="1"/>
  <c r="C744" i="22"/>
  <c r="R748" i="4" s="1"/>
  <c r="C853" i="22"/>
  <c r="R860" i="4" s="1"/>
  <c r="C581" i="22"/>
  <c r="R583" i="4" s="1"/>
  <c r="C1092" i="22"/>
  <c r="R1101" i="4" s="1"/>
  <c r="C1136" i="22"/>
  <c r="R1146" i="4" s="1"/>
  <c r="C940" i="22"/>
  <c r="R949" i="4" s="1"/>
  <c r="C994" i="22"/>
  <c r="R1003" i="4" s="1"/>
  <c r="C1074" i="22"/>
  <c r="R1083" i="4" s="1"/>
  <c r="C1014" i="22"/>
  <c r="R1023" i="4" s="1"/>
  <c r="C1038" i="22"/>
  <c r="R1047" i="4" s="1"/>
  <c r="C1016" i="22"/>
  <c r="R1025" i="4" s="1"/>
  <c r="C1061" i="22"/>
  <c r="R1070" i="4" s="1"/>
  <c r="C713" i="22"/>
  <c r="R717" i="4" s="1"/>
  <c r="C758" i="22"/>
  <c r="R762" i="4" s="1"/>
  <c r="C803" i="22"/>
  <c r="R810" i="4" s="1"/>
  <c r="C1344" i="22"/>
  <c r="R1354" i="4" s="1"/>
  <c r="C1366" i="22"/>
  <c r="R1376" i="4" s="1"/>
  <c r="C1390" i="22"/>
  <c r="R1400" i="4" s="1"/>
  <c r="C1387" i="22"/>
  <c r="R1397" i="4" s="1"/>
  <c r="C1412" i="22"/>
  <c r="R1422" i="4" s="1"/>
  <c r="C1491" i="22"/>
  <c r="R1501" i="4" s="1"/>
  <c r="C1262" i="22"/>
  <c r="R1272" i="4" s="1"/>
  <c r="C1266" i="22"/>
  <c r="R1276" i="4" s="1"/>
  <c r="C1259" i="22"/>
  <c r="R1269" i="4" s="1"/>
  <c r="C1378" i="22"/>
  <c r="R1388" i="4" s="1"/>
  <c r="C1402" i="22"/>
  <c r="R1412" i="4" s="1"/>
  <c r="C1295" i="22"/>
  <c r="R1305" i="4" s="1"/>
  <c r="C1304" i="22"/>
  <c r="R1314" i="4" s="1"/>
  <c r="C699" i="22"/>
  <c r="R703" i="4" s="1"/>
  <c r="C367" i="22"/>
  <c r="R367" i="4" s="1"/>
  <c r="C1175" i="22"/>
  <c r="R1185" i="4" s="1"/>
  <c r="C386" i="22"/>
  <c r="R386" i="4" s="1"/>
  <c r="C1066" i="22"/>
  <c r="R1075" i="4" s="1"/>
  <c r="C843" i="22"/>
  <c r="R850" i="4" s="1"/>
  <c r="C693" i="22"/>
  <c r="R697" i="4" s="1"/>
  <c r="C1207" i="22"/>
  <c r="R1217" i="4" s="1"/>
  <c r="C1149" i="22"/>
  <c r="R1159" i="4" s="1"/>
  <c r="C928" i="22"/>
  <c r="R937" i="4" s="1"/>
  <c r="C1028" i="22"/>
  <c r="R1037" i="4" s="1"/>
  <c r="C1075" i="22"/>
  <c r="R1084" i="4" s="1"/>
  <c r="C1001" i="22"/>
  <c r="R1010" i="4" s="1"/>
  <c r="C811" i="22"/>
  <c r="R818" i="4" s="1"/>
  <c r="C1135" i="22"/>
  <c r="R1145" i="4" s="1"/>
  <c r="C1146" i="22"/>
  <c r="R1156" i="4" s="1"/>
  <c r="C1013" i="22"/>
  <c r="R1022" i="4" s="1"/>
  <c r="C761" i="22"/>
  <c r="R763" i="4" s="1"/>
  <c r="G460" i="22"/>
  <c r="G733" i="22"/>
  <c r="AB733" i="22" s="1"/>
  <c r="C804" i="22"/>
  <c r="R811" i="4" s="1"/>
  <c r="C1296" i="22"/>
  <c r="R1306" i="4" s="1"/>
  <c r="F892" i="22"/>
  <c r="G412" i="22"/>
  <c r="AA412" i="22" s="1"/>
  <c r="C1327" i="22"/>
  <c r="R1337" i="4" s="1"/>
  <c r="C1350" i="22"/>
  <c r="R1360" i="4" s="1"/>
  <c r="C1456" i="22"/>
  <c r="R1466" i="4" s="1"/>
  <c r="C1432" i="22"/>
  <c r="R1442" i="4" s="1"/>
  <c r="C1310" i="22"/>
  <c r="R1320" i="4" s="1"/>
  <c r="C1308" i="22"/>
  <c r="R1318" i="4" s="1"/>
  <c r="C1392" i="22"/>
  <c r="R1402" i="4" s="1"/>
  <c r="C1359" i="22"/>
  <c r="R1369" i="4" s="1"/>
  <c r="C1386" i="22"/>
  <c r="R1396" i="4" s="1"/>
  <c r="C1444" i="22"/>
  <c r="R1454" i="4" s="1"/>
  <c r="C441" i="22"/>
  <c r="R441" i="4" s="1"/>
  <c r="C430" i="22"/>
  <c r="R430" i="4" s="1"/>
  <c r="C1305" i="22"/>
  <c r="R1315" i="4" s="1"/>
  <c r="C1232" i="22"/>
  <c r="R1242" i="4" s="1"/>
  <c r="C1250" i="22"/>
  <c r="R1260" i="4" s="1"/>
  <c r="C1347" i="22"/>
  <c r="R1357" i="4" s="1"/>
  <c r="C1365" i="22"/>
  <c r="R1375" i="4" s="1"/>
  <c r="C1406" i="22"/>
  <c r="R1416" i="4" s="1"/>
  <c r="C1228" i="22"/>
  <c r="R1238" i="4" s="1"/>
  <c r="C1343" i="22"/>
  <c r="G1343" i="22" s="1"/>
  <c r="C1472" i="22"/>
  <c r="R1482" i="4" s="1"/>
  <c r="C660" i="22"/>
  <c r="R663" i="4" s="1"/>
  <c r="C1460" i="22"/>
  <c r="R1470" i="4" s="1"/>
  <c r="C642" i="22"/>
  <c r="R645" i="4" s="1"/>
  <c r="C1363" i="22"/>
  <c r="R1373" i="4" s="1"/>
  <c r="C350" i="22"/>
  <c r="R350" i="4" s="1"/>
  <c r="C1332" i="22"/>
  <c r="R1342" i="4" s="1"/>
  <c r="C1129" i="22"/>
  <c r="R1138" i="4" s="1"/>
  <c r="C847" i="22"/>
  <c r="R854" i="4" s="1"/>
  <c r="C962" i="22"/>
  <c r="R971" i="4" s="1"/>
  <c r="C786" i="22"/>
  <c r="R793" i="4" s="1"/>
  <c r="C396" i="22"/>
  <c r="R396" i="4" s="1"/>
  <c r="C1064" i="22"/>
  <c r="R1073" i="4" s="1"/>
  <c r="C973" i="22"/>
  <c r="R982" i="4" s="1"/>
  <c r="C1029" i="22"/>
  <c r="R1038" i="4" s="1"/>
  <c r="C1079" i="22"/>
  <c r="R1088" i="4" s="1"/>
  <c r="C947" i="22"/>
  <c r="R956" i="4" s="1"/>
  <c r="C964" i="22"/>
  <c r="R973" i="4" s="1"/>
  <c r="C978" i="22"/>
  <c r="R987" i="4" s="1"/>
  <c r="C1025" i="22"/>
  <c r="R1034" i="4" s="1"/>
  <c r="C1210" i="22"/>
  <c r="R1220" i="4" s="1"/>
  <c r="C1082" i="22"/>
  <c r="R1091" i="4" s="1"/>
  <c r="C756" i="22"/>
  <c r="R759" i="4" s="1"/>
  <c r="G355" i="22"/>
  <c r="G455" i="22"/>
  <c r="C795" i="22"/>
  <c r="R802" i="4" s="1"/>
  <c r="C1276" i="22"/>
  <c r="R1286" i="4" s="1"/>
  <c r="G378" i="22"/>
  <c r="AA378" i="22" s="1"/>
  <c r="C1224" i="22"/>
  <c r="R1234" i="4" s="1"/>
  <c r="F916" i="22"/>
  <c r="C1265" i="22"/>
  <c r="R1275" i="4" s="1"/>
  <c r="C1441" i="22"/>
  <c r="R1451" i="4" s="1"/>
  <c r="C1389" i="22"/>
  <c r="R1399" i="4" s="1"/>
  <c r="C1326" i="22"/>
  <c r="R1336" i="4" s="1"/>
  <c r="C1289" i="22"/>
  <c r="R1299" i="4" s="1"/>
  <c r="C1336" i="22"/>
  <c r="R1346" i="4" s="1"/>
  <c r="C1273" i="22"/>
  <c r="R1283" i="4" s="1"/>
  <c r="C1307" i="22"/>
  <c r="R1317" i="4" s="1"/>
  <c r="C1455" i="22"/>
  <c r="R1465" i="4" s="1"/>
  <c r="C1302" i="22"/>
  <c r="R1312" i="4" s="1"/>
  <c r="C763" i="22"/>
  <c r="R765" i="4" s="1"/>
  <c r="C901" i="22"/>
  <c r="R908" i="4" s="1"/>
  <c r="C1181" i="22"/>
  <c r="R1191" i="4" s="1"/>
  <c r="C679" i="22"/>
  <c r="R683" i="4" s="1"/>
  <c r="C647" i="22"/>
  <c r="R650" i="4" s="1"/>
  <c r="C548" i="22"/>
  <c r="R550" i="4" s="1"/>
  <c r="C1496" i="22"/>
  <c r="R1506" i="4" s="1"/>
  <c r="C1240" i="22"/>
  <c r="R1250" i="4" s="1"/>
  <c r="C1346" i="22"/>
  <c r="R1356" i="4" s="1"/>
  <c r="C1373" i="22"/>
  <c r="R1383" i="4" s="1"/>
  <c r="C349" i="22"/>
  <c r="R349" i="4" s="1"/>
  <c r="C1489" i="22"/>
  <c r="R1499" i="4" s="1"/>
  <c r="C1425" i="22"/>
  <c r="R1435" i="4" s="1"/>
  <c r="C551" i="22"/>
  <c r="R553" i="4" s="1"/>
  <c r="C1479" i="22"/>
  <c r="R1489" i="4" s="1"/>
  <c r="C1494" i="22"/>
  <c r="R1504" i="4" s="1"/>
  <c r="C1337" i="22"/>
  <c r="R1347" i="4" s="1"/>
  <c r="C830" i="22"/>
  <c r="R837" i="4" s="1"/>
  <c r="C599" i="22"/>
  <c r="R602" i="4" s="1"/>
  <c r="C404" i="22"/>
  <c r="R404" i="4" s="1"/>
  <c r="C577" i="22"/>
  <c r="R579" i="4" s="1"/>
  <c r="C718" i="22"/>
  <c r="R722" i="4" s="1"/>
  <c r="C1156" i="22"/>
  <c r="R1166" i="4" s="1"/>
  <c r="C1088" i="22"/>
  <c r="R1097" i="4" s="1"/>
  <c r="C1143" i="22"/>
  <c r="R1153" i="4" s="1"/>
  <c r="C1055" i="22"/>
  <c r="R1064" i="4" s="1"/>
  <c r="C1087" i="22"/>
  <c r="R1096" i="4" s="1"/>
  <c r="C1065" i="22"/>
  <c r="R1074" i="4" s="1"/>
  <c r="C1209" i="22"/>
  <c r="R1219" i="4" s="1"/>
  <c r="C1142" i="22"/>
  <c r="R1152" i="4" s="1"/>
  <c r="C1050" i="22"/>
  <c r="R1059" i="4" s="1"/>
  <c r="C996" i="22"/>
  <c r="R1005" i="4" s="1"/>
  <c r="C1125" i="22"/>
  <c r="R1134" i="4" s="1"/>
  <c r="C751" i="22"/>
  <c r="R754" i="4" s="1"/>
  <c r="F672" i="22"/>
  <c r="C827" i="22"/>
  <c r="R834" i="4" s="1"/>
  <c r="C850" i="22"/>
  <c r="R857" i="4" s="1"/>
  <c r="C1260" i="22"/>
  <c r="R1270" i="4" s="1"/>
  <c r="G826" i="22"/>
  <c r="AB826" i="22" s="1"/>
  <c r="G346" i="22"/>
  <c r="AA346" i="22" s="1"/>
  <c r="C1280" i="22"/>
  <c r="R1290" i="4" s="1"/>
  <c r="C1447" i="22"/>
  <c r="R1457" i="4" s="1"/>
  <c r="F884" i="22"/>
  <c r="C1220" i="22"/>
  <c r="R1230" i="4" s="1"/>
  <c r="C1288" i="22"/>
  <c r="R1298" i="4" s="1"/>
  <c r="F919" i="22"/>
  <c r="C1223" i="22"/>
  <c r="R1233" i="4" s="1"/>
  <c r="C1272" i="22"/>
  <c r="R1282" i="4" s="1"/>
  <c r="C1391" i="22"/>
  <c r="R1401" i="4" s="1"/>
  <c r="F900" i="22"/>
  <c r="C1267" i="22"/>
  <c r="R1277" i="4" s="1"/>
  <c r="C1242" i="22"/>
  <c r="R1252" i="4" s="1"/>
  <c r="C1445" i="22"/>
  <c r="R1455" i="4" s="1"/>
  <c r="C439" i="22"/>
  <c r="R439" i="4" s="1"/>
  <c r="C1244" i="22"/>
  <c r="R1254" i="4" s="1"/>
  <c r="C1176" i="22"/>
  <c r="R1186" i="4" s="1"/>
  <c r="C829" i="22"/>
  <c r="R836" i="4" s="1"/>
  <c r="C816" i="22"/>
  <c r="R823" i="4" s="1"/>
  <c r="C1466" i="22"/>
  <c r="R1476" i="4" s="1"/>
  <c r="C1292" i="22"/>
  <c r="R1303" i="4" s="1"/>
  <c r="C1451" i="22"/>
  <c r="R1461" i="4" s="1"/>
  <c r="C1474" i="22"/>
  <c r="R1484" i="4" s="1"/>
  <c r="C1284" i="22"/>
  <c r="R1294" i="4" s="1"/>
  <c r="C1331" i="22"/>
  <c r="R1341" i="4" s="1"/>
  <c r="C1321" i="22"/>
  <c r="R1331" i="4" s="1"/>
  <c r="C437" i="22"/>
  <c r="R437" i="4" s="1"/>
  <c r="C652" i="22"/>
  <c r="R655" i="4" s="1"/>
  <c r="C1356" i="22"/>
  <c r="C1498" i="22"/>
  <c r="R1508" i="4" s="1"/>
  <c r="C1408" i="22"/>
  <c r="R1418" i="4" s="1"/>
  <c r="C1423" i="22"/>
  <c r="R1433" i="4" s="1"/>
  <c r="C1477" i="22"/>
  <c r="R1487" i="4" s="1"/>
  <c r="C1325" i="22"/>
  <c r="R1335" i="4" s="1"/>
  <c r="C1341" i="22"/>
  <c r="G1341" i="22" s="1"/>
  <c r="C1226" i="22"/>
  <c r="R1236" i="4" s="1"/>
  <c r="C1427" i="22"/>
  <c r="R1437" i="4" s="1"/>
  <c r="C1380" i="22"/>
  <c r="R1390" i="4" s="1"/>
  <c r="C1367" i="22"/>
  <c r="R1377" i="4" s="1"/>
  <c r="C1258" i="22"/>
  <c r="R1268" i="4" s="1"/>
  <c r="C990" i="22"/>
  <c r="R999" i="4" s="1"/>
  <c r="C443" i="22"/>
  <c r="R443" i="4" s="1"/>
  <c r="C945" i="22"/>
  <c r="R954" i="4" s="1"/>
  <c r="C1450" i="22"/>
  <c r="R1460" i="4" s="1"/>
  <c r="C1269" i="22"/>
  <c r="R1279" i="4" s="1"/>
  <c r="C1388" i="22"/>
  <c r="R1398" i="4" s="1"/>
  <c r="C663" i="22"/>
  <c r="R666" i="4" s="1"/>
  <c r="C1168" i="22"/>
  <c r="R1178" i="4" s="1"/>
  <c r="C1322" i="22"/>
  <c r="R1332" i="4" s="1"/>
  <c r="C1416" i="22"/>
  <c r="R1426" i="4" s="1"/>
  <c r="C1404" i="22"/>
  <c r="R1414" i="4" s="1"/>
  <c r="C429" i="22"/>
  <c r="R429" i="4" s="1"/>
  <c r="C1234" i="22"/>
  <c r="R1244" i="4" s="1"/>
  <c r="C1478" i="22"/>
  <c r="R1488" i="4" s="1"/>
  <c r="C1482" i="22"/>
  <c r="R1492" i="4" s="1"/>
  <c r="C1375" i="22"/>
  <c r="R1385" i="4" s="1"/>
  <c r="C1407" i="22"/>
  <c r="R1417" i="4" s="1"/>
  <c r="C1461" i="22"/>
  <c r="R1471" i="4" s="1"/>
  <c r="C1238" i="22"/>
  <c r="R1248" i="4" s="1"/>
  <c r="C1290" i="22"/>
  <c r="R1300" i="4" s="1"/>
  <c r="C1360" i="22"/>
  <c r="R1370" i="4" s="1"/>
  <c r="C1413" i="22"/>
  <c r="R1423" i="4" s="1"/>
  <c r="C1348" i="22"/>
  <c r="R1358" i="4" s="1"/>
  <c r="C1237" i="22"/>
  <c r="R1247" i="4" s="1"/>
  <c r="C1345" i="22"/>
  <c r="R1355" i="4" s="1"/>
  <c r="C1385" i="22"/>
  <c r="R1395" i="4" s="1"/>
  <c r="C464" i="22"/>
  <c r="R464" i="4" s="1"/>
  <c r="C1264" i="22"/>
  <c r="R1274" i="4" s="1"/>
  <c r="C1410" i="22"/>
  <c r="R1420" i="4" s="1"/>
  <c r="C1253" i="22"/>
  <c r="R1263" i="4" s="1"/>
  <c r="C1275" i="22"/>
  <c r="R1285" i="4" s="1"/>
  <c r="C1433" i="22"/>
  <c r="R1443" i="4" s="1"/>
  <c r="C442" i="22"/>
  <c r="R442" i="4" s="1"/>
  <c r="C698" i="22"/>
  <c r="R702" i="4" s="1"/>
  <c r="C641" i="22"/>
  <c r="R644" i="4" s="1"/>
  <c r="C1235" i="22"/>
  <c r="R1245" i="4" s="1"/>
  <c r="C1421" i="22"/>
  <c r="R1431" i="4" s="1"/>
  <c r="C1485" i="22"/>
  <c r="R1495" i="4" s="1"/>
  <c r="C1452" i="22"/>
  <c r="R1462" i="4" s="1"/>
  <c r="C358" i="22"/>
  <c r="R358" i="4" s="1"/>
  <c r="C542" i="22"/>
  <c r="R544" i="4" s="1"/>
  <c r="C1239" i="22"/>
  <c r="R1249" i="4" s="1"/>
  <c r="C1330" i="22"/>
  <c r="R1340" i="4" s="1"/>
  <c r="C1355" i="22"/>
  <c r="R1365" i="4" s="1"/>
  <c r="C1374" i="22"/>
  <c r="R1384" i="4" s="1"/>
  <c r="C1446" i="22"/>
  <c r="R1456" i="4" s="1"/>
  <c r="C1468" i="22"/>
  <c r="R1478" i="4" s="1"/>
  <c r="C352" i="22"/>
  <c r="R352" i="4" s="1"/>
  <c r="C1257" i="22"/>
  <c r="R1267" i="4" s="1"/>
  <c r="C1464" i="22"/>
  <c r="R1474" i="4" s="1"/>
  <c r="C1475" i="22"/>
  <c r="R1485" i="4" s="1"/>
  <c r="C545" i="22"/>
  <c r="R547" i="4" s="1"/>
  <c r="C1254" i="22"/>
  <c r="R1264" i="4" s="1"/>
  <c r="C1225" i="22"/>
  <c r="R1235" i="4" s="1"/>
  <c r="C1499" i="22"/>
  <c r="R1509" i="4" s="1"/>
  <c r="C1493" i="22"/>
  <c r="R1503" i="4" s="1"/>
  <c r="C1329" i="22"/>
  <c r="R1339" i="4" s="1"/>
  <c r="C1483" i="22"/>
  <c r="R1493" i="4" s="1"/>
  <c r="C1229" i="22"/>
  <c r="R1239" i="4" s="1"/>
  <c r="C362" i="22"/>
  <c r="R362" i="4" s="1"/>
  <c r="C1042" i="22"/>
  <c r="R1051" i="4" s="1"/>
  <c r="G594" i="22"/>
  <c r="F877" i="22"/>
  <c r="C828" i="22"/>
  <c r="R835" i="4" s="1"/>
  <c r="C1394" i="22"/>
  <c r="R1404" i="4" s="1"/>
  <c r="F908" i="22"/>
  <c r="C1393" i="22"/>
  <c r="R1403" i="4" s="1"/>
  <c r="C1448" i="22"/>
  <c r="R1458" i="4" s="1"/>
  <c r="C1440" i="22"/>
  <c r="R1450" i="4" s="1"/>
  <c r="C1303" i="22"/>
  <c r="R1313" i="4" s="1"/>
  <c r="C1219" i="22"/>
  <c r="R1229" i="4" s="1"/>
  <c r="C1428" i="22"/>
  <c r="R1438" i="4" s="1"/>
  <c r="C1453" i="22"/>
  <c r="R1463" i="4" s="1"/>
  <c r="C553" i="22"/>
  <c r="R555" i="4" s="1"/>
  <c r="C1403" i="22"/>
  <c r="R1413" i="4" s="1"/>
  <c r="C1495" i="22"/>
  <c r="R1505" i="4" s="1"/>
  <c r="C1437" i="22"/>
  <c r="R1447" i="4" s="1"/>
  <c r="C1492" i="22"/>
  <c r="R1502" i="4" s="1"/>
  <c r="C1227" i="22"/>
  <c r="R1237" i="4" s="1"/>
  <c r="C1319" i="22"/>
  <c r="R1329" i="4" s="1"/>
  <c r="C1354" i="22"/>
  <c r="R1364" i="4" s="1"/>
  <c r="C1414" i="22"/>
  <c r="R1424" i="4" s="1"/>
  <c r="C1467" i="22"/>
  <c r="R1477" i="4" s="1"/>
  <c r="C617" i="22"/>
  <c r="R620" i="4" s="1"/>
  <c r="C1497" i="22"/>
  <c r="R1507" i="4" s="1"/>
  <c r="C1471" i="22"/>
  <c r="R1481" i="4" s="1"/>
  <c r="C1417" i="22"/>
  <c r="R1427" i="4" s="1"/>
  <c r="C1443" i="22"/>
  <c r="R1453" i="4" s="1"/>
  <c r="C1476" i="22"/>
  <c r="R1486" i="4" s="1"/>
  <c r="C752" i="22"/>
  <c r="R755" i="4" s="1"/>
  <c r="C851" i="22"/>
  <c r="R858" i="4" s="1"/>
  <c r="G792" i="22"/>
  <c r="AB792" i="22" s="1"/>
  <c r="C1382" i="22"/>
  <c r="R1392" i="4" s="1"/>
  <c r="C1271" i="22"/>
  <c r="R1281" i="4" s="1"/>
  <c r="C1268" i="22"/>
  <c r="R1278" i="4" s="1"/>
  <c r="C1283" i="22"/>
  <c r="R1293" i="4" s="1"/>
  <c r="C1236" i="22"/>
  <c r="R1246" i="4" s="1"/>
  <c r="C1353" i="22"/>
  <c r="R1363" i="4" s="1"/>
  <c r="C436" i="22"/>
  <c r="R436" i="4" s="1"/>
  <c r="C1369" i="22"/>
  <c r="R1379" i="4" s="1"/>
  <c r="C1463" i="22"/>
  <c r="R1473" i="4" s="1"/>
  <c r="C1339" i="22"/>
  <c r="G1339" i="22" s="1"/>
  <c r="C445" i="22"/>
  <c r="R445" i="4" s="1"/>
  <c r="C1422" i="22"/>
  <c r="R1432" i="4" s="1"/>
  <c r="C1320" i="22"/>
  <c r="R1330" i="4" s="1"/>
  <c r="C1216" i="22"/>
  <c r="R1226" i="4" s="1"/>
  <c r="C1286" i="22"/>
  <c r="R1296" i="4" s="1"/>
  <c r="C1398" i="22"/>
  <c r="R1408" i="4" s="1"/>
  <c r="C1379" i="22"/>
  <c r="R1389" i="4" s="1"/>
  <c r="C433" i="22"/>
  <c r="R433" i="4" s="1"/>
  <c r="C1465" i="22"/>
  <c r="R1475" i="4" s="1"/>
  <c r="C1487" i="22"/>
  <c r="R1497" i="4" s="1"/>
  <c r="C1397" i="22"/>
  <c r="R1407" i="4" s="1"/>
  <c r="G1335" i="22"/>
  <c r="C1490" i="22"/>
  <c r="R1500" i="4" s="1"/>
  <c r="C1299" i="22"/>
  <c r="C1426" i="22"/>
  <c r="R1436" i="4" s="1"/>
  <c r="C1439" i="22"/>
  <c r="C979" i="22"/>
  <c r="R988" i="4" s="1"/>
  <c r="C1277" i="22"/>
  <c r="R1287" i="4" s="1"/>
  <c r="C1255" i="22"/>
  <c r="R1265" i="4" s="1"/>
  <c r="C1252" i="22"/>
  <c r="R1262" i="4" s="1"/>
  <c r="C762" i="22"/>
  <c r="R764" i="4" s="1"/>
  <c r="C1480" i="22"/>
  <c r="R1490" i="4" s="1"/>
  <c r="C1462" i="22"/>
  <c r="R1472" i="4" s="1"/>
  <c r="C1333" i="22"/>
  <c r="R1343" i="4" s="1"/>
  <c r="C1420" i="22"/>
  <c r="R1430" i="4" s="1"/>
  <c r="C1429" i="22"/>
  <c r="R1439" i="4" s="1"/>
  <c r="C1415" i="22"/>
  <c r="R1425" i="4" s="1"/>
  <c r="C1324" i="22"/>
  <c r="R1334" i="4" s="1"/>
  <c r="C1233" i="22"/>
  <c r="R1243" i="4" s="1"/>
  <c r="C1251" i="22"/>
  <c r="R1261" i="4" s="1"/>
  <c r="C1459" i="22"/>
  <c r="R1469" i="4" s="1"/>
  <c r="C1381" i="22"/>
  <c r="R1391" i="4" s="1"/>
  <c r="C587" i="22"/>
  <c r="R589" i="4" s="1"/>
  <c r="C1368" i="22"/>
  <c r="R1378" i="4" s="1"/>
  <c r="C1424" i="22"/>
  <c r="R1434" i="4" s="1"/>
  <c r="C1418" i="22"/>
  <c r="R1428" i="4" s="1"/>
  <c r="C1318" i="22"/>
  <c r="R1328" i="4" s="1"/>
  <c r="C353" i="22"/>
  <c r="R353" i="4" s="1"/>
  <c r="C687" i="22"/>
  <c r="R691" i="4" s="1"/>
  <c r="C869" i="22"/>
  <c r="R876" i="4" s="1"/>
  <c r="C1287" i="22"/>
  <c r="R1297" i="4" s="1"/>
  <c r="C1328" i="22"/>
  <c r="R1338" i="4" s="1"/>
  <c r="C1399" i="22"/>
  <c r="R1409" i="4" s="1"/>
  <c r="C1311" i="22"/>
  <c r="R1321" i="4" s="1"/>
  <c r="C1442" i="22"/>
  <c r="R1452" i="4" s="1"/>
  <c r="C434" i="22"/>
  <c r="R434" i="4" s="1"/>
  <c r="C1438" i="22"/>
  <c r="R1448" i="4" s="1"/>
  <c r="C1217" i="22"/>
  <c r="R1227" i="4" s="1"/>
  <c r="C1370" i="22"/>
  <c r="R1380" i="4" s="1"/>
  <c r="C1351" i="22"/>
  <c r="R1361" i="4" s="1"/>
  <c r="C1364" i="22"/>
  <c r="R1374" i="4" s="1"/>
  <c r="C554" i="22"/>
  <c r="R556" i="4" s="1"/>
  <c r="C1349" i="22"/>
  <c r="R1359" i="4" s="1"/>
  <c r="C656" i="22"/>
  <c r="R659" i="4" s="1"/>
  <c r="C1372" i="22"/>
  <c r="R1382" i="4" s="1"/>
  <c r="C658" i="22"/>
  <c r="R661" i="4" s="1"/>
  <c r="C1401" i="22"/>
  <c r="R1411" i="4" s="1"/>
  <c r="C1231" i="22"/>
  <c r="R1241" i="4" s="1"/>
  <c r="C604" i="22"/>
  <c r="R607" i="4" s="1"/>
  <c r="C918" i="22"/>
  <c r="R925" i="4" s="1"/>
  <c r="C1206" i="22"/>
  <c r="R1216" i="4" s="1"/>
  <c r="C801" i="22"/>
  <c r="R808" i="4" s="1"/>
  <c r="C1274" i="22"/>
  <c r="R1284" i="4" s="1"/>
  <c r="G395" i="22"/>
  <c r="AA395" i="22" s="1"/>
  <c r="C1256" i="22"/>
  <c r="R1266" i="4" s="1"/>
  <c r="C1458" i="22"/>
  <c r="R1468" i="4" s="1"/>
  <c r="C645" i="22"/>
  <c r="R648" i="4" s="1"/>
  <c r="C1241" i="22"/>
  <c r="R1251" i="4" s="1"/>
  <c r="C1230" i="22"/>
  <c r="R1240" i="4" s="1"/>
  <c r="C619" i="22"/>
  <c r="R622" i="4" s="1"/>
  <c r="C943" i="22"/>
  <c r="R952" i="4" s="1"/>
  <c r="C626" i="22"/>
  <c r="R629" i="4" s="1"/>
  <c r="C789" i="22"/>
  <c r="R796" i="4" s="1"/>
  <c r="C889" i="22"/>
  <c r="R896" i="4" s="1"/>
  <c r="C376" i="22"/>
  <c r="R376" i="4" s="1"/>
  <c r="C992" i="22"/>
  <c r="R1001" i="4" s="1"/>
  <c r="C1107" i="22"/>
  <c r="R1116" i="4" s="1"/>
  <c r="C1131" i="22"/>
  <c r="R1140" i="4" s="1"/>
  <c r="C463" i="22"/>
  <c r="R463" i="4" s="1"/>
  <c r="C562" i="22"/>
  <c r="R564" i="4" s="1"/>
  <c r="C1151" i="22"/>
  <c r="R1161" i="4" s="1"/>
  <c r="C448" i="22"/>
  <c r="R448" i="4" s="1"/>
  <c r="C1208" i="22"/>
  <c r="R1218" i="4" s="1"/>
  <c r="C597" i="22"/>
  <c r="R600" i="4" s="1"/>
  <c r="C1164" i="22"/>
  <c r="R1174" i="4" s="1"/>
  <c r="C742" i="22"/>
  <c r="R746" i="4" s="1"/>
  <c r="C1166" i="22"/>
  <c r="R1176" i="4" s="1"/>
  <c r="C931" i="22"/>
  <c r="R940" i="4" s="1"/>
  <c r="C676" i="22"/>
  <c r="R679" i="4" s="1"/>
  <c r="G750" i="22"/>
  <c r="AB750" i="22" s="1"/>
  <c r="C949" i="22"/>
  <c r="R958" i="4" s="1"/>
  <c r="C690" i="22"/>
  <c r="R694" i="4" s="1"/>
  <c r="C1099" i="22"/>
  <c r="R1108" i="4" s="1"/>
  <c r="C856" i="22"/>
  <c r="R863" i="4" s="1"/>
  <c r="C855" i="22"/>
  <c r="R862" i="4" s="1"/>
  <c r="C1108" i="22"/>
  <c r="R1117" i="4" s="1"/>
  <c r="C566" i="22"/>
  <c r="R568" i="4" s="1"/>
  <c r="C633" i="22"/>
  <c r="R636" i="4" s="1"/>
  <c r="G408" i="22"/>
  <c r="AA408" i="22" s="1"/>
  <c r="C991" i="22"/>
  <c r="R1000" i="4" s="1"/>
  <c r="C858" i="22"/>
  <c r="R865" i="4" s="1"/>
  <c r="C1043" i="22"/>
  <c r="R1052" i="4" s="1"/>
  <c r="F910" i="22"/>
  <c r="F890" i="22"/>
  <c r="C344" i="22"/>
  <c r="R344" i="4" s="1"/>
  <c r="C749" i="22"/>
  <c r="R752" i="4" s="1"/>
  <c r="C892" i="22"/>
  <c r="R899" i="4" s="1"/>
  <c r="C1101" i="22"/>
  <c r="R1110" i="4" s="1"/>
  <c r="G603" i="22"/>
  <c r="C897" i="22"/>
  <c r="R904" i="4" s="1"/>
  <c r="C620" i="22"/>
  <c r="R623" i="4" s="1"/>
  <c r="G715" i="22"/>
  <c r="AB715" i="22" s="1"/>
  <c r="C661" i="22"/>
  <c r="R664" i="4" s="1"/>
  <c r="C596" i="22"/>
  <c r="R599" i="4" s="1"/>
  <c r="G366" i="22"/>
  <c r="AA366" i="22" s="1"/>
  <c r="F899" i="22"/>
  <c r="G627" i="22"/>
  <c r="C401" i="22"/>
  <c r="R401" i="4" s="1"/>
  <c r="C583" i="22"/>
  <c r="R585" i="4" s="1"/>
  <c r="C824" i="22"/>
  <c r="R831" i="4" s="1"/>
  <c r="C961" i="22"/>
  <c r="R970" i="4" s="1"/>
  <c r="C465" i="22"/>
  <c r="R465" i="4" s="1"/>
  <c r="G643" i="22"/>
  <c r="F897" i="22"/>
  <c r="C651" i="22"/>
  <c r="R654" i="4" s="1"/>
  <c r="C1122" i="22"/>
  <c r="R1131" i="4" s="1"/>
  <c r="C1212" i="22"/>
  <c r="R1222" i="4" s="1"/>
  <c r="C480" i="22"/>
  <c r="R480" i="4" s="1"/>
  <c r="C638" i="22"/>
  <c r="R641" i="4" s="1"/>
  <c r="C481" i="22"/>
  <c r="R481" i="4" s="1"/>
  <c r="C1039" i="22"/>
  <c r="R1048" i="4" s="1"/>
  <c r="C560" i="22"/>
  <c r="R561" i="4" s="1"/>
  <c r="C595" i="22"/>
  <c r="R598" i="4" s="1"/>
  <c r="C1048" i="22"/>
  <c r="R1057" i="4" s="1"/>
  <c r="C793" i="22"/>
  <c r="R800" i="4" s="1"/>
  <c r="G533" i="22"/>
  <c r="AB533" i="22" s="1"/>
  <c r="C700" i="22"/>
  <c r="R704" i="4" s="1"/>
  <c r="C1069" i="22"/>
  <c r="R1078" i="4" s="1"/>
  <c r="C859" i="22"/>
  <c r="R866" i="4" s="1"/>
  <c r="C360" i="22"/>
  <c r="R360" i="4" s="1"/>
  <c r="C629" i="22"/>
  <c r="R632" i="4" s="1"/>
  <c r="C482" i="22"/>
  <c r="R482" i="4" s="1"/>
  <c r="F895" i="22"/>
  <c r="C410" i="22"/>
  <c r="R410" i="4" s="1"/>
  <c r="C880" i="22"/>
  <c r="R887" i="4" s="1"/>
  <c r="C960" i="22"/>
  <c r="R969" i="4" s="1"/>
  <c r="C682" i="22"/>
  <c r="R686" i="4" s="1"/>
  <c r="C891" i="22"/>
  <c r="R898" i="4" s="1"/>
  <c r="C569" i="22"/>
  <c r="R571" i="4" s="1"/>
  <c r="C911" i="22"/>
  <c r="R918" i="4" s="1"/>
  <c r="C1103" i="22"/>
  <c r="R1112" i="4" s="1"/>
  <c r="C383" i="22"/>
  <c r="R383" i="4" s="1"/>
  <c r="C363" i="22"/>
  <c r="R363" i="4" s="1"/>
  <c r="C840" i="22"/>
  <c r="R847" i="4" s="1"/>
  <c r="F886" i="22"/>
  <c r="C568" i="22"/>
  <c r="R570" i="4" s="1"/>
  <c r="C871" i="22"/>
  <c r="R878" i="4" s="1"/>
  <c r="G456" i="22"/>
  <c r="C532" i="22"/>
  <c r="R534" i="4" s="1"/>
  <c r="F889" i="22"/>
  <c r="F912" i="22"/>
  <c r="G912" i="22" s="1"/>
  <c r="C985" i="22"/>
  <c r="R994" i="4" s="1"/>
  <c r="C976" i="22"/>
  <c r="R985" i="4" s="1"/>
  <c r="C312" i="22"/>
  <c r="R312" i="4" s="1"/>
  <c r="C1127" i="22"/>
  <c r="R1136" i="4" s="1"/>
  <c r="C734" i="22"/>
  <c r="R738" i="4" s="1"/>
  <c r="C1033" i="22"/>
  <c r="R1042" i="4" s="1"/>
  <c r="C958" i="22"/>
  <c r="R967" i="4" s="1"/>
  <c r="C1144" i="22"/>
  <c r="R1154" i="4" s="1"/>
  <c r="C1183" i="22"/>
  <c r="R1193" i="4" s="1"/>
  <c r="C558" i="22"/>
  <c r="R560" i="4" s="1"/>
  <c r="C1153" i="22"/>
  <c r="R1163" i="4" s="1"/>
  <c r="C683" i="22"/>
  <c r="R687" i="4" s="1"/>
  <c r="G873" i="22"/>
  <c r="AB873" i="22" s="1"/>
  <c r="C1204" i="22"/>
  <c r="R1214" i="4" s="1"/>
  <c r="C716" i="22"/>
  <c r="R720" i="4" s="1"/>
  <c r="F906" i="22"/>
  <c r="G906" i="22" s="1"/>
  <c r="G468" i="22"/>
  <c r="C925" i="22"/>
  <c r="R934" i="4" s="1"/>
  <c r="C790" i="22"/>
  <c r="R797" i="4" s="1"/>
  <c r="C1199" i="22"/>
  <c r="R1209" i="4" s="1"/>
  <c r="C926" i="22"/>
  <c r="R935" i="4" s="1"/>
  <c r="C426" i="22"/>
  <c r="R426" i="4" s="1"/>
  <c r="G611" i="22"/>
  <c r="G708" i="22"/>
  <c r="AB708" i="22" s="1"/>
  <c r="C550" i="22"/>
  <c r="R552" i="4" s="1"/>
  <c r="C373" i="22"/>
  <c r="R373" i="4" s="1"/>
  <c r="C571" i="22"/>
  <c r="R573" i="4" s="1"/>
  <c r="C741" i="22"/>
  <c r="R745" i="4" s="1"/>
  <c r="C864" i="22"/>
  <c r="R871" i="4" s="1"/>
  <c r="F901" i="22"/>
  <c r="C582" i="22"/>
  <c r="R584" i="4" s="1"/>
  <c r="C409" i="22"/>
  <c r="C1150" i="22"/>
  <c r="R1160" i="4" s="1"/>
  <c r="C1098" i="22"/>
  <c r="R1107" i="4" s="1"/>
  <c r="C606" i="22"/>
  <c r="R609" i="4" s="1"/>
  <c r="C890" i="22"/>
  <c r="R897" i="4" s="1"/>
  <c r="C1007" i="22"/>
  <c r="R1016" i="4" s="1"/>
  <c r="C999" i="22"/>
  <c r="R1008" i="4" s="1"/>
  <c r="C1085" i="22"/>
  <c r="R1094" i="4" s="1"/>
  <c r="C602" i="22"/>
  <c r="R605" i="4" s="1"/>
  <c r="C405" i="22"/>
  <c r="R405" i="4" s="1"/>
  <c r="C1010" i="22"/>
  <c r="R1019" i="4" s="1"/>
  <c r="F885" i="22"/>
  <c r="C387" i="22"/>
  <c r="R387" i="4" s="1"/>
  <c r="C634" i="22"/>
  <c r="R637" i="4" s="1"/>
  <c r="C697" i="22"/>
  <c r="R701" i="4" s="1"/>
  <c r="F911" i="22"/>
  <c r="F917" i="22"/>
  <c r="D535" i="22"/>
  <c r="E678" i="22" s="1"/>
  <c r="C1106" i="22"/>
  <c r="R1115" i="4" s="1"/>
  <c r="C893" i="22"/>
  <c r="R900" i="4" s="1"/>
  <c r="C392" i="22"/>
  <c r="R392" i="4" s="1"/>
  <c r="G576" i="22"/>
  <c r="G674" i="22"/>
  <c r="G418" i="22"/>
  <c r="AA418" i="22" s="1"/>
  <c r="C351" i="22"/>
  <c r="R351" i="4" s="1"/>
  <c r="C808" i="22"/>
  <c r="R815" i="4" s="1"/>
  <c r="C983" i="22"/>
  <c r="R992" i="4" s="1"/>
  <c r="C957" i="22"/>
  <c r="R966" i="4" s="1"/>
  <c r="C831" i="22"/>
  <c r="R838" i="4" s="1"/>
  <c r="C365" i="22"/>
  <c r="R365" i="4" s="1"/>
  <c r="C1158" i="22"/>
  <c r="R1168" i="4" s="1"/>
  <c r="C1154" i="22"/>
  <c r="R1164" i="4" s="1"/>
  <c r="G817" i="22"/>
  <c r="C407" i="22"/>
  <c r="R407" i="4" s="1"/>
  <c r="C1173" i="22"/>
  <c r="R1183" i="4" s="1"/>
  <c r="G369" i="22"/>
  <c r="AA369" i="22" s="1"/>
  <c r="C397" i="22"/>
  <c r="R397" i="4" s="1"/>
  <c r="C384" i="22"/>
  <c r="R384" i="4" s="1"/>
  <c r="F882" i="22"/>
  <c r="G552" i="22"/>
  <c r="G345" i="22"/>
  <c r="AA345" i="22" s="1"/>
  <c r="C537" i="22"/>
  <c r="R539" i="4" s="1"/>
  <c r="C707" i="22"/>
  <c r="R711" i="4" s="1"/>
  <c r="C981" i="22"/>
  <c r="R990" i="4" s="1"/>
  <c r="C731" i="22"/>
  <c r="R735" i="4" s="1"/>
  <c r="C1161" i="22"/>
  <c r="R1171" i="4" s="1"/>
  <c r="C832" i="22"/>
  <c r="R839" i="4" s="1"/>
  <c r="C736" i="22"/>
  <c r="R740" i="4" s="1"/>
  <c r="C783" i="22"/>
  <c r="R790" i="4" s="1"/>
  <c r="C1093" i="22"/>
  <c r="R1102" i="4" s="1"/>
  <c r="F883" i="22"/>
  <c r="G883" i="22" s="1"/>
  <c r="F893" i="22"/>
  <c r="C1070" i="22"/>
  <c r="R1079" i="4" s="1"/>
  <c r="C1059" i="22"/>
  <c r="R1068" i="4" s="1"/>
  <c r="C635" i="22"/>
  <c r="R638" i="4" s="1"/>
  <c r="C1009" i="22"/>
  <c r="R1018" i="4" s="1"/>
  <c r="C114" i="22"/>
  <c r="R113" i="4" s="1"/>
  <c r="H102" i="22"/>
  <c r="AA102" i="22" s="1"/>
  <c r="F57" i="6"/>
  <c r="E57" i="6"/>
  <c r="F1219" i="10" s="1"/>
  <c r="D37" i="20"/>
  <c r="C62" i="22"/>
  <c r="R62" i="4" s="1"/>
  <c r="C41" i="22"/>
  <c r="C343" i="22"/>
  <c r="R343" i="4" s="1"/>
  <c r="R414" i="4" l="1"/>
  <c r="G414" i="22"/>
  <c r="G1219" i="10"/>
  <c r="R675" i="4"/>
  <c r="G383" i="10"/>
  <c r="H35" i="21"/>
  <c r="R1292" i="4"/>
  <c r="L1291" i="4"/>
  <c r="R1291" i="4"/>
  <c r="L1308" i="4"/>
  <c r="R1308" i="4"/>
  <c r="R1309" i="4"/>
  <c r="L1307" i="4"/>
  <c r="R1307" i="4"/>
  <c r="G978" i="10"/>
  <c r="H978" i="10" s="1"/>
  <c r="R1366" i="4"/>
  <c r="L1367" i="4"/>
  <c r="R1367" i="4"/>
  <c r="H967" i="22"/>
  <c r="AA967" i="22" s="1"/>
  <c r="R41" i="4"/>
  <c r="R1459" i="4"/>
  <c r="R1449" i="4"/>
  <c r="D409" i="22"/>
  <c r="G409" i="22" s="1"/>
  <c r="AA409" i="22" s="1"/>
  <c r="R409" i="4"/>
  <c r="H132" i="16"/>
  <c r="H116" i="16"/>
  <c r="I132" i="16"/>
  <c r="I116" i="16"/>
  <c r="L1516" i="4"/>
  <c r="L1518" i="4"/>
  <c r="AA79" i="22"/>
  <c r="AB221" i="22"/>
  <c r="AB278" i="22"/>
  <c r="AB281" i="22"/>
  <c r="AB204" i="22"/>
  <c r="AB1502" i="22"/>
  <c r="AB256" i="22"/>
  <c r="AB1194" i="22"/>
  <c r="AB286" i="22"/>
  <c r="AB664" i="22"/>
  <c r="AB280" i="22"/>
  <c r="AB667" i="22"/>
  <c r="AA1504" i="22"/>
  <c r="AB236" i="22"/>
  <c r="AB261" i="22"/>
  <c r="AB294" i="22"/>
  <c r="AB282" i="22"/>
  <c r="AB300" i="22"/>
  <c r="AB665" i="22"/>
  <c r="AB187" i="22"/>
  <c r="AB295" i="22"/>
  <c r="AB78" i="22"/>
  <c r="AB216" i="22"/>
  <c r="AB1197" i="22"/>
  <c r="AB230" i="22"/>
  <c r="AB117" i="22"/>
  <c r="AB207" i="22"/>
  <c r="AB292" i="22"/>
  <c r="AB284" i="22"/>
  <c r="AB293" i="22"/>
  <c r="AB237" i="22"/>
  <c r="AB142" i="22"/>
  <c r="AB666" i="22"/>
  <c r="AB103" i="22"/>
  <c r="AB646" i="22"/>
  <c r="AB98" i="22"/>
  <c r="AA1201" i="22"/>
  <c r="AB1201" i="22"/>
  <c r="AB369" i="22"/>
  <c r="AA903" i="22"/>
  <c r="AB903" i="22"/>
  <c r="AB102" i="22"/>
  <c r="AA627" i="22"/>
  <c r="AB627" i="22"/>
  <c r="AA75" i="22"/>
  <c r="AB75" i="22"/>
  <c r="AA905" i="22"/>
  <c r="AB905" i="22"/>
  <c r="AA534" i="22"/>
  <c r="AB1501" i="22"/>
  <c r="T594" i="22"/>
  <c r="AA594" i="22" s="1"/>
  <c r="AA898" i="22"/>
  <c r="AB898" i="22"/>
  <c r="AB326" i="22"/>
  <c r="AB1187" i="22"/>
  <c r="AB1211" i="22"/>
  <c r="AB210" i="22"/>
  <c r="AB1503" i="22"/>
  <c r="AB1193" i="22"/>
  <c r="AA457" i="22"/>
  <c r="AB457" i="22"/>
  <c r="AA567" i="22"/>
  <c r="AA649" i="22"/>
  <c r="AB649" i="22"/>
  <c r="AB366" i="22"/>
  <c r="AA455" i="22"/>
  <c r="AB455" i="22"/>
  <c r="AA68" i="22"/>
  <c r="AB68" i="22"/>
  <c r="T324" i="22"/>
  <c r="AA324" i="22" s="1"/>
  <c r="AA1071" i="22"/>
  <c r="AB1071" i="22"/>
  <c r="AA972" i="22"/>
  <c r="AB972" i="22"/>
  <c r="AB80" i="22"/>
  <c r="AB279" i="22"/>
  <c r="AB231" i="22"/>
  <c r="AB341" i="22"/>
  <c r="AA906" i="22"/>
  <c r="AB906" i="22"/>
  <c r="F671" i="22"/>
  <c r="T355" i="22"/>
  <c r="AA355" i="22" s="1"/>
  <c r="AB375" i="22"/>
  <c r="AB334" i="22"/>
  <c r="S447" i="22"/>
  <c r="AA447" i="22" s="1"/>
  <c r="AB335" i="22"/>
  <c r="AB223" i="22"/>
  <c r="AB325" i="22"/>
  <c r="AB346" i="22"/>
  <c r="AA313" i="22"/>
  <c r="AB313" i="22"/>
  <c r="AA603" i="22"/>
  <c r="AB603" i="22"/>
  <c r="AA924" i="22"/>
  <c r="AB924" i="22"/>
  <c r="AA628" i="22"/>
  <c r="AB628" i="22"/>
  <c r="AA937" i="22"/>
  <c r="AB937" i="22"/>
  <c r="AB378" i="22"/>
  <c r="AB412" i="22"/>
  <c r="AA460" i="22"/>
  <c r="AB460" i="22"/>
  <c r="AB339" i="22"/>
  <c r="AA543" i="22"/>
  <c r="AA65" i="22"/>
  <c r="AB65" i="22"/>
  <c r="AB81" i="22"/>
  <c r="AB1195" i="22"/>
  <c r="AB337" i="22"/>
  <c r="AA456" i="22"/>
  <c r="AB456" i="22"/>
  <c r="AB1196" i="22"/>
  <c r="T333" i="22"/>
  <c r="AA333" i="22" s="1"/>
  <c r="AA932" i="22"/>
  <c r="AB932" i="22"/>
  <c r="T336" i="22"/>
  <c r="AA336" i="22" s="1"/>
  <c r="AA449" i="22"/>
  <c r="AB449" i="22"/>
  <c r="AA1167" i="22"/>
  <c r="AB1167" i="22"/>
  <c r="AB1198" i="22"/>
  <c r="AA611" i="22"/>
  <c r="AB611" i="22"/>
  <c r="AA533" i="22"/>
  <c r="AB395" i="22"/>
  <c r="AA1449" i="22"/>
  <c r="AB1449" i="22"/>
  <c r="AA881" i="22"/>
  <c r="AB881" i="22"/>
  <c r="AB417" i="22"/>
  <c r="AB149" i="22"/>
  <c r="AB419" i="22"/>
  <c r="AB1500" i="22"/>
  <c r="AB418" i="22"/>
  <c r="AA1133" i="22"/>
  <c r="AB1133" i="22"/>
  <c r="AA659" i="22"/>
  <c r="AB659" i="22"/>
  <c r="AA576" i="22"/>
  <c r="AB576" i="22"/>
  <c r="AA468" i="22"/>
  <c r="AB468" i="22"/>
  <c r="AA483" i="22"/>
  <c r="AB425" i="22"/>
  <c r="AA1121" i="22"/>
  <c r="AB1121" i="22"/>
  <c r="AB345" i="22"/>
  <c r="AA912" i="22"/>
  <c r="AB912" i="22"/>
  <c r="AA883" i="22"/>
  <c r="AB883" i="22"/>
  <c r="AA643" i="22"/>
  <c r="AB643" i="22"/>
  <c r="AB408" i="22"/>
  <c r="AB342" i="22"/>
  <c r="AA315" i="22"/>
  <c r="AB315" i="22"/>
  <c r="AA74" i="22"/>
  <c r="AB74" i="22"/>
  <c r="AA923" i="22"/>
  <c r="AB923" i="22"/>
  <c r="AB138" i="22"/>
  <c r="AB123" i="22"/>
  <c r="AB332" i="22"/>
  <c r="AB220" i="22"/>
  <c r="AB1192" i="22"/>
  <c r="E1486" i="22"/>
  <c r="G678" i="22"/>
  <c r="G928" i="22"/>
  <c r="G1058" i="22"/>
  <c r="G929" i="22"/>
  <c r="G1073" i="22"/>
  <c r="G985" i="22"/>
  <c r="G713" i="22"/>
  <c r="AB713" i="22" s="1"/>
  <c r="G963" i="22"/>
  <c r="G987" i="22"/>
  <c r="G1017" i="22"/>
  <c r="G969" i="22"/>
  <c r="G396" i="22"/>
  <c r="AA396" i="22" s="1"/>
  <c r="G934" i="22"/>
  <c r="G1153" i="22"/>
  <c r="G991" i="22"/>
  <c r="G992" i="22"/>
  <c r="G612" i="22"/>
  <c r="G1000" i="22"/>
  <c r="G1022" i="22"/>
  <c r="G323" i="22"/>
  <c r="G1166" i="22"/>
  <c r="G376" i="22"/>
  <c r="AA376" i="22" s="1"/>
  <c r="G687" i="22"/>
  <c r="G1142" i="22"/>
  <c r="G830" i="22"/>
  <c r="G548" i="22"/>
  <c r="G1082" i="22"/>
  <c r="G962" i="22"/>
  <c r="G1038" i="22"/>
  <c r="G1053" i="22"/>
  <c r="G1054" i="22"/>
  <c r="G1123" i="22"/>
  <c r="G473" i="22"/>
  <c r="G1102" i="22"/>
  <c r="G1202" i="22"/>
  <c r="G896" i="22"/>
  <c r="G1076" i="22"/>
  <c r="G1072" i="22"/>
  <c r="G748" i="22"/>
  <c r="AB748" i="22" s="1"/>
  <c r="G989" i="22"/>
  <c r="G1037" i="22"/>
  <c r="G813" i="22"/>
  <c r="AB813" i="22" s="1"/>
  <c r="G388" i="22"/>
  <c r="AA388" i="22" s="1"/>
  <c r="G458" i="22"/>
  <c r="G927" i="22"/>
  <c r="G1140" i="22"/>
  <c r="G373" i="22"/>
  <c r="AA373" i="22" s="1"/>
  <c r="G952" i="22"/>
  <c r="G1113" i="22"/>
  <c r="G804" i="22"/>
  <c r="G541" i="22"/>
  <c r="AB541" i="22" s="1"/>
  <c r="G1163" i="22"/>
  <c r="G589" i="22"/>
  <c r="G623" i="22"/>
  <c r="G1152" i="22"/>
  <c r="G549" i="22"/>
  <c r="AB549" i="22" s="1"/>
  <c r="G1070" i="22"/>
  <c r="G1176" i="22"/>
  <c r="G802" i="22"/>
  <c r="G1165" i="22"/>
  <c r="H1165" i="22" s="1"/>
  <c r="G974" i="22"/>
  <c r="G650" i="22"/>
  <c r="G891" i="22"/>
  <c r="G374" i="22"/>
  <c r="G1124" i="22"/>
  <c r="G1141" i="22"/>
  <c r="G983" i="22"/>
  <c r="G1093" i="22"/>
  <c r="G808" i="22"/>
  <c r="AB808" i="22" s="1"/>
  <c r="G960" i="22"/>
  <c r="G353" i="22"/>
  <c r="G1209" i="22"/>
  <c r="G1210" i="22"/>
  <c r="G1013" i="22"/>
  <c r="G1066" i="22"/>
  <c r="G1014" i="22"/>
  <c r="G968" i="22"/>
  <c r="G1012" i="22"/>
  <c r="G1134" i="22"/>
  <c r="G846" i="22"/>
  <c r="AB846" i="22" s="1"/>
  <c r="G1004" i="22"/>
  <c r="G1104" i="22"/>
  <c r="G848" i="22"/>
  <c r="AB848" i="22" s="1"/>
  <c r="G469" i="22"/>
  <c r="G1145" i="22"/>
  <c r="G1182" i="22"/>
  <c r="G588" i="22"/>
  <c r="G823" i="22"/>
  <c r="G902" i="22"/>
  <c r="G980" i="22"/>
  <c r="G757" i="22"/>
  <c r="G1185" i="22"/>
  <c r="G714" i="22"/>
  <c r="AB714" i="22" s="1"/>
  <c r="G821" i="22"/>
  <c r="AB821" i="22" s="1"/>
  <c r="G863" i="22"/>
  <c r="AB863" i="22" s="1"/>
  <c r="S390" i="22"/>
  <c r="AA390" i="22" s="1"/>
  <c r="G1052" i="22"/>
  <c r="G1170" i="22"/>
  <c r="G785" i="22"/>
  <c r="AB785" i="22" s="1"/>
  <c r="G1146" i="22"/>
  <c r="G1045" i="22"/>
  <c r="G1047" i="22"/>
  <c r="G593" i="22"/>
  <c r="G933" i="22"/>
  <c r="G632" i="22"/>
  <c r="G681" i="22"/>
  <c r="G837" i="22"/>
  <c r="AB837" i="22" s="1"/>
  <c r="G1097" i="22"/>
  <c r="G644" i="22"/>
  <c r="G822" i="22"/>
  <c r="AB822" i="22" s="1"/>
  <c r="G1006" i="22"/>
  <c r="D385" i="22"/>
  <c r="G385" i="22" s="1"/>
  <c r="AA385" i="22" s="1"/>
  <c r="G1158" i="22"/>
  <c r="G976" i="22"/>
  <c r="G949" i="22"/>
  <c r="G973" i="22"/>
  <c r="G1035" i="22"/>
  <c r="G1112" i="22"/>
  <c r="G874" i="22"/>
  <c r="AB874" i="22" s="1"/>
  <c r="G1060" i="22"/>
  <c r="G470" i="22"/>
  <c r="G835" i="22"/>
  <c r="AB835" i="22" s="1"/>
  <c r="G1122" i="22"/>
  <c r="G1043" i="22"/>
  <c r="G1042" i="22"/>
  <c r="G990" i="22"/>
  <c r="G1126" i="22"/>
  <c r="G1005" i="22"/>
  <c r="G1107" i="22"/>
  <c r="G979" i="22"/>
  <c r="G996" i="22"/>
  <c r="G1061" i="22"/>
  <c r="G993" i="22"/>
  <c r="G598" i="22"/>
  <c r="G944" i="22"/>
  <c r="G1020" i="22"/>
  <c r="G1100" i="22"/>
  <c r="G954" i="22"/>
  <c r="G1110" i="22"/>
  <c r="G696" i="22"/>
  <c r="AB696" i="22" s="1"/>
  <c r="G745" i="22"/>
  <c r="AB745" i="22" s="1"/>
  <c r="G955" i="22"/>
  <c r="T1041" i="22"/>
  <c r="AA1041" i="22" s="1"/>
  <c r="G957" i="22"/>
  <c r="G931" i="22"/>
  <c r="G1050" i="22"/>
  <c r="G1016" i="22"/>
  <c r="G941" i="22"/>
  <c r="G1049" i="22"/>
  <c r="G982" i="22"/>
  <c r="G1162" i="22"/>
  <c r="G998" i="22"/>
  <c r="G1031" i="22"/>
  <c r="G555" i="22"/>
  <c r="AB555" i="22" s="1"/>
  <c r="G398" i="22"/>
  <c r="AA398" i="22" s="1"/>
  <c r="G662" i="22"/>
  <c r="G655" i="22"/>
  <c r="G711" i="22"/>
  <c r="AB711" i="22" s="1"/>
  <c r="G452" i="22"/>
  <c r="G1057" i="22"/>
  <c r="G1018" i="22"/>
  <c r="G1174" i="22"/>
  <c r="G564" i="22"/>
  <c r="AB564" i="22" s="1"/>
  <c r="G697" i="22"/>
  <c r="AB697" i="22" s="1"/>
  <c r="G1098" i="22"/>
  <c r="G682" i="22"/>
  <c r="G384" i="22"/>
  <c r="AA384" i="22" s="1"/>
  <c r="G1150" i="22"/>
  <c r="G926" i="22"/>
  <c r="G1183" i="22"/>
  <c r="G1048" i="22"/>
  <c r="G783" i="22"/>
  <c r="AB783" i="22" s="1"/>
  <c r="G351" i="22"/>
  <c r="G1199" i="22"/>
  <c r="G1144" i="22"/>
  <c r="G871" i="22"/>
  <c r="AB871" i="22" s="1"/>
  <c r="G880" i="22"/>
  <c r="G961" i="22"/>
  <c r="G1164" i="22"/>
  <c r="G1206" i="22"/>
  <c r="G1168" i="22"/>
  <c r="G1065" i="22"/>
  <c r="G1025" i="22"/>
  <c r="G1129" i="22"/>
  <c r="G1074" i="22"/>
  <c r="G1157" i="22"/>
  <c r="G573" i="22"/>
  <c r="G1137" i="22"/>
  <c r="G582" i="22"/>
  <c r="G958" i="22"/>
  <c r="G410" i="22"/>
  <c r="AA410" i="22" s="1"/>
  <c r="G824" i="22"/>
  <c r="G1101" i="22"/>
  <c r="G1108" i="22"/>
  <c r="S1108" i="22" s="1"/>
  <c r="G1087" i="22"/>
  <c r="G1181" i="22"/>
  <c r="G978" i="22"/>
  <c r="G1135" i="22"/>
  <c r="G1175" i="22"/>
  <c r="G994" i="22"/>
  <c r="G1205" i="22"/>
  <c r="G839" i="22"/>
  <c r="G616" i="22"/>
  <c r="G913" i="22"/>
  <c r="G1002" i="22"/>
  <c r="G1171" i="22"/>
  <c r="G935" i="22"/>
  <c r="G878" i="22"/>
  <c r="G1184" i="22"/>
  <c r="G938" i="22"/>
  <c r="G1109" i="22"/>
  <c r="G977" i="22"/>
  <c r="G657" i="22"/>
  <c r="G796" i="22"/>
  <c r="G1090" i="22"/>
  <c r="G1021" i="22"/>
  <c r="G999" i="22"/>
  <c r="G1212" i="22"/>
  <c r="G816" i="22"/>
  <c r="G365" i="22"/>
  <c r="AA365" i="22" s="1"/>
  <c r="G479" i="22"/>
  <c r="G539" i="22"/>
  <c r="AB539" i="22" s="1"/>
  <c r="G1207" i="22"/>
  <c r="G1055" i="22"/>
  <c r="G551" i="22"/>
  <c r="G964" i="22"/>
  <c r="G940" i="22"/>
  <c r="G879" i="22"/>
  <c r="G729" i="22"/>
  <c r="AB729" i="22" s="1"/>
  <c r="G1023" i="22"/>
  <c r="G915" i="22"/>
  <c r="G413" i="22"/>
  <c r="AA413" i="22" s="1"/>
  <c r="G1081" i="22"/>
  <c r="G618" i="22"/>
  <c r="G1019" i="22"/>
  <c r="G1155" i="22"/>
  <c r="G1008" i="22"/>
  <c r="G1096" i="22"/>
  <c r="G936" i="22"/>
  <c r="G1139" i="22"/>
  <c r="G572" i="22"/>
  <c r="G1091" i="22"/>
  <c r="G1203" i="22"/>
  <c r="G1003" i="22"/>
  <c r="G1147" i="22"/>
  <c r="G1007" i="22"/>
  <c r="G829" i="22"/>
  <c r="AB829" i="22" s="1"/>
  <c r="G1077" i="22"/>
  <c r="G953" i="22"/>
  <c r="G683" i="22"/>
  <c r="AB683" i="22" s="1"/>
  <c r="G1169" i="22"/>
  <c r="G1173" i="22"/>
  <c r="H1173" i="22" s="1"/>
  <c r="G840" i="22"/>
  <c r="AB840" i="22" s="1"/>
  <c r="G856" i="22"/>
  <c r="AB856" i="22" s="1"/>
  <c r="G619" i="22"/>
  <c r="G1200" i="22"/>
  <c r="G639" i="22"/>
  <c r="G1015" i="22"/>
  <c r="G904" i="22"/>
  <c r="G997" i="22"/>
  <c r="G986" i="22"/>
  <c r="G609" i="22"/>
  <c r="G1030" i="22"/>
  <c r="G1068" i="22"/>
  <c r="G557" i="22"/>
  <c r="AB557" i="22" s="1"/>
  <c r="G970" i="22"/>
  <c r="H970" i="22" s="1"/>
  <c r="G584" i="22"/>
  <c r="G624" i="22"/>
  <c r="G1011" i="22"/>
  <c r="G1063" i="22"/>
  <c r="G1120" i="22"/>
  <c r="G971" i="22"/>
  <c r="G484" i="22"/>
  <c r="G788" i="22"/>
  <c r="G1125" i="22"/>
  <c r="G819" i="22"/>
  <c r="G1033" i="22"/>
  <c r="G1039" i="22"/>
  <c r="G1208" i="22"/>
  <c r="G1034" i="22"/>
  <c r="G854" i="22"/>
  <c r="AB854" i="22" s="1"/>
  <c r="G948" i="22"/>
  <c r="G743" i="22"/>
  <c r="AB743" i="22" s="1"/>
  <c r="G1083" i="22"/>
  <c r="G809" i="22"/>
  <c r="AB809" i="22" s="1"/>
  <c r="G556" i="22"/>
  <c r="G984" i="22"/>
  <c r="G1051" i="22"/>
  <c r="G914" i="22"/>
  <c r="D908" i="22"/>
  <c r="D918" i="22" s="1"/>
  <c r="G918" i="22" s="1"/>
  <c r="G1044" i="22"/>
  <c r="G1032" i="22"/>
  <c r="G1089" i="22"/>
  <c r="G1056" i="22"/>
  <c r="G1040" i="22"/>
  <c r="G1160" i="22"/>
  <c r="G359" i="22"/>
  <c r="G1086" i="22"/>
  <c r="G1106" i="22"/>
  <c r="G1204" i="22"/>
  <c r="G1103" i="22"/>
  <c r="G859" i="22"/>
  <c r="AB859" i="22" s="1"/>
  <c r="G939" i="22"/>
  <c r="G988" i="22"/>
  <c r="G720" i="22"/>
  <c r="AB720" i="22" s="1"/>
  <c r="G1059" i="22"/>
  <c r="G1069" i="22"/>
  <c r="G1064" i="22"/>
  <c r="G1149" i="22"/>
  <c r="G569" i="22"/>
  <c r="G651" i="22"/>
  <c r="G676" i="22"/>
  <c r="G1148" i="22"/>
  <c r="G832" i="22"/>
  <c r="AB832" i="22" s="1"/>
  <c r="G1010" i="22"/>
  <c r="G925" i="22"/>
  <c r="G855" i="22"/>
  <c r="AB855" i="22" s="1"/>
  <c r="G943" i="22"/>
  <c r="G604" i="22"/>
  <c r="G1161" i="22"/>
  <c r="S1306" i="22"/>
  <c r="G1143" i="22"/>
  <c r="G947" i="22"/>
  <c r="G1001" i="22"/>
  <c r="G1136" i="22"/>
  <c r="G741" i="22"/>
  <c r="AB741" i="22" s="1"/>
  <c r="G1127" i="22"/>
  <c r="G344" i="22"/>
  <c r="AA344" i="22" s="1"/>
  <c r="G1099" i="22"/>
  <c r="G1151" i="22"/>
  <c r="G436" i="22"/>
  <c r="G358" i="22"/>
  <c r="G1088" i="22"/>
  <c r="G1079" i="22"/>
  <c r="G1075" i="22"/>
  <c r="G1092" i="22"/>
  <c r="G1080" i="22"/>
  <c r="G1009" i="22"/>
  <c r="G981" i="22"/>
  <c r="G1154" i="22"/>
  <c r="G1085" i="22"/>
  <c r="G716" i="22"/>
  <c r="AB716" i="22" s="1"/>
  <c r="G383" i="22"/>
  <c r="AA383" i="22" s="1"/>
  <c r="G360" i="22"/>
  <c r="G690" i="22"/>
  <c r="AB690" i="22" s="1"/>
  <c r="G464" i="22"/>
  <c r="G945" i="22"/>
  <c r="G1156" i="22"/>
  <c r="G1029" i="22"/>
  <c r="G1028" i="22"/>
  <c r="G803" i="22"/>
  <c r="G581" i="22"/>
  <c r="G1078" i="22"/>
  <c r="G1062" i="22"/>
  <c r="G1027" i="22"/>
  <c r="G888" i="22"/>
  <c r="G356" i="22"/>
  <c r="G959" i="22"/>
  <c r="G907" i="22"/>
  <c r="G1105" i="22"/>
  <c r="G1026" i="22"/>
  <c r="G942" i="22"/>
  <c r="G364" i="22"/>
  <c r="G1046" i="22"/>
  <c r="G1036" i="22"/>
  <c r="L1503" i="4"/>
  <c r="L1294" i="4"/>
  <c r="G1217" i="22"/>
  <c r="G1418" i="22"/>
  <c r="L1343" i="4"/>
  <c r="G1492" i="22"/>
  <c r="L1509" i="4"/>
  <c r="L1340" i="4"/>
  <c r="G1275" i="22"/>
  <c r="G1238" i="22"/>
  <c r="L1489" i="4"/>
  <c r="G1250" i="22"/>
  <c r="L1397" i="4"/>
  <c r="L1434" i="4"/>
  <c r="G1397" i="22"/>
  <c r="L1486" i="4"/>
  <c r="G1225" i="22"/>
  <c r="L1471" i="4"/>
  <c r="L1360" i="4"/>
  <c r="G1480" i="22"/>
  <c r="L1453" i="4"/>
  <c r="L1487" i="4"/>
  <c r="G1218" i="22"/>
  <c r="L1310" i="4"/>
  <c r="G1230" i="22"/>
  <c r="L1411" i="4"/>
  <c r="G1442" i="22"/>
  <c r="G1465" i="22"/>
  <c r="L1427" i="4"/>
  <c r="L1413" i="4"/>
  <c r="G1264" i="22"/>
  <c r="L1385" i="4"/>
  <c r="L1460" i="4"/>
  <c r="L1433" i="4"/>
  <c r="G1292" i="22"/>
  <c r="G1272" i="22"/>
  <c r="G1489" i="22"/>
  <c r="G1302" i="22"/>
  <c r="G1344" i="22"/>
  <c r="L1292" i="4"/>
  <c r="G1263" i="22"/>
  <c r="L1467" i="4"/>
  <c r="L1515" i="4"/>
  <c r="L1277" i="4"/>
  <c r="G1265" i="22"/>
  <c r="G1332" i="22"/>
  <c r="L1466" i="4"/>
  <c r="G1473" i="22"/>
  <c r="G1301" i="22"/>
  <c r="G1419" i="22"/>
  <c r="G1488" i="22"/>
  <c r="G1384" i="22"/>
  <c r="G1438" i="22"/>
  <c r="L1472" i="4"/>
  <c r="L1473" i="4"/>
  <c r="G1437" i="22"/>
  <c r="L1404" i="4"/>
  <c r="G1239" i="22"/>
  <c r="G1253" i="22"/>
  <c r="L1398" i="4"/>
  <c r="L1335" i="4"/>
  <c r="L1484" i="4"/>
  <c r="G1260" i="22"/>
  <c r="L1242" i="4"/>
  <c r="L1400" i="4"/>
  <c r="L1319" i="4"/>
  <c r="G1221" i="22"/>
  <c r="G1231" i="22"/>
  <c r="L1378" i="4"/>
  <c r="L1497" i="4"/>
  <c r="L1379" i="4"/>
  <c r="L1505" i="4"/>
  <c r="L1264" i="4"/>
  <c r="L1420" i="4"/>
  <c r="L1417" i="4"/>
  <c r="G1269" i="22"/>
  <c r="L1461" i="4"/>
  <c r="L1401" i="4"/>
  <c r="L1435" i="4"/>
  <c r="G1224" i="22"/>
  <c r="L1373" i="4"/>
  <c r="G1327" i="22"/>
  <c r="G1366" i="22"/>
  <c r="L1464" i="4"/>
  <c r="G1383" i="22"/>
  <c r="G1241" i="22"/>
  <c r="L1321" i="4"/>
  <c r="L1391" i="4"/>
  <c r="L1262" i="4"/>
  <c r="L1363" i="4"/>
  <c r="L1481" i="4"/>
  <c r="L1485" i="4"/>
  <c r="L1462" i="4"/>
  <c r="L1492" i="4"/>
  <c r="L1418" i="4"/>
  <c r="G1466" i="22"/>
  <c r="G1223" i="22"/>
  <c r="L1465" i="4"/>
  <c r="G1276" i="22"/>
  <c r="G1460" i="22"/>
  <c r="G1295" i="22"/>
  <c r="G1436" i="22"/>
  <c r="L1491" i="4"/>
  <c r="L1406" i="4"/>
  <c r="L1430" i="4"/>
  <c r="L1383" i="4"/>
  <c r="G1378" i="22"/>
  <c r="L1441" i="4"/>
  <c r="G1222" i="22"/>
  <c r="L1445" i="4"/>
  <c r="G1261" i="22"/>
  <c r="G1370" i="22"/>
  <c r="L1500" i="4"/>
  <c r="L1403" i="4"/>
  <c r="L1365" i="4"/>
  <c r="G1290" i="22"/>
  <c r="G1242" i="22"/>
  <c r="G1494" i="22"/>
  <c r="L1451" i="4"/>
  <c r="G1347" i="22"/>
  <c r="L1442" i="4"/>
  <c r="L1422" i="4"/>
  <c r="L1362" i="4"/>
  <c r="L1440" i="4"/>
  <c r="L1382" i="4"/>
  <c r="L1409" i="4"/>
  <c r="L1469" i="4"/>
  <c r="L1265" i="4"/>
  <c r="G1379" i="22"/>
  <c r="L1246" i="4"/>
  <c r="L1507" i="4"/>
  <c r="G1453" i="22"/>
  <c r="G1464" i="22"/>
  <c r="L1495" i="4"/>
  <c r="L1395" i="4"/>
  <c r="G1478" i="22"/>
  <c r="L1508" i="4"/>
  <c r="G1444" i="22"/>
  <c r="G1296" i="22"/>
  <c r="L1412" i="4"/>
  <c r="G1469" i="22"/>
  <c r="L1405" i="4"/>
  <c r="L1387" i="4"/>
  <c r="L1468" i="4"/>
  <c r="L1338" i="4"/>
  <c r="L1261" i="4"/>
  <c r="G1277" i="22"/>
  <c r="G1398" i="22"/>
  <c r="G1283" i="22"/>
  <c r="L1438" i="4"/>
  <c r="G1257" i="22"/>
  <c r="G1421" i="22"/>
  <c r="G1345" i="22"/>
  <c r="G1234" i="22"/>
  <c r="L1366" i="4"/>
  <c r="L1298" i="4"/>
  <c r="L1356" i="4"/>
  <c r="G1273" i="22"/>
  <c r="L1482" i="4"/>
  <c r="L1396" i="4"/>
  <c r="G1256" i="22"/>
  <c r="G1349" i="22"/>
  <c r="L1297" i="4"/>
  <c r="L1243" i="4"/>
  <c r="G1286" i="22"/>
  <c r="G1268" i="22"/>
  <c r="L1477" i="4"/>
  <c r="G1219" i="22"/>
  <c r="L1245" i="4"/>
  <c r="G1237" i="22"/>
  <c r="L1268" i="4"/>
  <c r="G1220" i="22"/>
  <c r="G1240" i="22"/>
  <c r="L1346" i="4"/>
  <c r="L1369" i="4"/>
  <c r="G1259" i="22"/>
  <c r="L1415" i="4"/>
  <c r="L1386" i="4"/>
  <c r="G1470" i="22"/>
  <c r="L1334" i="4"/>
  <c r="G1439" i="22"/>
  <c r="G1216" i="22"/>
  <c r="G1271" i="22"/>
  <c r="L1424" i="4"/>
  <c r="G1303" i="22"/>
  <c r="G1229" i="22"/>
  <c r="L1358" i="4"/>
  <c r="D661" i="22"/>
  <c r="G661" i="22" s="1"/>
  <c r="L1377" i="4"/>
  <c r="G1244" i="22"/>
  <c r="L1506" i="4"/>
  <c r="L1299" i="4"/>
  <c r="G1228" i="22"/>
  <c r="G1392" i="22"/>
  <c r="G1266" i="22"/>
  <c r="L1494" i="4"/>
  <c r="G1278" i="22"/>
  <c r="L1289" i="4"/>
  <c r="L1410" i="4"/>
  <c r="L1328" i="4"/>
  <c r="L1443" i="4"/>
  <c r="G1358" i="22"/>
  <c r="G1274" i="22"/>
  <c r="G1364" i="22"/>
  <c r="L1425" i="4"/>
  <c r="G1426" i="22"/>
  <c r="L1330" i="4"/>
  <c r="G1382" i="22"/>
  <c r="G1354" i="22"/>
  <c r="G1440" i="22"/>
  <c r="L1493" i="4"/>
  <c r="G1446" i="22"/>
  <c r="L1423" i="4"/>
  <c r="G1416" i="22"/>
  <c r="L1331" i="4"/>
  <c r="G1447" i="22"/>
  <c r="L1336" i="4"/>
  <c r="G1406" i="22"/>
  <c r="L1318" i="4"/>
  <c r="G1262" i="22"/>
  <c r="G1243" i="22"/>
  <c r="L1333" i="4"/>
  <c r="L1419" i="4"/>
  <c r="G1227" i="22"/>
  <c r="G1226" i="22"/>
  <c r="L1361" i="4"/>
  <c r="L1439" i="4"/>
  <c r="L1309" i="4"/>
  <c r="L1329" i="4"/>
  <c r="L1458" i="4"/>
  <c r="L1339" i="4"/>
  <c r="L1384" i="4"/>
  <c r="L1370" i="4"/>
  <c r="G1322" i="22"/>
  <c r="G1427" i="22"/>
  <c r="L1341" i="4"/>
  <c r="G1445" i="22"/>
  <c r="G1280" i="22"/>
  <c r="G1337" i="22"/>
  <c r="L1399" i="4"/>
  <c r="L1375" i="4"/>
  <c r="G1310" i="22"/>
  <c r="L1501" i="4"/>
  <c r="L1295" i="4"/>
  <c r="G1270" i="22"/>
  <c r="G114" i="22"/>
  <c r="E11" i="20"/>
  <c r="E34" i="21"/>
  <c r="G1131" i="22"/>
  <c r="G1770" i="4"/>
  <c r="G406" i="22"/>
  <c r="AA406" i="22" s="1"/>
  <c r="O317" i="4"/>
  <c r="C317" i="22"/>
  <c r="R317" i="4" s="1"/>
  <c r="G868" i="22"/>
  <c r="AB868" i="22" s="1"/>
  <c r="G752" i="22"/>
  <c r="G614" i="22"/>
  <c r="G899" i="22"/>
  <c r="G689" i="22"/>
  <c r="AB689" i="22" s="1"/>
  <c r="G660" i="22"/>
  <c r="G550" i="22"/>
  <c r="G404" i="22"/>
  <c r="AA404" i="22" s="1"/>
  <c r="G580" i="22"/>
  <c r="G429" i="22"/>
  <c r="G477" i="22"/>
  <c r="G815" i="22"/>
  <c r="G562" i="22"/>
  <c r="AB562" i="22" s="1"/>
  <c r="J1770" i="4"/>
  <c r="P1770" i="4" s="1"/>
  <c r="G467" i="22"/>
  <c r="G811" i="22"/>
  <c r="G709" i="22"/>
  <c r="AB709" i="22" s="1"/>
  <c r="G585" i="22"/>
  <c r="G786" i="22"/>
  <c r="G566" i="22"/>
  <c r="AB566" i="22" s="1"/>
  <c r="G828" i="22"/>
  <c r="L1499" i="4"/>
  <c r="L1313" i="4"/>
  <c r="G892" i="22"/>
  <c r="G1279" i="22"/>
  <c r="L1393" i="4"/>
  <c r="G1323" i="22"/>
  <c r="G810" i="22"/>
  <c r="AB810" i="22" s="1"/>
  <c r="G538" i="22"/>
  <c r="AB538" i="22" s="1"/>
  <c r="G393" i="22"/>
  <c r="AA393" i="22" s="1"/>
  <c r="G889" i="22"/>
  <c r="G761" i="22"/>
  <c r="G437" i="22"/>
  <c r="G416" i="22"/>
  <c r="AA416" i="22" s="1"/>
  <c r="G719" i="22"/>
  <c r="AB719" i="22" s="1"/>
  <c r="G820" i="22"/>
  <c r="AB820" i="22" s="1"/>
  <c r="G640" i="22"/>
  <c r="G910" i="22"/>
  <c r="L1447" i="4"/>
  <c r="G917" i="22"/>
  <c r="G1232" i="22"/>
  <c r="L1228" i="4"/>
  <c r="L1286" i="4"/>
  <c r="G1455" i="22"/>
  <c r="L1450" i="4"/>
  <c r="G1423" i="22"/>
  <c r="L1254" i="4"/>
  <c r="L1376" i="4"/>
  <c r="L1279" i="4"/>
  <c r="L1271" i="4"/>
  <c r="L1300" i="4"/>
  <c r="L1402" i="4"/>
  <c r="G1300" i="22"/>
  <c r="G1353" i="22"/>
  <c r="G1284" i="22"/>
  <c r="L1276" i="4"/>
  <c r="G1390" i="22"/>
  <c r="G1360" i="22"/>
  <c r="G558" i="22"/>
  <c r="L1260" i="4"/>
  <c r="L1267" i="4"/>
  <c r="L1312" i="4"/>
  <c r="L1470" i="4"/>
  <c r="L1502" i="4"/>
  <c r="E15" i="20" a="1"/>
  <c r="E15" i="20" s="1"/>
  <c r="L1344" i="4"/>
  <c r="G1471" i="22"/>
  <c r="L1428" i="4"/>
  <c r="G1424" i="22"/>
  <c r="G403" i="22"/>
  <c r="AA403" i="22" s="1"/>
  <c r="G1408" i="22"/>
  <c r="G679" i="22"/>
  <c r="L1407" i="4"/>
  <c r="G568" i="22"/>
  <c r="AB568" i="22" s="1"/>
  <c r="L1272" i="4"/>
  <c r="G415" i="22"/>
  <c r="AA415" i="22" s="1"/>
  <c r="G465" i="22"/>
  <c r="G349" i="22"/>
  <c r="G1450" i="22"/>
  <c r="G1497" i="22"/>
  <c r="L1359" i="4"/>
  <c r="G565" i="22"/>
  <c r="AB565" i="22" s="1"/>
  <c r="G542" i="22"/>
  <c r="G399" i="22"/>
  <c r="AA399" i="22" s="1"/>
  <c r="G677" i="22"/>
  <c r="L1226" i="4"/>
  <c r="G725" i="22"/>
  <c r="AB725" i="22" s="1"/>
  <c r="G885" i="22"/>
  <c r="G833" i="22"/>
  <c r="AB833" i="22" s="1"/>
  <c r="L1244" i="4"/>
  <c r="L1345" i="4"/>
  <c r="G1481" i="22"/>
  <c r="G1350" i="22"/>
  <c r="G1391" i="22"/>
  <c r="G1258" i="22"/>
  <c r="G1499" i="22"/>
  <c r="G1324" i="22"/>
  <c r="G608" i="22"/>
  <c r="G561" i="22"/>
  <c r="AB561" i="22" s="1"/>
  <c r="G380" i="22"/>
  <c r="AA380" i="22" s="1"/>
  <c r="G312" i="22"/>
  <c r="L1483" i="4"/>
  <c r="G62" i="22"/>
  <c r="G698" i="22"/>
  <c r="G853" i="22"/>
  <c r="AB853" i="22" s="1"/>
  <c r="G629" i="22"/>
  <c r="G439" i="22"/>
  <c r="G613" i="22"/>
  <c r="G739" i="22"/>
  <c r="AB739" i="22" s="1"/>
  <c r="G753" i="22"/>
  <c r="L1274" i="4"/>
  <c r="G387" i="22"/>
  <c r="AA387" i="22" s="1"/>
  <c r="G858" i="22"/>
  <c r="AB858" i="22" s="1"/>
  <c r="G587" i="22"/>
  <c r="G428" i="22"/>
  <c r="G362" i="22"/>
  <c r="G850" i="22"/>
  <c r="G382" i="22"/>
  <c r="AA382" i="22" s="1"/>
  <c r="G654" i="22"/>
  <c r="G579" i="22"/>
  <c r="G844" i="22"/>
  <c r="AB844" i="22" s="1"/>
  <c r="G636" i="22"/>
  <c r="G423" i="22"/>
  <c r="AA423" i="22" s="1"/>
  <c r="G1454" i="22"/>
  <c r="L1249" i="4"/>
  <c r="G394" i="22"/>
  <c r="AA394" i="22" s="1"/>
  <c r="G599" i="22"/>
  <c r="G367" i="22"/>
  <c r="G849" i="22"/>
  <c r="AB849" i="22" s="1"/>
  <c r="G852" i="22"/>
  <c r="G570" i="22"/>
  <c r="G791" i="22"/>
  <c r="AB791" i="22" s="1"/>
  <c r="L1282" i="4"/>
  <c r="G1236" i="22"/>
  <c r="G1389" i="22"/>
  <c r="G352" i="22"/>
  <c r="G540" i="22"/>
  <c r="AB540" i="22" s="1"/>
  <c r="G372" i="22"/>
  <c r="AA372" i="22" s="1"/>
  <c r="G762" i="22"/>
  <c r="L1270" i="4"/>
  <c r="G1484" i="22"/>
  <c r="G680" i="22"/>
  <c r="AB680" i="22" s="1"/>
  <c r="G740" i="22"/>
  <c r="AB740" i="22" s="1"/>
  <c r="G795" i="22"/>
  <c r="G451" i="22"/>
  <c r="G1367" i="22"/>
  <c r="G1320" i="22"/>
  <c r="G1415" i="22"/>
  <c r="G635" i="22"/>
  <c r="G862" i="22"/>
  <c r="AB862" i="22" s="1"/>
  <c r="L1273" i="4"/>
  <c r="L1452" i="4"/>
  <c r="G793" i="22"/>
  <c r="AB793" i="22" s="1"/>
  <c r="G691" i="22"/>
  <c r="G392" i="22"/>
  <c r="AA392" i="22" s="1"/>
  <c r="G442" i="22"/>
  <c r="G738" i="22"/>
  <c r="AB738" i="22" s="1"/>
  <c r="G422" i="22"/>
  <c r="AA422" i="22" s="1"/>
  <c r="G466" i="22"/>
  <c r="G827" i="22"/>
  <c r="G361" i="22"/>
  <c r="AA361" i="22" s="1"/>
  <c r="G544" i="22"/>
  <c r="AB544" i="22" s="1"/>
  <c r="G794" i="22"/>
  <c r="AB794" i="22" s="1"/>
  <c r="G443" i="22"/>
  <c r="G893" i="22"/>
  <c r="G634" i="22"/>
  <c r="G405" i="22"/>
  <c r="AA405" i="22" s="1"/>
  <c r="G864" i="22"/>
  <c r="AB864" i="22" s="1"/>
  <c r="G597" i="22"/>
  <c r="G789" i="22"/>
  <c r="AB789" i="22" s="1"/>
  <c r="G571" i="22"/>
  <c r="G751" i="22"/>
  <c r="G645" i="22"/>
  <c r="G712" i="22"/>
  <c r="AB712" i="22" s="1"/>
  <c r="G909" i="22"/>
  <c r="G686" i="22"/>
  <c r="AB686" i="22" s="1"/>
  <c r="G701" i="22"/>
  <c r="AB701" i="22" s="1"/>
  <c r="G638" i="22"/>
  <c r="L1231" i="4"/>
  <c r="G1456" i="22"/>
  <c r="G547" i="22"/>
  <c r="D15" i="20" a="1"/>
  <c r="D15" i="20" s="1"/>
  <c r="O348" i="4"/>
  <c r="L1269" i="4"/>
  <c r="G1359" i="22"/>
  <c r="L1230" i="4"/>
  <c r="G831" i="22"/>
  <c r="AB831" i="22" s="1"/>
  <c r="L1488" i="4"/>
  <c r="G411" i="22"/>
  <c r="AA411" i="22" s="1"/>
  <c r="G472" i="22"/>
  <c r="G620" i="22"/>
  <c r="G554" i="22"/>
  <c r="G723" i="22"/>
  <c r="G755" i="22"/>
  <c r="G673" i="22"/>
  <c r="AB673" i="22" s="1"/>
  <c r="G887" i="22"/>
  <c r="G461" i="22"/>
  <c r="G894" i="22"/>
  <c r="G749" i="22"/>
  <c r="AB749" i="22" s="1"/>
  <c r="G445" i="22"/>
  <c r="G463" i="22"/>
  <c r="G454" i="22"/>
  <c r="G1413" i="22"/>
  <c r="G911" i="22"/>
  <c r="L1237" i="4"/>
  <c r="L1296" i="4"/>
  <c r="G475" i="22"/>
  <c r="G705" i="22"/>
  <c r="AB705" i="22" s="1"/>
  <c r="G596" i="22"/>
  <c r="L1234" i="4"/>
  <c r="G1287" i="22"/>
  <c r="L1480" i="4"/>
  <c r="L1448" i="4"/>
  <c r="G1477" i="22"/>
  <c r="G1443" i="22"/>
  <c r="L1240" i="4"/>
  <c r="G602" i="22"/>
  <c r="G700" i="22"/>
  <c r="G897" i="22"/>
  <c r="G626" i="22"/>
  <c r="G606" i="22"/>
  <c r="G430" i="22"/>
  <c r="G389" i="22"/>
  <c r="AA389" i="22" s="1"/>
  <c r="L1490" i="4"/>
  <c r="G363" i="22"/>
  <c r="G1363" i="22"/>
  <c r="L1332" i="4"/>
  <c r="C348" i="22"/>
  <c r="R348" i="4" s="1"/>
  <c r="L1241" i="4"/>
  <c r="G1251" i="22"/>
  <c r="L1408" i="4"/>
  <c r="L1476" i="4"/>
  <c r="G869" i="22"/>
  <c r="AB869" i="22" s="1"/>
  <c r="G433" i="22"/>
  <c r="G586" i="22"/>
  <c r="G744" i="22"/>
  <c r="AB744" i="22" s="1"/>
  <c r="F68" i="6"/>
  <c r="F72" i="6" s="1"/>
  <c r="G434" i="22"/>
  <c r="G847" i="22"/>
  <c r="AB847" i="22" s="1"/>
  <c r="G537" i="22"/>
  <c r="AB537" i="22" s="1"/>
  <c r="G563" i="22"/>
  <c r="AB563" i="22" s="1"/>
  <c r="G435" i="22"/>
  <c r="S435" i="22" s="1"/>
  <c r="G866" i="22"/>
  <c r="AB866" i="22" s="1"/>
  <c r="G836" i="22"/>
  <c r="AB836" i="22" s="1"/>
  <c r="G730" i="22"/>
  <c r="AB730" i="22" s="1"/>
  <c r="G675" i="22"/>
  <c r="G901" i="22"/>
  <c r="G575" i="22"/>
  <c r="G350" i="22"/>
  <c r="G476" i="22"/>
  <c r="G688" i="22"/>
  <c r="AB688" i="22" s="1"/>
  <c r="G695" i="22"/>
  <c r="AB695" i="22" s="1"/>
  <c r="G41" i="22"/>
  <c r="AA41" i="22" s="1"/>
  <c r="G426" i="22"/>
  <c r="AA426" i="22" s="1"/>
  <c r="G731" i="22"/>
  <c r="AB731" i="22" s="1"/>
  <c r="G801" i="22"/>
  <c r="G736" i="22"/>
  <c r="AB736" i="22" s="1"/>
  <c r="L1235" i="4"/>
  <c r="G1435" i="22"/>
  <c r="G1376" i="22"/>
  <c r="G615" i="22"/>
  <c r="G474" i="22"/>
  <c r="G601" i="22"/>
  <c r="G560" i="22"/>
  <c r="G448" i="22"/>
  <c r="G553" i="22"/>
  <c r="G386" i="22"/>
  <c r="AA386" i="22" s="1"/>
  <c r="G536" i="22"/>
  <c r="AB536" i="22" s="1"/>
  <c r="G441" i="22"/>
  <c r="G718" i="22"/>
  <c r="AB718" i="22" s="1"/>
  <c r="G693" i="22"/>
  <c r="G758" i="22"/>
  <c r="G916" i="22"/>
  <c r="G763" i="22"/>
  <c r="G407" i="22"/>
  <c r="AA407" i="22" s="1"/>
  <c r="G377" i="22"/>
  <c r="AA377" i="22" s="1"/>
  <c r="G574" i="22"/>
  <c r="G462" i="22"/>
  <c r="G371" i="22"/>
  <c r="AA371" i="22" s="1"/>
  <c r="G471" i="22"/>
  <c r="G397" i="22"/>
  <c r="AA397" i="22" s="1"/>
  <c r="G401" i="22"/>
  <c r="AA401" i="22" s="1"/>
  <c r="G481" i="22"/>
  <c r="G699" i="22"/>
  <c r="G669" i="22"/>
  <c r="G370" i="22"/>
  <c r="AA370" i="22" s="1"/>
  <c r="G721" i="22"/>
  <c r="AB721" i="22" s="1"/>
  <c r="G424" i="22"/>
  <c r="AA424" i="22" s="1"/>
  <c r="G320" i="22"/>
  <c r="G728" i="22"/>
  <c r="G1319" i="22"/>
  <c r="F109" i="32"/>
  <c r="G109" i="32" s="1"/>
  <c r="L1352" i="4"/>
  <c r="G1387" i="22"/>
  <c r="G1321" i="22"/>
  <c r="L1357" i="4"/>
  <c r="G1233" i="22"/>
  <c r="L1389" i="4"/>
  <c r="G860" i="22"/>
  <c r="AB860" i="22" s="1"/>
  <c r="G1326" i="22"/>
  <c r="L1436" i="4"/>
  <c r="G882" i="22"/>
  <c r="G637" i="22"/>
  <c r="G1385" i="22"/>
  <c r="L1429" i="4"/>
  <c r="L1281" i="4"/>
  <c r="G1365" i="22"/>
  <c r="L1251" i="4"/>
  <c r="G1412" i="22"/>
  <c r="L1227" i="4"/>
  <c r="G1482" i="22"/>
  <c r="L1498" i="4"/>
  <c r="G1493" i="22"/>
  <c r="G838" i="22"/>
  <c r="AB838" i="22" s="1"/>
  <c r="G703" i="22"/>
  <c r="L1290" i="4"/>
  <c r="G1491" i="22"/>
  <c r="G1467" i="22"/>
  <c r="L1233" i="4"/>
  <c r="G1346" i="22"/>
  <c r="G1399" i="22"/>
  <c r="L1303" i="4"/>
  <c r="G1410" i="22"/>
  <c r="G890" i="22"/>
  <c r="G546" i="22"/>
  <c r="G431" i="22"/>
  <c r="G478" i="22"/>
  <c r="G610" i="22"/>
  <c r="G784" i="22"/>
  <c r="AB784" i="22" s="1"/>
  <c r="L1354" i="4"/>
  <c r="L1306" i="4"/>
  <c r="G1267" i="22"/>
  <c r="G453" i="22"/>
  <c r="E1405" i="22"/>
  <c r="G1405" i="22" s="1"/>
  <c r="G1356" i="22"/>
  <c r="G1348" i="22"/>
  <c r="G1329" i="22"/>
  <c r="G1417" i="22"/>
  <c r="G1289" i="22"/>
  <c r="G480" i="22"/>
  <c r="G482" i="22"/>
  <c r="AB482" i="22" s="1"/>
  <c r="G1479" i="22"/>
  <c r="D663" i="22"/>
  <c r="G663" i="22" s="1"/>
  <c r="L1280" i="4"/>
  <c r="L1287" i="4"/>
  <c r="G1325" i="22"/>
  <c r="G1425" i="22"/>
  <c r="L1364" i="4"/>
  <c r="G1428" i="22"/>
  <c r="G400" i="22"/>
  <c r="AA400" i="22" s="1"/>
  <c r="G446" i="22"/>
  <c r="G535" i="22"/>
  <c r="G630" i="22"/>
  <c r="G865" i="22"/>
  <c r="AB865" i="22" s="1"/>
  <c r="G706" i="22"/>
  <c r="AB706" i="22" s="1"/>
  <c r="G787" i="22"/>
  <c r="G732" i="22"/>
  <c r="AB732" i="22" s="1"/>
  <c r="G685" i="22"/>
  <c r="AB685" i="22" s="1"/>
  <c r="G391" i="22"/>
  <c r="AA391" i="22" s="1"/>
  <c r="G722" i="22"/>
  <c r="G724" i="22"/>
  <c r="L1392" i="4"/>
  <c r="L1355" i="4"/>
  <c r="G870" i="22"/>
  <c r="AB870" i="22" s="1"/>
  <c r="G764" i="22"/>
  <c r="AB764" i="22" s="1"/>
  <c r="G577" i="22"/>
  <c r="G545" i="22"/>
  <c r="G642" i="22"/>
  <c r="G867" i="22"/>
  <c r="AB867" i="22" s="1"/>
  <c r="G432" i="22"/>
  <c r="G631" i="22"/>
  <c r="G800" i="22"/>
  <c r="AB800" i="22" s="1"/>
  <c r="G653" i="22"/>
  <c r="G704" i="22"/>
  <c r="G746" i="22"/>
  <c r="AB746" i="22" s="1"/>
  <c r="G605" i="22"/>
  <c r="G421" i="22"/>
  <c r="AA421" i="22" s="1"/>
  <c r="G381" i="22"/>
  <c r="AA381" i="22" s="1"/>
  <c r="G884" i="22"/>
  <c r="G845" i="22"/>
  <c r="AB845" i="22" s="1"/>
  <c r="G607" i="22"/>
  <c r="G1331" i="22"/>
  <c r="L1474" i="4"/>
  <c r="G1255" i="22"/>
  <c r="G707" i="22"/>
  <c r="AB707" i="22" s="1"/>
  <c r="G633" i="22"/>
  <c r="G658" i="22"/>
  <c r="G834" i="22"/>
  <c r="AB834" i="22" s="1"/>
  <c r="G641" i="22"/>
  <c r="G825" i="22"/>
  <c r="AB825" i="22" s="1"/>
  <c r="G402" i="22"/>
  <c r="AA402" i="22" s="1"/>
  <c r="G625" i="22"/>
  <c r="G818" i="22"/>
  <c r="AB818" i="22" s="1"/>
  <c r="G895" i="22"/>
  <c r="G459" i="22"/>
  <c r="G710" i="22"/>
  <c r="AB710" i="22" s="1"/>
  <c r="L1342" i="4"/>
  <c r="G1309" i="22"/>
  <c r="G1388" i="22"/>
  <c r="G1490" i="22"/>
  <c r="G1372" i="22"/>
  <c r="L1504" i="4"/>
  <c r="L1229" i="4"/>
  <c r="L1288" i="4"/>
  <c r="G1476" i="22"/>
  <c r="G1414" i="22"/>
  <c r="G1307" i="22"/>
  <c r="L1317" i="4"/>
  <c r="G1304" i="22"/>
  <c r="L1314" i="4"/>
  <c r="G600" i="22"/>
  <c r="G617" i="22"/>
  <c r="G1305" i="22"/>
  <c r="L1315" i="4"/>
  <c r="G531" i="22"/>
  <c r="AB531" i="22" s="1"/>
  <c r="G851" i="22"/>
  <c r="L1478" i="4"/>
  <c r="G1468" i="22"/>
  <c r="G1434" i="22"/>
  <c r="L1444" i="4"/>
  <c r="L1421" i="4"/>
  <c r="G1411" i="22"/>
  <c r="L1432" i="4"/>
  <c r="G1422" i="22"/>
  <c r="L1390" i="4"/>
  <c r="G1380" i="22"/>
  <c r="G1368" i="22"/>
  <c r="G1395" i="22"/>
  <c r="G742" i="22"/>
  <c r="AB742" i="22" s="1"/>
  <c r="G583" i="22"/>
  <c r="G684" i="22"/>
  <c r="AB684" i="22" s="1"/>
  <c r="G886" i="22"/>
  <c r="G357" i="22"/>
  <c r="L1437" i="4"/>
  <c r="L1374" i="4"/>
  <c r="G1333" i="22"/>
  <c r="G861" i="22"/>
  <c r="AB861" i="22" s="1"/>
  <c r="G354" i="22"/>
  <c r="L1238" i="4"/>
  <c r="L1236" i="4"/>
  <c r="L1455" i="4"/>
  <c r="L1426" i="4"/>
  <c r="L1475" i="4"/>
  <c r="G1330" i="22"/>
  <c r="L1388" i="4"/>
  <c r="L1380" i="4"/>
  <c r="G532" i="22"/>
  <c r="AB532" i="22" s="1"/>
  <c r="G734" i="22"/>
  <c r="AB734" i="22" s="1"/>
  <c r="G900" i="22"/>
  <c r="L1353" i="4"/>
  <c r="G790" i="22"/>
  <c r="AB790" i="22" s="1"/>
  <c r="G595" i="22"/>
  <c r="G621" i="22"/>
  <c r="L1347" i="4"/>
  <c r="G814" i="22"/>
  <c r="G578" i="22"/>
  <c r="G843" i="22"/>
  <c r="AB843" i="22" s="1"/>
  <c r="G427" i="22"/>
  <c r="AA427" i="22" s="1"/>
  <c r="G347" i="22"/>
  <c r="G648" i="22"/>
  <c r="L1266" i="4"/>
  <c r="E1402" i="22"/>
  <c r="G1402" i="22" s="1"/>
  <c r="L1446" i="4"/>
  <c r="L1320" i="4"/>
  <c r="L1456" i="4"/>
  <c r="G1458" i="22"/>
  <c r="L1284" i="4"/>
  <c r="L1263" i="4"/>
  <c r="L1305" i="4"/>
  <c r="G1457" i="22"/>
  <c r="G1451" i="22"/>
  <c r="G1461" i="22"/>
  <c r="G1393" i="22"/>
  <c r="G1420" i="22"/>
  <c r="G1352" i="22"/>
  <c r="G1288" i="22"/>
  <c r="G1475" i="22"/>
  <c r="G1318" i="22"/>
  <c r="L1454" i="4"/>
  <c r="G1483" i="22"/>
  <c r="G1369" i="22"/>
  <c r="L1368" i="4"/>
  <c r="G1386" i="22"/>
  <c r="G1299" i="22"/>
  <c r="G842" i="22"/>
  <c r="AB842" i="22" s="1"/>
  <c r="G1485" i="22"/>
  <c r="G368" i="22"/>
  <c r="G379" i="22"/>
  <c r="G450" i="22"/>
  <c r="G756" i="22"/>
  <c r="G420" i="22"/>
  <c r="AA420" i="22" s="1"/>
  <c r="G841" i="22"/>
  <c r="AB841" i="22" s="1"/>
  <c r="G622" i="22"/>
  <c r="L1275" i="4"/>
  <c r="G1381" i="22"/>
  <c r="G438" i="22"/>
  <c r="L1285" i="4"/>
  <c r="G1355" i="22"/>
  <c r="G1462" i="22"/>
  <c r="L1459" i="4"/>
  <c r="L1283" i="4"/>
  <c r="L1416" i="4"/>
  <c r="L1463" i="4"/>
  <c r="L1479" i="4"/>
  <c r="D652" i="22"/>
  <c r="G652" i="22" s="1"/>
  <c r="L1311" i="4"/>
  <c r="L1449" i="4"/>
  <c r="G1282" i="22"/>
  <c r="G1472" i="22"/>
  <c r="G1373" i="22"/>
  <c r="F876" i="22"/>
  <c r="L1414" i="4"/>
  <c r="G1448" i="22"/>
  <c r="G1487" i="22"/>
  <c r="G1311" i="22"/>
  <c r="L1350" i="4"/>
  <c r="L1250" i="4"/>
  <c r="L1293" i="4"/>
  <c r="L1496" i="4"/>
  <c r="L1337" i="4"/>
  <c r="L1457" i="4"/>
  <c r="G1433" i="22"/>
  <c r="G1495" i="22"/>
  <c r="G1252" i="22"/>
  <c r="G1377" i="22"/>
  <c r="G1431" i="22"/>
  <c r="G1336" i="22"/>
  <c r="G1375" i="22"/>
  <c r="L1431" i="4"/>
  <c r="L1394" i="4"/>
  <c r="G1396" i="22"/>
  <c r="L1253" i="4"/>
  <c r="G1407" i="22"/>
  <c r="G1328" i="22"/>
  <c r="L1351" i="4"/>
  <c r="L1278" i="4"/>
  <c r="G1409" i="22"/>
  <c r="G1308" i="22"/>
  <c r="G1441" i="22"/>
  <c r="G1432" i="22"/>
  <c r="G1394" i="22"/>
  <c r="G1463" i="22"/>
  <c r="G1459" i="22"/>
  <c r="G1374" i="22"/>
  <c r="G1351" i="22"/>
  <c r="L1248" i="4"/>
  <c r="E1404" i="22"/>
  <c r="G1404" i="22" s="1"/>
  <c r="L1247" i="4"/>
  <c r="L1252" i="4"/>
  <c r="L1348" i="4"/>
  <c r="G1400" i="22"/>
  <c r="G1498" i="22"/>
  <c r="G1452" i="22"/>
  <c r="G1429" i="22"/>
  <c r="G1430" i="22"/>
  <c r="G1285" i="22"/>
  <c r="G1496" i="22"/>
  <c r="G1235" i="22"/>
  <c r="G1254" i="22"/>
  <c r="L1239" i="4"/>
  <c r="D11" i="20"/>
  <c r="C921" i="22"/>
  <c r="R930" i="4" s="1"/>
  <c r="C876" i="22"/>
  <c r="R883" i="4" s="1"/>
  <c r="L1232" i="4"/>
  <c r="L1349" i="4"/>
  <c r="G343" i="22"/>
  <c r="E68" i="6"/>
  <c r="F1250" i="10" s="1"/>
  <c r="F1252" i="10" s="1"/>
  <c r="N168" i="19"/>
  <c r="N164" i="19"/>
  <c r="M164" i="19"/>
  <c r="L164" i="19"/>
  <c r="K164" i="19"/>
  <c r="J164" i="19"/>
  <c r="I164" i="19"/>
  <c r="H164" i="19"/>
  <c r="D812" i="22" l="1"/>
  <c r="G812" i="22" s="1"/>
  <c r="L830" i="22"/>
  <c r="AB830" i="22" s="1"/>
  <c r="L819" i="22"/>
  <c r="AB819" i="22" s="1"/>
  <c r="J1773" i="4"/>
  <c r="E13" i="20"/>
  <c r="K597" i="10" s="1"/>
  <c r="AB967" i="22"/>
  <c r="T448" i="22"/>
  <c r="AA448" i="22" s="1"/>
  <c r="C5" i="22"/>
  <c r="R5" i="4" s="1"/>
  <c r="AB447" i="22"/>
  <c r="G1486" i="22"/>
  <c r="AB333" i="22"/>
  <c r="AA538" i="22"/>
  <c r="H1222" i="22"/>
  <c r="AB1222" i="22" s="1"/>
  <c r="AA1007" i="22"/>
  <c r="AB1007" i="22"/>
  <c r="AA539" i="22"/>
  <c r="AA913" i="22"/>
  <c r="AB913" i="22"/>
  <c r="S593" i="22"/>
  <c r="AA593" i="22" s="1"/>
  <c r="AB388" i="22"/>
  <c r="R652" i="22"/>
  <c r="AA652" i="22" s="1"/>
  <c r="AA1223" i="22"/>
  <c r="AB1223" i="22"/>
  <c r="AA1489" i="22"/>
  <c r="AB1489" i="22"/>
  <c r="AA1230" i="22"/>
  <c r="AB1230" i="22"/>
  <c r="AA926" i="22"/>
  <c r="AB926" i="22"/>
  <c r="AA462" i="22"/>
  <c r="AB462" i="22"/>
  <c r="AB426" i="22"/>
  <c r="S1106" i="22"/>
  <c r="AB1106" i="22" s="1"/>
  <c r="AA1309" i="22"/>
  <c r="AB1309" i="22"/>
  <c r="AA885" i="22"/>
  <c r="AB885" i="22"/>
  <c r="AB415" i="22"/>
  <c r="AA1464" i="22"/>
  <c r="AB1464" i="22"/>
  <c r="AA1051" i="22"/>
  <c r="AB1051" i="22"/>
  <c r="AA622" i="22"/>
  <c r="AB622" i="22"/>
  <c r="AA1221" i="22"/>
  <c r="AB1221" i="22"/>
  <c r="AA1330" i="22"/>
  <c r="AB1330" i="22"/>
  <c r="AA608" i="22"/>
  <c r="AB608" i="22"/>
  <c r="AA536" i="22"/>
  <c r="AA1415" i="22"/>
  <c r="AB1415" i="22"/>
  <c r="AA568" i="22"/>
  <c r="AB355" i="22"/>
  <c r="AB400" i="22"/>
  <c r="S431" i="22"/>
  <c r="AA431" i="22" s="1"/>
  <c r="AA882" i="22"/>
  <c r="AB882" i="22"/>
  <c r="AA471" i="22"/>
  <c r="AB471" i="22"/>
  <c r="AA626" i="22"/>
  <c r="AB626" i="22"/>
  <c r="AB380" i="22"/>
  <c r="AA1056" i="22"/>
  <c r="AB1056" i="22"/>
  <c r="AA879" i="22"/>
  <c r="AB879" i="22"/>
  <c r="AA1428" i="22"/>
  <c r="AB1428" i="22"/>
  <c r="L546" i="22"/>
  <c r="AA546" i="22" s="1"/>
  <c r="AB371" i="22"/>
  <c r="AA917" i="22"/>
  <c r="AB917" i="22"/>
  <c r="AA899" i="22"/>
  <c r="AB899" i="22"/>
  <c r="AA1199" i="22"/>
  <c r="AB1199" i="22"/>
  <c r="AA564" i="22"/>
  <c r="AA931" i="22"/>
  <c r="AB931" i="22"/>
  <c r="AA578" i="22"/>
  <c r="AB578" i="22"/>
  <c r="AA886" i="22"/>
  <c r="AB886" i="22"/>
  <c r="AA1348" i="22"/>
  <c r="AB1348" i="22"/>
  <c r="AA651" i="22"/>
  <c r="AB651" i="22"/>
  <c r="AB427" i="22"/>
  <c r="AB387" i="22"/>
  <c r="AA1173" i="22"/>
  <c r="AB1173" i="22"/>
  <c r="AA618" i="22"/>
  <c r="AB618" i="22"/>
  <c r="AA938" i="22"/>
  <c r="AB938" i="22"/>
  <c r="AA470" i="22"/>
  <c r="AB470" i="22"/>
  <c r="AA934" i="22"/>
  <c r="AB934" i="22"/>
  <c r="AA466" i="22"/>
  <c r="AB466" i="22"/>
  <c r="AA1389" i="22"/>
  <c r="AB1389" i="22"/>
  <c r="AA1229" i="22"/>
  <c r="AB1229" i="22"/>
  <c r="AA1498" i="22"/>
  <c r="AB1498" i="22"/>
  <c r="AA728" i="22"/>
  <c r="AB728" i="22"/>
  <c r="AA435" i="22"/>
  <c r="AB435" i="22"/>
  <c r="AB422" i="22"/>
  <c r="AA636" i="22"/>
  <c r="AB636" i="22"/>
  <c r="AA614" i="22"/>
  <c r="AB614" i="22"/>
  <c r="AA1219" i="22"/>
  <c r="AB1219" i="22"/>
  <c r="AA1411" i="22"/>
  <c r="AB1411" i="22"/>
  <c r="AA633" i="22"/>
  <c r="AB633" i="22"/>
  <c r="AA1204" i="22"/>
  <c r="AB1204" i="22"/>
  <c r="AA1068" i="22"/>
  <c r="AB1068" i="22"/>
  <c r="AA1021" i="22"/>
  <c r="AB1021" i="22"/>
  <c r="AA644" i="22"/>
  <c r="AB644" i="22"/>
  <c r="AA1022" i="22"/>
  <c r="AB1022" i="22"/>
  <c r="T357" i="22"/>
  <c r="AA357" i="22" s="1"/>
  <c r="AA1304" i="22"/>
  <c r="AB1304" i="22"/>
  <c r="AA653" i="22"/>
  <c r="AB653" i="22"/>
  <c r="AA1329" i="22"/>
  <c r="AB1329" i="22"/>
  <c r="AA1319" i="22"/>
  <c r="AB1319" i="22"/>
  <c r="AB386" i="22"/>
  <c r="AA897" i="22"/>
  <c r="AB897" i="22"/>
  <c r="AA475" i="22"/>
  <c r="AB475" i="22"/>
  <c r="AA571" i="22"/>
  <c r="AB571" i="22"/>
  <c r="AA1320" i="22"/>
  <c r="AB1320" i="22"/>
  <c r="AB423" i="22"/>
  <c r="AA561" i="22"/>
  <c r="AA1364" i="22"/>
  <c r="AB1364" i="22"/>
  <c r="AA655" i="22"/>
  <c r="AB655" i="22"/>
  <c r="AB390" i="22"/>
  <c r="AA469" i="22"/>
  <c r="AB469" i="22"/>
  <c r="AA890" i="22"/>
  <c r="AB890" i="22"/>
  <c r="AA467" i="22"/>
  <c r="AB467" i="22"/>
  <c r="AA1347" i="22"/>
  <c r="AB1347" i="22"/>
  <c r="AA1184" i="22"/>
  <c r="AB1184" i="22"/>
  <c r="AA1400" i="22"/>
  <c r="AB1400" i="22"/>
  <c r="AB420" i="22"/>
  <c r="T320" i="22"/>
  <c r="AB320" i="22" s="1"/>
  <c r="AA574" i="22"/>
  <c r="AB574" i="22"/>
  <c r="AA602" i="22"/>
  <c r="AB602" i="22"/>
  <c r="AA1308" i="22"/>
  <c r="AB1308" i="22"/>
  <c r="AB377" i="22"/>
  <c r="AA579" i="22"/>
  <c r="AB579" i="22"/>
  <c r="AA562" i="22"/>
  <c r="AA1240" i="22"/>
  <c r="AB1240" i="22"/>
  <c r="AA569" i="22"/>
  <c r="AB569" i="22"/>
  <c r="AB413" i="22"/>
  <c r="AB365" i="22"/>
  <c r="AA959" i="22"/>
  <c r="AB959" i="22"/>
  <c r="AB344" i="22"/>
  <c r="AA961" i="22"/>
  <c r="AB961" i="22"/>
  <c r="AB384" i="22"/>
  <c r="AA1104" i="22"/>
  <c r="AB1104" i="22"/>
  <c r="AA589" i="22"/>
  <c r="AB589" i="22"/>
  <c r="AB373" i="22"/>
  <c r="AA1202" i="22"/>
  <c r="AB1202" i="22"/>
  <c r="AA612" i="22"/>
  <c r="AB612" i="22"/>
  <c r="T379" i="22"/>
  <c r="AA379" i="22" s="1"/>
  <c r="T595" i="22"/>
  <c r="AA595" i="22" s="1"/>
  <c r="AA625" i="22"/>
  <c r="AB625" i="22"/>
  <c r="R642" i="22"/>
  <c r="AB642" i="22" s="1"/>
  <c r="AA1346" i="22"/>
  <c r="AB1346" i="22"/>
  <c r="AB370" i="22"/>
  <c r="S763" i="22"/>
  <c r="AA763" i="22" s="1"/>
  <c r="AA474" i="22"/>
  <c r="AB474" i="22"/>
  <c r="AA476" i="22"/>
  <c r="AB476" i="22"/>
  <c r="S434" i="22"/>
  <c r="AB434" i="22" s="1"/>
  <c r="AA1363" i="22"/>
  <c r="AB1363" i="22"/>
  <c r="AA454" i="22"/>
  <c r="AB454" i="22"/>
  <c r="S472" i="22"/>
  <c r="AB472" i="22" s="1"/>
  <c r="AA638" i="22"/>
  <c r="AB638" i="22"/>
  <c r="AA634" i="22"/>
  <c r="AB634" i="22"/>
  <c r="L691" i="22"/>
  <c r="AB691" i="22" s="1"/>
  <c r="AB382" i="22"/>
  <c r="AA629" i="22"/>
  <c r="AB629" i="22"/>
  <c r="AA565" i="22"/>
  <c r="AB403" i="22"/>
  <c r="AA1360" i="22"/>
  <c r="AB1360" i="22"/>
  <c r="AA1423" i="22"/>
  <c r="AB1423" i="22"/>
  <c r="AA477" i="22"/>
  <c r="AB477" i="22"/>
  <c r="AA1220" i="22"/>
  <c r="AB1220" i="22"/>
  <c r="AA1234" i="22"/>
  <c r="AB1234" i="22"/>
  <c r="AA1398" i="22"/>
  <c r="AB1398" i="22"/>
  <c r="AA1494" i="22"/>
  <c r="AB1494" i="22"/>
  <c r="AA1306" i="22"/>
  <c r="AB1306" i="22"/>
  <c r="AA1010" i="22"/>
  <c r="AB1010" i="22"/>
  <c r="AA1044" i="22"/>
  <c r="AB1044" i="22"/>
  <c r="S484" i="22"/>
  <c r="AA484" i="22" s="1"/>
  <c r="AA584" i="22"/>
  <c r="AB584" i="22"/>
  <c r="AA986" i="22"/>
  <c r="AB986" i="22"/>
  <c r="AA619" i="22"/>
  <c r="AB619" i="22"/>
  <c r="AA953" i="22"/>
  <c r="AB953" i="22"/>
  <c r="AA1203" i="22"/>
  <c r="AB1203" i="22"/>
  <c r="AA1008" i="22"/>
  <c r="AB1008" i="22"/>
  <c r="AA915" i="22"/>
  <c r="AB915" i="22"/>
  <c r="R657" i="22"/>
  <c r="AA657" i="22" s="1"/>
  <c r="AA935" i="22"/>
  <c r="AB935" i="22"/>
  <c r="AA1020" i="22"/>
  <c r="AB1020" i="22"/>
  <c r="AA1043" i="22"/>
  <c r="AB1043" i="22"/>
  <c r="AB385" i="22"/>
  <c r="L681" i="22"/>
  <c r="AB681" i="22" s="1"/>
  <c r="AB336" i="22"/>
  <c r="AB324" i="22"/>
  <c r="AB594" i="22"/>
  <c r="AA910" i="22"/>
  <c r="AB910" i="22"/>
  <c r="AA662" i="22"/>
  <c r="AB662" i="22"/>
  <c r="AA896" i="22"/>
  <c r="AB896" i="22"/>
  <c r="AA895" i="22"/>
  <c r="AB895" i="22"/>
  <c r="AB392" i="22"/>
  <c r="AA570" i="22"/>
  <c r="AB570" i="22"/>
  <c r="L542" i="22"/>
  <c r="AA542" i="22" s="1"/>
  <c r="L558" i="22"/>
  <c r="AA558" i="22" s="1"/>
  <c r="AA1046" i="22"/>
  <c r="AB1046" i="22"/>
  <c r="AA581" i="22"/>
  <c r="AB581" i="22"/>
  <c r="AA958" i="22"/>
  <c r="AB958" i="22"/>
  <c r="AB398" i="22"/>
  <c r="AA1495" i="22"/>
  <c r="AB1495" i="22"/>
  <c r="AA531" i="22"/>
  <c r="AB402" i="22"/>
  <c r="AA884" i="22"/>
  <c r="AB884" i="22"/>
  <c r="L545" i="22"/>
  <c r="AA545" i="22" s="1"/>
  <c r="R663" i="22"/>
  <c r="AA663" i="22" s="1"/>
  <c r="AA1365" i="22"/>
  <c r="AB1365" i="22"/>
  <c r="AA916" i="22"/>
  <c r="AB916" i="22"/>
  <c r="AA615" i="22"/>
  <c r="AB615" i="22"/>
  <c r="T363" i="22"/>
  <c r="AA363" i="22" s="1"/>
  <c r="AA463" i="22"/>
  <c r="AB463" i="22"/>
  <c r="AB411" i="22"/>
  <c r="AA893" i="22"/>
  <c r="AB893" i="22"/>
  <c r="AA1484" i="22"/>
  <c r="AB1484" i="22"/>
  <c r="AA1424" i="22"/>
  <c r="AB1424" i="22"/>
  <c r="AB416" i="22"/>
  <c r="AB406" i="22"/>
  <c r="AA1226" i="22"/>
  <c r="AB1226" i="22"/>
  <c r="L1327" i="22"/>
  <c r="AB1327" i="22" s="1"/>
  <c r="AA1239" i="22"/>
  <c r="AB1239" i="22"/>
  <c r="AA1332" i="22"/>
  <c r="AB1332" i="22"/>
  <c r="AA1465" i="22"/>
  <c r="AB1465" i="22"/>
  <c r="AA1238" i="22"/>
  <c r="AB1238" i="22"/>
  <c r="T364" i="22"/>
  <c r="AA364" i="22" s="1"/>
  <c r="T356" i="22"/>
  <c r="AA356" i="22" s="1"/>
  <c r="AA582" i="22"/>
  <c r="AB582" i="22"/>
  <c r="AA880" i="22"/>
  <c r="AB880" i="22"/>
  <c r="L682" i="22"/>
  <c r="AA682" i="22" s="1"/>
  <c r="AA1057" i="22"/>
  <c r="AB1057" i="22"/>
  <c r="AA555" i="22"/>
  <c r="AA588" i="22"/>
  <c r="AB588" i="22"/>
  <c r="AA960" i="22"/>
  <c r="AB960" i="22"/>
  <c r="AA989" i="22"/>
  <c r="AB989" i="22"/>
  <c r="AA962" i="22"/>
  <c r="AB962" i="22"/>
  <c r="AB376" i="22"/>
  <c r="AA992" i="22"/>
  <c r="AB992" i="22"/>
  <c r="AA936" i="22"/>
  <c r="AB936" i="22"/>
  <c r="AB391" i="22"/>
  <c r="AA1410" i="22"/>
  <c r="AB1410" i="22"/>
  <c r="AA563" i="22"/>
  <c r="AA1303" i="22"/>
  <c r="AB1303" i="22"/>
  <c r="AA1436" i="22"/>
  <c r="AB1436" i="22"/>
  <c r="AA1473" i="22"/>
  <c r="AB1473" i="22"/>
  <c r="AA1250" i="22"/>
  <c r="AB1250" i="22"/>
  <c r="AB410" i="22"/>
  <c r="AA623" i="22"/>
  <c r="AB623" i="22"/>
  <c r="AB396" i="22"/>
  <c r="AA1331" i="22"/>
  <c r="AB1331" i="22"/>
  <c r="AA432" i="22"/>
  <c r="AB432" i="22"/>
  <c r="AA1405" i="22"/>
  <c r="AB1405" i="22"/>
  <c r="T442" i="22"/>
  <c r="AB442" i="22" s="1"/>
  <c r="AA624" i="22"/>
  <c r="AB624" i="22"/>
  <c r="AA621" i="22"/>
  <c r="AB621" i="22"/>
  <c r="AA1345" i="22"/>
  <c r="AB1345" i="22"/>
  <c r="S1242" i="22"/>
  <c r="AA1242" i="22" s="1"/>
  <c r="S1083" i="22"/>
  <c r="AB1083" i="22" s="1"/>
  <c r="AA971" i="22"/>
  <c r="AB971" i="22"/>
  <c r="AA970" i="22"/>
  <c r="AB970" i="22"/>
  <c r="AA997" i="22"/>
  <c r="AB997" i="22"/>
  <c r="AA1155" i="22"/>
  <c r="AB1155" i="22"/>
  <c r="AA1122" i="22"/>
  <c r="AB1122" i="22"/>
  <c r="AA632" i="22"/>
  <c r="AB632" i="22"/>
  <c r="AA1169" i="22"/>
  <c r="AB1169" i="22"/>
  <c r="AA1081" i="22"/>
  <c r="AB1081" i="22"/>
  <c r="AA616" i="22"/>
  <c r="AB616" i="22"/>
  <c r="AA631" i="22"/>
  <c r="AB631" i="22"/>
  <c r="AA907" i="22"/>
  <c r="AB907" i="22"/>
  <c r="AA1174" i="22"/>
  <c r="AB1174" i="22"/>
  <c r="AA902" i="22"/>
  <c r="AB902" i="22"/>
  <c r="AA1165" i="22"/>
  <c r="AB1165" i="22"/>
  <c r="AA1000" i="22"/>
  <c r="AB1000" i="22"/>
  <c r="AA583" i="22"/>
  <c r="AB583" i="22"/>
  <c r="AA1283" i="22"/>
  <c r="AB1283" i="22"/>
  <c r="L556" i="22"/>
  <c r="AA556" i="22" s="1"/>
  <c r="AA1200" i="22"/>
  <c r="AB1200" i="22"/>
  <c r="AA878" i="22"/>
  <c r="AB878" i="22"/>
  <c r="AB407" i="22"/>
  <c r="AA601" i="22"/>
  <c r="AB601" i="22"/>
  <c r="AA620" i="22"/>
  <c r="AB620" i="22"/>
  <c r="AB405" i="22"/>
  <c r="T439" i="22"/>
  <c r="AA439" i="22" s="1"/>
  <c r="AA1292" i="22"/>
  <c r="AB1292" i="22"/>
  <c r="AA1225" i="22"/>
  <c r="AB1225" i="22"/>
  <c r="T443" i="22"/>
  <c r="AA443" i="22" s="1"/>
  <c r="T367" i="22"/>
  <c r="AA367" i="22" s="1"/>
  <c r="AA580" i="22"/>
  <c r="AB580" i="22"/>
  <c r="AA1407" i="22"/>
  <c r="AB1407" i="22"/>
  <c r="AA900" i="22"/>
  <c r="AB900" i="22"/>
  <c r="AA1305" i="22"/>
  <c r="AB1305" i="22"/>
  <c r="AA1372" i="22"/>
  <c r="AB1372" i="22"/>
  <c r="L641" i="22"/>
  <c r="AA641" i="22" s="1"/>
  <c r="AB421" i="22"/>
  <c r="AA630" i="22"/>
  <c r="AB630" i="22"/>
  <c r="AA482" i="22"/>
  <c r="AA1321" i="22"/>
  <c r="AB1321" i="22"/>
  <c r="AA901" i="22"/>
  <c r="AB901" i="22"/>
  <c r="AB389" i="22"/>
  <c r="AA909" i="22"/>
  <c r="AB909" i="22"/>
  <c r="AA599" i="22"/>
  <c r="AB599" i="22"/>
  <c r="AA62" i="22"/>
  <c r="AB62" i="22"/>
  <c r="AA566" i="22"/>
  <c r="AB404" i="22"/>
  <c r="AA1406" i="22"/>
  <c r="AB1406" i="22"/>
  <c r="AA1426" i="22"/>
  <c r="AB1426" i="22"/>
  <c r="R661" i="22"/>
  <c r="AA661" i="22" s="1"/>
  <c r="AA1216" i="22"/>
  <c r="AB1216" i="22"/>
  <c r="AA1397" i="22"/>
  <c r="AB1397" i="22"/>
  <c r="AA1217" i="22"/>
  <c r="AB1217" i="22"/>
  <c r="AA888" i="22"/>
  <c r="AB888" i="22"/>
  <c r="AA1009" i="22"/>
  <c r="AB1009" i="22"/>
  <c r="T358" i="22"/>
  <c r="AB358" i="22" s="1"/>
  <c r="AA1108" i="22"/>
  <c r="AB1108" i="22"/>
  <c r="AA1048" i="22"/>
  <c r="AB1048" i="22"/>
  <c r="AA452" i="22"/>
  <c r="AB452" i="22"/>
  <c r="AA1185" i="22"/>
  <c r="AB1185" i="22"/>
  <c r="AA1182" i="22"/>
  <c r="AB1182" i="22"/>
  <c r="AA1066" i="22"/>
  <c r="AB1066" i="22"/>
  <c r="AA891" i="22"/>
  <c r="AB891" i="22"/>
  <c r="AA1070" i="22"/>
  <c r="AB1070" i="22"/>
  <c r="AA541" i="22"/>
  <c r="AA927" i="22"/>
  <c r="AB927" i="22"/>
  <c r="AA473" i="22"/>
  <c r="AB473" i="22"/>
  <c r="AA1166" i="22"/>
  <c r="AB1166" i="22"/>
  <c r="AA991" i="22"/>
  <c r="AB991" i="22"/>
  <c r="AA987" i="22"/>
  <c r="AB987" i="22"/>
  <c r="AA1058" i="22"/>
  <c r="AB1058" i="22"/>
  <c r="AB409" i="22"/>
  <c r="AA1318" i="22"/>
  <c r="AB1318" i="22"/>
  <c r="AA1468" i="22"/>
  <c r="AB1468" i="22"/>
  <c r="AA911" i="22"/>
  <c r="AB911" i="22"/>
  <c r="AA613" i="22"/>
  <c r="AB613" i="22"/>
  <c r="AB399" i="22"/>
  <c r="AA640" i="22"/>
  <c r="AB640" i="22"/>
  <c r="AA1032" i="22"/>
  <c r="AB1032" i="22"/>
  <c r="AA609" i="22"/>
  <c r="AB609" i="22"/>
  <c r="AA1409" i="22"/>
  <c r="AB1409" i="22"/>
  <c r="S450" i="22"/>
  <c r="AA450" i="22" s="1"/>
  <c r="AA1476" i="22"/>
  <c r="AB1476" i="22"/>
  <c r="AA453" i="22"/>
  <c r="AB453" i="22"/>
  <c r="AA1412" i="22"/>
  <c r="AB1412" i="22"/>
  <c r="AA654" i="22"/>
  <c r="AB654" i="22"/>
  <c r="AA464" i="22"/>
  <c r="AB464" i="22"/>
  <c r="AA1328" i="22"/>
  <c r="AB1328" i="22"/>
  <c r="AA1373" i="22"/>
  <c r="AB1373" i="22"/>
  <c r="AA1402" i="22"/>
  <c r="AB1402" i="22"/>
  <c r="AB381" i="22"/>
  <c r="AA577" i="22"/>
  <c r="AB577" i="22"/>
  <c r="AA575" i="22"/>
  <c r="AB575" i="22"/>
  <c r="AA1374" i="22"/>
  <c r="AB1374" i="22"/>
  <c r="T438" i="22"/>
  <c r="AA438" i="22" s="1"/>
  <c r="AA648" i="22"/>
  <c r="AB648" i="22"/>
  <c r="AA1422" i="22"/>
  <c r="AB1422" i="22"/>
  <c r="AA617" i="22"/>
  <c r="AB617" i="22"/>
  <c r="AA605" i="22"/>
  <c r="AB605" i="22"/>
  <c r="I535" i="22"/>
  <c r="AA535" i="22" s="1"/>
  <c r="AA480" i="22"/>
  <c r="AB480" i="22"/>
  <c r="AA610" i="22"/>
  <c r="AB610" i="22"/>
  <c r="AA1387" i="22"/>
  <c r="AB1387" i="22"/>
  <c r="AB401" i="22"/>
  <c r="S433" i="22"/>
  <c r="AB433" i="22" s="1"/>
  <c r="S430" i="22"/>
  <c r="AA430" i="22" s="1"/>
  <c r="AA894" i="22"/>
  <c r="AB894" i="22"/>
  <c r="AA544" i="22"/>
  <c r="AB372" i="22"/>
  <c r="AB394" i="22"/>
  <c r="AA889" i="22"/>
  <c r="AB889" i="22"/>
  <c r="L550" i="22"/>
  <c r="AB550" i="22" s="1"/>
  <c r="AA1237" i="22"/>
  <c r="AB1237" i="22"/>
  <c r="AA604" i="22"/>
  <c r="AB604" i="22"/>
  <c r="AA1069" i="22"/>
  <c r="AB1069" i="22"/>
  <c r="AA1103" i="22"/>
  <c r="AB1103" i="22"/>
  <c r="AA914" i="22"/>
  <c r="AB914" i="22"/>
  <c r="AA1033" i="22"/>
  <c r="AB1033" i="22"/>
  <c r="AA1120" i="22"/>
  <c r="AB1120" i="22"/>
  <c r="AA557" i="22"/>
  <c r="AA904" i="22"/>
  <c r="AB904" i="22"/>
  <c r="AA572" i="22"/>
  <c r="AB572" i="22"/>
  <c r="AA1019" i="22"/>
  <c r="AB1019" i="22"/>
  <c r="AA1175" i="22"/>
  <c r="AB1175" i="22"/>
  <c r="AA598" i="22"/>
  <c r="AB598" i="22"/>
  <c r="AA1005" i="22"/>
  <c r="AB1005" i="22"/>
  <c r="AA933" i="22"/>
  <c r="AB933" i="22"/>
  <c r="AB1041" i="22"/>
  <c r="AA1011" i="22"/>
  <c r="AB1011" i="22"/>
  <c r="AA639" i="22"/>
  <c r="AB639" i="22"/>
  <c r="AA479" i="22"/>
  <c r="AB479" i="22"/>
  <c r="AA954" i="22"/>
  <c r="AB954" i="22"/>
  <c r="AA990" i="22"/>
  <c r="AB990" i="22"/>
  <c r="AA1047" i="22"/>
  <c r="AB1047" i="22"/>
  <c r="I678" i="22"/>
  <c r="AB678" i="22" s="1"/>
  <c r="AA1307" i="22"/>
  <c r="AB1307" i="22"/>
  <c r="AA459" i="22"/>
  <c r="AB459" i="22"/>
  <c r="L547" i="22"/>
  <c r="AA547" i="22" s="1"/>
  <c r="AA597" i="22"/>
  <c r="AB597" i="22"/>
  <c r="S451" i="22"/>
  <c r="AA451" i="22" s="1"/>
  <c r="AB424" i="22"/>
  <c r="L560" i="22"/>
  <c r="AA560" i="22" s="1"/>
  <c r="AA537" i="22"/>
  <c r="AA925" i="22"/>
  <c r="AB925" i="22"/>
  <c r="AA988" i="22"/>
  <c r="AB988" i="22"/>
  <c r="AA607" i="22"/>
  <c r="AB607" i="22"/>
  <c r="AA892" i="22"/>
  <c r="AB892" i="22"/>
  <c r="AA1416" i="22"/>
  <c r="AB1416" i="22"/>
  <c r="AA1366" i="22"/>
  <c r="AB1366" i="22"/>
  <c r="AA1218" i="22"/>
  <c r="AB1218" i="22"/>
  <c r="T354" i="22"/>
  <c r="AA354" i="22" s="1"/>
  <c r="AA1430" i="22"/>
  <c r="AB1430" i="22"/>
  <c r="AA1396" i="22"/>
  <c r="AB1396" i="22"/>
  <c r="AA1386" i="22"/>
  <c r="AB1386" i="22"/>
  <c r="AA532" i="22"/>
  <c r="AA600" i="22"/>
  <c r="AB600" i="22"/>
  <c r="AA1388" i="22"/>
  <c r="AB1388" i="22"/>
  <c r="O478" i="22"/>
  <c r="AA478" i="22" s="1"/>
  <c r="AA637" i="22"/>
  <c r="AB637" i="22"/>
  <c r="AB397" i="22"/>
  <c r="AA606" i="22"/>
  <c r="AB606" i="22"/>
  <c r="AA596" i="22"/>
  <c r="AB596" i="22"/>
  <c r="AA461" i="22"/>
  <c r="AB461" i="22"/>
  <c r="AB361" i="22"/>
  <c r="AA635" i="22"/>
  <c r="AB635" i="22"/>
  <c r="AA540" i="22"/>
  <c r="AA312" i="22"/>
  <c r="AB312" i="22"/>
  <c r="AA465" i="22"/>
  <c r="AB465" i="22"/>
  <c r="AB393" i="22"/>
  <c r="AA585" i="22"/>
  <c r="AB585" i="22"/>
  <c r="AA660" i="22"/>
  <c r="AB660" i="22"/>
  <c r="AA1427" i="22"/>
  <c r="AB1427" i="22"/>
  <c r="AA1228" i="22"/>
  <c r="AB1228" i="22"/>
  <c r="AA1231" i="22"/>
  <c r="AB1231" i="22"/>
  <c r="AA1437" i="22"/>
  <c r="AB1437" i="22"/>
  <c r="AA1302" i="22"/>
  <c r="AB1302" i="22"/>
  <c r="AB383" i="22"/>
  <c r="AA573" i="22"/>
  <c r="AB573" i="22"/>
  <c r="AA1144" i="22"/>
  <c r="AB1144" i="22"/>
  <c r="AA1183" i="22"/>
  <c r="AB1183" i="22"/>
  <c r="AA1145" i="22"/>
  <c r="AB1145" i="22"/>
  <c r="R650" i="22"/>
  <c r="AA650" i="22" s="1"/>
  <c r="AA549" i="22"/>
  <c r="AA458" i="22"/>
  <c r="AB458" i="22"/>
  <c r="L548" i="22"/>
  <c r="AB548" i="22" s="1"/>
  <c r="T323" i="22"/>
  <c r="AA323" i="22" s="1"/>
  <c r="AA963" i="22"/>
  <c r="AB963" i="22"/>
  <c r="G908" i="22"/>
  <c r="S762" i="22"/>
  <c r="AA762" i="22" s="1"/>
  <c r="E1474" i="22"/>
  <c r="G1474" i="22" s="1"/>
  <c r="S414" i="22"/>
  <c r="AA414" i="22" s="1"/>
  <c r="S1300" i="22"/>
  <c r="AA1300" i="22" s="1"/>
  <c r="S1301" i="22"/>
  <c r="AA1301" i="22" s="1"/>
  <c r="S1098" i="22"/>
  <c r="AA1098" i="22" s="1"/>
  <c r="L1350" i="22"/>
  <c r="AA1350" i="22" s="1"/>
  <c r="H999" i="22"/>
  <c r="AA999" i="22" s="1"/>
  <c r="S1299" i="22"/>
  <c r="AA1299" i="22" s="1"/>
  <c r="H942" i="22"/>
  <c r="AA942" i="22" s="1"/>
  <c r="L1311" i="22"/>
  <c r="AA1311" i="22" s="1"/>
  <c r="G317" i="22"/>
  <c r="Y1470" i="22"/>
  <c r="AA1470" i="22" s="1"/>
  <c r="S1105" i="22"/>
  <c r="AA1105" i="22" s="1"/>
  <c r="H943" i="22"/>
  <c r="AA943" i="22" s="1"/>
  <c r="S1244" i="22"/>
  <c r="AA1244" i="22" s="1"/>
  <c r="S1099" i="22"/>
  <c r="AA1099" i="22" s="1"/>
  <c r="S1082" i="22"/>
  <c r="AA1082" i="22" s="1"/>
  <c r="J1356" i="22"/>
  <c r="AA1356" i="22" s="1"/>
  <c r="S1288" i="22"/>
  <c r="AA1288" i="22" s="1"/>
  <c r="I1212" i="22"/>
  <c r="AA1212" i="22" s="1"/>
  <c r="H1227" i="22"/>
  <c r="AA1227" i="22" s="1"/>
  <c r="H1127" i="22"/>
  <c r="AA1127" i="22" s="1"/>
  <c r="H983" i="22"/>
  <c r="AA983" i="22" s="1"/>
  <c r="S1241" i="22"/>
  <c r="AA1241" i="22" s="1"/>
  <c r="G348" i="22"/>
  <c r="H1224" i="22"/>
  <c r="AA1224" i="22" s="1"/>
  <c r="H1131" i="22"/>
  <c r="AA1131" i="22" s="1"/>
  <c r="L1384" i="22"/>
  <c r="AA1384" i="22" s="1"/>
  <c r="H1154" i="22"/>
  <c r="AA1154" i="22" s="1"/>
  <c r="H1150" i="22"/>
  <c r="AA1150" i="22" s="1"/>
  <c r="H957" i="22"/>
  <c r="AA957" i="22" s="1"/>
  <c r="H976" i="22"/>
  <c r="AA976" i="22" s="1"/>
  <c r="E72" i="6"/>
  <c r="E73" i="6" s="1"/>
  <c r="S481" i="22"/>
  <c r="AB481" i="22" s="1"/>
  <c r="F5" i="22"/>
  <c r="F1512" i="22" s="1"/>
  <c r="D13" i="20"/>
  <c r="K596" i="10" s="1"/>
  <c r="M596" i="10" s="1"/>
  <c r="T368" i="22"/>
  <c r="AA368" i="22" s="1"/>
  <c r="L1493" i="22"/>
  <c r="AA1493" i="22" s="1"/>
  <c r="F73" i="6"/>
  <c r="AB542" i="22" l="1"/>
  <c r="AB545" i="22"/>
  <c r="AB558" i="22"/>
  <c r="AB547" i="22"/>
  <c r="AB556" i="22"/>
  <c r="AB560" i="22"/>
  <c r="AB546" i="22"/>
  <c r="AB484" i="22"/>
  <c r="AB535" i="22"/>
  <c r="AA358" i="22"/>
  <c r="E25" i="20"/>
  <c r="AB448" i="22"/>
  <c r="AA1106" i="22"/>
  <c r="AB443" i="22"/>
  <c r="AB595" i="22"/>
  <c r="AA1222" i="22"/>
  <c r="AB431" i="22"/>
  <c r="AA1083" i="22"/>
  <c r="AB451" i="22"/>
  <c r="AB450" i="22"/>
  <c r="AA442" i="22"/>
  <c r="AB430" i="22"/>
  <c r="AB1241" i="22"/>
  <c r="AB1242" i="22"/>
  <c r="AB1082" i="22"/>
  <c r="AA472" i="22"/>
  <c r="AB1224" i="22"/>
  <c r="AB1300" i="22"/>
  <c r="AB957" i="22"/>
  <c r="AB356" i="22"/>
  <c r="AB663" i="22"/>
  <c r="AB379" i="22"/>
  <c r="AB652" i="22"/>
  <c r="AB364" i="22"/>
  <c r="AB357" i="22"/>
  <c r="AB1150" i="22"/>
  <c r="AB650" i="22"/>
  <c r="AB363" i="22"/>
  <c r="AB943" i="22"/>
  <c r="AB1301" i="22"/>
  <c r="AB1098" i="22"/>
  <c r="AB478" i="22"/>
  <c r="AB1350" i="22"/>
  <c r="AB1131" i="22"/>
  <c r="AB1154" i="22"/>
  <c r="AB354" i="22"/>
  <c r="AB438" i="22"/>
  <c r="AB641" i="22"/>
  <c r="AB367" i="22"/>
  <c r="AB1099" i="22"/>
  <c r="AB1127" i="22"/>
  <c r="AB414" i="22"/>
  <c r="AB999" i="22"/>
  <c r="AB323" i="22"/>
  <c r="AB1299" i="22"/>
  <c r="AB661" i="22"/>
  <c r="AB1311" i="22"/>
  <c r="AB1288" i="22"/>
  <c r="AB1493" i="22"/>
  <c r="AB942" i="22"/>
  <c r="AB762" i="22"/>
  <c r="AB1384" i="22"/>
  <c r="AB657" i="22"/>
  <c r="AB1105" i="22"/>
  <c r="AB593" i="22"/>
  <c r="AB1227" i="22"/>
  <c r="AB1212" i="22"/>
  <c r="AA908" i="22"/>
  <c r="AB908" i="22"/>
  <c r="AB368" i="22"/>
  <c r="AB1470" i="22"/>
  <c r="AB682" i="22"/>
  <c r="AB983" i="22"/>
  <c r="AB1244" i="22"/>
  <c r="AB976" i="22"/>
  <c r="AA317" i="22"/>
  <c r="AB317" i="22"/>
  <c r="AA1327" i="22"/>
  <c r="AB1356" i="22"/>
  <c r="T348" i="22"/>
  <c r="AA348" i="22" s="1"/>
  <c r="AB439" i="22"/>
  <c r="AB763" i="22"/>
  <c r="AA481" i="22"/>
  <c r="L21" i="23"/>
  <c r="M21" i="23" s="1"/>
  <c r="K21" i="23"/>
  <c r="G5" i="22"/>
  <c r="D25" i="20"/>
  <c r="D39" i="20" s="1"/>
  <c r="I39" i="20"/>
  <c r="S787" i="22"/>
  <c r="AB787" i="22" s="1"/>
  <c r="S786" i="22"/>
  <c r="AB786" i="22" s="1"/>
  <c r="AA783" i="22"/>
  <c r="AA764" i="22"/>
  <c r="AA784" i="22"/>
  <c r="AA785" i="22"/>
  <c r="D42" i="20" l="1"/>
  <c r="H1" i="36"/>
  <c r="E15" i="36" s="1"/>
  <c r="E39" i="20"/>
  <c r="K11" i="20" s="1"/>
  <c r="E20" i="36"/>
  <c r="E18" i="36"/>
  <c r="E19" i="36"/>
  <c r="E41" i="20"/>
  <c r="AB348" i="22"/>
  <c r="I40" i="20"/>
  <c r="D40" i="20"/>
  <c r="L1459" i="22"/>
  <c r="L1458" i="22"/>
  <c r="W485" i="22"/>
  <c r="AB485" i="22" s="1"/>
  <c r="L554" i="22"/>
  <c r="AB554" i="22" s="1"/>
  <c r="L553" i="22"/>
  <c r="AB553" i="22" s="1"/>
  <c r="L551" i="22"/>
  <c r="AB551" i="22" s="1"/>
  <c r="AA786" i="22"/>
  <c r="AA787" i="22"/>
  <c r="I1344" i="22"/>
  <c r="S445" i="22"/>
  <c r="AB445" i="22" s="1"/>
  <c r="E26" i="36" l="1"/>
  <c r="E37" i="36"/>
  <c r="E16" i="36"/>
  <c r="E14" i="36"/>
  <c r="E11" i="36"/>
  <c r="E13" i="36"/>
  <c r="E17" i="36"/>
  <c r="E40" i="20"/>
  <c r="I41" i="20"/>
  <c r="E36" i="36"/>
  <c r="E38" i="36"/>
  <c r="E35" i="36"/>
  <c r="E34" i="36"/>
  <c r="E3" i="36"/>
  <c r="E21" i="36"/>
  <c r="E24" i="36"/>
  <c r="E23" i="36"/>
  <c r="E22" i="36"/>
  <c r="E25" i="36"/>
  <c r="AA1458" i="22"/>
  <c r="AB1458" i="22"/>
  <c r="AA1344" i="22"/>
  <c r="AB1344" i="22"/>
  <c r="AA553" i="22"/>
  <c r="AA554" i="22"/>
  <c r="AA1459" i="22"/>
  <c r="AB1459" i="22"/>
  <c r="AA445" i="22"/>
  <c r="AA551" i="22"/>
  <c r="E31" i="36"/>
  <c r="E9" i="36"/>
  <c r="E12" i="36"/>
  <c r="E27" i="36"/>
  <c r="E10" i="36"/>
  <c r="E8" i="36"/>
  <c r="E7" i="36"/>
  <c r="E39" i="36"/>
  <c r="E6" i="36"/>
  <c r="E30" i="36"/>
  <c r="AA485" i="22"/>
  <c r="X1512" i="22"/>
  <c r="L122" i="19" l="1"/>
  <c r="N122" i="19" s="1"/>
  <c r="N123" i="19" s="1"/>
  <c r="N125" i="19" s="1"/>
  <c r="K123" i="19"/>
  <c r="K125" i="19" s="1"/>
  <c r="J123" i="19"/>
  <c r="J125" i="19" s="1"/>
  <c r="I123" i="19"/>
  <c r="I125" i="19" s="1"/>
  <c r="H123" i="19"/>
  <c r="H125" i="19" s="1"/>
  <c r="G123" i="19"/>
  <c r="G125" i="19" s="1"/>
  <c r="L123" i="19" l="1"/>
  <c r="L125" i="19" s="1"/>
  <c r="K170" i="19" l="1"/>
  <c r="K173" i="19" s="1"/>
  <c r="J170" i="19"/>
  <c r="J173" i="19" s="1"/>
  <c r="I170" i="19"/>
  <c r="I173" i="19" s="1"/>
  <c r="H170" i="19"/>
  <c r="H173" i="19" s="1"/>
  <c r="L169" i="19"/>
  <c r="N169" i="19" s="1"/>
  <c r="L170" i="19" l="1"/>
  <c r="L173" i="19" s="1"/>
  <c r="N154" i="19"/>
  <c r="M154" i="19"/>
  <c r="L154" i="19"/>
  <c r="K154" i="19"/>
  <c r="J154" i="19"/>
  <c r="I154" i="19"/>
  <c r="H154" i="19"/>
  <c r="N170" i="19" l="1"/>
  <c r="N173" i="19" s="1"/>
  <c r="S1285" i="22" l="1"/>
  <c r="S1286" i="22"/>
  <c r="AA1286" i="22" l="1"/>
  <c r="AB1286" i="22"/>
  <c r="AA1285" i="22"/>
  <c r="AB1285" i="22"/>
  <c r="H1128" i="22"/>
  <c r="H1159" i="22"/>
  <c r="H1160" i="22"/>
  <c r="H1130" i="22"/>
  <c r="H1161" i="22"/>
  <c r="H1129" i="22"/>
  <c r="H1137" i="22"/>
  <c r="H1151" i="22"/>
  <c r="H1138" i="22"/>
  <c r="H1152" i="22"/>
  <c r="H1153" i="22"/>
  <c r="H949" i="22"/>
  <c r="H1139" i="22"/>
  <c r="H952" i="22"/>
  <c r="H1140" i="22"/>
  <c r="H951" i="22"/>
  <c r="H1158" i="22"/>
  <c r="H944" i="22"/>
  <c r="H945" i="22"/>
  <c r="H969" i="22"/>
  <c r="H1776" i="4"/>
  <c r="H1777" i="4" s="1"/>
  <c r="AA1151" i="22" l="1"/>
  <c r="AB1151" i="22"/>
  <c r="AA944" i="22"/>
  <c r="AB944" i="22"/>
  <c r="AA1158" i="22"/>
  <c r="AB1158" i="22"/>
  <c r="AA1153" i="22"/>
  <c r="AB1153" i="22"/>
  <c r="AA969" i="22"/>
  <c r="AB969" i="22"/>
  <c r="AA945" i="22"/>
  <c r="AB945" i="22"/>
  <c r="AA1137" i="22"/>
  <c r="AB1137" i="22"/>
  <c r="AA1129" i="22"/>
  <c r="AB1129" i="22"/>
  <c r="AA1161" i="22"/>
  <c r="AB1161" i="22"/>
  <c r="AA951" i="22"/>
  <c r="AB951" i="22"/>
  <c r="AA1130" i="22"/>
  <c r="AB1130" i="22"/>
  <c r="AA1140" i="22"/>
  <c r="AB1140" i="22"/>
  <c r="AA1160" i="22"/>
  <c r="AB1160" i="22"/>
  <c r="AA952" i="22"/>
  <c r="AB952" i="22"/>
  <c r="AA1159" i="22"/>
  <c r="AB1159" i="22"/>
  <c r="AA1139" i="22"/>
  <c r="AB1139" i="22"/>
  <c r="AA1128" i="22"/>
  <c r="AB1128" i="22"/>
  <c r="AA949" i="22"/>
  <c r="AB949" i="22"/>
  <c r="AA1152" i="22"/>
  <c r="AB1152" i="22"/>
  <c r="AA1138" i="22"/>
  <c r="AB1138" i="22"/>
  <c r="H1770" i="4"/>
  <c r="L1383" i="22"/>
  <c r="L97" i="22"/>
  <c r="H1107" i="22"/>
  <c r="H1143" i="22"/>
  <c r="AA1143" i="22" l="1"/>
  <c r="AB1143" i="22"/>
  <c r="AA1383" i="22"/>
  <c r="AB1383" i="22"/>
  <c r="AA1107" i="22"/>
  <c r="AB1107" i="22"/>
  <c r="AA97" i="22"/>
  <c r="AB97" i="22"/>
  <c r="S186" i="22"/>
  <c r="AA186" i="22" l="1"/>
  <c r="AB186" i="22"/>
  <c r="Q1512" i="22"/>
  <c r="P1512" i="22"/>
  <c r="N1512" i="22"/>
  <c r="K1512" i="22"/>
  <c r="L828" i="22" l="1"/>
  <c r="AB828" i="22" s="1"/>
  <c r="H998" i="22" l="1"/>
  <c r="H1003" i="22"/>
  <c r="H995" i="22"/>
  <c r="H1004" i="22"/>
  <c r="H1002" i="22"/>
  <c r="H114" i="22"/>
  <c r="H116" i="22"/>
  <c r="H994" i="22"/>
  <c r="S1075" i="22"/>
  <c r="H1014" i="22"/>
  <c r="S1296" i="22"/>
  <c r="H956" i="22"/>
  <c r="H1016" i="22"/>
  <c r="AA828" i="22"/>
  <c r="S446" i="22"/>
  <c r="AA956" i="22" l="1"/>
  <c r="AB956" i="22"/>
  <c r="AA1296" i="22"/>
  <c r="AB1296" i="22"/>
  <c r="AA1014" i="22"/>
  <c r="AB1014" i="22"/>
  <c r="AA1075" i="22"/>
  <c r="AB1075" i="22"/>
  <c r="AA994" i="22"/>
  <c r="AB994" i="22"/>
  <c r="AA116" i="22"/>
  <c r="AB116" i="22"/>
  <c r="AA114" i="22"/>
  <c r="AB114" i="22"/>
  <c r="AA1002" i="22"/>
  <c r="AB1002" i="22"/>
  <c r="AA1004" i="22"/>
  <c r="AB1004" i="22"/>
  <c r="AA446" i="22"/>
  <c r="AB446" i="22"/>
  <c r="AA995" i="22"/>
  <c r="AB995" i="22"/>
  <c r="AA1003" i="22"/>
  <c r="AB1003" i="22"/>
  <c r="AA1016" i="22"/>
  <c r="AB1016" i="22"/>
  <c r="AA998" i="22"/>
  <c r="AB998" i="22"/>
  <c r="H955" i="22"/>
  <c r="L1457" i="22"/>
  <c r="S1096" i="22"/>
  <c r="H1006" i="22"/>
  <c r="H996" i="22"/>
  <c r="AA996" i="22" l="1"/>
  <c r="AB996" i="22"/>
  <c r="AA1096" i="22"/>
  <c r="AB1096" i="22"/>
  <c r="AA1457" i="22"/>
  <c r="AB1457" i="22"/>
  <c r="AA1006" i="22"/>
  <c r="AB1006" i="22"/>
  <c r="AA955" i="22"/>
  <c r="AB955" i="22"/>
  <c r="K1770" i="4"/>
  <c r="K1771" i="4"/>
  <c r="K1772" i="4"/>
  <c r="K1773" i="4" l="1"/>
  <c r="L645" i="22" l="1"/>
  <c r="AA645" i="22" l="1"/>
  <c r="AB645" i="22"/>
  <c r="AA433" i="22"/>
  <c r="H113" i="22" l="1"/>
  <c r="H1015" i="22"/>
  <c r="S441" i="22"/>
  <c r="H1210" i="22"/>
  <c r="L1487" i="22"/>
  <c r="T437" i="22"/>
  <c r="S1088" i="22"/>
  <c r="H974" i="22"/>
  <c r="AA974" i="22" l="1"/>
  <c r="AB974" i="22"/>
  <c r="AA1088" i="22"/>
  <c r="AB1088" i="22"/>
  <c r="AA437" i="22"/>
  <c r="AB437" i="22"/>
  <c r="AA1487" i="22"/>
  <c r="AB1487" i="22"/>
  <c r="AA1210" i="22"/>
  <c r="AB1210" i="22"/>
  <c r="AA441" i="22"/>
  <c r="AB441" i="22"/>
  <c r="AA1015" i="22"/>
  <c r="AB1015" i="22"/>
  <c r="AA113" i="22"/>
  <c r="AB113" i="22"/>
  <c r="L827" i="22"/>
  <c r="S1097" i="22"/>
  <c r="H1136" i="22"/>
  <c r="L1488" i="22"/>
  <c r="L1359" i="22"/>
  <c r="H1013" i="22"/>
  <c r="AA550" i="22"/>
  <c r="S1243" i="22"/>
  <c r="H115" i="22"/>
  <c r="AA1243" i="22" l="1"/>
  <c r="AB1243" i="22"/>
  <c r="AA1488" i="22"/>
  <c r="AB1488" i="22"/>
  <c r="AA1013" i="22"/>
  <c r="AB1013" i="22"/>
  <c r="AA1359" i="22"/>
  <c r="AB1359" i="22"/>
  <c r="AA1136" i="22"/>
  <c r="AB1136" i="22"/>
  <c r="AA1097" i="22"/>
  <c r="AB1097" i="22"/>
  <c r="AA827" i="22"/>
  <c r="AB827" i="22"/>
  <c r="AA115" i="22"/>
  <c r="AB115" i="22"/>
  <c r="S213" i="22"/>
  <c r="AA213" i="22" l="1"/>
  <c r="AB213" i="22"/>
  <c r="L1455" i="22"/>
  <c r="L1382" i="22"/>
  <c r="AA721" i="22"/>
  <c r="S1290" i="22"/>
  <c r="H979" i="22"/>
  <c r="L1456" i="22"/>
  <c r="S1093" i="22"/>
  <c r="T586" i="22"/>
  <c r="T587" i="22"/>
  <c r="E1403" i="22"/>
  <c r="G1403" i="22" s="1"/>
  <c r="AA587" i="22" l="1"/>
  <c r="AB587" i="22"/>
  <c r="AB1508" i="22"/>
  <c r="AA1456" i="22"/>
  <c r="AB1456" i="22"/>
  <c r="AA586" i="22"/>
  <c r="AB586" i="22"/>
  <c r="AA1093" i="22"/>
  <c r="AB1093" i="22"/>
  <c r="AA979" i="22"/>
  <c r="AB979" i="22"/>
  <c r="AA1290" i="22"/>
  <c r="AB1290" i="22"/>
  <c r="AA1382" i="22"/>
  <c r="AB1382" i="22"/>
  <c r="AA1455" i="22"/>
  <c r="AB1455" i="22"/>
  <c r="W723" i="22"/>
  <c r="L1472" i="22"/>
  <c r="D656" i="22"/>
  <c r="G656" i="22" s="1"/>
  <c r="W722" i="22"/>
  <c r="AB722" i="22" s="1"/>
  <c r="H658" i="22"/>
  <c r="AA658" i="22" l="1"/>
  <c r="AB658" i="22"/>
  <c r="AA1472" i="22"/>
  <c r="AB1472" i="22"/>
  <c r="AA723" i="22"/>
  <c r="AB723" i="22"/>
  <c r="AA722" i="22"/>
  <c r="R1403" i="22"/>
  <c r="H1233" i="22"/>
  <c r="H1236" i="22"/>
  <c r="H1235" i="22"/>
  <c r="AA1235" i="22" l="1"/>
  <c r="AB1235" i="22"/>
  <c r="AA1233" i="22"/>
  <c r="AB1233" i="22"/>
  <c r="AA1403" i="22"/>
  <c r="AB1403" i="22"/>
  <c r="AA1236" i="22"/>
  <c r="AB1236" i="22"/>
  <c r="H656" i="22"/>
  <c r="T1042" i="22"/>
  <c r="H1232" i="22"/>
  <c r="T1038" i="22"/>
  <c r="AA1232" i="22" l="1"/>
  <c r="AB1232" i="22"/>
  <c r="AA1038" i="22"/>
  <c r="AB1038" i="22"/>
  <c r="AA1042" i="22"/>
  <c r="AB1042" i="22"/>
  <c r="AA656" i="22"/>
  <c r="AB656" i="22"/>
  <c r="T1034" i="22"/>
  <c r="T1039" i="22"/>
  <c r="AA1034" i="22" l="1"/>
  <c r="AB1034" i="22"/>
  <c r="AA1039" i="22"/>
  <c r="AB1039" i="22"/>
  <c r="J687" i="22"/>
  <c r="AB687" i="22" s="1"/>
  <c r="T436" i="22"/>
  <c r="S228" i="22"/>
  <c r="S262" i="22"/>
  <c r="AA263" i="22"/>
  <c r="S264" i="22"/>
  <c r="S265" i="22"/>
  <c r="S266" i="22"/>
  <c r="S267" i="22"/>
  <c r="S268" i="22"/>
  <c r="AA269" i="22"/>
  <c r="S270" i="22"/>
  <c r="S271" i="22"/>
  <c r="AA272" i="22"/>
  <c r="S273" i="22"/>
  <c r="S274" i="22"/>
  <c r="S275" i="22"/>
  <c r="S276" i="22"/>
  <c r="S277" i="22"/>
  <c r="T328" i="22"/>
  <c r="T359" i="22"/>
  <c r="AA359" i="22" s="1"/>
  <c r="T360" i="22"/>
  <c r="AA360" i="22" s="1"/>
  <c r="S428" i="22"/>
  <c r="AA428" i="22" s="1"/>
  <c r="L552" i="22"/>
  <c r="AB552" i="22" s="1"/>
  <c r="R669" i="22"/>
  <c r="AB669" i="22" s="1"/>
  <c r="S756" i="22"/>
  <c r="AB756" i="22" s="1"/>
  <c r="S761" i="22"/>
  <c r="AB761" i="22" s="1"/>
  <c r="U1055" i="22"/>
  <c r="C1215" i="22"/>
  <c r="R1225" i="4" s="1"/>
  <c r="L1369" i="22"/>
  <c r="L1425" i="22"/>
  <c r="L1435" i="22"/>
  <c r="L1441" i="22"/>
  <c r="AA266" i="22" l="1"/>
  <c r="AB266" i="22"/>
  <c r="AA1425" i="22"/>
  <c r="AB1425" i="22"/>
  <c r="AA275" i="22"/>
  <c r="AB275" i="22"/>
  <c r="AA1435" i="22"/>
  <c r="AB1435" i="22"/>
  <c r="AA265" i="22"/>
  <c r="AB265" i="22"/>
  <c r="AA1369" i="22"/>
  <c r="AB1369" i="22"/>
  <c r="AA276" i="22"/>
  <c r="AB276" i="22"/>
  <c r="AA273" i="22"/>
  <c r="AB273" i="22"/>
  <c r="AA328" i="22"/>
  <c r="AB328" i="22"/>
  <c r="AA277" i="22"/>
  <c r="AB277" i="22"/>
  <c r="AA264" i="22"/>
  <c r="AB264" i="22"/>
  <c r="AA1055" i="22"/>
  <c r="AB1055" i="22"/>
  <c r="AA262" i="22"/>
  <c r="AB262" i="22"/>
  <c r="AA436" i="22"/>
  <c r="AB436" i="22"/>
  <c r="AA271" i="22"/>
  <c r="AB271" i="22"/>
  <c r="AA270" i="22"/>
  <c r="AB270" i="22"/>
  <c r="AB428" i="22"/>
  <c r="AA274" i="22"/>
  <c r="AB274" i="22"/>
  <c r="AA228" i="22"/>
  <c r="AB228" i="22"/>
  <c r="AA552" i="22"/>
  <c r="AB360" i="22"/>
  <c r="AA268" i="22"/>
  <c r="AB268" i="22"/>
  <c r="AA1441" i="22"/>
  <c r="AB1441" i="22"/>
  <c r="AB359" i="22"/>
  <c r="AA267" i="22"/>
  <c r="AB267" i="22"/>
  <c r="L1225" i="4"/>
  <c r="L1421" i="22"/>
  <c r="L1496" i="22"/>
  <c r="L1462" i="22"/>
  <c r="Z1478" i="22"/>
  <c r="Z1477" i="22"/>
  <c r="L1497" i="22"/>
  <c r="L1463" i="22"/>
  <c r="L1414" i="22"/>
  <c r="L1385" i="22"/>
  <c r="L1445" i="22"/>
  <c r="L1444" i="22"/>
  <c r="L1431" i="22"/>
  <c r="L1419" i="22"/>
  <c r="L1492" i="22"/>
  <c r="L1491" i="22"/>
  <c r="L1482" i="22"/>
  <c r="L1448" i="22"/>
  <c r="C1214" i="22"/>
  <c r="R1224" i="4" s="1"/>
  <c r="G1215" i="22"/>
  <c r="L1420" i="22"/>
  <c r="J918" i="22"/>
  <c r="M1486" i="22"/>
  <c r="S1251" i="22"/>
  <c r="H112" i="22"/>
  <c r="G922" i="22"/>
  <c r="M811" i="22"/>
  <c r="AA77" i="22"/>
  <c r="H76" i="22"/>
  <c r="I803" i="22"/>
  <c r="L795" i="22"/>
  <c r="AB795" i="22" s="1"/>
  <c r="T1052" i="22"/>
  <c r="I1368" i="22"/>
  <c r="S1267" i="22"/>
  <c r="AA874" i="22"/>
  <c r="AA873" i="22"/>
  <c r="AA829" i="22"/>
  <c r="AA739" i="22"/>
  <c r="S1259" i="22"/>
  <c r="AA868" i="22"/>
  <c r="AA860" i="22"/>
  <c r="AA844" i="22"/>
  <c r="AA836" i="22"/>
  <c r="AA826" i="22"/>
  <c r="AA818" i="22"/>
  <c r="AA810" i="22"/>
  <c r="AA800" i="22"/>
  <c r="AA792" i="22"/>
  <c r="AA746" i="22"/>
  <c r="AA738" i="22"/>
  <c r="AA730" i="22"/>
  <c r="AA717" i="22"/>
  <c r="AA709" i="22"/>
  <c r="AA701" i="22"/>
  <c r="AA692" i="22"/>
  <c r="S674" i="22"/>
  <c r="S1062" i="22"/>
  <c r="S1260" i="22"/>
  <c r="AA861" i="22"/>
  <c r="AA710" i="22"/>
  <c r="S1266" i="22"/>
  <c r="G877" i="22"/>
  <c r="AA867" i="22"/>
  <c r="AA859" i="22"/>
  <c r="AA843" i="22"/>
  <c r="AA835" i="22"/>
  <c r="AA825" i="22"/>
  <c r="AA809" i="22"/>
  <c r="AA791" i="22"/>
  <c r="S755" i="22"/>
  <c r="AB755" i="22" s="1"/>
  <c r="AA745" i="22"/>
  <c r="AA737" i="22"/>
  <c r="AA729" i="22"/>
  <c r="AA716" i="22"/>
  <c r="AA708" i="22"/>
  <c r="AA681" i="22"/>
  <c r="AA673" i="22"/>
  <c r="AA837" i="22"/>
  <c r="AA748" i="22"/>
  <c r="S675" i="22"/>
  <c r="AA858" i="22"/>
  <c r="AA834" i="22"/>
  <c r="AA808" i="22"/>
  <c r="AA790" i="22"/>
  <c r="AA744" i="22"/>
  <c r="AA715" i="22"/>
  <c r="AA707" i="22"/>
  <c r="AA690" i="22"/>
  <c r="AA680" i="22"/>
  <c r="G672" i="22"/>
  <c r="AA819" i="22"/>
  <c r="AA731" i="22"/>
  <c r="AA683" i="22"/>
  <c r="AA866" i="22"/>
  <c r="AA842" i="22"/>
  <c r="AA736" i="22"/>
  <c r="H1208" i="22"/>
  <c r="AA865" i="22"/>
  <c r="AA857" i="22"/>
  <c r="AA849" i="22"/>
  <c r="AA841" i="22"/>
  <c r="AA833" i="22"/>
  <c r="AA789" i="22"/>
  <c r="AA743" i="22"/>
  <c r="AA725" i="22"/>
  <c r="AA714" i="22"/>
  <c r="AA706" i="22"/>
  <c r="AA689" i="22"/>
  <c r="AA853" i="22"/>
  <c r="AA793" i="22"/>
  <c r="AA718" i="22"/>
  <c r="L1451" i="22"/>
  <c r="S1072" i="22"/>
  <c r="H941" i="22"/>
  <c r="AA864" i="22"/>
  <c r="AA856" i="22"/>
  <c r="AA848" i="22"/>
  <c r="AA840" i="22"/>
  <c r="AA832" i="22"/>
  <c r="AA822" i="22"/>
  <c r="AA742" i="22"/>
  <c r="AA734" i="22"/>
  <c r="AA713" i="22"/>
  <c r="AA705" i="22"/>
  <c r="AA697" i="22"/>
  <c r="AA688" i="22"/>
  <c r="T362" i="22"/>
  <c r="AA362" i="22" s="1"/>
  <c r="AA845" i="22"/>
  <c r="AA702" i="22"/>
  <c r="AA871" i="22"/>
  <c r="AA863" i="22"/>
  <c r="AA855" i="22"/>
  <c r="AA847" i="22"/>
  <c r="AA831" i="22"/>
  <c r="AA821" i="22"/>
  <c r="AA813" i="22"/>
  <c r="AA750" i="22"/>
  <c r="AA741" i="22"/>
  <c r="AA733" i="22"/>
  <c r="AA720" i="22"/>
  <c r="AA712" i="22"/>
  <c r="AA696" i="22"/>
  <c r="AA685" i="22"/>
  <c r="AA869" i="22"/>
  <c r="S1269" i="22"/>
  <c r="S1261" i="22"/>
  <c r="S1253" i="22"/>
  <c r="H1205" i="22"/>
  <c r="AA870" i="22"/>
  <c r="AA862" i="22"/>
  <c r="AA854" i="22"/>
  <c r="AA846" i="22"/>
  <c r="AA838" i="22"/>
  <c r="AA830" i="22"/>
  <c r="AA820" i="22"/>
  <c r="AA794" i="22"/>
  <c r="S758" i="22"/>
  <c r="AB758" i="22" s="1"/>
  <c r="AA749" i="22"/>
  <c r="AA740" i="22"/>
  <c r="AA732" i="22"/>
  <c r="AA719" i="22"/>
  <c r="AA711" i="22"/>
  <c r="AA695" i="22"/>
  <c r="AA684" i="22"/>
  <c r="S676" i="22"/>
  <c r="AA686" i="22"/>
  <c r="L1453" i="22"/>
  <c r="H948" i="22"/>
  <c r="S1264" i="22"/>
  <c r="S1262" i="22"/>
  <c r="L1454" i="22"/>
  <c r="L1439" i="22"/>
  <c r="S1276" i="22"/>
  <c r="S1268" i="22"/>
  <c r="S1079" i="22"/>
  <c r="T1026" i="22"/>
  <c r="I1367" i="22"/>
  <c r="S1275" i="22"/>
  <c r="S1078" i="22"/>
  <c r="AA756" i="22"/>
  <c r="L1452" i="22"/>
  <c r="S1274" i="22"/>
  <c r="S1258" i="22"/>
  <c r="H1156" i="22"/>
  <c r="H947" i="22"/>
  <c r="S1054" i="22"/>
  <c r="S1282" i="22"/>
  <c r="S1273" i="22"/>
  <c r="S1265" i="22"/>
  <c r="S1257" i="22"/>
  <c r="H1134" i="22"/>
  <c r="S1284" i="22"/>
  <c r="S1280" i="22"/>
  <c r="H1438" i="22"/>
  <c r="I1343" i="22"/>
  <c r="S1272" i="22"/>
  <c r="Z1479" i="22"/>
  <c r="L1442" i="22"/>
  <c r="S1399" i="22"/>
  <c r="S1391" i="22"/>
  <c r="S1279" i="22"/>
  <c r="S1271" i="22"/>
  <c r="S1263" i="22"/>
  <c r="S1255" i="22"/>
  <c r="S1085" i="22"/>
  <c r="H1001" i="22"/>
  <c r="S1087" i="22"/>
  <c r="S1270" i="22"/>
  <c r="T1028" i="22"/>
  <c r="H968" i="22"/>
  <c r="AA761" i="22"/>
  <c r="I1466" i="22"/>
  <c r="S1289" i="22"/>
  <c r="L1433" i="22"/>
  <c r="S1278" i="22"/>
  <c r="S1254" i="22"/>
  <c r="S1277" i="22"/>
  <c r="T1027" i="22"/>
  <c r="H993" i="22"/>
  <c r="AA327" i="22"/>
  <c r="T319" i="22"/>
  <c r="AA288" i="22"/>
  <c r="T318" i="22"/>
  <c r="L148" i="22"/>
  <c r="T349" i="22"/>
  <c r="AA349" i="22" s="1"/>
  <c r="AA214" i="22"/>
  <c r="AA316" i="22"/>
  <c r="S285" i="22"/>
  <c r="S429" i="22"/>
  <c r="AA429" i="22" s="1"/>
  <c r="T347" i="22"/>
  <c r="AA347" i="22" s="1"/>
  <c r="T331" i="22"/>
  <c r="AA260" i="22"/>
  <c r="S211" i="22"/>
  <c r="S203" i="22"/>
  <c r="T322" i="22"/>
  <c r="S291" i="22"/>
  <c r="AA291" i="22" s="1"/>
  <c r="S227" i="22"/>
  <c r="AA434" i="22"/>
  <c r="T321" i="22"/>
  <c r="S290" i="22"/>
  <c r="AA290" i="22" s="1"/>
  <c r="S258" i="22"/>
  <c r="S233" i="22"/>
  <c r="AA217" i="22"/>
  <c r="S208" i="22"/>
  <c r="H1206" i="22"/>
  <c r="L1355" i="22"/>
  <c r="I1352" i="22"/>
  <c r="L140" i="22"/>
  <c r="L139" i="22"/>
  <c r="L137" i="22"/>
  <c r="L1475" i="22"/>
  <c r="L1434" i="22"/>
  <c r="S1295" i="22"/>
  <c r="H978" i="22"/>
  <c r="T351" i="22"/>
  <c r="AA351" i="22" s="1"/>
  <c r="T343" i="22"/>
  <c r="AA343" i="22" s="1"/>
  <c r="S296" i="22"/>
  <c r="AA296" i="22" s="1"/>
  <c r="L1446" i="22"/>
  <c r="T374" i="22"/>
  <c r="AA374" i="22" s="1"/>
  <c r="T350" i="22"/>
  <c r="AA350" i="22" s="1"/>
  <c r="S287" i="22"/>
  <c r="L1474" i="22"/>
  <c r="V1429" i="22"/>
  <c r="I1333" i="22"/>
  <c r="H1168" i="22"/>
  <c r="L851" i="22"/>
  <c r="T1393" i="22"/>
  <c r="T1023" i="22"/>
  <c r="L850" i="22"/>
  <c r="L699" i="22"/>
  <c r="S1256" i="22"/>
  <c r="L815" i="22"/>
  <c r="AB815" i="22" s="1"/>
  <c r="AA735" i="22"/>
  <c r="T1029" i="22"/>
  <c r="AA259" i="22"/>
  <c r="AA687" i="22"/>
  <c r="S1287" i="22"/>
  <c r="W1408" i="22"/>
  <c r="S1390" i="22"/>
  <c r="I1339" i="22"/>
  <c r="H1147" i="22"/>
  <c r="H940" i="22"/>
  <c r="T677" i="22"/>
  <c r="T353" i="22"/>
  <c r="AA353" i="22" s="1"/>
  <c r="S218" i="22"/>
  <c r="I1337" i="22"/>
  <c r="S1080" i="22"/>
  <c r="AA669" i="22"/>
  <c r="T352" i="22"/>
  <c r="AA352" i="22" s="1"/>
  <c r="AA320" i="22"/>
  <c r="S289" i="22"/>
  <c r="AA289" i="22" s="1"/>
  <c r="S257" i="22"/>
  <c r="S1074" i="22"/>
  <c r="AB353" i="22" l="1"/>
  <c r="AA1289" i="22"/>
  <c r="AB1289" i="22"/>
  <c r="AA1420" i="22"/>
  <c r="AB1420" i="22"/>
  <c r="AA140" i="22"/>
  <c r="AB140" i="22"/>
  <c r="AA1466" i="22"/>
  <c r="AB1466" i="22"/>
  <c r="AA1273" i="22"/>
  <c r="AB1273" i="22"/>
  <c r="AA1215" i="22"/>
  <c r="AB1215" i="22"/>
  <c r="AB374" i="22"/>
  <c r="AA322" i="22"/>
  <c r="AB322" i="22"/>
  <c r="AA1282" i="22"/>
  <c r="AB1282" i="22"/>
  <c r="AB362" i="22"/>
  <c r="AA850" i="22"/>
  <c r="AB850" i="22"/>
  <c r="AA1355" i="22"/>
  <c r="AB1355" i="22"/>
  <c r="AA968" i="22"/>
  <c r="AB968" i="22"/>
  <c r="AA1268" i="22"/>
  <c r="AB1268" i="22"/>
  <c r="AA1339" i="22"/>
  <c r="AB1339" i="22"/>
  <c r="AA1206" i="22"/>
  <c r="AB1206" i="22"/>
  <c r="AA1028" i="22"/>
  <c r="AB1028" i="22"/>
  <c r="AA1276" i="22"/>
  <c r="AB1276" i="22"/>
  <c r="AA1072" i="22"/>
  <c r="AB1072" i="22"/>
  <c r="AB343" i="22"/>
  <c r="AA1270" i="22"/>
  <c r="AB1270" i="22"/>
  <c r="AA1439" i="22"/>
  <c r="AB1439" i="22"/>
  <c r="AA851" i="22"/>
  <c r="AB851" i="22"/>
  <c r="AA1258" i="22"/>
  <c r="AB1258" i="22"/>
  <c r="AA1259" i="22"/>
  <c r="AB1259" i="22"/>
  <c r="AA811" i="22"/>
  <c r="AB811" i="22"/>
  <c r="AA1492" i="22"/>
  <c r="AB1492" i="22"/>
  <c r="AA1496" i="22"/>
  <c r="AB1496" i="22"/>
  <c r="AB352" i="22"/>
  <c r="AA1287" i="22"/>
  <c r="AB1287" i="22"/>
  <c r="AA1168" i="22"/>
  <c r="AB1168" i="22"/>
  <c r="AA978" i="22"/>
  <c r="AB978" i="22"/>
  <c r="AA233" i="22"/>
  <c r="AB233" i="22"/>
  <c r="AB347" i="22"/>
  <c r="AA1027" i="22"/>
  <c r="AB1027" i="22"/>
  <c r="AA1001" i="22"/>
  <c r="AB1001" i="22"/>
  <c r="AA1438" i="22"/>
  <c r="AB1438" i="22"/>
  <c r="AA1274" i="22"/>
  <c r="AB1274" i="22"/>
  <c r="AA1262" i="22"/>
  <c r="AB1262" i="22"/>
  <c r="AA1261" i="22"/>
  <c r="AB1261" i="22"/>
  <c r="AA877" i="22"/>
  <c r="AB877" i="22"/>
  <c r="AA922" i="22"/>
  <c r="AB922" i="22"/>
  <c r="AA1419" i="22"/>
  <c r="AB1419" i="22"/>
  <c r="AA1421" i="22"/>
  <c r="AB1421" i="22"/>
  <c r="AA139" i="22"/>
  <c r="AB139" i="22"/>
  <c r="AA1279" i="22"/>
  <c r="AB1279" i="22"/>
  <c r="AA676" i="22"/>
  <c r="AB676" i="22"/>
  <c r="AA1062" i="22"/>
  <c r="AB1062" i="22"/>
  <c r="AA1414" i="22"/>
  <c r="AB1414" i="22"/>
  <c r="AA1026" i="22"/>
  <c r="AB1026" i="22"/>
  <c r="AA675" i="22"/>
  <c r="AB675" i="22"/>
  <c r="AA1463" i="22"/>
  <c r="AB1463" i="22"/>
  <c r="AA940" i="22"/>
  <c r="AB940" i="22"/>
  <c r="AA1497" i="22"/>
  <c r="AB1497" i="22"/>
  <c r="AA1147" i="22"/>
  <c r="AB1147" i="22"/>
  <c r="AA1442" i="22"/>
  <c r="AB1442" i="22"/>
  <c r="AA211" i="22"/>
  <c r="AB211" i="22"/>
  <c r="AA1478" i="22"/>
  <c r="AB1478" i="22"/>
  <c r="AB429" i="22"/>
  <c r="AA1431" i="22"/>
  <c r="AB1431" i="22"/>
  <c r="AB349" i="22"/>
  <c r="AA1367" i="22"/>
  <c r="AB1367" i="22"/>
  <c r="AA1368" i="22"/>
  <c r="AB1368" i="22"/>
  <c r="AA677" i="22"/>
  <c r="AB677" i="22"/>
  <c r="AA148" i="22"/>
  <c r="AB148" i="22"/>
  <c r="AA1074" i="22"/>
  <c r="AB1074" i="22"/>
  <c r="AA1446" i="22"/>
  <c r="AB1446" i="22"/>
  <c r="AA1054" i="22"/>
  <c r="AB1054" i="22"/>
  <c r="AA1448" i="22"/>
  <c r="AB1448" i="22"/>
  <c r="AA257" i="22"/>
  <c r="AB257" i="22"/>
  <c r="AA319" i="22"/>
  <c r="AB319" i="22"/>
  <c r="AA1482" i="22"/>
  <c r="AB1482" i="22"/>
  <c r="AA1393" i="22"/>
  <c r="AB1393" i="22"/>
  <c r="AA208" i="22"/>
  <c r="AB208" i="22"/>
  <c r="AA1272" i="22"/>
  <c r="AB1272" i="22"/>
  <c r="AA1205" i="22"/>
  <c r="AB1205" i="22"/>
  <c r="AA1451" i="22"/>
  <c r="AB1451" i="22"/>
  <c r="AA1491" i="22"/>
  <c r="AB1491" i="22"/>
  <c r="AB351" i="22"/>
  <c r="AA1087" i="22"/>
  <c r="AB1087" i="22"/>
  <c r="AA1454" i="22"/>
  <c r="AB1454" i="22"/>
  <c r="AA1253" i="22"/>
  <c r="AB1253" i="22"/>
  <c r="AA1295" i="22"/>
  <c r="AB1295" i="22"/>
  <c r="AA1085" i="22"/>
  <c r="AB1085" i="22"/>
  <c r="AA112" i="22"/>
  <c r="AB112" i="22"/>
  <c r="AA1429" i="22"/>
  <c r="AB1429" i="22"/>
  <c r="AB290" i="22"/>
  <c r="AA285" i="22"/>
  <c r="AB285" i="22"/>
  <c r="AA1254" i="22"/>
  <c r="AB1254" i="22"/>
  <c r="AA1284" i="22"/>
  <c r="AB1284" i="22"/>
  <c r="AA1251" i="22"/>
  <c r="AB1251" i="22"/>
  <c r="AA1444" i="22"/>
  <c r="AB1444" i="22"/>
  <c r="AA227" i="22"/>
  <c r="AB227" i="22"/>
  <c r="AB291" i="22"/>
  <c r="AA674" i="22"/>
  <c r="AB674" i="22"/>
  <c r="AA699" i="22"/>
  <c r="AB699" i="22"/>
  <c r="AA1352" i="22"/>
  <c r="AB1352" i="22"/>
  <c r="AA1399" i="22"/>
  <c r="AB1399" i="22"/>
  <c r="AA1079" i="22"/>
  <c r="AB1079" i="22"/>
  <c r="AA672" i="22"/>
  <c r="AB672" i="22"/>
  <c r="AB296" i="22"/>
  <c r="AA947" i="22"/>
  <c r="AB947" i="22"/>
  <c r="AA76" i="22"/>
  <c r="AB76" i="22"/>
  <c r="AB289" i="22"/>
  <c r="AA1156" i="22"/>
  <c r="AB1156" i="22"/>
  <c r="AA1462" i="22"/>
  <c r="AB1462" i="22"/>
  <c r="AA331" i="22"/>
  <c r="AB331" i="22"/>
  <c r="AA1343" i="22"/>
  <c r="AB1343" i="22"/>
  <c r="AA1333" i="22"/>
  <c r="AB1333" i="22"/>
  <c r="AA258" i="22"/>
  <c r="AB258" i="22"/>
  <c r="AA1277" i="22"/>
  <c r="AB1277" i="22"/>
  <c r="AA1452" i="22"/>
  <c r="AB1452" i="22"/>
  <c r="AA1264" i="22"/>
  <c r="AB1264" i="22"/>
  <c r="AA1269" i="22"/>
  <c r="AB1269" i="22"/>
  <c r="AA1208" i="22"/>
  <c r="AB1208" i="22"/>
  <c r="AA1080" i="22"/>
  <c r="AB1080" i="22"/>
  <c r="AA1434" i="22"/>
  <c r="AB1434" i="22"/>
  <c r="AA1255" i="22"/>
  <c r="AB1255" i="22"/>
  <c r="AA948" i="22"/>
  <c r="AB948" i="22"/>
  <c r="AA1337" i="22"/>
  <c r="AB1337" i="22"/>
  <c r="AA1029" i="22"/>
  <c r="AB1029" i="22"/>
  <c r="AA1474" i="22"/>
  <c r="AB1474" i="22"/>
  <c r="AA1475" i="22"/>
  <c r="AB1475" i="22"/>
  <c r="AA321" i="22"/>
  <c r="AB321" i="22"/>
  <c r="AA1278" i="22"/>
  <c r="AB1278" i="22"/>
  <c r="AA1263" i="22"/>
  <c r="AB1263" i="22"/>
  <c r="AA1134" i="22"/>
  <c r="AB1134" i="22"/>
  <c r="AA1078" i="22"/>
  <c r="AB1078" i="22"/>
  <c r="AA1453" i="22"/>
  <c r="AB1453" i="22"/>
  <c r="AA1486" i="22"/>
  <c r="AB1486" i="22"/>
  <c r="AA1445" i="22"/>
  <c r="AB1445" i="22"/>
  <c r="AB350" i="22"/>
  <c r="AA1265" i="22"/>
  <c r="AB1265" i="22"/>
  <c r="AA1256" i="22"/>
  <c r="AB1256" i="22"/>
  <c r="AA1391" i="22"/>
  <c r="AB1391" i="22"/>
  <c r="AA1052" i="22"/>
  <c r="AB1052" i="22"/>
  <c r="AA318" i="22"/>
  <c r="AB318" i="22"/>
  <c r="AA203" i="22"/>
  <c r="AB203" i="22"/>
  <c r="AA941" i="22"/>
  <c r="AB941" i="22"/>
  <c r="AA803" i="22"/>
  <c r="AB803" i="22"/>
  <c r="AA1477" i="22"/>
  <c r="AB1477" i="22"/>
  <c r="AA1023" i="22"/>
  <c r="AB1023" i="22"/>
  <c r="AA1479" i="22"/>
  <c r="AB1479" i="22"/>
  <c r="AA1390" i="22"/>
  <c r="AB1390" i="22"/>
  <c r="AA1408" i="22"/>
  <c r="AB1408" i="22"/>
  <c r="AA993" i="22"/>
  <c r="AB993" i="22"/>
  <c r="AA1280" i="22"/>
  <c r="AB1280" i="22"/>
  <c r="AA1266" i="22"/>
  <c r="AB1266" i="22"/>
  <c r="AA218" i="22"/>
  <c r="AB218" i="22"/>
  <c r="AA287" i="22"/>
  <c r="AB287" i="22"/>
  <c r="AA137" i="22"/>
  <c r="AB137" i="22"/>
  <c r="AA1433" i="22"/>
  <c r="AB1433" i="22"/>
  <c r="AA1271" i="22"/>
  <c r="AB1271" i="22"/>
  <c r="AA1257" i="22"/>
  <c r="AB1257" i="22"/>
  <c r="AA1275" i="22"/>
  <c r="AB1275" i="22"/>
  <c r="AA1260" i="22"/>
  <c r="AB1260" i="22"/>
  <c r="AA1267" i="22"/>
  <c r="AB1267" i="22"/>
  <c r="AA918" i="22"/>
  <c r="AB918" i="22"/>
  <c r="AA1385" i="22"/>
  <c r="AB1385" i="22"/>
  <c r="L1224" i="4"/>
  <c r="C1510" i="22"/>
  <c r="O1512" i="22"/>
  <c r="E18" i="21" s="1"/>
  <c r="V887" i="22"/>
  <c r="L704" i="22"/>
  <c r="S788" i="22"/>
  <c r="L1447" i="22"/>
  <c r="S1101" i="22"/>
  <c r="S1091" i="22"/>
  <c r="S1092" i="22"/>
  <c r="S1113" i="22"/>
  <c r="S1110" i="22"/>
  <c r="S1090" i="22"/>
  <c r="S1086" i="22"/>
  <c r="S1109" i="22"/>
  <c r="S1059" i="22"/>
  <c r="S1060" i="22"/>
  <c r="S1073" i="22"/>
  <c r="S1064" i="22"/>
  <c r="S1063" i="22"/>
  <c r="S1102" i="22"/>
  <c r="S1112" i="22"/>
  <c r="S1089" i="22"/>
  <c r="S1076" i="22"/>
  <c r="S1111" i="22"/>
  <c r="S1100" i="22"/>
  <c r="S757" i="22"/>
  <c r="L1432" i="22"/>
  <c r="H1164" i="22"/>
  <c r="I1370" i="22"/>
  <c r="L796" i="22"/>
  <c r="L700" i="22"/>
  <c r="L852" i="22"/>
  <c r="T1031" i="22"/>
  <c r="H985" i="22"/>
  <c r="H975" i="22"/>
  <c r="M812" i="22"/>
  <c r="L1461" i="22"/>
  <c r="H1018" i="22"/>
  <c r="T1030" i="22"/>
  <c r="L817" i="22"/>
  <c r="H1162" i="22"/>
  <c r="H977" i="22"/>
  <c r="H984" i="22"/>
  <c r="H1163" i="22"/>
  <c r="T1037" i="22"/>
  <c r="T1040" i="22"/>
  <c r="J1480" i="22"/>
  <c r="H1170" i="22"/>
  <c r="H1141" i="22"/>
  <c r="H1171" i="22"/>
  <c r="I1336" i="22"/>
  <c r="W724" i="22"/>
  <c r="AB724" i="22" s="1"/>
  <c r="H946" i="22"/>
  <c r="H980" i="22"/>
  <c r="H1017" i="22"/>
  <c r="L1376" i="22"/>
  <c r="T1036" i="22"/>
  <c r="H981" i="22"/>
  <c r="S753" i="22"/>
  <c r="I807" i="22"/>
  <c r="L824" i="22"/>
  <c r="L839" i="22"/>
  <c r="T1025" i="22"/>
  <c r="L823" i="22"/>
  <c r="I802" i="22"/>
  <c r="U1045" i="22"/>
  <c r="AB1045" i="22" s="1"/>
  <c r="T1024" i="22"/>
  <c r="J679" i="22"/>
  <c r="L1460" i="22"/>
  <c r="L1379" i="22"/>
  <c r="L1381" i="22"/>
  <c r="L1353" i="22"/>
  <c r="L1418" i="22"/>
  <c r="L1485" i="22"/>
  <c r="L1324" i="22"/>
  <c r="L1471" i="22"/>
  <c r="H1149" i="22"/>
  <c r="L1349" i="22"/>
  <c r="L1377" i="22"/>
  <c r="S1392" i="22"/>
  <c r="S1049" i="22"/>
  <c r="L1440" i="22"/>
  <c r="L1469" i="22"/>
  <c r="L1483" i="22"/>
  <c r="I1335" i="22"/>
  <c r="H929" i="22"/>
  <c r="T1395" i="22"/>
  <c r="L1413" i="22"/>
  <c r="L1375" i="22"/>
  <c r="L1380" i="22"/>
  <c r="H1126" i="22"/>
  <c r="S1050" i="22"/>
  <c r="L1325" i="22"/>
  <c r="L801" i="22"/>
  <c r="H928" i="22"/>
  <c r="H1135" i="22"/>
  <c r="L1490" i="22"/>
  <c r="L1499" i="22"/>
  <c r="H939" i="22"/>
  <c r="AA755" i="22"/>
  <c r="AA758" i="22"/>
  <c r="S1061" i="22"/>
  <c r="L703" i="22"/>
  <c r="S1077" i="22"/>
  <c r="L1450" i="22"/>
  <c r="I1351" i="22"/>
  <c r="L147" i="22"/>
  <c r="L1358" i="22"/>
  <c r="AA795" i="22"/>
  <c r="T1035" i="22"/>
  <c r="L1481" i="22"/>
  <c r="AA642" i="22"/>
  <c r="L693" i="22"/>
  <c r="H964" i="22"/>
  <c r="H966" i="22"/>
  <c r="G876" i="22"/>
  <c r="L698" i="22"/>
  <c r="S752" i="22"/>
  <c r="AB752" i="22" s="1"/>
  <c r="H111" i="22"/>
  <c r="S751" i="22"/>
  <c r="AB751" i="22" s="1"/>
  <c r="S1252" i="22"/>
  <c r="AA691" i="22"/>
  <c r="H1207" i="22"/>
  <c r="L816" i="22"/>
  <c r="AB816" i="22" s="1"/>
  <c r="Y1467" i="22"/>
  <c r="H1012" i="22"/>
  <c r="L1326" i="22"/>
  <c r="I1341" i="22"/>
  <c r="H1125" i="22"/>
  <c r="H1157" i="22"/>
  <c r="Z1176" i="22"/>
  <c r="S1053" i="22"/>
  <c r="H1209" i="22"/>
  <c r="H1148" i="22"/>
  <c r="L1310" i="22"/>
  <c r="Z1181" i="22"/>
  <c r="H1142" i="22"/>
  <c r="T1394" i="22"/>
  <c r="H1124" i="22"/>
  <c r="H1123" i="22"/>
  <c r="H973" i="22"/>
  <c r="H982" i="22"/>
  <c r="H1146" i="22"/>
  <c r="S1065" i="22"/>
  <c r="AA548" i="22"/>
  <c r="M136" i="22"/>
  <c r="AB136" i="22" s="1"/>
  <c r="E1401" i="22"/>
  <c r="L1322" i="22"/>
  <c r="AA678" i="22"/>
  <c r="H1512" i="22" l="1"/>
  <c r="AA1335" i="22"/>
  <c r="AB1335" i="22"/>
  <c r="AA1100" i="22"/>
  <c r="AB1100" i="22"/>
  <c r="AA1053" i="22"/>
  <c r="AB1053" i="22"/>
  <c r="AA1483" i="22"/>
  <c r="AB1483" i="22"/>
  <c r="AA812" i="22"/>
  <c r="AB812" i="22"/>
  <c r="AA111" i="22"/>
  <c r="AB111" i="22"/>
  <c r="AA1381" i="22"/>
  <c r="AB1381" i="22"/>
  <c r="AA1110" i="22"/>
  <c r="AB1110" i="22"/>
  <c r="AA801" i="22"/>
  <c r="AB801" i="22"/>
  <c r="AA985" i="22"/>
  <c r="AB985" i="22"/>
  <c r="AA698" i="22"/>
  <c r="AB698" i="22"/>
  <c r="AA1112" i="22"/>
  <c r="AB1112" i="22"/>
  <c r="AA679" i="22"/>
  <c r="AB679" i="22"/>
  <c r="AA852" i="22"/>
  <c r="AB852" i="22"/>
  <c r="AA1124" i="22"/>
  <c r="AB1124" i="22"/>
  <c r="AA1126" i="22"/>
  <c r="AB1126" i="22"/>
  <c r="AA984" i="22"/>
  <c r="AB984" i="22"/>
  <c r="AA1394" i="22"/>
  <c r="AB1394" i="22"/>
  <c r="AA964" i="22"/>
  <c r="AB964" i="22"/>
  <c r="AA1380" i="22"/>
  <c r="AB1380" i="22"/>
  <c r="AA977" i="22"/>
  <c r="AB977" i="22"/>
  <c r="AA796" i="22"/>
  <c r="AB796" i="22"/>
  <c r="AA1064" i="22"/>
  <c r="AB1064" i="22"/>
  <c r="AA928" i="22"/>
  <c r="AB928" i="22"/>
  <c r="AA1076" i="22"/>
  <c r="AB1076" i="22"/>
  <c r="AA1157" i="22"/>
  <c r="AB1157" i="22"/>
  <c r="AA1113" i="22"/>
  <c r="AB1113" i="22"/>
  <c r="AA1450" i="22"/>
  <c r="AB1450" i="22"/>
  <c r="AA1092" i="22"/>
  <c r="AB1092" i="22"/>
  <c r="AA1050" i="22"/>
  <c r="AB1050" i="22"/>
  <c r="AA1102" i="22"/>
  <c r="AB1102" i="22"/>
  <c r="AA1024" i="22"/>
  <c r="AB1024" i="22"/>
  <c r="AA1101" i="22"/>
  <c r="AB1101" i="22"/>
  <c r="AA802" i="22"/>
  <c r="AB802" i="22"/>
  <c r="AA1209" i="22"/>
  <c r="AB1209" i="22"/>
  <c r="AA1418" i="22"/>
  <c r="AB1418" i="22"/>
  <c r="AA1141" i="22"/>
  <c r="AB1141" i="22"/>
  <c r="AA1086" i="22"/>
  <c r="AB1086" i="22"/>
  <c r="AA1065" i="22"/>
  <c r="AB1065" i="22"/>
  <c r="AA982" i="22"/>
  <c r="AB982" i="22"/>
  <c r="AA1440" i="22"/>
  <c r="AB1440" i="22"/>
  <c r="AA981" i="22"/>
  <c r="AB981" i="22"/>
  <c r="AA1089" i="22"/>
  <c r="AB1089" i="22"/>
  <c r="AA973" i="22"/>
  <c r="AB973" i="22"/>
  <c r="AA1049" i="22"/>
  <c r="AB1049" i="22"/>
  <c r="AA1037" i="22"/>
  <c r="AB1037" i="22"/>
  <c r="AA876" i="22"/>
  <c r="AB876" i="22"/>
  <c r="AA1392" i="22"/>
  <c r="AB1392" i="22"/>
  <c r="AA1163" i="22"/>
  <c r="AB1163" i="22"/>
  <c r="AA1091" i="22"/>
  <c r="AB1091" i="22"/>
  <c r="AA1326" i="22"/>
  <c r="AB1326" i="22"/>
  <c r="AA966" i="22"/>
  <c r="AB966" i="22"/>
  <c r="AA703" i="22"/>
  <c r="AB703" i="22"/>
  <c r="AA1377" i="22"/>
  <c r="AB1377" i="22"/>
  <c r="AA1017" i="22"/>
  <c r="AB1017" i="22"/>
  <c r="AA700" i="22"/>
  <c r="AB700" i="22"/>
  <c r="AA1063" i="22"/>
  <c r="AB1063" i="22"/>
  <c r="AA1012" i="22"/>
  <c r="AB1012" i="22"/>
  <c r="AA1061" i="22"/>
  <c r="AB1061" i="22"/>
  <c r="AA1349" i="22"/>
  <c r="AB1349" i="22"/>
  <c r="AA980" i="22"/>
  <c r="AB980" i="22"/>
  <c r="AA1447" i="22"/>
  <c r="AB1447" i="22"/>
  <c r="AA1142" i="22"/>
  <c r="AB1142" i="22"/>
  <c r="AA1467" i="22"/>
  <c r="AB1467" i="22"/>
  <c r="AA693" i="22"/>
  <c r="AB693" i="22"/>
  <c r="AA1375" i="22"/>
  <c r="AB1375" i="22"/>
  <c r="AA1149" i="22"/>
  <c r="AB1149" i="22"/>
  <c r="AA946" i="22"/>
  <c r="AB946" i="22"/>
  <c r="AA1162" i="22"/>
  <c r="AB1162" i="22"/>
  <c r="AA1370" i="22"/>
  <c r="AB1370" i="22"/>
  <c r="AA1073" i="22"/>
  <c r="AB1073" i="22"/>
  <c r="AA788" i="22"/>
  <c r="AB788" i="22"/>
  <c r="AA1322" i="22"/>
  <c r="AB1322" i="22"/>
  <c r="AA1181" i="22"/>
  <c r="AB1181" i="22"/>
  <c r="AA1413" i="22"/>
  <c r="AB1413" i="22"/>
  <c r="AA1471" i="22"/>
  <c r="AB1471" i="22"/>
  <c r="AA823" i="22"/>
  <c r="AB823" i="22"/>
  <c r="AA817" i="22"/>
  <c r="AB817" i="22"/>
  <c r="AA1164" i="22"/>
  <c r="AB1164" i="22"/>
  <c r="AA1060" i="22"/>
  <c r="AB1060" i="22"/>
  <c r="AA704" i="22"/>
  <c r="AB704" i="22"/>
  <c r="AA1135" i="22"/>
  <c r="AB1135" i="22"/>
  <c r="AA1111" i="22"/>
  <c r="AB1111" i="22"/>
  <c r="AA1176" i="22"/>
  <c r="AB1176" i="22"/>
  <c r="AA1480" i="22"/>
  <c r="AB1480" i="22"/>
  <c r="AA1351" i="22"/>
  <c r="AB1351" i="22"/>
  <c r="AA1125" i="22"/>
  <c r="AB1125" i="22"/>
  <c r="AA1252" i="22"/>
  <c r="AB1252" i="22"/>
  <c r="AA1490" i="22"/>
  <c r="AB1490" i="22"/>
  <c r="AA824" i="22"/>
  <c r="AB824" i="22"/>
  <c r="AA1461" i="22"/>
  <c r="AB1461" i="22"/>
  <c r="AA1358" i="22"/>
  <c r="AB1358" i="22"/>
  <c r="AA1353" i="22"/>
  <c r="AB1353" i="22"/>
  <c r="AA807" i="22"/>
  <c r="AB807" i="22"/>
  <c r="AA1170" i="22"/>
  <c r="AB1170" i="22"/>
  <c r="AA1090" i="22"/>
  <c r="AB1090" i="22"/>
  <c r="AA1146" i="22"/>
  <c r="AB1146" i="22"/>
  <c r="AA147" i="22"/>
  <c r="AB147" i="22"/>
  <c r="AA1469" i="22"/>
  <c r="AB1469" i="22"/>
  <c r="AA753" i="22"/>
  <c r="AB753" i="22"/>
  <c r="AA975" i="22"/>
  <c r="AB975" i="22"/>
  <c r="AA1379" i="22"/>
  <c r="AB1379" i="22"/>
  <c r="AA1040" i="22"/>
  <c r="AB1040" i="22"/>
  <c r="AA1325" i="22"/>
  <c r="AB1325" i="22"/>
  <c r="AA1460" i="22"/>
  <c r="AB1460" i="22"/>
  <c r="AA1036" i="22"/>
  <c r="AB1036" i="22"/>
  <c r="AA1031" i="22"/>
  <c r="AB1031" i="22"/>
  <c r="AA1123" i="22"/>
  <c r="AB1123" i="22"/>
  <c r="AA1341" i="22"/>
  <c r="AB1341" i="22"/>
  <c r="AA1077" i="22"/>
  <c r="AB1077" i="22"/>
  <c r="AA1376" i="22"/>
  <c r="AB1376" i="22"/>
  <c r="AA1310" i="22"/>
  <c r="AB1310" i="22"/>
  <c r="AA1207" i="22"/>
  <c r="AB1207" i="22"/>
  <c r="AA1481" i="22"/>
  <c r="AB1481" i="22"/>
  <c r="AA939" i="22"/>
  <c r="AB939" i="22"/>
  <c r="AA1395" i="22"/>
  <c r="AB1395" i="22"/>
  <c r="AA1324" i="22"/>
  <c r="AB1324" i="22"/>
  <c r="AA1025" i="22"/>
  <c r="AB1025" i="22"/>
  <c r="AA1336" i="22"/>
  <c r="AB1336" i="22"/>
  <c r="AA1030" i="22"/>
  <c r="AB1030" i="22"/>
  <c r="AA1432" i="22"/>
  <c r="AB1432" i="22"/>
  <c r="AA1059" i="22"/>
  <c r="AB1059" i="22"/>
  <c r="AA887" i="22"/>
  <c r="AB887" i="22"/>
  <c r="AA1148" i="22"/>
  <c r="AB1148" i="22"/>
  <c r="AA1035" i="22"/>
  <c r="AB1035" i="22"/>
  <c r="AA1499" i="22"/>
  <c r="AB1499" i="22"/>
  <c r="AA929" i="22"/>
  <c r="AB929" i="22"/>
  <c r="AA1485" i="22"/>
  <c r="AB1485" i="22"/>
  <c r="AA839" i="22"/>
  <c r="AB839" i="22"/>
  <c r="AA1171" i="22"/>
  <c r="AB1171" i="22"/>
  <c r="AA1018" i="22"/>
  <c r="AB1018" i="22"/>
  <c r="AA757" i="22"/>
  <c r="AB757" i="22"/>
  <c r="AA1109" i="22"/>
  <c r="AB1109" i="22"/>
  <c r="U1512" i="22"/>
  <c r="E22" i="21" s="1"/>
  <c r="AA1045" i="22"/>
  <c r="D647" i="22"/>
  <c r="G1401" i="22"/>
  <c r="D1510" i="22"/>
  <c r="E919" i="22" s="1"/>
  <c r="E1512" i="22" s="1"/>
  <c r="Y1512" i="22"/>
  <c r="E28" i="21" s="1"/>
  <c r="Z1512" i="22"/>
  <c r="Z1513" i="22" s="1"/>
  <c r="AA724" i="22"/>
  <c r="W1512" i="22"/>
  <c r="E27" i="21" s="1"/>
  <c r="V1512" i="22"/>
  <c r="L1323" i="22"/>
  <c r="I804" i="22"/>
  <c r="M1512" i="22"/>
  <c r="AA136" i="22"/>
  <c r="L814" i="22"/>
  <c r="L1443" i="22"/>
  <c r="AA751" i="22"/>
  <c r="L1354" i="22"/>
  <c r="AA816" i="22"/>
  <c r="L1378" i="22"/>
  <c r="T1512" i="22"/>
  <c r="E21" i="21" s="1"/>
  <c r="G921" i="22"/>
  <c r="AA752" i="22"/>
  <c r="S1404" i="22"/>
  <c r="AA815" i="22"/>
  <c r="L1417" i="22"/>
  <c r="Y1513" i="22" l="1"/>
  <c r="L1512" i="22"/>
  <c r="E14" i="21" s="1"/>
  <c r="E26" i="21"/>
  <c r="E29" i="21" s="1"/>
  <c r="AA1443" i="22"/>
  <c r="AB1443" i="22"/>
  <c r="AA814" i="22"/>
  <c r="AB814" i="22"/>
  <c r="AA1417" i="22"/>
  <c r="AB1417" i="22"/>
  <c r="AA1354" i="22"/>
  <c r="AB1354" i="22"/>
  <c r="AA1404" i="22"/>
  <c r="AB1404" i="22"/>
  <c r="AA804" i="22"/>
  <c r="AB804" i="22"/>
  <c r="AA1323" i="22"/>
  <c r="AB1323" i="22"/>
  <c r="AA1378" i="22"/>
  <c r="AB1378" i="22"/>
  <c r="AA921" i="22"/>
  <c r="AB921" i="22"/>
  <c r="D1512" i="22"/>
  <c r="G1510" i="22"/>
  <c r="G647" i="22"/>
  <c r="G919" i="22"/>
  <c r="E31" i="21"/>
  <c r="J1512" i="22"/>
  <c r="E13" i="21" s="1"/>
  <c r="S1512" i="22"/>
  <c r="R1401" i="22"/>
  <c r="AA1401" i="22" s="1"/>
  <c r="AB1401" i="22" l="1"/>
  <c r="E20" i="21"/>
  <c r="AA919" i="22"/>
  <c r="AB919" i="22"/>
  <c r="R647" i="22"/>
  <c r="AA647" i="22" s="1"/>
  <c r="E11" i="21"/>
  <c r="AB647" i="22" l="1"/>
  <c r="R1512" i="22"/>
  <c r="U1513" i="22" s="1"/>
  <c r="E19" i="21" l="1"/>
  <c r="E23" i="21" s="1"/>
  <c r="G1214" i="22"/>
  <c r="AA1214" i="22" l="1"/>
  <c r="AB1214" i="22"/>
  <c r="AA1510" i="22"/>
  <c r="E1513" i="22" l="1"/>
  <c r="H1771" i="4" l="1"/>
  <c r="H1773" i="4" s="1"/>
  <c r="C798" i="22"/>
  <c r="R806" i="4" l="1"/>
  <c r="R805" i="4"/>
  <c r="F235" i="32"/>
  <c r="G235" i="32" s="1"/>
  <c r="O805" i="4"/>
  <c r="G798" i="22"/>
  <c r="C797" i="22"/>
  <c r="C799" i="22"/>
  <c r="H31" i="20"/>
  <c r="R804" i="4" l="1"/>
  <c r="C671" i="22"/>
  <c r="R674" i="4" s="1"/>
  <c r="H30" i="20"/>
  <c r="H33" i="20" s="1"/>
  <c r="H34" i="20" s="1"/>
  <c r="H39" i="20" s="1"/>
  <c r="F951" i="10"/>
  <c r="I798" i="22"/>
  <c r="AA798" i="22" s="1"/>
  <c r="G1773" i="4"/>
  <c r="G799" i="22"/>
  <c r="G797" i="22"/>
  <c r="AB798" i="22" l="1"/>
  <c r="I799" i="22"/>
  <c r="AA799" i="22" s="1"/>
  <c r="G671" i="22"/>
  <c r="H40" i="20"/>
  <c r="H41" i="20"/>
  <c r="I797" i="22"/>
  <c r="C1512" i="22"/>
  <c r="I1512" i="22" l="1"/>
  <c r="AA1513" i="22" s="1"/>
  <c r="AB671" i="22"/>
  <c r="G1512" i="22"/>
  <c r="G1513" i="22" s="1"/>
  <c r="AB797" i="22"/>
  <c r="AB799" i="22"/>
  <c r="AA797" i="22"/>
  <c r="AA1512" i="22" s="1"/>
  <c r="M1513" i="22" l="1"/>
  <c r="E12" i="21"/>
  <c r="E15" i="21" s="1"/>
  <c r="E33" i="21" s="1"/>
  <c r="E35" i="21" s="1"/>
  <c r="G35" i="21" s="1"/>
  <c r="AA1514" i="22"/>
  <c r="AA1515" i="22" s="1"/>
  <c r="D379" i="38" l="1"/>
  <c r="D1069" i="10" s="1"/>
  <c r="D1075" i="10" s="1"/>
  <c r="D1077" i="10" s="1"/>
  <c r="G39" i="21" l="1"/>
  <c r="E32" i="36"/>
  <c r="G37" i="21" l="1"/>
  <c r="D42" i="36" l="1"/>
  <c r="E33" i="36"/>
  <c r="F1255" i="10"/>
  <c r="J1255"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<sst xmlns="http://schemas.openxmlformats.org/spreadsheetml/2006/main" count="16285" uniqueCount="3186">
  <si>
    <t>Itaú Invest Casa de Bolsa S.A</t>
  </si>
  <si>
    <t>***  I  : Cuenta Imputable</t>
  </si>
  <si>
    <t>Balance General - Moneda Local - Moneda Extranjera</t>
  </si>
  <si>
    <t>***  NI : Cuenta No Imputable</t>
  </si>
  <si>
    <t>Del   01/01/2023  al   31/12/2023</t>
  </si>
  <si>
    <t>***</t>
  </si>
  <si>
    <t>Cuenta</t>
  </si>
  <si>
    <t>Descripción</t>
  </si>
  <si>
    <t>MPORTE GS</t>
  </si>
  <si>
    <t>MPORTE USD</t>
  </si>
  <si>
    <t>ACTIVO</t>
  </si>
  <si>
    <t>ACTIVO CORRIENTE</t>
  </si>
  <si>
    <t>DISPONIBILIDADES</t>
  </si>
  <si>
    <t>Bancos</t>
  </si>
  <si>
    <t>Bancos Locales</t>
  </si>
  <si>
    <t>Bancos - Itau</t>
  </si>
  <si>
    <t>Bancos Cuentas Administracion</t>
  </si>
  <si>
    <t>Moneda Nacional</t>
  </si>
  <si>
    <t>Moneda Extranjera</t>
  </si>
  <si>
    <t>Bancos Cuentas Cartera Propia</t>
  </si>
  <si>
    <t>Otros Bancos</t>
  </si>
  <si>
    <t>Bancos Cuenta Administracion</t>
  </si>
  <si>
    <t>Bancos Cuenta Cartera Propia</t>
  </si>
  <si>
    <t>Bancos del Exterior</t>
  </si>
  <si>
    <t>Allfunds Bank</t>
  </si>
  <si>
    <t>Bancos Cuentas Clearing</t>
  </si>
  <si>
    <t>CRÉDITOS VIGENTES</t>
  </si>
  <si>
    <t>Deudores por intermediación</t>
  </si>
  <si>
    <t>Deudores por intermediación - Local</t>
  </si>
  <si>
    <t>Deudores por intermediación - No Vincula</t>
  </si>
  <si>
    <t>Comisiones por cobrar por intermediación</t>
  </si>
  <si>
    <t>Comisiones por cobrar Gs</t>
  </si>
  <si>
    <t>Comisiones por cobrar U$S</t>
  </si>
  <si>
    <t>Deudores varios Vigentes</t>
  </si>
  <si>
    <t>Cuentas a Cobrar a personas y empresas r</t>
  </si>
  <si>
    <t>Cuentas a cobrar personas y empresas rel</t>
  </si>
  <si>
    <t>Comisiones de Distribución IAM Gs. PF</t>
  </si>
  <si>
    <t>Comisiones de Distribución IAM USD. PF</t>
  </si>
  <si>
    <t>Comisiones de Distribución IAM Gs. PJ</t>
  </si>
  <si>
    <t>Comisiones de Distribución IAM USD. PJ</t>
  </si>
  <si>
    <t>Impuestos Nacionales</t>
  </si>
  <si>
    <t>Anticipo Impuesto a la Renta</t>
  </si>
  <si>
    <t>Retencion IDU</t>
  </si>
  <si>
    <t>Pagos no aplicados</t>
  </si>
  <si>
    <t>Otras cuentas operativas por cobrar</t>
  </si>
  <si>
    <t>Anticipos a Proveedores</t>
  </si>
  <si>
    <t>Anticipos a Proveedores Gs</t>
  </si>
  <si>
    <t>Anticipos a Proveedores U$S</t>
  </si>
  <si>
    <t>INVERSIONES TEMPORARIAS</t>
  </si>
  <si>
    <t>Títulos de Renta Variable</t>
  </si>
  <si>
    <t>Títulos Valores de Renta Variable - Loca</t>
  </si>
  <si>
    <t>Emitidos por el Sector Financiero</t>
  </si>
  <si>
    <t>Acciones en otras empresas</t>
  </si>
  <si>
    <t>Acciones - Gs</t>
  </si>
  <si>
    <t>Títulos Renta Fija</t>
  </si>
  <si>
    <t>Títulos Valores de Renta Fija - Local</t>
  </si>
  <si>
    <t>Bonos Financieros</t>
  </si>
  <si>
    <t>Bonos Financieros - Gs</t>
  </si>
  <si>
    <t>CDA</t>
  </si>
  <si>
    <t>CDA - Gs</t>
  </si>
  <si>
    <t>CDA - U$S</t>
  </si>
  <si>
    <t>Emitidos por Entidades del Sector Privad</t>
  </si>
  <si>
    <t>Bonos Corporativos</t>
  </si>
  <si>
    <t>Bonos Corporativos - Gs</t>
  </si>
  <si>
    <t>Bonos Corporativos - U$S</t>
  </si>
  <si>
    <t>BBCP</t>
  </si>
  <si>
    <t>BBCP - Gs</t>
  </si>
  <si>
    <t>Emitidos por Empresas Vinculadas</t>
  </si>
  <si>
    <t>Bonos Financieros - Gs - VINCULADAS</t>
  </si>
  <si>
    <t>CDA - Gs - VINCULADAS</t>
  </si>
  <si>
    <t>CDA - U$S - VINCULADAS</t>
  </si>
  <si>
    <t>Colocación de Valores en el Mercado Secu</t>
  </si>
  <si>
    <t>Primas Diferidas por Diferencia de Preci</t>
  </si>
  <si>
    <t>Dif. Precio (+) Bonos Financieros - Gs</t>
  </si>
  <si>
    <t>Dif. Precio (+) CDA - Gs</t>
  </si>
  <si>
    <t>Dif. Precio (+) Bonos Corporativos - U$S</t>
  </si>
  <si>
    <t>Dif. Precio (+) BBCP - Gs</t>
  </si>
  <si>
    <t>Dif. Precio (+) Bonos Financieros - Gs V</t>
  </si>
  <si>
    <t>Dif. Precio (+) CDA - Gs VINCULADAS</t>
  </si>
  <si>
    <t>Dif. Precio (+) CDA - U$S VINCULADAS</t>
  </si>
  <si>
    <t>Prima por Diferencia de Precios (-)</t>
  </si>
  <si>
    <t>Dif. Precio (-) Bonos Financieros - Gs</t>
  </si>
  <si>
    <t>Dif. Precio (-) CDA - Gs</t>
  </si>
  <si>
    <t>Dif. Precio (-) CDA - U$S</t>
  </si>
  <si>
    <t>Dif. Precio (-) Bonos Corporativos - Gs</t>
  </si>
  <si>
    <t>Dif. Precio (-) Bonos Corporativos - U$S</t>
  </si>
  <si>
    <t>Dif. Precio (-) Bonos Financieros - Gs V</t>
  </si>
  <si>
    <t>Intereses Devengados s/ Renta Fija</t>
  </si>
  <si>
    <t>Intereses a Cobrar s/ Renta Fija</t>
  </si>
  <si>
    <t>Int. a Cobrar - Bonos Financieros - Gs</t>
  </si>
  <si>
    <t>Int. a Cobrar - CDA - Gs</t>
  </si>
  <si>
    <t>Int. a Cobrar - CDA - U$S</t>
  </si>
  <si>
    <t>Int. a Cobrar - Bonos Corporativos - Gs</t>
  </si>
  <si>
    <t>Int. a Cobrar - Bonos Corporativos - U$S</t>
  </si>
  <si>
    <t>Int. a Cobrar - Bonos Financieros - Gs V</t>
  </si>
  <si>
    <t>Int. a Cobrar - CDA - Gs VINCULADAS</t>
  </si>
  <si>
    <t>Int. a Cobrar - CDA - U$S VINCULADAS</t>
  </si>
  <si>
    <t>(Intereses a Devengar)</t>
  </si>
  <si>
    <t>Int. a Deveng. Bonos Fin. - Gs</t>
  </si>
  <si>
    <t>Int. a Deveng. CDA - Gs</t>
  </si>
  <si>
    <t>Int. a Deveng. CDA - U$S</t>
  </si>
  <si>
    <t>Int. a Deveng. Bonos Corp. - Gs</t>
  </si>
  <si>
    <t>Int. a Deveng. Bonos Corp. - U$S</t>
  </si>
  <si>
    <t>Int. a Deveng. Bonos Finan. - Gs VINC.</t>
  </si>
  <si>
    <t>Int. a Deveng. CDA - Gs VINC.</t>
  </si>
  <si>
    <t>Int. a Deveng. CDA - U$S VINC.</t>
  </si>
  <si>
    <t>Previsiones s/ Títulos de Renta Fija</t>
  </si>
  <si>
    <t>Prev.- Bonos Corporativos - U$S</t>
  </si>
  <si>
    <t>Prev. s/ Títulos de Renta Fija en REPO</t>
  </si>
  <si>
    <t>Prev. de Bonos Corporativos USD - REPO</t>
  </si>
  <si>
    <t>Operaciones de Reporto</t>
  </si>
  <si>
    <t>Operaciones de Reporto - Local</t>
  </si>
  <si>
    <t>Valores entregados por Reporto</t>
  </si>
  <si>
    <t>Deudores por títulos Renta Fija en Repor</t>
  </si>
  <si>
    <t>Deudores Titulos Renta Fija en Repo U$S</t>
  </si>
  <si>
    <t>Intereses a Cobrar – Tit en Repo</t>
  </si>
  <si>
    <t>Intereses a Cobrar – Tit en Repo USD</t>
  </si>
  <si>
    <t>Intereses a Devengar – Tit en Repo</t>
  </si>
  <si>
    <t>Int. a Devengar – Tit en Repo USD</t>
  </si>
  <si>
    <t>Prima por Valor de Compra Repo (-)</t>
  </si>
  <si>
    <t>Dif. de Precio (-) TI en Repo U$S</t>
  </si>
  <si>
    <t>Prima por Valor de Compra Repo (+)</t>
  </si>
  <si>
    <t>Dif. de Precio (+) TI en Repo USD</t>
  </si>
  <si>
    <t>Valores recibidos por Reporto</t>
  </si>
  <si>
    <t>Prima por Diferencia de Precio a Cobrar</t>
  </si>
  <si>
    <t>Prima por Diferencia de Precio a Devenga</t>
  </si>
  <si>
    <t>INVERSIONES TEMPORARIAS AFS</t>
  </si>
  <si>
    <t>Títulos Renta Fija AFS</t>
  </si>
  <si>
    <t>Títulos Valores de Renta Fija Local AFS</t>
  </si>
  <si>
    <t>Emitidos por el Estado y Entidades Públi</t>
  </si>
  <si>
    <t>Bonos Publicos</t>
  </si>
  <si>
    <t>Bonos Publicos Gs</t>
  </si>
  <si>
    <t>Letras de Regulacion Monetaria</t>
  </si>
  <si>
    <t>Emitidos por el Sector Financiero AFS</t>
  </si>
  <si>
    <t>CDA AFS</t>
  </si>
  <si>
    <t>CDA - Gs AFS</t>
  </si>
  <si>
    <t>Emitidos por el Sector Privado AFS</t>
  </si>
  <si>
    <t>Bonos Corporativos AFS</t>
  </si>
  <si>
    <t>Bonos Corporativos AFS - GS</t>
  </si>
  <si>
    <t>Emitidos por Empresas Vinculadas - AFS</t>
  </si>
  <si>
    <t>Bonos Financieros VINCULADAS - AFS</t>
  </si>
  <si>
    <t>Bonos Financieros Gs VINCULADAS - AFS</t>
  </si>
  <si>
    <t>Primas Diferidas por Dif. de Precio AFS</t>
  </si>
  <si>
    <t>Dif. Precio (+) CDA - Gs AFS</t>
  </si>
  <si>
    <t>Dif. Precio (+) Bonos Corp. Gs AFS</t>
  </si>
  <si>
    <t>Dif. Precio (+) Bonos Fin. Gs VINC - AFS</t>
  </si>
  <si>
    <t>Dif. Precio (+) Letras Regulación Monet.</t>
  </si>
  <si>
    <t>Prima por Diferencia de Precios (-) AFS</t>
  </si>
  <si>
    <t>Dif. Precio (-) CDA - Gs AFS</t>
  </si>
  <si>
    <t>Dif. Precio (-) Bonos Finan. VINC Gs AFS</t>
  </si>
  <si>
    <t>Dif. Precio (-) Bonos Publicos - Gs AFS</t>
  </si>
  <si>
    <t>Intereses Devengados s/ Renta Fija AFS</t>
  </si>
  <si>
    <t>Intereses a Cobrar s/ Renta Fija AFS</t>
  </si>
  <si>
    <t>Int. a Cobrar - CDA - Gs AFS</t>
  </si>
  <si>
    <t>Int. a Cobrar Bonos Corporativos Gs  AFS</t>
  </si>
  <si>
    <t>Int. a Cobrar - Bonos Fin. Gs VINC - AFS</t>
  </si>
  <si>
    <t>Int. a Cobrar - Bonos Publicos - Gs AFS</t>
  </si>
  <si>
    <t>(Intereses a Devengar) AFS</t>
  </si>
  <si>
    <t>Int. a Deveng. CDA - Gs AFS</t>
  </si>
  <si>
    <t>Int. a Deveng. Bonos Coporativos Gs  AFS</t>
  </si>
  <si>
    <t>Int. a Deveng. Bonos Fin. Gs VINC - AFS</t>
  </si>
  <si>
    <t>Int. a Deveng. Bonos Publicos - Gs. AFS</t>
  </si>
  <si>
    <t>OTROS ACTIVOS CORRIENTES</t>
  </si>
  <si>
    <t>Gastos Pagados por Adelantado</t>
  </si>
  <si>
    <t>Seguros Pagados por Adelantado</t>
  </si>
  <si>
    <t>Accidentes Personales</t>
  </si>
  <si>
    <t>Seguro de Salud</t>
  </si>
  <si>
    <t>Colectivo Empleados y Obreros</t>
  </si>
  <si>
    <t>Otros Gastos Pagados por adelantado</t>
  </si>
  <si>
    <t>Licencia USD</t>
  </si>
  <si>
    <t>Certificados Digitales</t>
  </si>
  <si>
    <t>ACTIVO NO CORRIENTE</t>
  </si>
  <si>
    <t>INVERSIONES PERMANENTES</t>
  </si>
  <si>
    <t>Titulos de Renta Fija en Restricción</t>
  </si>
  <si>
    <t>Titulos con Disp. Restringida - Vinc.</t>
  </si>
  <si>
    <t>Bonos Financieros Gs - Vinc.</t>
  </si>
  <si>
    <t>Int. a Cobrar - Bonos Financ. Gs - Vinc</t>
  </si>
  <si>
    <t>Int. a Dev. - Bonos Financ.. Gs - Vinc.</t>
  </si>
  <si>
    <t>ACCION DE LA BOLSA DE VALORES</t>
  </si>
  <si>
    <t>Acción BVPASA - ITAU Casa de Bolsa</t>
  </si>
  <si>
    <t>Revalorización Acción BVPASA</t>
  </si>
  <si>
    <t>ACTIVOS INTANGIBLES Y CARGOS DIFERIDOS</t>
  </si>
  <si>
    <t>Activos Intangibles y Cargos Diferidos</t>
  </si>
  <si>
    <t>Activos Intangibles</t>
  </si>
  <si>
    <t>Licencia</t>
  </si>
  <si>
    <t>Licencia - U$S</t>
  </si>
  <si>
    <t>(-) Amortización acumulada</t>
  </si>
  <si>
    <t>Cargos Diferidos</t>
  </si>
  <si>
    <t>Programas Informaticos</t>
  </si>
  <si>
    <t>Programas Informaticos USD</t>
  </si>
  <si>
    <t>Amortización Programas Informáticos</t>
  </si>
  <si>
    <t>OTROS ACTIVOS NO CORRIENTES</t>
  </si>
  <si>
    <t>Licencias USD</t>
  </si>
  <si>
    <t>PASIVO</t>
  </si>
  <si>
    <t>PASIVO CORRIENTE</t>
  </si>
  <si>
    <t>DEUDAS VIGENTES</t>
  </si>
  <si>
    <t>Acreedores por intermediación</t>
  </si>
  <si>
    <t>Acreedores por intermediación - Local</t>
  </si>
  <si>
    <t>Anticipo de Clientes</t>
  </si>
  <si>
    <t>Anticipo de Clientes U$S</t>
  </si>
  <si>
    <t>Operac. a Liquidar Fondos Int.</t>
  </si>
  <si>
    <t>Operac. a Liquidar Fondos Int. U$S</t>
  </si>
  <si>
    <t>Cuentas a pagar a personas y empresas re</t>
  </si>
  <si>
    <t>Cuentas a Pagar Tarjeta de Crédito</t>
  </si>
  <si>
    <t>Proveedores de Bienes y/o Servicios</t>
  </si>
  <si>
    <t>Proveedores de Bienes y/o Servicios Gs</t>
  </si>
  <si>
    <t>Proveedores de Bienes y/o Servicios U$S</t>
  </si>
  <si>
    <t>Prov. de Bienes y/o Serv. Exterior U$S</t>
  </si>
  <si>
    <t>OBLIGACIONES FINANCIERAS A CORTO PLAZO</t>
  </si>
  <si>
    <t>Sobregiro en cuenta corriente</t>
  </si>
  <si>
    <t>Sobregiro en cuenta corriente - Locales</t>
  </si>
  <si>
    <t>Bancos - ITAU</t>
  </si>
  <si>
    <t>Bancos - Cuenta propia</t>
  </si>
  <si>
    <t>Operaciones de Reverse Reporto - Local</t>
  </si>
  <si>
    <t>Operaciones de Reverse Reporto</t>
  </si>
  <si>
    <t>Prima por diferencia de precio a pagar -</t>
  </si>
  <si>
    <t>Dif. de precio a pagar - REPO USD</t>
  </si>
  <si>
    <t>(-) Prima por diferencia de precio a dev</t>
  </si>
  <si>
    <t>Dif. de precio a devengar - REPO USD</t>
  </si>
  <si>
    <t>Acreed. por títulos Renta Fija en Repo</t>
  </si>
  <si>
    <t>Acreed. Titulos Renta Fija en Repo USD</t>
  </si>
  <si>
    <t>PROVISIONES</t>
  </si>
  <si>
    <t>Sueldos y Cargas Sociales</t>
  </si>
  <si>
    <t>Sueldos y Cargas Sociales a Pagar</t>
  </si>
  <si>
    <t>Cargas Sociales</t>
  </si>
  <si>
    <t>Retribuciones Especiales a pagar</t>
  </si>
  <si>
    <t>Vacaciones a pagar</t>
  </si>
  <si>
    <t>Obligaciones Fiscales</t>
  </si>
  <si>
    <t>Impuesto a la Renta a Pagar</t>
  </si>
  <si>
    <t>IVA Debito Fiscal a Pagar</t>
  </si>
  <si>
    <t>Retención IVA a Pagar</t>
  </si>
  <si>
    <t>Retención RENTA a Pagar</t>
  </si>
  <si>
    <t>Otras Provisiones</t>
  </si>
  <si>
    <t>Honorarios a Profesionales Externos</t>
  </si>
  <si>
    <t>Auditoría Externa U$S</t>
  </si>
  <si>
    <t>Fondo de Garantía a pagar</t>
  </si>
  <si>
    <t>Fondos de Garantía a pagar Gs.</t>
  </si>
  <si>
    <t>Fondos de Garantía a pagar U$S</t>
  </si>
  <si>
    <t>PATRIMONIO NETO</t>
  </si>
  <si>
    <t>CAPITAL SOCIAL</t>
  </si>
  <si>
    <t>Capital Social</t>
  </si>
  <si>
    <t>Capital Integrado</t>
  </si>
  <si>
    <t>Capital Integrado en Efectivo</t>
  </si>
  <si>
    <t>REVALUACIÓN DE ACCIONES</t>
  </si>
  <si>
    <t>Revaluación de Acciones</t>
  </si>
  <si>
    <t>RESULTADOS</t>
  </si>
  <si>
    <t>Resultados</t>
  </si>
  <si>
    <t>Resultados Acumulados</t>
  </si>
  <si>
    <t>Resultado del Ejercicio</t>
  </si>
  <si>
    <t>CUENTAS DE ORDEN</t>
  </si>
  <si>
    <t>Cuentas de Orden Deudoras</t>
  </si>
  <si>
    <t>Valores recibidos en custodia</t>
  </si>
  <si>
    <t>Valores recibidos en custodia - Local</t>
  </si>
  <si>
    <t>Bonos Financieros Títulos - Gs</t>
  </si>
  <si>
    <t>Bonos Financieros - U$S</t>
  </si>
  <si>
    <t>Bonos Financieros Títulos - U$S</t>
  </si>
  <si>
    <t>Bonos Subordinados - Gs</t>
  </si>
  <si>
    <t>Bonos Subordinados Títulos - Gs</t>
  </si>
  <si>
    <t>Bonos Subordinados - U$S</t>
  </si>
  <si>
    <t>Bonos Subordinados Títulos - U$S</t>
  </si>
  <si>
    <t>CDA Títulos - Gs</t>
  </si>
  <si>
    <t>CDA Cupones - Gs</t>
  </si>
  <si>
    <t>CDA Títulos - U$S</t>
  </si>
  <si>
    <t>CDA Cupones - U$S</t>
  </si>
  <si>
    <t>Bonos Corporativos Títulos - Gs</t>
  </si>
  <si>
    <t>Bonos Corporativos Títulos - U$S</t>
  </si>
  <si>
    <t>BBCP Títulos - Gs</t>
  </si>
  <si>
    <t>Bonos Financieros - Gs VINCULADAS</t>
  </si>
  <si>
    <t>Bonos Financieros Títulos - Gs VINCULADA</t>
  </si>
  <si>
    <t>Bonos Financieros - U$S VINCULADAS</t>
  </si>
  <si>
    <t>Bonos Financieros Títulos - U$S VINCULAD</t>
  </si>
  <si>
    <t>CDA - Gs VINCULADAS</t>
  </si>
  <si>
    <t>CDA Títulos - Gs VINCULADAS</t>
  </si>
  <si>
    <t>CDA Cupones - Gs VINCULADAS</t>
  </si>
  <si>
    <t>CDA - U$S VINCULADAS</t>
  </si>
  <si>
    <t>CDA Títulos - U$S VINCULADAS</t>
  </si>
  <si>
    <t>CDA Cupones - U$S VINCULADAS</t>
  </si>
  <si>
    <t>Acciones Gs</t>
  </si>
  <si>
    <t>Acciones Títulos Gs</t>
  </si>
  <si>
    <t>Bonos Públicos Gs</t>
  </si>
  <si>
    <t>Bonos Públicos Títulos Gs</t>
  </si>
  <si>
    <t>Valores recibidos en Custodia del Exter</t>
  </si>
  <si>
    <t>Fondos Internacionales</t>
  </si>
  <si>
    <t>Fondos Internacionales - U$S</t>
  </si>
  <si>
    <t>Cuentas de Orden Acreedores</t>
  </si>
  <si>
    <t>Valores recibos en Custodia del Exter</t>
  </si>
  <si>
    <t>INGRESOS</t>
  </si>
  <si>
    <t>INGRESOS OPERATIVOS</t>
  </si>
  <si>
    <t>Comisiones Cobradas</t>
  </si>
  <si>
    <t>Comisiones por operaciones en rueda</t>
  </si>
  <si>
    <t>Por intermediación de acciones</t>
  </si>
  <si>
    <t>Por intermediación de acciones Gs</t>
  </si>
  <si>
    <t>Por intermediación de acciones - PF</t>
  </si>
  <si>
    <t>Por intermediación de acciones - Pont SA</t>
  </si>
  <si>
    <t>Por intermediación de renta fija</t>
  </si>
  <si>
    <t>Por intermediación de renta fija Gs</t>
  </si>
  <si>
    <t>Por intermediación de renta fija Gs - PF</t>
  </si>
  <si>
    <t>Por intermediación de renta fija Gs - PJ</t>
  </si>
  <si>
    <t>Por intermediación de Renta fija Gs BIPY</t>
  </si>
  <si>
    <t>Por intermediación de Renta fija Gs ISPY</t>
  </si>
  <si>
    <t>Por intermediación Renta fija Gs FONDOS</t>
  </si>
  <si>
    <t>Por Interm. Renta Fija GS - Pont S.A</t>
  </si>
  <si>
    <t>Por intermediación de renta fija U$S</t>
  </si>
  <si>
    <t>Por intermediación de renta fija U$S- PF</t>
  </si>
  <si>
    <t>Por intermediación de renta fija U$S- PJ</t>
  </si>
  <si>
    <t>Comisiones por contratos de colocación p</t>
  </si>
  <si>
    <t>Por contratos de de colocación primaria</t>
  </si>
  <si>
    <t>Por contratos de coloc. Primaria - PJ</t>
  </si>
  <si>
    <t>Comisiones Operaciones Extrabursátiles</t>
  </si>
  <si>
    <t>Por Intermediación de Renta Fija</t>
  </si>
  <si>
    <t>Por Intermediación de Renta Fija Gs</t>
  </si>
  <si>
    <t>Por Intermediación de Renta Fija Gs - PF</t>
  </si>
  <si>
    <t>Por Intermediación de Renta Fija Gs - PJ</t>
  </si>
  <si>
    <t>Por Intermediación Renta Fija Gs FONDOS</t>
  </si>
  <si>
    <t>Por Intermediación Renta Fija Pont S.A</t>
  </si>
  <si>
    <t>Por Intermediación de Renta Fija U$S</t>
  </si>
  <si>
    <t>Por Intermediación de Renta Fija U$S PF</t>
  </si>
  <si>
    <t>Por Intermediación de Renta Fija U$S PJ</t>
  </si>
  <si>
    <t>Comisiones por Intermediación - Fondos</t>
  </si>
  <si>
    <t>Comisiones por Intermediación - AllFunds</t>
  </si>
  <si>
    <t>Por Intermediación AllFunds - PF</t>
  </si>
  <si>
    <t>Por Intermediación AllFunds - PJ</t>
  </si>
  <si>
    <t>Ingresos por servicios prestados</t>
  </si>
  <si>
    <t>Custodia de Valores</t>
  </si>
  <si>
    <t>Custodia de Valores - Gs</t>
  </si>
  <si>
    <t>Custodia de Valores - PF</t>
  </si>
  <si>
    <t>Custodia de Valores - PJ</t>
  </si>
  <si>
    <t>Custodia de Valores - ISPY</t>
  </si>
  <si>
    <t>Custodia de Valores - Pont S.A</t>
  </si>
  <si>
    <t>Custodia de Valores - USD</t>
  </si>
  <si>
    <t>Distribución de Fondos</t>
  </si>
  <si>
    <t>Comis Distrib. Fondos Internacionales</t>
  </si>
  <si>
    <t>Ingresos y rentas de cartera propia</t>
  </si>
  <si>
    <t>Intereses y dividendos de cartera propia</t>
  </si>
  <si>
    <t>Dividendos s/ Inversión Renta Variable</t>
  </si>
  <si>
    <t>Acciones GS</t>
  </si>
  <si>
    <t>Por diferencia de valor de títulos valor</t>
  </si>
  <si>
    <t>Primas por valor de compra</t>
  </si>
  <si>
    <t>Letras de Regulacion Monetaria - BIPy</t>
  </si>
  <si>
    <t>Primas por valor de compra futura (repo)</t>
  </si>
  <si>
    <t>Bonos Subordinados - GS</t>
  </si>
  <si>
    <t>Prima por valor de venta</t>
  </si>
  <si>
    <t>CDA Gs - PROVIDENCIA S.A DE SEGUROS</t>
  </si>
  <si>
    <t>Bonos Publicos - GS VINCULADAS</t>
  </si>
  <si>
    <t>CDA Gs - Pont S.A</t>
  </si>
  <si>
    <t>Bonos Financieros GS - Pont S.A</t>
  </si>
  <si>
    <t>Bonos Públicos Gs - Pont SA</t>
  </si>
  <si>
    <t>Bonos Corporativos Gs - Pont SA</t>
  </si>
  <si>
    <t>CDA GS - Fondo Mutuo IAM Liquidez</t>
  </si>
  <si>
    <t>OTROS INGRESOS OPERATIVOS</t>
  </si>
  <si>
    <t>Otros Ingresos Operativos</t>
  </si>
  <si>
    <t>Aranceles - Pagados</t>
  </si>
  <si>
    <t>Aranceles - BVPASA Gs</t>
  </si>
  <si>
    <t>Aranceles BVPASA Gs - PF</t>
  </si>
  <si>
    <t>Aranceles BVPASA Gs - PJ</t>
  </si>
  <si>
    <t>Aranceles BVPASA Gs - BIPY</t>
  </si>
  <si>
    <t>Aranceles BVPASA Gs – ISPY</t>
  </si>
  <si>
    <t>Aranceles BVPASA Gs – FONDOS</t>
  </si>
  <si>
    <t>Aranceles BVPASA Gs – Pont S.A</t>
  </si>
  <si>
    <t>Aranceles - BVPASA U$S</t>
  </si>
  <si>
    <t>Aranceles BVPASA U$S - PF</t>
  </si>
  <si>
    <t>Aranceles BVPASA U$S - PJ</t>
  </si>
  <si>
    <t>Aranceles BVPASA U$S - BIPY</t>
  </si>
  <si>
    <t>Gastos Adm. Susc. Fondos Int.</t>
  </si>
  <si>
    <t>Por Gastos Adm. Susc. Fondos Int. - PF</t>
  </si>
  <si>
    <t>Por Gastos Adm. Susc. Fondos Int. - PJ</t>
  </si>
  <si>
    <t>Fondo de Garantía</t>
  </si>
  <si>
    <t>Fondo de Garantía Gs.</t>
  </si>
  <si>
    <t>Fondo de Garantía Gs - PF</t>
  </si>
  <si>
    <t>Fondo de Garantía Gs - PJ</t>
  </si>
  <si>
    <t>Fondo de Garantía Gs - BIPY</t>
  </si>
  <si>
    <t>Fondo de Garantía Gs – ISPY</t>
  </si>
  <si>
    <t>Fondo de Garantía Gs – FONDOS</t>
  </si>
  <si>
    <t>Fondo de Garantía Gs – Pont S.A</t>
  </si>
  <si>
    <t>Fondo de Garantía U$S</t>
  </si>
  <si>
    <t>Fondo de Garantía U$S - PF</t>
  </si>
  <si>
    <t>Fondo de Garantía U$S - PJ</t>
  </si>
  <si>
    <t>Fondo de Garantía U$S - BIPY</t>
  </si>
  <si>
    <t>Ingresos por operaciones de arbitraje</t>
  </si>
  <si>
    <t>Operaciones de arbitraje - VINC</t>
  </si>
  <si>
    <t>Operaciones de arbitraje - NO VINC</t>
  </si>
  <si>
    <t>INGRESOS FINANCIEROS</t>
  </si>
  <si>
    <t>Intereses cobrados</t>
  </si>
  <si>
    <t>Intereses Cobrados</t>
  </si>
  <si>
    <t>Ganancia por Diferencia de Cambio</t>
  </si>
  <si>
    <t>Diferencia de cambio cuentas activas</t>
  </si>
  <si>
    <t>Diferencia de cambio cuentas pasivas</t>
  </si>
  <si>
    <t>OTROS INGRESOS NO OPERATIVOS</t>
  </si>
  <si>
    <t>Otros Ingresos no Operativos</t>
  </si>
  <si>
    <t>Descuentos Obtenidos</t>
  </si>
  <si>
    <t>Ingresos por ajustes y redondeos</t>
  </si>
  <si>
    <t>Ingresos extraordinarios</t>
  </si>
  <si>
    <t>Otros ingresos no operativos</t>
  </si>
  <si>
    <t>Otros Ingresos No Operativos - VINC</t>
  </si>
  <si>
    <t>Recupero de Gastos - VINC</t>
  </si>
  <si>
    <t>EGRESOS</t>
  </si>
  <si>
    <t>EGRESOS OPERATIVOS</t>
  </si>
  <si>
    <t>GASTOS DE OPERACIÓN</t>
  </si>
  <si>
    <t>Gastos por comisiones y servicios</t>
  </si>
  <si>
    <t>Comisiones Pagadas</t>
  </si>
  <si>
    <t>Comisiones Pagadas por Intermediación</t>
  </si>
  <si>
    <t>Comisiones por colocaciones bursátiles</t>
  </si>
  <si>
    <t>Comisiones por colocaciones bursátiles -</t>
  </si>
  <si>
    <t>Comisiones Serv. de Custodia Bco Itau</t>
  </si>
  <si>
    <t>Comisiones Serv. de Custodia Bco Itau GS</t>
  </si>
  <si>
    <t>Aranceles por negociación Bolsa de Valor</t>
  </si>
  <si>
    <t>Aranceles pagados - BVPASA Gs</t>
  </si>
  <si>
    <t>Aranceles pagados - BVPASA U$S</t>
  </si>
  <si>
    <t>Fondo de Garantía - Gs</t>
  </si>
  <si>
    <t>Fondo de Garantía - U$S</t>
  </si>
  <si>
    <t>Otros gastos operativos</t>
  </si>
  <si>
    <t>Bonos Financieros - Gs NO VINC</t>
  </si>
  <si>
    <t>Diferencia de precios por valor de compr</t>
  </si>
  <si>
    <t>Bonos Corporativos - Gs VINCULADAS</t>
  </si>
  <si>
    <t>Bonos Públicos GS</t>
  </si>
  <si>
    <t>Acciones</t>
  </si>
  <si>
    <t>Dif de Precios por Valor de Venta</t>
  </si>
  <si>
    <t>BBCP Gs - VINCULADAS</t>
  </si>
  <si>
    <t>CDA GS - Pont S.A</t>
  </si>
  <si>
    <t>Prima por Recompra Futura</t>
  </si>
  <si>
    <t>Bonos Financieros - Gs VINC</t>
  </si>
  <si>
    <t>Previsión - Bonos Corporativos USD</t>
  </si>
  <si>
    <t>Aranceles pagados CNV</t>
  </si>
  <si>
    <t>Aranceles pagados CNV Gs.</t>
  </si>
  <si>
    <t>Egresos por operaciones de arbitraje</t>
  </si>
  <si>
    <t>GASTOS DE COMERCIALIZACION</t>
  </si>
  <si>
    <t>Gastos de Comercialización</t>
  </si>
  <si>
    <t>Gastos de pubicidad y marketing</t>
  </si>
  <si>
    <t>Gastos de Representación</t>
  </si>
  <si>
    <t>Gastos de Viaje</t>
  </si>
  <si>
    <t>Actualizacion Pagina Web</t>
  </si>
  <si>
    <t>GASTOS DE ADMINISTRACION</t>
  </si>
  <si>
    <t>Remuneraciones</t>
  </si>
  <si>
    <t>Sueldos y Jornales</t>
  </si>
  <si>
    <t>Horas Extras</t>
  </si>
  <si>
    <t>Aguinaldos</t>
  </si>
  <si>
    <t>Vacaciones</t>
  </si>
  <si>
    <t>Bonificación Familiar</t>
  </si>
  <si>
    <t>Otras Remuneraciones</t>
  </si>
  <si>
    <t>Aporte Patronal IPS 16,5%</t>
  </si>
  <si>
    <t>Indemnización y Preaviso</t>
  </si>
  <si>
    <t>Gratificaciones por desempeño</t>
  </si>
  <si>
    <t>Capacitación y Entrenamiento</t>
  </si>
  <si>
    <t>Uniformes</t>
  </si>
  <si>
    <t>Seguros Privados al Personal</t>
  </si>
  <si>
    <t>Gourmet Card</t>
  </si>
  <si>
    <t>Seguro Médico</t>
  </si>
  <si>
    <t>Gastos al Personal</t>
  </si>
  <si>
    <t>Subsidio Guarderia</t>
  </si>
  <si>
    <t>Sueldos Gerentes</t>
  </si>
  <si>
    <t>Sindicos</t>
  </si>
  <si>
    <t>Retribuciones Especiales</t>
  </si>
  <si>
    <t>Honorarios Profesionales</t>
  </si>
  <si>
    <t>Auditoría Externa</t>
  </si>
  <si>
    <t>Serv. de Seguridad Informatica.</t>
  </si>
  <si>
    <t>Honorarios de Escribanía</t>
  </si>
  <si>
    <t>Servicios Contables</t>
  </si>
  <si>
    <t>Otros Honorarios Profesionales</t>
  </si>
  <si>
    <t>Serv. Centralizados (SLA) - VINCULADAS</t>
  </si>
  <si>
    <t>Serv. de Seguridad Informatica - VINC</t>
  </si>
  <si>
    <t>Honorarios por gestiones varias - VINC</t>
  </si>
  <si>
    <t>Previsión, amortización y depreciaciones</t>
  </si>
  <si>
    <t>Amortización Activos Intangibles y Cargo</t>
  </si>
  <si>
    <t>Amortización de Programas Informáticos</t>
  </si>
  <si>
    <t>Amortización Licencias</t>
  </si>
  <si>
    <t>Amortización Gastos de Desarrollo</t>
  </si>
  <si>
    <t>Mantenimiento y Reparaciones</t>
  </si>
  <si>
    <t>Mantenimiento de Edificio - VINCULADAS</t>
  </si>
  <si>
    <t>Alquileres Pagados</t>
  </si>
  <si>
    <t>Alquileres Pagados - VINCULADAS</t>
  </si>
  <si>
    <t>Alquiler de Bienes Inmuebles - Vinc.</t>
  </si>
  <si>
    <t>Alquiler de Bienes Muebles Vinc.</t>
  </si>
  <si>
    <t>Arrendamiento de Servidores - Vinc.</t>
  </si>
  <si>
    <t>Impuestos, tasas y contribuciones</t>
  </si>
  <si>
    <t>Patentes y Tasas Municipales</t>
  </si>
  <si>
    <t>Canon Seprelad</t>
  </si>
  <si>
    <t>Gastos Generales</t>
  </si>
  <si>
    <t>Energía Eléctrica - VINCULADAS</t>
  </si>
  <si>
    <t>Comunicaciones - VINCULADAS</t>
  </si>
  <si>
    <t>Correo y Franqueo</t>
  </si>
  <si>
    <t>Movildad y Transporte</t>
  </si>
  <si>
    <t>Papelería,Útiles e Impresos</t>
  </si>
  <si>
    <t>Insumos de Computación</t>
  </si>
  <si>
    <t>Gastos de limpieza - VINCULADAS</t>
  </si>
  <si>
    <t>Cuotas y Suscripciones</t>
  </si>
  <si>
    <t>Demostraciones y Agasajos</t>
  </si>
  <si>
    <t>Gastos de Informes</t>
  </si>
  <si>
    <t>Gastos de refrigerios</t>
  </si>
  <si>
    <t>Expensas - VINCULADAS</t>
  </si>
  <si>
    <t>Gastos de Cafetería - VINCULADAS</t>
  </si>
  <si>
    <t>Gastos de Mantenimiento Software</t>
  </si>
  <si>
    <t>Reembolso de Gastos - VINCULADAS</t>
  </si>
  <si>
    <t>Otros Gastos Administrativos</t>
  </si>
  <si>
    <t>EGRESOS FINANCIEROS</t>
  </si>
  <si>
    <t>Egresos Financieros</t>
  </si>
  <si>
    <t>Intereses y Gastos de Sobregiros</t>
  </si>
  <si>
    <t>Intereses y Gastos de sobregiros VINC</t>
  </si>
  <si>
    <t>Gastos Bancarios</t>
  </si>
  <si>
    <t>Gastos Bancarios - Personas y empresas r</t>
  </si>
  <si>
    <t>Gastos Bancarios - No Vinculado</t>
  </si>
  <si>
    <t>Gastos Bancarios - No Deducible</t>
  </si>
  <si>
    <t>Pérdida por Diferencia de Cambio</t>
  </si>
  <si>
    <t>Operación de Compra-Venta NDF</t>
  </si>
  <si>
    <t>EGRESOS FISCALES</t>
  </si>
  <si>
    <t>Egresos Fiscales</t>
  </si>
  <si>
    <t>Gastos Fiscales</t>
  </si>
  <si>
    <t>Impuesto a la Renta</t>
  </si>
  <si>
    <t>Retención Renta</t>
  </si>
  <si>
    <t>IVA Costo</t>
  </si>
  <si>
    <t>Gastos no Deducibles</t>
  </si>
  <si>
    <t>Gastos no Deducibles - Gs</t>
  </si>
  <si>
    <t>IVA GND</t>
  </si>
  <si>
    <t>Gastos de Representación - GND</t>
  </si>
  <si>
    <t>Recargos y Multas</t>
  </si>
  <si>
    <t>Recargos y Multas - CNV</t>
  </si>
  <si>
    <t>Recargos y Multas - SET</t>
  </si>
  <si>
    <t>Egresos No Operativos</t>
  </si>
  <si>
    <t>Egresos por Ajuste de Redondeo</t>
  </si>
  <si>
    <t>Egresos por Error Operativo</t>
  </si>
  <si>
    <t>RESULTADO DEL EJERCICIO (+) Utilidad (-) Pérdida :</t>
  </si>
  <si>
    <t>Operaciones a Liquidar</t>
  </si>
  <si>
    <t>Operaciones a Liquidar M/E</t>
  </si>
  <si>
    <t>Documentos y cuentas por cobrar</t>
  </si>
  <si>
    <t>Otras cuentas por cobrar</t>
  </si>
  <si>
    <t>Otras cuentas por cobrar - Gs.</t>
  </si>
  <si>
    <t>Bonos Públicos</t>
  </si>
  <si>
    <t>Bonos Subordinados</t>
  </si>
  <si>
    <t>Dif. Precio (+) Bonos Subordinados - U$S</t>
  </si>
  <si>
    <t>Dif. Precio (+) Bonos Públicos Gs</t>
  </si>
  <si>
    <t>Int. a Cobrar - Bonos Subord. - U$S</t>
  </si>
  <si>
    <t>Int. a Cobrar - Bonos Públicos Gs</t>
  </si>
  <si>
    <t>Int. a Deveng. Bonos Sub - U$S</t>
  </si>
  <si>
    <t>Int. a Deveng. Bonos Públicos Gs</t>
  </si>
  <si>
    <t>Aranceles - BVPASA</t>
  </si>
  <si>
    <t>Suscripciones pagadas por adelantado USD</t>
  </si>
  <si>
    <t>Licencia - Gs.</t>
  </si>
  <si>
    <t>Gastos de Desarrollo</t>
  </si>
  <si>
    <t>Implementacion de Software</t>
  </si>
  <si>
    <t>Gastos de desarrollo</t>
  </si>
  <si>
    <t>Operaciones a Liquidar Gs</t>
  </si>
  <si>
    <t>Otras Cuentas por pagar</t>
  </si>
  <si>
    <t>Otras Cuentas por Pagar</t>
  </si>
  <si>
    <t>Otras Cuentas por Pagar Gs.</t>
  </si>
  <si>
    <t>Dif. de precio a pagar - REPO Gs</t>
  </si>
  <si>
    <t>Dif. de precio a devengar - REPO GS</t>
  </si>
  <si>
    <t>Aguinaldos por Pagar</t>
  </si>
  <si>
    <t>Sueldos y Jornales a Pagar</t>
  </si>
  <si>
    <t>Otras Obligaciones Diversas</t>
  </si>
  <si>
    <t>Por int. de renta fija Gs- Prim. PF WMS</t>
  </si>
  <si>
    <t xml:space="preserve">RESULTADO DEL EJERCICIO (+) Utilidad (-) Pérdida : </t>
  </si>
  <si>
    <t>I</t>
  </si>
  <si>
    <t>Banco Itaú Cta. Cte. 654 - GS</t>
  </si>
  <si>
    <t>Banco Itaú Cta. Cte. 641 - USD</t>
  </si>
  <si>
    <t>Bancos Cuentas de Ahorro</t>
  </si>
  <si>
    <t>Banco Itaú Cta. Ahorro 1726 - USD</t>
  </si>
  <si>
    <t>Banco Atlas Cta. Cte. 657 - GS</t>
  </si>
  <si>
    <t>Banco Atlas Cta. Cte. 659 - USD</t>
  </si>
  <si>
    <t>Banco GNB Cta. Cte. 020 - Gs</t>
  </si>
  <si>
    <t>Banco GNB Cta. Cte. 039 - USD</t>
  </si>
  <si>
    <t>Visión Banco Cta. Cte. 648 - Gs</t>
  </si>
  <si>
    <t>Visión Banco Cta. Cte. 551 - USD</t>
  </si>
  <si>
    <t>Banco Continental Cta. Cte. 453 - Gs</t>
  </si>
  <si>
    <t>Banco Continental Cta. Cte. 507 - USD</t>
  </si>
  <si>
    <t>Banco Familiar Cta. Cte. 157 - Gs</t>
  </si>
  <si>
    <t>Banco Familiar Cta. Cte. 778 - USD</t>
  </si>
  <si>
    <t>Bancos Cuenta Ahorro</t>
  </si>
  <si>
    <t>Solar Banco Cta Ahorro 7768 - GS</t>
  </si>
  <si>
    <t>Solar Banco Cta Ahorro 3577 - USD</t>
  </si>
  <si>
    <t>Banco Rio Cta Ahorro 6009 - GS</t>
  </si>
  <si>
    <t>Banco Río Cta Ahorro 6106 - USD</t>
  </si>
  <si>
    <t>Banco Sudameris Cta. Ahorro 8581 - USD</t>
  </si>
  <si>
    <t>Operaciones a Liquidar M/L</t>
  </si>
  <si>
    <t>Anticipos al Personal</t>
  </si>
  <si>
    <t>Anticipo de Sueldos y Jornales</t>
  </si>
  <si>
    <t>Dif. Precio (-) Bonos Subordinados - Gs</t>
  </si>
  <si>
    <t>Int. a Cobrar - Bonos Subord. - Gs</t>
  </si>
  <si>
    <t>Int. a Deveng. Bonos Sub. - Gs</t>
  </si>
  <si>
    <t>Bonos Subordinados - GS AFS</t>
  </si>
  <si>
    <t>Dif. de Precio (-) Bonos Sub. - Gs AFS</t>
  </si>
  <si>
    <t>Int. a Cobrar Bonos Sub. Gs - AFS</t>
  </si>
  <si>
    <t>Int. a Deveng. Bonos Sub. Gs - AFS</t>
  </si>
  <si>
    <t>Otros Gastos a Devengar</t>
  </si>
  <si>
    <t>Titulos con Disponibilidad Restringida</t>
  </si>
  <si>
    <t>CDAs - GS</t>
  </si>
  <si>
    <t>Int. a Dev. - CDA - Gs</t>
  </si>
  <si>
    <t>Operaciones a Liquidar - U$S</t>
  </si>
  <si>
    <t>Anticipo de Clientes Gs</t>
  </si>
  <si>
    <t>Gastos a reembolsar - Vinculadas</t>
  </si>
  <si>
    <t>Pasivo por Inversiones</t>
  </si>
  <si>
    <t>Pasivo Títulos Valores de Renta Fija</t>
  </si>
  <si>
    <t>Dif. Precio (+) Bonos Financ - Gs V AFS</t>
  </si>
  <si>
    <t>RESERVAS</t>
  </si>
  <si>
    <t>Reservas</t>
  </si>
  <si>
    <t>Reserva legal</t>
  </si>
  <si>
    <t>Por intermediación renta fija U$S - BIPY</t>
  </si>
  <si>
    <t>Otras Comisiones Cobradas</t>
  </si>
  <si>
    <t>Comision por Caución Bursátil GS - VINC</t>
  </si>
  <si>
    <t>Comision por Caución Bursátil USD - VINC</t>
  </si>
  <si>
    <t>Por contratos de coloc. primaria - PF</t>
  </si>
  <si>
    <t>Bonos Públicos GS - VINC</t>
  </si>
  <si>
    <t>Bonos Publicos Gs - ISPy</t>
  </si>
  <si>
    <t>CDA USD - Itaú Asset Management AFPISA</t>
  </si>
  <si>
    <t>CDA Gs - Fondo Mutuo IAM Renta Fija</t>
  </si>
  <si>
    <t>Bonos Corp. Gs - FM IAM Renta Fija</t>
  </si>
  <si>
    <t>Bonos Financieros Gs - FM IAM Renta Fija</t>
  </si>
  <si>
    <t>Servicios por Transferencia de Cartera</t>
  </si>
  <si>
    <t>Servicio por Transf. de Cartera Gs</t>
  </si>
  <si>
    <t>Comisión Servicio Transf. de Cartera GS</t>
  </si>
  <si>
    <t>Bonos Subordinados - Gs NO VINC</t>
  </si>
  <si>
    <t>Bonos Públicos - Gs</t>
  </si>
  <si>
    <t>Directores</t>
  </si>
  <si>
    <t>Tasas y Contribuciones</t>
  </si>
  <si>
    <t>Gastos de Mant./Inst. de Software</t>
  </si>
  <si>
    <t>ITAÚ INVEST CASA DE BOLSA SOCIEDAD ANÓNIMA</t>
  </si>
  <si>
    <t xml:space="preserve">Estados Financieros por el periodo del </t>
  </si>
  <si>
    <t>REF.</t>
  </si>
  <si>
    <t>Información General de la Entidad</t>
  </si>
  <si>
    <t xml:space="preserve">Balance General </t>
  </si>
  <si>
    <t>Estado de Resultados</t>
  </si>
  <si>
    <t>Estado de Flujo de Efectivo</t>
  </si>
  <si>
    <t>Estado de Variación del Patrimonio Neto</t>
  </si>
  <si>
    <t>Notas a los Estados Financieros (Nota 1 a Nota 4)</t>
  </si>
  <si>
    <t>Notas a los Estados Financieros (Nota 5 - Inciso 5.a a 5.d)</t>
  </si>
  <si>
    <t>Notas a los Estados Financieros (Nota 5 - Inciso 5.e)</t>
  </si>
  <si>
    <t>Notas a los Estados Financieros (Nota 5 - Inciso 5.f a 5.t)</t>
  </si>
  <si>
    <t>Notas a los Estados Financieros (Nota 6 a Nota 11)</t>
  </si>
  <si>
    <t>CLASIFICACIÓN PARA BALANCE GENERAL</t>
  </si>
  <si>
    <t>31/12/2023</t>
  </si>
  <si>
    <t>Clasificacion</t>
  </si>
  <si>
    <t>Para los EEFF</t>
  </si>
  <si>
    <t>Código</t>
  </si>
  <si>
    <t>Moneda</t>
  </si>
  <si>
    <t>Moneda GS</t>
  </si>
  <si>
    <t>Moneda USD</t>
  </si>
  <si>
    <t>GS</t>
  </si>
  <si>
    <t>Efectivo</t>
  </si>
  <si>
    <t>Fondo Fijo</t>
  </si>
  <si>
    <t>Recaudaciones a Depositar</t>
  </si>
  <si>
    <t>Recaudaciones a Depositar GS</t>
  </si>
  <si>
    <t>Recaudaciones a Depositar U$S</t>
  </si>
  <si>
    <t>USD</t>
  </si>
  <si>
    <t>Bancos - XXXXX</t>
  </si>
  <si>
    <t>Bancos Cuentas Clering</t>
  </si>
  <si>
    <t>Deudores por intermediación - Vinculadas</t>
  </si>
  <si>
    <t>Deudores por intermediación - Del Exteri</t>
  </si>
  <si>
    <t>Créditos otorgados</t>
  </si>
  <si>
    <t>Préstamos a Directores y Personal Superi</t>
  </si>
  <si>
    <t>Préstamos a Personas y Empresas Vinculad</t>
  </si>
  <si>
    <t>Préstamos al Personal</t>
  </si>
  <si>
    <t>Préstamos a Terceros</t>
  </si>
  <si>
    <t>Garantías otorgadas a terceros</t>
  </si>
  <si>
    <t>Cuentas por Cobrar</t>
  </si>
  <si>
    <t>Servicios Prestados por cobrar - Gs.</t>
  </si>
  <si>
    <t>Servicios Prestados por cobrar - U$S</t>
  </si>
  <si>
    <t>Cuentas por cobrar personas y empresas relacionadas</t>
  </si>
  <si>
    <t>Otras cuentas por cobrar - U$S</t>
  </si>
  <si>
    <t>Intereses Devengados</t>
  </si>
  <si>
    <t>Intereses Documentados</t>
  </si>
  <si>
    <t>Otras cuentas por cobrar a personas y em</t>
  </si>
  <si>
    <t>Accionistas</t>
  </si>
  <si>
    <t>Capital Suscrito a Pagar</t>
  </si>
  <si>
    <t>Otros Activos Corrientes</t>
  </si>
  <si>
    <t>Anticipo de Aguinaldo</t>
  </si>
  <si>
    <t>Derechos sobre títulos por Contratos Und</t>
  </si>
  <si>
    <t>Cuentas por cobrar operativas</t>
  </si>
  <si>
    <t>Cuentas por cobrar operativas - Vinculad</t>
  </si>
  <si>
    <t>Casa Matriz</t>
  </si>
  <si>
    <t>Sucursales</t>
  </si>
  <si>
    <t>Agencias</t>
  </si>
  <si>
    <t>IVA Crédito Fiscal 10%</t>
  </si>
  <si>
    <t>IVA Crédito Fiscal 5%</t>
  </si>
  <si>
    <t>Retencion IVA</t>
  </si>
  <si>
    <t>Retencion RENTA</t>
  </si>
  <si>
    <t>Anticipos a Rendir</t>
  </si>
  <si>
    <t>Anticipos a rendir - Varios Gs.</t>
  </si>
  <si>
    <t>Anticipos a rendir - Varios U$S</t>
  </si>
  <si>
    <t>Previsiones</t>
  </si>
  <si>
    <t>Previsión para incobrables</t>
  </si>
  <si>
    <t>Previsión para incobrables terceros</t>
  </si>
  <si>
    <t>Previsión para incobrables personas y em</t>
  </si>
  <si>
    <t>CRÉDITOS VENCIDOS</t>
  </si>
  <si>
    <t>Créditos en gestión de cobro</t>
  </si>
  <si>
    <t>Créditos en gestión de cobro - Local</t>
  </si>
  <si>
    <t>Deudores varios</t>
  </si>
  <si>
    <t>Inversiones Especiales</t>
  </si>
  <si>
    <t>Dividendos y Participaciones - Renta Var</t>
  </si>
  <si>
    <t>(Previsiones s/Títulos Valores de Renta</t>
  </si>
  <si>
    <t>Títulos Valores de Renta Variable - Exte</t>
  </si>
  <si>
    <t>Títulos de Renta Fija</t>
  </si>
  <si>
    <t>Bonos Públicos U$S</t>
  </si>
  <si>
    <t>BBCP - U$S</t>
  </si>
  <si>
    <t>Títulos de Crédito</t>
  </si>
  <si>
    <t>Títulos de Crédito - Gs</t>
  </si>
  <si>
    <t>Títulos de Crédito - U$S</t>
  </si>
  <si>
    <t>Bonos Financieros - U$S - VINCULADAS</t>
  </si>
  <si>
    <t>Bonos Subordinados - Gs - VINCULADAS</t>
  </si>
  <si>
    <t>Bonos Subordinados - U$S - VINCLUADAS</t>
  </si>
  <si>
    <t>Otras Inversiones</t>
  </si>
  <si>
    <t>Depósitos Restringidos</t>
  </si>
  <si>
    <t>Depósitos Restringidos - Gs</t>
  </si>
  <si>
    <t>Depósitos Restringidos - U$S</t>
  </si>
  <si>
    <t>Inversiones Especiales - Gs</t>
  </si>
  <si>
    <t>Inversiones Especiales - U$S</t>
  </si>
  <si>
    <t>Diferencial de precios en instrumentos de renta fija</t>
  </si>
  <si>
    <t>Dif. Precio (+) Bonos Financieros - U$S</t>
  </si>
  <si>
    <t>Dif. Precio (+) Bonos Subordinados - Gs</t>
  </si>
  <si>
    <t>Dif. Precio (+) CDA - U$S</t>
  </si>
  <si>
    <t>Dif. Precio (+) Bonos Corporativos - Gs</t>
  </si>
  <si>
    <t>Dif. Precio (+) BBCP - U$S</t>
  </si>
  <si>
    <t>Dif. Precio (+) Títulos de Crédito - Gs</t>
  </si>
  <si>
    <t>Dif. Precio (+) Títulos de Crédito - U$S</t>
  </si>
  <si>
    <t>Dif. Precio (+) BBCP - Gs VINCULADAS</t>
  </si>
  <si>
    <t>Dif. Precio (+) BBCP - U$S VINCULADAS</t>
  </si>
  <si>
    <t>Dif. Precio (+) Depósitos Restringidos -</t>
  </si>
  <si>
    <t>Dif. Precio (+) Inversiones Especiales -</t>
  </si>
  <si>
    <t>Dif. Precio (+) Bonos Públicos - U$S</t>
  </si>
  <si>
    <t>Dif. Precio (-) Bonos Financieros - U$S</t>
  </si>
  <si>
    <t>Dif. Precio (-) Bonos Subordinados - U$S</t>
  </si>
  <si>
    <t>Dif. Precio (-) BBCP - Gs</t>
  </si>
  <si>
    <t>Dif. Precio (-) BBCP - U$S</t>
  </si>
  <si>
    <t>Dif. Precio (-) Títulos de Crédito - Gs</t>
  </si>
  <si>
    <t>Dif. Precio (-) Títulos de Crédito - U$S</t>
  </si>
  <si>
    <t>Dif. Precio (-) CDA - Gs VINCULADAS</t>
  </si>
  <si>
    <t>Dif. Precio (-) CDA - U$S VINCULADAS</t>
  </si>
  <si>
    <t>Dif. Precio (-) BBCP - Gs VINCULADAS</t>
  </si>
  <si>
    <t>Dif. Precio (-) BBCP - U$S VINCULADAS</t>
  </si>
  <si>
    <t>Dif. Precio (-) Depósitos Restringidos -</t>
  </si>
  <si>
    <t>Dif. Precio (-) Inversiones Especiales -</t>
  </si>
  <si>
    <t>Dif. Precio (-) Bonos Públicos GS</t>
  </si>
  <si>
    <t>Dif. Precio (-) Bonos Públicos U$S</t>
  </si>
  <si>
    <t>Int. a Cobrar - Bonos Financieros - U$S</t>
  </si>
  <si>
    <t>Int. a Cobrar - BBCP - Gs</t>
  </si>
  <si>
    <t>Int. a Cobrar - BBCP - U$S</t>
  </si>
  <si>
    <t>Int. a Cobrar - Títulos de Crédito - Gs</t>
  </si>
  <si>
    <t>Int. a Cobrar - Títulos de Crédito - U$S</t>
  </si>
  <si>
    <t>Int. a Cobrar - Bonos Subordinados - Gs</t>
  </si>
  <si>
    <t>Int. a Cobrar - Bonos Subordinados - U$S</t>
  </si>
  <si>
    <t>Int. a Cobrar - BBCP - Gs VINCULADAS</t>
  </si>
  <si>
    <t>Int. a Cobrar - BBCP U$S VINCULADAS</t>
  </si>
  <si>
    <t>Int. a Cobrar - Depósitos Restringidos -</t>
  </si>
  <si>
    <t>Int. a Cobrar - Inversiones Especiales -</t>
  </si>
  <si>
    <t>Int. a Cobrar - Bonos Públicos U$S</t>
  </si>
  <si>
    <t>Int. a Deveng. Bonos Fin. - U$S</t>
  </si>
  <si>
    <t>Int. a Deveng. BBCP - Gs</t>
  </si>
  <si>
    <t>Int. a Deveng. BBCP - U$S</t>
  </si>
  <si>
    <t>Int. a Deveng. Títulos de Créd - Gs</t>
  </si>
  <si>
    <t>Int. a Deveng. Títulos de Créd. - U$S</t>
  </si>
  <si>
    <t>Int. a Deveng. Bonos Finan. - U$S VINC.</t>
  </si>
  <si>
    <t>Int. a Deveng. Bonos Sub. - Gs VINC.</t>
  </si>
  <si>
    <t>Int. a Deveng. B. Sub - U$S VINC</t>
  </si>
  <si>
    <t>Int. a Deveng. Bonos Corp. - Gs VINC.</t>
  </si>
  <si>
    <t>Int. a Deveng. Bonos Corp. - U$S VINC.</t>
  </si>
  <si>
    <t>Int. a Deveng. BBCP - Gs VINC.</t>
  </si>
  <si>
    <t>Int. a Deveng. BBCP - U$S VINC.</t>
  </si>
  <si>
    <t>Int. a Deveng. Títulos de Créd. - Gs VIN</t>
  </si>
  <si>
    <t>Int. a Deveng. Títulos de Créd. - U$S VI</t>
  </si>
  <si>
    <t>Int. a Deveng. Dep. Rest.- Gs VINC.</t>
  </si>
  <si>
    <t>Int. a Deveng. Dep. Rest.- U$S VINC.</t>
  </si>
  <si>
    <t>Int. a Deveng. Inver. Esp. - Gs VINC.</t>
  </si>
  <si>
    <t>Int. a Deveng. Inver. Esp. - U$S VINC.</t>
  </si>
  <si>
    <t>Int. a Deveng. Bonos Públicos U$S</t>
  </si>
  <si>
    <t>Previsiones s/Títulos Valores de Renta</t>
  </si>
  <si>
    <t>Prev.- Bonos Financieros - Gs</t>
  </si>
  <si>
    <t>Prev.- Bonos Financieros - U$S</t>
  </si>
  <si>
    <t>Prev.- Bonos Subordinados - Gs</t>
  </si>
  <si>
    <t>Prev.- Bonos Subordinados - U$S</t>
  </si>
  <si>
    <t>Prev.- CDA - Gs</t>
  </si>
  <si>
    <t>Prev.- CDA - U$S</t>
  </si>
  <si>
    <t>Prev.- Bonos Corporativos - Gs</t>
  </si>
  <si>
    <t>(Previsión s/ Títulos de Renta Fija)</t>
  </si>
  <si>
    <t>Prev.- BBCP - Gs</t>
  </si>
  <si>
    <t>Prev.- BBCP - U$S</t>
  </si>
  <si>
    <t>Prev.- Títulos de Crédito - Gs</t>
  </si>
  <si>
    <t>Prev.- Títulos de Crédito - U$S</t>
  </si>
  <si>
    <t>Prev.- Bonos Financieros - Gs VINCULADAS</t>
  </si>
  <si>
    <t>Prev.- Bonos Financieros - U$S VINCULADA</t>
  </si>
  <si>
    <t>Prev.- Bonos Subordinados - Gs VINCULADA</t>
  </si>
  <si>
    <t>Prev.- Bonos Subordinados - U$S VINCULAD</t>
  </si>
  <si>
    <t>Prev.- CDA - Gs VINCULADAS</t>
  </si>
  <si>
    <t>Prev.- CDA - U$S VINCULADAS</t>
  </si>
  <si>
    <t>Prev.- Bonos Corporativos - Gs VINCULADA</t>
  </si>
  <si>
    <t>Prev.- Bonos Corporativos - U$S VINCULAD</t>
  </si>
  <si>
    <t>Prev.- BBCP - Gs VINCULADAS</t>
  </si>
  <si>
    <t>Prev.- BBCP - U$S VINCULADAS</t>
  </si>
  <si>
    <t>Prev.- Títulos de Crédito - Gs VINCULADA</t>
  </si>
  <si>
    <t>Prev.- Títulos de Crédito - U$S VINCULAD</t>
  </si>
  <si>
    <t>Prev.- Depósitos Restringidos - Gs VINCU</t>
  </si>
  <si>
    <t>Prev.- Depósitos Restringidos - U$S VINC</t>
  </si>
  <si>
    <t>Prev.- Inversiones Especiales - Gs VINCU</t>
  </si>
  <si>
    <t>Prev.- Inversiones Especiales - U$S VINC</t>
  </si>
  <si>
    <t>Prev.- Bonos Públicos Gs</t>
  </si>
  <si>
    <t>Prev.- Bonos Públicos - U$S</t>
  </si>
  <si>
    <t>Títulos Valores de Renta Fija - Exterior</t>
  </si>
  <si>
    <t>Emitidos por el Estado y Ent. del Ext.</t>
  </si>
  <si>
    <t>Títulos de Renta Fija en Reporto</t>
  </si>
  <si>
    <t>Deudores Títulos Renta Fija en Repo Gs</t>
  </si>
  <si>
    <t>Deudores Titulos Renta Fija en Repo GS VINC</t>
  </si>
  <si>
    <t>Deudores Titulos Renta Variable en Repo GS</t>
  </si>
  <si>
    <t>Prima por Valor de Compra Repo</t>
  </si>
  <si>
    <t>Dif. de Precio (-) TI en Repo GS</t>
  </si>
  <si>
    <t>Dif. de Precio (-) TI en Repo VINC</t>
  </si>
  <si>
    <t>Dif. de Precio (+) TI en Repo Gs</t>
  </si>
  <si>
    <t>Diferencial de precios en instrumentos de renta fija en Reporto</t>
  </si>
  <si>
    <t>Bonos Financieros - Gs V</t>
  </si>
  <si>
    <t>BBCP - Gs VINCULADAS</t>
  </si>
  <si>
    <t>BBCP - U$S VINCULADAS</t>
  </si>
  <si>
    <t xml:space="preserve">Prima por Diferencia de Precio a Cobrar </t>
  </si>
  <si>
    <t>Títulos de Renta Fija AFS</t>
  </si>
  <si>
    <t>Diferencial de precios en instrumentos de renta fija AFS</t>
  </si>
  <si>
    <t>Operaciones de Recompra Futura</t>
  </si>
  <si>
    <t>Operaciones de Recompra Futura - Local</t>
  </si>
  <si>
    <t>Valores entregados bajo Recompra Futura</t>
  </si>
  <si>
    <t>Valores entreg. bajo Recompra Futura GS</t>
  </si>
  <si>
    <t>Bonos Financieros GS - VINC</t>
  </si>
  <si>
    <t>Existencia en Depósito</t>
  </si>
  <si>
    <t>Materiales de Escritorio</t>
  </si>
  <si>
    <t>Papelería e Impresos</t>
  </si>
  <si>
    <t>Incendio</t>
  </si>
  <si>
    <t>Robo</t>
  </si>
  <si>
    <t>Automóviles</t>
  </si>
  <si>
    <t>Cauciones</t>
  </si>
  <si>
    <t>Auditoría Externa Gs.</t>
  </si>
  <si>
    <t>Mantenimiento de Software - VINC</t>
  </si>
  <si>
    <t>Acciones de Empresas</t>
  </si>
  <si>
    <t>Acciones de Empresas Gs</t>
  </si>
  <si>
    <t>Dividendos y Participaciones - Acciones</t>
  </si>
  <si>
    <t>Dividendos a Devengar - Acciones</t>
  </si>
  <si>
    <t>Diferencia de Precios Diferido - Accione</t>
  </si>
  <si>
    <t>Previsiones s/Títulos Valores de Renta V</t>
  </si>
  <si>
    <t xml:space="preserve">Títulos de Renta Fija    </t>
  </si>
  <si>
    <t>Bonos Financieros GS</t>
  </si>
  <si>
    <t>Intereses a cobrar - Bonos Financieros GS</t>
  </si>
  <si>
    <t>Intereses a devengar - Bonos Financieros GS</t>
  </si>
  <si>
    <t>Bonos Corporativos Gs</t>
  </si>
  <si>
    <t>Int. a Dev. - Bonos Corporativos - Gs</t>
  </si>
  <si>
    <t>Acción de la Bolsa de Valores</t>
  </si>
  <si>
    <t>PROPIEDAD, PLANTA Y EQUIPOS</t>
  </si>
  <si>
    <t>BIENES DE USO</t>
  </si>
  <si>
    <t>Bienes de Uso</t>
  </si>
  <si>
    <t>Valor revaluado</t>
  </si>
  <si>
    <t>Inmuebles</t>
  </si>
  <si>
    <t>Instalaciones</t>
  </si>
  <si>
    <t>Equipos de Oficina</t>
  </si>
  <si>
    <t>Equipos de Computación</t>
  </si>
  <si>
    <t>Rodados</t>
  </si>
  <si>
    <t>Construcciones en Curso</t>
  </si>
  <si>
    <t>(-) Depreciación acumulada</t>
  </si>
  <si>
    <t>Deprec. Acumulada Inmuebles</t>
  </si>
  <si>
    <t>Deprec. Acumulada Instalaciones</t>
  </si>
  <si>
    <t>Deprec. Acumulada Equipos de Oficina</t>
  </si>
  <si>
    <t>Deprec. Acumulada Equipos de Computación</t>
  </si>
  <si>
    <t>Deprec. Acumulada Rodados</t>
  </si>
  <si>
    <t>Licencias</t>
  </si>
  <si>
    <t>Licencia - USD</t>
  </si>
  <si>
    <t>(Amortización Acumulada)</t>
  </si>
  <si>
    <t>Marcas</t>
  </si>
  <si>
    <t>Marcas - Gs.</t>
  </si>
  <si>
    <t>Marcas - U$S</t>
  </si>
  <si>
    <t>Mejoras en Propiedad de Terceros</t>
  </si>
  <si>
    <t>Resultado por Cambio de Sistema Contable</t>
  </si>
  <si>
    <t>Gastor Pagagos por Adelantados</t>
  </si>
  <si>
    <t>Otros Activos No Corrientes</t>
  </si>
  <si>
    <t>Acreedores por Intermediación</t>
  </si>
  <si>
    <t>Otros pasivos corrientes</t>
  </si>
  <si>
    <t>Colocación de Valores Mercado Secundario</t>
  </si>
  <si>
    <t>Prima por Diferencia de Precios Valor Fu</t>
  </si>
  <si>
    <t>Cuentas a Pagar a Personas y Empresas Relacionadas</t>
  </si>
  <si>
    <t>Acreedores Varios</t>
  </si>
  <si>
    <t>Otras Cuentas por Pagar U$S</t>
  </si>
  <si>
    <t>Acreedores Varios Gs.</t>
  </si>
  <si>
    <t>Acreedores Varios U$S</t>
  </si>
  <si>
    <t>Sobregiro en cuenta corriente - Local</t>
  </si>
  <si>
    <t>Bancos Cuentas CLERING</t>
  </si>
  <si>
    <t>Bancos Cuenta Administrativa</t>
  </si>
  <si>
    <t>Préstamos en bancos y otras entidades fi</t>
  </si>
  <si>
    <t>Prestamos Bancarios y/o Financieros</t>
  </si>
  <si>
    <t>Prestamos Bancarios y/o Financieros Gs.</t>
  </si>
  <si>
    <t>Prestamos Bancarios y/o Financieros U$S</t>
  </si>
  <si>
    <t>Intereses devengados por pagar s/ obliga</t>
  </si>
  <si>
    <t>Intereses documentados s/obligaciones fi</t>
  </si>
  <si>
    <t>Intereses documentados a devengar s/ obl</t>
  </si>
  <si>
    <t>Deudas con terceros por operaciones de reporto</t>
  </si>
  <si>
    <t>Diferencia de precio a pagar - REPO Gs</t>
  </si>
  <si>
    <t>Diferencia de precio a pagar - REPO ME</t>
  </si>
  <si>
    <t>Diferencia de precio a devengar - REPO G</t>
  </si>
  <si>
    <t>Diferencia de precio a devengar - REPO M</t>
  </si>
  <si>
    <t xml:space="preserve">Acreedores por títulos de renta fija en </t>
  </si>
  <si>
    <t>Acreedores Titulos Renta Fija en Repo Gs</t>
  </si>
  <si>
    <t>Acreedores Titulos Renta Fija en Repo U$</t>
  </si>
  <si>
    <t>Acreedores Titulos Renta Fija en Repo GS Vinc</t>
  </si>
  <si>
    <t>Acreedores Titulos Renta Variable Repo Gs</t>
  </si>
  <si>
    <t>Prima a pagar por Recompra futura</t>
  </si>
  <si>
    <t>Prima a devengar por Recompra futura</t>
  </si>
  <si>
    <t>Honorarios Directores</t>
  </si>
  <si>
    <t>Honorarios Síndicos</t>
  </si>
  <si>
    <t>Aportes y Retenciones a pagar</t>
  </si>
  <si>
    <t>Gratificaciones al Personal Superior</t>
  </si>
  <si>
    <t>Aguinaldos por Pagar - Gerentes y Administradores</t>
  </si>
  <si>
    <t>Provisión Falla de Caja</t>
  </si>
  <si>
    <t>Provisión para Indemnizaciones</t>
  </si>
  <si>
    <t>Vacaciones a pagar - Gerentes y Administradores</t>
  </si>
  <si>
    <t>Impuesto a la Renta a pagar</t>
  </si>
  <si>
    <t>IVA Débito Fiscal 10%</t>
  </si>
  <si>
    <t>IVA Débito Fiscal 5%</t>
  </si>
  <si>
    <t>IVA a pagar</t>
  </si>
  <si>
    <t>Retención IVA a pagar</t>
  </si>
  <si>
    <t>Retención Renta a pagar</t>
  </si>
  <si>
    <t>Impuestos y Tasas Municipales</t>
  </si>
  <si>
    <t>Multas y Recargos por Pagar</t>
  </si>
  <si>
    <t>Asesoría Legal</t>
  </si>
  <si>
    <t>Asesoría Informática</t>
  </si>
  <si>
    <t>Honorarios de Escribanía por Pagar</t>
  </si>
  <si>
    <t>Auditoria Externa Gs.</t>
  </si>
  <si>
    <t>Otros honorarios profesionales Gs.</t>
  </si>
  <si>
    <t>Otros honorarios profesionales USD</t>
  </si>
  <si>
    <t>Alquileres Cobrados por Adelantado</t>
  </si>
  <si>
    <t>Publicidad y Propaganda por Pagar</t>
  </si>
  <si>
    <t>Mantenimiento y Reparaciones por Pagar</t>
  </si>
  <si>
    <t>Garantía de Alquiler</t>
  </si>
  <si>
    <t>Servicios Básicos por Pagar</t>
  </si>
  <si>
    <t>Seguro Medico a Pagar</t>
  </si>
  <si>
    <t>Servicios de Seguridad y Vigilancia por</t>
  </si>
  <si>
    <t>Comisiones por Servicios de Cobranzas po</t>
  </si>
  <si>
    <t>Afiliaciones por Pagar</t>
  </si>
  <si>
    <t>Sobrante de Caja</t>
  </si>
  <si>
    <t>Administración y Portería a Pagar</t>
  </si>
  <si>
    <t>BVPASA a Pagar</t>
  </si>
  <si>
    <t>Aranceles a pagar BVPASA</t>
  </si>
  <si>
    <t>Aranceles a pagar BVPASA U$S</t>
  </si>
  <si>
    <t>OTROS PASIVOS CORRIENTES</t>
  </si>
  <si>
    <t>Agregar…</t>
  </si>
  <si>
    <t>PASIVO NO CORRIENTE</t>
  </si>
  <si>
    <t>OBLIGACIONES FINANCIERAS A LARGO PLAZO</t>
  </si>
  <si>
    <t>PN</t>
  </si>
  <si>
    <t>Capital Suscripto</t>
  </si>
  <si>
    <t xml:space="preserve">TOTAL PATRIMONIO NETO </t>
  </si>
  <si>
    <t>Capital Integrado en Títulos o Valores</t>
  </si>
  <si>
    <t>Capital a Integrar</t>
  </si>
  <si>
    <t>Aportes a Capitalizar</t>
  </si>
  <si>
    <t>Reservas Estatutarias</t>
  </si>
  <si>
    <t>Reservas Facultativas</t>
  </si>
  <si>
    <t>Reservas de Revalúo</t>
  </si>
  <si>
    <t>CLASIFICACIÓN PARA ESTADO DE RESULTADOS</t>
  </si>
  <si>
    <t>Por intermediación de renta variable en rueda</t>
  </si>
  <si>
    <t>Por intermediación de acciones U$S</t>
  </si>
  <si>
    <t>Ingresos por operaciones y servicios a personas relacionadas</t>
  </si>
  <si>
    <t>Por Operaciones Bursatiles</t>
  </si>
  <si>
    <t>Comisiones de Reporto Bursatil - GS</t>
  </si>
  <si>
    <t>Comisiones de Reporto Bursatil - U$S</t>
  </si>
  <si>
    <t>Comisiones por operaciones fuera de rued</t>
  </si>
  <si>
    <t>Por intermediación de renta fija en rueda</t>
  </si>
  <si>
    <t>Por intermediación de Renta fija Gs-Vinc</t>
  </si>
  <si>
    <t>Por intermed. Renta fija Gs -PROVIDENCIA</t>
  </si>
  <si>
    <t>Por int. de renta fija Gs - Prim. PJ WMS</t>
  </si>
  <si>
    <t>Por int. de renta fija U$S- Prim. PJ WMS</t>
  </si>
  <si>
    <t>Por int. de renta fija U$S- Prim. PF WMS</t>
  </si>
  <si>
    <t>Por int. de renta fija U$S-Prim. PJ Inst</t>
  </si>
  <si>
    <t>Comisiones por contratos de colocación primaria de renta fija</t>
  </si>
  <si>
    <t>Por contratos de coloc. Primaria - VINC</t>
  </si>
  <si>
    <t>Comisiones por Operaciones Extrabursat.</t>
  </si>
  <si>
    <t>Por intermediación de renta fija fuera de rueda</t>
  </si>
  <si>
    <t>Por intermed. Renta fija Gs - Itaú Seguros</t>
  </si>
  <si>
    <t>Ingresos por operaciones y servicios extrabursátiles</t>
  </si>
  <si>
    <t>Administracion de Cartera</t>
  </si>
  <si>
    <t>Administración de cartera Gs.</t>
  </si>
  <si>
    <t>Administración de cartera U$S</t>
  </si>
  <si>
    <t>Ingresos por custodia de valores</t>
  </si>
  <si>
    <t>Custodia de Valores - BIPY</t>
  </si>
  <si>
    <t>Custodia de Valores - FONDOS</t>
  </si>
  <si>
    <t>Custodia de Valores - IAM</t>
  </si>
  <si>
    <t>Asesoría Financiera</t>
  </si>
  <si>
    <t>Asesoría Financiera - Gs</t>
  </si>
  <si>
    <t>Asesoría Financiera - U$S</t>
  </si>
  <si>
    <t>Distribución de Fondos USD</t>
  </si>
  <si>
    <t>Otros ingresos operativos</t>
  </si>
  <si>
    <t>Comis Distib. Fondos Internacionales</t>
  </si>
  <si>
    <t>Comisión por Distribución Fondos Internacionales</t>
  </si>
  <si>
    <t>Ingresos por intereses y dividendos de cartera propia</t>
  </si>
  <si>
    <t>Bonos Subordinados - Gs VINCULADAS</t>
  </si>
  <si>
    <t>Bonos Subordinados - U$S VINCULADAS</t>
  </si>
  <si>
    <t>Bonos Corporativos - U$S VINCULADAS</t>
  </si>
  <si>
    <t>Títulos de Crédito - Gs VINCULADAS</t>
  </si>
  <si>
    <t>Títulos de Crédito - U$S VINCULADAS</t>
  </si>
  <si>
    <t>Depósitos Restringidos - Gs VINCULADAS</t>
  </si>
  <si>
    <t>Depósitos Restringidos - U$S VINCULADAS</t>
  </si>
  <si>
    <t>Inversiones Especiales - Gs VINCULADAS</t>
  </si>
  <si>
    <t>Inversiones Especiales - U$S VINCULADAS</t>
  </si>
  <si>
    <t>Bonos Públicos - U$S</t>
  </si>
  <si>
    <t>Dividendos por participaciones accionari</t>
  </si>
  <si>
    <t>Dividendos cobrados s/ acciones cotizadas en bolsa</t>
  </si>
  <si>
    <t>Diferencia de Precio (+) Operaciones Bursátiles</t>
  </si>
  <si>
    <t>Resultado B.Sub. - U$S VINC</t>
  </si>
  <si>
    <t>Acciones - Gs.</t>
  </si>
  <si>
    <t>Acciones - U$S</t>
  </si>
  <si>
    <t>Ingresos por venta de cartera propia</t>
  </si>
  <si>
    <t>Ingresos por venta de cartera propia a personas y empresas relacionadas</t>
  </si>
  <si>
    <t>Bonos Corp. Gs - PROVIDENCIA S.A DE SEG.</t>
  </si>
  <si>
    <t>Bonos Subord Gs - PROVIDENCIA S.A DE SEG</t>
  </si>
  <si>
    <t>Bonos Publicos Gs-PROVIDENCIA S.A DE SEG</t>
  </si>
  <si>
    <t>CDA Gs - FONDO MUTUO IAM CORTO PLAZO GS</t>
  </si>
  <si>
    <t>CDA U$S -FONDO MUTUO IAM CORTO PLAZO USD</t>
  </si>
  <si>
    <t>Ingresos personas relacionadas</t>
  </si>
  <si>
    <t>Operaciones y servicios a personas relac</t>
  </si>
  <si>
    <t>Operaciones y servicios a ISPY - GS</t>
  </si>
  <si>
    <t>Ingresos por operaciones y servicios ext</t>
  </si>
  <si>
    <t>Recupero de Gastos</t>
  </si>
  <si>
    <t>Recupero de Gastos Gs</t>
  </si>
  <si>
    <t>Recupero de Gastos GS - VINC</t>
  </si>
  <si>
    <t>Aranceles BVPASA</t>
  </si>
  <si>
    <t>Aranc. BVPASA Gs - BIPY - PRIM</t>
  </si>
  <si>
    <t>Aranc. BVPASA Gs - Prim. PJ WMS</t>
  </si>
  <si>
    <t>Aranc. BVPASA Gs - Prim. PF WMS</t>
  </si>
  <si>
    <t>Aranc. BVPASA U$S - BIPY - PRIM</t>
  </si>
  <si>
    <t>Aranc. BVPASA U$S - Prim. PJ Inst</t>
  </si>
  <si>
    <t>Aranc. BVPASA U$S - Prim. PJ WMS</t>
  </si>
  <si>
    <t>Aranc. BVPASA U$S - Prim. PF WMS</t>
  </si>
  <si>
    <t>Gastos Administrativos s/ Suscripciones de Fondos Internacionales</t>
  </si>
  <si>
    <t>Fondos de Garantía BVPASA</t>
  </si>
  <si>
    <t>Fondo de Gar. Gs - BIPY - PRIM</t>
  </si>
  <si>
    <t>Fondo de Gar. Gs - Prim. PJ WMS</t>
  </si>
  <si>
    <t>Fondo de Gar. Gs - Prim. PF WMS</t>
  </si>
  <si>
    <t>Fondo de Gar. U$S - BIPY - PRIM</t>
  </si>
  <si>
    <t>Fondo de Gar. U$S - Prim. PJ Inst</t>
  </si>
  <si>
    <t>Fondo de Gar. U$S - Prim. PF WMS</t>
  </si>
  <si>
    <t>Fondo de Gar. U$S - Prim. PJ WMS</t>
  </si>
  <si>
    <t>Diferencia de Precio (+) Operaciones de Arbitraje</t>
  </si>
  <si>
    <t>Intereses a Cobrar Personas relacionadas</t>
  </si>
  <si>
    <t>Diferencias de cambio</t>
  </si>
  <si>
    <t>Representante de Obligacionistas</t>
  </si>
  <si>
    <t>Servicios por transferencia de Cartera</t>
  </si>
  <si>
    <t>Otros Ingresos Operativos - GS</t>
  </si>
  <si>
    <t>Recupero de Gastos - GS</t>
  </si>
  <si>
    <t>Otros Ingresos</t>
  </si>
  <si>
    <t>Ajustes de resultados anteriores</t>
  </si>
  <si>
    <t>Comisiones Pagadas Personas y empresas r</t>
  </si>
  <si>
    <t>Comisiones Serv. de Custodia VINC GS</t>
  </si>
  <si>
    <t>Aranceles por negociación Bolsa de Valores</t>
  </si>
  <si>
    <t>Diferencia de Precio (-) Operaciones</t>
  </si>
  <si>
    <t>Bonos Financieros Gs - VINCULADAS</t>
  </si>
  <si>
    <t>Bonos Corporativos Gs. - PROV</t>
  </si>
  <si>
    <t>Bonos Financieros - GS</t>
  </si>
  <si>
    <t>Previsión - Bonos Corporativos GS</t>
  </si>
  <si>
    <t>Previsión sobre títulos de Renta Fija</t>
  </si>
  <si>
    <t>Egresos por Operaciones de Divisas</t>
  </si>
  <si>
    <t>Operaciones de Divisas - VINC</t>
  </si>
  <si>
    <t>Operaciones de Divisas - NO VINC</t>
  </si>
  <si>
    <t>Publicidad y propaganda</t>
  </si>
  <si>
    <t>Folletos e Impresiones</t>
  </si>
  <si>
    <t>Otros Gastos de Comercialización</t>
  </si>
  <si>
    <t>Servicios personales</t>
  </si>
  <si>
    <t>Sueldos y Jornales - Gerentes y Administradores</t>
  </si>
  <si>
    <t>Gerentes, Administradores y Auditores / Beneficios salariales</t>
  </si>
  <si>
    <t>Comisiones</t>
  </si>
  <si>
    <t>Aguinaldos - Gerentes y Administradores</t>
  </si>
  <si>
    <t>Vacaciones - Gerentes y Administradores</t>
  </si>
  <si>
    <t>Bonificación Familiar - Gerentes y Administradores</t>
  </si>
  <si>
    <t>Aguinaldos GND</t>
  </si>
  <si>
    <t>Otros Gastos de Administración</t>
  </si>
  <si>
    <t>Alimentación al Personal</t>
  </si>
  <si>
    <t>Capacitación y Entrenamiento - Vinculadas</t>
  </si>
  <si>
    <t>Reembolso de gastos y costos administrativos</t>
  </si>
  <si>
    <t>Subsidio Guarderia - Gerentes y Administradores</t>
  </si>
  <si>
    <t>Dieta a Directores</t>
  </si>
  <si>
    <t>Honorarios del síndico</t>
  </si>
  <si>
    <t>Asesoría en Computación</t>
  </si>
  <si>
    <t>Serv. Centralizados (SLA) - Vinculadas</t>
  </si>
  <si>
    <t>Gastos de Escribania - Vinc.</t>
  </si>
  <si>
    <t>Servicios de Seguridad Informatica - Vinculadas</t>
  </si>
  <si>
    <t>Honorarios por gestiones varias - Vinculadas</t>
  </si>
  <si>
    <t>Depreciación de Propiedades y Equipos</t>
  </si>
  <si>
    <t>Depreciacion Muebles e Instalaciones</t>
  </si>
  <si>
    <t>Depreciacion Maquinarias y Equipos</t>
  </si>
  <si>
    <t>Depreciacion Equipos de Computación</t>
  </si>
  <si>
    <t>Depreciacion Rodados</t>
  </si>
  <si>
    <t>Maquinarias en Leasing</t>
  </si>
  <si>
    <t>Equipos de Oficina en Leasing</t>
  </si>
  <si>
    <t>Equipos de Computación en Leasing</t>
  </si>
  <si>
    <t>Rodados en Leasing</t>
  </si>
  <si>
    <t>Amortización de Gastos de Organización</t>
  </si>
  <si>
    <t>Amortización Mejoras en Propiedad de Ter</t>
  </si>
  <si>
    <t>Muebles e Instalaciones</t>
  </si>
  <si>
    <t>Maquinarias y Equipos</t>
  </si>
  <si>
    <t>Mantenimiento</t>
  </si>
  <si>
    <t>Mantenimiento de Edificio - VINC</t>
  </si>
  <si>
    <t>Alquileres</t>
  </si>
  <si>
    <t>Alquiler de Bienes Inmuebles - VINC</t>
  </si>
  <si>
    <t>Alquiler de Bienes Muebles - VINC</t>
  </si>
  <si>
    <t>Seguros</t>
  </si>
  <si>
    <t>Seguros pagados</t>
  </si>
  <si>
    <t>Impuesto Inmobiliario</t>
  </si>
  <si>
    <t>Otros Impuestos Nacionales</t>
  </si>
  <si>
    <t>Gastos generales</t>
  </si>
  <si>
    <t>Energía Eléctrica - VINC</t>
  </si>
  <si>
    <t>Agua</t>
  </si>
  <si>
    <t>Gastos de limpieza - VINC</t>
  </si>
  <si>
    <t>Custodia y Vigilancia</t>
  </si>
  <si>
    <t>Donaciones y Contribuciones</t>
  </si>
  <si>
    <t>Gastos Viaje - Reembolso a vinculadas</t>
  </si>
  <si>
    <t>Reembolso de gastos a vinculadas</t>
  </si>
  <si>
    <t>Intereses pagados</t>
  </si>
  <si>
    <t>Intereses y Gastos de sobregiros - VINC</t>
  </si>
  <si>
    <t>Intereses por Sobregiro</t>
  </si>
  <si>
    <t>Gastos Bancarios GS - Vinculadas</t>
  </si>
  <si>
    <t>Gastos Bancarios USD - Vinculadas</t>
  </si>
  <si>
    <t>Gastos Bancarios - No Vinculadas</t>
  </si>
  <si>
    <t>IMPUESTO A LA RENTA</t>
  </si>
  <si>
    <t>Gastos no Deducibles - U$S</t>
  </si>
  <si>
    <t>IVA no deducible</t>
  </si>
  <si>
    <t>Gastos de representación no deducibles</t>
  </si>
  <si>
    <t>Multas</t>
  </si>
  <si>
    <t>Recargos y Multas - IPS/MTESS</t>
  </si>
  <si>
    <t>Otros Egresos</t>
  </si>
  <si>
    <t>Egresos por Error Operativo GND</t>
  </si>
  <si>
    <t>ORDEN</t>
  </si>
  <si>
    <t>Cuenta de Orden Deudoras</t>
  </si>
  <si>
    <t>Bonos Financieros Cupones - Gs</t>
  </si>
  <si>
    <t>Bonos Financieros Cupones - U$S</t>
  </si>
  <si>
    <t>Bonos Subordinados Cupones - Gs</t>
  </si>
  <si>
    <t>Bonos Subordinados Cupones - U$S</t>
  </si>
  <si>
    <t>Bonos Corporativos Cupones - Gs</t>
  </si>
  <si>
    <t>Bonos Corporativos Cupones - U$S</t>
  </si>
  <si>
    <t>BBCP Cupones - Gs</t>
  </si>
  <si>
    <t>BBCP Títulos - U$S</t>
  </si>
  <si>
    <t>BBCP Cupones - U$S</t>
  </si>
  <si>
    <t>Títulos de Crédito Títulos - Gs</t>
  </si>
  <si>
    <t>Títulos de Crédito Títulos - U$S</t>
  </si>
  <si>
    <t>Títulos de Crédito Cupones - U$S</t>
  </si>
  <si>
    <t>Bonos Financieros Cupones - Gs VINCULADA</t>
  </si>
  <si>
    <t>Bonos Financieros Cupones - U$S VINCULAD</t>
  </si>
  <si>
    <t>Bonos Subordinados Títulos - Gs VINCULAD</t>
  </si>
  <si>
    <t>Bonos Subordinados Cupones - Gs VINCULAD</t>
  </si>
  <si>
    <t>Bonos Subordinados Títulos - U$S VINCULA</t>
  </si>
  <si>
    <t>Bonos Subordinados Cupones - U$S VINCULA</t>
  </si>
  <si>
    <t>Bonos Corporativos Títulos - Gs VINCULAD</t>
  </si>
  <si>
    <t>Bonos Corporativos Cupones - Gs VINCULAD</t>
  </si>
  <si>
    <t>Bonos Corporativos Títulos - U$S VINCULA</t>
  </si>
  <si>
    <t>BBCP Títulos - Gs VINCULADAS</t>
  </si>
  <si>
    <t>BBCP Cupones - Gs VINCULADAS</t>
  </si>
  <si>
    <t>BBCP Títulos - U$S VINCULADAS</t>
  </si>
  <si>
    <t>Títulos de Crédito Títulos - Gs VINCULAD</t>
  </si>
  <si>
    <t>Títulos de Crédito Cupones - Gs VINCULAD</t>
  </si>
  <si>
    <t>Títulos de Crédito Títulos - U$S VINCULA</t>
  </si>
  <si>
    <t>Títulos de Crédito Cupones - U$S VINCULA</t>
  </si>
  <si>
    <t>Depósitos Restringidos Títulos - Gs VINC</t>
  </si>
  <si>
    <t>Depósitos Restringidos Cupones - Gs VINC</t>
  </si>
  <si>
    <t>Depósitos Restringidos Títulos - U$S VIN</t>
  </si>
  <si>
    <t>Depósitos Restringidos Cupones - U$S VIN</t>
  </si>
  <si>
    <t>Inversiones Especiales Títulos - Gs VINC</t>
  </si>
  <si>
    <t>Inversiones Especiales Cupones - Gs VINC</t>
  </si>
  <si>
    <t>Inversiones Especiales Títulos - U$S VIN</t>
  </si>
  <si>
    <t>Inversiones Especiales Cupones - U$S VIN</t>
  </si>
  <si>
    <t>Cuenta de Orden Acreedoras</t>
  </si>
  <si>
    <t>Acciones Dividentos Gs</t>
  </si>
  <si>
    <t>Acciones U$S</t>
  </si>
  <si>
    <t>Acciones Títulos U$S</t>
  </si>
  <si>
    <t>Acciones Dividendos U$S</t>
  </si>
  <si>
    <t>Bonos Públicos Cupones Gs</t>
  </si>
  <si>
    <t>Bonos Públicos Títulos U$S</t>
  </si>
  <si>
    <t>Bonos Públicos Cupones U$S</t>
  </si>
  <si>
    <t>Valores Entregados en Repo</t>
  </si>
  <si>
    <t>Bonos Públicos Títulos</t>
  </si>
  <si>
    <t>Bonos Públicos Cupones</t>
  </si>
  <si>
    <t>Acuerdos de Repo</t>
  </si>
  <si>
    <t>CONTINGENCIA</t>
  </si>
  <si>
    <t>CUENTAS DE CONTINGENCIA</t>
  </si>
  <si>
    <t>Cuentas de Contingencias Deudoras</t>
  </si>
  <si>
    <t>Registro de Garantías Otorgadas</t>
  </si>
  <si>
    <t>Registro de Garantías Recibidas</t>
  </si>
  <si>
    <t>Cuentas de Contingencias Acreedoras</t>
  </si>
  <si>
    <t>Control</t>
  </si>
  <si>
    <t>INFORMACIÓN GENERAL DE LA ENTIDAD</t>
  </si>
  <si>
    <t>IDENTIFICACIÓN</t>
  </si>
  <si>
    <t>Nombre o Razón social</t>
  </si>
  <si>
    <t>ITAÚ INVEST CASA DE BOLSA S.A.</t>
  </si>
  <si>
    <t>Registro CNV</t>
  </si>
  <si>
    <t>RES. N° 69E/18 del 30 de Octubre de 2018 (actualización RES. 7E/21 del 19 de Febrero de 2021)</t>
  </si>
  <si>
    <t>Código Bolsa de Valores</t>
  </si>
  <si>
    <t>CB026</t>
  </si>
  <si>
    <t>Dirección oficina principal</t>
  </si>
  <si>
    <t>Avda. Santa Teresa y Herminio Maldonado, Torres del Paseo 2, Piso 2.</t>
  </si>
  <si>
    <t>Teléfono</t>
  </si>
  <si>
    <t>(021) 417 1101/2</t>
  </si>
  <si>
    <t>E-mail</t>
  </si>
  <si>
    <t>finanzas.itauinvest@itauinvest.com.py</t>
  </si>
  <si>
    <t>Sitio página Web</t>
  </si>
  <si>
    <t>www.itauinvest.com.py</t>
  </si>
  <si>
    <t>Domicilio legal</t>
  </si>
  <si>
    <t>ANTECEDENTES DE CONSTITUCIÓN DE LA SOCIEDAD</t>
  </si>
  <si>
    <t>Escritura N° | Fecha</t>
  </si>
  <si>
    <t>47 de fecha 18 de setiembre 2017.</t>
  </si>
  <si>
    <t>Inscripción en el Registro Público</t>
  </si>
  <si>
    <t>Nº 01 Folio 01-11 y siguientes de fecha 12 de octubre de 2017.</t>
  </si>
  <si>
    <t xml:space="preserve">Reforma de Estatutos </t>
  </si>
  <si>
    <t>01 de Octubre de 2020</t>
  </si>
  <si>
    <t>N° 544 de fecha 14 de octubre de 2020.</t>
  </si>
  <si>
    <t>N° 03 Folio 25 y siguientes de fecha 11 de enero de 2021.</t>
  </si>
  <si>
    <t>ADMINISTRACIÓN</t>
  </si>
  <si>
    <t>CARGO</t>
  </si>
  <si>
    <t>NOMBRE Y APELLIDO</t>
  </si>
  <si>
    <t>Representante(s) Legal(es)</t>
  </si>
  <si>
    <t>Directorio</t>
  </si>
  <si>
    <t>Presidente</t>
  </si>
  <si>
    <t>Director(es) Titular(es)</t>
  </si>
  <si>
    <t>Celeste Arrellaga</t>
  </si>
  <si>
    <t>José Iturbe</t>
  </si>
  <si>
    <t>Fernando Ferrari</t>
  </si>
  <si>
    <t>Fernando Barrán</t>
  </si>
  <si>
    <t>Síndico Titular</t>
  </si>
  <si>
    <t>Mario Durán</t>
  </si>
  <si>
    <t>Síndico Suplente</t>
  </si>
  <si>
    <t>Paola Masulli</t>
  </si>
  <si>
    <t>Plana Ejecutiva</t>
  </si>
  <si>
    <t>Ceo</t>
  </si>
  <si>
    <t>Head de Operaciones y TI</t>
  </si>
  <si>
    <t>Head Digital</t>
  </si>
  <si>
    <t>Maria Jose Fernandez</t>
  </si>
  <si>
    <t>Head Administracion y Finanzas</t>
  </si>
  <si>
    <t>Myriam Silva Fernández</t>
  </si>
  <si>
    <t>Head de Trading</t>
  </si>
  <si>
    <t>Silvana Maria Doldan Vigo</t>
  </si>
  <si>
    <t>Head WMS</t>
  </si>
  <si>
    <t xml:space="preserve">Jose Raul Iturbe Flecha </t>
  </si>
  <si>
    <t>Oficial de Cumplimiento</t>
  </si>
  <si>
    <t xml:space="preserve">María Laura González Palacios </t>
  </si>
  <si>
    <t>CAPITAL Y PROPIEDAD</t>
  </si>
  <si>
    <t>Capital emitido</t>
  </si>
  <si>
    <t>Capital suscripto</t>
  </si>
  <si>
    <t>Capital integrado</t>
  </si>
  <si>
    <t>Valor nominal de las acciones</t>
  </si>
  <si>
    <t>CUADRO DE CAPITAL INTEGRADO</t>
  </si>
  <si>
    <t>N°</t>
  </si>
  <si>
    <t>ACCIONISTA</t>
  </si>
  <si>
    <t>SERIE</t>
  </si>
  <si>
    <t>NÚMERO DE ACCIONES</t>
  </si>
  <si>
    <t>CANTIDAD DE ACCIONES</t>
  </si>
  <si>
    <t>CLASE</t>
  </si>
  <si>
    <t>VOTO</t>
  </si>
  <si>
    <t>MONTO</t>
  </si>
  <si>
    <t>% DE PARTICIPACIÓN DE CAPITAL INTEGRADO</t>
  </si>
  <si>
    <t>ITB Holding Brasil Participações Ltda.</t>
  </si>
  <si>
    <t>-</t>
  </si>
  <si>
    <t>1 al 54.349</t>
  </si>
  <si>
    <t>Ordinarias</t>
  </si>
  <si>
    <t>ITAÚ Consultoría de Valores Mobiliarios e Participações S.A.</t>
  </si>
  <si>
    <t>CUADRO DE CAPITAL SUSCRIPTO</t>
  </si>
  <si>
    <t>% DE PARTICIPACIÓN DE CAPITAL SUSCRIPTO</t>
  </si>
  <si>
    <t>BENEFICIARIOS FINALES</t>
  </si>
  <si>
    <t>% CAPITAL INTEGRADO</t>
  </si>
  <si>
    <t>ITB Holding Brasil Participacoes LTDA.</t>
  </si>
  <si>
    <t>Accionistas ITB Holding Brasil Participacoes LTDA.</t>
  </si>
  <si>
    <t>Itaú Unibanco S.A.</t>
  </si>
  <si>
    <t>Accionistas Itaú Unibanco S.A.</t>
  </si>
  <si>
    <t>Itaú Unibanco Holding S.A.</t>
  </si>
  <si>
    <t>Accionistas Itaú Unibanco Holding S.A.</t>
  </si>
  <si>
    <t>IUPAR - Itaú Unibanco Participacoes S.A.</t>
  </si>
  <si>
    <t>Itaúsa</t>
  </si>
  <si>
    <t>Free Float</t>
  </si>
  <si>
    <t>Accionistas IUPAR - Itaaú Unibanco Participacoes S.A.</t>
  </si>
  <si>
    <t>Cía E. Johnston de Participacoes</t>
  </si>
  <si>
    <t>Accionistas Cía E. Johnston de Participacoes - Benef. Finales Itaú Invest CBSA.</t>
  </si>
  <si>
    <t>Fernando Roberto Moreira Salles</t>
  </si>
  <si>
    <t>Joao Moreira Salles</t>
  </si>
  <si>
    <t>Pedro Moreira Salles</t>
  </si>
  <si>
    <t>Accionistas Itaúsa - Benef. Finales Itaú Invest CBSA</t>
  </si>
  <si>
    <t>* Free Float - Acciones negociadas en mercados de acceso público</t>
  </si>
  <si>
    <r>
      <t>AUDITOR EXTERNO INDEPENDIENTE</t>
    </r>
    <r>
      <rPr>
        <sz val="12"/>
        <color rgb="FF000000"/>
        <rFont val="Times New Roman"/>
        <family val="1"/>
      </rPr>
      <t xml:space="preserve"> </t>
    </r>
  </si>
  <si>
    <r>
      <t xml:space="preserve">AUDITOR EXTERNO INDEPENDIENTE DESIGNADO:    </t>
    </r>
    <r>
      <rPr>
        <sz val="12"/>
        <color rgb="FF000000"/>
        <rFont val="Times New Roman"/>
        <family val="1"/>
      </rPr>
      <t>Ernst &amp; Young  Paraguay  - Auditores y Asesores de Negocios S.R.L.</t>
    </r>
  </si>
  <si>
    <r>
      <t xml:space="preserve">NÚMERO DE INSCRIPCIÓN EN EL REGISTRO DE LA CNV:   </t>
    </r>
    <r>
      <rPr>
        <sz val="12"/>
        <color rgb="FF000000"/>
        <rFont val="Times New Roman"/>
        <family val="1"/>
      </rPr>
      <t>AE 028</t>
    </r>
  </si>
  <si>
    <t>PERSONAS VINCULADAS</t>
  </si>
  <si>
    <t>TIPO DE VÍNCULO</t>
  </si>
  <si>
    <t>Director</t>
  </si>
  <si>
    <t>Fernando Ferrani</t>
  </si>
  <si>
    <t>Mario Dido Durán</t>
  </si>
  <si>
    <t>Sindico Titular</t>
  </si>
  <si>
    <t>María Laura González</t>
  </si>
  <si>
    <t>ITAÚ Consultoría de Valores Mobiliarios e Participações S.A. (*)</t>
  </si>
  <si>
    <t>Accionista</t>
  </si>
  <si>
    <t>Banco Itaú Paraguay S.A.</t>
  </si>
  <si>
    <t>Vinculada</t>
  </si>
  <si>
    <t xml:space="preserve">Itaú Seguros Paraguay S.A. </t>
  </si>
  <si>
    <t>Itaú Asset Management A.F.P.I.S.A.</t>
  </si>
  <si>
    <t>Pont S.A</t>
  </si>
  <si>
    <t>Radice S.A.E.C.A.</t>
  </si>
  <si>
    <t>Vinculada por activos comprometidos</t>
  </si>
  <si>
    <t>Banco Nacional de Fomento</t>
  </si>
  <si>
    <t xml:space="preserve">(*) SOCIEDAD CONTROLANTE:  </t>
  </si>
  <si>
    <t xml:space="preserve">Domicilio legal: </t>
  </si>
  <si>
    <t xml:space="preserve">Pc Alfredo Egydio S Aranha, nº 100, Torre Conceição, 7º Andar, Prq Jabaquara, São Paulo\/SP </t>
  </si>
  <si>
    <r>
      <t>Participación</t>
    </r>
    <r>
      <rPr>
        <sz val="12"/>
        <color theme="1"/>
        <rFont val="Times New Roman"/>
        <family val="1"/>
      </rPr>
      <t xml:space="preserve">: </t>
    </r>
  </si>
  <si>
    <t>Actividad principal:</t>
  </si>
  <si>
    <t>Holding Financiero</t>
  </si>
  <si>
    <t>Firmado digitalmente por:</t>
  </si>
  <si>
    <t>Dahiana Gómez</t>
  </si>
  <si>
    <t>Contadora</t>
  </si>
  <si>
    <t xml:space="preserve">Celeste Arrellaga </t>
  </si>
  <si>
    <t>Directora</t>
  </si>
  <si>
    <t>HOJA DE TRABAJO</t>
  </si>
  <si>
    <t>BALANCE Y RESULTADOS</t>
  </si>
  <si>
    <t>ELIMINACIONES</t>
  </si>
  <si>
    <t>VARIACIÓN</t>
  </si>
  <si>
    <t>ACTIVIDADES DE OPERACIONES</t>
  </si>
  <si>
    <t>ACTIVIDADES DE INVERSIÓN</t>
  </si>
  <si>
    <t>ACTIVIDADES DE FINANCIAMIENTO</t>
  </si>
  <si>
    <t>CODIGO</t>
  </si>
  <si>
    <t>CUENTAS</t>
  </si>
  <si>
    <t>DEBITOS</t>
  </si>
  <si>
    <t>CRÉDITOS</t>
  </si>
  <si>
    <t>DEBITOS (CRÉDITOS)</t>
  </si>
  <si>
    <t>Ingreso en Efectivo por Comisiones y Otros</t>
  </si>
  <si>
    <t>Efectivo pagado a empleados</t>
  </si>
  <si>
    <t>Efectivo generado por otras actividades</t>
  </si>
  <si>
    <t>Fondos colocados a corto plazo</t>
  </si>
  <si>
    <t>Pago a Proveedores</t>
  </si>
  <si>
    <t>Inversiones en Otras Empresas</t>
  </si>
  <si>
    <t>Inversiones Temporarias</t>
  </si>
  <si>
    <t>Inversiones a Largo Plazo</t>
  </si>
  <si>
    <t>Fondos con Destino Especial</t>
  </si>
  <si>
    <t>Compra de Propiedad, Planta y Equipo</t>
  </si>
  <si>
    <t>Adquisición de Acciones y Titulos de Deuda (Cartera Propia)</t>
  </si>
  <si>
    <t>Intereses Percibidos</t>
  </si>
  <si>
    <t>Dividendos Percibidos</t>
  </si>
  <si>
    <t>Aporte de Capital</t>
  </si>
  <si>
    <t>Préstamos y Otras Deudas</t>
  </si>
  <si>
    <t>Dividendos Pagados</t>
  </si>
  <si>
    <t>Intereses Pagados</t>
  </si>
  <si>
    <t>DIFERENCIA DE CAMBIO</t>
  </si>
  <si>
    <t>TOTAL</t>
  </si>
  <si>
    <t>Bancos XXXXXX</t>
  </si>
  <si>
    <t xml:space="preserve"> </t>
  </si>
  <si>
    <t>Subsidio Guarderia - Gerentes y administradores</t>
  </si>
  <si>
    <t>Resultado del ejercicio</t>
  </si>
  <si>
    <t>Totales</t>
  </si>
  <si>
    <t>ÍNDICE</t>
  </si>
  <si>
    <t>BALANCE GENERAL</t>
  </si>
  <si>
    <t>(Cifras expresadas en guaraníes)</t>
  </si>
  <si>
    <t>31/12/2023 (*)</t>
  </si>
  <si>
    <t xml:space="preserve">PASIVO Y PATRIMONIO NETO </t>
  </si>
  <si>
    <t xml:space="preserve">Efectivo y equivalentes de efectivo </t>
  </si>
  <si>
    <t>(Nota 5.d)</t>
  </si>
  <si>
    <t>Pasivo por inversiones</t>
  </si>
  <si>
    <t>(Nota 5.e)</t>
  </si>
  <si>
    <t xml:space="preserve">Inversiones temporarias </t>
  </si>
  <si>
    <t xml:space="preserve">Documentos y cuentas por pagar </t>
  </si>
  <si>
    <t>(Nota 5.j)</t>
  </si>
  <si>
    <t>(Nota 5.k)</t>
  </si>
  <si>
    <t xml:space="preserve">Créditos </t>
  </si>
  <si>
    <t>(Nota 5.f)</t>
  </si>
  <si>
    <t>(Nota 5.l)</t>
  </si>
  <si>
    <t xml:space="preserve">Prestamos financieros </t>
  </si>
  <si>
    <t>(Nota 5.m)</t>
  </si>
  <si>
    <t>Otros activos</t>
  </si>
  <si>
    <t>(Nota 5.g)</t>
  </si>
  <si>
    <t xml:space="preserve">Provisiones </t>
  </si>
  <si>
    <t>(Nota 5.n)</t>
  </si>
  <si>
    <t>Impuesto a la renta a pagar</t>
  </si>
  <si>
    <t>TOTAL ACTIVO CORRIENTE</t>
  </si>
  <si>
    <t>Retención renta a pagar</t>
  </si>
  <si>
    <t xml:space="preserve">Inversiones permanentes </t>
  </si>
  <si>
    <t>Aportes y retenciones a pagar</t>
  </si>
  <si>
    <t>Otros pasivos</t>
  </si>
  <si>
    <t>(Nota 5.i)</t>
  </si>
  <si>
    <t>(Nota 5.ñ.1)</t>
  </si>
  <si>
    <t>(Nota 5.ñ.2)</t>
  </si>
  <si>
    <t>TOTAL PASIVO CORRIENTE</t>
  </si>
  <si>
    <t>TOTAL PASIVO</t>
  </si>
  <si>
    <t>(Nota 5.o)</t>
  </si>
  <si>
    <t>TOTAL ACTIVO NO CORRIENTE</t>
  </si>
  <si>
    <t>(Según el estado de variación del Patrimonio neto)</t>
  </si>
  <si>
    <t>TOTAL ACTIVO</t>
  </si>
  <si>
    <t>TOTAL PASIVO Y PATRIMONIO NETO</t>
  </si>
  <si>
    <t>(*) Reexpresado a efectos comparativos</t>
  </si>
  <si>
    <t>Las notas 1 a 11 que se acompañan forman parte integrante de los Estados Financieros</t>
  </si>
  <si>
    <t xml:space="preserve">  Contadora</t>
  </si>
  <si>
    <t>Gastos Viaje - Reemb. VINC</t>
  </si>
  <si>
    <t>Capacitación y Entrenamiento VINC</t>
  </si>
  <si>
    <t>Gourmet Card – GND</t>
  </si>
  <si>
    <t>ESTADO DE RESULTADOS</t>
  </si>
  <si>
    <t xml:space="preserve">INGRESOS OPERATIVOS </t>
  </si>
  <si>
    <t>Comisiones por operaciones fuera de rueda</t>
  </si>
  <si>
    <t>Comisiones por contratos de colocación primaria</t>
  </si>
  <si>
    <t>(Nota 5.p)</t>
  </si>
  <si>
    <t>(Nota 5.q.2)</t>
  </si>
  <si>
    <t>(Nota 5.q.3)</t>
  </si>
  <si>
    <t>GASTOS OPERATIVOS</t>
  </si>
  <si>
    <t>(Nota 5.r)</t>
  </si>
  <si>
    <t>RESULTADO OPERATIVO BRUTO</t>
  </si>
  <si>
    <t xml:space="preserve">GASTOS DE COMERCIALIZACIÓN </t>
  </si>
  <si>
    <t>Folletos e impresos</t>
  </si>
  <si>
    <t>GASTOS DE ADMINISTRACIÓN</t>
  </si>
  <si>
    <t>Otros gastos de administración</t>
  </si>
  <si>
    <t>RESULTADO OPERATIVO NETO</t>
  </si>
  <si>
    <t xml:space="preserve">OTROS INGRESOS Y EGRESOS </t>
  </si>
  <si>
    <t>(Nota 5.s)</t>
  </si>
  <si>
    <t xml:space="preserve">RESULTADOS FINANCIEROS </t>
  </si>
  <si>
    <t>(Nota 5.t)</t>
  </si>
  <si>
    <t>Generados por activos</t>
  </si>
  <si>
    <t>Generados por pasivos</t>
  </si>
  <si>
    <t xml:space="preserve">RESULTADO EXTRAORDINARIO </t>
  </si>
  <si>
    <t>RESULTADO ANTES DE IMPUESTO</t>
  </si>
  <si>
    <t>(Nota 9)</t>
  </si>
  <si>
    <t>RESULTADO DEL EJERCICIO</t>
  </si>
  <si>
    <t>(*) ciertas cifras han sido clasificadas a efectos comparativos</t>
  </si>
  <si>
    <t>ESTADO DE FLUJO DE EFECTIVO</t>
  </si>
  <si>
    <t>FLUJO DE EFECTIVO POR ACTIVIDADES OPERATIVAS</t>
  </si>
  <si>
    <t>Ingreso neto de efectivo por comisiones y otros</t>
  </si>
  <si>
    <t>Efectivo utilizado por otras actividades</t>
  </si>
  <si>
    <t>Pago a proveedores</t>
  </si>
  <si>
    <t>Efectivo neto utilizado en actividades de operación</t>
  </si>
  <si>
    <t>FLUJO DE EFECTIVO POR ACTIVIDADES DE INVERSIÓN</t>
  </si>
  <si>
    <t>Inversiones temporarias</t>
  </si>
  <si>
    <t>Compra de propiedad, planta y equipo</t>
  </si>
  <si>
    <t>Venta/adquisición neta de acciones y títulos de deuda (cartera propia)</t>
  </si>
  <si>
    <t>Intereses percibidos</t>
  </si>
  <si>
    <t>Dividendos percibidos</t>
  </si>
  <si>
    <t>Efectivo neto generado/utilizado en actividades de inversión</t>
  </si>
  <si>
    <t>FLUJO DE EFECTIVO POR ACTIVIDADES DE FINANCIAMIENTO</t>
  </si>
  <si>
    <t xml:space="preserve">Disminución/incremento de préstamos y otras deudas </t>
  </si>
  <si>
    <t>Intereses pagados netos</t>
  </si>
  <si>
    <t>Efectivo neto utilizado/generado en actividades de financiamiento</t>
  </si>
  <si>
    <t>Efecto de las variaciones en tipo de cambio</t>
  </si>
  <si>
    <t>Aumento/disminución neta de efectivo y sus equivalentes</t>
  </si>
  <si>
    <t>Efectivo y su equivalente al comienzo del ejercicio</t>
  </si>
  <si>
    <t>Efectivo y su equivalente al cierre del ejercicio</t>
  </si>
  <si>
    <t>ESTADO DE CAMBIOS EN EL PATRIMONIO NETO</t>
  </si>
  <si>
    <t>Movimientos</t>
  </si>
  <si>
    <t>CAPITAL</t>
  </si>
  <si>
    <t>PATRIMONIO 
NETO</t>
  </si>
  <si>
    <t>Suscripto</t>
  </si>
  <si>
    <t>A Integrar</t>
  </si>
  <si>
    <t>Integrado</t>
  </si>
  <si>
    <t>Legal</t>
  </si>
  <si>
    <t>Facultativa</t>
  </si>
  <si>
    <t>Revalúo</t>
  </si>
  <si>
    <t>Acumulados</t>
  </si>
  <si>
    <t>Del Ejercicio</t>
  </si>
  <si>
    <t>Saldo inicial</t>
  </si>
  <si>
    <t>Movimientos Subsecuentes</t>
  </si>
  <si>
    <t xml:space="preserve">Transferencia a resultados acumulados </t>
  </si>
  <si>
    <t>Total al 31/12/2023</t>
  </si>
  <si>
    <t>NOTAS A LOS ESTADOS FINANCIEROS</t>
  </si>
  <si>
    <t>NOTA 1.      CONSIDERACIÓN DE LOS ESTADOS FINANCIEROS</t>
  </si>
  <si>
    <t>NOTA 2.      INFORMACIÓN BÁSICA DE LA EMPRESA</t>
  </si>
  <si>
    <t>2.1  Naturaleza jurídica de las actividades de la sociedad</t>
  </si>
  <si>
    <t>Verbank Securities Casa de Bolsa S.A. (en adelante también “la Sociedad”) fue constituida por escritura pública N° 47 pasada ante la Escribana Pública Celia María Bogado de Zárate en fecha 18 de setiembre de 2017, inscripta en el Registro Público de Comercio bajo el N° 1 Folio N° 01-11 de fecha 12 de octubre de 2017 y en la Sección de Personas Jurídicas y Asociaciones bajo el N° 01 Folio N° 01 y siguientes de fecha 12 de octubre de 2017.
Los Estatutos de la Sociedad fueron modificados por la venta del total del paquete accionario concretado en fecha 1 de setiembre de 2020 adquiriendo la nueva denominación de “Itaú Invest Casa de Bolsa S.A.”; según escritura matriz N° 544 de fecha 1 de octubre de 2020, inscripta en el Registro Público de Comercio bajo el N° 03 Folio N° 25 y siguientes de fecha 11 de enero de 2021.
La Sociedad fue inscripta en el Registro de la Superintendencia de Valores (SIV),  (anteriormente denominada Comisión Nacional de Valores (CNV) bajo el Nº CB026 en fecha 30 de octubre de 2018 y en la Bolsa de Valores y Productos de Asunción S.A. (BVPASA) bajo el Nº CB026 el 12 de noviembre de 2018.
La Sociedad fue constituida para operar como Casa de Bolsa, pudiendo realizar toda actividad de intermediación de valores dispuestas en la Ley de Mercado de Valores.</t>
  </si>
  <si>
    <t>2.2) Composicion del Capital y Características de las Acciones</t>
  </si>
  <si>
    <t>La composición del capital integrado por tipos de acciones es la siguiente:</t>
  </si>
  <si>
    <t>Periodo</t>
  </si>
  <si>
    <t>Acciones suscriptas e integradas</t>
  </si>
  <si>
    <t>N° de votos que otorga cada una</t>
  </si>
  <si>
    <t>Valor nominal por acción</t>
  </si>
  <si>
    <t>Total 
integrado</t>
  </si>
  <si>
    <t>Capital autorizado</t>
  </si>
  <si>
    <t>Tipo</t>
  </si>
  <si>
    <t>Cantidad</t>
  </si>
  <si>
    <t>₲</t>
  </si>
  <si>
    <t>1 (uno)</t>
  </si>
  <si>
    <t>Al 31/12/2023</t>
  </si>
  <si>
    <t>2.3) Participación en otras empresas</t>
  </si>
  <si>
    <t>Itaú Invest Casa de Bolsa S.A. posee (1) una acción de la Bolsa de Valores y Productos de Asunción S.A., que corresponde a un requisito para operar como Casa de Bolsa en el mercado paraguayo, de acuerdo con lo establecido en la Ley 5810/17 de Mercado de Valores.</t>
  </si>
  <si>
    <t>Al cierre del Ejercicio se expone el porcentaje de participación en la Bolsa de Valores y Productos de Asunción S.A. (BVA):</t>
  </si>
  <si>
    <t>Cantidad de 
Acciones</t>
  </si>
  <si>
    <t>Cantidad de Votos</t>
  </si>
  <si>
    <t>Valor Nominal Gs.</t>
  </si>
  <si>
    <t>% de Participación</t>
  </si>
  <si>
    <t>NOTA 3.      PRINCIPALES POLÍTICAS Y PRÁCTICAS CONTABLES APLICADAS</t>
  </si>
  <si>
    <t>3.1) Bases para la preparación de los estados financieros</t>
  </si>
  <si>
    <t>A continuación, se resumen las políticas de contabilidad más significativas aplicadas por la Sociedad:</t>
  </si>
  <si>
    <t>a) Bases de contabilización</t>
  </si>
  <si>
    <t>b) Uso de estimaciones</t>
  </si>
  <si>
    <t>La preparación de los siguientes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</si>
  <si>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</si>
  <si>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a) Moneda Extranjera</t>
  </si>
  <si>
    <t>b) Inversiones temporales y permanentes</t>
  </si>
  <si>
    <t>b.1) Titulos de Deudas:</t>
  </si>
  <si>
    <t>Los instrumentos financieros de renta fija se valúan a su costo de adquisición que comprende el valor nominal más los intereses devengados a cobrar y el diferencial de precios positivo o negativo, conforme al resultado al momento de la compra. Dichos intereses y diferenciales son reconocidos en el resultado conforme se devengan, teniendo en cuenta el plazo residual de los instrumentos. Al mismo, la entidad analiza periódicamente el riesgo de crédito asociado a la calidad del emisor a fin de identificar indicadores de deterioro.</t>
  </si>
  <si>
    <t>b.2) Accion de la Bolsa de Valores  Asunción S.A. - BVA:</t>
  </si>
  <si>
    <t>Se reconoce inicialmente a su valor de incorporación y posteriormente se actualiza conforme a las disposiciones de la Superintendencia de Valores (denominada Comisión Nacional de Valores):
La acción de la bolsa de valores se mide al valor de mercado, siendo éste el último precio de transacción. El incremento neto en el valor de las acciones tiene contrapartida en el Patrimonio neto, registrado en la cuenta Superávit por revaluación de acciones, mientras que la disminución se reconoce como pérdidas en el estado de resultados.</t>
  </si>
  <si>
    <t>3.3) Política de constitución de previsiones</t>
  </si>
  <si>
    <t>Las previsiones por eventuales pérdidas derivadas de cuentas de dudoso cobro se determinan al fin de cada año sobre la base del estudio de la cartera de créditos realizado con el objeto de determinar la porción no recuperable de las cuentas a cobrar.</t>
  </si>
  <si>
    <t>3.4) Política de depreciación y amortizaciones</t>
  </si>
  <si>
    <t>3.5) Política de reconocimiento de ingresos</t>
  </si>
  <si>
    <r>
      <rPr>
        <u/>
        <sz val="12"/>
        <rFont val="Times New Roman"/>
        <family val="1"/>
      </rPr>
      <t>Intereses sobre títulos y otros valores</t>
    </r>
    <r>
      <rPr>
        <sz val="12"/>
        <rFont val="Times New Roman"/>
        <family val="1"/>
      </rPr>
      <t xml:space="preserve">: Los ingresos generados por la tenencia de títulos en cartera propia y otros valores durante el ejercicio son registrados conforme se devengan.
</t>
    </r>
    <r>
      <rPr>
        <sz val="3"/>
        <rFont val="Times New Roman"/>
        <family val="1"/>
      </rPr>
      <t xml:space="preserve">
</t>
    </r>
    <r>
      <rPr>
        <u/>
        <sz val="12"/>
        <rFont val="Times New Roman"/>
        <family val="1"/>
      </rPr>
      <t>Venta de títulos</t>
    </r>
    <r>
      <rPr>
        <sz val="12"/>
        <rFont val="Times New Roman"/>
        <family val="1"/>
      </rPr>
      <t>: Se reconoce como ingreso la diferencia de precio entre el valor de venta de un título de cartera propia y el valor en libros a la fecha de transacción.</t>
    </r>
  </si>
  <si>
    <t>3.6) Base para la preparación del Estado de flujo de efectivo</t>
  </si>
  <si>
    <r>
      <t xml:space="preserve">La base para la preparación del estado de flujo de efectivo es el método directo, con la clasificación de flujo de efectivo por actividades operativas, de inversión y de financiamiento.
</t>
    </r>
    <r>
      <rPr>
        <sz val="3"/>
        <rFont val="Times New Roman"/>
        <family val="1"/>
      </rPr>
      <t xml:space="preserve">
</t>
    </r>
    <r>
      <rPr>
        <sz val="12"/>
        <rFont val="Times New Roman"/>
        <family val="1"/>
      </rPr>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r>
  </si>
  <si>
    <t>3.7) Impuesto a la renta</t>
  </si>
  <si>
    <t>NOTA 4. CAMBIO DE POLÍTICAS Y PROCEDIMIENTOS DE CONTABILIDAD</t>
  </si>
  <si>
    <t>INVENTARIO TITULOS / VALORES - CARTERA PROPIA</t>
  </si>
  <si>
    <t>AL 30/09/2023</t>
  </si>
  <si>
    <t>Emisor</t>
  </si>
  <si>
    <t>Serie/ ISIN</t>
  </si>
  <si>
    <t>Fecha Vencimiento</t>
  </si>
  <si>
    <t>Tasa (%)</t>
  </si>
  <si>
    <t>Valor 
Nominal</t>
  </si>
  <si>
    <t>Interés a 
Cobrar</t>
  </si>
  <si>
    <t>Interés a 
Devengar</t>
  </si>
  <si>
    <t>Diferencia de Precio (+)</t>
  </si>
  <si>
    <t>Diferencia de Precio (-)</t>
  </si>
  <si>
    <t>Valor
 Contable</t>
  </si>
  <si>
    <t>Tipo de Cambio</t>
  </si>
  <si>
    <t>Valuación
 (GS)</t>
  </si>
  <si>
    <t>Fecha Última Cotización</t>
  </si>
  <si>
    <t>% Cotización</t>
  </si>
  <si>
    <t>Valor de 
Mercado</t>
  </si>
  <si>
    <t>LRM - (GS)</t>
  </si>
  <si>
    <t>BANCO CENTRAL DEL PARAGUAY</t>
  </si>
  <si>
    <t>Guaraníes</t>
  </si>
  <si>
    <t>LRM 28032025</t>
  </si>
  <si>
    <t>LRM 26012024</t>
  </si>
  <si>
    <t>LRM 27092024</t>
  </si>
  <si>
    <t>TOTALES</t>
  </si>
  <si>
    <t xml:space="preserve">CDA - (GS) </t>
  </si>
  <si>
    <t>BANCO FAMILIAR S.A.E.C.A.</t>
  </si>
  <si>
    <t>NE3052</t>
  </si>
  <si>
    <t>NE3055</t>
  </si>
  <si>
    <t>ND9447</t>
  </si>
  <si>
    <t>BANCO NACIONAL DE FOMENTO</t>
  </si>
  <si>
    <t>AA5742</t>
  </si>
  <si>
    <t>AA5743</t>
  </si>
  <si>
    <t>AA5744</t>
  </si>
  <si>
    <t>BANCO GNB PARAGUAY S.A.</t>
  </si>
  <si>
    <t>MA1732</t>
  </si>
  <si>
    <t>MA1733</t>
  </si>
  <si>
    <t xml:space="preserve">VISIÓN BANCO </t>
  </si>
  <si>
    <t>AA7855</t>
  </si>
  <si>
    <t>AA7856</t>
  </si>
  <si>
    <t>AA5671</t>
  </si>
  <si>
    <t>AA5672</t>
  </si>
  <si>
    <t>BANCO CONTINENTAL S.A.E.CA</t>
  </si>
  <si>
    <t>AJ7428</t>
  </si>
  <si>
    <t>AJ7429</t>
  </si>
  <si>
    <t>FINANCIERA PARAGUAYO JAPONESA</t>
  </si>
  <si>
    <t>AB5267</t>
  </si>
  <si>
    <t>AB5268</t>
  </si>
  <si>
    <t>AB5269</t>
  </si>
  <si>
    <t>AB5270</t>
  </si>
  <si>
    <t>AB5271</t>
  </si>
  <si>
    <t>AB5273</t>
  </si>
  <si>
    <t>AB5274</t>
  </si>
  <si>
    <t>AB5275</t>
  </si>
  <si>
    <t>BANCOP S.A.</t>
  </si>
  <si>
    <t>AA2716</t>
  </si>
  <si>
    <t>AA2717</t>
  </si>
  <si>
    <t>TU FINANCIERA S.A.E.C.A</t>
  </si>
  <si>
    <t>AA8797</t>
  </si>
  <si>
    <t>AA8798</t>
  </si>
  <si>
    <t>AA8799</t>
  </si>
  <si>
    <t>AA8800</t>
  </si>
  <si>
    <t>AA8801</t>
  </si>
  <si>
    <t>FINANCIERA FIC S.A.E.C.A.</t>
  </si>
  <si>
    <t>AA 1331</t>
  </si>
  <si>
    <t>FINEXPAR S.A.E.C.A.</t>
  </si>
  <si>
    <t>AA6513</t>
  </si>
  <si>
    <t>AA6275</t>
  </si>
  <si>
    <t>AA6276</t>
  </si>
  <si>
    <t>AA6277</t>
  </si>
  <si>
    <t>AA6278</t>
  </si>
  <si>
    <t>AA6279</t>
  </si>
  <si>
    <t>AA6280</t>
  </si>
  <si>
    <t>AA6281</t>
  </si>
  <si>
    <t>AA6282</t>
  </si>
  <si>
    <t>AA6283</t>
  </si>
  <si>
    <t>AA6307</t>
  </si>
  <si>
    <t>AA6308</t>
  </si>
  <si>
    <t>AA6309</t>
  </si>
  <si>
    <t>AA6310</t>
  </si>
  <si>
    <t>AA6311</t>
  </si>
  <si>
    <t>AA6312</t>
  </si>
  <si>
    <t>AA6313</t>
  </si>
  <si>
    <t>AA6314</t>
  </si>
  <si>
    <t>AA6315</t>
  </si>
  <si>
    <t>AA6316</t>
  </si>
  <si>
    <t>AA6317</t>
  </si>
  <si>
    <t>AA6318</t>
  </si>
  <si>
    <t>AA6319</t>
  </si>
  <si>
    <t>AA6320</t>
  </si>
  <si>
    <t>AA6321</t>
  </si>
  <si>
    <t>AA6322</t>
  </si>
  <si>
    <t>AA6323</t>
  </si>
  <si>
    <t>AA6324</t>
  </si>
  <si>
    <t>AA6325</t>
  </si>
  <si>
    <t>AA6326</t>
  </si>
  <si>
    <t>AA6327</t>
  </si>
  <si>
    <t>AA6328</t>
  </si>
  <si>
    <t>AA6329</t>
  </si>
  <si>
    <t>AB5614</t>
  </si>
  <si>
    <t>AB5615</t>
  </si>
  <si>
    <t>AB5616</t>
  </si>
  <si>
    <t>AB5617</t>
  </si>
  <si>
    <t>AB5618</t>
  </si>
  <si>
    <t>AB5619</t>
  </si>
  <si>
    <t>AB5620</t>
  </si>
  <si>
    <t>AB5621</t>
  </si>
  <si>
    <t>AB5622</t>
  </si>
  <si>
    <t>AB5623</t>
  </si>
  <si>
    <t>AB5624</t>
  </si>
  <si>
    <t>AB5625</t>
  </si>
  <si>
    <t>AB5626</t>
  </si>
  <si>
    <t>AB5627</t>
  </si>
  <si>
    <t>AB5628</t>
  </si>
  <si>
    <t>CDA (GS) - VINCULADAS</t>
  </si>
  <si>
    <t>BANCO ITAÚ PARAGUAY S.A.</t>
  </si>
  <si>
    <t>BD1600</t>
  </si>
  <si>
    <t>BD2240</t>
  </si>
  <si>
    <t>BC8171</t>
  </si>
  <si>
    <t>BONOS FINANCIEROS - (GS)</t>
  </si>
  <si>
    <t>FINANCIERA FINEXPAR S.A.E.C.A.</t>
  </si>
  <si>
    <t>PYFIN01F5172</t>
  </si>
  <si>
    <t>PYFAM08F6115</t>
  </si>
  <si>
    <t>BONOS PÚBLICOS - (GS)</t>
  </si>
  <si>
    <t>AGENCIA FINANCIERA DE DESARROLLO</t>
  </si>
  <si>
    <t>PYAFD05F5624</t>
  </si>
  <si>
    <t>MINISTERIO DE HACIENDA</t>
  </si>
  <si>
    <t>PYTNA01F1249</t>
  </si>
  <si>
    <t>BONOS CORPORATIVOS - (GS)</t>
  </si>
  <si>
    <t>NÚCLEO S.A</t>
  </si>
  <si>
    <t>PYNUC01F9189</t>
  </si>
  <si>
    <t>TELECEL S.A.E.</t>
  </si>
  <si>
    <t>PYTEL01F9356</t>
  </si>
  <si>
    <t>COMFAR S.A</t>
  </si>
  <si>
    <t>PYCMF06F6230</t>
  </si>
  <si>
    <t>ACCIONES - (GS)</t>
  </si>
  <si>
    <t>SUDAMERIS BANK SAECA</t>
  </si>
  <si>
    <t>PYSUDP0V3878</t>
  </si>
  <si>
    <t>TOTAL TITULOS/VALORES EN CARTERA - GS</t>
  </si>
  <si>
    <t xml:space="preserve">CDA - (USD) </t>
  </si>
  <si>
    <t>Dólares</t>
  </si>
  <si>
    <t>BB0855</t>
  </si>
  <si>
    <t>BB0856</t>
  </si>
  <si>
    <t>AA2935</t>
  </si>
  <si>
    <t>AA2936</t>
  </si>
  <si>
    <t>AA2941</t>
  </si>
  <si>
    <t>BW0360</t>
  </si>
  <si>
    <t>BW0447</t>
  </si>
  <si>
    <t>BONOS FINANCIERROS - (USD)</t>
  </si>
  <si>
    <t>SUDAMERIS BANK S.A.E.C.A.</t>
  </si>
  <si>
    <t>PYREG04F9493</t>
  </si>
  <si>
    <t>BONOS CORPORATIVOS - (USD)</t>
  </si>
  <si>
    <t>RADICE S.A.E.C.A.</t>
  </si>
  <si>
    <t>PYRAD01F2506</t>
  </si>
  <si>
    <t>PYRAD03F2611</t>
  </si>
  <si>
    <t>PYRAD02F2604</t>
  </si>
  <si>
    <t>TOTAL TITULOS/VALORES EN CARTERA - USD</t>
  </si>
  <si>
    <t>Vto. Reporto</t>
  </si>
  <si>
    <t>Diferencia de Precios (+)</t>
  </si>
  <si>
    <t>Diferencia de Precios (-)</t>
  </si>
  <si>
    <t>Monto 
Invertido</t>
  </si>
  <si>
    <t>Prima</t>
  </si>
  <si>
    <t>Prima a Devengar</t>
  </si>
  <si>
    <t>Guaranies</t>
  </si>
  <si>
    <t>PYTNA02F1255</t>
  </si>
  <si>
    <t>TOTAL TITULOS/VALORES EN REPORTO - GS</t>
  </si>
  <si>
    <t>Valor Nominal</t>
  </si>
  <si>
    <t>Interés a Cobrar</t>
  </si>
  <si>
    <t>Interés a Devengar</t>
  </si>
  <si>
    <t>Monto Invertido</t>
  </si>
  <si>
    <t>Prima a 
Devengar</t>
  </si>
  <si>
    <t>PYRAD02F2611</t>
  </si>
  <si>
    <t>TOTAL TITULOS/VALORES EN REPORTO - USD</t>
  </si>
  <si>
    <t>BANCO ITAÚ PARAGUAY S.A</t>
  </si>
  <si>
    <t>PYTAU04F1932</t>
  </si>
  <si>
    <t>BOLSA DE VALORES Y PRODUCTOS DE ASUNCION S.A.</t>
  </si>
  <si>
    <t>PYBVPO1V9339</t>
  </si>
  <si>
    <t>TOTAL TITULOS/VALORES RESTRINGIDOS - GS</t>
  </si>
  <si>
    <t>INVENTARIO DE TITULOS / VALORES  RENTA FIJA</t>
  </si>
  <si>
    <t>Tipo de 
Cambio</t>
  </si>
  <si>
    <t>Valor Contable Activo sin Dif (-)</t>
  </si>
  <si>
    <t>Valor Contable Activo con Dif (-)</t>
  </si>
  <si>
    <t>Valor Contable</t>
  </si>
  <si>
    <t>LETRAS DE REGULACIÓN MONETARIA</t>
  </si>
  <si>
    <t>LRM 30052025</t>
  </si>
  <si>
    <t>BONOS BURSÁTILES CORTO PLAZO</t>
  </si>
  <si>
    <t>BONOS PÚBLICOS</t>
  </si>
  <si>
    <t>PYTNA01F4482</t>
  </si>
  <si>
    <t>CDA GS</t>
  </si>
  <si>
    <t>AA7278</t>
  </si>
  <si>
    <t>AA7279</t>
  </si>
  <si>
    <t>AA7280</t>
  </si>
  <si>
    <t>AA7281</t>
  </si>
  <si>
    <t>AA7282</t>
  </si>
  <si>
    <t>AA7283</t>
  </si>
  <si>
    <t>AA7284</t>
  </si>
  <si>
    <t>AA7285</t>
  </si>
  <si>
    <t>AA7286</t>
  </si>
  <si>
    <t>AA3352</t>
  </si>
  <si>
    <t>BANCO CONTINENTAL SAECA</t>
  </si>
  <si>
    <t>DA9118</t>
  </si>
  <si>
    <t>AEMITIRTUFI6</t>
  </si>
  <si>
    <t>AEMITIRTUFI7</t>
  </si>
  <si>
    <t>BANCO ATLAS S.A.</t>
  </si>
  <si>
    <t>SOLAR BANCO</t>
  </si>
  <si>
    <t>AEMITIR4</t>
  </si>
  <si>
    <t>BONOS FINANCIEROS GS</t>
  </si>
  <si>
    <t>PYFIN02F6500</t>
  </si>
  <si>
    <t>PYFAM09F6122</t>
  </si>
  <si>
    <t>PYFAM02F7986</t>
  </si>
  <si>
    <t>PYFAM01F7979</t>
  </si>
  <si>
    <t>BONOS FINANCIEROS GS VINC</t>
  </si>
  <si>
    <t>PYTAU03F1784</t>
  </si>
  <si>
    <t>BONOS CORPORATIVOS GS</t>
  </si>
  <si>
    <t>PYTEL03F9370</t>
  </si>
  <si>
    <t>TOTAL TITULOS/VALORES EN CARTERA  GS</t>
  </si>
  <si>
    <t>CDA USD</t>
  </si>
  <si>
    <t>BB1414</t>
  </si>
  <si>
    <t>BB1594</t>
  </si>
  <si>
    <t>BB1432</t>
  </si>
  <si>
    <t>BB1433</t>
  </si>
  <si>
    <t>BB1434</t>
  </si>
  <si>
    <t>TOTAL TITULOS/VALORES EN CARTERA  USD</t>
  </si>
  <si>
    <t>CDAs - (GS) Restringido</t>
  </si>
  <si>
    <t>Fecha Emisión</t>
  </si>
  <si>
    <t>AA7277</t>
  </si>
  <si>
    <t xml:space="preserve">AA7287 </t>
  </si>
  <si>
    <t>TOTAL TITULOS/VALORES EN CARTERA - GS Restringidos</t>
  </si>
  <si>
    <t xml:space="preserve">Revaluación </t>
  </si>
  <si>
    <t>Bolsa de Valores y Productos de Asuncion S.A.</t>
  </si>
  <si>
    <t>TOTAL ACCIONES EN LA BVPASA</t>
  </si>
  <si>
    <t>Alta Reporto</t>
  </si>
  <si>
    <t>Vto. 
Reporto</t>
  </si>
  <si>
    <t>Tasa 
(%)</t>
  </si>
  <si>
    <t>Interés a
Devengar</t>
  </si>
  <si>
    <t>Prima a 
Pagar</t>
  </si>
  <si>
    <t>TC</t>
  </si>
  <si>
    <t>Riesgo</t>
  </si>
  <si>
    <t>Rating BIPY</t>
  </si>
  <si>
    <t>Fecha 
Emisión</t>
  </si>
  <si>
    <t>ACCIONES PREFERIDAS - GS</t>
  </si>
  <si>
    <t>Ba5 - Ba6</t>
  </si>
  <si>
    <t>INVENTARIO DE TITULOS / VALORES - RENTA FIJA "AFS" (Available For Sale)</t>
  </si>
  <si>
    <t>PYTNA02F4499</t>
  </si>
  <si>
    <t>PYAFD02F2970</t>
  </si>
  <si>
    <t>AA5756</t>
  </si>
  <si>
    <t>AA5757</t>
  </si>
  <si>
    <t>AA5758</t>
  </si>
  <si>
    <t>AA5759</t>
  </si>
  <si>
    <t>AA5760</t>
  </si>
  <si>
    <t>AA5761</t>
  </si>
  <si>
    <t>AA6604</t>
  </si>
  <si>
    <t>AA6605</t>
  </si>
  <si>
    <t>AA6606</t>
  </si>
  <si>
    <t>AA6607</t>
  </si>
  <si>
    <t>AA6608</t>
  </si>
  <si>
    <t>AA6643</t>
  </si>
  <si>
    <t>AA6644</t>
  </si>
  <si>
    <t>AA6645</t>
  </si>
  <si>
    <t>AA6646</t>
  </si>
  <si>
    <t>AA6647</t>
  </si>
  <si>
    <t>AA6648</t>
  </si>
  <si>
    <t>AA6657</t>
  </si>
  <si>
    <t>AA6658</t>
  </si>
  <si>
    <t>AA6659</t>
  </si>
  <si>
    <t>AA6660</t>
  </si>
  <si>
    <t>AA6661</t>
  </si>
  <si>
    <t>AA6662</t>
  </si>
  <si>
    <t>AA6663</t>
  </si>
  <si>
    <t>AA6664</t>
  </si>
  <si>
    <t>AA6758</t>
  </si>
  <si>
    <t>AA6759</t>
  </si>
  <si>
    <t>AA6760</t>
  </si>
  <si>
    <t>AA 6792</t>
  </si>
  <si>
    <t>AA 6793</t>
  </si>
  <si>
    <t>AA 6794</t>
  </si>
  <si>
    <t>AA 6795</t>
  </si>
  <si>
    <t>AA 6831</t>
  </si>
  <si>
    <t>AA 6832</t>
  </si>
  <si>
    <t>AA 6833</t>
  </si>
  <si>
    <t>AA 6834</t>
  </si>
  <si>
    <t>AA 6835</t>
  </si>
  <si>
    <t>AA 6836</t>
  </si>
  <si>
    <t>AA 6837</t>
  </si>
  <si>
    <t>AA 6838</t>
  </si>
  <si>
    <t>AA 6839</t>
  </si>
  <si>
    <t>AA 6840</t>
  </si>
  <si>
    <t>AA 6841</t>
  </si>
  <si>
    <t>AA 6842</t>
  </si>
  <si>
    <t>AA 6843</t>
  </si>
  <si>
    <t>AN3255</t>
  </si>
  <si>
    <t>DC0818</t>
  </si>
  <si>
    <t>DC0819</t>
  </si>
  <si>
    <t>DC0820</t>
  </si>
  <si>
    <t>DC0821</t>
  </si>
  <si>
    <t>DC0822</t>
  </si>
  <si>
    <t>AR2047</t>
  </si>
  <si>
    <t>AA8174</t>
  </si>
  <si>
    <t>AB8175</t>
  </si>
  <si>
    <t>AB8179</t>
  </si>
  <si>
    <t>NÚCLEO S.A.</t>
  </si>
  <si>
    <t>PYNUC05F1356</t>
  </si>
  <si>
    <t>TOTAL TITULOS/VALORES EN CARTERA AFS - GS</t>
  </si>
  <si>
    <t>NOTA 5. INFORMACIÓN REFERENTE A LOS PRINCIPALES ACTIVOS, PASIVOS, RESULTADOS Y CRITERIOS ESPECÍFICOS DE VALUACIÓN</t>
  </si>
  <si>
    <t>5.e )      Inversiones</t>
  </si>
  <si>
    <t>INFORMACIÓN SOBRE EL DOCUMENTO Y EMISOR</t>
  </si>
  <si>
    <t>INFORMACIÓN SOBRE EL EMISOR A LA FECHA DE LA ÚLTIMA PUBLICACIÓN DISPONIBLE</t>
  </si>
  <si>
    <t>EMISOR</t>
  </si>
  <si>
    <t>TIPO DE 
TITULO</t>
  </si>
  <si>
    <t>CANTIDAD DE TITULOS</t>
  </si>
  <si>
    <t>VALOR NOMINAL UNITARIO</t>
  </si>
  <si>
    <t>VALOR  
CONTABLE ACTIVO</t>
  </si>
  <si>
    <t>VALOR 
CONTABLE PASIVO</t>
  </si>
  <si>
    <t>VALOR 
CONTABLE</t>
  </si>
  <si>
    <t>RESULTADO</t>
  </si>
  <si>
    <t>Títulos de Renta Variable en Cartera</t>
  </si>
  <si>
    <t>N/A</t>
  </si>
  <si>
    <t>Bonos Financieros- Vinculadas</t>
  </si>
  <si>
    <t>Títulos de Renta Fija - AFS</t>
  </si>
  <si>
    <t>Previsión s/ Bonos Corporativos</t>
  </si>
  <si>
    <t>Previsiones s/ Títulos de Renta Fija en Reporto</t>
  </si>
  <si>
    <t>Control AFS</t>
  </si>
  <si>
    <t>Total al 31/12/2023 (*)</t>
  </si>
  <si>
    <t>VALOR DE 
COSTO</t>
  </si>
  <si>
    <t>VALOR NOMINAL
 UNITARIO</t>
  </si>
  <si>
    <t>VALOR DE COTIZACION (**)</t>
  </si>
  <si>
    <t>Previsión s/ Bonos Corporativos en Repo</t>
  </si>
  <si>
    <t>(**) Valor no disponible debido a que los instrumentos financieros no cuentan con mercado activo referencial.</t>
  </si>
  <si>
    <t>ACCIÓN EN LA BOLSA DE VALORES</t>
  </si>
  <si>
    <t>CANTIDAD</t>
  </si>
  <si>
    <t>VALOR NOMINAL</t>
  </si>
  <si>
    <t>VALOR DE MERCADO</t>
  </si>
  <si>
    <t xml:space="preserve"> 1 (una) </t>
  </si>
  <si>
    <t>Total Inversiones por Entidad</t>
  </si>
  <si>
    <t>%</t>
  </si>
  <si>
    <t>Activo Neto</t>
  </si>
  <si>
    <t>BANCO CONTINENTAL S.A.E.C.A</t>
  </si>
  <si>
    <t>FIC S.A. DE FINANZAS</t>
  </si>
  <si>
    <t>HILAGRO S.A</t>
  </si>
  <si>
    <t>INDEX S.A.C.I.</t>
  </si>
  <si>
    <t>COMFAR S.A.E.C.A.</t>
  </si>
  <si>
    <t>KUROSU &amp; CÍA. S.A.</t>
  </si>
  <si>
    <t>BANCO ATLAS</t>
  </si>
  <si>
    <t>SUDAMERIS BANK</t>
  </si>
  <si>
    <t>Total Renta AFS</t>
  </si>
  <si>
    <t>Check</t>
  </si>
  <si>
    <t>Dif.</t>
  </si>
  <si>
    <t>5.a) Valuación en moneda extranjera</t>
  </si>
  <si>
    <t>Las partidas de activos y pasivos en moneda extranjera fueron valuadas al tipo de cambio de cierre proporcionado por la Dirección Nacional de Ingresos Tributarios (DNIT), hasta el mes de diciembre del 2023, el cual no difiere significativamente respecto del vigente en el mercado libre de cambios, y de acuerdo a la Resolución SV. SG.N° 00003/2024  desde el 01 de enero del 2024 se considera la cotización Referencial Mensual, publicada por el Banco Central del Paraguay.</t>
  </si>
  <si>
    <t>Dólar Estadounidense</t>
  </si>
  <si>
    <t>Ejercicio
Anterior al 31/12/2023</t>
  </si>
  <si>
    <t>Tipo de Cambio para Activos - Comprador</t>
  </si>
  <si>
    <t>Tipo de Cambio para Pasivos - Vendedor</t>
  </si>
  <si>
    <t>5.b) Posición en moneda extranjera</t>
  </si>
  <si>
    <t>La posición de activos y pasivos en moneda extranjera al cierre del ejercicio es la siguiente:</t>
  </si>
  <si>
    <t xml:space="preserve">Activos y pasivos en moneda extranjera </t>
  </si>
  <si>
    <t>Detalle</t>
  </si>
  <si>
    <t>Moneda extranjera</t>
  </si>
  <si>
    <t>Tipo de cambio</t>
  </si>
  <si>
    <t>Saldo al 31/12/2023</t>
  </si>
  <si>
    <t>Clase</t>
  </si>
  <si>
    <t>Monto</t>
  </si>
  <si>
    <t>ACTIVO CORRIENTES</t>
  </si>
  <si>
    <t>Disponibilidades</t>
  </si>
  <si>
    <t>U$S</t>
  </si>
  <si>
    <t>Créditos</t>
  </si>
  <si>
    <t>Deudores por Intermediación</t>
  </si>
  <si>
    <t>Otros activos corrientes</t>
  </si>
  <si>
    <t>Certificados de Depósito de Ahorro</t>
  </si>
  <si>
    <t>Intereses a cobrar</t>
  </si>
  <si>
    <t>Intereses a devengar</t>
  </si>
  <si>
    <t>Diferencias de precio (-)</t>
  </si>
  <si>
    <t>Diferencias de precio (+)</t>
  </si>
  <si>
    <t>Deudores por Titulos Renta Fija en Reporto</t>
  </si>
  <si>
    <t>Intereses a Cobrar – Titulos en Reporto</t>
  </si>
  <si>
    <t>Intereses a Devengar – Titulos en Reporto</t>
  </si>
  <si>
    <t>Diferencias de Precio (-) Titulos en Reporto</t>
  </si>
  <si>
    <t>Diferencias de Precio (+) Titulos en Reporto</t>
  </si>
  <si>
    <t>TOTAL ACTIVOS</t>
  </si>
  <si>
    <t>PASIVOS CORRIENTES</t>
  </si>
  <si>
    <t>Acreedores varios</t>
  </si>
  <si>
    <t>Préstamos Financieros</t>
  </si>
  <si>
    <t>Sobregiro en Cuenta Corriente</t>
  </si>
  <si>
    <t>Fondos de Garantía a pagar</t>
  </si>
  <si>
    <t>Deudas con terceros por operaciones de Reporto</t>
  </si>
  <si>
    <t>POSICIÓN NETA</t>
  </si>
  <si>
    <t>5.c) Diferencia de cambio en moneda extranjera</t>
  </si>
  <si>
    <t>Concepto</t>
  </si>
  <si>
    <t>Monto ajustado</t>
  </si>
  <si>
    <r>
      <t xml:space="preserve"> </t>
    </r>
    <r>
      <rPr>
        <sz val="12"/>
        <color rgb="FFFFFFFF"/>
        <rFont val="Times New Roman"/>
        <family val="1"/>
      </rPr>
      <t>₲</t>
    </r>
  </si>
  <si>
    <t xml:space="preserve"> al 31/12/2023</t>
  </si>
  <si>
    <t>Ganancias por valuación de activos monetarios en moneda extranjera</t>
  </si>
  <si>
    <t>Ganancias por valuación de pasivos monetarios en moneda extranjera</t>
  </si>
  <si>
    <t>Total Ganancias por valuación en moneda extranjera</t>
  </si>
  <si>
    <t>Pérdidas por valuación de activos monetarios en moneda 
extranjera</t>
  </si>
  <si>
    <t>Pérdidas por valuación de pasivos monetarios en moneda extranjera</t>
  </si>
  <si>
    <t>Total Pérdidas por valuación en moneda extranjera</t>
  </si>
  <si>
    <t>RESULTADO NETO POR VALUACIÓN</t>
  </si>
  <si>
    <t>5.d) Efectivo y equivalentes de efectivo</t>
  </si>
  <si>
    <t>El rubro disponibilidades está compuesto por las siguientes cuentas:</t>
  </si>
  <si>
    <t>Fondos Propios</t>
  </si>
  <si>
    <t>Bancos - Cuentas Clearing</t>
  </si>
  <si>
    <t>Banco Itaú Cta Cte  ₲ N° 10115189/2</t>
  </si>
  <si>
    <t>Banco Itaú Cta Cte U$S N° 15000956/0</t>
  </si>
  <si>
    <t xml:space="preserve">Banco Itaú Cta Cte U$S N° 450001512 </t>
  </si>
  <si>
    <t>Bancos - Cuentas Administración</t>
  </si>
  <si>
    <t>Banco Itaú Cta Cte U$S N° 45000064/1</t>
  </si>
  <si>
    <t>Banco Itaú Cta Cte  ₲ N° 40000265/4</t>
  </si>
  <si>
    <t>Bancos - Cuentas de Cartera Propia</t>
  </si>
  <si>
    <t>Banco Itaú Cta Cte  ₲ N° 400002799</t>
  </si>
  <si>
    <t>Banco GNB Cta Cte. 2101053039</t>
  </si>
  <si>
    <t>Banco Familiar Cta Cte. 3209778</t>
  </si>
  <si>
    <t>Banco Continental Cta. Cte. 0133150706</t>
  </si>
  <si>
    <t>Banco GNB Cta Cte.  2101053020</t>
  </si>
  <si>
    <t>Banco Familiar Cta Cte  ₲. N° 002674157</t>
  </si>
  <si>
    <t>Banco Continental Cta. Cte. 0142945305</t>
  </si>
  <si>
    <t>Banco Itaú Cta Cte U$S N° 450000686</t>
  </si>
  <si>
    <t>Banco GNB Cta Cte. 12902740</t>
  </si>
  <si>
    <t>Banco Citicenter Cta Cte. 500033053</t>
  </si>
  <si>
    <t>5.f )      Créditos</t>
  </si>
  <si>
    <t>A continuación, la composición:</t>
  </si>
  <si>
    <t>CONCEPTO</t>
  </si>
  <si>
    <t>CORTO PLAZO</t>
  </si>
  <si>
    <t>LARGO PLAZO</t>
  </si>
  <si>
    <t>Cuentas a cobrar personas y empresas relacionadas</t>
  </si>
  <si>
    <t>Comisiones por distribución de fondos de IAM U$S</t>
  </si>
  <si>
    <t>Comisiones por servicio de custodia - ISPy U$S</t>
  </si>
  <si>
    <t>5.g)      Otros activos corrientes y no corrientes</t>
  </si>
  <si>
    <t>A continuación, se detalla la composición:</t>
  </si>
  <si>
    <t>CORRIENTE</t>
  </si>
  <si>
    <t>NO CORRIENTE</t>
  </si>
  <si>
    <t>Anticipo impuesto a la renta</t>
  </si>
  <si>
    <t>Seguros privados pagados por adelantado</t>
  </si>
  <si>
    <t>5.h)      Bienes de Uso</t>
  </si>
  <si>
    <t xml:space="preserve">              No aplica</t>
  </si>
  <si>
    <t>5.i)      Activos intangibles y cargos diferidos</t>
  </si>
  <si>
    <t>Saldo 
Inicial</t>
  </si>
  <si>
    <t>Aumentos</t>
  </si>
  <si>
    <t>Bajas</t>
  </si>
  <si>
    <t>Amortizacion del ejercicio</t>
  </si>
  <si>
    <t>Saldo Neto 
Final</t>
  </si>
  <si>
    <t>Licencias informáticas</t>
  </si>
  <si>
    <t>Implementación de software</t>
  </si>
  <si>
    <t>Programas informáticos</t>
  </si>
  <si>
    <t>5.j)      Acreedores por intermediación</t>
  </si>
  <si>
    <t>Operaciones a liquidar fondos internacionales U$S</t>
  </si>
  <si>
    <t>5.k)      Acreedores Varios</t>
  </si>
  <si>
    <t>Proveedores del exterior U$S</t>
  </si>
  <si>
    <t>Proveedores locales ₲</t>
  </si>
  <si>
    <t>Proveedores locales U$S</t>
  </si>
  <si>
    <t>5.l)      Cuentas por pagar a personas y empresas relacionadas</t>
  </si>
  <si>
    <t>NOMBRE</t>
  </si>
  <si>
    <t>RELACION</t>
  </si>
  <si>
    <t>TIPO DE OPERACIÓN</t>
  </si>
  <si>
    <t>ANTIGÜEDAD DE LA DEUDA</t>
  </si>
  <si>
    <t>VENCIMIENTO</t>
  </si>
  <si>
    <t>Vinculada por accionistas en común</t>
  </si>
  <si>
    <t>Cuentas por pagar Tarjeta de Crédito</t>
  </si>
  <si>
    <t>Otras cuentas por pagar</t>
  </si>
  <si>
    <t>5.m)     Sobregiro en cuenta corriente</t>
  </si>
  <si>
    <t>Sobregiro en cta. cte. N° 799</t>
  </si>
  <si>
    <t xml:space="preserve">Sobregiro en cta. cte. N° 686 </t>
  </si>
  <si>
    <t>Sobregiro en cta. cte. N° 241</t>
  </si>
  <si>
    <t>5.n)     Provisiones</t>
  </si>
  <si>
    <t xml:space="preserve">5.ñ)      Otros pasivos </t>
  </si>
  <si>
    <t>5.ñ.1 - Otros Pasivos Corrientes</t>
  </si>
  <si>
    <t>Aguinaldos por pagar</t>
  </si>
  <si>
    <t>Sueldos y jornales a pagar</t>
  </si>
  <si>
    <t>Retribuciones especiales a pagar</t>
  </si>
  <si>
    <t>Auditoria externa</t>
  </si>
  <si>
    <t>Anticipo de clientes</t>
  </si>
  <si>
    <t>5.ñ.2 - Deudas con terceros por operaciones de Reporto</t>
  </si>
  <si>
    <t>5.o)      Patrimonio neto</t>
  </si>
  <si>
    <t>El movimiento del patrimonio neto de la Sociedad es el siguiente:</t>
  </si>
  <si>
    <t>SALDO AL INICIO DEL EJERCICIO</t>
  </si>
  <si>
    <t>AUMENTOS</t>
  </si>
  <si>
    <t>DISMINUCIÓN</t>
  </si>
  <si>
    <t>SALDO AL CIERRE DEL EJERCICIO</t>
  </si>
  <si>
    <t>Resultados acumulados</t>
  </si>
  <si>
    <t>Resultados del ejercicio</t>
  </si>
  <si>
    <t>5.p)      Saldos y transacciones con partes relacionadas</t>
  </si>
  <si>
    <t>SALDOS</t>
  </si>
  <si>
    <t>Cuenta Corriente</t>
  </si>
  <si>
    <t>Banco Cuenta AllFunds</t>
  </si>
  <si>
    <t>Itaú Seguros Paraguay S.A.</t>
  </si>
  <si>
    <t>Cuentas a Cobrar</t>
  </si>
  <si>
    <t>Inversíón en Bonos</t>
  </si>
  <si>
    <t>Inversión en CDA</t>
  </si>
  <si>
    <t>Inversión permanente</t>
  </si>
  <si>
    <t>Saldos y transacciones con partes relacionadas</t>
  </si>
  <si>
    <t>Inversión en Bonos</t>
  </si>
  <si>
    <t>Banco Nacional del Fomento</t>
  </si>
  <si>
    <t>Total Activo</t>
  </si>
  <si>
    <t>Total Pasivo</t>
  </si>
  <si>
    <t>Resultado con empresas vinculadas</t>
  </si>
  <si>
    <t>PERSONA O EMPRESA VINCULADA</t>
  </si>
  <si>
    <t>Banco Itaú Paraguay S.A. - Vinculada – Art. 42 Ley 5.810</t>
  </si>
  <si>
    <t>Comisiones por caución bursátil</t>
  </si>
  <si>
    <t>Comisión por colocación</t>
  </si>
  <si>
    <t>Aranceles Cobrados - BVPASA</t>
  </si>
  <si>
    <t>Fondo de Garantía - BVPASA</t>
  </si>
  <si>
    <t>Comisión por consulta de saldos</t>
  </si>
  <si>
    <t>Itaú Seguros Paraguay S.A. - Vinculada – Art. 42 Ley 5.810</t>
  </si>
  <si>
    <t>Comisiones por intermediación de Renta Fija</t>
  </si>
  <si>
    <t>Comisión por Custodia de Valores</t>
  </si>
  <si>
    <t>Itaú Asset Management AFPISA – Art. 42 Ley 5.810</t>
  </si>
  <si>
    <t>Comisión por Servicio de Cumplimiento</t>
  </si>
  <si>
    <t>Pont S.A.– Art. 42 Ley 5.810</t>
  </si>
  <si>
    <t>Comisión por intermediación de renta fija</t>
  </si>
  <si>
    <t>Total Ingresos por operaciones y servicios a personas vinculadas- Empresas vinculadas por accionistas en común</t>
  </si>
  <si>
    <t xml:space="preserve">Banco Itaú Asset Management AFPISA - Vinculada </t>
  </si>
  <si>
    <t>CDA - IAM</t>
  </si>
  <si>
    <t>CDA - Fondo Mutuo IAM Renta Fija</t>
  </si>
  <si>
    <t>Total Ingresos por venta de cartera a personas vinculadas- Empresas vinculadas por accionistas en común</t>
  </si>
  <si>
    <t>Total Ingresos - Empresas vinculadas por accionistas en común</t>
  </si>
  <si>
    <t>Banco Nacional de Fomento – Art. 3 Res. CNV CG N° 6 /19</t>
  </si>
  <si>
    <t>Radice S.A.E.C.A. – Art. 3 Res. CNV CG N° 6 /19</t>
  </si>
  <si>
    <t>Comisiones por Contratos de Colocación</t>
  </si>
  <si>
    <t>Sudameris Bank S.A.E.C.A. - Art. 3 Res. CNV CG N° 35/23</t>
  </si>
  <si>
    <t>Sucess Fee - Emisión Primaria</t>
  </si>
  <si>
    <t>Total Ingresos -Empresas vinculadas por activos comprometidos</t>
  </si>
  <si>
    <t>TOTAL INGRESOS</t>
  </si>
  <si>
    <t>Comisiones por servicio de custodia</t>
  </si>
  <si>
    <t xml:space="preserve">Personas Vinculadas </t>
  </si>
  <si>
    <t>TOTAL EGRESOS</t>
  </si>
  <si>
    <t>(*)Reexpresados a efectos comparativos</t>
  </si>
  <si>
    <t>5.q)      Ingresos Operativos</t>
  </si>
  <si>
    <t>5.q.1 - Ingresos por operaciones y servicios a personas relacionadas</t>
  </si>
  <si>
    <t>Ver nota 5.o</t>
  </si>
  <si>
    <t>5.q.2 - Ingresos por operaciones y servicios extrabursátiles</t>
  </si>
  <si>
    <t>5.q.3 - Otros ingresos operativos</t>
  </si>
  <si>
    <t xml:space="preserve"> ₲</t>
  </si>
  <si>
    <t>5.r)     Otros gastos operativos, de comercialización y de administración</t>
  </si>
  <si>
    <t>Otros Gastos Operativos</t>
  </si>
  <si>
    <t>Aranceles pagados - CNV</t>
  </si>
  <si>
    <t>Total</t>
  </si>
  <si>
    <t>Otros gastos de comercialización</t>
  </si>
  <si>
    <t>Gastos no deducibles - Gs</t>
  </si>
  <si>
    <t>5.s - Otros ingresos y otros egresos</t>
  </si>
  <si>
    <t>Descuentos obtenidos</t>
  </si>
  <si>
    <t>Total Otros Ingresos</t>
  </si>
  <si>
    <t>Egresos por ajustes y redondeos</t>
  </si>
  <si>
    <t>Total Otros Egresos</t>
  </si>
  <si>
    <t>5.t) Resultados financieros</t>
  </si>
  <si>
    <t>Ganancias</t>
  </si>
  <si>
    <t>Perdidas</t>
  </si>
  <si>
    <t>Resultados financieros netos</t>
  </si>
  <si>
    <t>CUPONES COBRADOS</t>
  </si>
  <si>
    <t xml:space="preserve">TC </t>
  </si>
  <si>
    <t>CUPONES COBRADOS Gs.</t>
  </si>
  <si>
    <t>Total USD</t>
  </si>
  <si>
    <t>Total GS</t>
  </si>
  <si>
    <t>VALOR 
NOMINAL</t>
  </si>
  <si>
    <t>TOTAL DEVENGADO 2023</t>
  </si>
  <si>
    <t>AA3291</t>
  </si>
  <si>
    <t>TOTAL DEVENGADO 2023 GS</t>
  </si>
  <si>
    <t>AA3292</t>
  </si>
  <si>
    <t>BB0347</t>
  </si>
  <si>
    <t>AA3298</t>
  </si>
  <si>
    <t>BB0474</t>
  </si>
  <si>
    <t>AA3299</t>
  </si>
  <si>
    <t>BB0430</t>
  </si>
  <si>
    <t>AA4041</t>
  </si>
  <si>
    <t>BB0399</t>
  </si>
  <si>
    <t>AA4042</t>
  </si>
  <si>
    <t>BB0850</t>
  </si>
  <si>
    <t>AA4043</t>
  </si>
  <si>
    <t>BB0851</t>
  </si>
  <si>
    <t>AA4044</t>
  </si>
  <si>
    <t>BB0852</t>
  </si>
  <si>
    <t>AA4045</t>
  </si>
  <si>
    <t>BB0853</t>
  </si>
  <si>
    <t>AA4046</t>
  </si>
  <si>
    <t>BB0854</t>
  </si>
  <si>
    <t>AA3565</t>
  </si>
  <si>
    <t>AA3566</t>
  </si>
  <si>
    <t>AA3567</t>
  </si>
  <si>
    <t>BB0503</t>
  </si>
  <si>
    <t>AA3618</t>
  </si>
  <si>
    <t>BB0920</t>
  </si>
  <si>
    <t>AA3624</t>
  </si>
  <si>
    <t>BB0921</t>
  </si>
  <si>
    <t>AA3625</t>
  </si>
  <si>
    <t>BB0922</t>
  </si>
  <si>
    <t>AA3626</t>
  </si>
  <si>
    <t>BB0923</t>
  </si>
  <si>
    <t>AA3627</t>
  </si>
  <si>
    <t>BB0924</t>
  </si>
  <si>
    <t>AA3628</t>
  </si>
  <si>
    <t>BB0925</t>
  </si>
  <si>
    <t>AA3629</t>
  </si>
  <si>
    <t>BB0926</t>
  </si>
  <si>
    <t>AA3630</t>
  </si>
  <si>
    <t>BB0927</t>
  </si>
  <si>
    <t>AA3812</t>
  </si>
  <si>
    <t>BB1030</t>
  </si>
  <si>
    <t>AA3813</t>
  </si>
  <si>
    <t>BB1031</t>
  </si>
  <si>
    <t>AA4426</t>
  </si>
  <si>
    <t>BB1032</t>
  </si>
  <si>
    <t>AA4434</t>
  </si>
  <si>
    <t>BB1033</t>
  </si>
  <si>
    <t>AA4442</t>
  </si>
  <si>
    <t>BB1034</t>
  </si>
  <si>
    <t>AA4450</t>
  </si>
  <si>
    <t>BB1035</t>
  </si>
  <si>
    <t>AA4585</t>
  </si>
  <si>
    <t>BB1064</t>
  </si>
  <si>
    <t>AA4586</t>
  </si>
  <si>
    <t>BB1065</t>
  </si>
  <si>
    <t>AA4587</t>
  </si>
  <si>
    <t>BB1066</t>
  </si>
  <si>
    <t>AA4588</t>
  </si>
  <si>
    <t>BB1067</t>
  </si>
  <si>
    <t>AA4589</t>
  </si>
  <si>
    <t>BB1108</t>
  </si>
  <si>
    <t>AA4590</t>
  </si>
  <si>
    <t>BB1109</t>
  </si>
  <si>
    <t>AA4591</t>
  </si>
  <si>
    <t>BB1110</t>
  </si>
  <si>
    <t>AA4592</t>
  </si>
  <si>
    <t>BB1111</t>
  </si>
  <si>
    <t>AA4593</t>
  </si>
  <si>
    <t>BB1112</t>
  </si>
  <si>
    <t>AA4594</t>
  </si>
  <si>
    <t>BB1113</t>
  </si>
  <si>
    <t>AA4595</t>
  </si>
  <si>
    <t>BB1142</t>
  </si>
  <si>
    <t>AA4596</t>
  </si>
  <si>
    <t>BB1143</t>
  </si>
  <si>
    <t>AA4597</t>
  </si>
  <si>
    <t>BB1144</t>
  </si>
  <si>
    <t>AA4598</t>
  </si>
  <si>
    <t>TOTAL USD</t>
  </si>
  <si>
    <t>TOTAL Gs.</t>
  </si>
  <si>
    <t>AA4599</t>
  </si>
  <si>
    <t>AA4600</t>
  </si>
  <si>
    <t>AA3961</t>
  </si>
  <si>
    <t>AA3962</t>
  </si>
  <si>
    <t>AA3963</t>
  </si>
  <si>
    <t>AA3994</t>
  </si>
  <si>
    <t>AA3995</t>
  </si>
  <si>
    <t>AA4017</t>
  </si>
  <si>
    <t>AA4021</t>
  </si>
  <si>
    <t>AA4022</t>
  </si>
  <si>
    <t>AA3942</t>
  </si>
  <si>
    <t>AA3943</t>
  </si>
  <si>
    <t>AA3949</t>
  </si>
  <si>
    <t>AA3950</t>
  </si>
  <si>
    <t>AA3951</t>
  </si>
  <si>
    <t>AA3952</t>
  </si>
  <si>
    <t>AA3953</t>
  </si>
  <si>
    <t>AA3988</t>
  </si>
  <si>
    <t>AA3989</t>
  </si>
  <si>
    <t>AA3993</t>
  </si>
  <si>
    <t>AA4000</t>
  </si>
  <si>
    <t>AA4001</t>
  </si>
  <si>
    <t>AA4002</t>
  </si>
  <si>
    <t>AA4003</t>
  </si>
  <si>
    <t>AA4004</t>
  </si>
  <si>
    <t>AA4005</t>
  </si>
  <si>
    <t>AA4006</t>
  </si>
  <si>
    <t>AA5731</t>
  </si>
  <si>
    <t>AA5732</t>
  </si>
  <si>
    <t>AA5733</t>
  </si>
  <si>
    <t>AA5734</t>
  </si>
  <si>
    <t>AA5735</t>
  </si>
  <si>
    <t>AA5736</t>
  </si>
  <si>
    <t>AA5737</t>
  </si>
  <si>
    <t>AA5738</t>
  </si>
  <si>
    <t>AA5739</t>
  </si>
  <si>
    <t>AA5740</t>
  </si>
  <si>
    <t>AA5741</t>
  </si>
  <si>
    <t>AA5663</t>
  </si>
  <si>
    <t>AA5664</t>
  </si>
  <si>
    <t>AA5665</t>
  </si>
  <si>
    <t>AA5666</t>
  </si>
  <si>
    <t>AA5667</t>
  </si>
  <si>
    <t>AA5668</t>
  </si>
  <si>
    <t>AA5669</t>
  </si>
  <si>
    <t>AA5670</t>
  </si>
  <si>
    <t>AA6254</t>
  </si>
  <si>
    <t>AA6255</t>
  </si>
  <si>
    <t>AA6256</t>
  </si>
  <si>
    <t>AA6257</t>
  </si>
  <si>
    <t>AA6258</t>
  </si>
  <si>
    <t>AA6259</t>
  </si>
  <si>
    <t>AA6260</t>
  </si>
  <si>
    <t>AA6261</t>
  </si>
  <si>
    <t>AA6262</t>
  </si>
  <si>
    <t>AA6263</t>
  </si>
  <si>
    <t>AA6264</t>
  </si>
  <si>
    <t>AA6265</t>
  </si>
  <si>
    <t>AA6266</t>
  </si>
  <si>
    <t>AA6267</t>
  </si>
  <si>
    <t>AA6268</t>
  </si>
  <si>
    <t>AA6269</t>
  </si>
  <si>
    <t>AA6270</t>
  </si>
  <si>
    <t>AA6271</t>
  </si>
  <si>
    <t>AA6272</t>
  </si>
  <si>
    <t>AA6273</t>
  </si>
  <si>
    <t>AA6274</t>
  </si>
  <si>
    <t>AA3978</t>
  </si>
  <si>
    <t>AA3979</t>
  </si>
  <si>
    <t>AA3980</t>
  </si>
  <si>
    <t>AA3981</t>
  </si>
  <si>
    <t>AA6295</t>
  </si>
  <si>
    <t>AA6296</t>
  </si>
  <si>
    <t>AA6297</t>
  </si>
  <si>
    <t>AA6298</t>
  </si>
  <si>
    <t>AA6299</t>
  </si>
  <si>
    <t>AA3975</t>
  </si>
  <si>
    <t>AA3976</t>
  </si>
  <si>
    <t>AA3977</t>
  </si>
  <si>
    <t>AA6554</t>
  </si>
  <si>
    <t>AA6555</t>
  </si>
  <si>
    <t>AA6547</t>
  </si>
  <si>
    <t>AA6546</t>
  </si>
  <si>
    <t>AA8524</t>
  </si>
  <si>
    <t>AA8525</t>
  </si>
  <si>
    <t>AA8647</t>
  </si>
  <si>
    <t>AA8648</t>
  </si>
  <si>
    <t>AA8649</t>
  </si>
  <si>
    <t>TOTAL GS</t>
  </si>
  <si>
    <t>TOTAL GENERAL</t>
  </si>
  <si>
    <t>CDAs Gs de BNF</t>
  </si>
  <si>
    <t>CDAs USD de BNF</t>
  </si>
  <si>
    <t>Bonos de Radice</t>
  </si>
  <si>
    <t>BB1157</t>
  </si>
  <si>
    <t>BB1158</t>
  </si>
  <si>
    <t>BB1159</t>
  </si>
  <si>
    <t>BB1160</t>
  </si>
  <si>
    <t>BB1161</t>
  </si>
  <si>
    <t>BB1162</t>
  </si>
  <si>
    <t>BB1217</t>
  </si>
  <si>
    <t>BB1218</t>
  </si>
  <si>
    <t>BB1219</t>
  </si>
  <si>
    <t>BB1220</t>
  </si>
  <si>
    <t>BB1221</t>
  </si>
  <si>
    <t>BB1222</t>
  </si>
  <si>
    <t>BB1223</t>
  </si>
  <si>
    <t>BB1224</t>
  </si>
  <si>
    <t>BB1225</t>
  </si>
  <si>
    <t>BB1226</t>
  </si>
  <si>
    <t>BB1265</t>
  </si>
  <si>
    <t>BB1266</t>
  </si>
  <si>
    <t>BB1263</t>
  </si>
  <si>
    <t>BB1264</t>
  </si>
  <si>
    <t>BB1287</t>
  </si>
  <si>
    <t>BB1288</t>
  </si>
  <si>
    <t>BB1289</t>
  </si>
  <si>
    <t>BB1290</t>
  </si>
  <si>
    <t>BB1301</t>
  </si>
  <si>
    <t>BB1302</t>
  </si>
  <si>
    <t>BB1303</t>
  </si>
  <si>
    <t>BB1304</t>
  </si>
  <si>
    <t>BB1305</t>
  </si>
  <si>
    <t>BB1306</t>
  </si>
  <si>
    <t>BB1307</t>
  </si>
  <si>
    <t>BB1308</t>
  </si>
  <si>
    <t>BB1309</t>
  </si>
  <si>
    <t>BB1310</t>
  </si>
  <si>
    <t>BB1311</t>
  </si>
  <si>
    <t>BB1312</t>
  </si>
  <si>
    <t>BB1313</t>
  </si>
  <si>
    <t>BB1314</t>
  </si>
  <si>
    <t>BB1315</t>
  </si>
  <si>
    <t>BB1316</t>
  </si>
  <si>
    <t>BB1293</t>
  </si>
  <si>
    <t>BB1294</t>
  </si>
  <si>
    <t>BB1295</t>
  </si>
  <si>
    <t>BB1331</t>
  </si>
  <si>
    <t>BB1332</t>
  </si>
  <si>
    <t>BB1333</t>
  </si>
  <si>
    <t>AA6638</t>
  </si>
  <si>
    <t>BB1334</t>
  </si>
  <si>
    <t>AA6639</t>
  </si>
  <si>
    <t>BB1335</t>
  </si>
  <si>
    <t>AA6640</t>
  </si>
  <si>
    <t>BB1336</t>
  </si>
  <si>
    <t>AA6641</t>
  </si>
  <si>
    <t>BB1337</t>
  </si>
  <si>
    <t>AA6642</t>
  </si>
  <si>
    <t>BB1338</t>
  </si>
  <si>
    <t>BB1386</t>
  </si>
  <si>
    <t>BB1387</t>
  </si>
  <si>
    <t>BB1388</t>
  </si>
  <si>
    <t>BB1389</t>
  </si>
  <si>
    <t>BB1390</t>
  </si>
  <si>
    <t>BB1391</t>
  </si>
  <si>
    <t>AA6649</t>
  </si>
  <si>
    <t>BB1392</t>
  </si>
  <si>
    <t>AA6650</t>
  </si>
  <si>
    <t>BB1393</t>
  </si>
  <si>
    <t>AA6651</t>
  </si>
  <si>
    <t>BB1409</t>
  </si>
  <si>
    <t>AA6652</t>
  </si>
  <si>
    <t>BB1410</t>
  </si>
  <si>
    <t>AA6653</t>
  </si>
  <si>
    <t>BB1411</t>
  </si>
  <si>
    <t>AA6654</t>
  </si>
  <si>
    <t>BB1412</t>
  </si>
  <si>
    <t>AA6655</t>
  </si>
  <si>
    <t>AA6656</t>
  </si>
  <si>
    <t>BB1415</t>
  </si>
  <si>
    <t>BB1416</t>
  </si>
  <si>
    <t>BB1417</t>
  </si>
  <si>
    <t>BB1418</t>
  </si>
  <si>
    <t>BB1422</t>
  </si>
  <si>
    <t>BB1423</t>
  </si>
  <si>
    <t>BB1424</t>
  </si>
  <si>
    <t>BB1425</t>
  </si>
  <si>
    <t>BB1426</t>
  </si>
  <si>
    <t>AA6665</t>
  </si>
  <si>
    <t>BB1427</t>
  </si>
  <si>
    <t>AA6666</t>
  </si>
  <si>
    <t>BB1428</t>
  </si>
  <si>
    <t>AA6667</t>
  </si>
  <si>
    <t>BB1429</t>
  </si>
  <si>
    <t>AA6668</t>
  </si>
  <si>
    <t>BB1430</t>
  </si>
  <si>
    <t>AA6669</t>
  </si>
  <si>
    <t>BB1431</t>
  </si>
  <si>
    <t>AA6670</t>
  </si>
  <si>
    <t>AA6671</t>
  </si>
  <si>
    <t>AA6672</t>
  </si>
  <si>
    <t>AA6673</t>
  </si>
  <si>
    <t>BB1442</t>
  </si>
  <si>
    <t>AA6674</t>
  </si>
  <si>
    <t>BB1443</t>
  </si>
  <si>
    <t>AA6677</t>
  </si>
  <si>
    <t>BB1444</t>
  </si>
  <si>
    <t>AA6678</t>
  </si>
  <si>
    <t>BB1445</t>
  </si>
  <si>
    <t>AA6679</t>
  </si>
  <si>
    <t>BB1446</t>
  </si>
  <si>
    <t>AA6680</t>
  </si>
  <si>
    <t>BB1447</t>
  </si>
  <si>
    <t>AA6681</t>
  </si>
  <si>
    <t>BB1448</t>
  </si>
  <si>
    <t>AA6682</t>
  </si>
  <si>
    <t>BB1449</t>
  </si>
  <si>
    <t>AA6683</t>
  </si>
  <si>
    <t>BB1450</t>
  </si>
  <si>
    <t>AA6684</t>
  </si>
  <si>
    <t>BB1451</t>
  </si>
  <si>
    <t>AA6685</t>
  </si>
  <si>
    <t>BB1452</t>
  </si>
  <si>
    <t>AA6686</t>
  </si>
  <si>
    <t>BB1465</t>
  </si>
  <si>
    <t>AA6687</t>
  </si>
  <si>
    <t>BB1466</t>
  </si>
  <si>
    <t>AA6688</t>
  </si>
  <si>
    <t>BB1467</t>
  </si>
  <si>
    <t>AA6689</t>
  </si>
  <si>
    <t>BB1468</t>
  </si>
  <si>
    <t>AA6690</t>
  </si>
  <si>
    <t>BB1469</t>
  </si>
  <si>
    <t>AA6691</t>
  </si>
  <si>
    <t>BB1470</t>
  </si>
  <si>
    <t>AA6701</t>
  </si>
  <si>
    <t>BB1507</t>
  </si>
  <si>
    <t>AA6702</t>
  </si>
  <si>
    <t>BB1508</t>
  </si>
  <si>
    <t>AA6703</t>
  </si>
  <si>
    <t>BB1509</t>
  </si>
  <si>
    <t>AA6704</t>
  </si>
  <si>
    <t>BB1510</t>
  </si>
  <si>
    <t>AA6705</t>
  </si>
  <si>
    <t>BB1511</t>
  </si>
  <si>
    <t>AA6706</t>
  </si>
  <si>
    <t>BB1512</t>
  </si>
  <si>
    <t>AA6707</t>
  </si>
  <si>
    <t>BB1532</t>
  </si>
  <si>
    <t>AA6708</t>
  </si>
  <si>
    <t>BB1533</t>
  </si>
  <si>
    <t>AA6709</t>
  </si>
  <si>
    <t>BB1539</t>
  </si>
  <si>
    <t>AA6710</t>
  </si>
  <si>
    <t>BB1540</t>
  </si>
  <si>
    <t>AA6711</t>
  </si>
  <si>
    <t>BB1541</t>
  </si>
  <si>
    <t>AA6712</t>
  </si>
  <si>
    <t>BB1542</t>
  </si>
  <si>
    <t>AA6713</t>
  </si>
  <si>
    <t>BB1535</t>
  </si>
  <si>
    <t>AA6714</t>
  </si>
  <si>
    <t>BB1536</t>
  </si>
  <si>
    <t>AA6715</t>
  </si>
  <si>
    <t>BB1537</t>
  </si>
  <si>
    <t>AA6716</t>
  </si>
  <si>
    <t>BB1538</t>
  </si>
  <si>
    <t>AA6717</t>
  </si>
  <si>
    <t>BB1565</t>
  </si>
  <si>
    <t>AA6718</t>
  </si>
  <si>
    <t>BB1566</t>
  </si>
  <si>
    <t>AA6719</t>
  </si>
  <si>
    <t>BB1567</t>
  </si>
  <si>
    <t>AA6720</t>
  </si>
  <si>
    <t>BB1568</t>
  </si>
  <si>
    <t>AA6721</t>
  </si>
  <si>
    <t>BB1569</t>
  </si>
  <si>
    <t>AA6722</t>
  </si>
  <si>
    <t>BB1570</t>
  </si>
  <si>
    <t>AA6723</t>
  </si>
  <si>
    <t>BB1571</t>
  </si>
  <si>
    <t>AA6724</t>
  </si>
  <si>
    <t>BB1572</t>
  </si>
  <si>
    <t>AA6725</t>
  </si>
  <si>
    <t>BB1573</t>
  </si>
  <si>
    <t>AA6726</t>
  </si>
  <si>
    <t>BB1574</t>
  </si>
  <si>
    <t>AA6727</t>
  </si>
  <si>
    <t>BB1575</t>
  </si>
  <si>
    <t>AA6728</t>
  </si>
  <si>
    <t>BB1576</t>
  </si>
  <si>
    <t>AA6729</t>
  </si>
  <si>
    <t>BB1587</t>
  </si>
  <si>
    <t>AA6730</t>
  </si>
  <si>
    <t>BB1588</t>
  </si>
  <si>
    <t>AA6731</t>
  </si>
  <si>
    <t>BB1589</t>
  </si>
  <si>
    <t>AA6732</t>
  </si>
  <si>
    <t>BB1590</t>
  </si>
  <si>
    <t>AA6733</t>
  </si>
  <si>
    <t>BB1591</t>
  </si>
  <si>
    <t>AA6734</t>
  </si>
  <si>
    <t>BB1592</t>
  </si>
  <si>
    <t>AA6735</t>
  </si>
  <si>
    <t>BB1593</t>
  </si>
  <si>
    <t>AA6736</t>
  </si>
  <si>
    <t>AA6737</t>
  </si>
  <si>
    <t>BB1585</t>
  </si>
  <si>
    <t>AA6738</t>
  </si>
  <si>
    <t>BB1586</t>
  </si>
  <si>
    <t>AA6739</t>
  </si>
  <si>
    <t>BB1577</t>
  </si>
  <si>
    <t>AA6740</t>
  </si>
  <si>
    <t>BB1578</t>
  </si>
  <si>
    <t>AA6741</t>
  </si>
  <si>
    <t>BB1579</t>
  </si>
  <si>
    <t>AA6742</t>
  </si>
  <si>
    <t>BB1580</t>
  </si>
  <si>
    <t>AA6743</t>
  </si>
  <si>
    <t>BB1581</t>
  </si>
  <si>
    <t>AA6744</t>
  </si>
  <si>
    <t>BB1582</t>
  </si>
  <si>
    <t>AA6745</t>
  </si>
  <si>
    <t>BB1583</t>
  </si>
  <si>
    <t>AA6746</t>
  </si>
  <si>
    <t>BB1584</t>
  </si>
  <si>
    <t>AA6747</t>
  </si>
  <si>
    <t>BB1601</t>
  </si>
  <si>
    <t>AA6748</t>
  </si>
  <si>
    <t>BB1602</t>
  </si>
  <si>
    <t>AA6749</t>
  </si>
  <si>
    <t>BB1603</t>
  </si>
  <si>
    <t>AA6750</t>
  </si>
  <si>
    <t>BB1604</t>
  </si>
  <si>
    <t>AA6751</t>
  </si>
  <si>
    <t>BB1622</t>
  </si>
  <si>
    <t>AA6752</t>
  </si>
  <si>
    <t>BB1623</t>
  </si>
  <si>
    <t>AA6753</t>
  </si>
  <si>
    <t>BB1624</t>
  </si>
  <si>
    <t>AA6754</t>
  </si>
  <si>
    <t>BB1625</t>
  </si>
  <si>
    <t>AA6755</t>
  </si>
  <si>
    <t>BB1626</t>
  </si>
  <si>
    <t>AA6756</t>
  </si>
  <si>
    <t>BB1627</t>
  </si>
  <si>
    <t>AA6757</t>
  </si>
  <si>
    <t>AA6761</t>
  </si>
  <si>
    <t>AA6762</t>
  </si>
  <si>
    <t>AA6763</t>
  </si>
  <si>
    <t>AA6764</t>
  </si>
  <si>
    <t>AA6765</t>
  </si>
  <si>
    <t>AA6766</t>
  </si>
  <si>
    <t>AA6767</t>
  </si>
  <si>
    <t>AA6768</t>
  </si>
  <si>
    <t>AA6769</t>
  </si>
  <si>
    <t>AA6770</t>
  </si>
  <si>
    <t>AA6771</t>
  </si>
  <si>
    <t>AA6772</t>
  </si>
  <si>
    <t>AA6773</t>
  </si>
  <si>
    <t>AA6774</t>
  </si>
  <si>
    <t>AA6775</t>
  </si>
  <si>
    <t>AA6776</t>
  </si>
  <si>
    <t>AA6777</t>
  </si>
  <si>
    <t>AA6778</t>
  </si>
  <si>
    <t>AA6779</t>
  </si>
  <si>
    <t>AA6780</t>
  </si>
  <si>
    <t>AA 6844</t>
  </si>
  <si>
    <t>AA 6845</t>
  </si>
  <si>
    <t>AA6861</t>
  </si>
  <si>
    <t>AA6862</t>
  </si>
  <si>
    <t>AA6863</t>
  </si>
  <si>
    <t>AA6864</t>
  </si>
  <si>
    <t>AA6800</t>
  </si>
  <si>
    <t>AA6799</t>
  </si>
  <si>
    <t>AA6857</t>
  </si>
  <si>
    <t>AA6858</t>
  </si>
  <si>
    <t>AA6859</t>
  </si>
  <si>
    <t>AA6860</t>
  </si>
  <si>
    <t>AA6865</t>
  </si>
  <si>
    <t>AA6866</t>
  </si>
  <si>
    <t>AA6867</t>
  </si>
  <si>
    <t>AA6868</t>
  </si>
  <si>
    <t>AA6869</t>
  </si>
  <si>
    <t>AA6870</t>
  </si>
  <si>
    <t>AA6871</t>
  </si>
  <si>
    <t>AA6872</t>
  </si>
  <si>
    <t>AA6873</t>
  </si>
  <si>
    <t>AA6874</t>
  </si>
  <si>
    <t>AA6875</t>
  </si>
  <si>
    <t>AA6876</t>
  </si>
  <si>
    <t>AA6877</t>
  </si>
  <si>
    <t>AA6878</t>
  </si>
  <si>
    <t>AA6879</t>
  </si>
  <si>
    <t>AA6880</t>
  </si>
  <si>
    <t>AA6881</t>
  </si>
  <si>
    <t>AA6882</t>
  </si>
  <si>
    <t>AA6883</t>
  </si>
  <si>
    <t>AA6884</t>
  </si>
  <si>
    <t>AA6885</t>
  </si>
  <si>
    <t>AA6886</t>
  </si>
  <si>
    <t>AA6901</t>
  </si>
  <si>
    <t>AA6902</t>
  </si>
  <si>
    <t>AA6903</t>
  </si>
  <si>
    <t>AA6904</t>
  </si>
  <si>
    <t>AA6905</t>
  </si>
  <si>
    <t>AA6906</t>
  </si>
  <si>
    <t>AA6907</t>
  </si>
  <si>
    <t>AA6908</t>
  </si>
  <si>
    <t>AA6909</t>
  </si>
  <si>
    <t>AA6910</t>
  </si>
  <si>
    <t>AA6911</t>
  </si>
  <si>
    <t>AA6912</t>
  </si>
  <si>
    <t>AA6913</t>
  </si>
  <si>
    <t>AA6914</t>
  </si>
  <si>
    <t>AA6915</t>
  </si>
  <si>
    <t>AA6916</t>
  </si>
  <si>
    <t>AA6917</t>
  </si>
  <si>
    <t>AA6918</t>
  </si>
  <si>
    <t>AA6919</t>
  </si>
  <si>
    <t>AA6920</t>
  </si>
  <si>
    <t>AA 6959</t>
  </si>
  <si>
    <t>AA 6960</t>
  </si>
  <si>
    <t>AA 6961</t>
  </si>
  <si>
    <t>AA 6962</t>
  </si>
  <si>
    <t>AA 6963</t>
  </si>
  <si>
    <t>AA 6964</t>
  </si>
  <si>
    <t>AA 6965</t>
  </si>
  <si>
    <t>AA 6966</t>
  </si>
  <si>
    <t>AA6999</t>
  </si>
  <si>
    <t>AA7000</t>
  </si>
  <si>
    <t>AA7001</t>
  </si>
  <si>
    <t>AA7002</t>
  </si>
  <si>
    <t>AA7003</t>
  </si>
  <si>
    <t>AA7004</t>
  </si>
  <si>
    <t>AA7005</t>
  </si>
  <si>
    <t>AA7006</t>
  </si>
  <si>
    <t>AA7165</t>
  </si>
  <si>
    <t>AA7166</t>
  </si>
  <si>
    <t>AA7167</t>
  </si>
  <si>
    <t>AA7168</t>
  </si>
  <si>
    <t>AA7169</t>
  </si>
  <si>
    <t>AA7170</t>
  </si>
  <si>
    <t>AA7171</t>
  </si>
  <si>
    <t>AA7172</t>
  </si>
  <si>
    <t>AA7173</t>
  </si>
  <si>
    <t>AA7174</t>
  </si>
  <si>
    <t>AA7175</t>
  </si>
  <si>
    <t>AA7176</t>
  </si>
  <si>
    <t>AA7177</t>
  </si>
  <si>
    <t>AA7178</t>
  </si>
  <si>
    <t>AA7179</t>
  </si>
  <si>
    <t>AA7180</t>
  </si>
  <si>
    <t>AA7181</t>
  </si>
  <si>
    <t>AA7182</t>
  </si>
  <si>
    <t>AA7183</t>
  </si>
  <si>
    <t>AA7184</t>
  </si>
  <si>
    <t>AA7185</t>
  </si>
  <si>
    <t>AA7186</t>
  </si>
  <si>
    <t>AA7187</t>
  </si>
  <si>
    <t>AA7188</t>
  </si>
  <si>
    <t>AA7189</t>
  </si>
  <si>
    <t>AA7190</t>
  </si>
  <si>
    <t>AA7191</t>
  </si>
  <si>
    <t>AA7192</t>
  </si>
  <si>
    <t>AA7193</t>
  </si>
  <si>
    <t>AA7194</t>
  </si>
  <si>
    <t>AA7229</t>
  </si>
  <si>
    <t>Total BNF</t>
  </si>
  <si>
    <t>Total Radice</t>
  </si>
  <si>
    <t>NOTA 6. INFORMACIÓN REFERENTE A CONTINGENCIAS Y COMPROMISOS</t>
  </si>
  <si>
    <t>6.a) Compromisos directos</t>
  </si>
  <si>
    <t>A la fecha de emisión de los presentes estados financieros, la Sociedad no posee compromisos directos.</t>
  </si>
  <si>
    <t>6.b) Contingencias legales</t>
  </si>
  <si>
    <t>A la fecha de emisión de los presentes estados financieros, la Sociedad no registra juicios u otras acciones legales que pudieran producir variaciones en los importes reportados como saldos al cierre.</t>
  </si>
  <si>
    <t>6.c) Garantías constituidas</t>
  </si>
  <si>
    <t>NOTA 7. LIMITACIÓN A LA LIBRE DISPONIBILIDAD DE LOS ACTIVOS O DEL PATRIMONIO Y CUALQUIER RESTRICCIÓN AL DERECHO DE PROPIEDAD</t>
  </si>
  <si>
    <t>NOTA 8. RESTRICCIONES PARA DISTRIBUCIÓN DE UTILIDADES</t>
  </si>
  <si>
    <r>
      <t xml:space="preserve">a)	De acuerdo con la legislación vigente las sociedades por acciones y las de responsabilidad limitada, deben constituir una reserva legal no menor del 5% de las utilidades netas del ejercicio, hasta alcanzar el 20% del capital suscripto.
</t>
    </r>
    <r>
      <rPr>
        <sz val="1"/>
        <color theme="1"/>
        <rFont val="Times New Roman"/>
        <family val="1"/>
      </rPr>
      <t xml:space="preserve">
</t>
    </r>
    <r>
      <rPr>
        <sz val="12"/>
        <color theme="1"/>
        <rFont val="Times New Roman"/>
        <family val="1"/>
      </rPr>
      <t xml:space="preserve">b)	El incremento patrimonial producido por el revalúo de los bienes de uso podrá ser capitalizado, no pudiendo ser distribuido como dividendo, utilidad o beneficio.
</t>
    </r>
    <r>
      <rPr>
        <sz val="1"/>
        <color theme="1"/>
        <rFont val="Times New Roman"/>
        <family val="1"/>
      </rPr>
      <t xml:space="preserve">
</t>
    </r>
    <r>
      <rPr>
        <sz val="12"/>
        <color theme="1"/>
        <rFont val="Times New Roman"/>
        <family val="1"/>
      </rPr>
      <t>c)	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r>
  </si>
  <si>
    <t>A la fecha de emisión de los presentes estados financieros, no existen sanciones de ninguna naturaleza que la Superintendencia de Valores (denominada Comisión Nacional de Valores) u otras Instituciones fiscalizadoras hayan impuesto a la Sociedad.</t>
  </si>
  <si>
    <t>A la fecha de emisión de los presentes estados financieros, no existen otros asuntos relevantes que deban ser mencionados.</t>
  </si>
  <si>
    <t>A la fecha de emisión de los presentes estados financieros, no existen hechos posteriores al cierre del ejercicio que deban ser mencionados.</t>
  </si>
  <si>
    <t>TOTALGENERAL</t>
  </si>
  <si>
    <t>Anticipo de sueldos y jornales</t>
  </si>
  <si>
    <t>Certificados digitales</t>
  </si>
  <si>
    <t>Banco Cuenta AllFunds N° 270001</t>
  </si>
  <si>
    <t>Bancos - Cuentas de Caja de Ahorro</t>
  </si>
  <si>
    <t>Validado con la SIV 31/12</t>
  </si>
  <si>
    <t>₲ (*)</t>
  </si>
  <si>
    <t>(*) Reexpuesto a efectos comparativos</t>
  </si>
  <si>
    <t>SUDAMERIS BANK S.A.E.C.A.Acciones</t>
  </si>
  <si>
    <t>ZETA BANCO S.A.E.C.A</t>
  </si>
  <si>
    <t>BANCO CONTINENTAL S.A.E.C.A.</t>
  </si>
  <si>
    <t>Integración de reservas</t>
  </si>
  <si>
    <t>Revaluación de acciones</t>
  </si>
  <si>
    <t xml:space="preserve">Integración de capital </t>
  </si>
  <si>
    <t>Ajuste de resultados acumulados</t>
  </si>
  <si>
    <t>Pont S.A.</t>
  </si>
  <si>
    <t>31/12/2023(*)</t>
  </si>
  <si>
    <t>INVENTARIO DE TITULOS / VALORES - RENTA FIJA</t>
  </si>
  <si>
    <t>AL 31/12/2023</t>
  </si>
  <si>
    <t>Ok</t>
  </si>
  <si>
    <t>AB5738</t>
  </si>
  <si>
    <t>AB5739</t>
  </si>
  <si>
    <t>AB5740</t>
  </si>
  <si>
    <t>AB5741</t>
  </si>
  <si>
    <t>AB5742</t>
  </si>
  <si>
    <t xml:space="preserve">SUDAMERIS BANK </t>
  </si>
  <si>
    <t>DC0172</t>
  </si>
  <si>
    <t>DC0173</t>
  </si>
  <si>
    <t>AEMITIR3</t>
  </si>
  <si>
    <t>AA7816</t>
  </si>
  <si>
    <t>AA7827</t>
  </si>
  <si>
    <t>BB4421</t>
  </si>
  <si>
    <t>BB4424</t>
  </si>
  <si>
    <t>BB4502</t>
  </si>
  <si>
    <t>DA9120</t>
  </si>
  <si>
    <t>BA1683</t>
  </si>
  <si>
    <t>BA1684</t>
  </si>
  <si>
    <t>BA1685</t>
  </si>
  <si>
    <t>AEMITIRTUFI1</t>
  </si>
  <si>
    <t>AEMITIRTUFI2</t>
  </si>
  <si>
    <t>AEMITIRTUFI3</t>
  </si>
  <si>
    <t>AEMITIRTUFI4</t>
  </si>
  <si>
    <t>AEMITIRTUFI5</t>
  </si>
  <si>
    <t>BA1688</t>
  </si>
  <si>
    <t>BA1689</t>
  </si>
  <si>
    <t>BA1690</t>
  </si>
  <si>
    <t>CDA GS - VINCULADAS</t>
  </si>
  <si>
    <t>PYHIL01F6519</t>
  </si>
  <si>
    <t>PYSUD02F5248</t>
  </si>
  <si>
    <t>PYFAM10F6756</t>
  </si>
  <si>
    <t>BONOS FINANCIEROS GS - VINCULADAS</t>
  </si>
  <si>
    <t>PYTAU03F4028</t>
  </si>
  <si>
    <t>PYTAU01F3741</t>
  </si>
  <si>
    <t>PYIDX05F6564</t>
  </si>
  <si>
    <t>PYCMF05F6249</t>
  </si>
  <si>
    <t>PYCMF01F3679</t>
  </si>
  <si>
    <t>PYKUR02F6792</t>
  </si>
  <si>
    <t>PYCMF04F4260</t>
  </si>
  <si>
    <t xml:space="preserve">TU FINANCIERA </t>
  </si>
  <si>
    <t>AEMITIR01</t>
  </si>
  <si>
    <t>AEMITIR02</t>
  </si>
  <si>
    <t>AA7695</t>
  </si>
  <si>
    <t>AA7696</t>
  </si>
  <si>
    <t>AA7756</t>
  </si>
  <si>
    <t>AA7757</t>
  </si>
  <si>
    <t>CDA USD - VINC</t>
  </si>
  <si>
    <t>DB5605</t>
  </si>
  <si>
    <t>BONOS CORPORATIVOS USD</t>
  </si>
  <si>
    <t>BONOS CORPORATIVOS - REPO (GS)</t>
  </si>
  <si>
    <t>BONOS CORPORATIVOS- (USD)</t>
  </si>
  <si>
    <t>Prima a Cobrar</t>
  </si>
  <si>
    <t>PYNUC04F1340</t>
  </si>
  <si>
    <t>PYTNA01F8541</t>
  </si>
  <si>
    <t>BANCO CONTINENTAL</t>
  </si>
  <si>
    <t>AJ7419</t>
  </si>
  <si>
    <t>AJ7585</t>
  </si>
  <si>
    <t>DA8211</t>
  </si>
  <si>
    <t>DC0330</t>
  </si>
  <si>
    <t>AB6186</t>
  </si>
  <si>
    <t>AB6187</t>
  </si>
  <si>
    <t>AB6188</t>
  </si>
  <si>
    <t>AB6189</t>
  </si>
  <si>
    <t>AB8107</t>
  </si>
  <si>
    <t>AB8103</t>
  </si>
  <si>
    <t>AB8108</t>
  </si>
  <si>
    <t>AB8109</t>
  </si>
  <si>
    <t>AB8110</t>
  </si>
  <si>
    <t>AB8111</t>
  </si>
  <si>
    <t>AB8102</t>
  </si>
  <si>
    <t>AB8104</t>
  </si>
  <si>
    <t>AB8105</t>
  </si>
  <si>
    <t>AB8106</t>
  </si>
  <si>
    <t>DA9272</t>
  </si>
  <si>
    <t>DA9273</t>
  </si>
  <si>
    <t>DA9274</t>
  </si>
  <si>
    <t>DA9275</t>
  </si>
  <si>
    <t>BONOS FINANCIEROS GS - VINCULADOS</t>
  </si>
  <si>
    <t>A la fecha de emisión de los presentes estados financieros, la sociedad  posee como Garantía en la Bolsa de Valores  Asunción S.A., a fin de dar cumplimiento a lo establecido en el Art. 111 de la Ley de Mercado de Valores, los siguientes títulos - valores:
(i) Dos (2) CDA identificados bajo la serie AA7277 y AA7287, emitidos por Banco Nacional de Fomento por ₲ 200.000.000 y ₲ 500.000.000 respectivamente.</t>
  </si>
  <si>
    <t>Operaciones a liquidar U$S</t>
  </si>
  <si>
    <t>A la fecha de emisión de los presentes estados financieros, existen las siguientes limitaciones:
• Restricción de la posesión de la acción en LA Bolsa de Valores  Asunción S.A. para operar como casa de bolsa.
• Restricción de posesión de los dos (2) CDA emitidos por Banco Nacional de Fomento e identificados bajo la Serie AA7277 y AA7287, entregados en Garantía a la BVPASA.</t>
  </si>
  <si>
    <t>Sindico Suplente</t>
  </si>
  <si>
    <t>Operaciones a liquidar fondos internacionales  ₲</t>
  </si>
  <si>
    <t>Operaciones a liquidar  ₲</t>
  </si>
  <si>
    <t>Comisiones por cobrar  ₲</t>
  </si>
  <si>
    <t>Comisiones por distribución de fondos de IAM  ₲</t>
  </si>
  <si>
    <t>Comisiones por servicio de custodia - ISPy  ₲</t>
  </si>
  <si>
    <t>Licencia  U$S</t>
  </si>
  <si>
    <t>Banco Itaú Cta. Cte. 892 - Gs</t>
  </si>
  <si>
    <t>Ueno Bank Cta. Cte. 551 - USD</t>
  </si>
  <si>
    <t>Banco Bancop Cta. Cte. 069 - Gs</t>
  </si>
  <si>
    <t>Deudores Tít. Renta Fija en Repo Gs VINC</t>
  </si>
  <si>
    <t>Intereses a Cobrar – Tit en Repo GS</t>
  </si>
  <si>
    <t>Intereses a Cobrar - Tit en Repo GS VINC</t>
  </si>
  <si>
    <t>Int. a Devengar – Tit en Repo GS</t>
  </si>
  <si>
    <t>Int. a Devengar – Tit en Repo GS VINC</t>
  </si>
  <si>
    <t>Dif. de Precio (-) TI en Repo Gs</t>
  </si>
  <si>
    <t>CDAs Vinculadas - AFS</t>
  </si>
  <si>
    <t>Dif. Precio (+) CDA Gs VINC - AFS</t>
  </si>
  <si>
    <t>Int. a Cobrar - CDA Gs Vinc -  AFS</t>
  </si>
  <si>
    <t>Int. a Deveng. CDA Gs Vinc -  AFS</t>
  </si>
  <si>
    <t>Dif. de precio a pagar - REPO Gs VINC</t>
  </si>
  <si>
    <t>Dif. de precio a devengar - REPO GS VINC</t>
  </si>
  <si>
    <t>Acreed. Titulos Renta Fija en Repo Gs</t>
  </si>
  <si>
    <t>Acreed. Tit. Renta Fija en Repo Gs VINC</t>
  </si>
  <si>
    <t>Egresos por Error Operaciones y TI</t>
  </si>
  <si>
    <t>Egresos por Error WMS</t>
  </si>
  <si>
    <t>PYTNA03F8010</t>
  </si>
  <si>
    <t>DA9868</t>
  </si>
  <si>
    <t>CR0091</t>
  </si>
  <si>
    <t>ZETA BANCO</t>
  </si>
  <si>
    <t>AB1287</t>
  </si>
  <si>
    <t>AB1288</t>
  </si>
  <si>
    <t>AB1289</t>
  </si>
  <si>
    <t>AB1290</t>
  </si>
  <si>
    <t>AB1291</t>
  </si>
  <si>
    <t>AB1292</t>
  </si>
  <si>
    <t>FINANCIERA FIC S.A.E.CA.</t>
  </si>
  <si>
    <t>PYFIC01F7213</t>
  </si>
  <si>
    <t>PYFIC02F7220</t>
  </si>
  <si>
    <t>PYTAU03F8532</t>
  </si>
  <si>
    <t>PYTAU02F8541</t>
  </si>
  <si>
    <t>PYTAU01F8518</t>
  </si>
  <si>
    <t>PYSUD02F8606</t>
  </si>
  <si>
    <t>AB0542</t>
  </si>
  <si>
    <t>BB1681</t>
  </si>
  <si>
    <t>BANCO RÍO S.A.E.C.A.</t>
  </si>
  <si>
    <t>BONOS FINANCIERO USD</t>
  </si>
  <si>
    <t>BONOS SUBORDINADOS USD</t>
  </si>
  <si>
    <t>BONOS FINANCIEROS VINC - (GS)</t>
  </si>
  <si>
    <t>MINISTERIO DE ECONOMIA Y FINANZAS</t>
  </si>
  <si>
    <t>TOTAL ENTREGADOS EN REPO USD</t>
  </si>
  <si>
    <t>TOTAL ENTREGADOS EN REPO GS</t>
  </si>
  <si>
    <t>BONOS PUBLICOS - (GS)</t>
  </si>
  <si>
    <t>AA7272</t>
  </si>
  <si>
    <t>AA7273</t>
  </si>
  <si>
    <t>AA7274</t>
  </si>
  <si>
    <t>AA7275</t>
  </si>
  <si>
    <t>AA7276</t>
  </si>
  <si>
    <t>AA7288</t>
  </si>
  <si>
    <t>MA1754</t>
  </si>
  <si>
    <t>BD2171</t>
  </si>
  <si>
    <t>TOTAL RECIBIDOS EN REPO GS</t>
  </si>
  <si>
    <t>MA0463</t>
  </si>
  <si>
    <t>SK0062</t>
  </si>
  <si>
    <t>SK0063</t>
  </si>
  <si>
    <t>BB1156</t>
  </si>
  <si>
    <t>BB1655</t>
  </si>
  <si>
    <t>BB1656</t>
  </si>
  <si>
    <t>BB1657</t>
  </si>
  <si>
    <t>BB1658</t>
  </si>
  <si>
    <t>BB1659</t>
  </si>
  <si>
    <t>BB1660</t>
  </si>
  <si>
    <t>BB1661</t>
  </si>
  <si>
    <t>BB1662</t>
  </si>
  <si>
    <t>BB1663</t>
  </si>
  <si>
    <t>BB1664</t>
  </si>
  <si>
    <t>BB1665</t>
  </si>
  <si>
    <t>BB1666</t>
  </si>
  <si>
    <t>BB1669</t>
  </si>
  <si>
    <t>BB1670</t>
  </si>
  <si>
    <t>BB1671</t>
  </si>
  <si>
    <t>BB1672</t>
  </si>
  <si>
    <t>BB1673</t>
  </si>
  <si>
    <t>BB1674</t>
  </si>
  <si>
    <t>BB1675</t>
  </si>
  <si>
    <t>BB1676</t>
  </si>
  <si>
    <t>BB1677</t>
  </si>
  <si>
    <t>BB1678</t>
  </si>
  <si>
    <t>BB1679</t>
  </si>
  <si>
    <t>BB1680</t>
  </si>
  <si>
    <t>BB1705</t>
  </si>
  <si>
    <t>BB1706</t>
  </si>
  <si>
    <t>BB1744</t>
  </si>
  <si>
    <t>BB1745</t>
  </si>
  <si>
    <t>BB1746</t>
  </si>
  <si>
    <t>BB1747</t>
  </si>
  <si>
    <t>BB1748</t>
  </si>
  <si>
    <t>BB1749</t>
  </si>
  <si>
    <t>BB1750</t>
  </si>
  <si>
    <t>BB1751</t>
  </si>
  <si>
    <t>BB1782</t>
  </si>
  <si>
    <t>BB1783</t>
  </si>
  <si>
    <t>BB1784</t>
  </si>
  <si>
    <t>BB1785</t>
  </si>
  <si>
    <t>1 de Enero de 2024 al 30 de Septiembre de 2024</t>
  </si>
  <si>
    <t>Información al 30 de Septiembre de 2024</t>
  </si>
  <si>
    <t xml:space="preserve">Gourmet Card </t>
  </si>
  <si>
    <t>Gourmet Card Gerentes</t>
  </si>
  <si>
    <t>Bancop Cta Cte. N°410178241</t>
  </si>
  <si>
    <t>Ueno Bank Cta. Cte. Nº 900664551  </t>
  </si>
  <si>
    <t>Cuentas a Cobrar personas y empresas relaciondas Gs</t>
  </si>
  <si>
    <t xml:space="preserve">Custodia de Valores </t>
  </si>
  <si>
    <t>Itau Seguros Py</t>
  </si>
  <si>
    <t>FC4375</t>
  </si>
  <si>
    <t>BIPy SA</t>
  </si>
  <si>
    <t>IAM</t>
  </si>
  <si>
    <t>Cuentas a Cobrar personas y empresas relaciondas USD</t>
  </si>
  <si>
    <t>FC4541</t>
  </si>
  <si>
    <t>Comisiones por caución bursátiles - BIPy ₲</t>
  </si>
  <si>
    <t>Serie</t>
  </si>
  <si>
    <t xml:space="preserve">Primera Compra </t>
  </si>
  <si>
    <t>Actual 2024</t>
  </si>
  <si>
    <t>Fecha</t>
  </si>
  <si>
    <t>Desembolso</t>
  </si>
  <si>
    <t xml:space="preserve">Costo Unitario </t>
  </si>
  <si>
    <t>Valor de Costo</t>
  </si>
  <si>
    <t>Diferencial Pasivo</t>
  </si>
  <si>
    <t>Paolo Miguel Doldán Vallejos</t>
  </si>
  <si>
    <t>A.</t>
  </si>
  <si>
    <t>B.</t>
  </si>
  <si>
    <t>C.</t>
  </si>
  <si>
    <t>D.</t>
  </si>
  <si>
    <t>E.</t>
  </si>
  <si>
    <t>E.1.</t>
  </si>
  <si>
    <t>E.2.</t>
  </si>
  <si>
    <t>F.</t>
  </si>
  <si>
    <t>INFORMACION GENERAL DE LA ENTIDAD Y NOTAS A LOS ESTADOS FINANCIEROS</t>
  </si>
  <si>
    <t>Alfredo Egydio Arruda Villela Filho</t>
  </si>
  <si>
    <t>Ana Lúcia de Mattos Barretto Villela</t>
  </si>
  <si>
    <t>Ricardo Villela Marino</t>
  </si>
  <si>
    <t>Rodolfo Villela Marino</t>
  </si>
  <si>
    <t>Rudric ITH Participações Ltda.</t>
  </si>
  <si>
    <t>Paulo Setubal Neto</t>
  </si>
  <si>
    <t>Carolina Marinho Lutz Setubal</t>
  </si>
  <si>
    <t>Julia Guidon Setubal Winandy</t>
  </si>
  <si>
    <t>Paulo Egydio Setubal</t>
  </si>
  <si>
    <t>Fernando Setubal Souza e Silva</t>
  </si>
  <si>
    <t>Guilherme Setubal Souza e Silva</t>
  </si>
  <si>
    <t>Tide Setubal Souza e Silva Nogueira</t>
  </si>
  <si>
    <t>Olavo Egydio Setubal Júnior</t>
  </si>
  <si>
    <t>Bruno Rizzo Setubal</t>
  </si>
  <si>
    <t>Camila Setubal Lenz Cesar</t>
  </si>
  <si>
    <t>Luiza Rizzo Setubal Kairalla</t>
  </si>
  <si>
    <t>Roberto Egydio Setubal</t>
  </si>
  <si>
    <t>Mariana Lucas Setubal</t>
  </si>
  <si>
    <t>Paula Lucas Setubal</t>
  </si>
  <si>
    <t>José Luiz Egydio Setubal</t>
  </si>
  <si>
    <t>Beatriz de Mattos Setubal</t>
  </si>
  <si>
    <t>Gabriel de Mattos Setubal</t>
  </si>
  <si>
    <t>Olavo Egydio Mutarelli Setubal</t>
  </si>
  <si>
    <t>Alfredo Egydio Setubal</t>
  </si>
  <si>
    <t>Alfredo Egydio Nugent Setubal</t>
  </si>
  <si>
    <t>Marina Nugent Setubal</t>
  </si>
  <si>
    <t>Ricardo Egydio Setubal</t>
  </si>
  <si>
    <t>Marcelo Ribeiro do Valle Setubal</t>
  </si>
  <si>
    <t>Patricia Ribeiro do Valle Setubal</t>
  </si>
  <si>
    <t>Rodrigo Ribeiro do Valle Setubal</t>
  </si>
  <si>
    <t>Cia ESA</t>
  </si>
  <si>
    <t>Fundação Itaú</t>
  </si>
  <si>
    <t>Fundação FAHZ</t>
  </si>
  <si>
    <t>Caixa dos Func. do Banco do Brasil - PREVI</t>
  </si>
  <si>
    <t>BANCO GNB</t>
  </si>
  <si>
    <t>MA1760</t>
  </si>
  <si>
    <t>AA5606</t>
  </si>
  <si>
    <t>AA5607</t>
  </si>
  <si>
    <t>AA5608</t>
  </si>
  <si>
    <t>AA5609</t>
  </si>
  <si>
    <t>AA5610</t>
  </si>
  <si>
    <t>BONOS CORPORATIVOS - GS</t>
  </si>
  <si>
    <t>PYTEL05F9246</t>
  </si>
  <si>
    <t>AL 31/12/2024</t>
  </si>
  <si>
    <t>BA2539</t>
  </si>
  <si>
    <t>BA2540</t>
  </si>
  <si>
    <t>EMISIONSOLAR 1</t>
  </si>
  <si>
    <t>EMISIONSOLAR 2</t>
  </si>
  <si>
    <t>EMISIONSOLAR 3</t>
  </si>
  <si>
    <t>EMISIONSOLAR 4</t>
  </si>
  <si>
    <t>EMISIONSOLAR 12</t>
  </si>
  <si>
    <t>EMISIONSOLAR 13</t>
  </si>
  <si>
    <t>EMISIONSOLAR 14</t>
  </si>
  <si>
    <t>EMISIONSOLAR 15</t>
  </si>
  <si>
    <t>AA2157</t>
  </si>
  <si>
    <t>AA2158</t>
  </si>
  <si>
    <t>AA2159</t>
  </si>
  <si>
    <t>AA2160</t>
  </si>
  <si>
    <t>AA2161</t>
  </si>
  <si>
    <t>AA2162</t>
  </si>
  <si>
    <t>AA2163</t>
  </si>
  <si>
    <t>AA2164</t>
  </si>
  <si>
    <t>AA2165</t>
  </si>
  <si>
    <t>AA9157</t>
  </si>
  <si>
    <t>AA9165</t>
  </si>
  <si>
    <t>AA9167</t>
  </si>
  <si>
    <t>AA9179</t>
  </si>
  <si>
    <t>AA9330</t>
  </si>
  <si>
    <t>EMISIONTUFI 6</t>
  </si>
  <si>
    <t>EMISIONTUFI 7</t>
  </si>
  <si>
    <t>EMISIONTUFI 8</t>
  </si>
  <si>
    <t>EMISIONTUFI 9</t>
  </si>
  <si>
    <t>EMISIONTUFI 10</t>
  </si>
  <si>
    <t>EMISIONTUFI 11</t>
  </si>
  <si>
    <t>EMISIONTUFI 12</t>
  </si>
  <si>
    <t>EMISIONTUFI 13</t>
  </si>
  <si>
    <t>EMISIONTUFI 14</t>
  </si>
  <si>
    <t>EMISIONTUFI 15</t>
  </si>
  <si>
    <t>AB5743</t>
  </si>
  <si>
    <t>FF0293</t>
  </si>
  <si>
    <t>FF0294</t>
  </si>
  <si>
    <t>FF0295</t>
  </si>
  <si>
    <t>FF0296</t>
  </si>
  <si>
    <t>FF0297</t>
  </si>
  <si>
    <t>AB5448</t>
  </si>
  <si>
    <t>BANCO FAMILIAR S.A.E.C.A</t>
  </si>
  <si>
    <t>EMISIONFAMILIAR1</t>
  </si>
  <si>
    <t>EMISIONFAMILIAR2</t>
  </si>
  <si>
    <t>EMISIONFAMILIAR3</t>
  </si>
  <si>
    <t>EMISIONFAMILIAR4</t>
  </si>
  <si>
    <t>EMISIONFAMILIAR5</t>
  </si>
  <si>
    <t>EMISIONFAMILIAR6</t>
  </si>
  <si>
    <t>AB8001</t>
  </si>
  <si>
    <t>BD3530</t>
  </si>
  <si>
    <t>BD3529</t>
  </si>
  <si>
    <t>CDA GS - Vinc</t>
  </si>
  <si>
    <t>PYFAM03F8637</t>
  </si>
  <si>
    <t>BANCO GNB PARAGUAY S.A.E.C.A.</t>
  </si>
  <si>
    <t>PYGNB01F9378</t>
  </si>
  <si>
    <t>PYTAU06F8711</t>
  </si>
  <si>
    <t>PYTAU09F8957</t>
  </si>
  <si>
    <t>PYTAU12F9158</t>
  </si>
  <si>
    <t>PYTAU13F9322</t>
  </si>
  <si>
    <t>BONOS SUBORDINADOS</t>
  </si>
  <si>
    <t>PYSUD01F7088</t>
  </si>
  <si>
    <t>NUCLEO S.A.</t>
  </si>
  <si>
    <t>PYTEL03F2276</t>
  </si>
  <si>
    <t>BONOS FINANCIERO USD VINC</t>
  </si>
  <si>
    <t>PYGNB01F9352</t>
  </si>
  <si>
    <t>PYTAU04F9331</t>
  </si>
  <si>
    <t>PYTAU05F9348</t>
  </si>
  <si>
    <t>PYTAU03F9183</t>
  </si>
  <si>
    <t>PYBRO01F9085</t>
  </si>
  <si>
    <t>PYRIO02F8337</t>
  </si>
  <si>
    <t>BANCO ITAU PARAGUAY S.A.</t>
  </si>
  <si>
    <t>PYTAU10F8962</t>
  </si>
  <si>
    <t>BONOS FINANCIEROS  - (GS)</t>
  </si>
  <si>
    <t>BANCO FAMILIAR SAECA</t>
  </si>
  <si>
    <t>PYSUDP0V5683</t>
  </si>
  <si>
    <t>PyAA+</t>
  </si>
  <si>
    <t>Banco Itaú Cta. Cte. 956 - USD</t>
  </si>
  <si>
    <t>BNF Cta. Cte. 15449 - USD</t>
  </si>
  <si>
    <t>BNF Cta. Cte. 1109 - GS</t>
  </si>
  <si>
    <t>Banco Sudameris Cta. Ahorro 581 - Gs</t>
  </si>
  <si>
    <t>Honorarios Directores USD</t>
  </si>
  <si>
    <t>Otros honorarios profesionales U$S</t>
  </si>
  <si>
    <t>Inversiones en Fondos - U$S VINCULADAS</t>
  </si>
  <si>
    <t>Inversiones en Fondos Títulos - U$S VIN</t>
  </si>
  <si>
    <t>Letras de Regulacion Monetaria GS</t>
  </si>
  <si>
    <t>Bco Cta Cte Disponibilidades - Clientes</t>
  </si>
  <si>
    <t>Bco Cta Cte Disponibilidades Clientes Gs</t>
  </si>
  <si>
    <t>Bancos Cuentas Clearing Gs</t>
  </si>
  <si>
    <t>Bancos Cuentas Clearing USD</t>
  </si>
  <si>
    <t>Bco Cta Cte Disponibilidades Cliente USD</t>
  </si>
  <si>
    <t>Inversiones en Fondos  - U$S VINCULADAS</t>
  </si>
  <si>
    <t>Inversiones en Fondos  Títulos - U$S VIN</t>
  </si>
  <si>
    <t>Por intermediación de acciones - PJ</t>
  </si>
  <si>
    <t>CDA - GS</t>
  </si>
  <si>
    <t>Bonos Financieros - USD NO VINC</t>
  </si>
  <si>
    <t>CDA Gs - VINCULADAS</t>
  </si>
  <si>
    <t>Bonos Públicos Gs - ISPy</t>
  </si>
  <si>
    <t>Egresos por Error Finanzas</t>
  </si>
  <si>
    <t>Del   01/01/2024  al   31/12/2024</t>
  </si>
  <si>
    <t>Al 31/12/2024</t>
  </si>
  <si>
    <t>CDA - Vinculadas</t>
  </si>
  <si>
    <t>AL 31 DE DICIEMBRE DE 2024</t>
  </si>
  <si>
    <t>Bonos Financieros - Vinculadas</t>
  </si>
  <si>
    <t>TOTAL DEV. A DICIEMBRE 2024</t>
  </si>
  <si>
    <t>TOTAL DEV. A DICIEMBRE 2024 GS</t>
  </si>
  <si>
    <t>CUPONES COBRADOS A DICIEMBRE 2024</t>
  </si>
  <si>
    <t>CUPONES COBRADOS A  DICIEMBRE 2024 GS</t>
  </si>
  <si>
    <t>AA4253</t>
  </si>
  <si>
    <t>AA5858</t>
  </si>
  <si>
    <t>AA5859</t>
  </si>
  <si>
    <t>AA5860</t>
  </si>
  <si>
    <t>AA5861</t>
  </si>
  <si>
    <t>AA5604</t>
  </si>
  <si>
    <t>AA5605</t>
  </si>
  <si>
    <t>BB1768</t>
  </si>
  <si>
    <t>BB1769</t>
  </si>
  <si>
    <t>BB1770</t>
  </si>
  <si>
    <t>BB1771</t>
  </si>
  <si>
    <t>BB1772</t>
  </si>
  <si>
    <t>BB1773</t>
  </si>
  <si>
    <t>BB1774</t>
  </si>
  <si>
    <t>BB1775</t>
  </si>
  <si>
    <t>BB1780</t>
  </si>
  <si>
    <t>BB1781</t>
  </si>
  <si>
    <t>BB1786</t>
  </si>
  <si>
    <t>BB1787</t>
  </si>
  <si>
    <t>BB1788</t>
  </si>
  <si>
    <t>BB1789</t>
  </si>
  <si>
    <t>BB1821</t>
  </si>
  <si>
    <t>BB1942</t>
  </si>
  <si>
    <t>BB1943</t>
  </si>
  <si>
    <t>BB1944</t>
  </si>
  <si>
    <t>BB1945</t>
  </si>
  <si>
    <t>BB1946</t>
  </si>
  <si>
    <t>BB1947</t>
  </si>
  <si>
    <t>BB1948</t>
  </si>
  <si>
    <t>BB1949</t>
  </si>
  <si>
    <t>BB1950</t>
  </si>
  <si>
    <t>BB1951</t>
  </si>
  <si>
    <t>Total al 31/12/2024</t>
  </si>
  <si>
    <t>La composición de la cartera de inversiones temporales y permanentes al 31 de diciembre de 2024 con valor de cotización fue la siguiente:</t>
  </si>
  <si>
    <t>31/12/2024</t>
  </si>
  <si>
    <t>POR EL PERIODO DEL 1 DE ENERO DE 2024 AL 31 DE DICIEMBRE DE 2024 PRESENTADO EN FORMA COMPARATIVA CON EL PERIODO DEL EJERCICIO DEL 1 DE ENERO DE 2023 AL 31 DE DICIEMBRE DE 2023.</t>
  </si>
  <si>
    <t>POR EL PERIODO DEL 1 DE ENERO DE 2024 AL 31 DE DICIEMBRE DE 2024 PRESENTADO EN FORMA COMPARATIVO CON EL PERIODO COMPRENDIDO ENTRE EL 1 DE ENERO DE 2023 Y EL 31 DE DICIEMBRE DE 2023.</t>
  </si>
  <si>
    <t>Al 31 de Diciembre de 2024, el capital social asciende a  ₲ 54.350.000.000 (Guaraníes cincuenta y cuatro millones trescientos cincuenta mil), representado por 54.350 acciones nominativas y ordinarias de ₲ 1.000.000 cada una.</t>
  </si>
  <si>
    <t>Los presentes Estados Financieros (Balance General, Estado de Resultados, Estado de Flujos de Efectivo y Estado de cambios en el Patrimonio Neto) abarcan el periodo comprendido entre el 1 de enero de 2024 y el 31 de diciembre de 2024.</t>
  </si>
  <si>
    <t>Periodo 
Actual al 31/12/2024</t>
  </si>
  <si>
    <t>Saldo al 31/12/2024</t>
  </si>
  <si>
    <t>31/12/2024
₲</t>
  </si>
  <si>
    <t>31/12/2023(*)               
₲</t>
  </si>
  <si>
    <t>31/12/2023               
₲</t>
  </si>
  <si>
    <t>31/12/2024               
₲</t>
  </si>
  <si>
    <t>3/12/2023</t>
  </si>
  <si>
    <t>Fecha: 27/12/2024</t>
  </si>
  <si>
    <t>Fecha: 31/12/2024</t>
  </si>
  <si>
    <t>Los estados financieros han sido preparados de acuerdo con las normas contables, criterios de valuación y las normas de presentación establecidas por la Superintendencia de Valores (denominada Comisión Nacional de Valores) y con Normas de Información Financiera (NIF) emitidas por el Consejo de Contadores Públicos del Paraguay.
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Según el índice general de precios del consumo publicado por el Banco Central del Paraguay, la inflación al 31 de diciembre de 2024 y 31 de diciembre de 2023 fueron del 3,8 % y 3,7% respectivamente.</t>
  </si>
  <si>
    <t>Bienes de uso: al 31 de diciembre de 2024 y 2023 la Entidad no cuenta con bienes de uso.
Cargos diferidos e Intangibles:  Las amortizaciones de intangibles se calculan por el método de la línea recta, considerando una vida útil de 60 meses. Los cargos diferidos son amortizados en conformidad al plazo por el cual los contratos otorgan el derecho al uso de los valores adquiridos.</t>
  </si>
  <si>
    <r>
      <t xml:space="preserve">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 La Compañía determina el impuesto a la renta aplicando la tasa vigente sobre la utilidad impositiva, sin considerar el efecto de las diferencias temporarias. El Directorio estima que al 31 de  diciembre de 2024 y 2023 el efecto del impuesto diferido generado por la Sociedad no es significativo para los estados financieros considerados en su conjunto.
</t>
    </r>
    <r>
      <rPr>
        <sz val="3"/>
        <color theme="1"/>
        <rFont val="Times New Roman"/>
        <family val="1"/>
      </rPr>
      <t xml:space="preserve">
</t>
    </r>
    <r>
      <rPr>
        <sz val="12"/>
        <color theme="1"/>
        <rFont val="Times New Roman"/>
        <family val="1"/>
      </rPr>
      <t xml:space="preserve">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
</t>
    </r>
    <r>
      <rPr>
        <sz val="3"/>
        <color theme="1"/>
        <rFont val="Times New Roman"/>
        <family val="1"/>
      </rPr>
      <t xml:space="preserve">
</t>
    </r>
    <r>
      <rPr>
        <sz val="12"/>
        <color theme="1"/>
        <rFont val="Times New Roman"/>
        <family val="1"/>
      </rPr>
      <t xml:space="preserve">Están obligados a presentar un informe técnico de precios de transferencia, aquellos contribuyentes cuyos ingresos brutos en el ejercicio inmediato anterior fuesen superiores a los ₲ 10 mil millones (US$ 1,36 MM aproximadamente).
</t>
    </r>
    <r>
      <rPr>
        <sz val="3"/>
        <color theme="1"/>
        <rFont val="Times New Roman"/>
        <family val="1"/>
      </rPr>
      <t xml:space="preserve">
</t>
    </r>
    <r>
      <rPr>
        <sz val="12"/>
        <color theme="1"/>
        <rFont val="Times New Roman"/>
        <family val="1"/>
      </rPr>
      <t xml:space="preserve">Es importante destacar que el decreto reglamentario 4644/2020 establece que en el marco del Estudio de precios de transferencia (EPT) se debe incluir información de la situación financiera y tributaria de las distintas jurisdicciones en las que opera el sujeto alcanzado. </t>
    </r>
  </si>
  <si>
    <t>Al 31 de diciembre de 2024, no se han registrado cambios en las políticas y procedimientos contables utilizados.</t>
  </si>
  <si>
    <t>Bonos Financieros Vinculadas</t>
  </si>
  <si>
    <t xml:space="preserve"> al 31/12/2024</t>
  </si>
  <si>
    <t>al 31/12/2024</t>
  </si>
  <si>
    <t>La composición de la cartera de Inversiones temporarias y permanentes al 31 de dicembre de 2024, las cuales se hallan valuadas conforme al criterio expuesto en la nota 3.2 b. fue la siguiente:</t>
  </si>
  <si>
    <t>TELECEL S.A.E.Bonos Corporativos</t>
  </si>
  <si>
    <t>NÚCLEO S.A.Bonos Corporativos</t>
  </si>
  <si>
    <t>BANCO FAMILIAR S.A.E.C.A.Bonos Financieros</t>
  </si>
  <si>
    <t>FINANCIERA FIC S.A.E.C.A.Bonos Financieros</t>
  </si>
  <si>
    <t>BANCO GNB PARAGUAY S.A.E.C.A.Bonos Financieros</t>
  </si>
  <si>
    <t>BANCO ITAÚ PARAGUAY S.A.Bonos Financieros- Vinculadas</t>
  </si>
  <si>
    <t>AGENCIA FINANCIERA DE DESARROLLOBONOS PÚBLICOS</t>
  </si>
  <si>
    <t>MINISTERIO DE ECONOMIA Y FINANZASBONOS PÚBLICOS</t>
  </si>
  <si>
    <t>SUDAMERIS BANK S.A.E.C.A.Bonos Subordinados</t>
  </si>
  <si>
    <t>BANCO RÍO S.A.E.C.A.Bonos Subordinados</t>
  </si>
  <si>
    <t>BANCO CONTINENTAL S.A.E.C.ACDA</t>
  </si>
  <si>
    <t>BANCO ATLAS S.A.CDA</t>
  </si>
  <si>
    <t>BANCO FAMILIAR S.A.E.C.ACDA</t>
  </si>
  <si>
    <t>BANCO GNB PARAGUAY S.A.CDA</t>
  </si>
  <si>
    <t>BANCO ITAÚ PARAGUAY S.A.CDA - Vinculadas</t>
  </si>
  <si>
    <t>BANCO NACIONAL DE FOMENTOCDA</t>
  </si>
  <si>
    <t>FINANCIERA FIC S.A.E.C.A.CDA</t>
  </si>
  <si>
    <t>FINANCIERA PARAGUAYO JAPONESACDA</t>
  </si>
  <si>
    <t>SOLAR BANCOCDA</t>
  </si>
  <si>
    <t>SUDAMERIS BANK SAECACDA</t>
  </si>
  <si>
    <t>TU FINANCIERA CDA</t>
  </si>
  <si>
    <t>ZETA BANCO S.A.E.C.ACDA</t>
  </si>
  <si>
    <t>BANCO CENTRAL DEL PARAGUAYLETRAS DE REGULACIÓN MONETARIA</t>
  </si>
  <si>
    <t>MINISTERIO DE ECONOMIA Y FINANZASBonos Públicos</t>
  </si>
  <si>
    <t xml:space="preserve">Intereses y dividendos de cartera propia </t>
  </si>
  <si>
    <t>Banco Nacional de Fomento  Cta Cte U$S  N° 0015449</t>
  </si>
  <si>
    <t>Banco Nacional de Fomento  Cta Cte ₲ N° 8221109</t>
  </si>
  <si>
    <t>Ueno Bank Cta. Cte. Nº 900664568 </t>
  </si>
  <si>
    <t>Cuentas a Pagar</t>
  </si>
  <si>
    <t>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fueron valuados a los tipos de cambio comprador y vendedor emitidos por la DNIT hasta la fecha de cierre del ejercicio 2023, desde enero del 2024 se utiliza el Tipo de Cambio Referencial Mensual publicada por el Banco Central del Paraguay  (Ver nota 5.a)</t>
  </si>
  <si>
    <t>Otros ingresos</t>
  </si>
  <si>
    <t>Otros egresos</t>
  </si>
  <si>
    <t xml:space="preserve">Impuesto a la renta a pagar </t>
  </si>
  <si>
    <t>Fondos de garantía a pagar</t>
  </si>
  <si>
    <t>Repos</t>
  </si>
  <si>
    <t>Honorarios</t>
  </si>
  <si>
    <t>Intereses por sobregiro</t>
  </si>
  <si>
    <t>Diferencia de precio (-) operaciones de arbitraje</t>
  </si>
  <si>
    <t>Diferencia de precio (-) operaciones</t>
  </si>
  <si>
    <t>Diferencia de precio por valor de venta (+)</t>
  </si>
  <si>
    <t>Ingresos por intereses devengados y comisiones</t>
  </si>
  <si>
    <t xml:space="preserve">Diferencia de precio por valor de compra (+) </t>
  </si>
  <si>
    <t>Aranceles cobrados - BVPASA</t>
  </si>
  <si>
    <t>Fondo de garantía - BVPASA</t>
  </si>
  <si>
    <t xml:space="preserve">Intereses cobrados BIPy </t>
  </si>
  <si>
    <t>Recupero de gastos</t>
  </si>
  <si>
    <t>Comisión por custodia de valores</t>
  </si>
  <si>
    <t>Comisión por distribución de fondos</t>
  </si>
  <si>
    <t>Bonos financieros</t>
  </si>
  <si>
    <t>Bonos financieros - Fondo Mutuo IAM Renta Fija</t>
  </si>
  <si>
    <t>Bonos corporativos - Fondo Mutuo IAM Renta Fija</t>
  </si>
  <si>
    <t>Gastos bancarios</t>
  </si>
  <si>
    <t>Aporte patronal IPS 16,5%</t>
  </si>
  <si>
    <t>NOTA 9. IMPUESTO A LA RENTA</t>
  </si>
  <si>
    <t>La conciliación entre el cargo por impuesto a las ganancias del ejercicio/período y el que resulta de aplicar la tasa impositiva vigente sobre el resultado contable antes del impuesto, es la siguiente:</t>
  </si>
  <si>
    <t>Gs</t>
  </si>
  <si>
    <t>Resultado del ejercicio / período antes de impuestos</t>
  </si>
  <si>
    <t>Tasa del impuesto vigente</t>
  </si>
  <si>
    <t>Resultado del ejercicio / período a la tasa del impuesto</t>
  </si>
  <si>
    <t>Diferencias permanentes a la tasa del impuesto</t>
  </si>
  <si>
    <t>Total cargo (beneficio) a resultados por impuesto a las ganancias</t>
  </si>
  <si>
    <t>NOTA 10. SANCIONES</t>
  </si>
  <si>
    <t>NOTA 11: OTROS ASUNTOS RELEVANTES</t>
  </si>
  <si>
    <t>NOTA 12. HECHOS POSTERIORES AL CIERRE DEL EJERCICIO</t>
  </si>
  <si>
    <t>Títulos de renta variable</t>
  </si>
  <si>
    <t>Títulos de renta fija</t>
  </si>
  <si>
    <t>Títulos de renta fija en reporto</t>
  </si>
  <si>
    <t>Títulos de renta fija AFS</t>
  </si>
  <si>
    <t xml:space="preserve">Títulos de renta fija    </t>
  </si>
  <si>
    <t>Otros activos no corrientes</t>
  </si>
  <si>
    <t>(Amortización acumulada)</t>
  </si>
  <si>
    <t xml:space="preserve">Activo intangibles y cargos diferidos </t>
  </si>
  <si>
    <t>Cuentas a pagar a personas y empresas relacionadas</t>
  </si>
  <si>
    <t>(Previsión s/ títulos de renta fija)</t>
  </si>
  <si>
    <t>Aportes de capital</t>
  </si>
  <si>
    <t>Banco Itaú Cta. Ahorro U$S 410001726</t>
  </si>
  <si>
    <t xml:space="preserve">Banco Solar Cta. Ahorro ₲ N° 187768 </t>
  </si>
  <si>
    <t xml:space="preserve">Banco Rio Cta Ahorro ₲ Nº 7456009 </t>
  </si>
  <si>
    <t xml:space="preserve">Banco Río Cta Ahorro U$S Nº 5126106 </t>
  </si>
  <si>
    <t xml:space="preserve">Banco Solar Cta. Ahorro U$S N° 3577 </t>
  </si>
  <si>
    <t>Banco Sudameris Cta. Ahorro U$S Nº 4068581</t>
  </si>
  <si>
    <t>Banco Sudameris Cta. Ahorro ₲ Nº 4068581</t>
  </si>
  <si>
    <t>BOLSA DE VALORES DE ASUNCIÓN S.A.</t>
  </si>
  <si>
    <t>Comisiones por servicio de custodia - Pont  ₲</t>
  </si>
  <si>
    <t>Retención renta</t>
  </si>
  <si>
    <t>Acreedores titulos renta fija en repo ₲</t>
  </si>
  <si>
    <t>Diferencia de precio a pagar - repo ₲</t>
  </si>
  <si>
    <t>Diferencia de precio a devengar - repo ₲</t>
  </si>
  <si>
    <t>Revaluación - superávit</t>
  </si>
  <si>
    <t>Integración de reserva</t>
  </si>
  <si>
    <t>Gerentes, administradores y auditores / beneficios salariales</t>
  </si>
  <si>
    <t>Intermediación en suscripción a fondos internacionales</t>
  </si>
  <si>
    <t>Diferencia de precio (+) operaciones extrabursátiles</t>
  </si>
  <si>
    <t>Diferencia de precio (+) operaciones de arbitraje</t>
  </si>
  <si>
    <t>Comisión por distribución fondos internacionales</t>
  </si>
  <si>
    <t>Diferencia de precio (+) operaciones bursátiles</t>
  </si>
  <si>
    <t>Gastos administrativos s/ suscripciones de fondos internacionales</t>
  </si>
  <si>
    <t>Fondos de garantía BVPASA</t>
  </si>
  <si>
    <t>Comisión servicio transf. de cartera ₲</t>
  </si>
  <si>
    <t>Gastos de representación</t>
  </si>
  <si>
    <t>Gastos de viaje</t>
  </si>
  <si>
    <t>Actualizacion página Web</t>
  </si>
  <si>
    <t>Banco Atlas Cta Cte ₲ N°1277659</t>
  </si>
  <si>
    <t>Banco Atlas Cta Cte U$S N°1277657</t>
  </si>
  <si>
    <t>Serv. centralizados (SLA) - vinculadas</t>
  </si>
  <si>
    <t>Otros honorarios profesionales</t>
  </si>
  <si>
    <t>Gastos de mantenimiento software</t>
  </si>
  <si>
    <t>Servicios de seguridad informatica - vinculadas</t>
  </si>
  <si>
    <t>IVA costo</t>
  </si>
  <si>
    <t>Egresos por error operativo GND</t>
  </si>
  <si>
    <t>Egresos por error operaciones y TI</t>
  </si>
  <si>
    <t>Egresos por error WMS</t>
  </si>
  <si>
    <t>Egresos por error finanzas</t>
  </si>
  <si>
    <t>Pérdida compensable de IRE del ejercicio anterior</t>
  </si>
  <si>
    <t>RADICE S.A.E.C.A.Bonos Corporativos</t>
  </si>
  <si>
    <t>FC7137</t>
  </si>
  <si>
    <t>FC7138</t>
  </si>
  <si>
    <t xml:space="preserve">FC7139 </t>
  </si>
  <si>
    <t>SLA por servicios de cumplimiento IAM  ₲</t>
  </si>
  <si>
    <t xml:space="preserve">Honorarios Directores </t>
  </si>
  <si>
    <t xml:space="preserve">Letras de regulacion monetaria - BIPy </t>
  </si>
  <si>
    <t>CDA U$S -Fondo Mutuo IAM Corto Plazo</t>
  </si>
  <si>
    <t>Anticipos a proveedores</t>
  </si>
  <si>
    <t xml:space="preserve">Por intermed. renta fija ₲ - ISPy </t>
  </si>
  <si>
    <t xml:space="preserve">CDA ₲ - Fondo Mutuo IAM Liquidez </t>
  </si>
  <si>
    <t>Seguro médico</t>
  </si>
  <si>
    <t>Servicios contables</t>
  </si>
  <si>
    <t>Auditoría externa</t>
  </si>
  <si>
    <t xml:space="preserve">Gourmet card </t>
  </si>
  <si>
    <t>Gastos no deducibles - U$S</t>
  </si>
  <si>
    <t>Gastos bancarios U$S- vinculadas</t>
  </si>
  <si>
    <t>Gastos viaje - reembolso a vinculadas</t>
  </si>
  <si>
    <t>Honorarios por gestiones varias - vinculadas</t>
  </si>
  <si>
    <t>Asesoría legal</t>
  </si>
  <si>
    <t>Capacitación y entrenamiento - vinculadas</t>
  </si>
  <si>
    <t>Gastos al personal</t>
  </si>
  <si>
    <t>Honorarios de escribanía</t>
  </si>
  <si>
    <t>Subsidio guarderia - gerentes y administradores</t>
  </si>
  <si>
    <t xml:space="preserve">Operación de compra - venta </t>
  </si>
  <si>
    <t>Subsidio guarderia</t>
  </si>
  <si>
    <t>Gastos bancarios - no deducible</t>
  </si>
  <si>
    <t>Otros gastos administrativos</t>
  </si>
  <si>
    <t>Gastos bancarios - no vinculadas</t>
  </si>
  <si>
    <t>Asesoría en computación</t>
  </si>
  <si>
    <t>Gastos no deducibles ₲</t>
  </si>
  <si>
    <t>Gastos bancarios ₲ vinculadas</t>
  </si>
  <si>
    <t>Licencia U$S</t>
  </si>
  <si>
    <t>Capacitación y entrenamiento</t>
  </si>
  <si>
    <t>Seguros privados al personal</t>
  </si>
  <si>
    <t>Banco Continental S.A.E.C.A.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</si>
</sst>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8">
    <numFmt numFmtId="6" formatCode="&quot;₲&quot;\ #,##0;[Red]&quot;₲&quot;\ \-#,##0"/>
    <numFmt numFmtId="42" formatCode="_ &quot;₲&quot;\ * #,##0_ ;_ &quot;₲&quot;\ * \-#,##0_ ;_ &quot;₲&quot;\ * &quot;-&quot;_ ;_ @_ "/>
    <numFmt numFmtId="41" formatCode="_ * #,##0_ ;_ * \-#,##0_ ;_ * &quot;-&quot;_ ;_ @_ "/>
    <numFmt numFmtId="43" formatCode="_ * #,##0.00_ ;_ * \-#,##0.00_ ;_ * &quot;-&quot;??_ ;_ @_ "/>
    <numFmt numFmtId="164" formatCode="_(* #,##0_);_(* \(#,##0\);_(* &quot;-&quot;_);_(@_)"/>
    <numFmt numFmtId="165" formatCode="_(&quot;$&quot;* #,##0.00_);_(&quot;$&quot;* \(#,##0.00\);_(&quot;$&quot;* &quot;-&quot;??_);_(@_)"/>
    <numFmt numFmtId="166" formatCode="_(* #,##0.00_);_(* \(#,##0.00\);_(* &quot;-&quot;??_);_(@_)"/>
    <numFmt numFmtId="167" formatCode="_-* #,##0_-;\-* #,##0_-;_-* &quot;-&quot;_-;_-@_-"/>
    <numFmt numFmtId="168" formatCode="_-* #,##0.00_-;\-* #,##0.00_-;_-* &quot;-&quot;??_-;_-@_-"/>
    <numFmt numFmtId="169" formatCode="_-* #,##0\ _€_-;\-* #,##0\ _€_-;_-* &quot;-&quot;\ _€_-;_-@_-"/>
    <numFmt numFmtId="170" formatCode="_-* #,##0.00\ _€_-;\-* #,##0.00\ _€_-;_-* &quot;-&quot;??\ _€_-;_-@_-"/>
    <numFmt numFmtId="171" formatCode="_-* #,##0\ _€_-;\-* #,##0\ _€_-;_-* &quot;-&quot;??\ _€_-;_-@_-"/>
    <numFmt numFmtId="172" formatCode="General_)"/>
    <numFmt numFmtId="173" formatCode="_(* #,##0.00_);_(* \(#,##0.00\);_(* &quot;-&quot;_);_(@_)"/>
    <numFmt numFmtId="174" formatCode="_(* #,##0_);_(* \(#,##0\);_(* &quot;-&quot;??_);_(@_)"/>
    <numFmt numFmtId="175" formatCode="#,##0_ ;[Red]\-#,##0\ "/>
    <numFmt numFmtId="176" formatCode="#,##0_ ;\-#,##0\ "/>
    <numFmt numFmtId="177" formatCode="0_ ;[Red]\-0\ "/>
    <numFmt numFmtId="178" formatCode="_ * #,##0.00_ ;_ * \-#,##0.00_ ;_ * &quot;-&quot;_ ;_ @_ "/>
    <numFmt numFmtId="179" formatCode="dd/mm/yyyy;@"/>
    <numFmt numFmtId="180" formatCode="_-* #,##0.00\ _p_t_a_-;\-* #,##0.00\ _p_t_a_-;_-* &quot;-&quot;??\ _p_t_a_-;_-@_-"/>
    <numFmt numFmtId="181" formatCode="_-* #,##0_-;\-* #,##0_-;_-* &quot;-&quot;??_-;_-@_-"/>
    <numFmt numFmtId="182" formatCode="_ [$€]\ * #,##0.00_ ;_ [$€]\ * \-#,##0.00_ ;_ [$€]\ * &quot;-&quot;??_ ;_ @_ "/>
    <numFmt numFmtId="183" formatCode="_-* #,##0\ _P_t_a_-;\-* #,##0\ _P_t_a_-;_-* &quot;-&quot;\ _P_t_a_-;_-@_-"/>
    <numFmt numFmtId="184" formatCode="_-* #,##0.00\ _P_t_s_-;\-* #,##0.00\ _P_t_s_-;_-* &quot;-&quot;??\ _P_t_s_-;_-@_-"/>
    <numFmt numFmtId="185" formatCode="0.000%"/>
    <numFmt numFmtId="186" formatCode="_(* #,##0.00_);_(* \(#,##0.00\);_(* \-??_);_(@_)"/>
    <numFmt numFmtId="187" formatCode="_-* #,##0.00\ &quot;Pts&quot;_-;\-* #,##0.00\ &quot;Pts&quot;_-;_-* &quot;-&quot;??\ &quot;Pts&quot;_-;_-@_-"/>
    <numFmt numFmtId="188" formatCode="_ * #,##0_ ;_ * \-#,##0_ ;_ * &quot;-&quot;??_ ;_ @_ "/>
    <numFmt numFmtId="189" formatCode="_ [$€-2]\ * #,##0.00_ ;_ [$€-2]\ * \-#,##0.00_ ;_ [$€-2]\ * &quot;-&quot;??_ "/>
    <numFmt numFmtId="190" formatCode="_-* #,##0.0\ _€_-;\-* #,##0.0\ _€_-;_-* &quot;-&quot;??\ _€_-;_-@_-"/>
    <numFmt numFmtId="191" formatCode="0.0%"/>
    <numFmt numFmtId="192" formatCode="_ &quot;Gs&quot;\ * #,##0_ ;_ &quot;Gs&quot;\ * \-#,##0_ ;_ &quot;Gs&quot;\ * &quot;-&quot;??_ ;_ @_ "/>
    <numFmt numFmtId="193" formatCode="_ * #,##0.000_ ;_ * \-#,##0.000_ ;_ * &quot;-&quot;??_ ;_ @_ "/>
    <numFmt numFmtId="194" formatCode="[$-F800]dddd\,\ mmmm\ dd\,\ yyyy"/>
    <numFmt numFmtId="195" formatCode="_(* #,##0.000_);_(* \(#,##0.000\);_(* &quot;-&quot;??_);_(@_)"/>
    <numFmt numFmtId="196" formatCode="_(* #,##0.000000_);_(* \(#,##0.000000\);_(* &quot;-&quot;??_);_(@_)"/>
    <numFmt numFmtId="197" formatCode="_(* #,##0.0000_);_(* \(#,##0.0000\);_(* &quot;-&quot;??_);_(@_)"/>
    <numFmt numFmtId="198" formatCode="_ &quot;Gs&quot;\ * #,##0.00_ ;_ &quot;Gs&quot;\ * \-#,##0.00_ ;_ &quot;Gs&quot;\ * &quot;-&quot;??_ ;_ @_ "/>
    <numFmt numFmtId="199" formatCode="#,##0.00&quot; &quot;[$€-C0A];[Red]&quot;-&quot;#,##0.00&quot; &quot;[$€-C0A]"/>
    <numFmt numFmtId="200" formatCode="_-* #,##0\ _p_t_a_-;\-* #,##0\ _p_t_a_-;_-* &quot;-&quot;??\ _p_t_a_-;_-@_-"/>
    <numFmt numFmtId="201" formatCode="&quot;Gs&quot;\ #,##0_);\(&quot;Gs&quot;\ #,##0\)"/>
    <numFmt numFmtId="202" formatCode="[$-C0A]dddd\,\ dd&quot; de &quot;mmmm&quot; de &quot;yyyy"/>
    <numFmt numFmtId="203" formatCode="#,##0;\-#,##0;&quot;---&quot;"/>
    <numFmt numFmtId="204" formatCode="#,##0.00;\-#,##0.00;\0"/>
    <numFmt numFmtId="205" formatCode="0.00000%"/>
    <numFmt numFmtId="206" formatCode="#,##0.00_ ;[Red]\-#,##0.00\ "/>
    <numFmt numFmtId="207" formatCode="_ * #,##0.0_ ;_ * \-#,##0.0_ ;_ * &quot;-&quot;_ ;_ @_ "/>
  </numFmts>
  <fonts count="16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color theme="1"/>
      <name val="Times New Roman"/>
      <family val="1"/>
    </font>
    <font>
      <b/>
      <sz val="12"/>
      <color theme="1"/>
      <name val="Times New Roman"/>
      <family val="1"/>
    </font>
    <font>
      <sz val="12"/>
      <name val="Courier"/>
      <family val="3"/>
    </font>
    <font>
      <b/>
      <sz val="12"/>
      <name val="Times New Roman"/>
      <family val="1"/>
    </font>
    <font>
      <b/>
      <u/>
      <sz val="12"/>
      <color theme="1"/>
      <name val="Times New Roman"/>
      <family val="1"/>
    </font>
    <font>
      <sz val="10"/>
      <name val="Arial"/>
      <family val="2"/>
    </font>
    <font>
      <sz val="10"/>
      <name val="Nimbus Sans L"/>
    </font>
    <font>
      <sz val="12"/>
      <color rgb="FFFF0000"/>
      <name val="Times New Roman"/>
      <family val="1"/>
    </font>
    <font>
      <sz val="12"/>
      <color theme="0"/>
      <name val="Times New Roman"/>
      <family val="1"/>
    </font>
    <font>
      <sz val="11"/>
      <color theme="1"/>
      <name val="Times New Roman"/>
      <family val="1"/>
    </font>
    <font>
      <b/>
      <sz val="10"/>
      <name val="Arial"/>
      <family val="2"/>
    </font>
    <font>
      <sz val="8"/>
      <name val="Arial"/>
      <family val="2"/>
    </font>
    <font>
      <b/>
      <sz val="8"/>
      <name val="Arial"/>
      <family val="2"/>
    </font>
    <font>
      <sz val="9"/>
      <name val="Arial"/>
      <family val="2"/>
    </font>
    <font>
      <sz val="12"/>
      <name val="Times New Roman"/>
      <family val="1"/>
    </font>
    <font>
      <sz val="10"/>
      <color indexed="8"/>
      <name val="Arial"/>
      <family val="2"/>
    </font>
    <font>
      <sz val="10"/>
      <color theme="1"/>
      <name val="Arial"/>
      <family val="2"/>
    </font>
    <font>
      <b/>
      <sz val="10"/>
      <color theme="1"/>
      <name val="Arial"/>
      <family val="2"/>
    </font>
    <font>
      <sz val="9"/>
      <color theme="1"/>
      <name val="Arial"/>
      <family val="2"/>
    </font>
    <font>
      <b/>
      <sz val="9"/>
      <color theme="1"/>
      <name val="Arial"/>
      <family val="2"/>
    </font>
    <font>
      <i/>
      <sz val="8"/>
      <color theme="1"/>
      <name val="Arial"/>
      <family val="2"/>
    </font>
    <font>
      <b/>
      <sz val="12"/>
      <color theme="0"/>
      <name val="Times New Roman"/>
      <family val="1"/>
    </font>
    <font>
      <u/>
      <sz val="11"/>
      <color theme="10"/>
      <name val="Calibri"/>
      <family val="2"/>
      <scheme val="minor"/>
    </font>
    <font>
      <sz val="18"/>
      <color theme="3"/>
      <name val="Calibri Light"/>
      <family val="2"/>
      <scheme val="major"/>
    </font>
    <font>
      <sz val="11"/>
      <color indexed="8"/>
      <name val="Calibri"/>
      <family val="2"/>
    </font>
    <font>
      <sz val="10"/>
      <name val="Times New Roman"/>
      <family val="1"/>
    </font>
    <font>
      <sz val="11"/>
      <color rgb="FF000000"/>
      <name val="Calibri"/>
      <family val="2"/>
    </font>
    <font>
      <u/>
      <sz val="11"/>
      <color theme="10"/>
      <name val="Times New Roman"/>
      <family val="1"/>
    </font>
    <font>
      <b/>
      <sz val="9"/>
      <color theme="0"/>
      <name val="Arial"/>
      <family val="2"/>
    </font>
    <font>
      <b/>
      <sz val="9"/>
      <name val="Arial"/>
      <family val="2"/>
    </font>
    <font>
      <sz val="11"/>
      <color theme="1"/>
      <name val="Arial"/>
      <family val="2"/>
    </font>
    <font>
      <b/>
      <sz val="14"/>
      <color indexed="8"/>
      <name val="Arial"/>
      <family val="2"/>
    </font>
    <font>
      <b/>
      <u/>
      <sz val="11"/>
      <color theme="1"/>
      <name val="Times New Roman"/>
      <family val="1"/>
    </font>
    <font>
      <sz val="12"/>
      <color rgb="FF000000"/>
      <name val="Times New Roman"/>
      <family val="1"/>
    </font>
    <font>
      <i/>
      <sz val="12"/>
      <color rgb="FFFF0000"/>
      <name val="Times New Roman"/>
      <family val="1"/>
    </font>
    <font>
      <sz val="9"/>
      <color rgb="FFFF0000"/>
      <name val="Arial"/>
      <family val="2"/>
    </font>
    <font>
      <b/>
      <sz val="16"/>
      <color theme="0"/>
      <name val="Times New Roman"/>
      <family val="1"/>
    </font>
    <font>
      <sz val="10"/>
      <name val="Courier"/>
      <family val="3"/>
    </font>
    <font>
      <sz val="11"/>
      <color rgb="FF9C5700"/>
      <name val="Calibri"/>
      <family val="2"/>
      <scheme val="minor"/>
    </font>
    <font>
      <b/>
      <sz val="14"/>
      <color theme="1"/>
      <name val="Times New Roman"/>
      <family val="1"/>
    </font>
    <font>
      <b/>
      <u/>
      <sz val="12"/>
      <color indexed="8"/>
      <name val="Times New Roman"/>
      <family val="1"/>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1"/>
      <color indexed="8"/>
      <name val="Calibri"/>
      <family val="2"/>
      <scheme val="minor"/>
    </font>
    <font>
      <sz val="12"/>
      <name val="Arial"/>
      <family val="2"/>
    </font>
    <font>
      <sz val="10"/>
      <name val="Verdana"/>
      <family val="2"/>
    </font>
    <font>
      <sz val="8"/>
      <name val="Verdana"/>
      <family val="2"/>
    </font>
    <font>
      <sz val="10"/>
      <color indexed="8"/>
      <name val="Courier New"/>
      <family val="1"/>
    </font>
    <font>
      <b/>
      <sz val="11"/>
      <color theme="0"/>
      <name val="Arial Narrow"/>
      <family val="2"/>
    </font>
    <font>
      <sz val="11"/>
      <name val="Arial Narrow"/>
      <family val="2"/>
    </font>
    <font>
      <sz val="11"/>
      <color theme="1"/>
      <name val="Calibri"/>
      <family val="2"/>
      <charset val="238"/>
      <scheme val="minor"/>
    </font>
    <font>
      <sz val="11"/>
      <color indexed="8"/>
      <name val="Arial"/>
      <family val="2"/>
    </font>
    <font>
      <sz val="10"/>
      <name val="Arial"/>
      <family val="2"/>
    </font>
    <font>
      <u/>
      <sz val="10"/>
      <color theme="10"/>
      <name val="Arial"/>
      <family val="2"/>
    </font>
    <font>
      <sz val="11"/>
      <name val="Calibri"/>
      <family val="2"/>
    </font>
    <font>
      <b/>
      <sz val="12"/>
      <color rgb="FFFFFFFF"/>
      <name val="Times New Roman"/>
      <family val="1"/>
    </font>
    <font>
      <sz val="12"/>
      <color theme="1"/>
      <name val="Calibri"/>
      <family val="2"/>
      <scheme val="minor"/>
    </font>
    <font>
      <b/>
      <sz val="12"/>
      <color rgb="FF000000"/>
      <name val="Times New Roman"/>
      <family val="1"/>
    </font>
    <font>
      <sz val="12"/>
      <color rgb="FFFFFFFF"/>
      <name val="Times New Roman"/>
      <family val="1"/>
    </font>
    <font>
      <u/>
      <sz val="12"/>
      <color rgb="FF000000"/>
      <name val="Times New Roman"/>
      <family val="1"/>
    </font>
    <font>
      <b/>
      <sz val="12"/>
      <color rgb="FFFF0000"/>
      <name val="Times New Roman"/>
      <family val="1"/>
    </font>
    <font>
      <b/>
      <i/>
      <sz val="12"/>
      <name val="Times New Roman"/>
      <family val="1"/>
    </font>
    <font>
      <u/>
      <sz val="12"/>
      <name val="Times New Roman"/>
      <family val="1"/>
    </font>
    <font>
      <i/>
      <sz val="12"/>
      <color rgb="FF000000"/>
      <name val="Times New Roman"/>
      <family val="1"/>
    </font>
    <font>
      <b/>
      <i/>
      <sz val="12"/>
      <color theme="1"/>
      <name val="Times New Roman"/>
      <family val="1"/>
    </font>
    <font>
      <i/>
      <sz val="12"/>
      <color theme="1"/>
      <name val="Times New Roman"/>
      <family val="1"/>
    </font>
    <font>
      <i/>
      <sz val="12"/>
      <name val="Times New Roman"/>
      <family val="1"/>
    </font>
    <font>
      <u/>
      <sz val="12"/>
      <color theme="10"/>
      <name val="Times New Roman"/>
      <family val="1"/>
    </font>
    <font>
      <sz val="10"/>
      <color theme="1"/>
      <name val="Times New Roman"/>
      <family val="1"/>
    </font>
    <font>
      <sz val="10"/>
      <color rgb="FF000000"/>
      <name val="Times New Roman"/>
      <family val="1"/>
    </font>
    <font>
      <b/>
      <sz val="10"/>
      <color rgb="FFFFFFFF"/>
      <name val="Times New Roman"/>
      <family val="1"/>
    </font>
    <font>
      <b/>
      <sz val="9"/>
      <color indexed="8"/>
      <name val="Arial"/>
      <family val="2"/>
    </font>
    <font>
      <b/>
      <u/>
      <sz val="9"/>
      <color indexed="8"/>
      <name val="Arial"/>
      <family val="2"/>
    </font>
    <font>
      <b/>
      <sz val="9"/>
      <color rgb="FFFFFF00"/>
      <name val="Arial"/>
      <family val="2"/>
    </font>
    <font>
      <b/>
      <sz val="9"/>
      <color indexed="8"/>
      <name val="Calibri"/>
      <family val="2"/>
      <scheme val="minor"/>
    </font>
    <font>
      <b/>
      <sz val="9"/>
      <color indexed="8"/>
      <name val="Calibri  "/>
    </font>
    <font>
      <sz val="9"/>
      <color indexed="8"/>
      <name val="Calibri  "/>
    </font>
    <font>
      <sz val="9"/>
      <color theme="1"/>
      <name val="Calibri  "/>
    </font>
    <font>
      <sz val="9"/>
      <color indexed="8"/>
      <name val="Calibri"/>
      <family val="2"/>
      <scheme val="minor"/>
    </font>
    <font>
      <b/>
      <sz val="9"/>
      <color theme="1"/>
      <name val="Calibri  "/>
    </font>
    <font>
      <b/>
      <sz val="9"/>
      <color rgb="FFFF0000"/>
      <name val="Arial"/>
      <family val="2"/>
    </font>
    <font>
      <b/>
      <sz val="12"/>
      <color rgb="FFFF0000"/>
      <name val="Calibri"/>
      <family val="2"/>
      <scheme val="minor"/>
    </font>
    <font>
      <b/>
      <i/>
      <sz val="12"/>
      <color rgb="FF000000"/>
      <name val="Times New Roman"/>
      <family val="1"/>
    </font>
    <font>
      <b/>
      <sz val="8"/>
      <color theme="0"/>
      <name val="Arial"/>
      <family val="2"/>
    </font>
    <font>
      <b/>
      <sz val="8"/>
      <color rgb="FFFF0000"/>
      <name val="Arial"/>
      <family val="2"/>
    </font>
    <font>
      <sz val="8"/>
      <color rgb="FFFF0000"/>
      <name val="Arial"/>
      <family val="2"/>
    </font>
    <font>
      <b/>
      <sz val="14"/>
      <name val="Times New Roman"/>
      <family val="1"/>
    </font>
    <font>
      <sz val="1"/>
      <color theme="1"/>
      <name val="Times New Roman"/>
      <family val="1"/>
    </font>
    <font>
      <sz val="11"/>
      <color rgb="FFFF0000"/>
      <name val="Times New Roman"/>
      <family val="1"/>
    </font>
    <font>
      <sz val="11"/>
      <name val="Times New Roman"/>
      <family val="1"/>
    </font>
    <font>
      <b/>
      <i/>
      <sz val="16"/>
      <color indexed="8"/>
      <name val="Calibri"/>
      <family val="2"/>
    </font>
    <font>
      <u/>
      <sz val="10"/>
      <color indexed="12"/>
      <name val="Arial"/>
      <family val="2"/>
    </font>
    <font>
      <u/>
      <sz val="13.2"/>
      <color theme="10"/>
      <name val="Calibri"/>
      <family val="2"/>
    </font>
    <font>
      <sz val="11"/>
      <color indexed="10"/>
      <name val="Calibri"/>
      <family val="2"/>
    </font>
    <font>
      <b/>
      <i/>
      <u/>
      <sz val="11"/>
      <color indexed="8"/>
      <name val="Calibri"/>
      <family val="2"/>
    </font>
    <font>
      <b/>
      <u/>
      <sz val="12"/>
      <color rgb="FF000000"/>
      <name val="Times New Roman"/>
      <family val="1"/>
    </font>
    <font>
      <sz val="10"/>
      <color rgb="FFFF0000"/>
      <name val="Arial"/>
      <family val="2"/>
    </font>
    <font>
      <sz val="3"/>
      <name val="Times New Roman"/>
      <family val="1"/>
    </font>
    <font>
      <sz val="3"/>
      <color theme="1"/>
      <name val="Times New Roman"/>
      <family val="1"/>
    </font>
    <font>
      <sz val="11"/>
      <color rgb="FF000000"/>
      <name val="Calibri"/>
      <family val="2"/>
      <charset val="1"/>
    </font>
    <font>
      <sz val="9"/>
      <color rgb="FFFF0000"/>
      <name val="Calibri  "/>
    </font>
    <font>
      <sz val="9"/>
      <color rgb="FFFF0000"/>
      <name val="Calibri"/>
      <family val="2"/>
      <scheme val="minor"/>
    </font>
    <font>
      <sz val="10"/>
      <color theme="0"/>
      <name val="Arial"/>
      <family val="2"/>
    </font>
    <font>
      <b/>
      <sz val="10"/>
      <color theme="0"/>
      <name val="Arial"/>
      <family val="2"/>
    </font>
    <font>
      <sz val="9"/>
      <color theme="0"/>
      <name val="Arial"/>
      <family val="2"/>
    </font>
    <font>
      <b/>
      <sz val="12"/>
      <color rgb="FFFFFF00"/>
      <name val="Times New Roman"/>
      <family val="1"/>
    </font>
    <font>
      <b/>
      <sz val="14"/>
      <color theme="1"/>
      <name val="Calibri"/>
      <family val="2"/>
      <scheme val="minor"/>
    </font>
    <font>
      <i/>
      <sz val="10"/>
      <color theme="1"/>
      <name val="Times New Roman"/>
      <family val="1"/>
    </font>
    <font>
      <sz val="10"/>
      <name val="Arial"/>
      <family val="2"/>
    </font>
    <font>
      <sz val="10"/>
      <name val="Arial Narrow"/>
      <family val="2"/>
    </font>
    <font>
      <sz val="10"/>
      <color theme="1"/>
      <name val="Arial"/>
      <family val="2"/>
    </font>
    <font>
      <sz val="9"/>
      <color theme="1"/>
      <name val="Arial"/>
      <family val="2"/>
    </font>
    <font>
      <b/>
      <sz val="10"/>
      <color rgb="FFFF0000"/>
      <name val="Arial"/>
      <family val="2"/>
    </font>
    <font>
      <sz val="9"/>
      <color rgb="FFFF0000"/>
      <name val="Arial"/>
      <family val="2"/>
    </font>
    <font>
      <sz val="9"/>
      <name val="Arial"/>
      <family val="2"/>
    </font>
    <font>
      <sz val="9"/>
      <color theme="0"/>
      <name val="Arial"/>
      <family val="2"/>
    </font>
    <font>
      <b/>
      <sz val="9"/>
      <name val="Arial"/>
      <family val="2"/>
    </font>
    <font>
      <b/>
      <sz val="9"/>
      <color theme="0"/>
      <name val="Arial"/>
      <family val="2"/>
    </font>
    <font>
      <sz val="10"/>
      <name val="Arial"/>
      <family val="2"/>
    </font>
    <font>
      <sz val="11"/>
      <color theme="0"/>
      <name val="Times New Roman"/>
      <family val="1"/>
    </font>
    <font>
      <b/>
      <sz val="10"/>
      <color rgb="FF000000"/>
      <name val="Arial Narrow"/>
      <family val="2"/>
    </font>
    <font>
      <sz val="10"/>
      <color indexed="8"/>
      <name val="Courier New"/>
      <family val="2"/>
    </font>
    <font>
      <b/>
      <u/>
      <sz val="10"/>
      <name val="Arial"/>
      <family val="2"/>
    </font>
    <font>
      <u/>
      <sz val="10"/>
      <name val="Arial"/>
      <family val="2"/>
    </font>
    <font>
      <sz val="8"/>
      <color rgb="FFFF0000"/>
      <name val="Calibri"/>
      <family val="2"/>
      <scheme val="minor"/>
    </font>
    <font>
      <b/>
      <i/>
      <sz val="11"/>
      <color theme="1"/>
      <name val="Times New Roman"/>
      <family val="1"/>
    </font>
    <font>
      <sz val="8"/>
      <color rgb="FF000000"/>
      <name val="Times New Roman"/>
      <family val="1"/>
    </font>
    <font>
      <sz val="8"/>
      <name val="Calibri"/>
      <family val="2"/>
      <scheme val="minor"/>
    </font>
    <font>
      <sz val="9"/>
      <name val="Arial"/>
      <family val="2"/>
    </font>
    <font>
      <b/>
      <sz val="12"/>
      <color theme="1"/>
      <name val="Calibri"/>
      <family val="2"/>
      <scheme val="minor"/>
    </font>
    <font>
      <sz val="12"/>
      <color theme="0"/>
      <name val="Calibri"/>
      <family val="2"/>
      <scheme val="minor"/>
    </font>
    <font>
      <sz val="11"/>
      <color rgb="FF000000"/>
      <name val="Times New Roman"/>
      <family val="1"/>
    </font>
    <font>
      <sz val="10"/>
      <color rgb="FFFF0000"/>
      <name val="Courier New"/>
      <family val="2"/>
    </font>
    <font>
      <sz val="9"/>
      <color theme="1"/>
      <name val="Arial"/>
      <family val="2"/>
    </font>
    <font>
      <sz val="9"/>
      <name val="Arial"/>
      <family val="2"/>
    </font>
    <font>
      <b/>
      <sz val="9"/>
      <color theme="1"/>
      <name val="Arial"/>
      <family val="2"/>
    </font>
    <font>
      <sz val="10"/>
      <color theme="0"/>
      <name val="Courier New"/>
      <family val="2"/>
    </font>
    <font>
      <i/>
      <sz val="12"/>
      <color theme="0"/>
      <name val="Times New Roman"/>
      <family val="1"/>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D0D0D"/>
        <bgColor indexed="64"/>
      </patternFill>
    </fill>
    <fill>
      <patternFill patternType="solid">
        <fgColor theme="1" tint="4.9989318521683403E-2"/>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bgColor indexed="64"/>
      </patternFill>
    </fill>
    <fill>
      <patternFill patternType="solid">
        <fgColor rgb="FF000000"/>
        <bgColor indexed="64"/>
      </patternFill>
    </fill>
    <fill>
      <patternFill patternType="solid">
        <fgColor rgb="FF161616"/>
        <bgColor indexed="64"/>
      </patternFill>
    </fill>
    <fill>
      <patternFill patternType="solid">
        <fgColor rgb="FF002060"/>
        <bgColor indexed="64"/>
      </patternFill>
    </fill>
    <fill>
      <patternFill patternType="solid">
        <fgColor rgb="FF000066"/>
        <bgColor indexed="64"/>
      </patternFill>
    </fill>
    <fill>
      <patternFill patternType="solid">
        <fgColor theme="1"/>
        <bgColor indexed="64"/>
      </patternFill>
    </fill>
    <fill>
      <patternFill patternType="solid">
        <fgColor theme="7" tint="0.39997558519241921"/>
        <bgColor indexed="64"/>
      </patternFill>
    </fill>
    <fill>
      <patternFill patternType="solid">
        <fgColor rgb="FFFFCCFF"/>
        <bgColor indexed="64"/>
      </patternFill>
    </fill>
    <fill>
      <patternFill patternType="solid">
        <fgColor rgb="FF00B05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66FFFF"/>
        <bgColor indexed="64"/>
      </patternFill>
    </fill>
    <fill>
      <patternFill patternType="solid">
        <fgColor rgb="FFFF0000"/>
        <bgColor indexed="64"/>
      </patternFill>
    </fill>
    <fill>
      <patternFill patternType="solid">
        <fgColor theme="5" tint="0.79998168889431442"/>
        <bgColor indexed="64"/>
      </patternFill>
    </fill>
    <fill>
      <patternFill patternType="solid">
        <fgColor rgb="FF66FF33"/>
        <bgColor indexed="64"/>
      </patternFill>
    </fill>
    <fill>
      <patternFill patternType="solid">
        <fgColor theme="8" tint="0.39997558519241921"/>
        <bgColor indexed="64"/>
      </patternFill>
    </fill>
    <fill>
      <patternFill patternType="solid">
        <fgColor rgb="FFCCFF99"/>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rgb="FF00B0F0"/>
        <bgColor indexed="64"/>
      </patternFill>
    </fill>
    <fill>
      <patternFill patternType="solid">
        <fgColor theme="0"/>
        <bgColor indexed="64"/>
      </patternFill>
    </fill>
    <fill>
      <patternFill patternType="solid">
        <fgColor rgb="FFDB9EF4"/>
        <bgColor indexed="64"/>
      </patternFill>
    </fill>
    <fill>
      <patternFill patternType="solid">
        <fgColor theme="2"/>
        <bgColor indexed="64"/>
      </patternFill>
    </fill>
    <fill>
      <patternFill patternType="solid">
        <fgColor theme="3" tint="0.79998168889431442"/>
        <bgColor indexed="64"/>
      </patternFill>
    </fill>
  </fills>
  <borders count="1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ck">
        <color indexed="64"/>
      </right>
      <top style="thick">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bottom style="thick">
        <color indexed="64"/>
      </bottom>
      <diagonal/>
    </border>
    <border>
      <left style="medium">
        <color theme="0"/>
      </left>
      <right style="medium">
        <color theme="0"/>
      </right>
      <top style="medium">
        <color theme="0"/>
      </top>
      <bottom style="medium">
        <color theme="0"/>
      </bottom>
      <diagonal/>
    </border>
    <border>
      <left/>
      <right/>
      <top/>
      <bottom style="thin">
        <color theme="0" tint="-0.499984740745262"/>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rgb="FF000000"/>
      </left>
      <right style="medium">
        <color rgb="FF000000"/>
      </right>
      <top style="medium">
        <color rgb="FF000000"/>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medium">
        <color theme="0"/>
      </left>
      <right style="thin">
        <color indexed="64"/>
      </right>
      <top/>
      <bottom/>
      <diagonal/>
    </border>
    <border>
      <left/>
      <right style="medium">
        <color rgb="FF000000"/>
      </right>
      <top/>
      <bottom/>
      <diagonal/>
    </border>
    <border>
      <left/>
      <right style="medium">
        <color indexed="64"/>
      </right>
      <top/>
      <bottom style="medium">
        <color rgb="FF000000"/>
      </bottom>
      <diagonal/>
    </border>
    <border>
      <left/>
      <right style="medium">
        <color indexed="64"/>
      </right>
      <top/>
      <bottom style="double">
        <color indexed="64"/>
      </bottom>
      <diagonal/>
    </border>
    <border>
      <left/>
      <right/>
      <top style="medium">
        <color rgb="FF000000"/>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rgb="FF000000"/>
      </top>
      <bottom/>
      <diagonal/>
    </border>
    <border>
      <left style="medium">
        <color indexed="64"/>
      </left>
      <right style="medium">
        <color indexed="64"/>
      </right>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style="medium">
        <color indexed="64"/>
      </bottom>
      <diagonal/>
    </border>
    <border>
      <left style="medium">
        <color rgb="FF000000"/>
      </left>
      <right style="medium">
        <color indexed="64"/>
      </right>
      <top style="medium">
        <color rgb="FF000000"/>
      </top>
      <bottom/>
      <diagonal/>
    </border>
    <border>
      <left/>
      <right style="medium">
        <color indexed="64"/>
      </right>
      <top style="medium">
        <color rgb="FF000000"/>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000000"/>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top style="medium">
        <color indexed="64"/>
      </top>
      <bottom style="double">
        <color indexed="64"/>
      </bottom>
      <diagonal/>
    </border>
    <border>
      <left style="medium">
        <color rgb="FF000000"/>
      </left>
      <right style="medium">
        <color rgb="FF000000"/>
      </right>
      <top style="medium">
        <color indexed="64"/>
      </top>
      <bottom style="double">
        <color indexed="64"/>
      </bottom>
      <diagonal/>
    </border>
    <border>
      <left style="medium">
        <color rgb="FF000000"/>
      </left>
      <right style="medium">
        <color rgb="FF000000"/>
      </right>
      <top/>
      <bottom style="double">
        <color indexed="64"/>
      </bottom>
      <diagonal/>
    </border>
    <border>
      <left/>
      <right style="medium">
        <color rgb="FF000000"/>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rgb="FF000000"/>
      </right>
      <top style="double">
        <color indexed="64"/>
      </top>
      <bottom style="double">
        <color indexed="64"/>
      </bottom>
      <diagonal/>
    </border>
    <border>
      <left style="medium">
        <color indexed="64"/>
      </left>
      <right style="medium">
        <color indexed="64"/>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auto="1"/>
      </left>
      <right style="thin">
        <color auto="1"/>
      </right>
      <top style="medium">
        <color auto="1"/>
      </top>
      <bottom style="medium">
        <color auto="1"/>
      </bottom>
      <diagonal/>
    </border>
    <border>
      <left style="medium">
        <color indexed="64"/>
      </left>
      <right style="medium">
        <color indexed="64"/>
      </right>
      <top style="thin">
        <color indexed="64"/>
      </top>
      <bottom style="double">
        <color indexed="64"/>
      </bottom>
      <diagonal/>
    </border>
    <border>
      <left style="medium">
        <color rgb="FF000000"/>
      </left>
      <right style="medium">
        <color rgb="FF000000"/>
      </right>
      <top style="medium">
        <color indexed="64"/>
      </top>
      <bottom/>
      <diagonal/>
    </border>
    <border>
      <left style="medium">
        <color indexed="64"/>
      </left>
      <right style="medium">
        <color rgb="FF000000"/>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theme="0"/>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double">
        <color indexed="64"/>
      </top>
      <bottom style="thin">
        <color indexed="64"/>
      </bottom>
      <diagonal/>
    </border>
    <border>
      <left/>
      <right/>
      <top style="thin">
        <color indexed="64"/>
      </top>
      <bottom style="double">
        <color indexed="64"/>
      </bottom>
      <diagonal/>
    </border>
    <border>
      <left style="medium">
        <color indexed="64"/>
      </left>
      <right style="thin">
        <color indexed="64"/>
      </right>
      <top/>
      <bottom/>
      <diagonal/>
    </border>
  </borders>
  <cellStyleXfs count="50390">
    <xf numFmtId="0" fontId="0" fillId="0" borderId="0"/>
    <xf numFmtId="170"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2" fontId="21" fillId="0" borderId="0"/>
    <xf numFmtId="164" fontId="1" fillId="0" borderId="0" applyFont="0" applyFill="0" applyBorder="0" applyAlignment="0" applyProtection="0"/>
    <xf numFmtId="0" fontId="24" fillId="0" borderId="0"/>
    <xf numFmtId="0" fontId="24" fillId="0" borderId="0"/>
    <xf numFmtId="0" fontId="25" fillId="0" borderId="0"/>
    <xf numFmtId="0" fontId="24" fillId="0" borderId="0"/>
    <xf numFmtId="166" fontId="1" fillId="0" borderId="0" applyFont="0" applyFill="0" applyBorder="0" applyAlignment="0" applyProtection="0"/>
    <xf numFmtId="41" fontId="1" fillId="0" borderId="0" applyFont="0" applyFill="0" applyBorder="0" applyAlignment="0" applyProtection="0"/>
    <xf numFmtId="0" fontId="41" fillId="0" borderId="0" applyNumberFormat="0" applyFill="0" applyBorder="0" applyAlignment="0" applyProtection="0"/>
    <xf numFmtId="168" fontId="1" fillId="0" borderId="0" applyFont="0" applyFill="0" applyBorder="0" applyAlignment="0" applyProtection="0"/>
    <xf numFmtId="0" fontId="24" fillId="0" borderId="0" applyNumberForma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2"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0" fontId="43"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70" fontId="1" fillId="0" borderId="0" applyFont="0" applyFill="0" applyBorder="0" applyAlignment="0" applyProtection="0"/>
    <xf numFmtId="9" fontId="24" fillId="0" borderId="0" applyFont="0" applyFill="0" applyBorder="0" applyAlignment="0" applyProtection="0"/>
    <xf numFmtId="0" fontId="1" fillId="0" borderId="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0" fontId="24" fillId="0" borderId="0"/>
    <xf numFmtId="0" fontId="1" fillId="0" borderId="0"/>
    <xf numFmtId="170" fontId="1" fillId="0" borderId="0" applyFont="0" applyFill="0" applyBorder="0" applyAlignment="0" applyProtection="0"/>
    <xf numFmtId="180" fontId="24" fillId="0" borderId="0" applyFont="0" applyFill="0" applyBorder="0" applyAlignment="0" applyProtection="0"/>
    <xf numFmtId="43" fontId="1" fillId="0" borderId="0" applyFont="0" applyFill="0" applyBorder="0" applyAlignment="0" applyProtection="0"/>
    <xf numFmtId="0" fontId="45" fillId="0" borderId="0"/>
    <xf numFmtId="0" fontId="24" fillId="0" borderId="0"/>
    <xf numFmtId="41"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4" fillId="0" borderId="0"/>
    <xf numFmtId="166" fontId="1"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56"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xf numFmtId="41" fontId="1" fillId="0" borderId="0" applyFont="0" applyFill="0" applyBorder="0" applyAlignment="0" applyProtection="0"/>
    <xf numFmtId="168" fontId="1" fillId="0" borderId="0" applyFont="0" applyFill="0" applyBorder="0" applyAlignment="0" applyProtection="0"/>
    <xf numFmtId="0" fontId="34" fillId="0" borderId="0">
      <alignment vertical="top"/>
    </xf>
    <xf numFmtId="41" fontId="34" fillId="0" borderId="0" applyFont="0" applyFill="0" applyBorder="0" applyAlignment="0" applyProtection="0"/>
    <xf numFmtId="0" fontId="57"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24"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37" fontId="60" fillId="0" borderId="0"/>
    <xf numFmtId="0" fontId="62" fillId="0" borderId="0" applyNumberFormat="0" applyFill="0" applyBorder="0" applyAlignment="0" applyProtection="0">
      <alignment vertical="top"/>
      <protection locked="0"/>
    </xf>
    <xf numFmtId="40" fontId="61" fillId="0" borderId="0" applyFont="0" applyFill="0" applyBorder="0" applyAlignment="0" applyProtection="0"/>
    <xf numFmtId="38" fontId="61" fillId="0" borderId="0" applyFont="0" applyFill="0" applyBorder="0" applyAlignment="0" applyProtection="0"/>
    <xf numFmtId="41" fontId="24"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0" fontId="61" fillId="0" borderId="0" applyFont="0" applyFill="0" applyBorder="0" applyAlignment="0" applyProtection="0"/>
    <xf numFmtId="43"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0" fontId="24"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0" fontId="1" fillId="0" borderId="0"/>
    <xf numFmtId="0" fontId="24"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0" fontId="24" fillId="0" borderId="0"/>
    <xf numFmtId="0" fontId="24" fillId="0" borderId="0"/>
    <xf numFmtId="0" fontId="24" fillId="0" borderId="0"/>
    <xf numFmtId="0" fontId="24" fillId="0" borderId="0"/>
    <xf numFmtId="0" fontId="24" fillId="0" borderId="0"/>
    <xf numFmtId="0" fontId="24"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0" fontId="63" fillId="0" borderId="0"/>
    <xf numFmtId="0" fontId="63" fillId="0" borderId="0"/>
    <xf numFmtId="0" fontId="63"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0" fontId="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4"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0" fontId="24" fillId="0" borderId="0"/>
    <xf numFmtId="0" fontId="24" fillId="0" borderId="0"/>
    <xf numFmtId="0" fontId="24" fillId="0" borderId="0"/>
    <xf numFmtId="0" fontId="24" fillId="0" borderId="0"/>
    <xf numFmtId="0" fontId="24" fillId="0" borderId="0"/>
    <xf numFmtId="0" fontId="24" fillId="0" borderId="0"/>
    <xf numFmtId="37" fontId="56" fillId="0" borderId="0"/>
    <xf numFmtId="0" fontId="43" fillId="8" borderId="8" applyNumberFormat="0" applyFont="0" applyAlignment="0" applyProtection="0"/>
    <xf numFmtId="0" fontId="1" fillId="8" borderId="8" applyNumberFormat="0" applyFont="0" applyAlignment="0" applyProtection="0"/>
    <xf numFmtId="0" fontId="43" fillId="8" borderId="8" applyNumberFormat="0" applyFont="0" applyAlignment="0" applyProtection="0"/>
    <xf numFmtId="9" fontId="6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43" fillId="0" borderId="0" applyFont="0" applyFill="0" applyBorder="0" applyAlignment="0" applyProtection="0"/>
    <xf numFmtId="9" fontId="61" fillId="0" borderId="0" applyFont="0" applyFill="0" applyBorder="0" applyAlignment="0" applyProtection="0"/>
    <xf numFmtId="9" fontId="43" fillId="0" borderId="0" applyFont="0" applyFill="0" applyBorder="0" applyAlignment="0" applyProtection="0"/>
    <xf numFmtId="9" fontId="61" fillId="0" borderId="0" applyFont="0" applyFill="0" applyBorder="0" applyAlignment="0" applyProtection="0"/>
    <xf numFmtId="9" fontId="43" fillId="0" borderId="0" applyFont="0" applyFill="0" applyBorder="0" applyAlignment="0" applyProtection="0"/>
    <xf numFmtId="9" fontId="61" fillId="0" borderId="0" applyFont="0" applyFill="0" applyBorder="0" applyAlignment="0" applyProtection="0"/>
    <xf numFmtId="9" fontId="4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38" fontId="61" fillId="0" borderId="0" applyFont="0" applyBorder="0" applyAlignment="0" applyProtection="0"/>
    <xf numFmtId="168" fontId="56" fillId="0" borderId="0" applyFont="0" applyFill="0" applyBorder="0" applyAlignment="0" applyProtection="0"/>
    <xf numFmtId="168" fontId="56" fillId="0" borderId="0" applyFont="0" applyFill="0" applyBorder="0" applyAlignment="0" applyProtection="0"/>
    <xf numFmtId="37" fontId="56" fillId="0" borderId="0"/>
    <xf numFmtId="37" fontId="56" fillId="0" borderId="0"/>
    <xf numFmtId="37" fontId="56" fillId="0" borderId="0"/>
    <xf numFmtId="0" fontId="1" fillId="0" borderId="0"/>
    <xf numFmtId="0" fontId="63" fillId="0" borderId="0"/>
    <xf numFmtId="37" fontId="56" fillId="0" borderId="0"/>
    <xf numFmtId="37" fontId="56" fillId="0" borderId="0"/>
    <xf numFmtId="37" fontId="56" fillId="0" borderId="0"/>
    <xf numFmtId="37" fontId="56" fillId="0" borderId="0"/>
    <xf numFmtId="37" fontId="56" fillId="0" borderId="0"/>
    <xf numFmtId="37" fontId="56" fillId="0" borderId="0"/>
    <xf numFmtId="37" fontId="56" fillId="0" borderId="0"/>
    <xf numFmtId="0" fontId="1" fillId="0" borderId="0"/>
    <xf numFmtId="37" fontId="56" fillId="0" borderId="0"/>
    <xf numFmtId="37" fontId="56" fillId="0" borderId="0"/>
    <xf numFmtId="37" fontId="56" fillId="0" borderId="0"/>
    <xf numFmtId="43" fontId="1" fillId="0" borderId="0" applyFont="0" applyFill="0" applyBorder="0" applyAlignment="0" applyProtection="0"/>
    <xf numFmtId="0" fontId="63" fillId="0" borderId="0"/>
    <xf numFmtId="0" fontId="1" fillId="0" borderId="0"/>
    <xf numFmtId="37" fontId="56" fillId="0" borderId="0"/>
    <xf numFmtId="37" fontId="56" fillId="0" borderId="0"/>
    <xf numFmtId="0" fontId="63" fillId="0" borderId="0"/>
    <xf numFmtId="0" fontId="63" fillId="0" borderId="0"/>
    <xf numFmtId="0" fontId="63" fillId="0" borderId="0"/>
    <xf numFmtId="0" fontId="63" fillId="0" borderId="0"/>
    <xf numFmtId="0" fontId="43" fillId="8" borderId="8" applyNumberFormat="0" applyFont="0" applyAlignment="0" applyProtection="0"/>
    <xf numFmtId="9" fontId="61" fillId="0" borderId="0" applyFont="0" applyFill="0" applyBorder="0" applyAlignment="0" applyProtection="0"/>
    <xf numFmtId="9"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0" fontId="24" fillId="0" borderId="0" applyNumberFormat="0" applyFill="0" applyBorder="0" applyAlignment="0" applyProtection="0"/>
    <xf numFmtId="0" fontId="24" fillId="0" borderId="0"/>
    <xf numFmtId="0" fontId="24" fillId="0" borderId="0"/>
    <xf numFmtId="0" fontId="1" fillId="0" borderId="0"/>
    <xf numFmtId="168" fontId="43" fillId="0" borderId="0" applyFont="0" applyFill="0" applyBorder="0" applyAlignment="0" applyProtection="0"/>
    <xf numFmtId="0" fontId="24" fillId="0" borderId="0"/>
    <xf numFmtId="43" fontId="24"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4" fillId="0" borderId="0" applyFont="0" applyFill="0" applyBorder="0" applyAlignment="0" applyProtection="0"/>
    <xf numFmtId="0" fontId="24" fillId="0" borderId="0" applyNumberFormat="0" applyFill="0" applyBorder="0" applyAlignment="0" applyProtection="0"/>
    <xf numFmtId="0" fontId="1" fillId="0" borderId="0"/>
    <xf numFmtId="0" fontId="24" fillId="0" borderId="0"/>
    <xf numFmtId="168" fontId="24" fillId="0" borderId="0" applyFont="0" applyFill="0" applyBorder="0" applyAlignment="0" applyProtection="0"/>
    <xf numFmtId="168" fontId="1" fillId="0" borderId="0" applyFont="0" applyFill="0" applyBorder="0" applyAlignment="0" applyProtection="0"/>
    <xf numFmtId="0" fontId="18" fillId="0" borderId="0"/>
    <xf numFmtId="167" fontId="24" fillId="0" borderId="0" applyFont="0" applyFill="0" applyBorder="0" applyAlignment="0" applyProtection="0"/>
    <xf numFmtId="168" fontId="1" fillId="0" borderId="0" applyFont="0" applyFill="0" applyBorder="0" applyAlignment="0" applyProtection="0"/>
    <xf numFmtId="0" fontId="18" fillId="0" borderId="0"/>
    <xf numFmtId="0" fontId="24" fillId="0" borderId="0"/>
    <xf numFmtId="168" fontId="43" fillId="0" borderId="0" applyFont="0" applyFill="0" applyBorder="0" applyAlignment="0" applyProtection="0"/>
    <xf numFmtId="168" fontId="24" fillId="0" borderId="0" applyFont="0" applyFill="0" applyBorder="0" applyAlignment="0" applyProtection="0"/>
    <xf numFmtId="0" fontId="24" fillId="0" borderId="0"/>
    <xf numFmtId="0" fontId="24" fillId="0" borderId="0"/>
    <xf numFmtId="168" fontId="24" fillId="0" borderId="0" applyFont="0" applyFill="0" applyBorder="0" applyAlignment="0" applyProtection="0"/>
    <xf numFmtId="0" fontId="61" fillId="0" borderId="0"/>
    <xf numFmtId="170" fontId="1" fillId="0" borderId="0" applyFont="0" applyFill="0" applyBorder="0" applyAlignment="0" applyProtection="0"/>
    <xf numFmtId="0" fontId="64" fillId="0" borderId="0" applyNumberFormat="0" applyFill="0" applyBorder="0" applyAlignment="0" applyProtection="0"/>
    <xf numFmtId="0" fontId="65" fillId="0" borderId="0"/>
    <xf numFmtId="0" fontId="66" fillId="0" borderId="0"/>
    <xf numFmtId="0" fontId="61" fillId="0" borderId="0"/>
    <xf numFmtId="170" fontId="6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0" fontId="24" fillId="0" borderId="0"/>
    <xf numFmtId="180" fontId="24" fillId="0" borderId="0" applyFont="0" applyFill="0" applyBorder="0" applyAlignment="0" applyProtection="0"/>
    <xf numFmtId="168" fontId="24" fillId="0" borderId="0" applyFont="0" applyFill="0" applyBorder="0" applyAlignment="0" applyProtection="0"/>
    <xf numFmtId="180"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0" fontId="31" fillId="0" borderId="0"/>
    <xf numFmtId="4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67" fillId="0" borderId="0"/>
    <xf numFmtId="0" fontId="1" fillId="0" borderId="0"/>
    <xf numFmtId="172" fontId="24" fillId="0" borderId="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82" fontId="68" fillId="0" borderId="0"/>
    <xf numFmtId="9" fontId="69" fillId="0" borderId="0" applyFont="0" applyFill="0" applyBorder="0" applyAlignment="0" applyProtection="0"/>
    <xf numFmtId="0" fontId="24" fillId="0" borderId="0"/>
    <xf numFmtId="9" fontId="24" fillId="0" borderId="0" applyFill="0" applyBorder="0" applyAlignment="0" applyProtection="0"/>
    <xf numFmtId="184" fontId="24" fillId="0" borderId="0" applyFont="0" applyFill="0" applyBorder="0" applyAlignment="0" applyProtection="0"/>
    <xf numFmtId="0" fontId="24" fillId="0" borderId="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67" fontId="24" fillId="0" borderId="0" applyFont="0" applyFill="0" applyBorder="0" applyAlignment="0" applyProtection="0"/>
    <xf numFmtId="184"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43" fillId="0" borderId="0"/>
    <xf numFmtId="0" fontId="24" fillId="0" borderId="0"/>
    <xf numFmtId="0" fontId="24" fillId="0" borderId="0"/>
    <xf numFmtId="0" fontId="24" fillId="0" borderId="0" applyNumberFormat="0" applyFont="0" applyFill="0" applyBorder="0" applyAlignment="0" applyProtection="0">
      <alignment vertical="top"/>
    </xf>
    <xf numFmtId="0" fontId="24" fillId="0" borderId="0" applyNumberFormat="0" applyFont="0" applyFill="0" applyBorder="0" applyAlignment="0" applyProtection="0">
      <alignment vertical="top"/>
    </xf>
    <xf numFmtId="9" fontId="24" fillId="0" borderId="0" applyFont="0" applyFill="0" applyBorder="0" applyAlignment="0" applyProtection="0"/>
    <xf numFmtId="9" fontId="24"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0" fontId="24" fillId="0" borderId="0"/>
    <xf numFmtId="43"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86"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74" fillId="0" borderId="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4" fillId="0" borderId="0">
      <alignment vertical="top"/>
    </xf>
    <xf numFmtId="0" fontId="34" fillId="0" borderId="0">
      <alignment vertical="top"/>
    </xf>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0" fontId="33"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0" fontId="43" fillId="0" borderId="0"/>
    <xf numFmtId="43" fontId="24" fillId="0" borderId="0" applyFont="0" applyFill="0" applyBorder="0" applyAlignment="0" applyProtection="0"/>
    <xf numFmtId="41" fontId="1" fillId="0" borderId="0" applyFont="0" applyFill="0" applyBorder="0" applyAlignment="0" applyProtection="0"/>
    <xf numFmtId="41" fontId="68"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168" fontId="24" fillId="0" borderId="0" applyFont="0" applyFill="0" applyBorder="0" applyAlignment="0" applyProtection="0"/>
    <xf numFmtId="0" fontId="1" fillId="0" borderId="0"/>
    <xf numFmtId="0" fontId="49" fillId="0" borderId="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181" fontId="1" fillId="0" borderId="0" applyFont="0" applyFill="0" applyBorder="0" applyAlignment="0" applyProtection="0"/>
    <xf numFmtId="0" fontId="76" fillId="0" borderId="0" applyNumberFormat="0" applyFill="0" applyBorder="0" applyAlignment="0" applyProtection="0"/>
    <xf numFmtId="168"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0" fontId="66"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9"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1"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9" fontId="2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57"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24" fillId="0" borderId="0" applyNumberForma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xf numFmtId="41" fontId="66" fillId="0" borderId="0" applyFont="0" applyFill="0" applyBorder="0" applyAlignment="0" applyProtection="0"/>
    <xf numFmtId="0" fontId="24" fillId="0" borderId="0"/>
    <xf numFmtId="0" fontId="24" fillId="0" borderId="0"/>
    <xf numFmtId="0" fontId="77" fillId="0" borderId="0"/>
    <xf numFmtId="0" fontId="24" fillId="0" borderId="0"/>
    <xf numFmtId="0" fontId="24" fillId="0" borderId="0"/>
    <xf numFmtId="0" fontId="24" fillId="0" borderId="0"/>
    <xf numFmtId="0" fontId="24" fillId="0" borderId="0"/>
    <xf numFmtId="0" fontId="24" fillId="0" borderId="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1" fillId="0" borderId="0" applyNumberFormat="0" applyFill="0" applyBorder="0" applyAlignment="0" applyProtection="0"/>
    <xf numFmtId="41" fontId="66"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2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8"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8"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168" fontId="24"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4" fillId="0" borderId="0" applyNumberForma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168"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7"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6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3"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0" fontId="24" fillId="0" borderId="0"/>
    <xf numFmtId="181" fontId="1" fillId="0" borderId="0" applyFont="0" applyFill="0" applyBorder="0" applyAlignment="0" applyProtection="0"/>
    <xf numFmtId="0" fontId="24" fillId="0" borderId="0"/>
    <xf numFmtId="9"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0" fontId="1" fillId="0" borderId="0"/>
    <xf numFmtId="41" fontId="24"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44"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43" fontId="4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24"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4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44"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24"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0" fontId="24" fillId="0" borderId="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4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43" fontId="24" fillId="0" borderId="0" applyFont="0" applyFill="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0" fontId="24" fillId="0" borderId="0"/>
    <xf numFmtId="0" fontId="24" fillId="0" borderId="0"/>
    <xf numFmtId="0" fontId="24" fillId="0" borderId="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77" fillId="0" borderId="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7"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0" fontId="1" fillId="0" borderId="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34" fillId="0" borderId="0" applyFont="0" applyFill="0" applyBorder="0" applyAlignment="0" applyProtection="0">
      <alignment vertical="top"/>
    </xf>
    <xf numFmtId="9" fontId="43" fillId="0" borderId="0"/>
    <xf numFmtId="0" fontId="113" fillId="0" borderId="0">
      <alignment horizontal="center"/>
    </xf>
    <xf numFmtId="0" fontId="113" fillId="0" borderId="0">
      <alignment horizontal="center" textRotation="9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190" fontId="24"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91" fontId="24" fillId="0" borderId="0" applyFont="0" applyFill="0" applyBorder="0" applyAlignment="0" applyProtection="0"/>
    <xf numFmtId="43" fontId="24"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89"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3" fontId="24" fillId="0" borderId="0" applyFont="0" applyFill="0" applyBorder="0" applyAlignment="0" applyProtection="0"/>
    <xf numFmtId="185" fontId="34" fillId="0" borderId="0" applyFont="0" applyFill="0" applyBorder="0" applyAlignment="0" applyProtection="0">
      <alignment vertical="top"/>
    </xf>
    <xf numFmtId="17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74"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4" fontId="43" fillId="0" borderId="0" applyFont="0" applyFill="0" applyBorder="0" applyAlignment="0" applyProtection="0"/>
    <xf numFmtId="43" fontId="43" fillId="0" borderId="0" applyFont="0" applyFill="0" applyBorder="0" applyAlignment="0" applyProtection="0"/>
    <xf numFmtId="17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34" fillId="0" borderId="0" applyFont="0" applyFill="0" applyBorder="0" applyAlignment="0" applyProtection="0">
      <alignment vertical="top"/>
    </xf>
    <xf numFmtId="43" fontId="43" fillId="0" borderId="0" applyFont="0" applyFill="0" applyBorder="0" applyAlignment="0" applyProtection="0"/>
    <xf numFmtId="43" fontId="43" fillId="0" borderId="0" applyFont="0" applyFill="0" applyBorder="0" applyAlignment="0" applyProtection="0"/>
    <xf numFmtId="195" fontId="43" fillId="0" borderId="0" applyFont="0" applyFill="0" applyBorder="0" applyAlignment="0" applyProtection="0"/>
    <xf numFmtId="191"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0" fontId="1"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5" fontId="34" fillId="0" borderId="0" applyFont="0" applyFill="0" applyBorder="0" applyAlignment="0" applyProtection="0">
      <alignment vertical="top"/>
    </xf>
    <xf numFmtId="0" fontId="34" fillId="0" borderId="0" applyFont="0" applyFill="0" applyBorder="0" applyAlignment="0" applyProtection="0">
      <alignment vertical="top"/>
    </xf>
    <xf numFmtId="43" fontId="43" fillId="0" borderId="0" applyFont="0" applyFill="0" applyBorder="0" applyAlignment="0" applyProtection="0"/>
    <xf numFmtId="170" fontId="1" fillId="0" borderId="0" applyFont="0" applyFill="0" applyBorder="0" applyAlignment="0" applyProtection="0"/>
    <xf numFmtId="196"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65" fontId="1" fillId="0" borderId="0" applyFont="0" applyFill="0" applyBorder="0" applyAlignment="0" applyProtection="0"/>
    <xf numFmtId="194" fontId="1" fillId="0" borderId="0" applyFont="0" applyFill="0" applyBorder="0" applyAlignment="0" applyProtection="0"/>
    <xf numFmtId="165" fontId="1" fillId="0" borderId="0" applyFont="0" applyFill="0" applyBorder="0" applyAlignment="0" applyProtection="0"/>
    <xf numFmtId="19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4"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7"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96" fontId="43" fillId="0" borderId="0" applyFont="0" applyFill="0" applyBorder="0" applyAlignment="0" applyProtection="0"/>
    <xf numFmtId="43" fontId="43" fillId="0" borderId="0" applyFont="0" applyFill="0" applyBorder="0" applyAlignment="0" applyProtection="0"/>
    <xf numFmtId="198" fontId="43" fillId="0" borderId="0" applyFont="0" applyFill="0" applyBorder="0" applyAlignment="0" applyProtection="0"/>
    <xf numFmtId="198" fontId="43" fillId="0" borderId="0" applyFont="0" applyFill="0" applyBorder="0" applyAlignment="0" applyProtection="0"/>
    <xf numFmtId="185" fontId="34" fillId="0" borderId="0" applyFont="0" applyFill="0" applyBorder="0" applyAlignment="0" applyProtection="0">
      <alignment vertical="top"/>
    </xf>
    <xf numFmtId="0" fontId="34" fillId="0" borderId="0" applyFont="0" applyFill="0" applyBorder="0" applyAlignment="0" applyProtection="0">
      <alignment vertical="top"/>
    </xf>
    <xf numFmtId="193" fontId="24" fillId="0" borderId="0" applyFont="0" applyFill="0" applyBorder="0" applyAlignment="0" applyProtection="0"/>
    <xf numFmtId="193" fontId="24" fillId="0" borderId="0" applyFont="0" applyFill="0" applyBorder="0" applyAlignment="0" applyProtection="0"/>
    <xf numFmtId="199"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188" fontId="24" fillId="0" borderId="0" applyFont="0" applyFill="0" applyBorder="0" applyAlignment="0" applyProtection="0"/>
    <xf numFmtId="200" fontId="24" fillId="0" borderId="0" applyFont="0" applyFill="0" applyBorder="0" applyAlignment="0" applyProtection="0"/>
    <xf numFmtId="200" fontId="24" fillId="0" borderId="0" applyFont="0" applyFill="0" applyBorder="0" applyAlignment="0" applyProtection="0"/>
    <xf numFmtId="188" fontId="24" fillId="0" borderId="0" applyFont="0" applyFill="0" applyBorder="0" applyAlignment="0" applyProtection="0"/>
    <xf numFmtId="201"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98" fontId="24" fillId="0" borderId="0" applyFont="0" applyFill="0" applyBorder="0" applyAlignment="0" applyProtection="0"/>
    <xf numFmtId="165" fontId="43" fillId="0" borderId="0" applyFont="0" applyFill="0" applyBorder="0" applyAlignment="0" applyProtection="0"/>
    <xf numFmtId="197" fontId="43" fillId="0" borderId="0" applyFont="0" applyFill="0" applyBorder="0" applyAlignment="0" applyProtection="0"/>
    <xf numFmtId="198" fontId="24"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95" fontId="43" fillId="0" borderId="0" applyFont="0" applyFill="0" applyBorder="0" applyAlignment="0" applyProtection="0"/>
    <xf numFmtId="202" fontId="43" fillId="0" borderId="0" applyFont="0" applyFill="0" applyBorder="0" applyAlignment="0" applyProtection="0"/>
    <xf numFmtId="200" fontId="24" fillId="0" borderId="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201" fontId="43" fillId="0" borderId="0" applyFont="0" applyFill="0" applyBorder="0" applyAlignment="0" applyProtection="0"/>
    <xf numFmtId="201" fontId="43" fillId="0" borderId="0" applyFont="0" applyFill="0" applyBorder="0" applyAlignment="0" applyProtection="0"/>
    <xf numFmtId="43" fontId="43" fillId="0" borderId="0" applyFont="0" applyFill="0" applyBorder="0" applyAlignment="0" applyProtection="0"/>
    <xf numFmtId="203" fontId="43" fillId="0" borderId="0" applyFont="0" applyFill="0" applyBorder="0" applyAlignment="0" applyProtection="0"/>
    <xf numFmtId="201" fontId="43" fillId="0" borderId="0" applyFont="0" applyFill="0" applyBorder="0" applyAlignment="0" applyProtection="0"/>
    <xf numFmtId="201" fontId="43" fillId="0" borderId="0" applyFont="0" applyFill="0" applyBorder="0" applyAlignment="0" applyProtection="0"/>
    <xf numFmtId="171" fontId="43" fillId="0" borderId="0" applyFont="0" applyFill="0" applyBorder="0" applyAlignment="0" applyProtection="0"/>
    <xf numFmtId="188" fontId="43" fillId="0" borderId="0" applyFont="0" applyFill="0" applyBorder="0" applyAlignment="0" applyProtection="0"/>
    <xf numFmtId="198" fontId="43" fillId="0" borderId="0" applyFont="0" applyFill="0" applyBorder="0" applyAlignment="0" applyProtection="0"/>
    <xf numFmtId="174"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192" fontId="24" fillId="0" borderId="0" applyFont="0" applyFill="0" applyBorder="0" applyAlignment="0" applyProtection="0"/>
    <xf numFmtId="170" fontId="6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91" fontId="24" fillId="0" borderId="0" applyFont="0" applyFill="0" applyBorder="0" applyAlignment="0" applyProtection="0"/>
    <xf numFmtId="191" fontId="24"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65" fontId="1" fillId="0" borderId="0" applyFont="0" applyFill="0" applyBorder="0" applyAlignment="0" applyProtection="0"/>
    <xf numFmtId="188" fontId="24" fillId="0" borderId="0" applyFont="0" applyFill="0" applyBorder="0" applyAlignment="0" applyProtection="0"/>
    <xf numFmtId="191"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170" fontId="67" fillId="0" borderId="0" applyFont="0" applyFill="0" applyBorder="0" applyAlignment="0" applyProtection="0"/>
    <xf numFmtId="192" fontId="24" fillId="0" borderId="0" applyFont="0" applyFill="0" applyBorder="0" applyAlignment="0" applyProtection="0"/>
    <xf numFmtId="205" fontId="1" fillId="0" borderId="0" applyFont="0" applyFill="0" applyBorder="0" applyAlignment="0" applyProtection="0"/>
    <xf numFmtId="194" fontId="24"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70" fontId="1" fillId="0" borderId="0" applyFont="0" applyFill="0" applyBorder="0" applyAlignment="0" applyProtection="0"/>
    <xf numFmtId="188" fontId="1" fillId="0" borderId="0" applyFont="0" applyFill="0" applyBorder="0" applyAlignment="0" applyProtection="0"/>
    <xf numFmtId="43" fontId="24" fillId="0" borderId="0" applyFont="0" applyFill="0" applyBorder="0" applyAlignment="0" applyProtection="0"/>
    <xf numFmtId="192" fontId="24" fillId="0" borderId="0" applyFont="0" applyFill="0" applyBorder="0" applyAlignment="0" applyProtection="0"/>
    <xf numFmtId="43" fontId="24" fillId="0" borderId="0" applyFont="0" applyFill="0" applyBorder="0" applyAlignment="0" applyProtection="0"/>
    <xf numFmtId="192" fontId="24" fillId="0" borderId="0" applyFont="0" applyFill="0" applyBorder="0" applyAlignment="0" applyProtection="0"/>
    <xf numFmtId="191" fontId="24" fillId="0" borderId="0" applyFont="0" applyFill="0" applyBorder="0" applyAlignment="0" applyProtection="0"/>
    <xf numFmtId="191" fontId="24" fillId="0" borderId="0" applyFont="0" applyFill="0" applyBorder="0" applyAlignment="0" applyProtection="0"/>
    <xf numFmtId="165" fontId="43" fillId="0" borderId="0" applyFont="0" applyFill="0" applyBorder="0" applyAlignment="0" applyProtection="0"/>
    <xf numFmtId="0" fontId="24" fillId="0" borderId="0"/>
    <xf numFmtId="170" fontId="1" fillId="0" borderId="0"/>
    <xf numFmtId="0" fontId="24" fillId="0" borderId="0"/>
    <xf numFmtId="0" fontId="116" fillId="0" borderId="0">
      <alignment vertical="top"/>
    </xf>
    <xf numFmtId="0" fontId="116" fillId="0" borderId="0">
      <alignment vertical="top"/>
    </xf>
    <xf numFmtId="0" fontId="67" fillId="0" borderId="0"/>
    <xf numFmtId="0" fontId="34" fillId="0" borderId="0">
      <alignment vertical="top"/>
    </xf>
    <xf numFmtId="0" fontId="24" fillId="0" borderId="0"/>
    <xf numFmtId="0" fontId="67" fillId="0" borderId="0"/>
    <xf numFmtId="0" fontId="1" fillId="0" borderId="0"/>
    <xf numFmtId="0" fontId="24" fillId="0" borderId="0"/>
    <xf numFmtId="0" fontId="43" fillId="0" borderId="0"/>
    <xf numFmtId="0" fontId="67" fillId="0" borderId="0"/>
    <xf numFmtId="0" fontId="116" fillId="0" borderId="0">
      <alignment vertical="top"/>
    </xf>
    <xf numFmtId="0" fontId="24" fillId="0" borderId="0"/>
    <xf numFmtId="0" fontId="67" fillId="0" borderId="0"/>
    <xf numFmtId="0" fontId="34" fillId="0" borderId="0">
      <alignment vertical="top"/>
    </xf>
    <xf numFmtId="0" fontId="116" fillId="0" borderId="0">
      <alignment vertical="top"/>
    </xf>
    <xf numFmtId="9" fontId="1"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9" fontId="34" fillId="0" borderId="0" applyFont="0" applyFill="0" applyBorder="0" applyAlignment="0" applyProtection="0">
      <alignment vertical="top"/>
    </xf>
    <xf numFmtId="170"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34" fillId="0" borderId="0" applyFont="0" applyFill="0" applyBorder="0" applyAlignment="0" applyProtection="0">
      <alignment vertical="top"/>
    </xf>
    <xf numFmtId="9" fontId="43" fillId="0" borderId="0" applyFont="0" applyFill="0" applyBorder="0" applyAlignment="0" applyProtection="0"/>
    <xf numFmtId="170"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4" fillId="0" borderId="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0" fontId="117" fillId="0" borderId="0"/>
    <xf numFmtId="199" fontId="117" fillId="0" borderId="0"/>
    <xf numFmtId="4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8"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8"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16" fillId="13" borderId="0" applyNumberFormat="0" applyBorder="0" applyAlignment="0" applyProtection="0"/>
    <xf numFmtId="0" fontId="122" fillId="0" borderId="0"/>
    <xf numFmtId="0" fontId="18" fillId="56" borderId="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1" fontId="73" fillId="0" borderId="0" applyFont="0" applyFill="0" applyBorder="0" applyAlignment="0" applyProtection="0"/>
    <xf numFmtId="41" fontId="24" fillId="0" borderId="0" applyFont="0" applyFill="0" applyBorder="0" applyAlignment="0" applyProtection="0"/>
    <xf numFmtId="183" fontId="24" fillId="0" borderId="0" applyFont="0" applyFill="0" applyBorder="0" applyAlignment="0" applyProtection="0"/>
    <xf numFmtId="169" fontId="1" fillId="0" borderId="0" applyFont="0" applyFill="0" applyBorder="0" applyAlignment="0" applyProtection="0"/>
    <xf numFmtId="41" fontId="24"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41" fontId="79"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1" fontId="79" fillId="0" borderId="0" applyFont="0" applyFill="0" applyBorder="0" applyAlignment="0" applyProtection="0"/>
    <xf numFmtId="167" fontId="24"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43" fillId="0" borderId="0" applyFont="0" applyFill="0" applyBorder="0" applyAlignment="0" applyProtection="0"/>
    <xf numFmtId="43" fontId="43" fillId="0" borderId="0" applyFont="0" applyFill="0" applyBorder="0" applyAlignment="0" applyProtection="0"/>
    <xf numFmtId="168" fontId="43" fillId="0" borderId="0" applyFont="0" applyFill="0" applyBorder="0" applyAlignment="0" applyProtection="0"/>
    <xf numFmtId="168" fontId="24" fillId="0" borderId="0" applyFont="0" applyFill="0" applyBorder="0" applyAlignment="0" applyProtection="0"/>
    <xf numFmtId="185" fontId="24" fillId="0" borderId="0" applyFont="0" applyFill="0" applyBorder="0" applyAlignment="0" applyProtection="0"/>
    <xf numFmtId="168" fontId="24" fillId="0" borderId="0" applyFont="0" applyFill="0" applyBorder="0" applyAlignment="0" applyProtection="0"/>
    <xf numFmtId="43" fontId="1" fillId="0" borderId="0" applyFont="0" applyFill="0" applyBorder="0" applyAlignment="0" applyProtection="0"/>
    <xf numFmtId="170" fontId="24" fillId="0" borderId="0" applyFont="0" applyFill="0" applyBorder="0" applyAlignment="0" applyProtection="0"/>
    <xf numFmtId="168" fontId="1" fillId="0" borderId="0" applyFont="0" applyFill="0" applyBorder="0" applyAlignment="0" applyProtection="0"/>
    <xf numFmtId="180" fontId="24" fillId="0" borderId="0" applyFont="0" applyFill="0" applyBorder="0" applyAlignment="0" applyProtection="0"/>
    <xf numFmtId="170" fontId="1" fillId="0" borderId="0" applyFont="0" applyFill="0" applyBorder="0" applyAlignment="0" applyProtection="0"/>
    <xf numFmtId="168" fontId="4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4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4"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0" fontId="1" fillId="0" borderId="0" applyFont="0" applyFill="0" applyBorder="0" applyAlignment="0" applyProtection="0"/>
    <xf numFmtId="43" fontId="24" fillId="0" borderId="0" applyFont="0" applyFill="0" applyBorder="0" applyAlignment="0" applyProtection="0"/>
    <xf numFmtId="170" fontId="24" fillId="0" borderId="0" applyFont="0" applyFill="0" applyBorder="0" applyAlignment="0" applyProtection="0"/>
    <xf numFmtId="43" fontId="1" fillId="0" borderId="0" applyFont="0" applyFill="0" applyBorder="0" applyAlignment="0" applyProtection="0"/>
    <xf numFmtId="176" fontId="24" fillId="0" borderId="0" applyFont="0" applyFill="0" applyBorder="0" applyAlignment="0" applyProtection="0"/>
    <xf numFmtId="0" fontId="24" fillId="0" borderId="0" applyFont="0" applyFill="0" applyBorder="0" applyAlignment="0" applyProtection="0"/>
    <xf numFmtId="43" fontId="1" fillId="0" borderId="0" applyFont="0" applyFill="0" applyBorder="0" applyAlignment="0" applyProtection="0"/>
    <xf numFmtId="0" fontId="24" fillId="0" borderId="0" applyFill="0" applyBorder="0" applyAlignment="0" applyProtection="0"/>
    <xf numFmtId="170"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17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2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68" fontId="24"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0" fontId="57" fillId="4" borderId="0" applyNumberFormat="0" applyBorder="0" applyAlignment="0" applyProtection="0"/>
    <xf numFmtId="37" fontId="56" fillId="0" borderId="0"/>
    <xf numFmtId="0" fontId="1" fillId="0" borderId="0"/>
    <xf numFmtId="37" fontId="56" fillId="0" borderId="0"/>
    <xf numFmtId="0" fontId="79" fillId="0" borderId="0"/>
    <xf numFmtId="0" fontId="1" fillId="0" borderId="0"/>
    <xf numFmtId="0" fontId="66" fillId="0" borderId="0"/>
    <xf numFmtId="37" fontId="56" fillId="0" borderId="0"/>
    <xf numFmtId="37" fontId="60" fillId="0" borderId="0"/>
    <xf numFmtId="0" fontId="63" fillId="0" borderId="0"/>
    <xf numFmtId="0" fontId="24" fillId="0" borderId="0"/>
    <xf numFmtId="37" fontId="56" fillId="0" borderId="0"/>
    <xf numFmtId="9" fontId="79" fillId="0" borderId="0" applyFont="0" applyFill="0" applyBorder="0" applyAlignment="0" applyProtection="0"/>
    <xf numFmtId="9"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7" fontId="24" fillId="0" borderId="0" applyFont="0" applyFill="0" applyBorder="0" applyAlignment="0" applyProtection="0"/>
    <xf numFmtId="43" fontId="1" fillId="0" borderId="0" applyFont="0" applyFill="0" applyBorder="0" applyAlignment="0" applyProtection="0"/>
    <xf numFmtId="168" fontId="43"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1" fillId="0" borderId="0" applyFont="0" applyFill="0" applyBorder="0" applyAlignment="0" applyProtection="0"/>
    <xf numFmtId="167" fontId="24" fillId="0" borderId="0" applyFont="0" applyFill="0" applyBorder="0" applyAlignment="0" applyProtection="0"/>
    <xf numFmtId="168" fontId="1" fillId="0" borderId="0" applyFont="0" applyFill="0" applyBorder="0" applyAlignment="0" applyProtection="0"/>
    <xf numFmtId="168" fontId="43"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56" fillId="0" borderId="0" applyFont="0" applyFill="0" applyBorder="0" applyAlignment="0" applyProtection="0"/>
    <xf numFmtId="168" fontId="56" fillId="0" borderId="0" applyFont="0" applyFill="0" applyBorder="0" applyAlignment="0" applyProtection="0"/>
    <xf numFmtId="168" fontId="43"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1" fillId="0" borderId="0" applyFont="0" applyFill="0" applyBorder="0" applyAlignment="0" applyProtection="0"/>
    <xf numFmtId="167" fontId="24" fillId="0" borderId="0" applyFont="0" applyFill="0" applyBorder="0" applyAlignment="0" applyProtection="0"/>
    <xf numFmtId="168" fontId="1" fillId="0" borderId="0" applyFont="0" applyFill="0" applyBorder="0" applyAlignment="0" applyProtection="0"/>
    <xf numFmtId="168" fontId="43"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7"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 fillId="0" borderId="0" applyFont="0" applyFill="0" applyBorder="0" applyAlignment="0" applyProtection="0"/>
    <xf numFmtId="167" fontId="1" fillId="0" borderId="0" applyFont="0" applyFill="0" applyBorder="0" applyAlignment="0" applyProtection="0"/>
    <xf numFmtId="168"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7" fontId="1" fillId="0" borderId="0" applyFont="0" applyFill="0" applyBorder="0" applyAlignment="0" applyProtection="0"/>
    <xf numFmtId="168" fontId="24" fillId="0" borderId="0" applyFont="0" applyFill="0" applyBorder="0" applyAlignment="0" applyProtection="0"/>
    <xf numFmtId="168" fontId="79"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79" fillId="0" borderId="0" applyFont="0" applyFill="0" applyBorder="0" applyAlignment="0" applyProtection="0"/>
    <xf numFmtId="41"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79" fillId="0" borderId="0" applyFont="0" applyFill="0" applyBorder="0" applyAlignment="0" applyProtection="0"/>
    <xf numFmtId="41"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8"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0" fontId="131"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1" fontId="7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cellStyleXfs>
  <cellXfs count="1582">
    <xf numFmtId="0" fontId="0" fillId="0" borderId="0" xfId="0"/>
    <xf numFmtId="0" fontId="19" fillId="0" borderId="0" xfId="0" applyFont="1"/>
    <xf numFmtId="0" fontId="19" fillId="0" borderId="0" xfId="0" applyFont="1" applyAlignment="1">
      <alignment wrapText="1"/>
    </xf>
    <xf numFmtId="171" fontId="19" fillId="0" borderId="0" xfId="1" applyNumberFormat="1" applyFont="1"/>
    <xf numFmtId="164" fontId="19" fillId="0" borderId="0" xfId="0" applyNumberFormat="1" applyFont="1"/>
    <xf numFmtId="0" fontId="19" fillId="0" borderId="0" xfId="0" applyFont="1" applyAlignment="1">
      <alignment vertical="center"/>
    </xf>
    <xf numFmtId="0" fontId="27" fillId="0" borderId="0" xfId="0" applyFont="1" applyAlignment="1">
      <alignment vertical="center"/>
    </xf>
    <xf numFmtId="164" fontId="27" fillId="0" borderId="0" xfId="0" applyNumberFormat="1" applyFont="1" applyAlignment="1">
      <alignment vertical="center"/>
    </xf>
    <xf numFmtId="0" fontId="27" fillId="0" borderId="0" xfId="0" applyFont="1"/>
    <xf numFmtId="0" fontId="20" fillId="0" borderId="0" xfId="0" applyFont="1" applyAlignment="1">
      <alignment vertical="center"/>
    </xf>
    <xf numFmtId="0" fontId="20" fillId="0" borderId="0" xfId="0" applyFont="1"/>
    <xf numFmtId="0" fontId="28" fillId="0" borderId="0" xfId="0" applyFont="1"/>
    <xf numFmtId="0" fontId="30" fillId="0" borderId="0" xfId="0" applyFont="1"/>
    <xf numFmtId="0" fontId="35" fillId="0" borderId="0" xfId="0" applyFont="1"/>
    <xf numFmtId="0" fontId="35" fillId="0" borderId="0" xfId="0" applyFont="1" applyAlignment="1">
      <alignment vertical="center"/>
    </xf>
    <xf numFmtId="0" fontId="37" fillId="0" borderId="0" xfId="0" applyFont="1"/>
    <xf numFmtId="0" fontId="37" fillId="0" borderId="0" xfId="0" applyFont="1" applyAlignment="1">
      <alignment horizontal="left"/>
    </xf>
    <xf numFmtId="0" fontId="37" fillId="0" borderId="0" xfId="0" applyFont="1" applyAlignment="1">
      <alignment horizontal="center"/>
    </xf>
    <xf numFmtId="170" fontId="37" fillId="0" borderId="0" xfId="1" applyFont="1"/>
    <xf numFmtId="0" fontId="38" fillId="34" borderId="10" xfId="0" applyFont="1" applyFill="1" applyBorder="1" applyAlignment="1">
      <alignment horizontal="center"/>
    </xf>
    <xf numFmtId="0" fontId="37" fillId="0" borderId="10" xfId="0" applyFont="1" applyBorder="1" applyAlignment="1">
      <alignment horizontal="center"/>
    </xf>
    <xf numFmtId="170" fontId="37" fillId="0" borderId="10" xfId="1" applyFont="1" applyFill="1" applyBorder="1" applyAlignment="1">
      <alignment wrapText="1"/>
    </xf>
    <xf numFmtId="0" fontId="39" fillId="37" borderId="13" xfId="0" applyFont="1" applyFill="1" applyBorder="1"/>
    <xf numFmtId="0" fontId="39" fillId="37" borderId="14" xfId="0" applyFont="1" applyFill="1" applyBorder="1"/>
    <xf numFmtId="0" fontId="19" fillId="0" borderId="0" xfId="0" applyFont="1" applyAlignment="1">
      <alignment horizontal="center"/>
    </xf>
    <xf numFmtId="171" fontId="37" fillId="0" borderId="0" xfId="1" applyNumberFormat="1" applyFont="1"/>
    <xf numFmtId="170" fontId="38" fillId="34" borderId="10" xfId="1" applyFont="1" applyFill="1" applyBorder="1" applyAlignment="1">
      <alignment horizontal="center"/>
    </xf>
    <xf numFmtId="171" fontId="38" fillId="34" borderId="10" xfId="1" applyNumberFormat="1" applyFont="1" applyFill="1" applyBorder="1" applyAlignment="1">
      <alignment horizontal="center"/>
    </xf>
    <xf numFmtId="171" fontId="37" fillId="0" borderId="10" xfId="1" applyNumberFormat="1" applyFont="1" applyFill="1" applyBorder="1" applyAlignment="1">
      <alignment wrapText="1"/>
    </xf>
    <xf numFmtId="171" fontId="37" fillId="0" borderId="10" xfId="1" applyNumberFormat="1" applyFont="1" applyBorder="1"/>
    <xf numFmtId="174" fontId="19" fillId="0" borderId="0" xfId="0" applyNumberFormat="1" applyFont="1" applyAlignment="1">
      <alignment vertical="center"/>
    </xf>
    <xf numFmtId="0" fontId="36" fillId="0" borderId="0" xfId="0" applyFont="1" applyAlignment="1">
      <alignment vertical="center"/>
    </xf>
    <xf numFmtId="0" fontId="49" fillId="0" borderId="0" xfId="0" applyFont="1"/>
    <xf numFmtId="0" fontId="38" fillId="34" borderId="10" xfId="0" applyFont="1" applyFill="1" applyBorder="1" applyAlignment="1">
      <alignment horizontal="left" vertical="center"/>
    </xf>
    <xf numFmtId="49" fontId="50" fillId="0" borderId="0" xfId="0" applyNumberFormat="1" applyFont="1" applyAlignment="1">
      <alignment horizontal="left" vertical="top"/>
    </xf>
    <xf numFmtId="0" fontId="34" fillId="0" borderId="0" xfId="0" applyFont="1" applyAlignment="1">
      <alignment horizontal="left" vertical="top" wrapText="1"/>
    </xf>
    <xf numFmtId="178" fontId="37" fillId="0" borderId="10" xfId="51" applyNumberFormat="1" applyFont="1" applyBorder="1"/>
    <xf numFmtId="41" fontId="30" fillId="0" borderId="10" xfId="51" applyFont="1" applyFill="1" applyBorder="1"/>
    <xf numFmtId="41" fontId="30" fillId="0" borderId="13" xfId="51" applyFont="1" applyFill="1" applyBorder="1"/>
    <xf numFmtId="41" fontId="31" fillId="35" borderId="21" xfId="51" applyFont="1" applyFill="1" applyBorder="1"/>
    <xf numFmtId="0" fontId="28" fillId="0" borderId="0" xfId="0" applyFont="1" applyAlignment="1">
      <alignment horizontal="center"/>
    </xf>
    <xf numFmtId="0" fontId="51" fillId="0" borderId="0" xfId="0" applyFont="1" applyAlignment="1">
      <alignment horizontal="center"/>
    </xf>
    <xf numFmtId="0" fontId="28" fillId="0" borderId="41" xfId="0" applyFont="1" applyBorder="1"/>
    <xf numFmtId="0" fontId="28" fillId="0" borderId="38" xfId="0" applyFont="1" applyBorder="1"/>
    <xf numFmtId="0" fontId="28" fillId="0" borderId="38" xfId="0" applyFont="1" applyBorder="1" applyAlignment="1">
      <alignment horizontal="center"/>
    </xf>
    <xf numFmtId="41" fontId="35" fillId="0" borderId="0" xfId="51" applyFont="1"/>
    <xf numFmtId="3" fontId="19" fillId="0" borderId="0" xfId="0" applyNumberFormat="1" applyFont="1"/>
    <xf numFmtId="0" fontId="46" fillId="0" borderId="0" xfId="52" applyFont="1" applyFill="1" applyBorder="1" applyAlignment="1">
      <alignment horizontal="center"/>
    </xf>
    <xf numFmtId="0" fontId="33" fillId="0" borderId="0" xfId="49" quotePrefix="1" applyFont="1" applyAlignment="1">
      <alignment horizontal="center"/>
    </xf>
    <xf numFmtId="0" fontId="33" fillId="0" borderId="0" xfId="46" applyFont="1" applyAlignment="1">
      <alignment horizontal="center"/>
    </xf>
    <xf numFmtId="0" fontId="22" fillId="0" borderId="0" xfId="46" applyFont="1" applyAlignment="1">
      <alignment horizontal="center"/>
    </xf>
    <xf numFmtId="172" fontId="22" fillId="33" borderId="0" xfId="44" applyFont="1" applyFill="1" applyAlignment="1">
      <alignment horizontal="center"/>
    </xf>
    <xf numFmtId="0" fontId="20" fillId="0" borderId="0" xfId="0" applyFont="1" applyAlignment="1">
      <alignment horizontal="center" wrapText="1"/>
    </xf>
    <xf numFmtId="164" fontId="32" fillId="0" borderId="38" xfId="45" applyFont="1" applyFill="1" applyBorder="1"/>
    <xf numFmtId="164" fontId="32" fillId="0" borderId="14" xfId="45" applyFont="1" applyFill="1" applyBorder="1" applyAlignment="1">
      <alignment horizontal="center"/>
    </xf>
    <xf numFmtId="164" fontId="32" fillId="0" borderId="0" xfId="45" applyFont="1" applyBorder="1" applyAlignment="1">
      <alignment horizontal="center"/>
    </xf>
    <xf numFmtId="164" fontId="32" fillId="0" borderId="0" xfId="45" applyFont="1" applyFill="1" applyBorder="1" applyAlignment="1">
      <alignment horizontal="center"/>
    </xf>
    <xf numFmtId="0" fontId="26" fillId="0" borderId="0" xfId="0" applyFont="1"/>
    <xf numFmtId="176" fontId="19" fillId="0" borderId="0" xfId="0" applyNumberFormat="1" applyFont="1" applyAlignment="1">
      <alignment vertical="center"/>
    </xf>
    <xf numFmtId="41" fontId="19" fillId="0" borderId="0" xfId="0" applyNumberFormat="1" applyFont="1" applyAlignment="1">
      <alignment vertical="center"/>
    </xf>
    <xf numFmtId="0" fontId="59" fillId="0" borderId="0" xfId="0" applyFont="1" applyAlignment="1">
      <alignment vertical="top" wrapText="1"/>
    </xf>
    <xf numFmtId="3" fontId="59" fillId="0" borderId="0" xfId="0" applyNumberFormat="1" applyFont="1" applyAlignment="1">
      <alignment horizontal="right" vertical="top" wrapText="1"/>
    </xf>
    <xf numFmtId="4" fontId="59" fillId="0" borderId="0" xfId="0" applyNumberFormat="1" applyFont="1" applyAlignment="1">
      <alignment horizontal="right" vertical="top" wrapText="1"/>
    </xf>
    <xf numFmtId="170" fontId="37" fillId="0" borderId="10" xfId="1" applyFont="1" applyBorder="1"/>
    <xf numFmtId="0" fontId="48" fillId="0" borderId="0" xfId="0" applyFont="1" applyAlignment="1">
      <alignment horizontal="right"/>
    </xf>
    <xf numFmtId="10" fontId="32" fillId="0" borderId="0" xfId="211" applyNumberFormat="1" applyFont="1" applyBorder="1" applyAlignment="1">
      <alignment horizontal="center"/>
    </xf>
    <xf numFmtId="164" fontId="48" fillId="36" borderId="0" xfId="0" applyNumberFormat="1" applyFont="1" applyFill="1"/>
    <xf numFmtId="0" fontId="32" fillId="0" borderId="38" xfId="0" applyFont="1" applyBorder="1"/>
    <xf numFmtId="0" fontId="32" fillId="0" borderId="0" xfId="0" applyFont="1" applyAlignment="1">
      <alignment horizontal="center"/>
    </xf>
    <xf numFmtId="179" fontId="32" fillId="0" borderId="14" xfId="0" applyNumberFormat="1" applyFont="1" applyBorder="1" applyAlignment="1">
      <alignment horizontal="center"/>
    </xf>
    <xf numFmtId="0" fontId="47" fillId="34" borderId="48" xfId="0" applyFont="1" applyFill="1" applyBorder="1" applyAlignment="1">
      <alignment horizontal="center" vertical="center" wrapText="1"/>
    </xf>
    <xf numFmtId="164" fontId="48" fillId="0" borderId="0" xfId="0" applyNumberFormat="1" applyFont="1" applyAlignment="1">
      <alignment horizontal="center"/>
    </xf>
    <xf numFmtId="0" fontId="48" fillId="0" borderId="20" xfId="0" applyFont="1" applyBorder="1" applyAlignment="1">
      <alignment horizontal="center"/>
    </xf>
    <xf numFmtId="173" fontId="48" fillId="0" borderId="21" xfId="0" applyNumberFormat="1" applyFont="1" applyBorder="1" applyAlignment="1">
      <alignment horizontal="center"/>
    </xf>
    <xf numFmtId="0" fontId="32" fillId="36" borderId="0" xfId="0" applyFont="1" applyFill="1"/>
    <xf numFmtId="0" fontId="32" fillId="0" borderId="14" xfId="0" applyFont="1" applyBorder="1" applyAlignment="1">
      <alignment horizontal="center"/>
    </xf>
    <xf numFmtId="0" fontId="48" fillId="0" borderId="20" xfId="0" applyFont="1" applyBorder="1" applyAlignment="1">
      <alignment horizontal="right"/>
    </xf>
    <xf numFmtId="0" fontId="32" fillId="0" borderId="10" xfId="0" applyFont="1" applyBorder="1"/>
    <xf numFmtId="0" fontId="47" fillId="41" borderId="48" xfId="0" applyFont="1" applyFill="1" applyBorder="1" applyAlignment="1">
      <alignment horizontal="center" vertical="center" wrapText="1"/>
    </xf>
    <xf numFmtId="0" fontId="48" fillId="0" borderId="0" xfId="0" applyFont="1" applyAlignment="1">
      <alignment horizontal="center"/>
    </xf>
    <xf numFmtId="0" fontId="48" fillId="0" borderId="38" xfId="0" applyFont="1" applyBorder="1"/>
    <xf numFmtId="173" fontId="48" fillId="0" borderId="0" xfId="0" applyNumberFormat="1" applyFont="1" applyAlignment="1">
      <alignment horizontal="center"/>
    </xf>
    <xf numFmtId="164" fontId="32" fillId="0" borderId="0" xfId="0" applyNumberFormat="1" applyFont="1"/>
    <xf numFmtId="174" fontId="19" fillId="0" borderId="0" xfId="0" applyNumberFormat="1" applyFont="1"/>
    <xf numFmtId="173" fontId="48" fillId="36" borderId="0" xfId="0" applyNumberFormat="1" applyFont="1" applyFill="1"/>
    <xf numFmtId="0" fontId="32" fillId="0" borderId="20" xfId="0" applyFont="1" applyBorder="1" applyAlignment="1">
      <alignment horizontal="center"/>
    </xf>
    <xf numFmtId="164" fontId="32" fillId="0" borderId="20" xfId="45" applyFont="1" applyFill="1" applyBorder="1" applyAlignment="1">
      <alignment horizontal="center"/>
    </xf>
    <xf numFmtId="0" fontId="32" fillId="0" borderId="0" xfId="0" applyFont="1"/>
    <xf numFmtId="179" fontId="32" fillId="0" borderId="0" xfId="0" applyNumberFormat="1" applyFont="1" applyAlignment="1">
      <alignment horizontal="center"/>
    </xf>
    <xf numFmtId="0" fontId="48" fillId="36" borderId="0" xfId="0" applyFont="1" applyFill="1"/>
    <xf numFmtId="164" fontId="48" fillId="0" borderId="21" xfId="0" applyNumberFormat="1" applyFont="1" applyBorder="1" applyAlignment="1">
      <alignment horizontal="center"/>
    </xf>
    <xf numFmtId="171" fontId="19" fillId="0" borderId="0" xfId="1" applyNumberFormat="1" applyFont="1" applyFill="1"/>
    <xf numFmtId="41" fontId="32" fillId="0" borderId="0" xfId="0" applyNumberFormat="1" applyFont="1"/>
    <xf numFmtId="0" fontId="22" fillId="0" borderId="0" xfId="0" applyFont="1"/>
    <xf numFmtId="0" fontId="33" fillId="0" borderId="0" xfId="0" applyFont="1"/>
    <xf numFmtId="0" fontId="48" fillId="0" borderId="0" xfId="0" applyFont="1"/>
    <xf numFmtId="14" fontId="32" fillId="0" borderId="0" xfId="0" applyNumberFormat="1" applyFont="1"/>
    <xf numFmtId="173" fontId="32" fillId="0" borderId="38" xfId="0" applyNumberFormat="1" applyFont="1" applyBorder="1"/>
    <xf numFmtId="170" fontId="37" fillId="0" borderId="10" xfId="1" applyFont="1" applyFill="1" applyBorder="1"/>
    <xf numFmtId="0" fontId="19" fillId="0" borderId="0" xfId="0" applyFont="1" applyAlignment="1">
      <alignment horizontal="center" wrapText="1"/>
    </xf>
    <xf numFmtId="0" fontId="19" fillId="0" borderId="0" xfId="0" applyFont="1" applyAlignment="1">
      <alignment vertical="center" wrapText="1"/>
    </xf>
    <xf numFmtId="0" fontId="26" fillId="0" borderId="0" xfId="0" applyFont="1" applyAlignment="1">
      <alignment vertical="center"/>
    </xf>
    <xf numFmtId="0" fontId="22" fillId="0" borderId="0" xfId="49" applyFont="1"/>
    <xf numFmtId="0" fontId="54" fillId="0" borderId="0" xfId="0" applyFont="1"/>
    <xf numFmtId="181" fontId="32" fillId="0" borderId="0" xfId="0" applyNumberFormat="1" applyFont="1"/>
    <xf numFmtId="168" fontId="32" fillId="0" borderId="0" xfId="0" applyNumberFormat="1" applyFont="1"/>
    <xf numFmtId="0" fontId="47" fillId="41" borderId="56" xfId="0" applyFont="1" applyFill="1" applyBorder="1" applyAlignment="1">
      <alignment horizontal="center" vertical="center" wrapText="1"/>
    </xf>
    <xf numFmtId="0" fontId="48" fillId="0" borderId="20" xfId="0" applyFont="1" applyBorder="1" applyAlignment="1">
      <alignment horizontal="left"/>
    </xf>
    <xf numFmtId="168" fontId="48" fillId="0" borderId="21" xfId="0" applyNumberFormat="1" applyFont="1" applyBorder="1" applyAlignment="1">
      <alignment horizontal="center"/>
    </xf>
    <xf numFmtId="164" fontId="32" fillId="0" borderId="0" xfId="45" applyFont="1" applyFill="1"/>
    <xf numFmtId="4" fontId="70" fillId="0" borderId="0" xfId="0" applyNumberFormat="1" applyFont="1" applyAlignment="1">
      <alignment horizontal="right" vertical="top"/>
    </xf>
    <xf numFmtId="164" fontId="54" fillId="0" borderId="0" xfId="0" applyNumberFormat="1" applyFont="1"/>
    <xf numFmtId="0" fontId="71" fillId="42" borderId="57" xfId="0" applyFont="1" applyFill="1" applyBorder="1" applyAlignment="1">
      <alignment horizontal="center" vertical="center" wrapText="1"/>
    </xf>
    <xf numFmtId="0" fontId="72" fillId="43" borderId="18" xfId="0" applyFont="1" applyFill="1" applyBorder="1" applyAlignment="1">
      <alignment vertical="center"/>
    </xf>
    <xf numFmtId="179" fontId="72" fillId="0" borderId="10" xfId="0" applyNumberFormat="1" applyFont="1" applyBorder="1" applyAlignment="1">
      <alignment horizontal="center" vertical="center"/>
    </xf>
    <xf numFmtId="171" fontId="72" fillId="0" borderId="10" xfId="1" applyNumberFormat="1" applyFont="1" applyFill="1" applyBorder="1" applyAlignment="1">
      <alignment horizontal="center" vertical="center"/>
    </xf>
    <xf numFmtId="170" fontId="19" fillId="0" borderId="0" xfId="0" applyNumberFormat="1" applyFont="1" applyAlignment="1">
      <alignment vertical="center"/>
    </xf>
    <xf numFmtId="0" fontId="30" fillId="0" borderId="10" xfId="0" applyFont="1" applyBorder="1"/>
    <xf numFmtId="0" fontId="19" fillId="0" borderId="0" xfId="0" applyFont="1" applyAlignment="1">
      <alignment horizontal="left"/>
    </xf>
    <xf numFmtId="0" fontId="19" fillId="0" borderId="0" xfId="0" applyFont="1" applyAlignment="1">
      <alignment horizontal="left" vertical="center" wrapText="1"/>
    </xf>
    <xf numFmtId="41" fontId="53" fillId="0" borderId="0" xfId="51" applyFont="1" applyFill="1"/>
    <xf numFmtId="41" fontId="19" fillId="0" borderId="0" xfId="0" applyNumberFormat="1" applyFont="1"/>
    <xf numFmtId="185" fontId="72" fillId="0" borderId="10" xfId="3324" applyNumberFormat="1" applyFont="1" applyFill="1" applyBorder="1" applyAlignment="1">
      <alignment horizontal="center" vertical="center"/>
    </xf>
    <xf numFmtId="0" fontId="19" fillId="0" borderId="32" xfId="0" applyFont="1" applyBorder="1"/>
    <xf numFmtId="173" fontId="32" fillId="0" borderId="38" xfId="45" applyNumberFormat="1" applyFont="1" applyBorder="1"/>
    <xf numFmtId="164" fontId="32" fillId="0" borderId="20" xfId="45" applyFont="1" applyBorder="1" applyAlignment="1">
      <alignment horizontal="center"/>
    </xf>
    <xf numFmtId="164" fontId="32" fillId="0" borderId="38" xfId="45" applyFont="1" applyBorder="1"/>
    <xf numFmtId="10" fontId="32" fillId="0" borderId="14" xfId="4769" applyNumberFormat="1" applyFont="1" applyFill="1" applyBorder="1" applyAlignment="1">
      <alignment horizontal="center"/>
    </xf>
    <xf numFmtId="41" fontId="48" fillId="0" borderId="21" xfId="51" applyFont="1" applyBorder="1" applyAlignment="1">
      <alignment horizontal="center"/>
    </xf>
    <xf numFmtId="41" fontId="48" fillId="0" borderId="0" xfId="51" applyFont="1" applyAlignment="1">
      <alignment horizontal="center"/>
    </xf>
    <xf numFmtId="0" fontId="30" fillId="44" borderId="10" xfId="0" applyFont="1" applyFill="1" applyBorder="1"/>
    <xf numFmtId="41" fontId="30" fillId="44" borderId="10" xfId="51" applyFont="1" applyFill="1" applyBorder="1"/>
    <xf numFmtId="170" fontId="37" fillId="0" borderId="18" xfId="1" applyFont="1" applyFill="1" applyBorder="1" applyAlignment="1">
      <alignment wrapText="1"/>
    </xf>
    <xf numFmtId="171" fontId="37" fillId="0" borderId="18" xfId="1" applyNumberFormat="1" applyFont="1" applyFill="1" applyBorder="1" applyAlignment="1">
      <alignment wrapText="1"/>
    </xf>
    <xf numFmtId="170" fontId="37" fillId="0" borderId="14" xfId="1" applyFont="1" applyFill="1" applyBorder="1" applyAlignment="1">
      <alignment wrapText="1"/>
    </xf>
    <xf numFmtId="170" fontId="37" fillId="0" borderId="13" xfId="1" applyFont="1" applyFill="1" applyBorder="1" applyAlignment="1">
      <alignment wrapText="1"/>
    </xf>
    <xf numFmtId="0" fontId="35" fillId="45" borderId="0" xfId="0" applyFont="1" applyFill="1" applyAlignment="1">
      <alignment vertical="center"/>
    </xf>
    <xf numFmtId="0" fontId="30" fillId="0" borderId="18" xfId="0" applyFont="1" applyBorder="1"/>
    <xf numFmtId="0" fontId="30" fillId="0" borderId="13" xfId="0" applyFont="1" applyBorder="1"/>
    <xf numFmtId="41" fontId="30" fillId="0" borderId="18" xfId="51" applyFont="1" applyFill="1" applyBorder="1"/>
    <xf numFmtId="0" fontId="30" fillId="44" borderId="14" xfId="0" applyFont="1" applyFill="1" applyBorder="1"/>
    <xf numFmtId="41" fontId="30" fillId="44" borderId="14" xfId="51" applyFont="1" applyFill="1" applyBorder="1"/>
    <xf numFmtId="0" fontId="32" fillId="0" borderId="17" xfId="0" applyFont="1" applyBorder="1"/>
    <xf numFmtId="0" fontId="72" fillId="43" borderId="11" xfId="0" applyFont="1" applyFill="1" applyBorder="1" applyAlignment="1">
      <alignment vertical="center"/>
    </xf>
    <xf numFmtId="0" fontId="72" fillId="43" borderId="12" xfId="0" applyFont="1" applyFill="1" applyBorder="1" applyAlignment="1">
      <alignment vertical="center"/>
    </xf>
    <xf numFmtId="0" fontId="32" fillId="0" borderId="58" xfId="0" applyFont="1" applyBorder="1"/>
    <xf numFmtId="0" fontId="20" fillId="0" borderId="0" xfId="0" applyFont="1" applyAlignment="1">
      <alignment horizontal="left" vertical="center"/>
    </xf>
    <xf numFmtId="172" fontId="22" fillId="33" borderId="0" xfId="44" applyFont="1" applyFill="1" applyAlignment="1">
      <alignment horizontal="left"/>
    </xf>
    <xf numFmtId="0" fontId="19" fillId="0" borderId="0" xfId="0" applyFont="1" applyAlignment="1">
      <alignment horizontal="left" vertical="center"/>
    </xf>
    <xf numFmtId="0" fontId="20" fillId="0" borderId="0" xfId="0" applyFont="1" applyAlignment="1">
      <alignment horizontal="center"/>
    </xf>
    <xf numFmtId="0" fontId="29" fillId="0" borderId="0" xfId="0" applyFont="1"/>
    <xf numFmtId="14" fontId="78" fillId="38" borderId="36" xfId="0" applyNumberFormat="1" applyFont="1" applyFill="1" applyBorder="1" applyAlignment="1">
      <alignment horizontal="center" vertical="center" wrapText="1"/>
    </xf>
    <xf numFmtId="0" fontId="79" fillId="0" borderId="0" xfId="0" applyFont="1"/>
    <xf numFmtId="0" fontId="81" fillId="38" borderId="34" xfId="0" applyFont="1" applyFill="1" applyBorder="1" applyAlignment="1">
      <alignment vertical="center"/>
    </xf>
    <xf numFmtId="0" fontId="81" fillId="38" borderId="35" xfId="0" applyFont="1" applyFill="1" applyBorder="1" applyAlignment="1">
      <alignment vertical="center"/>
    </xf>
    <xf numFmtId="0" fontId="81" fillId="38" borderId="36" xfId="0" applyFont="1" applyFill="1" applyBorder="1" applyAlignment="1">
      <alignment vertical="center"/>
    </xf>
    <xf numFmtId="14" fontId="78" fillId="38" borderId="39" xfId="0" applyNumberFormat="1" applyFont="1" applyFill="1" applyBorder="1" applyAlignment="1">
      <alignment horizontal="center" vertical="center" wrapText="1"/>
    </xf>
    <xf numFmtId="0" fontId="52" fillId="0" borderId="28" xfId="0" applyFont="1" applyBorder="1" applyAlignment="1">
      <alignment horizontal="right" vertical="center" indent="1"/>
    </xf>
    <xf numFmtId="0" fontId="52" fillId="0" borderId="33" xfId="0" applyFont="1" applyBorder="1" applyAlignment="1">
      <alignment vertical="center" wrapText="1"/>
    </xf>
    <xf numFmtId="0" fontId="79" fillId="0" borderId="0" xfId="0" applyFont="1" applyAlignment="1">
      <alignment vertical="center" wrapText="1"/>
    </xf>
    <xf numFmtId="3" fontId="52" fillId="0" borderId="24" xfId="0" applyNumberFormat="1" applyFont="1" applyBorder="1" applyAlignment="1">
      <alignment horizontal="right" vertical="center"/>
    </xf>
    <xf numFmtId="0" fontId="52" fillId="0" borderId="0" xfId="0" applyFont="1" applyAlignment="1">
      <alignment vertical="center" wrapText="1"/>
    </xf>
    <xf numFmtId="0" fontId="52" fillId="0" borderId="24" xfId="0" applyFont="1" applyBorder="1" applyAlignment="1">
      <alignment horizontal="right" vertical="center"/>
    </xf>
    <xf numFmtId="0" fontId="80" fillId="0" borderId="33" xfId="0" applyFont="1" applyBorder="1" applyAlignment="1">
      <alignment vertical="center" wrapText="1"/>
    </xf>
    <xf numFmtId="0" fontId="52" fillId="0" borderId="24" xfId="0" applyFont="1" applyBorder="1" applyAlignment="1">
      <alignment horizontal="right" vertical="center" indent="1"/>
    </xf>
    <xf numFmtId="0" fontId="80" fillId="0" borderId="0" xfId="0" applyFont="1" applyAlignment="1">
      <alignment vertical="center" wrapText="1"/>
    </xf>
    <xf numFmtId="3" fontId="80" fillId="0" borderId="24" xfId="0" applyNumberFormat="1" applyFont="1" applyBorder="1" applyAlignment="1">
      <alignment horizontal="right" vertical="center"/>
    </xf>
    <xf numFmtId="0" fontId="80" fillId="0" borderId="40" xfId="0" applyFont="1" applyBorder="1" applyAlignment="1">
      <alignment vertical="center" wrapText="1"/>
    </xf>
    <xf numFmtId="0" fontId="80" fillId="0" borderId="38" xfId="0" applyFont="1" applyBorder="1" applyAlignment="1">
      <alignment vertical="center" wrapText="1"/>
    </xf>
    <xf numFmtId="0" fontId="81" fillId="38" borderId="42" xfId="0" applyFont="1" applyFill="1" applyBorder="1" applyAlignment="1">
      <alignment vertical="center"/>
    </xf>
    <xf numFmtId="0" fontId="81" fillId="38" borderId="41" xfId="0" applyFont="1" applyFill="1" applyBorder="1" applyAlignment="1">
      <alignment vertical="center"/>
    </xf>
    <xf numFmtId="0" fontId="80" fillId="0" borderId="33" xfId="0" applyFont="1" applyBorder="1" applyAlignment="1">
      <alignment vertical="center"/>
    </xf>
    <xf numFmtId="0" fontId="80" fillId="0" borderId="0" xfId="0" applyFont="1" applyAlignment="1">
      <alignment vertical="center"/>
    </xf>
    <xf numFmtId="0" fontId="52" fillId="0" borderId="33" xfId="0" applyFont="1" applyBorder="1" applyAlignment="1">
      <alignment vertical="center"/>
    </xf>
    <xf numFmtId="0" fontId="82" fillId="0" borderId="33" xfId="0" applyFont="1" applyBorder="1" applyAlignment="1">
      <alignment vertical="center"/>
    </xf>
    <xf numFmtId="3" fontId="52" fillId="0" borderId="32" xfId="0" applyNumberFormat="1" applyFont="1" applyBorder="1" applyAlignment="1">
      <alignment horizontal="right" vertical="center"/>
    </xf>
    <xf numFmtId="0" fontId="52" fillId="0" borderId="0" xfId="0" applyFont="1" applyAlignment="1">
      <alignment vertical="center"/>
    </xf>
    <xf numFmtId="0" fontId="52" fillId="0" borderId="32" xfId="0" applyFont="1" applyBorder="1" applyAlignment="1">
      <alignment horizontal="right" vertical="center"/>
    </xf>
    <xf numFmtId="0" fontId="80" fillId="0" borderId="40" xfId="0" applyFont="1" applyBorder="1" applyAlignment="1">
      <alignment vertical="center"/>
    </xf>
    <xf numFmtId="0" fontId="80" fillId="0" borderId="38" xfId="0" applyFont="1" applyBorder="1" applyAlignment="1">
      <alignment vertical="center"/>
    </xf>
    <xf numFmtId="0" fontId="33" fillId="0" borderId="0" xfId="46" applyFont="1"/>
    <xf numFmtId="0" fontId="22" fillId="0" borderId="0" xfId="46" applyFont="1"/>
    <xf numFmtId="0" fontId="78" fillId="38" borderId="68" xfId="0" applyFont="1" applyFill="1" applyBorder="1" applyAlignment="1">
      <alignment horizontal="center" vertical="center" wrapText="1"/>
    </xf>
    <xf numFmtId="0" fontId="78" fillId="49" borderId="67" xfId="0" applyFont="1" applyFill="1" applyBorder="1" applyAlignment="1">
      <alignment horizontal="center" vertical="center" wrapText="1"/>
    </xf>
    <xf numFmtId="0" fontId="33" fillId="0" borderId="0" xfId="49" applyFont="1"/>
    <xf numFmtId="179" fontId="40" fillId="39" borderId="29" xfId="49" applyNumberFormat="1" applyFont="1" applyFill="1" applyBorder="1" applyAlignment="1">
      <alignment horizontal="center" vertical="center" wrapText="1"/>
    </xf>
    <xf numFmtId="0" fontId="33" fillId="0" borderId="0" xfId="49" applyFont="1" applyAlignment="1">
      <alignment wrapText="1"/>
    </xf>
    <xf numFmtId="177" fontId="33" fillId="0" borderId="31" xfId="49" applyNumberFormat="1" applyFont="1" applyBorder="1" applyAlignment="1">
      <alignment horizontal="left" wrapText="1"/>
    </xf>
    <xf numFmtId="177" fontId="33" fillId="0" borderId="26" xfId="49" applyNumberFormat="1" applyFont="1" applyBorder="1" applyAlignment="1">
      <alignment horizontal="left" wrapText="1"/>
    </xf>
    <xf numFmtId="0" fontId="33" fillId="0" borderId="0" xfId="49" applyFont="1" applyAlignment="1">
      <alignment horizontal="left"/>
    </xf>
    <xf numFmtId="0" fontId="78" fillId="49" borderId="36" xfId="0" applyFont="1" applyFill="1" applyBorder="1" applyAlignment="1">
      <alignment horizontal="center" vertical="center" wrapText="1"/>
    </xf>
    <xf numFmtId="0" fontId="33" fillId="0" borderId="0" xfId="49" applyFont="1" applyAlignment="1">
      <alignment horizontal="center" vertical="center" wrapText="1"/>
    </xf>
    <xf numFmtId="0" fontId="33" fillId="0" borderId="0" xfId="49" applyFont="1" applyAlignment="1">
      <alignment vertical="center"/>
    </xf>
    <xf numFmtId="0" fontId="80" fillId="0" borderId="25" xfId="0" applyFont="1" applyBorder="1" applyAlignment="1">
      <alignment vertical="center"/>
    </xf>
    <xf numFmtId="3" fontId="33" fillId="0" borderId="0" xfId="49" applyNumberFormat="1" applyFont="1" applyAlignment="1">
      <alignment vertical="center"/>
    </xf>
    <xf numFmtId="0" fontId="52" fillId="0" borderId="25" xfId="0" applyFont="1" applyBorder="1" applyAlignment="1">
      <alignment vertical="center"/>
    </xf>
    <xf numFmtId="176" fontId="33" fillId="0" borderId="0" xfId="49" applyNumberFormat="1" applyFont="1" applyAlignment="1">
      <alignment vertical="center"/>
    </xf>
    <xf numFmtId="0" fontId="78" fillId="38" borderId="72" xfId="0" applyFont="1" applyFill="1" applyBorder="1" applyAlignment="1">
      <alignment horizontal="center" vertical="center" wrapText="1"/>
    </xf>
    <xf numFmtId="0" fontId="22" fillId="0" borderId="0" xfId="49" applyFont="1" applyAlignment="1">
      <alignment horizontal="center" vertical="center"/>
    </xf>
    <xf numFmtId="0" fontId="22" fillId="0" borderId="0" xfId="49" applyFont="1" applyAlignment="1">
      <alignment horizontal="center" vertical="center" wrapText="1"/>
    </xf>
    <xf numFmtId="175" fontId="33" fillId="0" borderId="0" xfId="49" applyNumberFormat="1" applyFont="1"/>
    <xf numFmtId="170" fontId="33" fillId="0" borderId="0" xfId="1" applyFont="1" applyFill="1" applyBorder="1"/>
    <xf numFmtId="3" fontId="33" fillId="0" borderId="0" xfId="49" applyNumberFormat="1" applyFont="1" applyAlignment="1">
      <alignment horizontal="center" vertical="center"/>
    </xf>
    <xf numFmtId="164" fontId="33" fillId="0" borderId="0" xfId="49" applyNumberFormat="1" applyFont="1"/>
    <xf numFmtId="176" fontId="33" fillId="0" borderId="0" xfId="49" applyNumberFormat="1" applyFont="1"/>
    <xf numFmtId="0" fontId="33" fillId="0" borderId="0" xfId="49" quotePrefix="1" applyFont="1"/>
    <xf numFmtId="0" fontId="33" fillId="0" borderId="0" xfId="49" applyFont="1" applyAlignment="1">
      <alignment horizontal="center"/>
    </xf>
    <xf numFmtId="14" fontId="78" fillId="38" borderId="76" xfId="0" applyNumberFormat="1" applyFont="1" applyFill="1" applyBorder="1" applyAlignment="1">
      <alignment horizontal="center" vertical="center" wrapText="1"/>
    </xf>
    <xf numFmtId="14" fontId="78" fillId="38" borderId="72" xfId="0" applyNumberFormat="1" applyFont="1" applyFill="1" applyBorder="1" applyAlignment="1">
      <alignment horizontal="center" vertical="center" wrapText="1"/>
    </xf>
    <xf numFmtId="0" fontId="81" fillId="38" borderId="60" xfId="0" applyFont="1" applyFill="1" applyBorder="1" applyAlignment="1">
      <alignment horizontal="center" vertical="center" wrapText="1"/>
    </xf>
    <xf numFmtId="0" fontId="81" fillId="38" borderId="74" xfId="0" applyFont="1" applyFill="1" applyBorder="1" applyAlignment="1">
      <alignment horizontal="center" vertical="center" wrapText="1"/>
    </xf>
    <xf numFmtId="0" fontId="19" fillId="0" borderId="70" xfId="0" applyFont="1" applyBorder="1" applyAlignment="1">
      <alignment vertical="center"/>
    </xf>
    <xf numFmtId="3" fontId="19" fillId="0" borderId="59" xfId="0" applyNumberFormat="1" applyFont="1" applyBorder="1" applyAlignment="1">
      <alignment horizontal="right" vertical="center"/>
    </xf>
    <xf numFmtId="0" fontId="80" fillId="0" borderId="66" xfId="0" applyFont="1" applyBorder="1" applyAlignment="1">
      <alignment vertical="center"/>
    </xf>
    <xf numFmtId="3" fontId="20" fillId="0" borderId="69" xfId="0" applyNumberFormat="1" applyFont="1" applyBorder="1" applyAlignment="1">
      <alignment horizontal="right" vertical="center"/>
    </xf>
    <xf numFmtId="0" fontId="20" fillId="0" borderId="37" xfId="0" applyFont="1" applyBorder="1" applyAlignment="1">
      <alignment horizontal="center" vertical="center" wrapText="1"/>
    </xf>
    <xf numFmtId="171" fontId="33" fillId="0" borderId="0" xfId="1" applyNumberFormat="1" applyFont="1"/>
    <xf numFmtId="0" fontId="26" fillId="0" borderId="0" xfId="46" applyFont="1"/>
    <xf numFmtId="171" fontId="33" fillId="0" borderId="0" xfId="1" applyNumberFormat="1" applyFont="1" applyFill="1"/>
    <xf numFmtId="0" fontId="52" fillId="0" borderId="0" xfId="0" applyFont="1" applyAlignment="1">
      <alignment horizontal="center" vertical="center"/>
    </xf>
    <xf numFmtId="0" fontId="84" fillId="0" borderId="0" xfId="46" applyFont="1"/>
    <xf numFmtId="171" fontId="33" fillId="0" borderId="0" xfId="1" applyNumberFormat="1" applyFont="1" applyFill="1" applyAlignment="1"/>
    <xf numFmtId="0" fontId="33" fillId="0" borderId="0" xfId="46" applyFont="1" applyAlignment="1">
      <alignment vertical="center"/>
    </xf>
    <xf numFmtId="171" fontId="33" fillId="0" borderId="0" xfId="1" applyNumberFormat="1" applyFont="1" applyAlignment="1">
      <alignment vertical="center"/>
    </xf>
    <xf numFmtId="0" fontId="85" fillId="0" borderId="0" xfId="46" applyFont="1"/>
    <xf numFmtId="0" fontId="78" fillId="49" borderId="66" xfId="0" applyFont="1" applyFill="1" applyBorder="1" applyAlignment="1">
      <alignment horizontal="center" vertical="center" wrapText="1"/>
    </xf>
    <xf numFmtId="0" fontId="78" fillId="49" borderId="77" xfId="0" applyFont="1" applyFill="1" applyBorder="1" applyAlignment="1">
      <alignment horizontal="center" vertical="center" wrapText="1"/>
    </xf>
    <xf numFmtId="0" fontId="78" fillId="49" borderId="78" xfId="0" applyFont="1" applyFill="1" applyBorder="1" applyAlignment="1">
      <alignment horizontal="center" vertical="center" wrapText="1"/>
    </xf>
    <xf numFmtId="14" fontId="78" fillId="49" borderId="36" xfId="0" applyNumberFormat="1" applyFont="1" applyFill="1" applyBorder="1" applyAlignment="1">
      <alignment horizontal="center" vertical="center" wrapText="1"/>
    </xf>
    <xf numFmtId="0" fontId="52" fillId="0" borderId="24" xfId="0" applyFont="1" applyBorder="1" applyAlignment="1">
      <alignment horizontal="center" vertical="center"/>
    </xf>
    <xf numFmtId="0" fontId="52" fillId="0" borderId="25" xfId="0" applyFont="1" applyBorder="1" applyAlignment="1">
      <alignment horizontal="center" vertical="center"/>
    </xf>
    <xf numFmtId="0" fontId="78" fillId="49" borderId="66" xfId="0" applyFont="1" applyFill="1" applyBorder="1" applyAlignment="1">
      <alignment horizontal="center" vertical="center"/>
    </xf>
    <xf numFmtId="0" fontId="78" fillId="49" borderId="67" xfId="0" applyFont="1" applyFill="1" applyBorder="1" applyAlignment="1">
      <alignment horizontal="center" vertical="center"/>
    </xf>
    <xf numFmtId="0" fontId="52" fillId="0" borderId="70" xfId="0" applyFont="1" applyBorder="1" applyAlignment="1">
      <alignment vertical="center" wrapText="1"/>
    </xf>
    <xf numFmtId="0" fontId="78" fillId="49" borderId="43" xfId="0" applyFont="1" applyFill="1" applyBorder="1" applyAlignment="1">
      <alignment horizontal="center" vertical="center" wrapText="1"/>
    </xf>
    <xf numFmtId="0" fontId="52" fillId="0" borderId="24" xfId="0" applyFont="1" applyBorder="1" applyAlignment="1">
      <alignment vertical="center"/>
    </xf>
    <xf numFmtId="0" fontId="81" fillId="38" borderId="37" xfId="0" applyFont="1" applyFill="1" applyBorder="1" applyAlignment="1">
      <alignment horizontal="center" vertical="center" wrapText="1"/>
    </xf>
    <xf numFmtId="3" fontId="19" fillId="0" borderId="32" xfId="0" applyNumberFormat="1" applyFont="1" applyBorder="1" applyAlignment="1">
      <alignment horizontal="right" vertical="center"/>
    </xf>
    <xf numFmtId="3" fontId="19" fillId="0" borderId="24" xfId="0" applyNumberFormat="1" applyFont="1" applyBorder="1" applyAlignment="1">
      <alignment horizontal="right" vertical="center"/>
    </xf>
    <xf numFmtId="0" fontId="20" fillId="0" borderId="34" xfId="0" applyFont="1" applyBorder="1" applyAlignment="1">
      <alignment vertical="center"/>
    </xf>
    <xf numFmtId="0" fontId="20" fillId="0" borderId="25" xfId="0" applyFont="1" applyBorder="1" applyAlignment="1">
      <alignment vertical="center"/>
    </xf>
    <xf numFmtId="0" fontId="78" fillId="49" borderId="32" xfId="0" applyFont="1" applyFill="1" applyBorder="1" applyAlignment="1">
      <alignment horizontal="center" vertical="center" wrapText="1"/>
    </xf>
    <xf numFmtId="0" fontId="78" fillId="49" borderId="25" xfId="0" applyFont="1" applyFill="1" applyBorder="1" applyAlignment="1">
      <alignment vertical="center"/>
    </xf>
    <xf numFmtId="0" fontId="78" fillId="49" borderId="23" xfId="0" applyFont="1" applyFill="1" applyBorder="1" applyAlignment="1">
      <alignment vertical="center"/>
    </xf>
    <xf numFmtId="0" fontId="22" fillId="0" borderId="0" xfId="0" applyFont="1" applyAlignment="1">
      <alignment vertical="top"/>
    </xf>
    <xf numFmtId="0" fontId="20" fillId="0" borderId="0" xfId="0" applyFont="1" applyAlignment="1">
      <alignment horizontal="justify" vertical="center"/>
    </xf>
    <xf numFmtId="41" fontId="33" fillId="0" borderId="0" xfId="46" applyNumberFormat="1" applyFont="1"/>
    <xf numFmtId="41" fontId="20" fillId="0" borderId="0" xfId="0" applyNumberFormat="1" applyFont="1" applyAlignment="1">
      <alignment horizontal="right" vertical="center"/>
    </xf>
    <xf numFmtId="0" fontId="19" fillId="0" borderId="0" xfId="0" applyFont="1" applyAlignment="1">
      <alignment horizontal="justify" vertical="center"/>
    </xf>
    <xf numFmtId="171" fontId="33" fillId="0" borderId="0" xfId="1" applyNumberFormat="1" applyFont="1" applyFill="1" applyBorder="1"/>
    <xf numFmtId="175" fontId="22" fillId="0" borderId="0" xfId="49" applyNumberFormat="1" applyFont="1"/>
    <xf numFmtId="0" fontId="52" fillId="0" borderId="0" xfId="0" applyFont="1" applyAlignment="1">
      <alignment horizontal="left" vertical="center" wrapText="1"/>
    </xf>
    <xf numFmtId="0" fontId="80" fillId="0" borderId="0" xfId="0" applyFont="1" applyAlignment="1">
      <alignment horizontal="left" vertical="center" wrapText="1"/>
    </xf>
    <xf numFmtId="41" fontId="33" fillId="0" borderId="0" xfId="49" applyNumberFormat="1" applyFont="1"/>
    <xf numFmtId="0" fontId="19" fillId="0" borderId="0" xfId="0" applyFont="1" applyAlignment="1">
      <alignment horizontal="right" vertical="center"/>
    </xf>
    <xf numFmtId="3" fontId="33" fillId="0" borderId="0" xfId="49" applyNumberFormat="1" applyFont="1"/>
    <xf numFmtId="164" fontId="22" fillId="0" borderId="0" xfId="45" applyFont="1" applyFill="1" applyBorder="1" applyAlignment="1">
      <alignment vertical="top"/>
    </xf>
    <xf numFmtId="164" fontId="33" fillId="0" borderId="0" xfId="45" applyFont="1" applyFill="1" applyBorder="1"/>
    <xf numFmtId="0" fontId="86" fillId="0" borderId="0" xfId="0" applyFont="1" applyAlignment="1">
      <alignment horizontal="left" vertical="center"/>
    </xf>
    <xf numFmtId="0" fontId="52" fillId="0" borderId="0" xfId="0" applyFont="1" applyAlignment="1">
      <alignment horizontal="center" vertical="center" wrapText="1"/>
    </xf>
    <xf numFmtId="0" fontId="80" fillId="0" borderId="0" xfId="0" applyFont="1" applyAlignment="1">
      <alignment horizontal="justify" vertical="center"/>
    </xf>
    <xf numFmtId="0" fontId="52" fillId="0" borderId="0" xfId="0" applyFont="1" applyAlignment="1">
      <alignment horizontal="left" vertical="center"/>
    </xf>
    <xf numFmtId="41" fontId="33" fillId="0" borderId="0" xfId="51" applyFont="1" applyFill="1" applyBorder="1"/>
    <xf numFmtId="176" fontId="22" fillId="0" borderId="0" xfId="1" applyNumberFormat="1" applyFont="1" applyFill="1" applyBorder="1"/>
    <xf numFmtId="171" fontId="33" fillId="0" borderId="0" xfId="49" applyNumberFormat="1" applyFont="1"/>
    <xf numFmtId="176" fontId="22" fillId="0" borderId="0" xfId="45" applyNumberFormat="1" applyFont="1" applyFill="1" applyBorder="1"/>
    <xf numFmtId="0" fontId="78" fillId="49" borderId="34" xfId="0" applyFont="1" applyFill="1" applyBorder="1" applyAlignment="1">
      <alignment vertical="center"/>
    </xf>
    <xf numFmtId="0" fontId="78" fillId="49" borderId="23" xfId="0" applyFont="1" applyFill="1" applyBorder="1" applyAlignment="1">
      <alignment horizontal="center" vertical="center" wrapText="1"/>
    </xf>
    <xf numFmtId="0" fontId="33" fillId="0" borderId="0" xfId="46" applyFont="1" applyAlignment="1">
      <alignment horizontal="center" vertical="center"/>
    </xf>
    <xf numFmtId="0" fontId="22" fillId="0" borderId="0" xfId="46" applyFont="1" applyAlignment="1">
      <alignment horizontal="center" vertical="center"/>
    </xf>
    <xf numFmtId="0" fontId="19" fillId="0" borderId="0" xfId="0" applyFont="1" applyAlignment="1">
      <alignment horizontal="left" wrapText="1"/>
    </xf>
    <xf numFmtId="0" fontId="26" fillId="0" borderId="0" xfId="0" applyFont="1" applyAlignment="1">
      <alignment horizontal="left" wrapText="1"/>
    </xf>
    <xf numFmtId="0" fontId="80" fillId="0" borderId="0" xfId="0" applyFont="1" applyAlignment="1">
      <alignment horizontal="left" vertical="center"/>
    </xf>
    <xf numFmtId="0" fontId="20" fillId="0" borderId="39" xfId="0" applyFont="1" applyBorder="1" applyAlignment="1">
      <alignment horizontal="center" vertical="center" wrapText="1"/>
    </xf>
    <xf numFmtId="0" fontId="19" fillId="0" borderId="25" xfId="0" applyFont="1" applyBorder="1" applyAlignment="1">
      <alignment vertical="center" wrapText="1"/>
    </xf>
    <xf numFmtId="0" fontId="19" fillId="0" borderId="37" xfId="0" applyFont="1" applyBorder="1" applyAlignment="1">
      <alignment horizontal="center" vertical="center" wrapText="1"/>
    </xf>
    <xf numFmtId="3" fontId="19" fillId="0" borderId="37" xfId="0" applyNumberFormat="1" applyFont="1" applyBorder="1" applyAlignment="1">
      <alignment horizontal="center" vertical="center" wrapText="1"/>
    </xf>
    <xf numFmtId="3" fontId="19" fillId="0" borderId="37" xfId="0" applyNumberFormat="1" applyFont="1" applyBorder="1" applyAlignment="1">
      <alignment horizontal="right" vertical="center" wrapText="1"/>
    </xf>
    <xf numFmtId="0" fontId="20" fillId="0" borderId="23" xfId="0" applyFont="1" applyBorder="1" applyAlignment="1">
      <alignment horizontal="center" vertical="center" wrapText="1"/>
    </xf>
    <xf numFmtId="0" fontId="20" fillId="0" borderId="36" xfId="0" applyFont="1" applyBorder="1" applyAlignment="1">
      <alignment horizontal="center" vertical="center" wrapText="1"/>
    </xf>
    <xf numFmtId="171" fontId="19" fillId="0" borderId="37" xfId="1" applyNumberFormat="1" applyFont="1" applyFill="1" applyBorder="1" applyAlignment="1">
      <alignment horizontal="center" vertical="center" wrapText="1"/>
    </xf>
    <xf numFmtId="10" fontId="19" fillId="0" borderId="37" xfId="0" applyNumberFormat="1" applyFont="1" applyBorder="1" applyAlignment="1">
      <alignment horizontal="center" vertical="center" wrapText="1"/>
    </xf>
    <xf numFmtId="0" fontId="19" fillId="0" borderId="0" xfId="0" applyFont="1" applyAlignment="1">
      <alignment horizontal="justify" vertical="center" wrapText="1"/>
    </xf>
    <xf numFmtId="0" fontId="20" fillId="0" borderId="0" xfId="0" applyFont="1" applyAlignment="1">
      <alignment horizontal="center" vertical="center" wrapText="1"/>
    </xf>
    <xf numFmtId="0" fontId="26" fillId="0" borderId="0" xfId="0" applyFont="1" applyAlignment="1">
      <alignment horizontal="left"/>
    </xf>
    <xf numFmtId="0" fontId="22" fillId="0" borderId="0" xfId="49" quotePrefix="1" applyFont="1" applyAlignment="1">
      <alignment horizontal="center" vertical="center"/>
    </xf>
    <xf numFmtId="0" fontId="22" fillId="0" borderId="0" xfId="49" quotePrefix="1" applyFont="1" applyAlignment="1">
      <alignment vertical="center"/>
    </xf>
    <xf numFmtId="0" fontId="33" fillId="0" borderId="0" xfId="49" quotePrefix="1" applyFont="1" applyAlignment="1">
      <alignment horizontal="center" vertical="center"/>
    </xf>
    <xf numFmtId="0" fontId="33" fillId="0" borderId="0" xfId="46" applyFont="1" applyAlignment="1">
      <alignment horizontal="left"/>
    </xf>
    <xf numFmtId="0" fontId="22" fillId="0" borderId="0" xfId="46" applyFont="1" applyAlignment="1">
      <alignment horizontal="left"/>
    </xf>
    <xf numFmtId="0" fontId="88" fillId="0" borderId="0" xfId="0" applyFont="1" applyAlignment="1">
      <alignment horizontal="left"/>
    </xf>
    <xf numFmtId="171" fontId="79" fillId="0" borderId="0" xfId="0" applyNumberFormat="1" applyFont="1"/>
    <xf numFmtId="0" fontId="20" fillId="0" borderId="0" xfId="0" applyFont="1" applyAlignment="1">
      <alignment horizontal="left" indent="1"/>
    </xf>
    <xf numFmtId="0" fontId="33" fillId="0" borderId="36" xfId="46" applyFont="1" applyBorder="1"/>
    <xf numFmtId="0" fontId="19" fillId="0" borderId="35" xfId="0" applyFont="1" applyBorder="1"/>
    <xf numFmtId="0" fontId="19" fillId="0" borderId="36" xfId="0" applyFont="1" applyBorder="1"/>
    <xf numFmtId="0" fontId="19" fillId="0" borderId="33" xfId="0" applyFont="1" applyBorder="1" applyAlignment="1">
      <alignment vertical="center"/>
    </xf>
    <xf numFmtId="0" fontId="33" fillId="0" borderId="32" xfId="46" applyFont="1" applyBorder="1"/>
    <xf numFmtId="0" fontId="33" fillId="0" borderId="37" xfId="46" applyFont="1" applyBorder="1"/>
    <xf numFmtId="0" fontId="19" fillId="0" borderId="38" xfId="0" applyFont="1" applyBorder="1"/>
    <xf numFmtId="0" fontId="19" fillId="0" borderId="37" xfId="0" applyFont="1" applyBorder="1"/>
    <xf numFmtId="0" fontId="80" fillId="0" borderId="10" xfId="0" applyFont="1" applyBorder="1" applyAlignment="1">
      <alignment horizontal="center" vertical="center" wrapText="1"/>
    </xf>
    <xf numFmtId="0" fontId="80" fillId="0" borderId="10" xfId="0" applyFont="1" applyBorder="1" applyAlignment="1">
      <alignment vertical="center" wrapText="1"/>
    </xf>
    <xf numFmtId="0" fontId="52" fillId="0" borderId="20" xfId="0" applyFont="1" applyBorder="1" applyAlignment="1">
      <alignment horizontal="left" vertical="center"/>
    </xf>
    <xf numFmtId="0" fontId="33" fillId="0" borderId="20" xfId="46" applyFont="1" applyBorder="1"/>
    <xf numFmtId="0" fontId="33" fillId="0" borderId="19" xfId="46" applyFont="1" applyBorder="1"/>
    <xf numFmtId="0" fontId="40" fillId="39" borderId="10" xfId="0" applyFont="1" applyFill="1" applyBorder="1" applyAlignment="1">
      <alignment horizontal="justify" vertical="center" wrapText="1"/>
    </xf>
    <xf numFmtId="0" fontId="40" fillId="39" borderId="22" xfId="0" applyFont="1" applyFill="1" applyBorder="1" applyAlignment="1">
      <alignment horizontal="left" vertical="center"/>
    </xf>
    <xf numFmtId="0" fontId="40" fillId="39" borderId="20" xfId="0" applyFont="1" applyFill="1" applyBorder="1" applyAlignment="1">
      <alignment horizontal="left" vertical="center"/>
    </xf>
    <xf numFmtId="0" fontId="40" fillId="39" borderId="19" xfId="0" applyFont="1" applyFill="1" applyBorder="1" applyAlignment="1">
      <alignment horizontal="left" vertical="center"/>
    </xf>
    <xf numFmtId="0" fontId="33" fillId="0" borderId="10" xfId="0" applyFont="1" applyBorder="1" applyAlignment="1">
      <alignment horizontal="justify" vertical="center" wrapText="1"/>
    </xf>
    <xf numFmtId="0" fontId="52" fillId="0" borderId="18" xfId="0" applyFont="1" applyBorder="1" applyAlignment="1">
      <alignment horizontal="left" vertical="center"/>
    </xf>
    <xf numFmtId="0" fontId="33" fillId="0" borderId="18" xfId="46" applyFont="1" applyBorder="1"/>
    <xf numFmtId="0" fontId="33" fillId="0" borderId="12" xfId="46" applyFont="1" applyBorder="1"/>
    <xf numFmtId="0" fontId="52" fillId="0" borderId="10" xfId="0" applyFont="1" applyBorder="1" applyAlignment="1">
      <alignment vertical="center"/>
    </xf>
    <xf numFmtId="0" fontId="52" fillId="0" borderId="14" xfId="0" applyFont="1" applyBorder="1" applyAlignment="1">
      <alignment vertical="center"/>
    </xf>
    <xf numFmtId="0" fontId="80" fillId="0" borderId="45" xfId="0" applyFont="1" applyBorder="1" applyAlignment="1">
      <alignment horizontal="center" vertical="center" wrapText="1"/>
    </xf>
    <xf numFmtId="0" fontId="52" fillId="0" borderId="14" xfId="0" applyFont="1" applyBorder="1" applyAlignment="1">
      <alignment horizontal="center" vertical="center"/>
    </xf>
    <xf numFmtId="0" fontId="52" fillId="0" borderId="44" xfId="0" applyFont="1" applyBorder="1" applyAlignment="1">
      <alignment horizontal="center" vertical="center"/>
    </xf>
    <xf numFmtId="0" fontId="20" fillId="0" borderId="20" xfId="0" applyFont="1" applyBorder="1"/>
    <xf numFmtId="10" fontId="33" fillId="0" borderId="30" xfId="46" applyNumberFormat="1" applyFont="1" applyBorder="1" applyAlignment="1">
      <alignment horizontal="center"/>
    </xf>
    <xf numFmtId="0" fontId="20" fillId="0" borderId="35" xfId="0" applyFont="1" applyBorder="1"/>
    <xf numFmtId="10" fontId="33" fillId="0" borderId="23" xfId="46" applyNumberFormat="1" applyFont="1" applyBorder="1" applyAlignment="1">
      <alignment horizontal="center"/>
    </xf>
    <xf numFmtId="0" fontId="19" fillId="0" borderId="15" xfId="0" applyFont="1" applyBorder="1"/>
    <xf numFmtId="0" fontId="33" fillId="0" borderId="15" xfId="46" applyFont="1" applyBorder="1"/>
    <xf numFmtId="10" fontId="33" fillId="0" borderId="27" xfId="46" applyNumberFormat="1" applyFont="1" applyBorder="1" applyAlignment="1">
      <alignment horizontal="center"/>
    </xf>
    <xf numFmtId="0" fontId="33" fillId="0" borderId="35" xfId="46" applyFont="1" applyBorder="1"/>
    <xf numFmtId="10" fontId="33" fillId="0" borderId="31" xfId="46" applyNumberFormat="1" applyFont="1" applyBorder="1" applyAlignment="1">
      <alignment horizontal="center"/>
    </xf>
    <xf numFmtId="0" fontId="33" fillId="0" borderId="54" xfId="46" applyFont="1" applyBorder="1"/>
    <xf numFmtId="10" fontId="33" fillId="0" borderId="26" xfId="46" applyNumberFormat="1" applyFont="1" applyBorder="1" applyAlignment="1">
      <alignment horizontal="center"/>
    </xf>
    <xf numFmtId="0" fontId="33" fillId="0" borderId="0" xfId="46" applyFont="1" applyAlignment="1">
      <alignment wrapText="1"/>
    </xf>
    <xf numFmtId="0" fontId="52" fillId="0" borderId="33" xfId="0" applyFont="1" applyBorder="1" applyAlignment="1">
      <alignment horizontal="left" vertical="center" indent="1"/>
    </xf>
    <xf numFmtId="49" fontId="94" fillId="0" borderId="0" xfId="0" applyNumberFormat="1" applyFont="1" applyAlignment="1">
      <alignment horizontal="center" vertical="top"/>
    </xf>
    <xf numFmtId="0" fontId="95" fillId="0" borderId="0" xfId="0" applyFont="1" applyAlignment="1">
      <alignment horizontal="center" vertical="top"/>
    </xf>
    <xf numFmtId="0" fontId="94" fillId="33" borderId="0" xfId="0" applyFont="1" applyFill="1" applyAlignment="1">
      <alignment horizontal="center" vertical="top"/>
    </xf>
    <xf numFmtId="0" fontId="36" fillId="0" borderId="0" xfId="0" applyFont="1" applyAlignment="1">
      <alignment horizontal="center"/>
    </xf>
    <xf numFmtId="49" fontId="96" fillId="51" borderId="0" xfId="0" applyNumberFormat="1" applyFont="1" applyFill="1" applyAlignment="1">
      <alignment horizontal="center" vertical="top"/>
    </xf>
    <xf numFmtId="41" fontId="96" fillId="51" borderId="0" xfId="51" applyFont="1" applyFill="1" applyAlignment="1">
      <alignment horizontal="center" vertical="top"/>
    </xf>
    <xf numFmtId="178" fontId="96" fillId="51" borderId="0" xfId="51" applyNumberFormat="1" applyFont="1" applyFill="1" applyAlignment="1">
      <alignment horizontal="center" vertical="top"/>
    </xf>
    <xf numFmtId="0" fontId="97" fillId="0" borderId="0" xfId="0" applyFont="1" applyAlignment="1">
      <alignment horizontal="left" vertical="top"/>
    </xf>
    <xf numFmtId="41" fontId="97" fillId="0" borderId="0" xfId="51" applyFont="1" applyFill="1" applyAlignment="1">
      <alignment vertical="top"/>
    </xf>
    <xf numFmtId="4" fontId="97" fillId="0" borderId="0" xfId="0" applyNumberFormat="1" applyFont="1" applyAlignment="1">
      <alignment vertical="top"/>
    </xf>
    <xf numFmtId="0" fontId="98" fillId="0" borderId="0" xfId="0" applyFont="1" applyAlignment="1">
      <alignment horizontal="left" vertical="top"/>
    </xf>
    <xf numFmtId="0" fontId="99" fillId="0" borderId="0" xfId="0" applyFont="1" applyAlignment="1">
      <alignment horizontal="left" vertical="top" wrapText="1"/>
    </xf>
    <xf numFmtId="0" fontId="100" fillId="0" borderId="0" xfId="0" applyFont="1" applyAlignment="1">
      <alignment horizontal="left" vertical="center"/>
    </xf>
    <xf numFmtId="0" fontId="99" fillId="0" borderId="0" xfId="0" applyFont="1" applyAlignment="1">
      <alignment horizontal="left" vertical="center" wrapText="1"/>
    </xf>
    <xf numFmtId="0" fontId="98" fillId="0" borderId="0" xfId="0" applyFont="1" applyAlignment="1">
      <alignment horizontal="left" vertical="top" wrapText="1"/>
    </xf>
    <xf numFmtId="41" fontId="101" fillId="0" borderId="0" xfId="51" applyFont="1" applyFill="1" applyAlignment="1">
      <alignment vertical="top"/>
    </xf>
    <xf numFmtId="4" fontId="101" fillId="0" borderId="0" xfId="0" applyNumberFormat="1" applyFont="1" applyAlignment="1">
      <alignment vertical="top"/>
    </xf>
    <xf numFmtId="0" fontId="102" fillId="0" borderId="0" xfId="0" applyFont="1" applyAlignment="1">
      <alignment horizontal="left" vertical="center"/>
    </xf>
    <xf numFmtId="0" fontId="98" fillId="0" borderId="0" xfId="0" applyFont="1" applyAlignment="1">
      <alignment horizontal="left" vertical="center" wrapText="1"/>
    </xf>
    <xf numFmtId="170" fontId="37" fillId="52" borderId="15" xfId="1" applyFont="1" applyFill="1" applyBorder="1" applyAlignment="1">
      <alignment vertical="center"/>
    </xf>
    <xf numFmtId="0" fontId="37" fillId="0" borderId="20" xfId="0" applyFont="1" applyBorder="1" applyAlignment="1">
      <alignment horizontal="center" wrapText="1"/>
    </xf>
    <xf numFmtId="0" fontId="37" fillId="0" borderId="0" xfId="0" applyFont="1" applyAlignment="1">
      <alignment horizontal="center" wrapText="1"/>
    </xf>
    <xf numFmtId="0" fontId="37" fillId="0" borderId="10" xfId="0" applyFont="1" applyBorder="1"/>
    <xf numFmtId="0" fontId="37" fillId="0" borderId="10" xfId="0" applyFont="1" applyBorder="1" applyAlignment="1">
      <alignment horizontal="left"/>
    </xf>
    <xf numFmtId="0" fontId="37" fillId="0" borderId="10" xfId="0" applyFont="1" applyBorder="1" applyAlignment="1">
      <alignment horizontal="center" wrapText="1"/>
    </xf>
    <xf numFmtId="0" fontId="37" fillId="0" borderId="18" xfId="0" applyFont="1" applyBorder="1" applyAlignment="1">
      <alignment horizontal="center" wrapText="1"/>
    </xf>
    <xf numFmtId="170" fontId="37" fillId="0" borderId="20" xfId="1" applyFont="1" applyFill="1" applyBorder="1" applyAlignment="1">
      <alignment wrapText="1"/>
    </xf>
    <xf numFmtId="171" fontId="54" fillId="0" borderId="0" xfId="1" applyNumberFormat="1" applyFont="1"/>
    <xf numFmtId="0" fontId="103" fillId="0" borderId="0" xfId="0" applyFont="1" applyAlignment="1">
      <alignment horizontal="center"/>
    </xf>
    <xf numFmtId="170" fontId="54" fillId="0" borderId="0" xfId="1" applyFont="1" applyFill="1"/>
    <xf numFmtId="178" fontId="37" fillId="0" borderId="0" xfId="51" applyNumberFormat="1" applyFont="1"/>
    <xf numFmtId="178" fontId="38" fillId="34" borderId="10" xfId="51" applyNumberFormat="1" applyFont="1" applyFill="1" applyBorder="1" applyAlignment="1">
      <alignment horizontal="center"/>
    </xf>
    <xf numFmtId="178" fontId="37" fillId="0" borderId="18" xfId="51" applyNumberFormat="1" applyFont="1" applyFill="1" applyBorder="1" applyAlignment="1">
      <alignment wrapText="1"/>
    </xf>
    <xf numFmtId="178" fontId="54" fillId="0" borderId="0" xfId="51" applyNumberFormat="1" applyFont="1"/>
    <xf numFmtId="0" fontId="80" fillId="0" borderId="33" xfId="0" applyFont="1" applyBorder="1" applyAlignment="1">
      <alignment horizontal="left" vertical="center" indent="1"/>
    </xf>
    <xf numFmtId="0" fontId="79" fillId="0" borderId="33" xfId="0" applyFont="1" applyBorder="1"/>
    <xf numFmtId="0" fontId="80" fillId="0" borderId="33" xfId="0" applyFont="1" applyBorder="1" applyAlignment="1">
      <alignment horizontal="left" vertical="center" wrapText="1" indent="1"/>
    </xf>
    <xf numFmtId="0" fontId="80" fillId="0" borderId="42" xfId="0" applyFont="1" applyBorder="1" applyAlignment="1">
      <alignment vertical="center"/>
    </xf>
    <xf numFmtId="0" fontId="80" fillId="0" borderId="41" xfId="0" applyFont="1" applyBorder="1" applyAlignment="1">
      <alignment vertical="center"/>
    </xf>
    <xf numFmtId="0" fontId="82" fillId="0" borderId="0" xfId="0" applyFont="1" applyAlignment="1">
      <alignment vertical="center"/>
    </xf>
    <xf numFmtId="0" fontId="80" fillId="0" borderId="24" xfId="0" applyFont="1" applyBorder="1" applyAlignment="1">
      <alignment horizontal="right" vertical="center"/>
    </xf>
    <xf numFmtId="0" fontId="78" fillId="38" borderId="13" xfId="0" applyFont="1" applyFill="1" applyBorder="1" applyAlignment="1">
      <alignment vertical="center"/>
    </xf>
    <xf numFmtId="14" fontId="78" fillId="38" borderId="13" xfId="0" applyNumberFormat="1" applyFont="1" applyFill="1" applyBorder="1" applyAlignment="1">
      <alignment horizontal="center" vertical="center" wrapText="1"/>
    </xf>
    <xf numFmtId="0" fontId="52" fillId="0" borderId="39" xfId="0" applyFont="1" applyBorder="1" applyAlignment="1">
      <alignment vertical="center"/>
    </xf>
    <xf numFmtId="0" fontId="104" fillId="0" borderId="0" xfId="0" applyFont="1"/>
    <xf numFmtId="3" fontId="52" fillId="0" borderId="0" xfId="0" applyNumberFormat="1" applyFont="1" applyAlignment="1">
      <alignment vertical="center"/>
    </xf>
    <xf numFmtId="0" fontId="80" fillId="0" borderId="42" xfId="0" applyFont="1" applyBorder="1" applyAlignment="1">
      <alignment horizontal="left" vertical="center" indent="1"/>
    </xf>
    <xf numFmtId="41" fontId="26" fillId="0" borderId="0" xfId="51" applyFont="1"/>
    <xf numFmtId="0" fontId="105" fillId="0" borderId="33" xfId="0" applyFont="1" applyBorder="1" applyAlignment="1">
      <alignment horizontal="left" vertical="center" indent="1"/>
    </xf>
    <xf numFmtId="0" fontId="80" fillId="0" borderId="0" xfId="0" applyFont="1" applyAlignment="1">
      <alignment horizontal="right" vertical="center"/>
    </xf>
    <xf numFmtId="3" fontId="52" fillId="0" borderId="0" xfId="0" applyNumberFormat="1" applyFont="1" applyAlignment="1">
      <alignment horizontal="right" vertical="center"/>
    </xf>
    <xf numFmtId="3" fontId="80" fillId="0" borderId="0" xfId="0" applyNumberFormat="1" applyFont="1" applyAlignment="1">
      <alignment horizontal="right" vertical="center"/>
    </xf>
    <xf numFmtId="0" fontId="106" fillId="51" borderId="10" xfId="0" applyFont="1" applyFill="1" applyBorder="1" applyAlignment="1">
      <alignment horizontal="center" vertical="center" wrapText="1"/>
    </xf>
    <xf numFmtId="171" fontId="106" fillId="51" borderId="10" xfId="1" applyNumberFormat="1" applyFont="1" applyFill="1" applyBorder="1" applyAlignment="1">
      <alignment horizontal="center" vertical="center" wrapText="1"/>
    </xf>
    <xf numFmtId="0" fontId="49" fillId="0" borderId="0" xfId="0" applyFont="1" applyAlignment="1">
      <alignment vertical="center"/>
    </xf>
    <xf numFmtId="14" fontId="106" fillId="51" borderId="13" xfId="0" applyNumberFormat="1" applyFont="1" applyFill="1" applyBorder="1" applyAlignment="1">
      <alignment horizontal="center" vertical="center" wrapText="1"/>
    </xf>
    <xf numFmtId="0" fontId="106" fillId="51" borderId="13" xfId="0" applyFont="1" applyFill="1" applyBorder="1" applyAlignment="1">
      <alignment horizontal="center" vertical="center" wrapText="1"/>
    </xf>
    <xf numFmtId="14" fontId="106" fillId="51" borderId="13" xfId="1" applyNumberFormat="1" applyFont="1" applyFill="1" applyBorder="1" applyAlignment="1">
      <alignment horizontal="center" vertical="center" wrapText="1"/>
    </xf>
    <xf numFmtId="171" fontId="106" fillId="51" borderId="13" xfId="1" applyNumberFormat="1" applyFont="1" applyFill="1" applyBorder="1" applyAlignment="1">
      <alignment horizontal="center" vertical="center" wrapText="1"/>
    </xf>
    <xf numFmtId="0" fontId="31" fillId="35" borderId="13" xfId="0" applyFont="1" applyFill="1" applyBorder="1" applyAlignment="1">
      <alignment horizontal="center" vertical="center" wrapText="1"/>
    </xf>
    <xf numFmtId="0" fontId="31" fillId="0" borderId="15" xfId="0" applyFont="1" applyBorder="1" applyAlignment="1">
      <alignment vertical="center" wrapText="1"/>
    </xf>
    <xf numFmtId="14" fontId="31" fillId="0" borderId="15" xfId="0" applyNumberFormat="1" applyFont="1" applyBorder="1" applyAlignment="1">
      <alignment horizontal="center" vertical="center" wrapText="1"/>
    </xf>
    <xf numFmtId="0" fontId="31" fillId="0" borderId="15" xfId="0" applyFont="1" applyBorder="1" applyAlignment="1">
      <alignment horizontal="center" vertical="center" wrapText="1"/>
    </xf>
    <xf numFmtId="41" fontId="31" fillId="0" borderId="15" xfId="51" applyFont="1" applyFill="1" applyBorder="1" applyAlignment="1">
      <alignment horizontal="center" vertical="center" wrapText="1"/>
    </xf>
    <xf numFmtId="41" fontId="31" fillId="46" borderId="13" xfId="51" applyFont="1" applyFill="1" applyBorder="1" applyAlignment="1">
      <alignment horizontal="center" vertical="center" wrapText="1"/>
    </xf>
    <xf numFmtId="0" fontId="31" fillId="46" borderId="13" xfId="0" applyFont="1" applyFill="1" applyBorder="1" applyAlignment="1">
      <alignment horizontal="center" vertical="center" wrapText="1"/>
    </xf>
    <xf numFmtId="0" fontId="31" fillId="34" borderId="13" xfId="0" applyFont="1" applyFill="1" applyBorder="1" applyAlignment="1">
      <alignment horizontal="center" vertical="center" wrapText="1"/>
    </xf>
    <xf numFmtId="0" fontId="31" fillId="47" borderId="13" xfId="0" applyFont="1" applyFill="1" applyBorder="1" applyAlignment="1">
      <alignment horizontal="center" vertical="center" wrapText="1"/>
    </xf>
    <xf numFmtId="0" fontId="31" fillId="35" borderId="82" xfId="0" applyFont="1" applyFill="1" applyBorder="1" applyAlignment="1">
      <alignment horizontal="center" vertical="top" wrapText="1"/>
    </xf>
    <xf numFmtId="0" fontId="31" fillId="34" borderId="82" xfId="0" applyFont="1" applyFill="1" applyBorder="1" applyAlignment="1">
      <alignment horizontal="center" vertical="top" wrapText="1"/>
    </xf>
    <xf numFmtId="178" fontId="33" fillId="0" borderId="31" xfId="51" applyNumberFormat="1" applyFont="1" applyBorder="1" applyAlignment="1">
      <alignment horizontal="center"/>
    </xf>
    <xf numFmtId="178" fontId="33" fillId="0" borderId="26" xfId="51" applyNumberFormat="1" applyFont="1" applyBorder="1" applyAlignment="1">
      <alignment horizontal="center"/>
    </xf>
    <xf numFmtId="14" fontId="78" fillId="38" borderId="41" xfId="0" applyNumberFormat="1" applyFont="1" applyFill="1" applyBorder="1" applyAlignment="1">
      <alignment horizontal="center" vertical="center" wrapText="1"/>
    </xf>
    <xf numFmtId="41" fontId="107" fillId="44" borderId="10" xfId="51" applyFont="1" applyFill="1" applyBorder="1"/>
    <xf numFmtId="41" fontId="26" fillId="0" borderId="0" xfId="51" applyFont="1" applyAlignment="1">
      <alignment vertical="center"/>
    </xf>
    <xf numFmtId="3" fontId="80" fillId="0" borderId="0" xfId="0" applyNumberFormat="1" applyFont="1" applyAlignment="1">
      <alignment horizontal="right" vertical="center" indent="1"/>
    </xf>
    <xf numFmtId="41" fontId="26" fillId="0" borderId="0" xfId="51" applyFont="1" applyAlignment="1">
      <alignment horizontal="center" vertical="center"/>
    </xf>
    <xf numFmtId="0" fontId="52" fillId="0" borderId="0" xfId="0" applyFont="1" applyAlignment="1">
      <alignment horizontal="right" vertical="center" indent="1"/>
    </xf>
    <xf numFmtId="0" fontId="52" fillId="0" borderId="42" xfId="0" applyFont="1" applyBorder="1" applyAlignment="1">
      <alignment vertical="center" wrapText="1"/>
    </xf>
    <xf numFmtId="3" fontId="80" fillId="0" borderId="25" xfId="0" applyNumberFormat="1" applyFont="1" applyBorder="1" applyAlignment="1">
      <alignment horizontal="right" vertical="center" indent="1"/>
    </xf>
    <xf numFmtId="0" fontId="52" fillId="0" borderId="28" xfId="0" applyFont="1" applyBorder="1" applyAlignment="1">
      <alignment vertical="center"/>
    </xf>
    <xf numFmtId="0" fontId="52" fillId="0" borderId="41" xfId="0" applyFont="1" applyBorder="1" applyAlignment="1">
      <alignment horizontal="right" vertical="center" indent="1"/>
    </xf>
    <xf numFmtId="0" fontId="52" fillId="0" borderId="40" xfId="0" applyFont="1" applyBorder="1" applyAlignment="1">
      <alignment vertical="center" wrapText="1"/>
    </xf>
    <xf numFmtId="0" fontId="52" fillId="0" borderId="25" xfId="0" applyFont="1" applyBorder="1" applyAlignment="1">
      <alignment horizontal="right" vertical="center" indent="1"/>
    </xf>
    <xf numFmtId="0" fontId="52" fillId="0" borderId="38" xfId="0" applyFont="1" applyBorder="1" applyAlignment="1">
      <alignment horizontal="right" vertical="center" indent="1"/>
    </xf>
    <xf numFmtId="3" fontId="52" fillId="0" borderId="25" xfId="0" applyNumberFormat="1" applyFont="1" applyBorder="1" applyAlignment="1">
      <alignment vertical="center"/>
    </xf>
    <xf numFmtId="0" fontId="52" fillId="0" borderId="34" xfId="0" applyFont="1" applyBorder="1" applyAlignment="1">
      <alignment vertical="center" wrapText="1"/>
    </xf>
    <xf numFmtId="0" fontId="80" fillId="0" borderId="23" xfId="0" applyFont="1" applyBorder="1" applyAlignment="1">
      <alignment horizontal="right" vertical="center" indent="1"/>
    </xf>
    <xf numFmtId="3" fontId="80" fillId="0" borderId="23" xfId="0" applyNumberFormat="1" applyFont="1" applyBorder="1" applyAlignment="1">
      <alignment vertical="center"/>
    </xf>
    <xf numFmtId="0" fontId="80" fillId="0" borderId="23" xfId="0" applyFont="1" applyBorder="1" applyAlignment="1">
      <alignment vertical="center"/>
    </xf>
    <xf numFmtId="0" fontId="80" fillId="0" borderId="35" xfId="0" applyFont="1" applyBorder="1" applyAlignment="1">
      <alignment horizontal="right" vertical="center" indent="1"/>
    </xf>
    <xf numFmtId="0" fontId="80" fillId="0" borderId="34" xfId="0" applyFont="1" applyBorder="1" applyAlignment="1">
      <alignment vertical="center" wrapText="1"/>
    </xf>
    <xf numFmtId="3" fontId="80" fillId="0" borderId="23" xfId="0" applyNumberFormat="1" applyFont="1" applyBorder="1" applyAlignment="1">
      <alignment horizontal="right" vertical="center" indent="1"/>
    </xf>
    <xf numFmtId="0" fontId="19" fillId="0" borderId="41" xfId="0" applyFont="1" applyBorder="1"/>
    <xf numFmtId="164" fontId="32" fillId="0" borderId="14" xfId="45" applyFont="1" applyFill="1" applyBorder="1" applyAlignment="1">
      <alignment horizontal="center" wrapText="1"/>
    </xf>
    <xf numFmtId="173" fontId="32" fillId="0" borderId="38" xfId="45" applyNumberFormat="1" applyFont="1" applyFill="1" applyBorder="1"/>
    <xf numFmtId="173" fontId="32" fillId="0" borderId="14" xfId="45" applyNumberFormat="1" applyFont="1" applyFill="1" applyBorder="1" applyAlignment="1">
      <alignment horizontal="center"/>
    </xf>
    <xf numFmtId="164" fontId="48" fillId="0" borderId="21" xfId="45" applyFont="1" applyFill="1" applyBorder="1" applyAlignment="1">
      <alignment horizontal="center"/>
    </xf>
    <xf numFmtId="164" fontId="48" fillId="0" borderId="0" xfId="45" applyFont="1" applyFill="1" applyAlignment="1">
      <alignment horizontal="center"/>
    </xf>
    <xf numFmtId="173" fontId="32" fillId="0" borderId="14" xfId="0" applyNumberFormat="1" applyFont="1" applyBorder="1" applyAlignment="1">
      <alignment horizontal="center"/>
    </xf>
    <xf numFmtId="173" fontId="32" fillId="0" borderId="14" xfId="45" applyNumberFormat="1" applyFont="1" applyFill="1" applyBorder="1" applyAlignment="1">
      <alignment horizontal="center" wrapText="1"/>
    </xf>
    <xf numFmtId="41" fontId="26" fillId="0" borderId="0" xfId="51" applyFont="1" applyAlignment="1">
      <alignment vertical="center" wrapText="1"/>
    </xf>
    <xf numFmtId="174" fontId="80" fillId="0" borderId="24" xfId="0" applyNumberFormat="1" applyFont="1" applyBorder="1" applyAlignment="1">
      <alignment horizontal="right" wrapText="1" indent="1"/>
    </xf>
    <xf numFmtId="174" fontId="52" fillId="0" borderId="24" xfId="0" applyNumberFormat="1" applyFont="1" applyBorder="1" applyAlignment="1">
      <alignment horizontal="right" wrapText="1" indent="1"/>
    </xf>
    <xf numFmtId="174" fontId="52" fillId="0" borderId="33" xfId="0" applyNumberFormat="1" applyFont="1" applyBorder="1" applyAlignment="1">
      <alignment horizontal="right" wrapText="1" indent="1"/>
    </xf>
    <xf numFmtId="174" fontId="80" fillId="0" borderId="28" xfId="0" applyNumberFormat="1" applyFont="1" applyBorder="1" applyAlignment="1">
      <alignment horizontal="right" wrapText="1" indent="1"/>
    </xf>
    <xf numFmtId="174" fontId="52" fillId="0" borderId="25" xfId="0" applyNumberFormat="1" applyFont="1" applyBorder="1" applyAlignment="1">
      <alignment horizontal="right" wrapText="1" indent="1"/>
    </xf>
    <xf numFmtId="174" fontId="80" fillId="0" borderId="42" xfId="0" applyNumberFormat="1" applyFont="1" applyBorder="1" applyAlignment="1">
      <alignment horizontal="right" wrapText="1" indent="1"/>
    </xf>
    <xf numFmtId="174" fontId="80" fillId="0" borderId="33" xfId="0" applyNumberFormat="1" applyFont="1" applyBorder="1" applyAlignment="1">
      <alignment horizontal="right" wrapText="1" indent="1"/>
    </xf>
    <xf numFmtId="174" fontId="52" fillId="0" borderId="40" xfId="0" applyNumberFormat="1" applyFont="1" applyBorder="1" applyAlignment="1">
      <alignment horizontal="right" wrapText="1" indent="1"/>
    </xf>
    <xf numFmtId="174" fontId="80" fillId="0" borderId="65" xfId="0" applyNumberFormat="1" applyFont="1" applyBorder="1" applyAlignment="1">
      <alignment horizontal="right" wrapText="1" indent="1"/>
    </xf>
    <xf numFmtId="174" fontId="80" fillId="0" borderId="25" xfId="0" applyNumberFormat="1" applyFont="1" applyBorder="1" applyAlignment="1">
      <alignment horizontal="right" wrapText="1" indent="1"/>
    </xf>
    <xf numFmtId="164" fontId="80" fillId="0" borderId="32" xfId="0" applyNumberFormat="1" applyFont="1" applyBorder="1" applyAlignment="1">
      <alignment horizontal="right" wrapText="1" indent="1"/>
    </xf>
    <xf numFmtId="164" fontId="52" fillId="0" borderId="0" xfId="0" applyNumberFormat="1" applyFont="1" applyAlignment="1">
      <alignment horizontal="right" wrapText="1" indent="1"/>
    </xf>
    <xf numFmtId="164" fontId="52" fillId="0" borderId="32" xfId="51" applyNumberFormat="1" applyFont="1" applyBorder="1" applyAlignment="1">
      <alignment horizontal="right" wrapText="1" indent="1"/>
    </xf>
    <xf numFmtId="164" fontId="52" fillId="0" borderId="32" xfId="0" applyNumberFormat="1" applyFont="1" applyBorder="1" applyAlignment="1">
      <alignment horizontal="right" wrapText="1" indent="1"/>
    </xf>
    <xf numFmtId="164" fontId="80" fillId="0" borderId="81" xfId="0" applyNumberFormat="1" applyFont="1" applyBorder="1" applyAlignment="1">
      <alignment horizontal="right" wrapText="1" indent="1"/>
    </xf>
    <xf numFmtId="164" fontId="80" fillId="0" borderId="36" xfId="0" applyNumberFormat="1" applyFont="1" applyBorder="1" applyAlignment="1">
      <alignment horizontal="right" wrapText="1" indent="1"/>
    </xf>
    <xf numFmtId="164" fontId="79" fillId="0" borderId="32" xfId="0" applyNumberFormat="1" applyFont="1" applyBorder="1" applyAlignment="1">
      <alignment horizontal="right" wrapText="1" indent="1"/>
    </xf>
    <xf numFmtId="164" fontId="80" fillId="0" borderId="35" xfId="0" applyNumberFormat="1" applyFont="1" applyBorder="1" applyAlignment="1">
      <alignment horizontal="right" wrapText="1" indent="1"/>
    </xf>
    <xf numFmtId="164" fontId="80" fillId="0" borderId="41" xfId="0" applyNumberFormat="1" applyFont="1" applyBorder="1" applyAlignment="1">
      <alignment horizontal="right" wrapText="1" indent="1"/>
    </xf>
    <xf numFmtId="164" fontId="80" fillId="0" borderId="39" xfId="0" applyNumberFormat="1" applyFont="1" applyBorder="1" applyAlignment="1">
      <alignment horizontal="right" wrapText="1" indent="1"/>
    </xf>
    <xf numFmtId="164" fontId="80" fillId="0" borderId="38" xfId="0" applyNumberFormat="1" applyFont="1" applyBorder="1" applyAlignment="1">
      <alignment horizontal="right" wrapText="1" indent="1"/>
    </xf>
    <xf numFmtId="164" fontId="80" fillId="0" borderId="37" xfId="0" applyNumberFormat="1" applyFont="1" applyBorder="1" applyAlignment="1">
      <alignment horizontal="right" wrapText="1" indent="1"/>
    </xf>
    <xf numFmtId="164" fontId="79" fillId="0" borderId="39" xfId="0" applyNumberFormat="1" applyFont="1" applyBorder="1" applyAlignment="1">
      <alignment horizontal="right" wrapText="1" indent="1"/>
    </xf>
    <xf numFmtId="164" fontId="80" fillId="0" borderId="63" xfId="0" applyNumberFormat="1" applyFont="1" applyBorder="1" applyAlignment="1">
      <alignment horizontal="right" wrapText="1" indent="1"/>
    </xf>
    <xf numFmtId="172" fontId="22" fillId="0" borderId="0" xfId="44" applyFont="1" applyAlignment="1">
      <alignment wrapText="1"/>
    </xf>
    <xf numFmtId="172" fontId="109" fillId="33" borderId="0" xfId="44" applyFont="1" applyFill="1" applyAlignment="1">
      <alignment horizontal="left"/>
    </xf>
    <xf numFmtId="0" fontId="80" fillId="0" borderId="0" xfId="0" applyFont="1" applyAlignment="1">
      <alignment horizontal="center" vertical="center"/>
    </xf>
    <xf numFmtId="164" fontId="52" fillId="0" borderId="24" xfId="0" applyNumberFormat="1" applyFont="1" applyBorder="1" applyAlignment="1">
      <alignment horizontal="right" vertical="center"/>
    </xf>
    <xf numFmtId="164" fontId="80" fillId="0" borderId="28" xfId="0" applyNumberFormat="1" applyFont="1" applyBorder="1" applyAlignment="1">
      <alignment horizontal="right" wrapText="1" indent="1"/>
    </xf>
    <xf numFmtId="164" fontId="80" fillId="0" borderId="24" xfId="0" applyNumberFormat="1" applyFont="1" applyBorder="1" applyAlignment="1">
      <alignment horizontal="right" wrapText="1" indent="1"/>
    </xf>
    <xf numFmtId="164" fontId="52" fillId="0" borderId="24" xfId="0" applyNumberFormat="1" applyFont="1" applyBorder="1" applyAlignment="1">
      <alignment horizontal="right" wrapText="1" indent="1"/>
    </xf>
    <xf numFmtId="164" fontId="80" fillId="0" borderId="25" xfId="0" applyNumberFormat="1" applyFont="1" applyBorder="1" applyAlignment="1">
      <alignment horizontal="right" wrapText="1" indent="1"/>
    </xf>
    <xf numFmtId="164" fontId="52" fillId="0" borderId="25" xfId="0" applyNumberFormat="1" applyFont="1" applyBorder="1" applyAlignment="1">
      <alignment horizontal="right" wrapText="1" indent="1"/>
    </xf>
    <xf numFmtId="164" fontId="52" fillId="0" borderId="37" xfId="0" applyNumberFormat="1" applyFont="1" applyBorder="1" applyAlignment="1">
      <alignment horizontal="right" wrapText="1" indent="1"/>
    </xf>
    <xf numFmtId="0" fontId="78" fillId="38" borderId="62" xfId="0" applyFont="1" applyFill="1" applyBorder="1" applyAlignment="1">
      <alignment vertical="center" wrapText="1"/>
    </xf>
    <xf numFmtId="0" fontId="40" fillId="48" borderId="33" xfId="0" applyFont="1" applyFill="1" applyBorder="1" applyAlignment="1">
      <alignment horizontal="center" vertical="center"/>
    </xf>
    <xf numFmtId="0" fontId="33" fillId="0" borderId="0" xfId="0" applyFont="1" applyAlignment="1">
      <alignment vertical="center"/>
    </xf>
    <xf numFmtId="0" fontId="81" fillId="49" borderId="32" xfId="0" applyFont="1" applyFill="1" applyBorder="1" applyAlignment="1">
      <alignment horizontal="center" vertical="center" wrapText="1"/>
    </xf>
    <xf numFmtId="0" fontId="52" fillId="0" borderId="39" xfId="0" applyFont="1" applyBorder="1" applyAlignment="1">
      <alignment horizontal="right" vertical="center"/>
    </xf>
    <xf numFmtId="0" fontId="80" fillId="0" borderId="38" xfId="0" applyFont="1" applyBorder="1" applyAlignment="1">
      <alignment horizontal="right" vertical="center"/>
    </xf>
    <xf numFmtId="0" fontId="78" fillId="49" borderId="24" xfId="0" applyFont="1" applyFill="1" applyBorder="1" applyAlignment="1">
      <alignment horizontal="center" vertical="center" wrapText="1"/>
    </xf>
    <xf numFmtId="0" fontId="52" fillId="0" borderId="28" xfId="0" applyFont="1" applyBorder="1" applyAlignment="1">
      <alignment horizontal="center" vertical="center"/>
    </xf>
    <xf numFmtId="0" fontId="79" fillId="0" borderId="24" xfId="0" applyFont="1" applyBorder="1" applyAlignment="1">
      <alignment vertical="center"/>
    </xf>
    <xf numFmtId="0" fontId="80" fillId="0" borderId="24" xfId="0" applyFont="1" applyBorder="1" applyAlignment="1">
      <alignment horizontal="center" vertical="center"/>
    </xf>
    <xf numFmtId="0" fontId="52" fillId="0" borderId="28" xfId="0" applyFont="1" applyBorder="1" applyAlignment="1">
      <alignment horizontal="right" vertical="center"/>
    </xf>
    <xf numFmtId="4" fontId="52" fillId="0" borderId="24" xfId="0" applyNumberFormat="1" applyFont="1" applyBorder="1" applyAlignment="1">
      <alignment horizontal="right" vertical="center"/>
    </xf>
    <xf numFmtId="14" fontId="78" fillId="49" borderId="24" xfId="0" applyNumberFormat="1" applyFont="1" applyFill="1" applyBorder="1" applyAlignment="1">
      <alignment horizontal="center" vertical="center" wrapText="1"/>
    </xf>
    <xf numFmtId="0" fontId="81" fillId="49" borderId="24" xfId="0" applyFont="1" applyFill="1" applyBorder="1" applyAlignment="1">
      <alignment horizontal="center" vertical="center" wrapText="1"/>
    </xf>
    <xf numFmtId="177" fontId="40" fillId="39" borderId="29" xfId="49" applyNumberFormat="1" applyFont="1" applyFill="1" applyBorder="1" applyAlignment="1">
      <alignment horizontal="center" vertical="center" wrapText="1"/>
    </xf>
    <xf numFmtId="164" fontId="80" fillId="0" borderId="24" xfId="51" applyNumberFormat="1" applyFont="1" applyBorder="1" applyAlignment="1">
      <alignment horizontal="right" wrapText="1" indent="1"/>
    </xf>
    <xf numFmtId="166" fontId="52" fillId="0" borderId="24" xfId="0" applyNumberFormat="1" applyFont="1" applyBorder="1" applyAlignment="1">
      <alignment horizontal="right" vertical="center"/>
    </xf>
    <xf numFmtId="166" fontId="52" fillId="0" borderId="24" xfId="0" applyNumberFormat="1" applyFont="1" applyBorder="1" applyAlignment="1">
      <alignment horizontal="right" wrapText="1" indent="1"/>
    </xf>
    <xf numFmtId="166" fontId="80" fillId="0" borderId="24" xfId="0" applyNumberFormat="1" applyFont="1" applyBorder="1" applyAlignment="1">
      <alignment horizontal="right" wrapText="1" indent="1"/>
    </xf>
    <xf numFmtId="164" fontId="80" fillId="0" borderId="32" xfId="51" applyNumberFormat="1" applyFont="1" applyBorder="1" applyAlignment="1">
      <alignment horizontal="right" wrapText="1" indent="1"/>
    </xf>
    <xf numFmtId="0" fontId="78" fillId="38" borderId="59" xfId="0" applyFont="1" applyFill="1" applyBorder="1" applyAlignment="1">
      <alignment horizontal="center" vertical="center" wrapText="1"/>
    </xf>
    <xf numFmtId="164" fontId="80" fillId="0" borderId="65" xfId="0" applyNumberFormat="1" applyFont="1" applyBorder="1" applyAlignment="1">
      <alignment horizontal="right" wrapText="1" indent="1"/>
    </xf>
    <xf numFmtId="166" fontId="80" fillId="0" borderId="65" xfId="0" applyNumberFormat="1" applyFont="1" applyBorder="1" applyAlignment="1">
      <alignment horizontal="right" wrapText="1" indent="1"/>
    </xf>
    <xf numFmtId="0" fontId="52" fillId="0" borderId="28" xfId="0" applyFont="1" applyBorder="1" applyAlignment="1">
      <alignment vertical="center" wrapText="1"/>
    </xf>
    <xf numFmtId="0" fontId="52" fillId="0" borderId="24" xfId="0" applyFont="1" applyBorder="1" applyAlignment="1">
      <alignment vertical="center" wrapText="1"/>
    </xf>
    <xf numFmtId="0" fontId="80" fillId="0" borderId="24" xfId="0" applyFont="1" applyBorder="1" applyAlignment="1">
      <alignment vertical="center" wrapText="1"/>
    </xf>
    <xf numFmtId="4" fontId="52" fillId="0" borderId="28" xfId="0" applyNumberFormat="1" applyFont="1" applyBorder="1" applyAlignment="1">
      <alignment horizontal="right" vertical="center"/>
    </xf>
    <xf numFmtId="3" fontId="52" fillId="0" borderId="28" xfId="0" applyNumberFormat="1" applyFont="1" applyBorder="1" applyAlignment="1">
      <alignment horizontal="right" vertical="center"/>
    </xf>
    <xf numFmtId="170" fontId="22" fillId="0" borderId="0" xfId="1" applyFont="1" applyFill="1" applyBorder="1"/>
    <xf numFmtId="0" fontId="52" fillId="50" borderId="32" xfId="0" applyFont="1" applyFill="1" applyBorder="1" applyAlignment="1">
      <alignment vertical="center"/>
    </xf>
    <xf numFmtId="0" fontId="80" fillId="0" borderId="38" xfId="0" applyFont="1" applyBorder="1" applyAlignment="1">
      <alignment horizontal="center" vertical="center"/>
    </xf>
    <xf numFmtId="0" fontId="19" fillId="0" borderId="38" xfId="0" applyFont="1" applyBorder="1" applyAlignment="1">
      <alignment vertical="center"/>
    </xf>
    <xf numFmtId="0" fontId="20" fillId="0" borderId="28" xfId="0" applyFont="1" applyBorder="1" applyAlignment="1">
      <alignment horizontal="center" vertical="center"/>
    </xf>
    <xf numFmtId="0" fontId="52" fillId="50" borderId="24" xfId="0" applyFont="1" applyFill="1" applyBorder="1" applyAlignment="1">
      <alignment vertical="center"/>
    </xf>
    <xf numFmtId="0" fontId="78" fillId="38" borderId="24" xfId="0" applyFont="1" applyFill="1" applyBorder="1" applyAlignment="1">
      <alignment vertical="center"/>
    </xf>
    <xf numFmtId="0" fontId="78" fillId="50" borderId="24" xfId="0" applyFont="1" applyFill="1" applyBorder="1" applyAlignment="1">
      <alignment vertical="center"/>
    </xf>
    <xf numFmtId="0" fontId="80" fillId="48" borderId="24" xfId="0" applyFont="1" applyFill="1" applyBorder="1" applyAlignment="1">
      <alignment horizontal="center" vertical="center"/>
    </xf>
    <xf numFmtId="0" fontId="20" fillId="0" borderId="23" xfId="0" applyFont="1" applyBorder="1" applyAlignment="1">
      <alignment horizontal="center" vertical="center"/>
    </xf>
    <xf numFmtId="0" fontId="78" fillId="38" borderId="24" xfId="0" applyFont="1" applyFill="1" applyBorder="1" applyAlignment="1">
      <alignment horizontal="left" vertical="center"/>
    </xf>
    <xf numFmtId="0" fontId="52" fillId="0" borderId="25" xfId="0" applyFont="1" applyBorder="1" applyAlignment="1">
      <alignment horizontal="left" vertical="center"/>
    </xf>
    <xf numFmtId="0" fontId="52" fillId="48" borderId="24" xfId="0" applyFont="1" applyFill="1" applyBorder="1" applyAlignment="1">
      <alignment horizontal="left" vertical="center"/>
    </xf>
    <xf numFmtId="0" fontId="78" fillId="48" borderId="24" xfId="0" applyFont="1" applyFill="1" applyBorder="1" applyAlignment="1">
      <alignment horizontal="left" vertical="center"/>
    </xf>
    <xf numFmtId="164" fontId="52" fillId="0" borderId="25" xfId="0" applyNumberFormat="1" applyFont="1" applyBorder="1" applyAlignment="1">
      <alignment horizontal="center" vertical="center"/>
    </xf>
    <xf numFmtId="164" fontId="78" fillId="38" borderId="24" xfId="0" applyNumberFormat="1" applyFont="1" applyFill="1" applyBorder="1" applyAlignment="1">
      <alignment vertical="center"/>
    </xf>
    <xf numFmtId="164" fontId="78" fillId="38" borderId="32" xfId="0" applyNumberFormat="1" applyFont="1" applyFill="1" applyBorder="1" applyAlignment="1">
      <alignment vertical="center"/>
    </xf>
    <xf numFmtId="164" fontId="80" fillId="48" borderId="24" xfId="0" applyNumberFormat="1" applyFont="1" applyFill="1" applyBorder="1" applyAlignment="1">
      <alignment horizontal="center" vertical="center"/>
    </xf>
    <xf numFmtId="164" fontId="52" fillId="48" borderId="24" xfId="0" applyNumberFormat="1" applyFont="1" applyFill="1" applyBorder="1" applyAlignment="1">
      <alignment horizontal="center" vertical="center"/>
    </xf>
    <xf numFmtId="164" fontId="52" fillId="48" borderId="32" xfId="0" applyNumberFormat="1" applyFont="1" applyFill="1" applyBorder="1" applyAlignment="1">
      <alignment horizontal="center" vertical="center"/>
    </xf>
    <xf numFmtId="0" fontId="78" fillId="38" borderId="28" xfId="0" applyFont="1" applyFill="1" applyBorder="1" applyAlignment="1">
      <alignment horizontal="center" vertical="center" wrapText="1"/>
    </xf>
    <xf numFmtId="0" fontId="78" fillId="38" borderId="34" xfId="0" applyFont="1" applyFill="1" applyBorder="1" applyAlignment="1">
      <alignment horizontal="center" vertical="center" wrapText="1"/>
    </xf>
    <xf numFmtId="0" fontId="78" fillId="38" borderId="36" xfId="0" applyFont="1" applyFill="1" applyBorder="1" applyAlignment="1">
      <alignment horizontal="center" vertical="center" wrapText="1"/>
    </xf>
    <xf numFmtId="0" fontId="78" fillId="49" borderId="28" xfId="0" applyFont="1" applyFill="1" applyBorder="1" applyAlignment="1">
      <alignment horizontal="center" vertical="center" wrapText="1"/>
    </xf>
    <xf numFmtId="0" fontId="78" fillId="49" borderId="42" xfId="0" applyFont="1" applyFill="1" applyBorder="1" applyAlignment="1">
      <alignment horizontal="center" vertical="center" wrapText="1"/>
    </xf>
    <xf numFmtId="0" fontId="78" fillId="49" borderId="33" xfId="0" applyFont="1" applyFill="1" applyBorder="1" applyAlignment="1">
      <alignment horizontal="center" vertical="center" wrapText="1"/>
    </xf>
    <xf numFmtId="0" fontId="80" fillId="0" borderId="28" xfId="0" applyFont="1" applyBorder="1" applyAlignment="1">
      <alignment horizontal="center" vertical="center" wrapText="1"/>
    </xf>
    <xf numFmtId="0" fontId="78" fillId="38" borderId="42" xfId="0" applyFont="1" applyFill="1" applyBorder="1" applyAlignment="1">
      <alignment horizontal="center" vertical="center" wrapText="1"/>
    </xf>
    <xf numFmtId="0" fontId="78" fillId="38" borderId="41" xfId="0" applyFont="1" applyFill="1" applyBorder="1" applyAlignment="1">
      <alignment horizontal="center" vertical="center" wrapText="1"/>
    </xf>
    <xf numFmtId="0" fontId="78" fillId="38" borderId="39" xfId="0" applyFont="1" applyFill="1" applyBorder="1" applyAlignment="1">
      <alignment horizontal="center" vertical="center" wrapText="1"/>
    </xf>
    <xf numFmtId="0" fontId="78" fillId="0" borderId="32" xfId="0" applyFont="1" applyBorder="1" applyAlignment="1">
      <alignment horizontal="center" vertical="center" wrapText="1"/>
    </xf>
    <xf numFmtId="0" fontId="80" fillId="0" borderId="41" xfId="0" applyFont="1" applyBorder="1" applyAlignment="1">
      <alignment horizontal="center" vertical="center" wrapText="1"/>
    </xf>
    <xf numFmtId="0" fontId="80" fillId="0" borderId="32" xfId="0" applyFont="1" applyBorder="1" applyAlignment="1">
      <alignment horizontal="right" vertical="center"/>
    </xf>
    <xf numFmtId="0" fontId="52" fillId="0" borderId="40" xfId="0" applyFont="1" applyBorder="1" applyAlignment="1">
      <alignment vertical="center"/>
    </xf>
    <xf numFmtId="0" fontId="20" fillId="0" borderId="24" xfId="0" applyFont="1" applyBorder="1" applyAlignment="1">
      <alignment horizontal="center" vertical="center" wrapText="1"/>
    </xf>
    <xf numFmtId="0" fontId="19" fillId="0" borderId="33" xfId="0" applyFont="1" applyBorder="1" applyAlignment="1">
      <alignment horizontal="center" vertical="center"/>
    </xf>
    <xf numFmtId="0" fontId="80" fillId="0" borderId="34" xfId="0" applyFont="1" applyBorder="1" applyAlignment="1">
      <alignment vertical="center"/>
    </xf>
    <xf numFmtId="41" fontId="52" fillId="0" borderId="24" xfId="51" applyFont="1" applyBorder="1" applyAlignment="1">
      <alignment horizontal="right" vertical="center"/>
    </xf>
    <xf numFmtId="41" fontId="52" fillId="0" borderId="32" xfId="51" applyFont="1" applyBorder="1" applyAlignment="1">
      <alignment horizontal="right" vertical="center"/>
    </xf>
    <xf numFmtId="41" fontId="52" fillId="0" borderId="37" xfId="51" applyFont="1" applyBorder="1" applyAlignment="1">
      <alignment horizontal="right" vertical="center"/>
    </xf>
    <xf numFmtId="3" fontId="80" fillId="0" borderId="28" xfId="0" applyNumberFormat="1" applyFont="1" applyBorder="1" applyAlignment="1">
      <alignment horizontal="right" vertical="center"/>
    </xf>
    <xf numFmtId="0" fontId="78" fillId="49" borderId="39" xfId="0" applyFont="1" applyFill="1" applyBorder="1" applyAlignment="1">
      <alignment horizontal="center" vertical="center" wrapText="1"/>
    </xf>
    <xf numFmtId="0" fontId="20" fillId="0" borderId="40" xfId="0" applyFont="1" applyBorder="1" applyAlignment="1">
      <alignment vertical="center"/>
    </xf>
    <xf numFmtId="0" fontId="78" fillId="49" borderId="34" xfId="0" applyFont="1" applyFill="1" applyBorder="1" applyAlignment="1">
      <alignment horizontal="center" vertical="center" wrapText="1"/>
    </xf>
    <xf numFmtId="41" fontId="52" fillId="0" borderId="0" xfId="51" applyFont="1" applyBorder="1" applyAlignment="1">
      <alignment horizontal="right" vertical="center"/>
    </xf>
    <xf numFmtId="164" fontId="104" fillId="0" borderId="0" xfId="51" applyNumberFormat="1" applyFont="1" applyAlignment="1">
      <alignment horizontal="right" wrapText="1" indent="1"/>
    </xf>
    <xf numFmtId="171" fontId="26" fillId="0" borderId="0" xfId="1" applyNumberFormat="1" applyFont="1" applyFill="1" applyBorder="1"/>
    <xf numFmtId="171" fontId="26" fillId="0" borderId="0" xfId="1" applyNumberFormat="1" applyFont="1"/>
    <xf numFmtId="41" fontId="19" fillId="0" borderId="33" xfId="51" applyFont="1" applyBorder="1" applyAlignment="1">
      <alignment horizontal="right" vertical="center"/>
    </xf>
    <xf numFmtId="41" fontId="52" fillId="0" borderId="37" xfId="51" applyFont="1" applyBorder="1" applyAlignment="1">
      <alignment horizontal="center" vertical="center"/>
    </xf>
    <xf numFmtId="41" fontId="52" fillId="0" borderId="59" xfId="51" applyFont="1" applyBorder="1" applyAlignment="1">
      <alignment horizontal="right" vertical="center"/>
    </xf>
    <xf numFmtId="3" fontId="19" fillId="0" borderId="39" xfId="0" applyNumberFormat="1" applyFont="1" applyBorder="1" applyAlignment="1">
      <alignment horizontal="right" vertical="center" wrapText="1"/>
    </xf>
    <xf numFmtId="3" fontId="19" fillId="0" borderId="32" xfId="0" applyNumberFormat="1" applyFont="1" applyBorder="1" applyAlignment="1">
      <alignment horizontal="right" vertical="center" wrapText="1"/>
    </xf>
    <xf numFmtId="0" fontId="26" fillId="0" borderId="0" xfId="49" applyFont="1" applyAlignment="1">
      <alignment horizontal="center"/>
    </xf>
    <xf numFmtId="0" fontId="80" fillId="0" borderId="40" xfId="0" applyFont="1" applyBorder="1" applyAlignment="1">
      <alignment horizontal="left" vertical="center" indent="1"/>
    </xf>
    <xf numFmtId="164" fontId="80" fillId="0" borderId="0" xfId="0" applyNumberFormat="1" applyFont="1" applyAlignment="1">
      <alignment horizontal="right" wrapText="1" indent="1"/>
    </xf>
    <xf numFmtId="164" fontId="80" fillId="0" borderId="86" xfId="0" applyNumberFormat="1" applyFont="1" applyBorder="1" applyAlignment="1">
      <alignment horizontal="right" wrapText="1" indent="1"/>
    </xf>
    <xf numFmtId="0" fontId="78" fillId="38" borderId="13" xfId="0" applyFont="1" applyFill="1" applyBorder="1" applyAlignment="1">
      <alignment horizontal="left" vertical="center"/>
    </xf>
    <xf numFmtId="14" fontId="78" fillId="38" borderId="22" xfId="0" applyNumberFormat="1" applyFont="1" applyFill="1" applyBorder="1" applyAlignment="1">
      <alignment vertical="center" wrapText="1"/>
    </xf>
    <xf numFmtId="14" fontId="78" fillId="38" borderId="22" xfId="0" applyNumberFormat="1" applyFont="1" applyFill="1" applyBorder="1" applyAlignment="1">
      <alignment horizontal="center" vertical="center" wrapText="1"/>
    </xf>
    <xf numFmtId="0" fontId="79" fillId="0" borderId="39" xfId="0" applyFont="1" applyBorder="1"/>
    <xf numFmtId="3" fontId="80" fillId="0" borderId="0" xfId="0" applyNumberFormat="1" applyFont="1" applyAlignment="1">
      <alignment vertical="center"/>
    </xf>
    <xf numFmtId="164" fontId="79" fillId="0" borderId="0" xfId="0" applyNumberFormat="1" applyFont="1" applyAlignment="1">
      <alignment horizontal="right" wrapText="1" indent="1"/>
    </xf>
    <xf numFmtId="3" fontId="80" fillId="0" borderId="38" xfId="0" applyNumberFormat="1" applyFont="1" applyBorder="1" applyAlignment="1">
      <alignment horizontal="right" vertical="center"/>
    </xf>
    <xf numFmtId="0" fontId="52" fillId="0" borderId="0" xfId="0" applyFont="1" applyAlignment="1">
      <alignment horizontal="right" vertical="center"/>
    </xf>
    <xf numFmtId="0" fontId="80" fillId="0" borderId="0" xfId="0" applyFont="1" applyAlignment="1">
      <alignment horizontal="right" vertical="center" wrapText="1"/>
    </xf>
    <xf numFmtId="14" fontId="78" fillId="48" borderId="0" xfId="0" applyNumberFormat="1" applyFont="1" applyFill="1" applyAlignment="1">
      <alignment horizontal="center" vertical="center" wrapText="1"/>
    </xf>
    <xf numFmtId="164" fontId="80" fillId="0" borderId="62" xfId="0" applyNumberFormat="1" applyFont="1" applyBorder="1" applyAlignment="1">
      <alignment horizontal="right" wrapText="1" indent="1"/>
    </xf>
    <xf numFmtId="14" fontId="78" fillId="38" borderId="28" xfId="0" applyNumberFormat="1" applyFont="1" applyFill="1" applyBorder="1" applyAlignment="1">
      <alignment horizontal="center" vertical="center" wrapText="1"/>
    </xf>
    <xf numFmtId="0" fontId="81" fillId="38" borderId="25" xfId="0" applyFont="1" applyFill="1" applyBorder="1" applyAlignment="1">
      <alignment horizontal="center" vertical="center" wrapText="1"/>
    </xf>
    <xf numFmtId="4" fontId="32" fillId="0" borderId="0" xfId="0" applyNumberFormat="1" applyFont="1"/>
    <xf numFmtId="43" fontId="32" fillId="0" borderId="0" xfId="0" applyNumberFormat="1" applyFont="1"/>
    <xf numFmtId="3" fontId="79" fillId="0" borderId="0" xfId="0" applyNumberFormat="1" applyFont="1"/>
    <xf numFmtId="164" fontId="79" fillId="0" borderId="0" xfId="0" applyNumberFormat="1" applyFont="1"/>
    <xf numFmtId="0" fontId="52" fillId="0" borderId="38" xfId="0" applyFont="1" applyBorder="1" applyAlignment="1">
      <alignment horizontal="center" vertical="center"/>
    </xf>
    <xf numFmtId="171" fontId="89" fillId="0" borderId="0" xfId="1" applyNumberFormat="1" applyFont="1" applyFill="1"/>
    <xf numFmtId="0" fontId="80" fillId="0" borderId="39" xfId="0" applyFont="1" applyBorder="1" applyAlignment="1">
      <alignment horizontal="center" vertical="center" wrapText="1"/>
    </xf>
    <xf numFmtId="0" fontId="20" fillId="0" borderId="32" xfId="0" applyFont="1" applyBorder="1" applyAlignment="1">
      <alignment horizontal="center" vertical="center" wrapText="1"/>
    </xf>
    <xf numFmtId="0" fontId="93" fillId="38" borderId="24" xfId="0" applyFont="1" applyFill="1" applyBorder="1" applyAlignment="1">
      <alignment vertical="center"/>
    </xf>
    <xf numFmtId="0" fontId="28" fillId="0" borderId="0" xfId="0" applyFont="1" applyAlignment="1">
      <alignment vertical="center"/>
    </xf>
    <xf numFmtId="41" fontId="28" fillId="0" borderId="0" xfId="0" applyNumberFormat="1" applyFont="1" applyAlignment="1">
      <alignment vertical="center"/>
    </xf>
    <xf numFmtId="0" fontId="112" fillId="0" borderId="0" xfId="46" applyFont="1"/>
    <xf numFmtId="171" fontId="112" fillId="0" borderId="0" xfId="1" applyNumberFormat="1" applyFont="1"/>
    <xf numFmtId="3" fontId="28" fillId="0" borderId="0" xfId="0" applyNumberFormat="1" applyFont="1" applyAlignment="1">
      <alignment vertical="center"/>
    </xf>
    <xf numFmtId="171" fontId="112" fillId="0" borderId="0" xfId="1" applyNumberFormat="1" applyFont="1" applyFill="1"/>
    <xf numFmtId="0" fontId="88" fillId="0" borderId="41" xfId="0" applyFont="1" applyBorder="1" applyAlignment="1">
      <alignment vertical="center"/>
    </xf>
    <xf numFmtId="3" fontId="80" fillId="0" borderId="32" xfId="0" applyNumberFormat="1" applyFont="1" applyBorder="1" applyAlignment="1">
      <alignment horizontal="right" vertical="center"/>
    </xf>
    <xf numFmtId="41" fontId="28" fillId="0" borderId="0" xfId="51" applyFont="1" applyAlignment="1">
      <alignment vertical="center"/>
    </xf>
    <xf numFmtId="41" fontId="111" fillId="0" borderId="0" xfId="51" applyFont="1" applyAlignment="1">
      <alignment vertical="center"/>
    </xf>
    <xf numFmtId="0" fontId="86" fillId="0" borderId="33" xfId="0" applyFont="1" applyBorder="1" applyAlignment="1">
      <alignment vertical="center"/>
    </xf>
    <xf numFmtId="41" fontId="80" fillId="0" borderId="84" xfId="51" applyFont="1" applyFill="1" applyBorder="1" applyAlignment="1">
      <alignment horizontal="right" vertical="center"/>
    </xf>
    <xf numFmtId="3" fontId="80" fillId="0" borderId="84" xfId="0" applyNumberFormat="1" applyFont="1" applyBorder="1" applyAlignment="1">
      <alignment horizontal="right" vertical="center"/>
    </xf>
    <xf numFmtId="14" fontId="78" fillId="49" borderId="0" xfId="0" applyNumberFormat="1" applyFont="1" applyFill="1" applyAlignment="1">
      <alignment horizontal="center" vertical="center" wrapText="1"/>
    </xf>
    <xf numFmtId="14" fontId="78" fillId="49" borderId="32" xfId="0" applyNumberFormat="1" applyFont="1" applyFill="1" applyBorder="1" applyAlignment="1">
      <alignment horizontal="center" vertical="center" wrapText="1"/>
    </xf>
    <xf numFmtId="41" fontId="26" fillId="0" borderId="0" xfId="51" applyFont="1" applyFill="1" applyBorder="1"/>
    <xf numFmtId="41" fontId="19" fillId="0" borderId="32" xfId="51" applyFont="1" applyBorder="1" applyAlignment="1">
      <alignment horizontal="right" vertical="center"/>
    </xf>
    <xf numFmtId="41" fontId="19" fillId="0" borderId="0" xfId="51" applyFont="1" applyAlignment="1">
      <alignment horizontal="right" vertical="center"/>
    </xf>
    <xf numFmtId="41" fontId="19" fillId="0" borderId="24" xfId="51" applyFont="1" applyBorder="1" applyAlignment="1">
      <alignment horizontal="right" vertical="center"/>
    </xf>
    <xf numFmtId="41" fontId="19" fillId="0" borderId="25" xfId="51" applyFont="1" applyBorder="1" applyAlignment="1">
      <alignment horizontal="right" vertical="center"/>
    </xf>
    <xf numFmtId="41" fontId="19" fillId="0" borderId="37" xfId="51" applyFont="1" applyBorder="1" applyAlignment="1">
      <alignment horizontal="right" vertical="center"/>
    </xf>
    <xf numFmtId="41" fontId="81" fillId="49" borderId="37" xfId="51" applyFont="1" applyFill="1" applyBorder="1" applyAlignment="1">
      <alignment vertical="center"/>
    </xf>
    <xf numFmtId="41" fontId="78" fillId="49" borderId="37" xfId="51" applyFont="1" applyFill="1" applyBorder="1" applyAlignment="1">
      <alignment vertical="center"/>
    </xf>
    <xf numFmtId="0" fontId="78" fillId="38" borderId="64" xfId="0" applyFont="1" applyFill="1" applyBorder="1" applyAlignment="1">
      <alignment horizontal="center" vertical="center" wrapText="1"/>
    </xf>
    <xf numFmtId="0" fontId="118" fillId="0" borderId="28" xfId="0" applyFont="1" applyBorder="1" applyAlignment="1">
      <alignment vertical="center" wrapText="1"/>
    </xf>
    <xf numFmtId="0" fontId="80" fillId="0" borderId="28" xfId="0" applyFont="1" applyBorder="1" applyAlignment="1">
      <alignment horizontal="right" vertical="center"/>
    </xf>
    <xf numFmtId="0" fontId="80" fillId="0" borderId="39" xfId="0" applyFont="1" applyBorder="1" applyAlignment="1">
      <alignment horizontal="right" vertical="center"/>
    </xf>
    <xf numFmtId="0" fontId="118" fillId="0" borderId="24" xfId="0" applyFont="1" applyBorder="1" applyAlignment="1">
      <alignment vertical="center" wrapText="1"/>
    </xf>
    <xf numFmtId="0" fontId="52" fillId="0" borderId="24" xfId="0" applyFont="1" applyBorder="1" applyAlignment="1">
      <alignment horizontal="left" vertical="center" wrapText="1" indent="2"/>
    </xf>
    <xf numFmtId="41" fontId="80" fillId="0" borderId="32" xfId="51" applyFont="1" applyBorder="1" applyAlignment="1">
      <alignment horizontal="right" vertical="center"/>
    </xf>
    <xf numFmtId="41" fontId="80" fillId="0" borderId="23" xfId="51" applyFont="1" applyBorder="1" applyAlignment="1">
      <alignment horizontal="right" vertical="center"/>
    </xf>
    <xf numFmtId="41" fontId="80" fillId="0" borderId="36" xfId="51" applyFont="1" applyBorder="1" applyAlignment="1">
      <alignment horizontal="right" vertical="center"/>
    </xf>
    <xf numFmtId="41" fontId="79" fillId="0" borderId="32" xfId="51" applyFont="1" applyBorder="1" applyAlignment="1">
      <alignment vertical="center"/>
    </xf>
    <xf numFmtId="0" fontId="80" fillId="0" borderId="24" xfId="0" applyFont="1" applyBorder="1" applyAlignment="1">
      <alignment horizontal="left" vertical="center" wrapText="1" indent="2"/>
    </xf>
    <xf numFmtId="41" fontId="79" fillId="0" borderId="32" xfId="51" applyFont="1" applyBorder="1" applyAlignment="1">
      <alignment vertical="center" wrapText="1"/>
    </xf>
    <xf numFmtId="41" fontId="52" fillId="0" borderId="24" xfId="51" applyFont="1" applyFill="1" applyBorder="1" applyAlignment="1">
      <alignment horizontal="right" vertical="center"/>
    </xf>
    <xf numFmtId="41" fontId="79" fillId="0" borderId="25" xfId="51" applyFont="1" applyBorder="1" applyAlignment="1">
      <alignment vertical="center"/>
    </xf>
    <xf numFmtId="41" fontId="79" fillId="0" borderId="37" xfId="51" applyFont="1" applyBorder="1" applyAlignment="1">
      <alignment vertical="center"/>
    </xf>
    <xf numFmtId="0" fontId="80" fillId="0" borderId="0" xfId="0" applyFont="1" applyAlignment="1">
      <alignment horizontal="left" vertical="center" wrapText="1" indent="2"/>
    </xf>
    <xf numFmtId="0" fontId="54" fillId="0" borderId="0" xfId="0" applyFont="1" applyAlignment="1">
      <alignment horizontal="center"/>
    </xf>
    <xf numFmtId="171" fontId="32" fillId="0" borderId="10" xfId="1" applyNumberFormat="1" applyFont="1" applyFill="1" applyBorder="1" applyAlignment="1">
      <alignment wrapText="1"/>
    </xf>
    <xf numFmtId="170" fontId="32" fillId="0" borderId="10" xfId="1" applyFont="1" applyFill="1" applyBorder="1" applyAlignment="1">
      <alignment wrapText="1"/>
    </xf>
    <xf numFmtId="0" fontId="52" fillId="0" borderId="11" xfId="0" applyFont="1" applyBorder="1" applyAlignment="1">
      <alignment vertical="center"/>
    </xf>
    <xf numFmtId="0" fontId="52" fillId="0" borderId="18" xfId="0" applyFont="1" applyBorder="1" applyAlignment="1">
      <alignment vertical="center"/>
    </xf>
    <xf numFmtId="0" fontId="20" fillId="0" borderId="33" xfId="0" applyFont="1" applyBorder="1" applyAlignment="1">
      <alignment vertical="center"/>
    </xf>
    <xf numFmtId="3" fontId="80" fillId="0" borderId="83" xfId="0" applyNumberFormat="1" applyFont="1" applyBorder="1" applyAlignment="1">
      <alignment horizontal="right" vertical="center"/>
    </xf>
    <xf numFmtId="3" fontId="20" fillId="0" borderId="83" xfId="0" applyNumberFormat="1" applyFont="1" applyBorder="1" applyAlignment="1">
      <alignment horizontal="right" vertical="center"/>
    </xf>
    <xf numFmtId="3" fontId="20" fillId="0" borderId="84" xfId="0" applyNumberFormat="1" applyFont="1" applyBorder="1" applyAlignment="1">
      <alignment horizontal="right" vertical="center"/>
    </xf>
    <xf numFmtId="41" fontId="19" fillId="0" borderId="24" xfId="51" applyFont="1" applyFill="1" applyBorder="1" applyAlignment="1">
      <alignment horizontal="right" vertical="center"/>
    </xf>
    <xf numFmtId="41" fontId="19" fillId="0" borderId="32" xfId="51" applyFont="1" applyFill="1" applyBorder="1" applyAlignment="1">
      <alignment horizontal="right" vertical="center"/>
    </xf>
    <xf numFmtId="41" fontId="32" fillId="0" borderId="14" xfId="51" applyFont="1" applyFill="1" applyBorder="1" applyAlignment="1">
      <alignment horizontal="center"/>
    </xf>
    <xf numFmtId="185" fontId="72" fillId="0" borderId="14" xfId="51" applyNumberFormat="1" applyFont="1" applyFill="1" applyBorder="1" applyAlignment="1">
      <alignment horizontal="center" vertical="center"/>
    </xf>
    <xf numFmtId="179" fontId="32" fillId="0" borderId="10" xfId="0" applyNumberFormat="1" applyFont="1" applyBorder="1" applyAlignment="1">
      <alignment horizontal="center"/>
    </xf>
    <xf numFmtId="10" fontId="32" fillId="0" borderId="10" xfId="0" applyNumberFormat="1" applyFont="1" applyBorder="1"/>
    <xf numFmtId="168" fontId="32" fillId="0" borderId="10" xfId="45" applyNumberFormat="1" applyFont="1" applyFill="1" applyBorder="1"/>
    <xf numFmtId="173" fontId="32" fillId="0" borderId="10" xfId="0" applyNumberFormat="1" applyFont="1" applyBorder="1"/>
    <xf numFmtId="168" fontId="32" fillId="0" borderId="10" xfId="0" applyNumberFormat="1" applyFont="1" applyBorder="1"/>
    <xf numFmtId="168" fontId="32" fillId="0" borderId="14" xfId="0" applyNumberFormat="1" applyFont="1" applyBorder="1" applyAlignment="1">
      <alignment horizontal="center"/>
    </xf>
    <xf numFmtId="171" fontId="72" fillId="0" borderId="14" xfId="1" applyNumberFormat="1" applyFont="1" applyFill="1" applyBorder="1" applyAlignment="1">
      <alignment horizontal="center" vertical="center"/>
    </xf>
    <xf numFmtId="41" fontId="80" fillId="0" borderId="83" xfId="51" applyFont="1" applyBorder="1" applyAlignment="1">
      <alignment horizontal="right" vertical="center"/>
    </xf>
    <xf numFmtId="41" fontId="80" fillId="0" borderId="63" xfId="51" applyFont="1" applyBorder="1" applyAlignment="1">
      <alignment horizontal="right" vertical="center"/>
    </xf>
    <xf numFmtId="41" fontId="80" fillId="0" borderId="87" xfId="51" applyFont="1" applyBorder="1" applyAlignment="1">
      <alignment horizontal="right" vertical="center"/>
    </xf>
    <xf numFmtId="41" fontId="80" fillId="0" borderId="88" xfId="51" applyFont="1" applyBorder="1" applyAlignment="1">
      <alignment horizontal="right" vertical="center"/>
    </xf>
    <xf numFmtId="41" fontId="20" fillId="0" borderId="83" xfId="51" applyFont="1" applyBorder="1" applyAlignment="1">
      <alignment horizontal="right" vertical="center"/>
    </xf>
    <xf numFmtId="3" fontId="20" fillId="0" borderId="90" xfId="0" applyNumberFormat="1" applyFont="1" applyBorder="1" applyAlignment="1">
      <alignment horizontal="right" vertical="center"/>
    </xf>
    <xf numFmtId="3" fontId="20" fillId="0" borderId="91" xfId="0" applyNumberFormat="1" applyFont="1" applyBorder="1" applyAlignment="1">
      <alignment horizontal="right" vertical="center" wrapText="1"/>
    </xf>
    <xf numFmtId="41" fontId="20" fillId="0" borderId="90" xfId="51" applyFont="1" applyBorder="1" applyAlignment="1">
      <alignment horizontal="right" vertical="center"/>
    </xf>
    <xf numFmtId="41" fontId="20" fillId="0" borderId="63" xfId="51" applyFont="1" applyBorder="1" applyAlignment="1">
      <alignment horizontal="right" vertical="center"/>
    </xf>
    <xf numFmtId="1" fontId="52" fillId="0" borderId="32" xfId="0" applyNumberFormat="1" applyFont="1" applyBorder="1" applyAlignment="1">
      <alignment horizontal="right" wrapText="1" indent="1"/>
    </xf>
    <xf numFmtId="164" fontId="80" fillId="0" borderId="23" xfId="0" applyNumberFormat="1" applyFont="1" applyBorder="1" applyAlignment="1">
      <alignment vertical="center"/>
    </xf>
    <xf numFmtId="1" fontId="52" fillId="0" borderId="24" xfId="0" applyNumberFormat="1" applyFont="1" applyBorder="1" applyAlignment="1">
      <alignment horizontal="right" wrapText="1" indent="1"/>
    </xf>
    <xf numFmtId="164" fontId="52" fillId="0" borderId="24" xfId="0" applyNumberFormat="1" applyFont="1" applyBorder="1" applyAlignment="1">
      <alignment vertical="top" wrapText="1"/>
    </xf>
    <xf numFmtId="4" fontId="52" fillId="0" borderId="24" xfId="0" applyNumberFormat="1" applyFont="1" applyBorder="1" applyAlignment="1">
      <alignment vertical="top"/>
    </xf>
    <xf numFmtId="164" fontId="80" fillId="0" borderId="24" xfId="0" applyNumberFormat="1" applyFont="1" applyBorder="1" applyAlignment="1">
      <alignment horizontal="right" vertical="center"/>
    </xf>
    <xf numFmtId="1" fontId="52" fillId="0" borderId="32" xfId="51" applyNumberFormat="1" applyFont="1" applyBorder="1" applyAlignment="1">
      <alignment horizontal="right" vertical="center"/>
    </xf>
    <xf numFmtId="1" fontId="80" fillId="0" borderId="28" xfId="51" applyNumberFormat="1" applyFont="1" applyBorder="1" applyAlignment="1">
      <alignment horizontal="right" vertical="center"/>
    </xf>
    <xf numFmtId="1" fontId="80" fillId="0" borderId="85" xfId="42434" applyNumberFormat="1" applyFont="1" applyBorder="1" applyAlignment="1">
      <alignment horizontal="right" vertical="center"/>
    </xf>
    <xf numFmtId="1" fontId="52" fillId="0" borderId="32" xfId="0" applyNumberFormat="1" applyFont="1" applyBorder="1" applyAlignment="1">
      <alignment horizontal="right" vertical="center"/>
    </xf>
    <xf numFmtId="164" fontId="19" fillId="0" borderId="28" xfId="0" applyNumberFormat="1" applyFont="1" applyBorder="1" applyAlignment="1">
      <alignment horizontal="right" vertical="center"/>
    </xf>
    <xf numFmtId="164" fontId="19" fillId="0" borderId="24" xfId="0" applyNumberFormat="1" applyFont="1" applyBorder="1" applyAlignment="1">
      <alignment horizontal="right" vertical="center"/>
    </xf>
    <xf numFmtId="164" fontId="33" fillId="0" borderId="25" xfId="46" applyNumberFormat="1" applyFont="1" applyBorder="1"/>
    <xf numFmtId="164" fontId="20" fillId="0" borderId="83" xfId="0" applyNumberFormat="1" applyFont="1" applyBorder="1" applyAlignment="1">
      <alignment horizontal="right" vertical="center"/>
    </xf>
    <xf numFmtId="164" fontId="20" fillId="0" borderId="91" xfId="0" applyNumberFormat="1" applyFont="1" applyBorder="1" applyAlignment="1">
      <alignment horizontal="right" vertical="center"/>
    </xf>
    <xf numFmtId="1" fontId="52" fillId="0" borderId="24" xfId="51" applyNumberFormat="1" applyFont="1" applyBorder="1" applyAlignment="1">
      <alignment horizontal="right" vertical="center"/>
    </xf>
    <xf numFmtId="1" fontId="52" fillId="0" borderId="59" xfId="51" applyNumberFormat="1" applyFont="1" applyBorder="1" applyAlignment="1">
      <alignment horizontal="right" vertical="center"/>
    </xf>
    <xf numFmtId="1" fontId="80" fillId="0" borderId="89" xfId="51" applyNumberFormat="1" applyFont="1" applyBorder="1" applyAlignment="1">
      <alignment horizontal="right" vertical="center"/>
    </xf>
    <xf numFmtId="1" fontId="80" fillId="0" borderId="88" xfId="51" applyNumberFormat="1" applyFont="1" applyBorder="1" applyAlignment="1">
      <alignment horizontal="right" vertical="center"/>
    </xf>
    <xf numFmtId="164" fontId="80" fillId="0" borderId="63" xfId="51" applyNumberFormat="1" applyFont="1" applyBorder="1" applyAlignment="1">
      <alignment horizontal="right" vertical="center"/>
    </xf>
    <xf numFmtId="1" fontId="52" fillId="0" borderId="37" xfId="51" applyNumberFormat="1" applyFont="1" applyBorder="1" applyAlignment="1">
      <alignment horizontal="right" vertical="center"/>
    </xf>
    <xf numFmtId="1" fontId="19" fillId="0" borderId="32" xfId="51" applyNumberFormat="1" applyFont="1" applyBorder="1" applyAlignment="1">
      <alignment horizontal="right" vertical="center"/>
    </xf>
    <xf numFmtId="164" fontId="19" fillId="0" borderId="32" xfId="51" applyNumberFormat="1" applyFont="1" applyBorder="1" applyAlignment="1">
      <alignment horizontal="right" vertical="center"/>
    </xf>
    <xf numFmtId="164" fontId="20" fillId="0" borderId="83" xfId="51" applyNumberFormat="1" applyFont="1" applyBorder="1" applyAlignment="1">
      <alignment horizontal="right" vertical="center"/>
    </xf>
    <xf numFmtId="0" fontId="78" fillId="49" borderId="55" xfId="0" applyFont="1" applyFill="1" applyBorder="1" applyAlignment="1">
      <alignment horizontal="center" vertical="center" wrapText="1"/>
    </xf>
    <xf numFmtId="0" fontId="52" fillId="0" borderId="25" xfId="0" applyFont="1" applyBorder="1" applyAlignment="1">
      <alignment vertical="center" wrapText="1"/>
    </xf>
    <xf numFmtId="164" fontId="52" fillId="0" borderId="59" xfId="51" applyNumberFormat="1" applyFont="1" applyBorder="1" applyAlignment="1">
      <alignment horizontal="right" vertical="center"/>
    </xf>
    <xf numFmtId="0" fontId="80" fillId="0" borderId="40" xfId="0" applyFont="1" applyBorder="1" applyAlignment="1">
      <alignment vertical="top"/>
    </xf>
    <xf numFmtId="41" fontId="20" fillId="0" borderId="23" xfId="51" applyFont="1" applyBorder="1" applyAlignment="1">
      <alignment horizontal="right" vertical="top"/>
    </xf>
    <xf numFmtId="164" fontId="20" fillId="0" borderId="23" xfId="51" applyNumberFormat="1" applyFont="1" applyBorder="1" applyAlignment="1">
      <alignment horizontal="right" vertical="top"/>
    </xf>
    <xf numFmtId="0" fontId="52" fillId="0" borderId="37" xfId="0" applyFont="1" applyBorder="1" applyAlignment="1">
      <alignment horizontal="left" vertical="center" wrapText="1"/>
    </xf>
    <xf numFmtId="164" fontId="80" fillId="0" borderId="23" xfId="0" applyNumberFormat="1" applyFont="1" applyBorder="1" applyAlignment="1">
      <alignment horizontal="right" vertical="center"/>
    </xf>
    <xf numFmtId="164" fontId="80" fillId="0" borderId="83" xfId="0" applyNumberFormat="1" applyFont="1" applyBorder="1" applyAlignment="1">
      <alignment horizontal="right" vertical="center"/>
    </xf>
    <xf numFmtId="164" fontId="80" fillId="0" borderId="84" xfId="0" applyNumberFormat="1" applyFont="1" applyBorder="1" applyAlignment="1">
      <alignment horizontal="right" vertical="center"/>
    </xf>
    <xf numFmtId="0" fontId="41" fillId="0" borderId="0" xfId="52" applyAlignment="1">
      <alignment horizontal="center"/>
    </xf>
    <xf numFmtId="0" fontId="41" fillId="0" borderId="0" xfId="52" applyFill="1" applyBorder="1" applyAlignment="1">
      <alignment horizontal="center"/>
    </xf>
    <xf numFmtId="164" fontId="52" fillId="0" borderId="24" xfId="0" applyNumberFormat="1" applyFont="1" applyBorder="1" applyAlignment="1">
      <alignment vertical="center"/>
    </xf>
    <xf numFmtId="0" fontId="52" fillId="0" borderId="33" xfId="0" applyFont="1" applyBorder="1" applyAlignment="1">
      <alignment horizontal="right" vertical="center" indent="1"/>
    </xf>
    <xf numFmtId="164" fontId="80" fillId="0" borderId="25" xfId="0" applyNumberFormat="1" applyFont="1" applyBorder="1" applyAlignment="1">
      <alignment horizontal="right" vertical="center"/>
    </xf>
    <xf numFmtId="164" fontId="78" fillId="38" borderId="35" xfId="0" applyNumberFormat="1" applyFont="1" applyFill="1" applyBorder="1" applyAlignment="1">
      <alignment vertical="center" wrapText="1"/>
    </xf>
    <xf numFmtId="0" fontId="78" fillId="38" borderId="34" xfId="0" applyFont="1" applyFill="1" applyBorder="1" applyAlignment="1">
      <alignment vertical="center" wrapText="1"/>
    </xf>
    <xf numFmtId="0" fontId="78" fillId="38" borderId="23" xfId="0" applyFont="1" applyFill="1" applyBorder="1" applyAlignment="1">
      <alignment vertical="center" wrapText="1"/>
    </xf>
    <xf numFmtId="0" fontId="78" fillId="38" borderId="35" xfId="0" applyFont="1" applyFill="1" applyBorder="1" applyAlignment="1">
      <alignment vertical="center" wrapText="1"/>
    </xf>
    <xf numFmtId="0" fontId="78" fillId="38" borderId="36" xfId="0" applyFont="1" applyFill="1" applyBorder="1" applyAlignment="1">
      <alignment vertical="center" wrapText="1"/>
    </xf>
    <xf numFmtId="164" fontId="80" fillId="0" borderId="92" xfId="0" applyNumberFormat="1" applyFont="1" applyBorder="1" applyAlignment="1">
      <alignment horizontal="right" vertical="center"/>
    </xf>
    <xf numFmtId="164" fontId="78" fillId="38" borderId="23" xfId="0" applyNumberFormat="1" applyFont="1" applyFill="1" applyBorder="1" applyAlignment="1">
      <alignment vertical="center" wrapText="1"/>
    </xf>
    <xf numFmtId="4" fontId="52" fillId="0" borderId="24" xfId="51" applyNumberFormat="1" applyFont="1" applyBorder="1" applyAlignment="1">
      <alignment horizontal="right" vertical="center" wrapText="1" indent="1"/>
    </xf>
    <xf numFmtId="4" fontId="52" fillId="0" borderId="25" xfId="51" applyNumberFormat="1" applyFont="1" applyBorder="1" applyAlignment="1">
      <alignment horizontal="right" vertical="center" wrapText="1" indent="1"/>
    </xf>
    <xf numFmtId="4" fontId="78" fillId="38" borderId="24" xfId="51" applyNumberFormat="1" applyFont="1" applyFill="1" applyBorder="1" applyAlignment="1">
      <alignment horizontal="right" vertical="center" wrapText="1" indent="1"/>
    </xf>
    <xf numFmtId="4" fontId="80" fillId="48" borderId="24" xfId="51" applyNumberFormat="1" applyFont="1" applyFill="1" applyBorder="1" applyAlignment="1">
      <alignment horizontal="right" vertical="center" wrapText="1" indent="1"/>
    </xf>
    <xf numFmtId="164" fontId="80" fillId="0" borderId="28" xfId="0" applyNumberFormat="1" applyFont="1" applyBorder="1" applyAlignment="1">
      <alignment horizontal="right" vertical="center"/>
    </xf>
    <xf numFmtId="0" fontId="33" fillId="0" borderId="25" xfId="46" applyFont="1" applyBorder="1"/>
    <xf numFmtId="0" fontId="33" fillId="0" borderId="23" xfId="46" applyFont="1" applyBorder="1"/>
    <xf numFmtId="0" fontId="33" fillId="0" borderId="28" xfId="46" applyFont="1" applyBorder="1"/>
    <xf numFmtId="41" fontId="33" fillId="0" borderId="0" xfId="51" applyFont="1"/>
    <xf numFmtId="171" fontId="83" fillId="0" borderId="0" xfId="1" applyNumberFormat="1" applyFont="1"/>
    <xf numFmtId="3" fontId="83" fillId="0" borderId="0" xfId="0" applyNumberFormat="1" applyFont="1" applyAlignment="1">
      <alignment vertical="center"/>
    </xf>
    <xf numFmtId="164" fontId="83" fillId="0" borderId="0" xfId="0" applyNumberFormat="1" applyFont="1" applyAlignment="1">
      <alignment horizontal="right" wrapText="1" indent="1"/>
    </xf>
    <xf numFmtId="164" fontId="32" fillId="0" borderId="14" xfId="45" applyFont="1" applyBorder="1" applyAlignment="1">
      <alignment horizontal="center"/>
    </xf>
    <xf numFmtId="10" fontId="32" fillId="0" borderId="14" xfId="4769" applyNumberFormat="1" applyFont="1" applyBorder="1" applyAlignment="1">
      <alignment horizontal="center"/>
    </xf>
    <xf numFmtId="164" fontId="32" fillId="0" borderId="14" xfId="45" applyFont="1" applyBorder="1" applyAlignment="1">
      <alignment horizontal="center" wrapText="1"/>
    </xf>
    <xf numFmtId="0" fontId="86" fillId="0" borderId="42" xfId="0" applyFont="1" applyBorder="1" applyAlignment="1">
      <alignment vertical="center"/>
    </xf>
    <xf numFmtId="0" fontId="86" fillId="0" borderId="28" xfId="0" applyFont="1" applyBorder="1" applyAlignment="1">
      <alignment vertical="center"/>
    </xf>
    <xf numFmtId="0" fontId="88" fillId="0" borderId="28" xfId="0" applyFont="1" applyBorder="1" applyAlignment="1">
      <alignment vertical="center"/>
    </xf>
    <xf numFmtId="0" fontId="28" fillId="0" borderId="28" xfId="0" applyFont="1" applyBorder="1" applyAlignment="1">
      <alignment vertical="center"/>
    </xf>
    <xf numFmtId="41" fontId="28" fillId="0" borderId="28" xfId="0" applyNumberFormat="1" applyFont="1" applyBorder="1" applyAlignment="1">
      <alignment vertical="center"/>
    </xf>
    <xf numFmtId="0" fontId="89" fillId="0" borderId="0" xfId="0" applyFont="1" applyAlignment="1">
      <alignment horizontal="left" vertical="center" indent="1"/>
    </xf>
    <xf numFmtId="0" fontId="89" fillId="0" borderId="0" xfId="49" applyFont="1"/>
    <xf numFmtId="14" fontId="78" fillId="53" borderId="28" xfId="0" applyNumberFormat="1" applyFont="1" applyFill="1" applyBorder="1" applyAlignment="1">
      <alignment horizontal="center" vertical="center" wrapText="1"/>
    </xf>
    <xf numFmtId="41" fontId="19" fillId="0" borderId="40" xfId="51" applyFont="1" applyBorder="1" applyAlignment="1">
      <alignment horizontal="right" vertical="center"/>
    </xf>
    <xf numFmtId="41" fontId="80" fillId="0" borderId="61" xfId="51" applyFont="1" applyBorder="1" applyAlignment="1">
      <alignment horizontal="right"/>
    </xf>
    <xf numFmtId="0" fontId="80" fillId="0" borderId="25" xfId="0" applyFont="1" applyBorder="1" applyAlignment="1">
      <alignment horizontal="left" wrapText="1" indent="2"/>
    </xf>
    <xf numFmtId="3" fontId="52" fillId="0" borderId="24" xfId="51" applyNumberFormat="1" applyFont="1" applyFill="1" applyBorder="1" applyAlignment="1">
      <alignment horizontal="right" vertical="center" wrapText="1" indent="1"/>
    </xf>
    <xf numFmtId="164" fontId="52" fillId="0" borderId="37" xfId="0" applyNumberFormat="1" applyFont="1" applyBorder="1" applyAlignment="1">
      <alignment horizontal="center" vertical="center"/>
    </xf>
    <xf numFmtId="0" fontId="52" fillId="0" borderId="13" xfId="0" applyFont="1" applyBorder="1" applyAlignment="1">
      <alignment horizontal="justify" vertical="center" wrapText="1"/>
    </xf>
    <xf numFmtId="0" fontId="33" fillId="0" borderId="17" xfId="46" applyFont="1" applyBorder="1"/>
    <xf numFmtId="0" fontId="52" fillId="0" borderId="22" xfId="0" applyFont="1" applyBorder="1" applyAlignment="1">
      <alignment vertical="center" wrapText="1"/>
    </xf>
    <xf numFmtId="0" fontId="52" fillId="0" borderId="16" xfId="0" applyFont="1" applyBorder="1" applyAlignment="1">
      <alignment horizontal="justify" vertical="center" wrapText="1"/>
    </xf>
    <xf numFmtId="0" fontId="52" fillId="0" borderId="79" xfId="0" applyFont="1" applyBorder="1" applyAlignment="1">
      <alignment vertical="center" wrapText="1"/>
    </xf>
    <xf numFmtId="0" fontId="52" fillId="0" borderId="15" xfId="0" applyFont="1" applyBorder="1" applyAlignment="1">
      <alignment horizontal="left" vertical="center"/>
    </xf>
    <xf numFmtId="0" fontId="33" fillId="0" borderId="80" xfId="46" applyFont="1" applyBorder="1"/>
    <xf numFmtId="0" fontId="52" fillId="0" borderId="22" xfId="0" applyFont="1" applyBorder="1" applyAlignment="1">
      <alignment horizontal="left" vertical="center"/>
    </xf>
    <xf numFmtId="0" fontId="52" fillId="0" borderId="16" xfId="0" applyFont="1" applyBorder="1" applyAlignment="1">
      <alignment horizontal="left" vertical="center"/>
    </xf>
    <xf numFmtId="0" fontId="52" fillId="0" borderId="16" xfId="0" applyFont="1" applyBorder="1" applyAlignment="1">
      <alignment vertical="center"/>
    </xf>
    <xf numFmtId="0" fontId="33" fillId="0" borderId="16" xfId="46" applyFont="1" applyBorder="1"/>
    <xf numFmtId="0" fontId="52" fillId="0" borderId="79" xfId="0" applyFont="1" applyBorder="1" applyAlignment="1">
      <alignment vertical="center"/>
    </xf>
    <xf numFmtId="0" fontId="80" fillId="0" borderId="11" xfId="0" applyFont="1" applyBorder="1" applyAlignment="1">
      <alignment vertical="center"/>
    </xf>
    <xf numFmtId="0" fontId="88" fillId="0" borderId="0" xfId="0" applyFont="1"/>
    <xf numFmtId="0" fontId="52" fillId="0" borderId="23" xfId="0" applyFont="1" applyBorder="1" applyAlignment="1">
      <alignment vertical="center"/>
    </xf>
    <xf numFmtId="6" fontId="33" fillId="0" borderId="0" xfId="46" applyNumberFormat="1" applyFont="1"/>
    <xf numFmtId="41" fontId="30" fillId="55" borderId="10" xfId="51" applyFont="1" applyFill="1" applyBorder="1"/>
    <xf numFmtId="41" fontId="108" fillId="55" borderId="10" xfId="51" applyFont="1" applyFill="1" applyBorder="1"/>
    <xf numFmtId="0" fontId="106" fillId="51" borderId="13" xfId="0" applyFont="1" applyFill="1" applyBorder="1" applyAlignment="1">
      <alignment vertical="center" wrapText="1"/>
    </xf>
    <xf numFmtId="0" fontId="52" fillId="0" borderId="23" xfId="0" applyFont="1" applyBorder="1" applyAlignment="1">
      <alignment horizontal="right" vertical="center" indent="1"/>
    </xf>
    <xf numFmtId="164" fontId="48" fillId="0" borderId="0" xfId="45" applyFont="1" applyFill="1" applyBorder="1" applyAlignment="1">
      <alignment horizontal="center"/>
    </xf>
    <xf numFmtId="164" fontId="32" fillId="0" borderId="14" xfId="0" applyNumberFormat="1" applyFont="1" applyBorder="1" applyAlignment="1">
      <alignment horizontal="center"/>
    </xf>
    <xf numFmtId="171" fontId="32" fillId="0" borderId="0" xfId="0" applyNumberFormat="1" applyFont="1"/>
    <xf numFmtId="164" fontId="19" fillId="0" borderId="0" xfId="0" applyNumberFormat="1" applyFont="1" applyAlignment="1">
      <alignment horizontal="center"/>
    </xf>
    <xf numFmtId="3" fontId="52" fillId="0" borderId="39" xfId="0" applyNumberFormat="1" applyFont="1" applyBorder="1" applyAlignment="1">
      <alignment horizontal="right" vertical="center" indent="1"/>
    </xf>
    <xf numFmtId="3" fontId="52" fillId="0" borderId="28" xfId="0" applyNumberFormat="1" applyFont="1" applyBorder="1" applyAlignment="1">
      <alignment horizontal="right" vertical="center" indent="1"/>
    </xf>
    <xf numFmtId="0" fontId="20" fillId="0" borderId="15" xfId="0" applyFont="1" applyBorder="1"/>
    <xf numFmtId="10" fontId="22" fillId="0" borderId="27" xfId="46" applyNumberFormat="1" applyFont="1" applyBorder="1" applyAlignment="1">
      <alignment horizontal="center"/>
    </xf>
    <xf numFmtId="3" fontId="52" fillId="0" borderId="14" xfId="0" applyNumberFormat="1" applyFont="1" applyBorder="1" applyAlignment="1">
      <alignment horizontal="center" vertical="center"/>
    </xf>
    <xf numFmtId="3" fontId="52" fillId="0" borderId="14" xfId="0" applyNumberFormat="1" applyFont="1" applyBorder="1" applyAlignment="1">
      <alignment horizontal="right" vertical="center"/>
    </xf>
    <xf numFmtId="10" fontId="52" fillId="0" borderId="14" xfId="0" applyNumberFormat="1" applyFont="1" applyBorder="1" applyAlignment="1">
      <alignment horizontal="right" vertical="center"/>
    </xf>
    <xf numFmtId="0" fontId="52" fillId="0" borderId="44" xfId="0" applyFont="1" applyBorder="1" applyAlignment="1">
      <alignment vertical="center" wrapText="1"/>
    </xf>
    <xf numFmtId="3" fontId="52" fillId="0" borderId="44" xfId="0" applyNumberFormat="1" applyFont="1" applyBorder="1" applyAlignment="1">
      <alignment horizontal="center" vertical="center"/>
    </xf>
    <xf numFmtId="3" fontId="52" fillId="0" borderId="44" xfId="0" applyNumberFormat="1" applyFont="1" applyBorder="1" applyAlignment="1">
      <alignment horizontal="right" vertical="center"/>
    </xf>
    <xf numFmtId="10" fontId="52" fillId="0" borderId="44" xfId="0" applyNumberFormat="1" applyFont="1" applyBorder="1" applyAlignment="1">
      <alignment horizontal="right" vertical="center"/>
    </xf>
    <xf numFmtId="0" fontId="78" fillId="0" borderId="28" xfId="0" applyFont="1" applyBorder="1" applyAlignment="1">
      <alignment horizontal="center" vertical="center" wrapText="1"/>
    </xf>
    <xf numFmtId="3" fontId="52" fillId="0" borderId="32" xfId="51" applyNumberFormat="1" applyFont="1" applyBorder="1" applyAlignment="1">
      <alignment horizontal="right" vertical="center"/>
    </xf>
    <xf numFmtId="185" fontId="72" fillId="0" borderId="0" xfId="51" applyNumberFormat="1" applyFont="1" applyFill="1" applyBorder="1" applyAlignment="1">
      <alignment horizontal="center" vertical="center"/>
    </xf>
    <xf numFmtId="171" fontId="72" fillId="0" borderId="0" xfId="1" applyNumberFormat="1" applyFont="1" applyFill="1" applyBorder="1" applyAlignment="1">
      <alignment horizontal="center" vertical="center"/>
    </xf>
    <xf numFmtId="0" fontId="72" fillId="0" borderId="0" xfId="0" applyFont="1" applyAlignment="1">
      <alignment vertical="center"/>
    </xf>
    <xf numFmtId="179" fontId="72" fillId="0" borderId="0" xfId="0" applyNumberFormat="1" applyFont="1" applyAlignment="1">
      <alignment horizontal="center" vertical="center"/>
    </xf>
    <xf numFmtId="0" fontId="49" fillId="0" borderId="93" xfId="0" applyFont="1" applyBorder="1"/>
    <xf numFmtId="0" fontId="49" fillId="0" borderId="94" xfId="0" applyFont="1" applyBorder="1"/>
    <xf numFmtId="0" fontId="31" fillId="35" borderId="96" xfId="0" applyFont="1" applyFill="1" applyBorder="1"/>
    <xf numFmtId="0" fontId="31" fillId="35" borderId="95" xfId="0" applyFont="1" applyFill="1" applyBorder="1"/>
    <xf numFmtId="0" fontId="107" fillId="44" borderId="12" xfId="0" applyFont="1" applyFill="1" applyBorder="1"/>
    <xf numFmtId="0" fontId="107" fillId="44" borderId="11" xfId="0" applyFont="1" applyFill="1" applyBorder="1"/>
    <xf numFmtId="41" fontId="30" fillId="0" borderId="0" xfId="51" applyFont="1" applyFill="1"/>
    <xf numFmtId="41" fontId="30" fillId="0" borderId="10" xfId="51" applyFont="1" applyBorder="1"/>
    <xf numFmtId="41" fontId="80" fillId="0" borderId="25" xfId="51" applyFont="1" applyBorder="1" applyAlignment="1">
      <alignment horizontal="right" vertical="center"/>
    </xf>
    <xf numFmtId="41" fontId="80" fillId="0" borderId="37" xfId="51" applyFont="1" applyBorder="1" applyAlignment="1">
      <alignment horizontal="right" vertical="center"/>
    </xf>
    <xf numFmtId="41" fontId="20" fillId="0" borderId="24" xfId="51" applyFont="1" applyBorder="1" applyAlignment="1">
      <alignment horizontal="right" vertical="center"/>
    </xf>
    <xf numFmtId="41" fontId="20" fillId="0" borderId="32" xfId="51" applyFont="1" applyBorder="1" applyAlignment="1">
      <alignment horizontal="right" vertical="center"/>
    </xf>
    <xf numFmtId="41" fontId="80" fillId="0" borderId="32" xfId="51" applyFont="1" applyFill="1" applyBorder="1" applyAlignment="1">
      <alignment horizontal="right" wrapText="1" indent="1"/>
    </xf>
    <xf numFmtId="41" fontId="52" fillId="0" borderId="32" xfId="51" applyFont="1" applyFill="1" applyBorder="1" applyAlignment="1">
      <alignment horizontal="right" wrapText="1" indent="1"/>
    </xf>
    <xf numFmtId="0" fontId="90" fillId="0" borderId="0" xfId="52" applyFont="1" applyAlignment="1">
      <alignment horizontal="right" vertical="center"/>
    </xf>
    <xf numFmtId="3" fontId="90" fillId="0" borderId="0" xfId="52" applyNumberFormat="1" applyFont="1" applyAlignment="1">
      <alignment horizontal="right" vertical="center"/>
    </xf>
    <xf numFmtId="3" fontId="90" fillId="0" borderId="0" xfId="52" applyNumberFormat="1" applyFont="1" applyAlignment="1">
      <alignment horizontal="center" vertical="center"/>
    </xf>
    <xf numFmtId="0" fontId="80" fillId="0" borderId="28" xfId="0" applyFont="1" applyBorder="1" applyAlignment="1">
      <alignment horizontal="right" vertical="center" wrapText="1" indent="1"/>
    </xf>
    <xf numFmtId="0" fontId="36" fillId="57" borderId="0" xfId="0" applyFont="1" applyFill="1" applyAlignment="1">
      <alignment vertical="center"/>
    </xf>
    <xf numFmtId="0" fontId="98" fillId="57" borderId="0" xfId="0" applyFont="1" applyFill="1" applyAlignment="1">
      <alignment horizontal="left" vertical="center" wrapText="1"/>
    </xf>
    <xf numFmtId="41" fontId="97" fillId="57" borderId="0" xfId="51" applyFont="1" applyFill="1" applyAlignment="1">
      <alignment vertical="top"/>
    </xf>
    <xf numFmtId="4" fontId="97" fillId="57" borderId="0" xfId="0" applyNumberFormat="1" applyFont="1" applyFill="1" applyAlignment="1">
      <alignment vertical="top"/>
    </xf>
    <xf numFmtId="0" fontId="35" fillId="57" borderId="0" xfId="0" applyFont="1" applyFill="1" applyAlignment="1">
      <alignment vertical="center"/>
    </xf>
    <xf numFmtId="0" fontId="99" fillId="57" borderId="0" xfId="0" applyFont="1" applyFill="1" applyAlignment="1">
      <alignment horizontal="left" vertical="center" wrapText="1"/>
    </xf>
    <xf numFmtId="41" fontId="101" fillId="57" borderId="0" xfId="51" applyFont="1" applyFill="1" applyAlignment="1">
      <alignment vertical="top"/>
    </xf>
    <xf numFmtId="4" fontId="101" fillId="57" borderId="0" xfId="0" applyNumberFormat="1" applyFont="1" applyFill="1" applyAlignment="1">
      <alignment vertical="top"/>
    </xf>
    <xf numFmtId="173" fontId="32" fillId="0" borderId="14" xfId="45" applyNumberFormat="1" applyFont="1" applyBorder="1" applyAlignment="1">
      <alignment horizontal="center"/>
    </xf>
    <xf numFmtId="16" fontId="0" fillId="0" borderId="0" xfId="0" applyNumberFormat="1"/>
    <xf numFmtId="3" fontId="19" fillId="0" borderId="0" xfId="0" applyNumberFormat="1" applyFont="1" applyAlignment="1">
      <alignment horizontal="center"/>
    </xf>
    <xf numFmtId="164" fontId="48" fillId="58" borderId="21" xfId="0" applyNumberFormat="1" applyFont="1" applyFill="1" applyBorder="1" applyAlignment="1">
      <alignment horizontal="center"/>
    </xf>
    <xf numFmtId="3" fontId="0" fillId="0" borderId="0" xfId="0" applyNumberFormat="1"/>
    <xf numFmtId="0" fontId="20" fillId="0" borderId="25" xfId="0" applyFont="1" applyBorder="1" applyAlignment="1">
      <alignment horizontal="center" vertical="center" wrapText="1"/>
    </xf>
    <xf numFmtId="41" fontId="19" fillId="0" borderId="0" xfId="51" applyFont="1" applyFill="1" applyAlignment="1">
      <alignment horizontal="right" vertical="center"/>
    </xf>
    <xf numFmtId="0" fontId="37" fillId="0" borderId="13" xfId="0" applyFont="1" applyBorder="1" applyAlignment="1">
      <alignment horizontal="center" wrapText="1"/>
    </xf>
    <xf numFmtId="0" fontId="37" fillId="0" borderId="14" xfId="0" applyFont="1" applyBorder="1" applyAlignment="1">
      <alignment horizontal="center" wrapText="1"/>
    </xf>
    <xf numFmtId="0" fontId="32" fillId="0" borderId="10" xfId="0" applyFont="1" applyBorder="1" applyAlignment="1">
      <alignment horizontal="left"/>
    </xf>
    <xf numFmtId="0" fontId="32" fillId="0" borderId="10" xfId="0" applyFont="1" applyBorder="1" applyAlignment="1">
      <alignment horizontal="center" wrapText="1"/>
    </xf>
    <xf numFmtId="0" fontId="32" fillId="0" borderId="18" xfId="0" applyFont="1" applyBorder="1" applyAlignment="1">
      <alignment horizontal="center" wrapText="1"/>
    </xf>
    <xf numFmtId="171" fontId="32" fillId="0" borderId="18" xfId="1" applyNumberFormat="1" applyFont="1" applyFill="1" applyBorder="1" applyAlignment="1">
      <alignment wrapText="1"/>
    </xf>
    <xf numFmtId="170" fontId="32" fillId="0" borderId="18" xfId="1" applyFont="1" applyFill="1" applyBorder="1" applyAlignment="1">
      <alignment wrapText="1"/>
    </xf>
    <xf numFmtId="0" fontId="36" fillId="34" borderId="0" xfId="0" applyFont="1" applyFill="1" applyAlignment="1">
      <alignment vertical="center"/>
    </xf>
    <xf numFmtId="0" fontId="99" fillId="34" borderId="0" xfId="0" applyFont="1" applyFill="1" applyAlignment="1">
      <alignment horizontal="left" vertical="center" wrapText="1"/>
    </xf>
    <xf numFmtId="41" fontId="101" fillId="34" borderId="0" xfId="51" applyFont="1" applyFill="1" applyAlignment="1">
      <alignment vertical="top"/>
    </xf>
    <xf numFmtId="4" fontId="101" fillId="34" borderId="0" xfId="0" applyNumberFormat="1" applyFont="1" applyFill="1" applyAlignment="1">
      <alignment vertical="top"/>
    </xf>
    <xf numFmtId="0" fontId="35" fillId="34" borderId="0" xfId="0" applyFont="1" applyFill="1" applyAlignment="1">
      <alignment vertical="center"/>
    </xf>
    <xf numFmtId="0" fontId="98" fillId="34" borderId="0" xfId="0" applyFont="1" applyFill="1" applyAlignment="1">
      <alignment horizontal="left" vertical="center" wrapText="1"/>
    </xf>
    <xf numFmtId="41" fontId="97" fillId="34" borderId="0" xfId="51" applyFont="1" applyFill="1" applyAlignment="1">
      <alignment vertical="top"/>
    </xf>
    <xf numFmtId="4" fontId="97" fillId="34" borderId="0" xfId="0" applyNumberFormat="1" applyFont="1" applyFill="1" applyAlignment="1">
      <alignment vertical="top"/>
    </xf>
    <xf numFmtId="41" fontId="37" fillId="0" borderId="0" xfId="51" applyFont="1"/>
    <xf numFmtId="171" fontId="37" fillId="0" borderId="0" xfId="0" applyNumberFormat="1" applyFont="1"/>
    <xf numFmtId="0" fontId="99" fillId="34" borderId="0" xfId="0" applyFont="1" applyFill="1" applyAlignment="1">
      <alignment horizontal="left" vertical="top" wrapText="1"/>
    </xf>
    <xf numFmtId="0" fontId="98" fillId="34" borderId="0" xfId="0" applyFont="1" applyFill="1" applyAlignment="1">
      <alignment horizontal="left" vertical="top" wrapText="1"/>
    </xf>
    <xf numFmtId="0" fontId="100" fillId="34" borderId="0" xfId="0" applyFont="1" applyFill="1" applyAlignment="1">
      <alignment horizontal="left" vertical="center"/>
    </xf>
    <xf numFmtId="0" fontId="102" fillId="34" borderId="0" xfId="0" applyFont="1" applyFill="1" applyAlignment="1">
      <alignment horizontal="left" vertical="center"/>
    </xf>
    <xf numFmtId="0" fontId="32" fillId="34" borderId="10" xfId="0" applyFont="1" applyFill="1" applyBorder="1"/>
    <xf numFmtId="0" fontId="32" fillId="34" borderId="10" xfId="0" applyFont="1" applyFill="1" applyBorder="1" applyAlignment="1">
      <alignment horizontal="left"/>
    </xf>
    <xf numFmtId="0" fontId="119" fillId="34" borderId="0" xfId="0" applyFont="1" applyFill="1" applyAlignment="1">
      <alignment vertical="center"/>
    </xf>
    <xf numFmtId="0" fontId="123" fillId="34" borderId="0" xfId="0" applyFont="1" applyFill="1" applyAlignment="1">
      <alignment horizontal="left" vertical="center" wrapText="1"/>
    </xf>
    <xf numFmtId="41" fontId="124" fillId="34" borderId="0" xfId="51" applyFont="1" applyFill="1" applyAlignment="1">
      <alignment vertical="top"/>
    </xf>
    <xf numFmtId="4" fontId="124" fillId="34" borderId="0" xfId="0" applyNumberFormat="1" applyFont="1" applyFill="1" applyAlignment="1">
      <alignment vertical="top"/>
    </xf>
    <xf numFmtId="0" fontId="119" fillId="0" borderId="0" xfId="0" applyFont="1" applyAlignment="1">
      <alignment vertical="center"/>
    </xf>
    <xf numFmtId="41" fontId="37" fillId="34" borderId="0" xfId="51" applyFont="1" applyFill="1"/>
    <xf numFmtId="0" fontId="32" fillId="0" borderId="0" xfId="0" applyFont="1" applyAlignment="1">
      <alignment horizontal="left"/>
    </xf>
    <xf numFmtId="0" fontId="0" fillId="0" borderId="10" xfId="0" applyBorder="1"/>
    <xf numFmtId="171" fontId="37" fillId="0" borderId="0" xfId="1" applyNumberFormat="1" applyFont="1" applyFill="1" applyBorder="1" applyAlignment="1">
      <alignment wrapText="1"/>
    </xf>
    <xf numFmtId="41" fontId="0" fillId="0" borderId="0" xfId="0" applyNumberFormat="1"/>
    <xf numFmtId="171" fontId="37" fillId="34" borderId="10" xfId="1" applyNumberFormat="1" applyFont="1" applyFill="1" applyBorder="1" applyAlignment="1">
      <alignment wrapText="1"/>
    </xf>
    <xf numFmtId="171" fontId="37" fillId="59" borderId="10" xfId="1" applyNumberFormat="1" applyFont="1" applyFill="1" applyBorder="1" applyAlignment="1">
      <alignment wrapText="1"/>
    </xf>
    <xf numFmtId="0" fontId="125" fillId="0" borderId="0" xfId="0" applyFont="1"/>
    <xf numFmtId="41" fontId="126" fillId="0" borderId="0" xfId="0" applyNumberFormat="1" applyFont="1" applyAlignment="1">
      <alignment vertical="center"/>
    </xf>
    <xf numFmtId="0" fontId="126" fillId="0" borderId="0" xfId="0" applyFont="1" applyAlignment="1">
      <alignment vertical="center"/>
    </xf>
    <xf numFmtId="0" fontId="125" fillId="0" borderId="0" xfId="0" applyFont="1" applyAlignment="1">
      <alignment vertical="center"/>
    </xf>
    <xf numFmtId="41" fontId="125" fillId="0" borderId="0" xfId="0" applyNumberFormat="1" applyFont="1" applyAlignment="1">
      <alignment vertical="center"/>
    </xf>
    <xf numFmtId="0" fontId="125" fillId="34" borderId="0" xfId="0" applyFont="1" applyFill="1" applyAlignment="1">
      <alignment vertical="center"/>
    </xf>
    <xf numFmtId="0" fontId="126" fillId="34" borderId="0" xfId="0" applyFont="1" applyFill="1" applyAlignment="1">
      <alignment vertical="center"/>
    </xf>
    <xf numFmtId="41" fontId="125" fillId="34" borderId="0" xfId="0" applyNumberFormat="1" applyFont="1" applyFill="1" applyAlignment="1">
      <alignment vertical="center"/>
    </xf>
    <xf numFmtId="0" fontId="125" fillId="57" borderId="0" xfId="0" applyFont="1" applyFill="1" applyAlignment="1">
      <alignment vertical="center"/>
    </xf>
    <xf numFmtId="41" fontId="125" fillId="57" borderId="0" xfId="0" applyNumberFormat="1" applyFont="1" applyFill="1" applyAlignment="1">
      <alignment vertical="center"/>
    </xf>
    <xf numFmtId="0" fontId="30" fillId="34" borderId="10" xfId="0" applyFont="1" applyFill="1" applyBorder="1"/>
    <xf numFmtId="41" fontId="30" fillId="34" borderId="10" xfId="51" applyFont="1" applyFill="1" applyBorder="1"/>
    <xf numFmtId="0" fontId="30" fillId="54" borderId="10" xfId="0" applyFont="1" applyFill="1" applyBorder="1"/>
    <xf numFmtId="170" fontId="37" fillId="54" borderId="10" xfId="1" applyFont="1" applyFill="1" applyBorder="1" applyAlignment="1">
      <alignment wrapText="1"/>
    </xf>
    <xf numFmtId="170" fontId="37" fillId="60" borderId="10" xfId="1" applyFont="1" applyFill="1" applyBorder="1" applyAlignment="1">
      <alignment wrapText="1"/>
    </xf>
    <xf numFmtId="170" fontId="37" fillId="59" borderId="10" xfId="1" applyFont="1" applyFill="1" applyBorder="1" applyAlignment="1">
      <alignment wrapText="1"/>
    </xf>
    <xf numFmtId="0" fontId="32" fillId="61" borderId="0" xfId="0" applyFont="1" applyFill="1"/>
    <xf numFmtId="3" fontId="52" fillId="0" borderId="28" xfId="0" applyNumberFormat="1" applyFont="1" applyBorder="1" applyAlignment="1">
      <alignment vertical="center" wrapText="1"/>
    </xf>
    <xf numFmtId="3" fontId="52" fillId="0" borderId="39" xfId="0" applyNumberFormat="1" applyFont="1" applyBorder="1" applyAlignment="1">
      <alignment vertical="center" wrapText="1"/>
    </xf>
    <xf numFmtId="3" fontId="52" fillId="0" borderId="25" xfId="0" applyNumberFormat="1" applyFont="1" applyBorder="1" applyAlignment="1">
      <alignment vertical="center" wrapText="1"/>
    </xf>
    <xf numFmtId="3" fontId="52" fillId="0" borderId="37" xfId="0" applyNumberFormat="1" applyFont="1" applyBorder="1" applyAlignment="1">
      <alignment vertical="center" wrapText="1"/>
    </xf>
    <xf numFmtId="10" fontId="32" fillId="0" borderId="0" xfId="4769" applyNumberFormat="1" applyFont="1" applyFill="1" applyBorder="1" applyAlignment="1">
      <alignment horizontal="center"/>
    </xf>
    <xf numFmtId="164" fontId="32" fillId="0" borderId="0" xfId="45" applyFont="1" applyFill="1" applyBorder="1" applyAlignment="1">
      <alignment horizontal="center" wrapText="1"/>
    </xf>
    <xf numFmtId="173" fontId="32" fillId="0" borderId="0" xfId="45" applyNumberFormat="1" applyFont="1" applyFill="1" applyBorder="1" applyAlignment="1">
      <alignment horizontal="center"/>
    </xf>
    <xf numFmtId="164" fontId="32" fillId="0" borderId="0" xfId="45" applyFont="1" applyFill="1" applyAlignment="1">
      <alignment horizontal="center"/>
    </xf>
    <xf numFmtId="173" fontId="48" fillId="0" borderId="21" xfId="45" applyNumberFormat="1" applyFont="1" applyFill="1" applyBorder="1" applyAlignment="1">
      <alignment horizontal="center"/>
    </xf>
    <xf numFmtId="164" fontId="32" fillId="0" borderId="10" xfId="45" applyFont="1" applyFill="1" applyBorder="1"/>
    <xf numFmtId="41" fontId="27" fillId="0" borderId="0" xfId="51" applyFont="1"/>
    <xf numFmtId="0" fontId="33" fillId="0" borderId="33" xfId="46" applyFont="1" applyBorder="1"/>
    <xf numFmtId="164" fontId="52" fillId="0" borderId="0" xfId="0" applyNumberFormat="1" applyFont="1" applyAlignment="1">
      <alignment horizontal="right" vertical="center"/>
    </xf>
    <xf numFmtId="176" fontId="27" fillId="0" borderId="0" xfId="49" applyNumberFormat="1" applyFont="1" applyAlignment="1">
      <alignment vertical="center"/>
    </xf>
    <xf numFmtId="1" fontId="52" fillId="0" borderId="24" xfId="51" applyNumberFormat="1" applyFont="1" applyFill="1" applyBorder="1" applyAlignment="1">
      <alignment horizontal="right" vertical="center"/>
    </xf>
    <xf numFmtId="0" fontId="27" fillId="0" borderId="0" xfId="46" applyFont="1"/>
    <xf numFmtId="41" fontId="27" fillId="0" borderId="0" xfId="46" applyNumberFormat="1" applyFont="1"/>
    <xf numFmtId="0" fontId="78" fillId="50" borderId="97" xfId="0" applyFont="1" applyFill="1" applyBorder="1" applyAlignment="1">
      <alignment vertical="center"/>
    </xf>
    <xf numFmtId="0" fontId="52" fillId="50" borderId="97" xfId="0" applyFont="1" applyFill="1" applyBorder="1" applyAlignment="1">
      <alignment vertical="center"/>
    </xf>
    <xf numFmtId="0" fontId="78" fillId="50" borderId="98" xfId="0" applyFont="1" applyFill="1" applyBorder="1" applyAlignment="1">
      <alignment vertical="center"/>
    </xf>
    <xf numFmtId="0" fontId="52" fillId="50" borderId="98" xfId="0" applyFont="1" applyFill="1" applyBorder="1" applyAlignment="1">
      <alignment vertical="center"/>
    </xf>
    <xf numFmtId="0" fontId="0" fillId="0" borderId="98" xfId="0" applyBorder="1"/>
    <xf numFmtId="0" fontId="52" fillId="0" borderId="98" xfId="0" applyFont="1" applyBorder="1" applyAlignment="1">
      <alignment vertical="center"/>
    </xf>
    <xf numFmtId="0" fontId="52" fillId="0" borderId="98" xfId="0" applyFont="1" applyBorder="1" applyAlignment="1">
      <alignment horizontal="left" vertical="center"/>
    </xf>
    <xf numFmtId="0" fontId="78" fillId="38" borderId="98" xfId="0" applyFont="1" applyFill="1" applyBorder="1" applyAlignment="1">
      <alignment vertical="center"/>
    </xf>
    <xf numFmtId="0" fontId="78" fillId="38" borderId="98" xfId="0" applyFont="1" applyFill="1" applyBorder="1" applyAlignment="1">
      <alignment horizontal="left" vertical="center"/>
    </xf>
    <xf numFmtId="0" fontId="13" fillId="0" borderId="0" xfId="0" applyFont="1"/>
    <xf numFmtId="41" fontId="13" fillId="0" borderId="0" xfId="51" applyFont="1"/>
    <xf numFmtId="0" fontId="26" fillId="0" borderId="0" xfId="0" applyFont="1" applyAlignment="1">
      <alignment horizontal="left" vertical="center"/>
    </xf>
    <xf numFmtId="0" fontId="78" fillId="50" borderId="97" xfId="0" applyFont="1" applyFill="1" applyBorder="1" applyAlignment="1">
      <alignment horizontal="center" vertical="center"/>
    </xf>
    <xf numFmtId="9" fontId="0" fillId="0" borderId="98" xfId="3324" applyFont="1" applyBorder="1"/>
    <xf numFmtId="0" fontId="128" fillId="50" borderId="100" xfId="0" applyFont="1" applyFill="1" applyBorder="1" applyAlignment="1">
      <alignment vertical="center"/>
    </xf>
    <xf numFmtId="41" fontId="128" fillId="50" borderId="97" xfId="51" applyFont="1" applyFill="1" applyBorder="1" applyAlignment="1">
      <alignment vertical="center"/>
    </xf>
    <xf numFmtId="41" fontId="0" fillId="0" borderId="98" xfId="51" applyFont="1" applyFill="1" applyBorder="1"/>
    <xf numFmtId="164" fontId="40" fillId="0" borderId="0" xfId="0" applyNumberFormat="1" applyFont="1" applyAlignment="1">
      <alignment horizontal="right" wrapText="1" indent="1"/>
    </xf>
    <xf numFmtId="205" fontId="52" fillId="0" borderId="14" xfId="0" applyNumberFormat="1" applyFont="1" applyBorder="1" applyAlignment="1">
      <alignment horizontal="right" vertical="center"/>
    </xf>
    <xf numFmtId="205" fontId="52" fillId="0" borderId="44" xfId="0" applyNumberFormat="1" applyFont="1" applyBorder="1" applyAlignment="1">
      <alignment horizontal="right" vertical="center"/>
    </xf>
    <xf numFmtId="205" fontId="33" fillId="0" borderId="0" xfId="46" applyNumberFormat="1" applyFont="1" applyAlignment="1">
      <alignment horizontal="left"/>
    </xf>
    <xf numFmtId="1" fontId="52" fillId="0" borderId="0" xfId="0" applyNumberFormat="1" applyFont="1" applyAlignment="1">
      <alignment horizontal="right" wrapText="1" indent="1"/>
    </xf>
    <xf numFmtId="41" fontId="0" fillId="0" borderId="0" xfId="51" applyFont="1"/>
    <xf numFmtId="4" fontId="52" fillId="0" borderId="38" xfId="51" applyNumberFormat="1" applyFont="1" applyBorder="1" applyAlignment="1">
      <alignment horizontal="right" vertical="center" wrapText="1" indent="1"/>
    </xf>
    <xf numFmtId="0" fontId="28" fillId="0" borderId="39" xfId="0" applyFont="1" applyBorder="1" applyAlignment="1">
      <alignment vertical="center"/>
    </xf>
    <xf numFmtId="0" fontId="15" fillId="36" borderId="10" xfId="0" applyFont="1" applyFill="1" applyBorder="1" applyAlignment="1">
      <alignment horizontal="center" wrapText="1"/>
    </xf>
    <xf numFmtId="178" fontId="0" fillId="0" borderId="10" xfId="51" applyNumberFormat="1" applyFont="1" applyBorder="1"/>
    <xf numFmtId="41" fontId="0" fillId="0" borderId="10" xfId="51" applyFont="1" applyBorder="1"/>
    <xf numFmtId="0" fontId="15" fillId="36" borderId="11" xfId="0" applyFont="1" applyFill="1" applyBorder="1"/>
    <xf numFmtId="178" fontId="15" fillId="36" borderId="10" xfId="0" applyNumberFormat="1" applyFont="1" applyFill="1" applyBorder="1"/>
    <xf numFmtId="0" fontId="15" fillId="36" borderId="10" xfId="0" applyFont="1" applyFill="1" applyBorder="1"/>
    <xf numFmtId="41" fontId="15" fillId="36" borderId="10" xfId="0" applyNumberFormat="1" applyFont="1" applyFill="1" applyBorder="1"/>
    <xf numFmtId="0" fontId="36" fillId="36" borderId="0" xfId="0" applyFont="1" applyFill="1" applyAlignment="1">
      <alignment horizontal="left" vertical="center"/>
    </xf>
    <xf numFmtId="0" fontId="0" fillId="36" borderId="0" xfId="0" applyFill="1"/>
    <xf numFmtId="0" fontId="48" fillId="36" borderId="101" xfId="0" applyFont="1" applyFill="1" applyBorder="1" applyAlignment="1">
      <alignment horizontal="center" vertical="center" wrapText="1"/>
    </xf>
    <xf numFmtId="14" fontId="48" fillId="36" borderId="101" xfId="51" applyNumberFormat="1" applyFont="1" applyFill="1" applyBorder="1" applyAlignment="1">
      <alignment horizontal="center" vertical="center" wrapText="1"/>
    </xf>
    <xf numFmtId="0" fontId="35" fillId="0" borderId="10" xfId="3928" applyFont="1" applyBorder="1" applyAlignment="1">
      <alignment horizontal="center" vertical="center"/>
    </xf>
    <xf numFmtId="41" fontId="35" fillId="0" borderId="10" xfId="51" applyFont="1" applyFill="1" applyBorder="1" applyAlignment="1">
      <alignment vertical="center"/>
    </xf>
    <xf numFmtId="41" fontId="36" fillId="0" borderId="10" xfId="51" applyFont="1" applyFill="1" applyBorder="1" applyAlignment="1">
      <alignment vertical="center"/>
    </xf>
    <xf numFmtId="0" fontId="31" fillId="57" borderId="101" xfId="0" applyFont="1" applyFill="1" applyBorder="1" applyAlignment="1">
      <alignment horizontal="center" vertical="center" wrapText="1"/>
    </xf>
    <xf numFmtId="0" fontId="35" fillId="0" borderId="10" xfId="0" applyFont="1" applyBorder="1" applyAlignment="1">
      <alignment horizontal="center"/>
    </xf>
    <xf numFmtId="178" fontId="35" fillId="0" borderId="10" xfId="51" applyNumberFormat="1" applyFont="1" applyBorder="1"/>
    <xf numFmtId="178" fontId="36" fillId="0" borderId="10" xfId="51" applyNumberFormat="1" applyFont="1" applyBorder="1"/>
    <xf numFmtId="41" fontId="36" fillId="0" borderId="10" xfId="51" applyFont="1" applyBorder="1"/>
    <xf numFmtId="178" fontId="35" fillId="0" borderId="10" xfId="51" applyNumberFormat="1" applyFont="1" applyFill="1" applyBorder="1"/>
    <xf numFmtId="178" fontId="36" fillId="0" borderId="10" xfId="51" applyNumberFormat="1" applyFont="1" applyFill="1" applyBorder="1"/>
    <xf numFmtId="0" fontId="24" fillId="0" borderId="10" xfId="0" applyFont="1" applyBorder="1" applyAlignment="1">
      <alignment horizontal="center"/>
    </xf>
    <xf numFmtId="178" fontId="24" fillId="0" borderId="10" xfId="51" applyNumberFormat="1" applyFont="1" applyFill="1" applyBorder="1"/>
    <xf numFmtId="178" fontId="29" fillId="0" borderId="10" xfId="51" applyNumberFormat="1" applyFont="1" applyFill="1" applyBorder="1"/>
    <xf numFmtId="164" fontId="80" fillId="0" borderId="28" xfId="51" applyNumberFormat="1" applyFont="1" applyBorder="1" applyAlignment="1">
      <alignment horizontal="right" wrapText="1" indent="1"/>
    </xf>
    <xf numFmtId="0" fontId="91" fillId="0" borderId="0" xfId="0" applyFont="1" applyAlignment="1">
      <alignment vertical="center"/>
    </xf>
    <xf numFmtId="3" fontId="80" fillId="0" borderId="102" xfId="51" applyNumberFormat="1" applyFont="1" applyFill="1" applyBorder="1" applyAlignment="1">
      <alignment horizontal="right" vertical="center" wrapText="1" indent="1"/>
    </xf>
    <xf numFmtId="3" fontId="80" fillId="0" borderId="83" xfId="51" applyNumberFormat="1" applyFont="1" applyFill="1" applyBorder="1" applyAlignment="1">
      <alignment horizontal="right" vertical="center" wrapText="1" indent="1"/>
    </xf>
    <xf numFmtId="0" fontId="37" fillId="0" borderId="13" xfId="0" applyFont="1" applyBorder="1"/>
    <xf numFmtId="0" fontId="37" fillId="0" borderId="13" xfId="0" applyFont="1" applyBorder="1" applyAlignment="1">
      <alignment horizontal="left"/>
    </xf>
    <xf numFmtId="0" fontId="37" fillId="0" borderId="20" xfId="0" applyFont="1" applyBorder="1"/>
    <xf numFmtId="0" fontId="37" fillId="0" borderId="18" xfId="0" applyFont="1" applyBorder="1"/>
    <xf numFmtId="0" fontId="37" fillId="0" borderId="18" xfId="0" applyFont="1" applyBorder="1" applyAlignment="1">
      <alignment horizontal="left"/>
    </xf>
    <xf numFmtId="0" fontId="37" fillId="0" borderId="14" xfId="0" applyFont="1" applyBorder="1"/>
    <xf numFmtId="0" fontId="37" fillId="0" borderId="14" xfId="0" applyFont="1" applyBorder="1" applyAlignment="1">
      <alignment horizontal="left"/>
    </xf>
    <xf numFmtId="0" fontId="37" fillId="0" borderId="20" xfId="0" applyFont="1" applyBorder="1" applyAlignment="1">
      <alignment horizontal="left"/>
    </xf>
    <xf numFmtId="0" fontId="32" fillId="0" borderId="18" xfId="0" applyFont="1" applyBorder="1"/>
    <xf numFmtId="0" fontId="32" fillId="0" borderId="18" xfId="0" applyFont="1" applyBorder="1" applyAlignment="1">
      <alignment horizontal="left"/>
    </xf>
    <xf numFmtId="3" fontId="37" fillId="0" borderId="0" xfId="0" applyNumberFormat="1" applyFont="1" applyAlignment="1">
      <alignment horizontal="center"/>
    </xf>
    <xf numFmtId="0" fontId="54" fillId="0" borderId="0" xfId="0" applyFont="1" applyAlignment="1">
      <alignment horizontal="left"/>
    </xf>
    <xf numFmtId="171" fontId="37" fillId="54" borderId="10" xfId="1" applyNumberFormat="1" applyFont="1" applyFill="1" applyBorder="1" applyAlignment="1">
      <alignment wrapText="1"/>
    </xf>
    <xf numFmtId="0" fontId="32" fillId="60" borderId="0" xfId="0" applyFont="1" applyFill="1"/>
    <xf numFmtId="41" fontId="20" fillId="0" borderId="28" xfId="51" applyFont="1" applyBorder="1" applyAlignment="1">
      <alignment horizontal="right" vertical="center"/>
    </xf>
    <xf numFmtId="1" fontId="20" fillId="0" borderId="28" xfId="51" applyNumberFormat="1" applyFont="1" applyBorder="1" applyAlignment="1">
      <alignment horizontal="right" vertical="center"/>
    </xf>
    <xf numFmtId="41" fontId="20" fillId="0" borderId="34" xfId="51" applyFont="1" applyBorder="1" applyAlignment="1">
      <alignment horizontal="right" vertical="center"/>
    </xf>
    <xf numFmtId="1" fontId="80" fillId="0" borderId="23" xfId="51" applyNumberFormat="1" applyFont="1" applyBorder="1" applyAlignment="1">
      <alignment horizontal="right" vertical="center"/>
    </xf>
    <xf numFmtId="41" fontId="80" fillId="0" borderId="103" xfId="51" applyFont="1" applyBorder="1" applyAlignment="1">
      <alignment horizontal="right" vertical="center"/>
    </xf>
    <xf numFmtId="1" fontId="80" fillId="0" borderId="39" xfId="51" applyNumberFormat="1" applyFont="1" applyBorder="1" applyAlignment="1">
      <alignment horizontal="right" vertical="center"/>
    </xf>
    <xf numFmtId="1" fontId="80" fillId="0" borderId="36" xfId="51" applyNumberFormat="1" applyFont="1" applyBorder="1" applyAlignment="1">
      <alignment horizontal="right" vertical="center"/>
    </xf>
    <xf numFmtId="41" fontId="80" fillId="0" borderId="104" xfId="51" applyFont="1" applyBorder="1" applyAlignment="1">
      <alignment horizontal="right" vertical="center"/>
    </xf>
    <xf numFmtId="1" fontId="52" fillId="0" borderId="25" xfId="0" applyNumberFormat="1" applyFont="1" applyBorder="1" applyAlignment="1">
      <alignment vertical="center"/>
    </xf>
    <xf numFmtId="41" fontId="20" fillId="0" borderId="90" xfId="51" applyFont="1" applyFill="1" applyBorder="1" applyAlignment="1">
      <alignment horizontal="right" vertical="center"/>
    </xf>
    <xf numFmtId="3" fontId="20" fillId="0" borderId="23" xfId="0" applyNumberFormat="1" applyFont="1" applyBorder="1" applyAlignment="1">
      <alignment horizontal="right" vertical="center"/>
    </xf>
    <xf numFmtId="1" fontId="20" fillId="0" borderId="23" xfId="51" applyNumberFormat="1" applyFont="1" applyBorder="1" applyAlignment="1">
      <alignment horizontal="right" vertical="center"/>
    </xf>
    <xf numFmtId="41" fontId="27" fillId="0" borderId="0" xfId="49" applyNumberFormat="1" applyFont="1"/>
    <xf numFmtId="1" fontId="19" fillId="0" borderId="24" xfId="0" applyNumberFormat="1" applyFont="1" applyBorder="1" applyAlignment="1">
      <alignment horizontal="right" vertical="center"/>
    </xf>
    <xf numFmtId="168" fontId="48" fillId="0" borderId="0" xfId="3835" applyFont="1" applyFill="1" applyAlignment="1">
      <alignment horizontal="center"/>
    </xf>
    <xf numFmtId="164" fontId="32" fillId="0" borderId="10" xfId="45" applyFont="1" applyFill="1" applyBorder="1" applyAlignment="1">
      <alignment horizontal="center"/>
    </xf>
    <xf numFmtId="173" fontId="48" fillId="0" borderId="0" xfId="45" applyNumberFormat="1" applyFont="1" applyFill="1" applyAlignment="1">
      <alignment horizontal="center"/>
    </xf>
    <xf numFmtId="168" fontId="32" fillId="0" borderId="38" xfId="3835" applyFont="1" applyFill="1" applyBorder="1"/>
    <xf numFmtId="164" fontId="32" fillId="0" borderId="10" xfId="45" applyFont="1" applyFill="1" applyBorder="1" applyAlignment="1">
      <alignment horizontal="center" wrapText="1"/>
    </xf>
    <xf numFmtId="173" fontId="32" fillId="0" borderId="10" xfId="45" applyNumberFormat="1" applyFont="1" applyFill="1" applyBorder="1" applyAlignment="1">
      <alignment horizontal="center"/>
    </xf>
    <xf numFmtId="178" fontId="32" fillId="0" borderId="0" xfId="45" applyNumberFormat="1" applyFont="1" applyFill="1" applyBorder="1" applyAlignment="1">
      <alignment horizontal="center"/>
    </xf>
    <xf numFmtId="171" fontId="37" fillId="55" borderId="10" xfId="1" applyNumberFormat="1" applyFont="1" applyFill="1" applyBorder="1" applyAlignment="1">
      <alignment wrapText="1"/>
    </xf>
    <xf numFmtId="0" fontId="37" fillId="55" borderId="10" xfId="0" applyFont="1" applyFill="1" applyBorder="1"/>
    <xf numFmtId="41" fontId="52" fillId="0" borderId="32" xfId="51" applyFont="1" applyBorder="1" applyAlignment="1">
      <alignment horizontal="right" wrapText="1" indent="1"/>
    </xf>
    <xf numFmtId="41" fontId="80" fillId="0" borderId="32" xfId="51" applyFont="1" applyBorder="1" applyAlignment="1">
      <alignment horizontal="right" wrapText="1" indent="1"/>
    </xf>
    <xf numFmtId="0" fontId="37" fillId="55" borderId="10" xfId="0" applyFont="1" applyFill="1" applyBorder="1" applyAlignment="1">
      <alignment horizontal="left"/>
    </xf>
    <xf numFmtId="0" fontId="30" fillId="55" borderId="10" xfId="0" applyFont="1" applyFill="1" applyBorder="1"/>
    <xf numFmtId="0" fontId="52" fillId="57" borderId="82" xfId="0" applyFont="1" applyFill="1" applyBorder="1" applyAlignment="1">
      <alignment horizontal="left" vertical="center"/>
    </xf>
    <xf numFmtId="41" fontId="0" fillId="57" borderId="0" xfId="0" applyNumberFormat="1" applyFill="1"/>
    <xf numFmtId="3" fontId="0" fillId="57" borderId="0" xfId="0" applyNumberFormat="1" applyFill="1"/>
    <xf numFmtId="0" fontId="26" fillId="57" borderId="82" xfId="0" applyFont="1" applyFill="1" applyBorder="1" applyAlignment="1">
      <alignment horizontal="left" vertical="center"/>
    </xf>
    <xf numFmtId="3" fontId="13" fillId="57" borderId="0" xfId="0" applyNumberFormat="1" applyFont="1" applyFill="1"/>
    <xf numFmtId="0" fontId="19" fillId="0" borderId="35" xfId="0" applyFont="1" applyBorder="1" applyAlignment="1">
      <alignment vertical="center" wrapText="1"/>
    </xf>
    <xf numFmtId="0" fontId="52" fillId="0" borderId="35" xfId="0" applyFont="1" applyBorder="1" applyAlignment="1">
      <alignment vertical="center" wrapText="1"/>
    </xf>
    <xf numFmtId="3" fontId="80" fillId="0" borderId="35" xfId="0" applyNumberFormat="1" applyFont="1" applyBorder="1" applyAlignment="1">
      <alignment horizontal="right" vertical="center"/>
    </xf>
    <xf numFmtId="3" fontId="19" fillId="0" borderId="0" xfId="0" applyNumberFormat="1" applyFont="1" applyAlignment="1">
      <alignment horizontal="right" vertical="center" wrapText="1"/>
    </xf>
    <xf numFmtId="0" fontId="52" fillId="0" borderId="0" xfId="0" applyFont="1" applyAlignment="1">
      <alignment horizontal="right" vertical="center" wrapText="1"/>
    </xf>
    <xf numFmtId="3" fontId="19" fillId="0" borderId="28" xfId="0" applyNumberFormat="1" applyFont="1" applyBorder="1" applyAlignment="1">
      <alignment horizontal="right" vertical="center" wrapText="1"/>
    </xf>
    <xf numFmtId="0" fontId="52" fillId="0" borderId="24" xfId="0" applyFont="1" applyBorder="1" applyAlignment="1">
      <alignment horizontal="right" vertical="center" wrapText="1"/>
    </xf>
    <xf numFmtId="3" fontId="19" fillId="0" borderId="24" xfId="0" applyNumberFormat="1" applyFont="1" applyBorder="1" applyAlignment="1">
      <alignment horizontal="right" vertical="center" wrapText="1"/>
    </xf>
    <xf numFmtId="0" fontId="52" fillId="0" borderId="25" xfId="0" applyFont="1" applyBorder="1" applyAlignment="1">
      <alignment horizontal="right" vertical="center" wrapText="1"/>
    </xf>
    <xf numFmtId="41" fontId="26" fillId="0" borderId="0" xfId="51" applyFont="1" applyFill="1"/>
    <xf numFmtId="0" fontId="80" fillId="0" borderId="23" xfId="0" applyFont="1" applyBorder="1" applyAlignment="1">
      <alignment vertical="center" wrapText="1"/>
    </xf>
    <xf numFmtId="0" fontId="80" fillId="0" borderId="23" xfId="0" applyFont="1" applyBorder="1" applyAlignment="1">
      <alignment horizontal="right" vertical="center"/>
    </xf>
    <xf numFmtId="0" fontId="129" fillId="0" borderId="0" xfId="0" applyFont="1"/>
    <xf numFmtId="0" fontId="29" fillId="57" borderId="101" xfId="0" applyFont="1" applyFill="1" applyBorder="1" applyAlignment="1">
      <alignment horizontal="center" vertical="center" wrapText="1"/>
    </xf>
    <xf numFmtId="41" fontId="29" fillId="57" borderId="101" xfId="51" applyFont="1" applyFill="1" applyBorder="1" applyAlignment="1">
      <alignment horizontal="center" vertical="center" wrapText="1"/>
    </xf>
    <xf numFmtId="41" fontId="35" fillId="0" borderId="10" xfId="51" applyFont="1" applyFill="1" applyBorder="1"/>
    <xf numFmtId="41" fontId="0" fillId="60" borderId="0" xfId="0" applyNumberFormat="1" applyFill="1"/>
    <xf numFmtId="41" fontId="0" fillId="60" borderId="0" xfId="51" applyFont="1" applyFill="1"/>
    <xf numFmtId="0" fontId="15" fillId="34" borderId="42" xfId="0" applyFont="1" applyFill="1" applyBorder="1"/>
    <xf numFmtId="0" fontId="15" fillId="34" borderId="41" xfId="0" applyFont="1" applyFill="1" applyBorder="1"/>
    <xf numFmtId="41" fontId="15" fillId="34" borderId="39" xfId="51" applyFont="1" applyFill="1" applyBorder="1"/>
    <xf numFmtId="0" fontId="15" fillId="34" borderId="40" xfId="0" applyFont="1" applyFill="1" applyBorder="1"/>
    <xf numFmtId="0" fontId="15" fillId="34" borderId="38" xfId="0" applyFont="1" applyFill="1" applyBorder="1"/>
    <xf numFmtId="41" fontId="15" fillId="34" borderId="37" xfId="51" applyFont="1" applyFill="1" applyBorder="1"/>
    <xf numFmtId="41" fontId="79" fillId="0" borderId="32" xfId="51" applyFont="1" applyFill="1" applyBorder="1" applyAlignment="1">
      <alignment vertical="center"/>
    </xf>
    <xf numFmtId="41" fontId="80" fillId="0" borderId="61" xfId="51" applyFont="1" applyFill="1" applyBorder="1" applyAlignment="1">
      <alignment horizontal="right"/>
    </xf>
    <xf numFmtId="0" fontId="27" fillId="0" borderId="0" xfId="0" applyFont="1" applyAlignment="1">
      <alignment horizontal="center"/>
    </xf>
    <xf numFmtId="0" fontId="40" fillId="0" borderId="0" xfId="0" applyFont="1" applyAlignment="1">
      <alignment horizontal="center"/>
    </xf>
    <xf numFmtId="1" fontId="80" fillId="0" borderId="0" xfId="0" applyNumberFormat="1" applyFont="1" applyAlignment="1">
      <alignment horizontal="right" wrapText="1" indent="1"/>
    </xf>
    <xf numFmtId="171" fontId="37" fillId="62" borderId="10" xfId="1" applyNumberFormat="1" applyFont="1" applyFill="1" applyBorder="1" applyAlignment="1">
      <alignment wrapText="1"/>
    </xf>
    <xf numFmtId="0" fontId="37" fillId="62" borderId="10" xfId="0" applyFont="1" applyFill="1" applyBorder="1"/>
    <xf numFmtId="0" fontId="30" fillId="62" borderId="10" xfId="0" applyFont="1" applyFill="1" applyBorder="1"/>
    <xf numFmtId="41" fontId="30" fillId="62" borderId="10" xfId="51" applyFont="1" applyFill="1" applyBorder="1"/>
    <xf numFmtId="170" fontId="37" fillId="62" borderId="10" xfId="1" applyFont="1" applyFill="1" applyBorder="1" applyAlignment="1">
      <alignment wrapText="1"/>
    </xf>
    <xf numFmtId="170" fontId="127" fillId="0" borderId="0" xfId="1" applyFont="1"/>
    <xf numFmtId="0" fontId="130" fillId="0" borderId="0" xfId="0" applyFont="1" applyAlignment="1">
      <alignment vertical="center"/>
    </xf>
    <xf numFmtId="0" fontId="22" fillId="0" borderId="0" xfId="50168" applyFont="1" applyAlignment="1">
      <alignment horizontal="center"/>
    </xf>
    <xf numFmtId="0" fontId="131" fillId="0" borderId="0" xfId="50168"/>
    <xf numFmtId="0" fontId="48" fillId="0" borderId="0" xfId="50168" applyFont="1" applyAlignment="1">
      <alignment horizontal="center"/>
    </xf>
    <xf numFmtId="14" fontId="32" fillId="0" borderId="0" xfId="50168" applyNumberFormat="1" applyFont="1"/>
    <xf numFmtId="0" fontId="32" fillId="0" borderId="0" xfId="50168" applyFont="1"/>
    <xf numFmtId="0" fontId="47" fillId="41" borderId="48" xfId="50168" applyFont="1" applyFill="1" applyBorder="1" applyAlignment="1">
      <alignment horizontal="center" vertical="center" wrapText="1"/>
    </xf>
    <xf numFmtId="0" fontId="47" fillId="34" borderId="48" xfId="50168" applyFont="1" applyFill="1" applyBorder="1" applyAlignment="1">
      <alignment horizontal="center" vertical="center" wrapText="1"/>
    </xf>
    <xf numFmtId="0" fontId="32" fillId="0" borderId="0" xfId="50168" applyFont="1" applyAlignment="1">
      <alignment horizontal="center"/>
    </xf>
    <xf numFmtId="0" fontId="48" fillId="0" borderId="0" xfId="50168" applyFont="1" applyAlignment="1">
      <alignment horizontal="right"/>
    </xf>
    <xf numFmtId="0" fontId="48" fillId="0" borderId="38" xfId="50168" applyFont="1" applyBorder="1"/>
    <xf numFmtId="0" fontId="32" fillId="0" borderId="38" xfId="50168" applyFont="1" applyBorder="1"/>
    <xf numFmtId="0" fontId="32" fillId="0" borderId="10" xfId="50168" applyFont="1" applyBorder="1"/>
    <xf numFmtId="0" fontId="32" fillId="0" borderId="14" xfId="50168" applyFont="1" applyBorder="1" applyAlignment="1">
      <alignment horizontal="center"/>
    </xf>
    <xf numFmtId="179" fontId="32" fillId="0" borderId="14" xfId="50168" applyNumberFormat="1" applyFont="1" applyBorder="1" applyAlignment="1">
      <alignment horizontal="center"/>
    </xf>
    <xf numFmtId="0" fontId="48" fillId="0" borderId="20" xfId="50168" applyFont="1" applyBorder="1" applyAlignment="1">
      <alignment horizontal="center"/>
    </xf>
    <xf numFmtId="164" fontId="32" fillId="0" borderId="105" xfId="45" applyFont="1" applyFill="1" applyBorder="1" applyAlignment="1">
      <alignment horizontal="center"/>
    </xf>
    <xf numFmtId="173" fontId="1" fillId="0" borderId="0" xfId="45" applyNumberFormat="1" applyFont="1" applyFill="1"/>
    <xf numFmtId="0" fontId="32" fillId="0" borderId="20" xfId="50168" applyFont="1" applyBorder="1" applyAlignment="1">
      <alignment horizontal="center"/>
    </xf>
    <xf numFmtId="0" fontId="48" fillId="0" borderId="20" xfId="50168" applyFont="1" applyBorder="1" applyAlignment="1">
      <alignment horizontal="right"/>
    </xf>
    <xf numFmtId="179" fontId="32" fillId="0" borderId="0" xfId="50168" applyNumberFormat="1" applyFont="1" applyAlignment="1">
      <alignment horizontal="center"/>
    </xf>
    <xf numFmtId="173" fontId="48" fillId="36" borderId="0" xfId="45" applyNumberFormat="1" applyFont="1" applyFill="1"/>
    <xf numFmtId="173" fontId="32" fillId="36" borderId="0" xfId="45" applyNumberFormat="1" applyFont="1" applyFill="1"/>
    <xf numFmtId="173" fontId="0" fillId="0" borderId="0" xfId="45" applyNumberFormat="1" applyFont="1"/>
    <xf numFmtId="164" fontId="48" fillId="0" borderId="0" xfId="50168" applyNumberFormat="1" applyFont="1" applyAlignment="1">
      <alignment horizontal="center"/>
    </xf>
    <xf numFmtId="173" fontId="48" fillId="0" borderId="0" xfId="50168" applyNumberFormat="1" applyFont="1" applyAlignment="1">
      <alignment horizontal="center"/>
    </xf>
    <xf numFmtId="0" fontId="24" fillId="0" borderId="0" xfId="50168" applyFont="1"/>
    <xf numFmtId="164" fontId="0" fillId="0" borderId="0" xfId="45" applyFont="1"/>
    <xf numFmtId="164" fontId="131" fillId="0" borderId="0" xfId="50168" applyNumberFormat="1"/>
    <xf numFmtId="164" fontId="48" fillId="36" borderId="0" xfId="45" applyFont="1" applyFill="1"/>
    <xf numFmtId="164" fontId="32" fillId="36" borderId="0" xfId="45" applyFont="1" applyFill="1"/>
    <xf numFmtId="14" fontId="22" fillId="0" borderId="0" xfId="50168" applyNumberFormat="1" applyFont="1" applyAlignment="1">
      <alignment horizontal="center"/>
    </xf>
    <xf numFmtId="0" fontId="47" fillId="63" borderId="48" xfId="50168" applyFont="1" applyFill="1" applyBorder="1" applyAlignment="1">
      <alignment horizontal="center" vertical="center" wrapText="1"/>
    </xf>
    <xf numFmtId="0" fontId="80" fillId="0" borderId="35" xfId="0" applyFont="1" applyBorder="1" applyAlignment="1">
      <alignment horizontal="center" vertical="center"/>
    </xf>
    <xf numFmtId="0" fontId="33" fillId="0" borderId="0" xfId="46" applyFont="1" applyAlignment="1">
      <alignment horizontal="left" wrapText="1"/>
    </xf>
    <xf numFmtId="164" fontId="32" fillId="0" borderId="0" xfId="45" applyFont="1" applyAlignment="1">
      <alignment horizontal="center"/>
    </xf>
    <xf numFmtId="0" fontId="32" fillId="0" borderId="10" xfId="0" applyFont="1" applyBorder="1" applyAlignment="1">
      <alignment vertical="center"/>
    </xf>
    <xf numFmtId="0" fontId="32" fillId="0" borderId="14" xfId="0" applyFont="1" applyBorder="1" applyAlignment="1">
      <alignment horizontal="center" vertical="center"/>
    </xf>
    <xf numFmtId="164" fontId="32" fillId="0" borderId="14" xfId="45" applyFont="1" applyFill="1" applyBorder="1" applyAlignment="1">
      <alignment horizontal="center" vertical="center"/>
    </xf>
    <xf numFmtId="179" fontId="32" fillId="0" borderId="14" xfId="0" applyNumberFormat="1" applyFont="1" applyBorder="1" applyAlignment="1">
      <alignment horizontal="center" vertical="center"/>
    </xf>
    <xf numFmtId="10" fontId="32" fillId="0" borderId="14" xfId="4769" applyNumberFormat="1" applyFont="1" applyFill="1" applyBorder="1" applyAlignment="1">
      <alignment horizontal="center" vertical="center"/>
    </xf>
    <xf numFmtId="164" fontId="37" fillId="0" borderId="10" xfId="45" applyFont="1" applyFill="1" applyBorder="1" applyAlignment="1">
      <alignment vertical="center"/>
    </xf>
    <xf numFmtId="164" fontId="32" fillId="0" borderId="0" xfId="3835" applyNumberFormat="1" applyFont="1" applyFill="1"/>
    <xf numFmtId="173" fontId="32" fillId="0" borderId="10" xfId="45" applyNumberFormat="1" applyFont="1" applyFill="1" applyBorder="1"/>
    <xf numFmtId="164" fontId="38" fillId="0" borderId="21" xfId="0" applyNumberFormat="1" applyFont="1" applyBorder="1" applyAlignment="1">
      <alignment horizontal="center"/>
    </xf>
    <xf numFmtId="0" fontId="24" fillId="0" borderId="0" xfId="0" applyFont="1"/>
    <xf numFmtId="164" fontId="32" fillId="0" borderId="106" xfId="45" applyFont="1" applyBorder="1" applyAlignment="1">
      <alignment horizontal="center"/>
    </xf>
    <xf numFmtId="0" fontId="32" fillId="0" borderId="106" xfId="0" applyFont="1" applyBorder="1" applyAlignment="1">
      <alignment horizontal="center"/>
    </xf>
    <xf numFmtId="0" fontId="48" fillId="0" borderId="106" xfId="0" applyFont="1" applyBorder="1" applyAlignment="1">
      <alignment horizontal="center"/>
    </xf>
    <xf numFmtId="0" fontId="48" fillId="0" borderId="106" xfId="0" applyFont="1" applyBorder="1" applyAlignment="1">
      <alignment horizontal="right"/>
    </xf>
    <xf numFmtId="0" fontId="32" fillId="0" borderId="106" xfId="0" applyFont="1" applyBorder="1"/>
    <xf numFmtId="164" fontId="38" fillId="0" borderId="0" xfId="0" applyNumberFormat="1" applyFont="1" applyAlignment="1">
      <alignment horizontal="center"/>
    </xf>
    <xf numFmtId="164" fontId="48" fillId="0" borderId="106" xfId="0" applyNumberFormat="1" applyFont="1" applyBorder="1" applyAlignment="1">
      <alignment horizontal="center"/>
    </xf>
    <xf numFmtId="0" fontId="32" fillId="0" borderId="14" xfId="0" applyFont="1" applyBorder="1"/>
    <xf numFmtId="41" fontId="36" fillId="0" borderId="0" xfId="51" applyFont="1" applyAlignment="1">
      <alignment vertical="center"/>
    </xf>
    <xf numFmtId="41" fontId="35" fillId="0" borderId="0" xfId="51" applyFont="1" applyAlignment="1">
      <alignment vertical="center"/>
    </xf>
    <xf numFmtId="3" fontId="35" fillId="0" borderId="0" xfId="0" applyNumberFormat="1" applyFont="1" applyAlignment="1">
      <alignment vertical="center"/>
    </xf>
    <xf numFmtId="3" fontId="132" fillId="0" borderId="0" xfId="17486" applyNumberFormat="1" applyFont="1" applyAlignment="1">
      <alignment horizontal="right"/>
    </xf>
    <xf numFmtId="41" fontId="131" fillId="0" borderId="0" xfId="50168" applyNumberFormat="1"/>
    <xf numFmtId="41" fontId="35" fillId="0" borderId="0" xfId="0" applyNumberFormat="1" applyFont="1" applyAlignment="1">
      <alignment vertical="center"/>
    </xf>
    <xf numFmtId="41" fontId="36" fillId="0" borderId="0" xfId="0" applyNumberFormat="1" applyFont="1" applyAlignment="1">
      <alignment vertical="center"/>
    </xf>
    <xf numFmtId="0" fontId="32" fillId="56" borderId="10" xfId="0" applyFont="1" applyFill="1" applyBorder="1"/>
    <xf numFmtId="0" fontId="133" fillId="0" borderId="0" xfId="0" applyFont="1" applyAlignment="1">
      <alignment vertical="center"/>
    </xf>
    <xf numFmtId="0" fontId="119" fillId="0" borderId="0" xfId="0" applyFont="1"/>
    <xf numFmtId="0" fontId="135" fillId="0" borderId="0" xfId="0" applyFont="1" applyAlignment="1">
      <alignment vertical="center"/>
    </xf>
    <xf numFmtId="4" fontId="0" fillId="0" borderId="0" xfId="0" applyNumberFormat="1"/>
    <xf numFmtId="0" fontId="33" fillId="0" borderId="22" xfId="46" applyFont="1" applyBorder="1"/>
    <xf numFmtId="0" fontId="33" fillId="0" borderId="79" xfId="46" applyFont="1" applyBorder="1"/>
    <xf numFmtId="185" fontId="72" fillId="0" borderId="10" xfId="3324" applyNumberFormat="1" applyFont="1" applyBorder="1" applyAlignment="1">
      <alignment horizontal="center" vertical="center"/>
    </xf>
    <xf numFmtId="171" fontId="72" fillId="0" borderId="10" xfId="1" applyNumberFormat="1" applyFont="1" applyBorder="1" applyAlignment="1">
      <alignment horizontal="center" vertical="center"/>
    </xf>
    <xf numFmtId="164" fontId="48" fillId="0" borderId="0" xfId="45" applyFont="1" applyAlignment="1">
      <alignment horizontal="center"/>
    </xf>
    <xf numFmtId="171" fontId="72" fillId="0" borderId="14" xfId="1" applyNumberFormat="1" applyFont="1" applyBorder="1" applyAlignment="1">
      <alignment horizontal="center" vertical="center"/>
    </xf>
    <xf numFmtId="0" fontId="80" fillId="0" borderId="42" xfId="0" applyFont="1" applyBorder="1" applyAlignment="1">
      <alignment vertical="center" wrapText="1"/>
    </xf>
    <xf numFmtId="3" fontId="131" fillId="0" borderId="0" xfId="50168" applyNumberFormat="1"/>
    <xf numFmtId="3" fontId="80" fillId="0" borderId="65" xfId="0" applyNumberFormat="1" applyFont="1" applyBorder="1" applyAlignment="1">
      <alignment horizontal="right" vertical="center"/>
    </xf>
    <xf numFmtId="41" fontId="111" fillId="0" borderId="0" xfId="51" applyFont="1" applyFill="1" applyAlignment="1">
      <alignment vertical="center"/>
    </xf>
    <xf numFmtId="3" fontId="33" fillId="0" borderId="0" xfId="46" applyNumberFormat="1" applyFont="1"/>
    <xf numFmtId="164" fontId="86" fillId="0" borderId="0" xfId="0" applyNumberFormat="1" applyFont="1" applyAlignment="1">
      <alignment horizontal="right" vertical="center"/>
    </xf>
    <xf numFmtId="3" fontId="52" fillId="0" borderId="24" xfId="0" applyNumberFormat="1" applyFont="1" applyBorder="1" applyAlignment="1">
      <alignment horizontal="right" vertical="center" wrapText="1" indent="1"/>
    </xf>
    <xf numFmtId="3" fontId="52" fillId="0" borderId="32" xfId="0" applyNumberFormat="1" applyFont="1" applyBorder="1" applyAlignment="1">
      <alignment horizontal="right" vertical="center" wrapText="1" indent="1"/>
    </xf>
    <xf numFmtId="164" fontId="52" fillId="0" borderId="25" xfId="0" applyNumberFormat="1" applyFont="1" applyBorder="1" applyAlignment="1">
      <alignment horizontal="right" vertical="center"/>
    </xf>
    <xf numFmtId="164" fontId="52" fillId="0" borderId="32" xfId="0" applyNumberFormat="1" applyFont="1" applyBorder="1" applyAlignment="1">
      <alignment horizontal="right" vertical="center"/>
    </xf>
    <xf numFmtId="164" fontId="33" fillId="0" borderId="0" xfId="46" applyNumberFormat="1" applyFont="1"/>
    <xf numFmtId="0" fontId="19" fillId="0" borderId="59" xfId="0" applyFont="1" applyBorder="1" applyAlignment="1">
      <alignment vertical="center"/>
    </xf>
    <xf numFmtId="178" fontId="33" fillId="0" borderId="31" xfId="51" applyNumberFormat="1" applyFont="1" applyFill="1" applyBorder="1" applyAlignment="1">
      <alignment horizontal="center"/>
    </xf>
    <xf numFmtId="178" fontId="33" fillId="0" borderId="26" xfId="51" applyNumberFormat="1" applyFont="1" applyFill="1" applyBorder="1" applyAlignment="1">
      <alignment horizontal="center"/>
    </xf>
    <xf numFmtId="191" fontId="0" fillId="0" borderId="98" xfId="3324" applyNumberFormat="1" applyFont="1" applyFill="1" applyBorder="1"/>
    <xf numFmtId="170" fontId="37" fillId="46" borderId="10" xfId="1" applyFont="1" applyFill="1" applyBorder="1" applyAlignment="1">
      <alignment wrapText="1"/>
    </xf>
    <xf numFmtId="0" fontId="78" fillId="38" borderId="109" xfId="0" applyFont="1" applyFill="1" applyBorder="1" applyAlignment="1">
      <alignment vertical="center"/>
    </xf>
    <xf numFmtId="0" fontId="52" fillId="0" borderId="108" xfId="0" applyFont="1" applyBorder="1" applyAlignment="1">
      <alignment vertical="center"/>
    </xf>
    <xf numFmtId="41" fontId="0" fillId="0" borderId="108" xfId="51" applyFont="1" applyFill="1" applyBorder="1"/>
    <xf numFmtId="170" fontId="37" fillId="64" borderId="10" xfId="1" applyFont="1" applyFill="1" applyBorder="1" applyAlignment="1">
      <alignment wrapText="1"/>
    </xf>
    <xf numFmtId="0" fontId="52" fillId="0" borderId="107" xfId="0" applyFont="1" applyBorder="1" applyAlignment="1">
      <alignment horizontal="left" vertical="center"/>
    </xf>
    <xf numFmtId="41" fontId="52" fillId="0" borderId="24" xfId="51" applyFont="1" applyBorder="1" applyAlignment="1">
      <alignment horizontal="right" vertical="center" indent="1"/>
    </xf>
    <xf numFmtId="0" fontId="23" fillId="0" borderId="70" xfId="0" applyFont="1" applyBorder="1" applyAlignment="1">
      <alignment vertical="center"/>
    </xf>
    <xf numFmtId="170" fontId="27" fillId="0" borderId="0" xfId="0" applyNumberFormat="1" applyFont="1" applyAlignment="1">
      <alignment vertical="center"/>
    </xf>
    <xf numFmtId="3" fontId="27" fillId="0" borderId="0" xfId="0" applyNumberFormat="1" applyFont="1" applyAlignment="1">
      <alignment vertical="center"/>
    </xf>
    <xf numFmtId="164" fontId="27" fillId="0" borderId="0" xfId="49" applyNumberFormat="1" applyFont="1"/>
    <xf numFmtId="164" fontId="27" fillId="0" borderId="0" xfId="49" applyNumberFormat="1" applyFont="1" applyAlignment="1">
      <alignment horizontal="center"/>
    </xf>
    <xf numFmtId="1" fontId="52" fillId="0" borderId="25" xfId="0" applyNumberFormat="1" applyFont="1" applyBorder="1" applyAlignment="1">
      <alignment horizontal="center" vertical="center"/>
    </xf>
    <xf numFmtId="1" fontId="86" fillId="0" borderId="0" xfId="0" applyNumberFormat="1" applyFont="1" applyAlignment="1">
      <alignment horizontal="right" vertical="center"/>
    </xf>
    <xf numFmtId="0" fontId="19" fillId="0" borderId="41" xfId="0" applyFont="1" applyBorder="1" applyAlignment="1">
      <alignment vertical="center" wrapText="1"/>
    </xf>
    <xf numFmtId="0" fontId="52" fillId="0" borderId="41" xfId="0" applyFont="1" applyBorder="1" applyAlignment="1">
      <alignment vertical="center" wrapText="1"/>
    </xf>
    <xf numFmtId="171" fontId="37" fillId="66" borderId="10" xfId="1" applyNumberFormat="1" applyFont="1" applyFill="1" applyBorder="1" applyAlignment="1">
      <alignment wrapText="1"/>
    </xf>
    <xf numFmtId="171" fontId="134" fillId="66" borderId="10" xfId="1" applyNumberFormat="1" applyFont="1" applyFill="1" applyBorder="1" applyAlignment="1">
      <alignment wrapText="1"/>
    </xf>
    <xf numFmtId="0" fontId="137" fillId="0" borderId="0" xfId="0" applyFont="1"/>
    <xf numFmtId="0" fontId="138" fillId="0" borderId="0" xfId="0" applyFont="1"/>
    <xf numFmtId="164" fontId="137" fillId="0" borderId="0" xfId="0" applyNumberFormat="1" applyFont="1"/>
    <xf numFmtId="0" fontId="139" fillId="0" borderId="0" xfId="0" applyFont="1"/>
    <xf numFmtId="0" fontId="139" fillId="0" borderId="0" xfId="0" applyFont="1" applyAlignment="1">
      <alignment horizontal="center"/>
    </xf>
    <xf numFmtId="14" fontId="137" fillId="0" borderId="0" xfId="0" applyNumberFormat="1" applyFont="1"/>
    <xf numFmtId="0" fontId="137" fillId="0" borderId="0" xfId="0" applyFont="1" applyAlignment="1">
      <alignment vertical="center"/>
    </xf>
    <xf numFmtId="0" fontId="140" fillId="41" borderId="48" xfId="0" applyFont="1" applyFill="1" applyBorder="1" applyAlignment="1">
      <alignment horizontal="center" vertical="center" wrapText="1"/>
    </xf>
    <xf numFmtId="0" fontId="140" fillId="34" borderId="48" xfId="0" applyFont="1" applyFill="1" applyBorder="1" applyAlignment="1">
      <alignment horizontal="center" vertical="center" wrapText="1"/>
    </xf>
    <xf numFmtId="0" fontId="137" fillId="0" borderId="0" xfId="0" applyFont="1" applyAlignment="1">
      <alignment horizontal="center"/>
    </xf>
    <xf numFmtId="164" fontId="137" fillId="0" borderId="0" xfId="45" applyFont="1" applyAlignment="1">
      <alignment horizontal="center"/>
    </xf>
    <xf numFmtId="0" fontId="139" fillId="0" borderId="0" xfId="0" applyFont="1" applyAlignment="1">
      <alignment horizontal="right"/>
    </xf>
    <xf numFmtId="164" fontId="139" fillId="0" borderId="0" xfId="45" applyFont="1" applyAlignment="1">
      <alignment horizontal="center"/>
    </xf>
    <xf numFmtId="164" fontId="137" fillId="0" borderId="0" xfId="45" applyFont="1"/>
    <xf numFmtId="0" fontId="139" fillId="0" borderId="38" xfId="0" applyFont="1" applyBorder="1"/>
    <xf numFmtId="0" fontId="137" fillId="0" borderId="38" xfId="0" applyFont="1" applyBorder="1"/>
    <xf numFmtId="164" fontId="137" fillId="0" borderId="38" xfId="45" applyFont="1" applyBorder="1"/>
    <xf numFmtId="173" fontId="137" fillId="0" borderId="38" xfId="45" applyNumberFormat="1" applyFont="1" applyBorder="1"/>
    <xf numFmtId="0" fontId="137" fillId="0" borderId="10" xfId="0" applyFont="1" applyBorder="1"/>
    <xf numFmtId="0" fontId="137" fillId="0" borderId="14" xfId="0" applyFont="1" applyBorder="1" applyAlignment="1">
      <alignment horizontal="center"/>
    </xf>
    <xf numFmtId="164" fontId="137" fillId="0" borderId="14" xfId="45" applyFont="1" applyBorder="1" applyAlignment="1">
      <alignment horizontal="center"/>
    </xf>
    <xf numFmtId="179" fontId="137" fillId="0" borderId="14" xfId="0" applyNumberFormat="1" applyFont="1" applyBorder="1" applyAlignment="1">
      <alignment horizontal="center"/>
    </xf>
    <xf numFmtId="10" fontId="137" fillId="0" borderId="14" xfId="4769" applyNumberFormat="1" applyFont="1" applyBorder="1" applyAlignment="1">
      <alignment horizontal="center"/>
    </xf>
    <xf numFmtId="164" fontId="137" fillId="0" borderId="14" xfId="45" applyFont="1" applyBorder="1" applyAlignment="1">
      <alignment horizontal="center" wrapText="1"/>
    </xf>
    <xf numFmtId="173" fontId="137" fillId="0" borderId="14" xfId="45" applyNumberFormat="1" applyFont="1" applyBorder="1" applyAlignment="1">
      <alignment horizontal="center"/>
    </xf>
    <xf numFmtId="0" fontId="137" fillId="0" borderId="20" xfId="0" applyFont="1" applyBorder="1" applyAlignment="1">
      <alignment horizontal="center"/>
    </xf>
    <xf numFmtId="164" fontId="137" fillId="0" borderId="20" xfId="45" applyFont="1" applyBorder="1" applyAlignment="1">
      <alignment horizontal="center"/>
    </xf>
    <xf numFmtId="0" fontId="139" fillId="0" borderId="20" xfId="0" applyFont="1" applyBorder="1" applyAlignment="1">
      <alignment horizontal="right"/>
    </xf>
    <xf numFmtId="0" fontId="139" fillId="0" borderId="20" xfId="0" applyFont="1" applyBorder="1" applyAlignment="1">
      <alignment horizontal="center"/>
    </xf>
    <xf numFmtId="164" fontId="139" fillId="0" borderId="21" xfId="45" applyFont="1" applyBorder="1" applyAlignment="1">
      <alignment horizontal="center"/>
    </xf>
    <xf numFmtId="179" fontId="137" fillId="0" borderId="0" xfId="0" applyNumberFormat="1" applyFont="1" applyAlignment="1">
      <alignment horizontal="center"/>
    </xf>
    <xf numFmtId="10" fontId="137" fillId="0" borderId="0" xfId="4769" applyNumberFormat="1" applyFont="1" applyAlignment="1">
      <alignment horizontal="center"/>
    </xf>
    <xf numFmtId="164" fontId="137" fillId="0" borderId="0" xfId="45" applyFont="1" applyAlignment="1">
      <alignment horizontal="center" wrapText="1"/>
    </xf>
    <xf numFmtId="173" fontId="137" fillId="0" borderId="0" xfId="45" applyNumberFormat="1" applyFont="1" applyAlignment="1">
      <alignment horizontal="center"/>
    </xf>
    <xf numFmtId="0" fontId="139" fillId="36" borderId="0" xfId="0" applyFont="1" applyFill="1"/>
    <xf numFmtId="0" fontId="137" fillId="36" borderId="0" xfId="0" applyFont="1" applyFill="1"/>
    <xf numFmtId="181" fontId="139" fillId="36" borderId="0" xfId="3835" applyNumberFormat="1" applyFont="1" applyFill="1"/>
    <xf numFmtId="164" fontId="139" fillId="36" borderId="0" xfId="45" applyFont="1" applyFill="1"/>
    <xf numFmtId="164" fontId="139" fillId="0" borderId="0" xfId="0" applyNumberFormat="1" applyFont="1" applyAlignment="1">
      <alignment horizontal="center"/>
    </xf>
    <xf numFmtId="173" fontId="139" fillId="0" borderId="0" xfId="0" applyNumberFormat="1" applyFont="1" applyAlignment="1">
      <alignment horizontal="center"/>
    </xf>
    <xf numFmtId="173" fontId="137" fillId="0" borderId="14" xfId="45" applyNumberFormat="1" applyFont="1" applyBorder="1" applyAlignment="1">
      <alignment horizontal="center" wrapText="1"/>
    </xf>
    <xf numFmtId="173" fontId="139" fillId="0" borderId="21" xfId="45" applyNumberFormat="1" applyFont="1" applyBorder="1" applyAlignment="1">
      <alignment horizontal="center"/>
    </xf>
    <xf numFmtId="173" fontId="139" fillId="0" borderId="0" xfId="45" applyNumberFormat="1" applyFont="1" applyAlignment="1">
      <alignment horizontal="center"/>
    </xf>
    <xf numFmtId="173" fontId="139" fillId="36" borderId="0" xfId="45" applyNumberFormat="1" applyFont="1" applyFill="1"/>
    <xf numFmtId="0" fontId="0" fillId="67" borderId="0" xfId="0" applyFill="1"/>
    <xf numFmtId="173" fontId="139" fillId="0" borderId="0" xfId="45" applyNumberFormat="1" applyFont="1"/>
    <xf numFmtId="0" fontId="137" fillId="0" borderId="106" xfId="0" applyFont="1" applyBorder="1"/>
    <xf numFmtId="0" fontId="137" fillId="0" borderId="106" xfId="0" applyFont="1" applyBorder="1" applyAlignment="1">
      <alignment horizontal="center"/>
    </xf>
    <xf numFmtId="164" fontId="137" fillId="0" borderId="106" xfId="45" applyFont="1" applyBorder="1" applyAlignment="1">
      <alignment horizontal="center"/>
    </xf>
    <xf numFmtId="0" fontId="139" fillId="0" borderId="106" xfId="0" applyFont="1" applyBorder="1" applyAlignment="1">
      <alignment horizontal="right"/>
    </xf>
    <xf numFmtId="0" fontId="139" fillId="0" borderId="106" xfId="0" applyFont="1" applyBorder="1" applyAlignment="1">
      <alignment horizontal="center"/>
    </xf>
    <xf numFmtId="164" fontId="139" fillId="0" borderId="106" xfId="0" applyNumberFormat="1" applyFont="1" applyBorder="1" applyAlignment="1">
      <alignment horizontal="center"/>
    </xf>
    <xf numFmtId="0" fontId="137" fillId="0" borderId="14" xfId="0" applyFont="1" applyBorder="1"/>
    <xf numFmtId="164" fontId="139" fillId="0" borderId="21" xfId="0" applyNumberFormat="1" applyFont="1" applyBorder="1" applyAlignment="1">
      <alignment horizontal="center"/>
    </xf>
    <xf numFmtId="181" fontId="136" fillId="0" borderId="0" xfId="0" applyNumberFormat="1" applyFont="1"/>
    <xf numFmtId="179" fontId="137" fillId="0" borderId="10" xfId="0" applyNumberFormat="1" applyFont="1" applyBorder="1" applyAlignment="1">
      <alignment horizontal="center"/>
    </xf>
    <xf numFmtId="173" fontId="137" fillId="0" borderId="10" xfId="45" applyNumberFormat="1" applyFont="1" applyBorder="1"/>
    <xf numFmtId="0" fontId="139" fillId="0" borderId="20" xfId="0" applyFont="1" applyBorder="1" applyAlignment="1">
      <alignment horizontal="left"/>
    </xf>
    <xf numFmtId="181" fontId="140" fillId="41" borderId="48" xfId="3835" applyNumberFormat="1" applyFont="1" applyFill="1" applyBorder="1" applyAlignment="1">
      <alignment horizontal="center" vertical="center" wrapText="1"/>
    </xf>
    <xf numFmtId="181" fontId="140" fillId="41" borderId="56" xfId="3835" applyNumberFormat="1" applyFont="1" applyFill="1" applyBorder="1" applyAlignment="1">
      <alignment horizontal="center" vertical="center" wrapText="1"/>
    </xf>
    <xf numFmtId="181" fontId="139" fillId="0" borderId="0" xfId="3835" applyNumberFormat="1" applyFont="1" applyAlignment="1">
      <alignment horizontal="center"/>
    </xf>
    <xf numFmtId="181" fontId="137" fillId="0" borderId="0" xfId="3835" applyNumberFormat="1" applyFont="1"/>
    <xf numFmtId="0" fontId="137" fillId="0" borderId="14" xfId="0" applyFont="1" applyBorder="1" applyAlignment="1">
      <alignment horizontal="center" vertical="center"/>
    </xf>
    <xf numFmtId="164" fontId="137" fillId="0" borderId="10" xfId="45" applyFont="1" applyBorder="1"/>
    <xf numFmtId="43" fontId="137" fillId="0" borderId="0" xfId="0" applyNumberFormat="1" applyFont="1"/>
    <xf numFmtId="0" fontId="141" fillId="0" borderId="0" xfId="0" applyFont="1"/>
    <xf numFmtId="41" fontId="52" fillId="0" borderId="25" xfId="51" applyFont="1" applyFill="1" applyBorder="1" applyAlignment="1">
      <alignment horizontal="right" vertical="center"/>
    </xf>
    <xf numFmtId="41" fontId="40" fillId="0" borderId="0" xfId="51" applyFont="1" applyAlignment="1">
      <alignment vertical="center"/>
    </xf>
    <xf numFmtId="41" fontId="27" fillId="0" borderId="0" xfId="49" applyNumberFormat="1" applyFont="1" applyAlignment="1">
      <alignment vertical="center"/>
    </xf>
    <xf numFmtId="0" fontId="27" fillId="0" borderId="0" xfId="49" applyFont="1" applyAlignment="1">
      <alignment vertical="center"/>
    </xf>
    <xf numFmtId="41" fontId="27" fillId="0" borderId="0" xfId="51" applyFont="1" applyAlignment="1">
      <alignment horizontal="center" vertical="center"/>
    </xf>
    <xf numFmtId="3" fontId="40" fillId="0" borderId="0" xfId="49" applyNumberFormat="1" applyFont="1" applyAlignment="1">
      <alignment vertical="center"/>
    </xf>
    <xf numFmtId="0" fontId="27" fillId="0" borderId="0" xfId="49" applyFont="1"/>
    <xf numFmtId="0" fontId="30" fillId="56" borderId="10" xfId="0" applyFont="1" applyFill="1" applyBorder="1"/>
    <xf numFmtId="41" fontId="30" fillId="44" borderId="13" xfId="51" applyFont="1" applyFill="1" applyBorder="1"/>
    <xf numFmtId="171" fontId="27" fillId="0" borderId="0" xfId="1" applyNumberFormat="1" applyFont="1" applyFill="1" applyBorder="1"/>
    <xf numFmtId="3" fontId="27" fillId="0" borderId="0" xfId="49" applyNumberFormat="1" applyFont="1"/>
    <xf numFmtId="3" fontId="80" fillId="0" borderId="36" xfId="0" applyNumberFormat="1" applyFont="1" applyBorder="1" applyAlignment="1">
      <alignment horizontal="right" vertical="center"/>
    </xf>
    <xf numFmtId="3" fontId="80" fillId="0" borderId="41" xfId="0" applyNumberFormat="1" applyFont="1" applyBorder="1" applyAlignment="1">
      <alignment horizontal="right" vertical="center"/>
    </xf>
    <xf numFmtId="3" fontId="80" fillId="0" borderId="39" xfId="0" applyNumberFormat="1" applyFont="1" applyBorder="1" applyAlignment="1">
      <alignment horizontal="right" vertical="center"/>
    </xf>
    <xf numFmtId="41" fontId="35" fillId="0" borderId="93" xfId="51" applyFont="1" applyBorder="1"/>
    <xf numFmtId="41" fontId="49" fillId="0" borderId="93" xfId="51" applyFont="1" applyBorder="1"/>
    <xf numFmtId="41" fontId="107" fillId="0" borderId="93" xfId="51" applyFont="1" applyBorder="1"/>
    <xf numFmtId="41" fontId="30" fillId="0" borderId="110" xfId="51" applyFont="1" applyFill="1" applyBorder="1"/>
    <xf numFmtId="41" fontId="13" fillId="0" borderId="0" xfId="0" applyNumberFormat="1" applyFont="1"/>
    <xf numFmtId="164" fontId="80" fillId="0" borderId="65" xfId="0" applyNumberFormat="1" applyFont="1" applyBorder="1" applyAlignment="1">
      <alignment horizontal="center" vertical="center"/>
    </xf>
    <xf numFmtId="164" fontId="80" fillId="0" borderId="83" xfId="0" applyNumberFormat="1" applyFont="1" applyBorder="1" applyAlignment="1">
      <alignment horizontal="center" vertical="center"/>
    </xf>
    <xf numFmtId="41" fontId="142" fillId="0" borderId="0" xfId="0" applyNumberFormat="1" applyFont="1" applyAlignment="1">
      <alignment vertical="center"/>
    </xf>
    <xf numFmtId="0" fontId="142" fillId="0" borderId="0" xfId="0" applyFont="1" applyAlignment="1">
      <alignment vertical="center"/>
    </xf>
    <xf numFmtId="41" fontId="142" fillId="0" borderId="0" xfId="51" applyFont="1" applyFill="1" applyAlignment="1">
      <alignment vertical="center"/>
    </xf>
    <xf numFmtId="41" fontId="142" fillId="0" borderId="0" xfId="51" applyFont="1" applyAlignment="1">
      <alignment vertical="center"/>
    </xf>
    <xf numFmtId="171" fontId="27" fillId="0" borderId="0" xfId="1" applyNumberFormat="1" applyFont="1"/>
    <xf numFmtId="171" fontId="37" fillId="68" borderId="10" xfId="1" applyNumberFormat="1" applyFont="1" applyFill="1" applyBorder="1" applyAlignment="1">
      <alignment wrapText="1"/>
    </xf>
    <xf numFmtId="10" fontId="35" fillId="0" borderId="10" xfId="4769" applyNumberFormat="1" applyFont="1" applyFill="1" applyBorder="1" applyAlignment="1">
      <alignment horizontal="center" vertical="center"/>
    </xf>
    <xf numFmtId="173" fontId="48" fillId="0" borderId="0" xfId="45" applyNumberFormat="1" applyFont="1" applyFill="1" applyBorder="1" applyAlignment="1">
      <alignment horizontal="center"/>
    </xf>
    <xf numFmtId="178" fontId="32" fillId="0" borderId="14" xfId="51" applyNumberFormat="1" applyFont="1" applyFill="1" applyBorder="1" applyAlignment="1">
      <alignment horizontal="center"/>
    </xf>
    <xf numFmtId="173" fontId="131" fillId="0" borderId="0" xfId="50168" applyNumberFormat="1"/>
    <xf numFmtId="164" fontId="0" fillId="0" borderId="0" xfId="45" applyFont="1" applyFill="1"/>
    <xf numFmtId="181" fontId="54" fillId="0" borderId="0" xfId="3835" applyNumberFormat="1" applyFont="1" applyFill="1"/>
    <xf numFmtId="181" fontId="32" fillId="0" borderId="0" xfId="3835" applyNumberFormat="1" applyFont="1" applyFill="1"/>
    <xf numFmtId="41" fontId="32" fillId="0" borderId="10" xfId="51" applyFont="1" applyFill="1" applyBorder="1"/>
    <xf numFmtId="41" fontId="48" fillId="0" borderId="21" xfId="51" applyFont="1" applyFill="1" applyBorder="1" applyAlignment="1">
      <alignment horizontal="center"/>
    </xf>
    <xf numFmtId="178" fontId="48" fillId="36" borderId="0" xfId="51" applyNumberFormat="1" applyFont="1" applyFill="1"/>
    <xf numFmtId="173" fontId="32" fillId="0" borderId="0" xfId="45" applyNumberFormat="1" applyFont="1" applyFill="1"/>
    <xf numFmtId="0" fontId="0" fillId="0" borderId="0" xfId="0" applyAlignment="1">
      <alignment horizontal="left"/>
    </xf>
    <xf numFmtId="0" fontId="0" fillId="70" borderId="0" xfId="0" applyFill="1" applyAlignment="1">
      <alignment horizontal="left"/>
    </xf>
    <xf numFmtId="1" fontId="0" fillId="0" borderId="0" xfId="0" applyNumberFormat="1" applyAlignment="1">
      <alignment horizontal="left"/>
    </xf>
    <xf numFmtId="173" fontId="143" fillId="0" borderId="111" xfId="45" applyNumberFormat="1" applyFont="1" applyBorder="1" applyAlignment="1">
      <alignment vertical="top"/>
    </xf>
    <xf numFmtId="0" fontId="134" fillId="0" borderId="10" xfId="0" applyFont="1" applyBorder="1"/>
    <xf numFmtId="0" fontId="54" fillId="0" borderId="10" xfId="0" applyFont="1" applyBorder="1"/>
    <xf numFmtId="0" fontId="32" fillId="0" borderId="10" xfId="0" quotePrefix="1" applyFont="1" applyBorder="1"/>
    <xf numFmtId="0" fontId="37" fillId="69" borderId="10" xfId="0" applyFont="1" applyFill="1" applyBorder="1"/>
    <xf numFmtId="0" fontId="32" fillId="69" borderId="10" xfId="0" applyFont="1" applyFill="1" applyBorder="1"/>
    <xf numFmtId="41" fontId="125" fillId="0" borderId="0" xfId="51" applyFont="1"/>
    <xf numFmtId="164" fontId="36" fillId="0" borderId="0" xfId="0" applyNumberFormat="1" applyFont="1" applyAlignment="1">
      <alignment vertical="center"/>
    </xf>
    <xf numFmtId="43" fontId="36" fillId="0" borderId="0" xfId="0" applyNumberFormat="1" applyFont="1" applyAlignment="1">
      <alignment vertical="center"/>
    </xf>
    <xf numFmtId="1" fontId="37" fillId="0" borderId="10" xfId="0" applyNumberFormat="1" applyFont="1" applyBorder="1" applyAlignment="1">
      <alignment horizontal="left"/>
    </xf>
    <xf numFmtId="171" fontId="127" fillId="0" borderId="0" xfId="1" applyNumberFormat="1" applyFont="1"/>
    <xf numFmtId="0" fontId="127" fillId="0" borderId="0" xfId="0" applyFont="1"/>
    <xf numFmtId="0" fontId="30" fillId="69" borderId="10" xfId="0" applyFont="1" applyFill="1" applyBorder="1"/>
    <xf numFmtId="41" fontId="36" fillId="0" borderId="0" xfId="51" applyFont="1" applyFill="1" applyAlignment="1">
      <alignment vertical="center"/>
    </xf>
    <xf numFmtId="0" fontId="15" fillId="0" borderId="0" xfId="0" applyFont="1" applyAlignment="1">
      <alignment horizontal="left"/>
    </xf>
    <xf numFmtId="0" fontId="15" fillId="0" borderId="0" xfId="0" applyFont="1"/>
    <xf numFmtId="164" fontId="15" fillId="0" borderId="0" xfId="45" applyFont="1"/>
    <xf numFmtId="173" fontId="15" fillId="0" borderId="0" xfId="45" applyNumberFormat="1" applyFont="1"/>
    <xf numFmtId="164" fontId="15" fillId="0" borderId="0" xfId="45" applyFont="1" applyFill="1"/>
    <xf numFmtId="173" fontId="15" fillId="0" borderId="0" xfId="45" applyNumberFormat="1" applyFont="1" applyFill="1"/>
    <xf numFmtId="0" fontId="0" fillId="69" borderId="0" xfId="0" applyFill="1"/>
    <xf numFmtId="41" fontId="27" fillId="0" borderId="0" xfId="0" applyNumberFormat="1" applyFont="1" applyAlignment="1">
      <alignment vertical="center"/>
    </xf>
    <xf numFmtId="41" fontId="83" fillId="0" borderId="0" xfId="51" applyFont="1" applyAlignment="1">
      <alignment vertical="center"/>
    </xf>
    <xf numFmtId="170" fontId="37" fillId="69" borderId="10" xfId="1" applyFont="1" applyFill="1" applyBorder="1" applyAlignment="1">
      <alignment wrapText="1"/>
    </xf>
    <xf numFmtId="166" fontId="40" fillId="0" borderId="24" xfId="0" applyNumberFormat="1" applyFont="1" applyBorder="1" applyAlignment="1">
      <alignment horizontal="right" wrapText="1" indent="1"/>
    </xf>
    <xf numFmtId="166" fontId="27" fillId="0" borderId="24" xfId="0" applyNumberFormat="1" applyFont="1" applyBorder="1" applyAlignment="1">
      <alignment horizontal="right" wrapText="1" indent="1"/>
    </xf>
    <xf numFmtId="4" fontId="27" fillId="0" borderId="0" xfId="49" applyNumberFormat="1" applyFont="1"/>
    <xf numFmtId="43" fontId="27" fillId="0" borderId="0" xfId="49" applyNumberFormat="1" applyFont="1"/>
    <xf numFmtId="1" fontId="144" fillId="0" borderId="0" xfId="0" applyNumberFormat="1" applyFont="1" applyAlignment="1">
      <alignment horizontal="left" vertical="top" wrapText="1" indent="1"/>
    </xf>
    <xf numFmtId="171" fontId="37" fillId="71" borderId="10" xfId="1" applyNumberFormat="1" applyFont="1" applyFill="1" applyBorder="1" applyAlignment="1">
      <alignment wrapText="1"/>
    </xf>
    <xf numFmtId="0" fontId="145" fillId="0" borderId="112" xfId="0" applyFont="1" applyBorder="1" applyAlignment="1">
      <alignment horizontal="left"/>
    </xf>
    <xf numFmtId="0" fontId="146" fillId="0" borderId="82" xfId="0" applyFont="1" applyBorder="1" applyAlignment="1">
      <alignment horizontal="left"/>
    </xf>
    <xf numFmtId="206" fontId="29" fillId="0" borderId="82" xfId="18345" applyNumberFormat="1" applyFont="1" applyFill="1" applyBorder="1"/>
    <xf numFmtId="164" fontId="24" fillId="0" borderId="82" xfId="0" applyNumberFormat="1" applyFont="1" applyBorder="1"/>
    <xf numFmtId="0" fontId="0" fillId="0" borderId="82" xfId="0" applyBorder="1" applyAlignment="1">
      <alignment horizontal="left"/>
    </xf>
    <xf numFmtId="0" fontId="24" fillId="0" borderId="82" xfId="0" applyFont="1" applyBorder="1" applyAlignment="1">
      <alignment horizontal="left"/>
    </xf>
    <xf numFmtId="206" fontId="24" fillId="0" borderId="82" xfId="18345" applyNumberFormat="1" applyFont="1" applyBorder="1"/>
    <xf numFmtId="164" fontId="29" fillId="0" borderId="82" xfId="0" applyNumberFormat="1" applyFont="1" applyBorder="1"/>
    <xf numFmtId="206" fontId="0" fillId="0" borderId="82" xfId="18345" applyNumberFormat="1" applyFont="1" applyBorder="1"/>
    <xf numFmtId="206" fontId="24" fillId="0" borderId="82" xfId="18345" applyNumberFormat="1" applyFont="1" applyFill="1" applyBorder="1"/>
    <xf numFmtId="206" fontId="29" fillId="0" borderId="82" xfId="18345" applyNumberFormat="1" applyFont="1" applyBorder="1"/>
    <xf numFmtId="164" fontId="29" fillId="0" borderId="82" xfId="45" applyFont="1" applyBorder="1"/>
    <xf numFmtId="49" fontId="24" fillId="0" borderId="82" xfId="0" applyNumberFormat="1" applyFont="1" applyBorder="1" applyAlignment="1">
      <alignment horizontal="left"/>
    </xf>
    <xf numFmtId="164" fontId="0" fillId="0" borderId="0" xfId="0" applyNumberFormat="1"/>
    <xf numFmtId="164" fontId="0" fillId="71" borderId="111" xfId="0" applyNumberFormat="1" applyFill="1" applyBorder="1"/>
    <xf numFmtId="0" fontId="19" fillId="0" borderId="0" xfId="49" applyFont="1"/>
    <xf numFmtId="0" fontId="20" fillId="0" borderId="0" xfId="0" applyFont="1" applyAlignment="1">
      <alignment vertical="top"/>
    </xf>
    <xf numFmtId="1" fontId="80" fillId="0" borderId="83" xfId="51" applyNumberFormat="1" applyFont="1" applyBorder="1" applyAlignment="1">
      <alignment horizontal="right" vertical="center"/>
    </xf>
    <xf numFmtId="1" fontId="80" fillId="0" borderId="87" xfId="51" applyNumberFormat="1" applyFont="1" applyBorder="1" applyAlignment="1">
      <alignment horizontal="right" vertical="center"/>
    </xf>
    <xf numFmtId="164" fontId="83" fillId="0" borderId="0" xfId="45" applyFont="1" applyFill="1" applyBorder="1" applyAlignment="1">
      <alignment vertical="top"/>
    </xf>
    <xf numFmtId="171" fontId="37" fillId="72" borderId="10" xfId="1" applyNumberFormat="1" applyFont="1" applyFill="1" applyBorder="1" applyAlignment="1">
      <alignment wrapText="1"/>
    </xf>
    <xf numFmtId="0" fontId="147" fillId="0" borderId="0" xfId="0" applyFont="1"/>
    <xf numFmtId="0" fontId="148" fillId="34" borderId="10" xfId="0" applyFont="1" applyFill="1" applyBorder="1" applyAlignment="1">
      <alignment horizontal="center"/>
    </xf>
    <xf numFmtId="41" fontId="148" fillId="34" borderId="10" xfId="51" applyFont="1" applyFill="1" applyBorder="1" applyAlignment="1">
      <alignment horizontal="center"/>
    </xf>
    <xf numFmtId="0" fontId="52" fillId="69" borderId="10" xfId="0" applyFont="1" applyFill="1" applyBorder="1" applyAlignment="1">
      <alignment vertical="center"/>
    </xf>
    <xf numFmtId="0" fontId="28" fillId="69" borderId="10" xfId="0" applyFont="1" applyFill="1" applyBorder="1"/>
    <xf numFmtId="14" fontId="91" fillId="69" borderId="10" xfId="0" applyNumberFormat="1" applyFont="1" applyFill="1" applyBorder="1" applyAlignment="1">
      <alignment horizontal="right"/>
    </xf>
    <xf numFmtId="41" fontId="91" fillId="69" borderId="10" xfId="51" applyFont="1" applyFill="1" applyBorder="1" applyAlignment="1">
      <alignment horizontal="right"/>
    </xf>
    <xf numFmtId="41" fontId="91" fillId="69" borderId="10" xfId="0" applyNumberFormat="1" applyFont="1" applyFill="1" applyBorder="1" applyAlignment="1">
      <alignment horizontal="right"/>
    </xf>
    <xf numFmtId="0" fontId="0" fillId="69" borderId="10" xfId="0" applyFill="1" applyBorder="1"/>
    <xf numFmtId="43" fontId="0" fillId="69" borderId="0" xfId="42136" applyFont="1" applyFill="1"/>
    <xf numFmtId="0" fontId="28" fillId="0" borderId="10" xfId="0" applyFont="1" applyBorder="1"/>
    <xf numFmtId="14" fontId="91" fillId="0" borderId="10" xfId="0" applyNumberFormat="1" applyFont="1" applyBorder="1" applyAlignment="1">
      <alignment horizontal="right"/>
    </xf>
    <xf numFmtId="41" fontId="91" fillId="0" borderId="10" xfId="51" applyFont="1" applyBorder="1" applyAlignment="1">
      <alignment horizontal="right"/>
    </xf>
    <xf numFmtId="178" fontId="91" fillId="0" borderId="10" xfId="51" applyNumberFormat="1" applyFont="1" applyBorder="1" applyAlignment="1">
      <alignment horizontal="right"/>
    </xf>
    <xf numFmtId="173" fontId="151" fillId="0" borderId="21" xfId="45" applyNumberFormat="1" applyFont="1" applyBorder="1" applyAlignment="1">
      <alignment horizontal="center"/>
    </xf>
    <xf numFmtId="41" fontId="0" fillId="0" borderId="98" xfId="51" applyFont="1" applyBorder="1"/>
    <xf numFmtId="0" fontId="152" fillId="0" borderId="0" xfId="0" applyFont="1"/>
    <xf numFmtId="0" fontId="19" fillId="0" borderId="0" xfId="49" quotePrefix="1" applyFont="1" applyAlignment="1">
      <alignment horizontal="center"/>
    </xf>
    <xf numFmtId="41" fontId="0" fillId="0" borderId="108" xfId="51" applyFont="1" applyBorder="1"/>
    <xf numFmtId="164" fontId="153" fillId="0" borderId="0" xfId="0" applyNumberFormat="1" applyFont="1"/>
    <xf numFmtId="164" fontId="27" fillId="0" borderId="0" xfId="0" applyNumberFormat="1" applyFont="1"/>
    <xf numFmtId="3" fontId="20" fillId="0" borderId="0" xfId="0" applyNumberFormat="1" applyFont="1" applyAlignment="1">
      <alignment horizontal="right" vertical="center"/>
    </xf>
    <xf numFmtId="0" fontId="154" fillId="0" borderId="24" xfId="0" applyFont="1" applyBorder="1" applyAlignment="1">
      <alignment vertical="center"/>
    </xf>
    <xf numFmtId="0" fontId="154" fillId="0" borderId="24" xfId="0" applyFont="1" applyBorder="1" applyAlignment="1">
      <alignment horizontal="left" vertical="center"/>
    </xf>
    <xf numFmtId="3" fontId="154" fillId="0" borderId="24" xfId="0" applyNumberFormat="1" applyFont="1" applyBorder="1" applyAlignment="1">
      <alignment horizontal="center" vertical="center"/>
    </xf>
    <xf numFmtId="164" fontId="154" fillId="0" borderId="24" xfId="0" applyNumberFormat="1" applyFont="1" applyBorder="1" applyAlignment="1">
      <alignment horizontal="center" vertical="center"/>
    </xf>
    <xf numFmtId="4" fontId="154" fillId="0" borderId="24" xfId="51" applyNumberFormat="1" applyFont="1" applyFill="1" applyBorder="1" applyAlignment="1">
      <alignment horizontal="right" vertical="center" wrapText="1" indent="1"/>
    </xf>
    <xf numFmtId="3" fontId="154" fillId="0" borderId="24" xfId="51" applyNumberFormat="1" applyFont="1" applyFill="1" applyBorder="1" applyAlignment="1">
      <alignment horizontal="right" vertical="center" wrapText="1" indent="1"/>
    </xf>
    <xf numFmtId="41" fontId="112" fillId="0" borderId="0" xfId="51" applyFont="1" applyFill="1"/>
    <xf numFmtId="0" fontId="28" fillId="0" borderId="28" xfId="0" applyFont="1" applyBorder="1" applyAlignment="1">
      <alignment horizontal="left" vertical="center"/>
    </xf>
    <xf numFmtId="41" fontId="28" fillId="0" borderId="41" xfId="51" applyFont="1" applyFill="1" applyBorder="1" applyAlignment="1">
      <alignment horizontal="right" vertical="center"/>
    </xf>
    <xf numFmtId="41" fontId="28" fillId="0" borderId="28" xfId="51" applyFont="1" applyFill="1" applyBorder="1" applyAlignment="1">
      <alignment horizontal="right" vertical="center"/>
    </xf>
    <xf numFmtId="1" fontId="28" fillId="0" borderId="39" xfId="51" applyNumberFormat="1" applyFont="1" applyFill="1" applyBorder="1" applyAlignment="1">
      <alignment horizontal="right" vertical="center"/>
    </xf>
    <xf numFmtId="41" fontId="28" fillId="0" borderId="39" xfId="51" applyFont="1" applyFill="1" applyBorder="1" applyAlignment="1">
      <alignment horizontal="right" vertical="center"/>
    </xf>
    <xf numFmtId="0" fontId="154" fillId="0" borderId="33" xfId="0" applyFont="1" applyBorder="1" applyAlignment="1">
      <alignment vertical="center"/>
    </xf>
    <xf numFmtId="41" fontId="28" fillId="0" borderId="0" xfId="51" applyFont="1" applyFill="1" applyBorder="1" applyAlignment="1">
      <alignment horizontal="right" vertical="center"/>
    </xf>
    <xf numFmtId="41" fontId="28" fillId="0" borderId="24" xfId="51" applyFont="1" applyFill="1" applyBorder="1" applyAlignment="1">
      <alignment horizontal="right" vertical="center"/>
    </xf>
    <xf numFmtId="1" fontId="28" fillId="0" borderId="32" xfId="51" applyNumberFormat="1" applyFont="1" applyFill="1" applyBorder="1" applyAlignment="1">
      <alignment horizontal="right" vertical="center"/>
    </xf>
    <xf numFmtId="41" fontId="28" fillId="0" borderId="32" xfId="51" applyFont="1" applyFill="1" applyBorder="1" applyAlignment="1">
      <alignment horizontal="right" vertical="center"/>
    </xf>
    <xf numFmtId="171" fontId="33" fillId="0" borderId="0" xfId="42136" applyNumberFormat="1" applyFont="1" applyBorder="1"/>
    <xf numFmtId="171" fontId="24" fillId="0" borderId="16" xfId="42136" applyNumberFormat="1" applyFont="1" applyFill="1" applyBorder="1" applyAlignment="1">
      <alignment horizontal="center"/>
    </xf>
    <xf numFmtId="3" fontId="41" fillId="0" borderId="0" xfId="52" applyNumberFormat="1" applyAlignment="1">
      <alignment horizontal="right" vertical="center"/>
    </xf>
    <xf numFmtId="0" fontId="52" fillId="0" borderId="24" xfId="0" applyFont="1" applyBorder="1" applyAlignment="1">
      <alignment horizontal="left" vertical="top"/>
    </xf>
    <xf numFmtId="1" fontId="52" fillId="0" borderId="28" xfId="0" applyNumberFormat="1" applyFont="1" applyBorder="1" applyAlignment="1">
      <alignment horizontal="right" vertical="center"/>
    </xf>
    <xf numFmtId="0" fontId="32" fillId="0" borderId="10" xfId="0" applyFont="1" applyBorder="1" applyAlignment="1">
      <alignment horizontal="center"/>
    </xf>
    <xf numFmtId="10" fontId="32" fillId="0" borderId="10" xfId="4769" applyNumberFormat="1" applyFont="1" applyFill="1" applyBorder="1" applyAlignment="1">
      <alignment horizontal="center"/>
    </xf>
    <xf numFmtId="164" fontId="32" fillId="0" borderId="15" xfId="45" applyFont="1" applyFill="1" applyBorder="1"/>
    <xf numFmtId="164" fontId="48" fillId="65" borderId="0" xfId="45" applyFont="1" applyFill="1" applyBorder="1" applyAlignment="1">
      <alignment horizontal="center"/>
    </xf>
    <xf numFmtId="164" fontId="0" fillId="0" borderId="10" xfId="45" applyFont="1" applyFill="1" applyBorder="1" applyAlignment="1">
      <alignment horizontal="center" vertical="center"/>
    </xf>
    <xf numFmtId="173" fontId="32" fillId="0" borderId="10" xfId="45" applyNumberFormat="1" applyFont="1" applyBorder="1"/>
    <xf numFmtId="0" fontId="131" fillId="0" borderId="15" xfId="50168" applyBorder="1"/>
    <xf numFmtId="164" fontId="1" fillId="0" borderId="0" xfId="45" applyFont="1"/>
    <xf numFmtId="173" fontId="1" fillId="0" borderId="0" xfId="45" applyNumberFormat="1" applyFont="1"/>
    <xf numFmtId="164" fontId="35" fillId="0" borderId="0" xfId="0" applyNumberFormat="1" applyFont="1" applyAlignment="1">
      <alignment vertical="center"/>
    </xf>
    <xf numFmtId="43" fontId="35" fillId="0" borderId="0" xfId="0" applyNumberFormat="1" applyFont="1" applyAlignment="1">
      <alignment vertical="center"/>
    </xf>
    <xf numFmtId="164" fontId="1" fillId="0" borderId="0" xfId="45" applyFont="1" applyFill="1"/>
    <xf numFmtId="41" fontId="35" fillId="0" borderId="0" xfId="51" applyFont="1" applyFill="1" applyAlignment="1">
      <alignment vertical="center"/>
    </xf>
    <xf numFmtId="0" fontId="48" fillId="0" borderId="10" xfId="0" applyFont="1" applyBorder="1" applyAlignment="1">
      <alignment horizontal="left"/>
    </xf>
    <xf numFmtId="0" fontId="0" fillId="69" borderId="0" xfId="0" applyFill="1" applyAlignment="1">
      <alignment horizontal="left"/>
    </xf>
    <xf numFmtId="164" fontId="1" fillId="69" borderId="0" xfId="45" applyFont="1" applyFill="1"/>
    <xf numFmtId="0" fontId="83" fillId="0" borderId="0" xfId="0" applyFont="1" applyAlignment="1">
      <alignment horizontal="left" indent="1"/>
    </xf>
    <xf numFmtId="171" fontId="26" fillId="0" borderId="0" xfId="42136" applyNumberFormat="1" applyFont="1"/>
    <xf numFmtId="171" fontId="26" fillId="0" borderId="0" xfId="42136" applyNumberFormat="1" applyFont="1" applyFill="1"/>
    <xf numFmtId="0" fontId="83" fillId="0" borderId="50" xfId="0" applyFont="1" applyBorder="1"/>
    <xf numFmtId="0" fontId="83" fillId="0" borderId="52" xfId="0" applyFont="1" applyBorder="1"/>
    <xf numFmtId="0" fontId="83" fillId="0" borderId="52" xfId="0" applyFont="1" applyBorder="1" applyAlignment="1">
      <alignment horizontal="left" indent="1"/>
    </xf>
    <xf numFmtId="0" fontId="83" fillId="0" borderId="50" xfId="0" applyFont="1" applyBorder="1" applyAlignment="1">
      <alignment horizontal="left" indent="1"/>
    </xf>
    <xf numFmtId="0" fontId="83" fillId="0" borderId="51" xfId="0" applyFont="1" applyBorder="1" applyAlignment="1">
      <alignment horizontal="left" indent="1"/>
    </xf>
    <xf numFmtId="0" fontId="83" fillId="0" borderId="53" xfId="0" applyFont="1" applyBorder="1" applyAlignment="1">
      <alignment horizontal="left" indent="1"/>
    </xf>
    <xf numFmtId="0" fontId="83" fillId="0" borderId="0" xfId="0" applyFont="1" applyAlignment="1">
      <alignment horizontal="left"/>
    </xf>
    <xf numFmtId="1" fontId="155" fillId="0" borderId="0" xfId="0" applyNumberFormat="1" applyFont="1" applyAlignment="1">
      <alignment horizontal="left" vertical="top" wrapText="1" indent="1"/>
    </xf>
    <xf numFmtId="0" fontId="26" fillId="0" borderId="0" xfId="49" applyFont="1"/>
    <xf numFmtId="0" fontId="26" fillId="0" borderId="0" xfId="49" applyFont="1" applyAlignment="1">
      <alignment wrapText="1"/>
    </xf>
    <xf numFmtId="0" fontId="26" fillId="0" borderId="0" xfId="49" applyFont="1" applyAlignment="1">
      <alignment vertical="center"/>
    </xf>
    <xf numFmtId="0" fontId="83" fillId="0" borderId="0" xfId="49" applyFont="1"/>
    <xf numFmtId="0" fontId="150" fillId="69" borderId="0" xfId="0" applyFont="1" applyFill="1"/>
    <xf numFmtId="179" fontId="91" fillId="69" borderId="10" xfId="0" applyNumberFormat="1" applyFont="1" applyFill="1" applyBorder="1" applyAlignment="1">
      <alignment horizontal="right"/>
    </xf>
    <xf numFmtId="0" fontId="149" fillId="69" borderId="24" xfId="0" applyFont="1" applyFill="1" applyBorder="1" applyAlignment="1">
      <alignment horizontal="left" vertical="center"/>
    </xf>
    <xf numFmtId="164" fontId="154" fillId="0" borderId="32" xfId="0" applyNumberFormat="1" applyFont="1" applyBorder="1" applyAlignment="1">
      <alignment horizontal="center" vertical="center"/>
    </xf>
    <xf numFmtId="178" fontId="91" fillId="69" borderId="10" xfId="51" applyNumberFormat="1" applyFont="1" applyFill="1" applyBorder="1" applyAlignment="1">
      <alignment horizontal="right"/>
    </xf>
    <xf numFmtId="1" fontId="154" fillId="0" borderId="24" xfId="51" applyNumberFormat="1" applyFont="1" applyFill="1" applyBorder="1" applyAlignment="1">
      <alignment horizontal="right" vertical="center" wrapText="1" indent="1"/>
    </xf>
    <xf numFmtId="0" fontId="148" fillId="34" borderId="10" xfId="0" applyFont="1" applyFill="1" applyBorder="1" applyAlignment="1">
      <alignment vertical="center"/>
    </xf>
    <xf numFmtId="178" fontId="0" fillId="69" borderId="10" xfId="0" applyNumberFormat="1" applyFill="1" applyBorder="1"/>
    <xf numFmtId="0" fontId="0" fillId="60" borderId="0" xfId="0" applyFill="1"/>
    <xf numFmtId="41" fontId="91" fillId="74" borderId="10" xfId="51" applyFont="1" applyFill="1" applyBorder="1" applyAlignment="1">
      <alignment horizontal="right"/>
    </xf>
    <xf numFmtId="164" fontId="154" fillId="0" borderId="28" xfId="0" applyNumberFormat="1" applyFont="1" applyBorder="1" applyAlignment="1">
      <alignment horizontal="right" vertical="center"/>
    </xf>
    <xf numFmtId="164" fontId="154" fillId="0" borderId="0" xfId="0" applyNumberFormat="1" applyFont="1" applyAlignment="1">
      <alignment horizontal="right" vertical="center"/>
    </xf>
    <xf numFmtId="4" fontId="154" fillId="0" borderId="24" xfId="0" applyNumberFormat="1" applyFont="1" applyBorder="1" applyAlignment="1">
      <alignment horizontal="right" vertical="center" wrapText="1" indent="1"/>
    </xf>
    <xf numFmtId="164" fontId="154" fillId="0" borderId="24" xfId="0" applyNumberFormat="1" applyFont="1" applyBorder="1" applyAlignment="1">
      <alignment horizontal="right" vertical="center"/>
    </xf>
    <xf numFmtId="41" fontId="37" fillId="0" borderId="0" xfId="51" applyFont="1" applyFill="1"/>
    <xf numFmtId="0" fontId="37" fillId="74" borderId="10" xfId="0" applyFont="1" applyFill="1" applyBorder="1" applyAlignment="1">
      <alignment horizontal="left"/>
    </xf>
    <xf numFmtId="0" fontId="37" fillId="74" borderId="10" xfId="0" applyFont="1" applyFill="1" applyBorder="1"/>
    <xf numFmtId="0" fontId="32" fillId="74" borderId="10" xfId="0" applyFont="1" applyFill="1" applyBorder="1"/>
    <xf numFmtId="0" fontId="32" fillId="74" borderId="10" xfId="0" applyFont="1" applyFill="1" applyBorder="1" applyAlignment="1">
      <alignment horizontal="left"/>
    </xf>
    <xf numFmtId="0" fontId="30" fillId="74" borderId="10" xfId="0" applyFont="1" applyFill="1" applyBorder="1"/>
    <xf numFmtId="41" fontId="30" fillId="74" borderId="10" xfId="51" applyFont="1" applyFill="1" applyBorder="1"/>
    <xf numFmtId="0" fontId="35" fillId="60" borderId="0" xfId="0" applyFont="1" applyFill="1" applyAlignment="1">
      <alignment vertical="center"/>
    </xf>
    <xf numFmtId="0" fontId="0" fillId="60" borderId="0" xfId="0" applyFill="1" applyAlignment="1">
      <alignment horizontal="left"/>
    </xf>
    <xf numFmtId="164" fontId="1" fillId="60" borderId="0" xfId="45" applyFont="1" applyFill="1"/>
    <xf numFmtId="173" fontId="1" fillId="60" borderId="0" xfId="45" applyNumberFormat="1" applyFont="1" applyFill="1"/>
    <xf numFmtId="0" fontId="119" fillId="60" borderId="0" xfId="0" applyFont="1" applyFill="1" applyAlignment="1">
      <alignment vertical="center"/>
    </xf>
    <xf numFmtId="41" fontId="125" fillId="60" borderId="0" xfId="0" applyNumberFormat="1" applyFont="1" applyFill="1" applyAlignment="1">
      <alignment vertical="center"/>
    </xf>
    <xf numFmtId="0" fontId="133" fillId="60" borderId="0" xfId="0" applyFont="1" applyFill="1" applyAlignment="1">
      <alignment vertical="center"/>
    </xf>
    <xf numFmtId="41" fontId="35" fillId="60" borderId="0" xfId="0" applyNumberFormat="1" applyFont="1" applyFill="1" applyAlignment="1">
      <alignment vertical="center"/>
    </xf>
    <xf numFmtId="170" fontId="54" fillId="0" borderId="0" xfId="1" applyFont="1"/>
    <xf numFmtId="171" fontId="156" fillId="47" borderId="10" xfId="1" applyNumberFormat="1" applyFont="1" applyFill="1" applyBorder="1" applyAlignment="1">
      <alignment wrapText="1"/>
    </xf>
    <xf numFmtId="171" fontId="37" fillId="47" borderId="10" xfId="1" applyNumberFormat="1" applyFont="1" applyFill="1" applyBorder="1" applyAlignment="1">
      <alignment wrapText="1"/>
    </xf>
    <xf numFmtId="174" fontId="52" fillId="0" borderId="28" xfId="0" applyNumberFormat="1" applyFont="1" applyBorder="1" applyAlignment="1">
      <alignment horizontal="right" wrapText="1" indent="1"/>
    </xf>
    <xf numFmtId="41" fontId="30" fillId="61" borderId="10" xfId="51" applyFont="1" applyFill="1" applyBorder="1"/>
    <xf numFmtId="41" fontId="26" fillId="0" borderId="0" xfId="46" applyNumberFormat="1" applyFont="1"/>
    <xf numFmtId="0" fontId="157" fillId="0" borderId="0" xfId="0" applyFont="1"/>
    <xf numFmtId="171" fontId="156" fillId="0" borderId="0" xfId="0" applyNumberFormat="1" applyFont="1"/>
    <xf numFmtId="41" fontId="156" fillId="0" borderId="0" xfId="51" applyFont="1"/>
    <xf numFmtId="0" fontId="156" fillId="0" borderId="0" xfId="0" applyFont="1"/>
    <xf numFmtId="170" fontId="157" fillId="0" borderId="10" xfId="1" applyFont="1" applyBorder="1" applyAlignment="1">
      <alignment wrapText="1"/>
    </xf>
    <xf numFmtId="170" fontId="156" fillId="0" borderId="10" xfId="1" applyFont="1" applyBorder="1" applyAlignment="1">
      <alignment wrapText="1"/>
    </xf>
    <xf numFmtId="171" fontId="156" fillId="0" borderId="10" xfId="1" applyNumberFormat="1" applyFont="1" applyBorder="1" applyAlignment="1">
      <alignment wrapText="1"/>
    </xf>
    <xf numFmtId="0" fontId="157" fillId="0" borderId="10" xfId="0" applyFont="1" applyBorder="1" applyAlignment="1">
      <alignment horizontal="center" wrapText="1"/>
    </xf>
    <xf numFmtId="0" fontId="157" fillId="0" borderId="10" xfId="0" applyFont="1" applyBorder="1" applyAlignment="1">
      <alignment horizontal="left"/>
    </xf>
    <xf numFmtId="0" fontId="157" fillId="0" borderId="10" xfId="0" applyFont="1" applyBorder="1"/>
    <xf numFmtId="171" fontId="38" fillId="0" borderId="10" xfId="1" applyNumberFormat="1" applyFont="1" applyFill="1" applyBorder="1" applyAlignment="1">
      <alignment wrapText="1"/>
    </xf>
    <xf numFmtId="171" fontId="158" fillId="54" borderId="10" xfId="1" applyNumberFormat="1" applyFont="1" applyFill="1" applyBorder="1" applyAlignment="1">
      <alignment wrapText="1"/>
    </xf>
    <xf numFmtId="0" fontId="24" fillId="0" borderId="16" xfId="0" applyFont="1" applyBorder="1" applyAlignment="1">
      <alignment horizontal="left"/>
    </xf>
    <xf numFmtId="0" fontId="0" fillId="0" borderId="16" xfId="0" applyBorder="1" applyAlignment="1">
      <alignment horizontal="left"/>
    </xf>
    <xf numFmtId="171" fontId="156" fillId="62" borderId="10" xfId="1" applyNumberFormat="1" applyFont="1" applyFill="1" applyBorder="1" applyAlignment="1">
      <alignment wrapText="1"/>
    </xf>
    <xf numFmtId="41" fontId="37" fillId="0" borderId="0" xfId="0" applyNumberFormat="1" applyFont="1"/>
    <xf numFmtId="41" fontId="54" fillId="0" borderId="0" xfId="0" applyNumberFormat="1" applyFont="1"/>
    <xf numFmtId="3" fontId="26" fillId="0" borderId="0" xfId="49" applyNumberFormat="1" applyFont="1"/>
    <xf numFmtId="0" fontId="33" fillId="0" borderId="0" xfId="49" applyFont="1" applyAlignment="1">
      <alignment horizontal="left" vertical="center" wrapText="1"/>
    </xf>
    <xf numFmtId="3" fontId="83" fillId="0" borderId="0" xfId="0" applyNumberFormat="1" applyFont="1" applyAlignment="1">
      <alignment horizontal="right" vertical="center"/>
    </xf>
    <xf numFmtId="0" fontId="52" fillId="0" borderId="99" xfId="0" applyFont="1" applyBorder="1" applyAlignment="1">
      <alignment vertical="center"/>
    </xf>
    <xf numFmtId="0" fontId="52" fillId="0" borderId="99" xfId="0" applyFont="1" applyBorder="1" applyAlignment="1">
      <alignment horizontal="left" vertical="center"/>
    </xf>
    <xf numFmtId="0" fontId="52" fillId="0" borderId="82" xfId="0" applyFont="1" applyBorder="1" applyAlignment="1">
      <alignment vertical="center"/>
    </xf>
    <xf numFmtId="41" fontId="52" fillId="0" borderId="32" xfId="51" applyFont="1" applyFill="1" applyBorder="1" applyAlignment="1">
      <alignment horizontal="right" vertical="center"/>
    </xf>
    <xf numFmtId="1" fontId="52" fillId="0" borderId="32" xfId="51" applyNumberFormat="1" applyFont="1" applyFill="1" applyBorder="1" applyAlignment="1">
      <alignment horizontal="right" vertical="center"/>
    </xf>
    <xf numFmtId="4" fontId="33" fillId="0" borderId="0" xfId="49" applyNumberFormat="1" applyFont="1"/>
    <xf numFmtId="41" fontId="80" fillId="0" borderId="36" xfId="51" applyFont="1" applyFill="1" applyBorder="1" applyAlignment="1">
      <alignment horizontal="right" vertical="center"/>
    </xf>
    <xf numFmtId="41" fontId="52" fillId="0" borderId="23" xfId="51" applyFont="1" applyFill="1" applyBorder="1" applyAlignment="1">
      <alignment horizontal="right" vertical="center"/>
    </xf>
    <xf numFmtId="1" fontId="52" fillId="0" borderId="23" xfId="51" applyNumberFormat="1" applyFont="1" applyFill="1" applyBorder="1" applyAlignment="1">
      <alignment horizontal="right" vertical="center"/>
    </xf>
    <xf numFmtId="0" fontId="80" fillId="0" borderId="24" xfId="0" applyFont="1" applyBorder="1" applyAlignment="1">
      <alignment horizontal="left" wrapText="1" indent="2"/>
    </xf>
    <xf numFmtId="41" fontId="26" fillId="0" borderId="0" xfId="49" applyNumberFormat="1" applyFont="1"/>
    <xf numFmtId="43" fontId="131" fillId="0" borderId="0" xfId="50168" applyNumberFormat="1"/>
    <xf numFmtId="1" fontId="154" fillId="0" borderId="24" xfId="0" applyNumberFormat="1" applyFont="1" applyBorder="1" applyAlignment="1">
      <alignment horizontal="center" vertical="center"/>
    </xf>
    <xf numFmtId="0" fontId="154" fillId="0" borderId="24" xfId="0" applyFont="1" applyBorder="1" applyAlignment="1">
      <alignment horizontal="center" vertical="center"/>
    </xf>
    <xf numFmtId="174" fontId="86" fillId="0" borderId="28" xfId="51" applyNumberFormat="1" applyFont="1" applyFill="1" applyBorder="1" applyAlignment="1">
      <alignment horizontal="right" vertical="center"/>
    </xf>
    <xf numFmtId="1" fontId="86" fillId="0" borderId="28" xfId="0" applyNumberFormat="1" applyFont="1" applyBorder="1" applyAlignment="1">
      <alignment horizontal="right" vertical="center"/>
    </xf>
    <xf numFmtId="0" fontId="89" fillId="0" borderId="0" xfId="46" applyFont="1"/>
    <xf numFmtId="41" fontId="52" fillId="0" borderId="24" xfId="51" applyFont="1" applyFill="1" applyBorder="1" applyAlignment="1">
      <alignment horizontal="right" wrapText="1" indent="1"/>
    </xf>
    <xf numFmtId="1" fontId="33" fillId="0" borderId="24" xfId="0" applyNumberFormat="1" applyFont="1" applyBorder="1" applyAlignment="1">
      <alignment horizontal="right" wrapText="1" indent="1"/>
    </xf>
    <xf numFmtId="0" fontId="22" fillId="0" borderId="0" xfId="0" applyFont="1" applyAlignment="1">
      <alignment horizontal="left" indent="1"/>
    </xf>
    <xf numFmtId="0" fontId="22" fillId="0" borderId="45" xfId="0" applyFont="1" applyBorder="1" applyAlignment="1">
      <alignment horizontal="center" vertical="center" wrapText="1"/>
    </xf>
    <xf numFmtId="0" fontId="33" fillId="0" borderId="14" xfId="0" applyFont="1" applyBorder="1" applyAlignment="1">
      <alignment horizontal="center" vertical="center"/>
    </xf>
    <xf numFmtId="0" fontId="33" fillId="0" borderId="44" xfId="0" applyFont="1" applyBorder="1" applyAlignment="1">
      <alignment horizontal="center" vertical="center"/>
    </xf>
    <xf numFmtId="0" fontId="22" fillId="0" borderId="50" xfId="0" applyFont="1" applyBorder="1"/>
    <xf numFmtId="0" fontId="22" fillId="0" borderId="15" xfId="0" applyFont="1" applyBorder="1"/>
    <xf numFmtId="0" fontId="22" fillId="0" borderId="34" xfId="0" applyFont="1" applyBorder="1"/>
    <xf numFmtId="0" fontId="22" fillId="0" borderId="34" xfId="0" applyFont="1" applyBorder="1" applyAlignment="1">
      <alignment horizontal="left" indent="1"/>
    </xf>
    <xf numFmtId="0" fontId="90" fillId="0" borderId="35" xfId="52" applyFont="1" applyBorder="1"/>
    <xf numFmtId="1" fontId="159" fillId="0" borderId="0" xfId="0" applyNumberFormat="1" applyFont="1" applyAlignment="1">
      <alignment horizontal="left" vertical="top" wrapText="1" indent="1"/>
    </xf>
    <xf numFmtId="0" fontId="27" fillId="73" borderId="0" xfId="46" applyFont="1" applyFill="1"/>
    <xf numFmtId="0" fontId="27" fillId="73" borderId="0" xfId="49" applyFont="1" applyFill="1" applyAlignment="1">
      <alignment vertical="center"/>
    </xf>
    <xf numFmtId="0" fontId="16" fillId="73" borderId="0" xfId="0" applyFont="1" applyFill="1"/>
    <xf numFmtId="164" fontId="127" fillId="73" borderId="0" xfId="45" applyFont="1" applyFill="1" applyAlignment="1">
      <alignment horizontal="center"/>
    </xf>
    <xf numFmtId="164" fontId="127" fillId="73" borderId="0" xfId="45" applyFont="1" applyFill="1" applyBorder="1" applyAlignment="1">
      <alignment horizontal="center"/>
    </xf>
    <xf numFmtId="0" fontId="27" fillId="73" borderId="0" xfId="49" applyFont="1" applyFill="1" applyAlignment="1">
      <alignment horizontal="center" vertical="center" wrapText="1"/>
    </xf>
    <xf numFmtId="0" fontId="160" fillId="73" borderId="0" xfId="46" applyFont="1" applyFill="1"/>
    <xf numFmtId="0" fontId="142" fillId="73" borderId="0" xfId="46" applyFont="1" applyFill="1"/>
    <xf numFmtId="41" fontId="80" fillId="0" borderId="24" xfId="51" applyFont="1" applyBorder="1" applyAlignment="1">
      <alignment horizontal="right" vertical="center"/>
    </xf>
    <xf numFmtId="0" fontId="16" fillId="0" borderId="0" xfId="0" applyFont="1"/>
    <xf numFmtId="41" fontId="16" fillId="0" borderId="0" xfId="0" applyNumberFormat="1" applyFont="1"/>
    <xf numFmtId="3" fontId="16" fillId="0" borderId="0" xfId="0" applyNumberFormat="1" applyFont="1"/>
    <xf numFmtId="14" fontId="20" fillId="0" borderId="15" xfId="0" applyNumberFormat="1" applyFont="1" applyBorder="1" applyAlignment="1">
      <alignment horizontal="center" vertical="center"/>
    </xf>
    <xf numFmtId="14" fontId="20" fillId="0" borderId="18" xfId="0" applyNumberFormat="1" applyFont="1" applyBorder="1" applyAlignment="1">
      <alignment horizontal="center" vertical="center"/>
    </xf>
    <xf numFmtId="0" fontId="80" fillId="0" borderId="0" xfId="0" applyFont="1" applyAlignment="1">
      <alignment horizontal="justify" vertical="center" wrapText="1"/>
    </xf>
    <xf numFmtId="41" fontId="20" fillId="0" borderId="0" xfId="51" applyFont="1" applyAlignment="1">
      <alignment horizontal="center" vertical="center" wrapText="1"/>
    </xf>
    <xf numFmtId="0" fontId="52" fillId="0" borderId="0" xfId="0" applyFont="1" applyAlignment="1">
      <alignment horizontal="justify" vertical="center" wrapText="1"/>
    </xf>
    <xf numFmtId="9" fontId="52" fillId="0" borderId="0" xfId="0" applyNumberFormat="1" applyFont="1" applyAlignment="1">
      <alignment horizontal="right" vertical="center" wrapText="1"/>
    </xf>
    <xf numFmtId="9" fontId="19" fillId="0" borderId="0" xfId="0" applyNumberFormat="1" applyFont="1" applyAlignment="1">
      <alignment horizontal="right" vertical="center" wrapText="1"/>
    </xf>
    <xf numFmtId="3" fontId="20" fillId="0" borderId="15" xfId="0" applyNumberFormat="1" applyFont="1" applyBorder="1" applyAlignment="1">
      <alignment horizontal="right" vertical="center" wrapText="1"/>
    </xf>
    <xf numFmtId="3" fontId="20" fillId="0" borderId="111" xfId="0" applyNumberFormat="1" applyFont="1" applyBorder="1" applyAlignment="1">
      <alignment horizontal="right" vertical="center" wrapText="1"/>
    </xf>
    <xf numFmtId="41" fontId="19" fillId="0" borderId="0" xfId="51" applyFont="1"/>
    <xf numFmtId="0" fontId="19" fillId="0" borderId="0" xfId="0" applyFont="1" applyAlignment="1">
      <alignment horizontal="center" vertical="center"/>
    </xf>
    <xf numFmtId="0" fontId="20" fillId="0" borderId="0" xfId="0" applyFont="1" applyAlignment="1">
      <alignment horizontal="center" vertical="center"/>
    </xf>
    <xf numFmtId="0" fontId="52" fillId="0" borderId="41" xfId="0" applyFont="1" applyBorder="1" applyAlignment="1">
      <alignment horizontal="center" vertical="center" wrapText="1"/>
    </xf>
    <xf numFmtId="3" fontId="52" fillId="0" borderId="41" xfId="0" applyNumberFormat="1" applyFont="1" applyBorder="1" applyAlignment="1">
      <alignment horizontal="right" vertical="center"/>
    </xf>
    <xf numFmtId="3" fontId="52" fillId="0" borderId="39" xfId="0" applyNumberFormat="1" applyFont="1" applyBorder="1" applyAlignment="1">
      <alignment horizontal="right" vertical="center"/>
    </xf>
    <xf numFmtId="0" fontId="40" fillId="53" borderId="23" xfId="0" applyFont="1" applyFill="1" applyBorder="1" applyAlignment="1">
      <alignment horizontal="center" wrapText="1"/>
    </xf>
    <xf numFmtId="41" fontId="52" fillId="0" borderId="24" xfId="51" applyFont="1" applyBorder="1" applyAlignment="1">
      <alignment horizontal="right" wrapText="1" indent="1"/>
    </xf>
    <xf numFmtId="3" fontId="154" fillId="0" borderId="24" xfId="51" applyNumberFormat="1" applyFont="1" applyBorder="1" applyAlignment="1">
      <alignment horizontal="right" vertical="center" wrapText="1" indent="1"/>
    </xf>
    <xf numFmtId="3" fontId="19" fillId="0" borderId="15" xfId="0" applyNumberFormat="1" applyFont="1" applyBorder="1" applyAlignment="1">
      <alignment horizontal="right" vertical="center" wrapText="1"/>
    </xf>
    <xf numFmtId="41" fontId="19" fillId="0" borderId="15" xfId="51" applyFont="1" applyFill="1" applyBorder="1" applyAlignment="1">
      <alignment horizontal="right" vertical="center" wrapText="1"/>
    </xf>
    <xf numFmtId="0" fontId="26" fillId="0" borderId="16" xfId="49" applyFont="1" applyBorder="1" applyAlignment="1">
      <alignment vertical="center"/>
    </xf>
    <xf numFmtId="1" fontId="80" fillId="0" borderId="32" xfId="51" applyNumberFormat="1" applyFont="1" applyFill="1" applyBorder="1" applyAlignment="1">
      <alignment horizontal="right" vertical="center"/>
    </xf>
    <xf numFmtId="41" fontId="52" fillId="0" borderId="37" xfId="51" applyFont="1" applyFill="1" applyBorder="1" applyAlignment="1">
      <alignment horizontal="right" vertical="center"/>
    </xf>
    <xf numFmtId="1" fontId="52" fillId="0" borderId="37" xfId="51" applyNumberFormat="1" applyFont="1" applyFill="1" applyBorder="1" applyAlignment="1">
      <alignment horizontal="right" vertical="center"/>
    </xf>
    <xf numFmtId="171" fontId="37" fillId="75" borderId="10" xfId="1" applyNumberFormat="1" applyFont="1" applyFill="1" applyBorder="1" applyAlignment="1">
      <alignment wrapText="1"/>
    </xf>
    <xf numFmtId="171" fontId="37" fillId="76" borderId="10" xfId="1" applyNumberFormat="1" applyFont="1" applyFill="1" applyBorder="1" applyAlignment="1">
      <alignment wrapText="1"/>
    </xf>
    <xf numFmtId="170" fontId="33" fillId="0" borderId="0" xfId="0" applyNumberFormat="1" applyFont="1" applyAlignment="1">
      <alignment vertical="center"/>
    </xf>
    <xf numFmtId="1" fontId="52" fillId="0" borderId="24" xfId="0" applyNumberFormat="1" applyFont="1" applyBorder="1" applyAlignment="1">
      <alignment vertical="center"/>
    </xf>
    <xf numFmtId="207" fontId="27" fillId="0" borderId="0" xfId="51" applyNumberFormat="1" applyFont="1" applyAlignment="1">
      <alignment vertical="center"/>
    </xf>
    <xf numFmtId="0" fontId="19" fillId="0" borderId="23" xfId="0" applyFont="1" applyBorder="1" applyAlignment="1">
      <alignment horizontal="center" vertical="center" wrapText="1"/>
    </xf>
    <xf numFmtId="0" fontId="27" fillId="73" borderId="0" xfId="0" applyFont="1" applyFill="1"/>
    <xf numFmtId="0" fontId="27" fillId="73" borderId="32" xfId="0" applyFont="1" applyFill="1" applyBorder="1"/>
    <xf numFmtId="0" fontId="27" fillId="73" borderId="32" xfId="0" applyFont="1" applyFill="1" applyBorder="1" applyAlignment="1">
      <alignment vertical="center"/>
    </xf>
    <xf numFmtId="41" fontId="91" fillId="0" borderId="10" xfId="51" applyFont="1" applyFill="1" applyBorder="1" applyAlignment="1">
      <alignment horizontal="right"/>
    </xf>
    <xf numFmtId="178" fontId="91" fillId="0" borderId="10" xfId="51" applyNumberFormat="1" applyFont="1" applyFill="1" applyBorder="1" applyAlignment="1">
      <alignment horizontal="right"/>
    </xf>
    <xf numFmtId="179" fontId="91" fillId="0" borderId="10" xfId="0" applyNumberFormat="1" applyFont="1" applyBorder="1" applyAlignment="1">
      <alignment horizontal="right"/>
    </xf>
    <xf numFmtId="0" fontId="28" fillId="0" borderId="24" xfId="0" applyFont="1" applyBorder="1" applyAlignment="1">
      <alignment vertical="center"/>
    </xf>
    <xf numFmtId="164" fontId="28" fillId="0" borderId="24" xfId="0" applyNumberFormat="1" applyFont="1" applyBorder="1" applyAlignment="1">
      <alignment horizontal="right" vertical="center"/>
    </xf>
    <xf numFmtId="164" fontId="28" fillId="0" borderId="0" xfId="0" applyNumberFormat="1" applyFont="1" applyAlignment="1">
      <alignment horizontal="right" vertical="center"/>
    </xf>
    <xf numFmtId="41" fontId="27" fillId="0" borderId="0" xfId="51" applyFont="1" applyAlignment="1">
      <alignment horizontal="center"/>
    </xf>
    <xf numFmtId="0" fontId="39" fillId="37" borderId="22" xfId="0" applyFont="1" applyFill="1" applyBorder="1" applyAlignment="1">
      <alignment horizontal="center" vertical="center"/>
    </xf>
    <xf numFmtId="0" fontId="39" fillId="37" borderId="19" xfId="0" applyFont="1" applyFill="1" applyBorder="1" applyAlignment="1">
      <alignment horizontal="center" vertical="center"/>
    </xf>
    <xf numFmtId="0" fontId="39" fillId="37" borderId="79" xfId="0" applyFont="1" applyFill="1" applyBorder="1" applyAlignment="1">
      <alignment horizontal="center" vertical="center"/>
    </xf>
    <xf numFmtId="0" fontId="39" fillId="37" borderId="80" xfId="0" applyFont="1" applyFill="1" applyBorder="1" applyAlignment="1">
      <alignment horizontal="center" vertical="center"/>
    </xf>
    <xf numFmtId="0" fontId="22" fillId="0" borderId="0" xfId="0" applyFont="1" applyAlignment="1">
      <alignment horizontal="center"/>
    </xf>
    <xf numFmtId="0" fontId="22" fillId="0" borderId="47" xfId="0" applyFont="1" applyBorder="1" applyAlignment="1">
      <alignment horizontal="center"/>
    </xf>
    <xf numFmtId="0" fontId="58" fillId="0" borderId="0" xfId="0" applyFont="1" applyAlignment="1">
      <alignment horizontal="center"/>
    </xf>
    <xf numFmtId="0" fontId="55" fillId="40" borderId="0" xfId="0" applyFont="1" applyFill="1" applyAlignment="1">
      <alignment horizontal="center" vertical="center"/>
    </xf>
    <xf numFmtId="0" fontId="55" fillId="40" borderId="49" xfId="0" applyFont="1" applyFill="1" applyBorder="1" applyAlignment="1">
      <alignment horizontal="center" vertical="center"/>
    </xf>
    <xf numFmtId="0" fontId="22" fillId="0" borderId="0" xfId="46" applyFont="1" applyAlignment="1">
      <alignment horizontal="center"/>
    </xf>
    <xf numFmtId="0" fontId="23" fillId="0" borderId="0" xfId="0" applyFont="1" applyAlignment="1">
      <alignment horizontal="center" vertical="center"/>
    </xf>
    <xf numFmtId="0" fontId="19" fillId="0" borderId="0" xfId="0" applyFont="1" applyAlignment="1">
      <alignment horizontal="center" vertical="center"/>
    </xf>
    <xf numFmtId="0" fontId="96" fillId="52" borderId="20" xfId="0" applyFont="1" applyFill="1" applyBorder="1" applyAlignment="1">
      <alignment horizontal="center" vertical="center"/>
    </xf>
    <xf numFmtId="0" fontId="96" fillId="52" borderId="19" xfId="0" applyFont="1" applyFill="1" applyBorder="1" applyAlignment="1">
      <alignment horizontal="center" vertical="center"/>
    </xf>
    <xf numFmtId="49" fontId="96" fillId="52" borderId="79" xfId="0" applyNumberFormat="1" applyFont="1" applyFill="1" applyBorder="1" applyAlignment="1">
      <alignment horizontal="center" vertical="center"/>
    </xf>
    <xf numFmtId="49" fontId="96" fillId="52" borderId="15" xfId="0" applyNumberFormat="1" applyFont="1" applyFill="1" applyBorder="1" applyAlignment="1">
      <alignment horizontal="center" vertical="center"/>
    </xf>
    <xf numFmtId="49" fontId="96" fillId="52" borderId="80" xfId="0" applyNumberFormat="1" applyFont="1" applyFill="1" applyBorder="1" applyAlignment="1">
      <alignment horizontal="center" vertical="center"/>
    </xf>
    <xf numFmtId="0" fontId="96" fillId="52" borderId="22" xfId="0" applyFont="1" applyFill="1" applyBorder="1" applyAlignment="1">
      <alignment horizontal="center" vertical="center"/>
    </xf>
    <xf numFmtId="0" fontId="106" fillId="51" borderId="11" xfId="0" applyFont="1" applyFill="1" applyBorder="1" applyAlignment="1">
      <alignment horizontal="center" vertical="center" wrapText="1"/>
    </xf>
    <xf numFmtId="0" fontId="106" fillId="51" borderId="12" xfId="0" applyFont="1" applyFill="1" applyBorder="1" applyAlignment="1">
      <alignment horizontal="center" vertical="center" wrapText="1"/>
    </xf>
    <xf numFmtId="0" fontId="31" fillId="46" borderId="11" xfId="0" applyFont="1" applyFill="1" applyBorder="1" applyAlignment="1">
      <alignment horizontal="center" vertical="center" wrapText="1"/>
    </xf>
    <xf numFmtId="0" fontId="31" fillId="46" borderId="18" xfId="0" applyFont="1" applyFill="1" applyBorder="1" applyAlignment="1">
      <alignment horizontal="center" vertical="center" wrapText="1"/>
    </xf>
    <xf numFmtId="0" fontId="31" fillId="46" borderId="12" xfId="0" applyFont="1" applyFill="1" applyBorder="1" applyAlignment="1">
      <alignment horizontal="center" vertical="center" wrapText="1"/>
    </xf>
    <xf numFmtId="0" fontId="31" fillId="34" borderId="11" xfId="0" applyFont="1" applyFill="1" applyBorder="1" applyAlignment="1">
      <alignment horizontal="center" vertical="center" wrapText="1"/>
    </xf>
    <xf numFmtId="0" fontId="31" fillId="34" borderId="18" xfId="0" applyFont="1" applyFill="1" applyBorder="1" applyAlignment="1">
      <alignment horizontal="center" vertical="center" wrapText="1"/>
    </xf>
    <xf numFmtId="0" fontId="31" fillId="34" borderId="12" xfId="0" applyFont="1" applyFill="1" applyBorder="1" applyAlignment="1">
      <alignment horizontal="center" vertical="center" wrapText="1"/>
    </xf>
    <xf numFmtId="0" fontId="31" fillId="47" borderId="11" xfId="0" applyFont="1" applyFill="1" applyBorder="1" applyAlignment="1">
      <alignment horizontal="center" vertical="center" wrapText="1"/>
    </xf>
    <xf numFmtId="0" fontId="31" fillId="47" borderId="18" xfId="0" applyFont="1" applyFill="1" applyBorder="1" applyAlignment="1">
      <alignment horizontal="center" vertical="center" wrapText="1"/>
    </xf>
    <xf numFmtId="0" fontId="31" fillId="47" borderId="12" xfId="0" applyFont="1" applyFill="1" applyBorder="1" applyAlignment="1">
      <alignment horizontal="center" vertical="center" wrapText="1"/>
    </xf>
    <xf numFmtId="0" fontId="19" fillId="0" borderId="0" xfId="0" applyFont="1" applyAlignment="1">
      <alignment horizontal="left"/>
    </xf>
    <xf numFmtId="172" fontId="22" fillId="0" borderId="0" xfId="44" applyFont="1" applyAlignment="1">
      <alignment horizontal="left" vertical="center" wrapText="1"/>
    </xf>
    <xf numFmtId="0" fontId="58" fillId="0" borderId="0" xfId="0" applyFont="1" applyAlignment="1">
      <alignment horizontal="left" vertical="center"/>
    </xf>
    <xf numFmtId="0" fontId="88" fillId="0" borderId="0" xfId="0" applyFont="1" applyAlignment="1">
      <alignment horizontal="left"/>
    </xf>
    <xf numFmtId="0" fontId="79" fillId="0" borderId="41" xfId="0" applyFont="1" applyBorder="1"/>
    <xf numFmtId="0" fontId="52" fillId="0" borderId="41" xfId="0" applyFont="1" applyBorder="1" applyAlignment="1">
      <alignment vertical="center"/>
    </xf>
    <xf numFmtId="172" fontId="33" fillId="0" borderId="0" xfId="44" applyFont="1" applyAlignment="1">
      <alignment horizontal="left" vertical="center" wrapText="1"/>
    </xf>
    <xf numFmtId="0" fontId="33" fillId="0" borderId="0" xfId="46" applyFont="1" applyAlignment="1">
      <alignment horizontal="center"/>
    </xf>
    <xf numFmtId="0" fontId="19" fillId="0" borderId="0" xfId="0" applyFont="1" applyAlignment="1">
      <alignment horizontal="center"/>
    </xf>
    <xf numFmtId="0" fontId="20" fillId="0" borderId="0" xfId="0" applyFont="1" applyAlignment="1">
      <alignment horizontal="center"/>
    </xf>
    <xf numFmtId="172" fontId="22" fillId="33" borderId="0" xfId="44" applyFont="1" applyFill="1" applyAlignment="1">
      <alignment horizontal="left"/>
    </xf>
    <xf numFmtId="0" fontId="88" fillId="0" borderId="0" xfId="0" applyFont="1" applyAlignment="1">
      <alignment horizontal="left" vertical="center"/>
    </xf>
    <xf numFmtId="172" fontId="33" fillId="0" borderId="0" xfId="44" applyFont="1" applyAlignment="1">
      <alignment horizontal="left" wrapText="1"/>
    </xf>
    <xf numFmtId="0" fontId="80" fillId="0" borderId="33" xfId="0" applyFont="1" applyBorder="1" applyAlignment="1">
      <alignment vertical="center" wrapText="1"/>
    </xf>
    <xf numFmtId="0" fontId="80" fillId="0" borderId="0" xfId="0" applyFont="1" applyAlignment="1">
      <alignment vertical="center" wrapText="1"/>
    </xf>
    <xf numFmtId="0" fontId="52" fillId="0" borderId="33" xfId="0" applyFont="1" applyBorder="1" applyAlignment="1">
      <alignment vertical="center" wrapText="1"/>
    </xf>
    <xf numFmtId="0" fontId="52" fillId="0" borderId="0" xfId="0" applyFont="1" applyAlignment="1">
      <alignment vertical="center" wrapText="1"/>
    </xf>
    <xf numFmtId="172" fontId="22" fillId="0" borderId="0" xfId="44" applyFont="1" applyAlignment="1">
      <alignment horizontal="left"/>
    </xf>
    <xf numFmtId="172" fontId="109" fillId="0" borderId="0" xfId="44" applyFont="1" applyAlignment="1">
      <alignment horizontal="left"/>
    </xf>
    <xf numFmtId="172" fontId="89" fillId="0" borderId="0" xfId="44" applyFont="1" applyAlignment="1">
      <alignment horizontal="left"/>
    </xf>
    <xf numFmtId="0" fontId="80" fillId="0" borderId="42" xfId="0" applyFont="1" applyBorder="1" applyAlignment="1">
      <alignment vertical="center" wrapText="1"/>
    </xf>
    <xf numFmtId="0" fontId="80" fillId="0" borderId="41" xfId="0" applyFont="1" applyBorder="1" applyAlignment="1">
      <alignment vertical="center" wrapText="1"/>
    </xf>
    <xf numFmtId="0" fontId="78" fillId="38" borderId="42" xfId="0" applyFont="1" applyFill="1" applyBorder="1" applyAlignment="1">
      <alignment horizontal="center" vertical="center" wrapText="1"/>
    </xf>
    <xf numFmtId="0" fontId="78" fillId="38" borderId="33" xfId="0" applyFont="1" applyFill="1" applyBorder="1" applyAlignment="1">
      <alignment horizontal="center" vertical="center"/>
    </xf>
    <xf numFmtId="0" fontId="78" fillId="38" borderId="40" xfId="0" applyFont="1" applyFill="1" applyBorder="1" applyAlignment="1">
      <alignment horizontal="center" vertical="center"/>
    </xf>
    <xf numFmtId="172" fontId="22" fillId="0" borderId="0" xfId="44" applyFont="1" applyAlignment="1">
      <alignment horizontal="left" vertical="center"/>
    </xf>
    <xf numFmtId="0" fontId="87" fillId="0" borderId="0" xfId="0" applyFont="1" applyAlignment="1">
      <alignment horizontal="left" vertical="center"/>
    </xf>
    <xf numFmtId="0" fontId="78" fillId="38" borderId="34" xfId="0" applyFont="1" applyFill="1" applyBorder="1" applyAlignment="1">
      <alignment horizontal="center" vertical="center" wrapText="1"/>
    </xf>
    <xf numFmtId="0" fontId="78" fillId="38" borderId="35" xfId="0" applyFont="1" applyFill="1" applyBorder="1" applyAlignment="1">
      <alignment horizontal="center" vertical="center" wrapText="1"/>
    </xf>
    <xf numFmtId="0" fontId="78" fillId="38" borderId="36" xfId="0" applyFont="1" applyFill="1" applyBorder="1" applyAlignment="1">
      <alignment horizontal="center" vertical="center" wrapText="1"/>
    </xf>
    <xf numFmtId="0" fontId="78" fillId="38" borderId="28" xfId="0" applyFont="1" applyFill="1" applyBorder="1" applyAlignment="1">
      <alignment horizontal="center" vertical="center" wrapText="1"/>
    </xf>
    <xf numFmtId="0" fontId="78" fillId="38" borderId="25" xfId="0" applyFont="1" applyFill="1" applyBorder="1" applyAlignment="1">
      <alignment horizontal="center" vertical="center" wrapText="1"/>
    </xf>
    <xf numFmtId="0" fontId="78" fillId="49" borderId="28" xfId="0" applyFont="1" applyFill="1" applyBorder="1" applyAlignment="1">
      <alignment horizontal="center" vertical="center" wrapText="1"/>
    </xf>
    <xf numFmtId="0" fontId="78" fillId="49" borderId="25" xfId="0" applyFont="1" applyFill="1" applyBorder="1" applyAlignment="1">
      <alignment horizontal="center" vertical="center" wrapText="1"/>
    </xf>
    <xf numFmtId="0" fontId="78" fillId="38" borderId="71" xfId="0" applyFont="1" applyFill="1" applyBorder="1" applyAlignment="1">
      <alignment horizontal="center" vertical="center" wrapText="1"/>
    </xf>
    <xf numFmtId="0" fontId="78" fillId="38" borderId="73" xfId="0" applyFont="1" applyFill="1" applyBorder="1" applyAlignment="1">
      <alignment horizontal="center" vertical="center" wrapText="1"/>
    </xf>
    <xf numFmtId="0" fontId="19" fillId="0" borderId="0" xfId="0" applyFont="1" applyAlignment="1">
      <alignment horizontal="left" vertical="center" wrapText="1"/>
    </xf>
    <xf numFmtId="0" fontId="20" fillId="0" borderId="0" xfId="0" applyFont="1" applyAlignment="1">
      <alignment horizontal="center" vertical="center"/>
    </xf>
    <xf numFmtId="0" fontId="52" fillId="0" borderId="0" xfId="0" applyFont="1" applyAlignment="1">
      <alignment horizontal="center" vertical="center"/>
    </xf>
    <xf numFmtId="0" fontId="22" fillId="0" borderId="0" xfId="46" applyFont="1" applyAlignment="1">
      <alignment horizontal="center" vertical="center"/>
    </xf>
    <xf numFmtId="6" fontId="92" fillId="0" borderId="10" xfId="0" applyNumberFormat="1" applyFont="1" applyBorder="1" applyAlignment="1">
      <alignment horizontal="center" vertical="center"/>
    </xf>
    <xf numFmtId="0" fontId="80" fillId="0" borderId="34" xfId="0" applyFont="1" applyBorder="1" applyAlignment="1">
      <alignment horizontal="center" vertical="center" wrapText="1"/>
    </xf>
    <xf numFmtId="0" fontId="33" fillId="0" borderId="0" xfId="0" applyFont="1" applyAlignment="1">
      <alignment horizontal="left" vertical="center" wrapText="1"/>
    </xf>
    <xf numFmtId="0" fontId="33" fillId="73" borderId="0" xfId="0" applyFont="1" applyFill="1" applyAlignment="1">
      <alignment horizontal="left" vertical="center" wrapText="1"/>
    </xf>
    <xf numFmtId="0" fontId="19" fillId="0" borderId="0" xfId="0" applyFont="1" applyAlignment="1">
      <alignment horizontal="justify" vertical="justify" wrapText="1"/>
    </xf>
    <xf numFmtId="0" fontId="19" fillId="0" borderId="0" xfId="0" applyFont="1" applyAlignment="1">
      <alignment horizontal="justify" vertical="justify"/>
    </xf>
    <xf numFmtId="0" fontId="19" fillId="0" borderId="0" xfId="0" applyFont="1" applyAlignment="1">
      <alignment horizontal="left" wrapText="1"/>
    </xf>
    <xf numFmtId="0" fontId="20" fillId="0" borderId="38" xfId="0" applyFont="1" applyBorder="1" applyAlignment="1">
      <alignment horizontal="center" vertical="center"/>
    </xf>
    <xf numFmtId="0" fontId="78" fillId="38" borderId="75" xfId="0" applyFont="1" applyFill="1" applyBorder="1" applyAlignment="1">
      <alignment horizontal="center" vertical="center"/>
    </xf>
    <xf numFmtId="0" fontId="78" fillId="38" borderId="55" xfId="0" applyFont="1" applyFill="1" applyBorder="1" applyAlignment="1">
      <alignment horizontal="center" vertical="center" wrapText="1"/>
    </xf>
    <xf numFmtId="0" fontId="80" fillId="0" borderId="34" xfId="0" applyFont="1" applyBorder="1" applyAlignment="1">
      <alignment horizontal="center" vertical="center"/>
    </xf>
    <xf numFmtId="0" fontId="83" fillId="0" borderId="0" xfId="0" applyFont="1" applyAlignment="1">
      <alignment horizontal="left" vertical="center" wrapText="1"/>
    </xf>
    <xf numFmtId="0" fontId="22" fillId="0" borderId="0" xfId="49" applyFont="1" applyAlignment="1">
      <alignment horizontal="left"/>
    </xf>
    <xf numFmtId="0" fontId="33" fillId="0" borderId="0" xfId="49" applyFont="1" applyAlignment="1">
      <alignment horizontal="left" vertical="top" wrapText="1"/>
    </xf>
    <xf numFmtId="0" fontId="33" fillId="0" borderId="0" xfId="49" applyFont="1" applyAlignment="1">
      <alignment horizontal="left" vertical="top"/>
    </xf>
    <xf numFmtId="0" fontId="20" fillId="0" borderId="0" xfId="0" applyFont="1" applyAlignment="1">
      <alignment horizontal="left" vertical="center"/>
    </xf>
    <xf numFmtId="0" fontId="33" fillId="0" borderId="0" xfId="49" applyFont="1" applyAlignment="1">
      <alignment horizontal="left"/>
    </xf>
    <xf numFmtId="0" fontId="33" fillId="0" borderId="0" xfId="49" applyFont="1" applyAlignment="1">
      <alignment horizontal="left" wrapText="1"/>
    </xf>
    <xf numFmtId="0" fontId="80" fillId="0" borderId="28" xfId="0" applyFont="1" applyBorder="1" applyAlignment="1">
      <alignment horizontal="center" vertical="center" wrapText="1"/>
    </xf>
    <xf numFmtId="0" fontId="20" fillId="0" borderId="41" xfId="0" applyFont="1" applyBorder="1" applyAlignment="1">
      <alignment horizontal="center" vertical="center"/>
    </xf>
    <xf numFmtId="0" fontId="20" fillId="0" borderId="28" xfId="0" applyFont="1" applyBorder="1" applyAlignment="1">
      <alignment horizontal="center" vertical="center" wrapText="1"/>
    </xf>
    <xf numFmtId="0" fontId="33" fillId="0" borderId="0" xfId="49" applyFont="1" applyAlignment="1">
      <alignment horizontal="left" vertical="center" wrapText="1"/>
    </xf>
    <xf numFmtId="14" fontId="78" fillId="38" borderId="28" xfId="0" applyNumberFormat="1" applyFont="1" applyFill="1" applyBorder="1" applyAlignment="1">
      <alignment horizontal="center" vertical="center" wrapText="1"/>
    </xf>
    <xf numFmtId="14" fontId="78" fillId="53" borderId="42" xfId="0" applyNumberFormat="1" applyFont="1" applyFill="1" applyBorder="1" applyAlignment="1">
      <alignment horizontal="center" vertical="center" wrapText="1"/>
    </xf>
    <xf numFmtId="0" fontId="78" fillId="49" borderId="41" xfId="0" applyFont="1" applyFill="1" applyBorder="1" applyAlignment="1">
      <alignment horizontal="center" vertical="center"/>
    </xf>
    <xf numFmtId="0" fontId="78" fillId="49" borderId="42" xfId="0" applyFont="1" applyFill="1" applyBorder="1" applyAlignment="1">
      <alignment horizontal="center" vertical="center" wrapText="1"/>
    </xf>
    <xf numFmtId="0" fontId="78" fillId="49" borderId="41" xfId="0" applyFont="1" applyFill="1" applyBorder="1" applyAlignment="1">
      <alignment horizontal="center" vertical="center" wrapText="1"/>
    </xf>
    <xf numFmtId="0" fontId="33" fillId="0" borderId="33" xfId="46" applyFont="1" applyBorder="1" applyAlignment="1">
      <alignment horizontal="left" wrapText="1"/>
    </xf>
    <xf numFmtId="0" fontId="80" fillId="0" borderId="42" xfId="0" applyFont="1" applyBorder="1" applyAlignment="1">
      <alignment horizontal="center" vertical="center"/>
    </xf>
    <xf numFmtId="0" fontId="20" fillId="0" borderId="34" xfId="0" applyFont="1" applyBorder="1" applyAlignment="1">
      <alignment horizontal="center" vertical="center" wrapText="1"/>
    </xf>
    <xf numFmtId="0" fontId="20" fillId="0" borderId="23" xfId="0" applyFont="1" applyBorder="1" applyAlignment="1">
      <alignment horizontal="center" vertical="center" wrapText="1"/>
    </xf>
    <xf numFmtId="0" fontId="80" fillId="0" borderId="28" xfId="0" applyFont="1" applyBorder="1" applyAlignment="1">
      <alignment horizontal="center" vertical="center"/>
    </xf>
    <xf numFmtId="0" fontId="33" fillId="0" borderId="0" xfId="0" applyFont="1" applyAlignment="1">
      <alignment horizontal="justify" vertical="justify" wrapText="1"/>
    </xf>
    <xf numFmtId="0" fontId="19" fillId="0" borderId="34" xfId="0" applyFont="1" applyBorder="1" applyAlignment="1">
      <alignment horizontal="center" vertical="center" wrapText="1"/>
    </xf>
    <xf numFmtId="0" fontId="40" fillId="53" borderId="34" xfId="0" applyFont="1" applyFill="1" applyBorder="1" applyAlignment="1">
      <alignment horizontal="center"/>
    </xf>
    <xf numFmtId="0" fontId="80" fillId="0" borderId="11" xfId="0" applyFont="1" applyBorder="1" applyAlignment="1">
      <alignment horizontal="center" vertical="center"/>
    </xf>
    <xf numFmtId="0" fontId="40" fillId="39" borderId="46" xfId="0" applyFont="1" applyFill="1" applyBorder="1" applyAlignment="1">
      <alignment horizontal="center" vertical="center"/>
    </xf>
    <xf numFmtId="0" fontId="148" fillId="34" borderId="10" xfId="0" applyFont="1" applyFill="1" applyBorder="1" applyAlignment="1">
      <alignment horizontal="center"/>
    </xf>
    <xf numFmtId="41" fontId="148" fillId="34" borderId="10" xfId="51" applyFont="1" applyFill="1" applyBorder="1" applyAlignment="1">
      <alignment horizontal="center"/>
    </xf>
    <xf numFmtId="0" fontId="22" fillId="0" borderId="0" xfId="50168" applyFont="1" applyAlignment="1">
      <alignment horizontal="center"/>
    </xf>
    <xf numFmtId="14" fontId="22" fillId="0" borderId="47" xfId="50168" applyNumberFormat="1" applyFont="1" applyBorder="1" applyAlignment="1">
      <alignment horizontal="center"/>
    </xf>
    <xf numFmtId="14" fontId="22" fillId="0" borderId="47" xfId="0" applyNumberFormat="1" applyFont="1" applyBorder="1" applyAlignment="1">
      <alignment horizontal="center"/>
    </xf>
    <xf numFmtId="0" fontId="36" fillId="36" borderId="11" xfId="3928" applyFont="1" applyFill="1" applyBorder="1" applyAlignment="1">
      <alignment horizontal="center" vertical="center"/>
    </xf>
    <xf numFmtId="0" fontId="36" fillId="36" borderId="12" xfId="3928" applyFont="1" applyFill="1" applyBorder="1" applyAlignment="1">
      <alignment horizontal="center" vertical="center"/>
    </xf>
    <xf numFmtId="0" fontId="15" fillId="36" borderId="10" xfId="0" applyFont="1" applyFill="1" applyBorder="1" applyAlignment="1">
      <alignment horizontal="center"/>
    </xf>
  </cellXfs>
  <cellStyles count="50390">
    <cellStyle name="          _x000d__x000a_386grabber=VGA.3GR_x000d__x000a_" xfId="54" xr:uid="{00000000-0005-0000-0000-000000000000}"/>
    <cellStyle name="          _x000d__x000a_386grabber=VGA.3GR_x000d__x000a_ 2" xfId="209" xr:uid="{00000000-0005-0000-0000-000001000000}"/>
    <cellStyle name="          _x000d__x000a_386grabber=VGA.3GR_x000d__x000a_ 2 2 10 2" xfId="15807" xr:uid="{488A934D-B473-41A4-8EC4-C16555736CAD}"/>
    <cellStyle name="          _x000d__x000a_386grabber=VGA.3GR_x000d__x000a_ 3" xfId="1911" xr:uid="{00000000-0005-0000-0000-000002000000}"/>
    <cellStyle name="20% - Énfasis1" xfId="19" builtinId="30" customBuiltin="1"/>
    <cellStyle name="20% - Énfasis1 10" xfId="4200" xr:uid="{2512139F-F1A0-43DE-BA0C-164E65FE81F6}"/>
    <cellStyle name="20% - Énfasis1 10 2" xfId="4678" xr:uid="{4485BEDB-86BA-4EF4-B0D9-85881CF7BFE8}"/>
    <cellStyle name="20% - Énfasis1 10 2 2" xfId="5646" xr:uid="{F612005B-8F07-48C5-9E50-4D54BB46A192}"/>
    <cellStyle name="20% - Énfasis1 10 2 2 2" xfId="8514" xr:uid="{F6121C36-0FD7-48A8-BEDD-928D7484865D}"/>
    <cellStyle name="20% - Énfasis1 10 2 2 2 2" xfId="22888" xr:uid="{1DDB1B2A-BB88-4866-8169-B4D313167E03}"/>
    <cellStyle name="20% - Énfasis1 10 2 2 2 3" xfId="28747" xr:uid="{F26609E6-0C24-4AF8-A3B2-F8F4AB93796E}"/>
    <cellStyle name="20% - Énfasis1 10 2 2 2 4" xfId="34629" xr:uid="{C6377A09-D1B0-4726-BA55-2B8173F6C711}"/>
    <cellStyle name="20% - Énfasis1 10 2 2 2 5" xfId="40493" xr:uid="{5C7B0787-6D8F-48AA-A728-BB2168B8830B}"/>
    <cellStyle name="20% - Énfasis1 10 2 2 3" xfId="20105" xr:uid="{C855FF89-DAD4-40C2-94A3-054081F98B2C}"/>
    <cellStyle name="20% - Énfasis1 10 2 2 4" xfId="25897" xr:uid="{6DFC7ECB-0BD7-42C5-8E9D-07B77439F8EE}"/>
    <cellStyle name="20% - Énfasis1 10 2 2 5" xfId="31772" xr:uid="{194C2639-725C-4F55-BCD2-6942FA5C84F3}"/>
    <cellStyle name="20% - Énfasis1 10 2 2 6" xfId="37641" xr:uid="{1EACBC4B-04EA-465A-B674-B9E799AFF516}"/>
    <cellStyle name="20% - Énfasis1 10 2 3" xfId="7542" xr:uid="{2A8E8192-EFAD-4F78-8E68-EE010976F9E0}"/>
    <cellStyle name="20% - Énfasis1 10 2 3 2" xfId="21940" xr:uid="{D89962D9-85C7-412C-8AF6-7A433BF137A5}"/>
    <cellStyle name="20% - Énfasis1 10 2 3 3" xfId="27776" xr:uid="{9FE251C9-BCCB-4699-884C-DEC62205AC4E}"/>
    <cellStyle name="20% - Énfasis1 10 2 3 4" xfId="33658" xr:uid="{FA7D9CE4-53A7-4A1A-BA8A-5F9CA3E28154}"/>
    <cellStyle name="20% - Énfasis1 10 2 3 5" xfId="39522" xr:uid="{966AFFB1-0D5F-4646-A347-8D65702BBC14}"/>
    <cellStyle name="20% - Énfasis1 10 2 4" xfId="19171" xr:uid="{57A78A0B-F353-4BA2-93E3-82FFF317B212}"/>
    <cellStyle name="20% - Énfasis1 10 2 5" xfId="24927" xr:uid="{163C67E5-EDDB-487D-80F5-6BF3EC243CC2}"/>
    <cellStyle name="20% - Énfasis1 10 2 6" xfId="30802" xr:uid="{81B9392C-F641-4E4A-9BCA-D03524EA6089}"/>
    <cellStyle name="20% - Énfasis1 10 2 7" xfId="36684" xr:uid="{0279F6EB-FCC8-4316-A2A0-52FE0DE7CA35}"/>
    <cellStyle name="20% - Énfasis1 10 3" xfId="5162" xr:uid="{6B781DC2-61C0-46CD-8A37-4BD7FBAAC1B0}"/>
    <cellStyle name="20% - Énfasis1 10 3 2" xfId="8029" xr:uid="{8070C783-A032-441C-9A17-B0983CF380D1}"/>
    <cellStyle name="20% - Énfasis1 10 3 2 2" xfId="22412" xr:uid="{61E5B05B-247C-4392-9B0A-913CAB0F96EB}"/>
    <cellStyle name="20% - Énfasis1 10 3 2 3" xfId="28262" xr:uid="{268602CD-AE73-4287-BC9D-D7E4A4410970}"/>
    <cellStyle name="20% - Énfasis1 10 3 2 4" xfId="34144" xr:uid="{E7A9D4CE-37CB-4E8E-8214-7F64FF4A2258}"/>
    <cellStyle name="20% - Énfasis1 10 3 2 5" xfId="40008" xr:uid="{736C940C-18EE-4BA0-AEAC-34EB66E0D4A0}"/>
    <cellStyle name="20% - Énfasis1 10 3 3" xfId="19635" xr:uid="{589BB9E2-759B-4995-B4B4-1358006AEC25}"/>
    <cellStyle name="20% - Énfasis1 10 3 4" xfId="25413" xr:uid="{D2CC7073-839A-4E1D-8638-B675E8DC4543}"/>
    <cellStyle name="20% - Énfasis1 10 3 5" xfId="31287" xr:uid="{DBC9B0BA-EA8F-4826-A03A-1A63FDF0D462}"/>
    <cellStyle name="20% - Énfasis1 10 3 6" xfId="37164" xr:uid="{B24AE495-ADDA-4D5A-AA41-34C2C53F1B6C}"/>
    <cellStyle name="20% - Énfasis1 10 4" xfId="7057" xr:uid="{55C409EB-C494-4BA9-B992-DA20D5805B55}"/>
    <cellStyle name="20% - Énfasis1 10 4 2" xfId="21472" xr:uid="{63F3BE47-2270-49FF-8C12-720A644AD4A6}"/>
    <cellStyle name="20% - Énfasis1 10 4 3" xfId="27294" xr:uid="{B5D6A0E7-B722-49DC-973A-5FDD0220B79D}"/>
    <cellStyle name="20% - Énfasis1 10 4 4" xfId="33173" xr:uid="{1D43F804-54A4-4CBA-866E-A3EB5EA9CB5D}"/>
    <cellStyle name="20% - Énfasis1 10 4 5" xfId="39037" xr:uid="{E3A61CFC-1A3F-480C-9D7C-28293A2910C4}"/>
    <cellStyle name="20% - Énfasis1 10 5" xfId="18728" xr:uid="{9C10E23B-0E9A-4FF5-A37F-C0F83A82B867}"/>
    <cellStyle name="20% - Énfasis1 10 6" xfId="24444" xr:uid="{E8171C8C-A222-4F8C-B74D-B3F328F4B9F7}"/>
    <cellStyle name="20% - Énfasis1 10 7" xfId="30320" xr:uid="{3DDFA823-5F9C-49FD-B89F-A4D6E30F1EBA}"/>
    <cellStyle name="20% - Énfasis1 10 8" xfId="36201" xr:uid="{AF12A651-7917-4DC6-8D14-2E2533231A7B}"/>
    <cellStyle name="20% - Énfasis1 11" xfId="4235" xr:uid="{B5BC11C0-2E04-4563-8589-3A34DC47C0AA}"/>
    <cellStyle name="20% - Énfasis1 11 2" xfId="4714" xr:uid="{57A1211A-4DBA-42D0-9974-3E70A7FD0BB9}"/>
    <cellStyle name="20% - Énfasis1 11 2 2" xfId="5682" xr:uid="{32E964CF-91AF-43DE-9DF4-0DC13148A293}"/>
    <cellStyle name="20% - Énfasis1 11 2 2 2" xfId="8550" xr:uid="{106599FD-21E2-4620-BE91-34645B6C54A3}"/>
    <cellStyle name="20% - Énfasis1 11 2 2 2 2" xfId="22922" xr:uid="{193A9426-BA57-40CC-B9C3-08B561582795}"/>
    <cellStyle name="20% - Énfasis1 11 2 2 2 3" xfId="28783" xr:uid="{8CDAF02C-5AC7-4359-869B-EB0AA56F41A0}"/>
    <cellStyle name="20% - Énfasis1 11 2 2 2 4" xfId="34665" xr:uid="{88E2C641-9010-4E01-944A-F720F8DEB78B}"/>
    <cellStyle name="20% - Énfasis1 11 2 2 2 5" xfId="40529" xr:uid="{978215C1-3C0B-4835-81D3-16D630E5F13E}"/>
    <cellStyle name="20% - Énfasis1 11 2 2 3" xfId="20139" xr:uid="{0264531A-145B-434D-9CAD-0C7656B50EFD}"/>
    <cellStyle name="20% - Énfasis1 11 2 2 4" xfId="25933" xr:uid="{CC45204F-0763-4E88-A6AC-7AB6B93DEAAF}"/>
    <cellStyle name="20% - Énfasis1 11 2 2 5" xfId="31808" xr:uid="{C9F2F821-3561-47BB-AA79-C5497B1F19DF}"/>
    <cellStyle name="20% - Énfasis1 11 2 2 6" xfId="37675" xr:uid="{BA78D8E0-14A8-412F-9240-6C26B6E8EF50}"/>
    <cellStyle name="20% - Énfasis1 11 2 3" xfId="7578" xr:uid="{0416487F-91AF-4C97-9E8D-4679F1B1D07B}"/>
    <cellStyle name="20% - Énfasis1 11 2 3 2" xfId="21972" xr:uid="{94688C0B-C5F1-4C86-B647-99A27E9960C5}"/>
    <cellStyle name="20% - Énfasis1 11 2 3 3" xfId="27812" xr:uid="{F9057F22-8579-471B-AC14-07CDF9FA39B0}"/>
    <cellStyle name="20% - Énfasis1 11 2 3 4" xfId="33694" xr:uid="{5EFE68D5-A431-49A6-B3E9-BC80020C7AFA}"/>
    <cellStyle name="20% - Énfasis1 11 2 3 5" xfId="39558" xr:uid="{D03AB8E5-4EF1-48EB-BE10-DE28535F8114}"/>
    <cellStyle name="20% - Énfasis1 11 2 4" xfId="19204" xr:uid="{A3F34A6B-1029-40E4-89D8-65639CFC2F05}"/>
    <cellStyle name="20% - Énfasis1 11 2 5" xfId="24963" xr:uid="{C2C7E0DA-A51A-4180-A12F-D4E72A5738C9}"/>
    <cellStyle name="20% - Énfasis1 11 2 6" xfId="30837" xr:uid="{413649AD-9969-4F63-B2AE-27EFB362D57C}"/>
    <cellStyle name="20% - Énfasis1 11 2 7" xfId="36718" xr:uid="{B6DCF674-BD87-4679-9EAF-BDDA098F1168}"/>
    <cellStyle name="20% - Énfasis1 11 3" xfId="5198" xr:uid="{C0B28BAD-2960-437C-8342-DD1315EDFE2E}"/>
    <cellStyle name="20% - Énfasis1 11 3 2" xfId="8065" xr:uid="{A1B3081C-71FB-496B-B924-0A0978EF1551}"/>
    <cellStyle name="20% - Énfasis1 11 3 2 2" xfId="22443" xr:uid="{3BF27BB6-8850-4A3D-992F-04367C3242ED}"/>
    <cellStyle name="20% - Énfasis1 11 3 2 3" xfId="28298" xr:uid="{DB92B488-0E46-45C8-B40F-04A3EA7AC184}"/>
    <cellStyle name="20% - Énfasis1 11 3 2 4" xfId="34180" xr:uid="{CEF64819-9178-4FB4-A87A-59264EC98B41}"/>
    <cellStyle name="20% - Énfasis1 11 3 2 5" xfId="40044" xr:uid="{27DE2354-8072-41A1-8EC7-5C3F1ABD0D8E}"/>
    <cellStyle name="20% - Énfasis1 11 3 3" xfId="19669" xr:uid="{96B0EBA4-27B2-4854-BC60-6CD655977A1F}"/>
    <cellStyle name="20% - Énfasis1 11 3 4" xfId="25449" xr:uid="{BE79E4D5-60B5-4021-B724-F81674761BB9}"/>
    <cellStyle name="20% - Énfasis1 11 3 5" xfId="31323" xr:uid="{799C6135-B95A-48ED-8C27-20F50297ED8E}"/>
    <cellStyle name="20% - Énfasis1 11 3 6" xfId="37196" xr:uid="{226951F9-2B0D-4E3E-9DCE-5139C56B0F93}"/>
    <cellStyle name="20% - Énfasis1 11 4" xfId="7093" xr:uid="{5AFE4D80-FBFD-4CF7-8D16-0DB1F15634D4}"/>
    <cellStyle name="20% - Énfasis1 11 4 2" xfId="21505" xr:uid="{60352623-A177-44C9-8E69-B40847E5059B}"/>
    <cellStyle name="20% - Énfasis1 11 4 3" xfId="27328" xr:uid="{A6F91177-1AC9-4465-971C-3D44BF23F9FC}"/>
    <cellStyle name="20% - Énfasis1 11 4 4" xfId="33209" xr:uid="{41447A5C-BF68-425D-8B54-B2F45940D780}"/>
    <cellStyle name="20% - Énfasis1 11 4 5" xfId="39073" xr:uid="{C1F5BF27-E558-4339-B74F-3DB9376C0A22}"/>
    <cellStyle name="20% - Énfasis1 11 5" xfId="18757" xr:uid="{CFCC3387-D270-4FD0-B642-D6EA4E54D444}"/>
    <cellStyle name="20% - Énfasis1 11 6" xfId="24478" xr:uid="{83FB1969-BAB3-4856-8C73-B8B8CA017CFC}"/>
    <cellStyle name="20% - Énfasis1 11 7" xfId="30356" xr:uid="{4BB3EF8A-9D21-4FBC-B75B-CC52CB35C096}"/>
    <cellStyle name="20% - Énfasis1 11 8" xfId="36237" xr:uid="{0AE70E15-4C8A-4A20-897F-74B508755AE0}"/>
    <cellStyle name="20% - Énfasis1 12" xfId="4285" xr:uid="{488F4E69-E519-4CA8-923A-8F43327E55A0}"/>
    <cellStyle name="20% - Énfasis1 12 2" xfId="5251" xr:uid="{B98929DA-25E1-41D2-B826-4C6674681CCC}"/>
    <cellStyle name="20% - Énfasis1 12 2 2" xfId="8118" xr:uid="{330EAF81-81F0-4E7A-B52F-01758C9AC4DC}"/>
    <cellStyle name="20% - Énfasis1 12 2 2 2" xfId="22495" xr:uid="{4C7398BC-9700-418F-99D6-51B2B8BFFE26}"/>
    <cellStyle name="20% - Énfasis1 12 2 2 3" xfId="28351" xr:uid="{EEB6CC3B-3C57-4A46-ACD7-F51FF88E302C}"/>
    <cellStyle name="20% - Énfasis1 12 2 2 4" xfId="34233" xr:uid="{0D6CA9F1-F39D-4EE7-8FC0-0C8F72E91B76}"/>
    <cellStyle name="20% - Énfasis1 12 2 2 5" xfId="40097" xr:uid="{8999B1B7-1B25-4B05-AF86-464407B7B557}"/>
    <cellStyle name="20% - Énfasis1 12 2 3" xfId="19721" xr:uid="{C932C053-BB46-4FF3-910D-FA253CF142D8}"/>
    <cellStyle name="20% - Énfasis1 12 2 4" xfId="25502" xr:uid="{7CE22C23-2AF9-4F89-8BA5-3823C02A85AC}"/>
    <cellStyle name="20% - Énfasis1 12 2 5" xfId="31376" xr:uid="{AC2629EB-516A-4BE0-B4C4-E67DEC3ED1F5}"/>
    <cellStyle name="20% - Énfasis1 12 2 6" xfId="37248" xr:uid="{A9B18037-12D0-4B86-A8C5-810A396EC21B}"/>
    <cellStyle name="20% - Énfasis1 12 3" xfId="7146" xr:uid="{8B069248-2650-4AEB-8C5C-111C3CC19E98}"/>
    <cellStyle name="20% - Énfasis1 12 3 2" xfId="21557" xr:uid="{06FEEB90-187C-469F-8B8C-79D2439E0DFF}"/>
    <cellStyle name="20% - Énfasis1 12 3 3" xfId="27380" xr:uid="{0EE2DBC7-4859-4607-9B8A-09D8C25DB97A}"/>
    <cellStyle name="20% - Énfasis1 12 3 4" xfId="33262" xr:uid="{A994C3BB-BE3A-4ED6-B8AA-8277C36A6BC6}"/>
    <cellStyle name="20% - Énfasis1 12 3 5" xfId="39126" xr:uid="{CE6424D1-283A-4C10-AC9A-5C93FC3A3F4D}"/>
    <cellStyle name="20% - Énfasis1 12 4" xfId="18793" xr:uid="{8E9BAC26-D7F6-41D8-AF4F-C80D498FA0A9}"/>
    <cellStyle name="20% - Énfasis1 12 5" xfId="24531" xr:uid="{AC91DA5C-0586-4B4E-A07F-46F23E4A7AF5}"/>
    <cellStyle name="20% - Énfasis1 12 6" xfId="30410" xr:uid="{BE1E34EC-10BD-4FAE-AEC5-00C11A72BBBE}"/>
    <cellStyle name="20% - Énfasis1 12 7" xfId="36291" xr:uid="{41117E4E-01D3-4723-8488-5C7BA41DACED}"/>
    <cellStyle name="20% - Énfasis1 13" xfId="4770" xr:uid="{6EDA5775-3761-4502-BA52-18162474B284}"/>
    <cellStyle name="20% - Énfasis1 13 2" xfId="7633" xr:uid="{C2D964E6-600A-43B0-A7EA-6EEFBCF572A4}"/>
    <cellStyle name="20% - Énfasis1 13 2 2" xfId="22026" xr:uid="{FD6F05D3-8665-4025-A93F-B055E3BADA95}"/>
    <cellStyle name="20% - Énfasis1 13 2 3" xfId="27867" xr:uid="{28AAEB4B-2894-44E8-A5D1-B933F5862EB5}"/>
    <cellStyle name="20% - Énfasis1 13 2 4" xfId="33749" xr:uid="{934A36C5-315C-4178-8DC7-09A20D3C099A}"/>
    <cellStyle name="20% - Énfasis1 13 2 5" xfId="39613" xr:uid="{7EBACB0E-1D21-4A31-AC29-303F7B5B0BDF}"/>
    <cellStyle name="20% - Énfasis1 13 3" xfId="19252" xr:uid="{20262398-2BE2-480B-9C1F-6EFA7A80E8CB}"/>
    <cellStyle name="20% - Énfasis1 13 4" xfId="25018" xr:uid="{C83FFABD-8480-4E99-B7AC-2C22576E4ED7}"/>
    <cellStyle name="20% - Énfasis1 13 5" xfId="30892" xr:uid="{4D336761-4C6A-4618-8485-51C9B88B876D}"/>
    <cellStyle name="20% - Énfasis1 13 6" xfId="36772" xr:uid="{34A152D9-C3DA-44B6-BC8E-0C8EF2B699C6}"/>
    <cellStyle name="20% - Énfasis1 14" xfId="5736" xr:uid="{4651F617-2CBF-4C5E-A852-A5E891B18C82}"/>
    <cellStyle name="20% - Énfasis1 14 2" xfId="8605" xr:uid="{6C63A6EF-842E-4AE1-9281-C388A79E9496}"/>
    <cellStyle name="20% - Énfasis1 14 2 2" xfId="22976" xr:uid="{C7064679-7ECD-4040-A233-E36EE2A4FBB0}"/>
    <cellStyle name="20% - Énfasis1 14 2 3" xfId="28838" xr:uid="{9E95DCA7-2BBA-470B-AE02-781DF9B0668A}"/>
    <cellStyle name="20% - Énfasis1 14 2 4" xfId="34720" xr:uid="{B7508AAE-3491-4838-9E8D-BA66176A5755}"/>
    <cellStyle name="20% - Énfasis1 14 2 5" xfId="40584" xr:uid="{15DE84A4-B6E0-4847-BAEC-D763EA0AD7F5}"/>
    <cellStyle name="20% - Énfasis1 14 3" xfId="20194" xr:uid="{EBD3C5F0-C2E9-4A2D-A489-8EA843C5E73C}"/>
    <cellStyle name="20% - Énfasis1 14 4" xfId="25988" xr:uid="{2FB1765B-8F11-459B-8FA6-91C5A2771787}"/>
    <cellStyle name="20% - Énfasis1 14 5" xfId="31863" xr:uid="{48E3F8F2-8F1A-4CDE-AB87-B74B42E0F123}"/>
    <cellStyle name="20% - Énfasis1 14 6" xfId="37729" xr:uid="{8957E431-4835-4EE4-9EE6-505C3C3362A3}"/>
    <cellStyle name="20% - Énfasis1 15" xfId="5756" xr:uid="{2539569C-D505-4775-8F96-0E9F2EB24E31}"/>
    <cellStyle name="20% - Énfasis1 15 2" xfId="8625" xr:uid="{1D8B564F-C489-4BEB-BE7B-EABAD306B986}"/>
    <cellStyle name="20% - Énfasis1 15 2 2" xfId="22996" xr:uid="{E011E87D-D8BF-4042-85C3-42D2C60DC761}"/>
    <cellStyle name="20% - Énfasis1 15 2 3" xfId="28858" xr:uid="{ADEC4C68-A1D2-4597-903F-20C7006EDC8D}"/>
    <cellStyle name="20% - Énfasis1 15 2 4" xfId="34740" xr:uid="{522B4541-EB42-4C6F-8DC3-C45A9D69275C}"/>
    <cellStyle name="20% - Énfasis1 15 2 5" xfId="40604" xr:uid="{0D77E4C1-0A4D-4537-A83F-C2299FAAF7BC}"/>
    <cellStyle name="20% - Énfasis1 15 3" xfId="20213" xr:uid="{4A8E53ED-FFF5-4707-8298-73273FAF872B}"/>
    <cellStyle name="20% - Énfasis1 15 4" xfId="26008" xr:uid="{BB0A5591-0A28-4855-9AF4-A4DF9533B9AD}"/>
    <cellStyle name="20% - Énfasis1 15 5" xfId="31883" xr:uid="{9A85D04F-EE72-4C0D-8E62-0737144FA503}"/>
    <cellStyle name="20% - Énfasis1 15 6" xfId="37749" xr:uid="{0DB71E3C-C8C3-4ED9-BE69-C7A5E8C95441}"/>
    <cellStyle name="20% - Énfasis1 16" xfId="5776" xr:uid="{0A949BEE-2B23-4738-923E-6E3DAAB0DA27}"/>
    <cellStyle name="20% - Énfasis1 16 2" xfId="8645" xr:uid="{449CA116-73D7-49A3-95BA-83496FADDA9D}"/>
    <cellStyle name="20% - Énfasis1 16 2 2" xfId="23016" xr:uid="{727BED88-6EF4-48C5-A354-562FC33FA059}"/>
    <cellStyle name="20% - Énfasis1 16 2 3" xfId="28878" xr:uid="{0375DA95-9B72-4961-900E-3BE9C687760F}"/>
    <cellStyle name="20% - Énfasis1 16 2 4" xfId="34760" xr:uid="{083841E9-70EE-4379-86CA-668002C96414}"/>
    <cellStyle name="20% - Énfasis1 16 2 5" xfId="40624" xr:uid="{5103F891-D900-4569-A4F7-2135772204CD}"/>
    <cellStyle name="20% - Énfasis1 16 3" xfId="20231" xr:uid="{03BFE55B-FF82-4D7E-94C5-6D8FA615824C}"/>
    <cellStyle name="20% - Énfasis1 16 4" xfId="26028" xr:uid="{1CF1C7DB-32F8-4245-A1AF-A3294FCEAD5C}"/>
    <cellStyle name="20% - Énfasis1 16 5" xfId="31903" xr:uid="{85FFEF0D-44B5-44F2-8237-257CE605A86A}"/>
    <cellStyle name="20% - Énfasis1 16 6" xfId="37769" xr:uid="{2230EF49-3BA4-41E7-AAB6-790594CB9141}"/>
    <cellStyle name="20% - Énfasis1 17" xfId="5975" xr:uid="{15FF06B0-59D4-4F26-98A4-864C86C4243B}"/>
    <cellStyle name="20% - Énfasis1 17 2" xfId="8844" xr:uid="{982A7B8A-0EC0-4BB8-8F85-6541792B1900}"/>
    <cellStyle name="20% - Énfasis1 17 2 2" xfId="23208" xr:uid="{3EFD263C-2D59-4050-9249-7C6FF9C95ABA}"/>
    <cellStyle name="20% - Énfasis1 17 2 3" xfId="29075" xr:uid="{5D0AD697-262A-4447-BC91-69916EE1DCCA}"/>
    <cellStyle name="20% - Énfasis1 17 2 4" xfId="34957" xr:uid="{0159AB2E-C1B1-44AB-A005-E5A1C1F50FC1}"/>
    <cellStyle name="20% - Énfasis1 17 2 5" xfId="40821" xr:uid="{3BAE7AFA-B61A-4539-9933-80E454451164}"/>
    <cellStyle name="20% - Énfasis1 17 3" xfId="20423" xr:uid="{5C5B8D32-0428-4035-A5F4-2E2D5943F410}"/>
    <cellStyle name="20% - Énfasis1 17 4" xfId="26225" xr:uid="{CC3AE0EE-8D31-4650-99E5-EC0770E2DCBB}"/>
    <cellStyle name="20% - Énfasis1 17 5" xfId="32100" xr:uid="{4D8975DC-E4A2-4600-AEFF-F56197FB227F}"/>
    <cellStyle name="20% - Énfasis1 17 6" xfId="37965" xr:uid="{AFF963F1-D0BF-4E73-840A-B93983F8D08A}"/>
    <cellStyle name="20% - Énfasis1 18" xfId="5995" xr:uid="{2E60E27D-C085-4ECE-AD3E-6A8E392F21EF}"/>
    <cellStyle name="20% - Énfasis1 18 2" xfId="8864" xr:uid="{775D96A8-A70D-4A52-BC9A-3B74E0AE86E6}"/>
    <cellStyle name="20% - Énfasis1 18 2 2" xfId="23228" xr:uid="{DD40E34E-5CB9-48BA-96C6-88256C56DD5F}"/>
    <cellStyle name="20% - Énfasis1 18 2 3" xfId="29095" xr:uid="{C83740DB-10FB-4FBF-A8D2-B1483F397E75}"/>
    <cellStyle name="20% - Énfasis1 18 2 4" xfId="34977" xr:uid="{C2537B63-2626-4C17-8FF7-A7B26C35A975}"/>
    <cellStyle name="20% - Énfasis1 18 2 5" xfId="40841" xr:uid="{497584C0-2D08-44E4-AC6E-C106CD0B52B0}"/>
    <cellStyle name="20% - Énfasis1 18 3" xfId="20443" xr:uid="{BA79DA96-ED68-4E90-A403-9BDBC03955CB}"/>
    <cellStyle name="20% - Énfasis1 18 4" xfId="26245" xr:uid="{47824A7E-64A7-4BD1-9CD9-A6D5B530D55A}"/>
    <cellStyle name="20% - Énfasis1 18 5" xfId="32120" xr:uid="{3C42794D-01BD-41DE-AA0A-59E6C21F565A}"/>
    <cellStyle name="20% - Énfasis1 18 6" xfId="37985" xr:uid="{B98A90E5-B273-4E3A-BA66-CFA7229FA102}"/>
    <cellStyle name="20% - Énfasis1 19" xfId="6015" xr:uid="{9641F3FD-1B72-452B-B876-A95F4DF8124C}"/>
    <cellStyle name="20% - Énfasis1 19 2" xfId="8884" xr:uid="{5BCDC46A-8BA7-4095-B97D-48A706A5B2E6}"/>
    <cellStyle name="20% - Énfasis1 19 2 2" xfId="23248" xr:uid="{499FEEA5-8D5F-4B5A-81A9-05B0DA49497E}"/>
    <cellStyle name="20% - Énfasis1 19 2 3" xfId="29115" xr:uid="{5181EF23-C913-49C6-9A8C-94FCF52C0688}"/>
    <cellStyle name="20% - Énfasis1 19 2 4" xfId="34997" xr:uid="{1425CB61-2408-44B1-9ABB-5D5BACA6F545}"/>
    <cellStyle name="20% - Énfasis1 19 2 5" xfId="40861" xr:uid="{6B1D086F-DDE9-4678-BC05-1CC152DD7297}"/>
    <cellStyle name="20% - Énfasis1 19 3" xfId="20463" xr:uid="{D863C44C-EAF2-4EF0-A6B1-2691F5B9E42A}"/>
    <cellStyle name="20% - Énfasis1 19 4" xfId="26265" xr:uid="{476A1B47-A508-429E-B494-8D215B6D3ABB}"/>
    <cellStyle name="20% - Énfasis1 19 5" xfId="32140" xr:uid="{49FCC3EA-86EC-4483-B0DC-11F7915ED935}"/>
    <cellStyle name="20% - Énfasis1 19 6" xfId="38005" xr:uid="{F8B2FDEB-AD69-4C1C-9AD3-8539078E3559}"/>
    <cellStyle name="20% - Énfasis1 2" xfId="3840" xr:uid="{CA6C848F-AB1A-461D-A8C9-B17DBC1231BE}"/>
    <cellStyle name="20% - Énfasis1 2 10" xfId="35820" xr:uid="{49BD1AF2-7509-4DD4-9B29-442E107961CF}"/>
    <cellStyle name="20% - Énfasis1 2 2" xfId="4035" xr:uid="{D29F0623-AB2A-4F0E-A0A3-6E8CDCAF02F2}"/>
    <cellStyle name="20% - Énfasis1 2 2 2" xfId="4509" xr:uid="{A5CCF88D-2C10-439A-A5A3-4D4055882432}"/>
    <cellStyle name="20% - Énfasis1 2 2 2 2" xfId="5477" xr:uid="{51438940-A2E0-4E41-8B0D-4039A450E3DE}"/>
    <cellStyle name="20% - Énfasis1 2 2 2 2 2" xfId="8344" xr:uid="{C62BB877-9E47-4008-B196-B34A26B1C2EC}"/>
    <cellStyle name="20% - Énfasis1 2 2 2 2 2 2" xfId="22719" xr:uid="{DD948A01-0C69-438B-9FCC-3F814A7DE6CD}"/>
    <cellStyle name="20% - Énfasis1 2 2 2 2 2 3" xfId="28577" xr:uid="{909D5672-10E2-4118-9C28-99D6B74A231A}"/>
    <cellStyle name="20% - Énfasis1 2 2 2 2 2 4" xfId="34459" xr:uid="{E5C5ABE1-177C-4F23-8760-57AB75D8F006}"/>
    <cellStyle name="20% - Énfasis1 2 2 2 2 2 5" xfId="40323" xr:uid="{DA67B7C8-1D19-4657-A7DE-81D3C4FA3787}"/>
    <cellStyle name="20% - Énfasis1 2 2 2 2 3" xfId="19938" xr:uid="{22BB58F5-91A7-481D-B354-515658A42140}"/>
    <cellStyle name="20% - Énfasis1 2 2 2 2 4" xfId="25728" xr:uid="{859C5DBE-7BD8-42D1-8A62-793094D56213}"/>
    <cellStyle name="20% - Énfasis1 2 2 2 2 5" xfId="31602" xr:uid="{F89F8E8A-A293-4FF9-9DA8-FD2C50E6469C}"/>
    <cellStyle name="20% - Énfasis1 2 2 2 2 6" xfId="37472" xr:uid="{234D3341-CEAD-47F7-8ACF-F3FA9976A5BF}"/>
    <cellStyle name="20% - Énfasis1 2 2 2 3" xfId="7372" xr:uid="{966EA5F0-6F3E-43F4-AC0C-06611872B99F}"/>
    <cellStyle name="20% - Énfasis1 2 2 2 3 2" xfId="21774" xr:uid="{144EB089-EEF3-4539-B440-05C8E88E46E9}"/>
    <cellStyle name="20% - Énfasis1 2 2 2 3 3" xfId="27606" xr:uid="{96769678-92CA-4D73-B6B8-3BA465EBB236}"/>
    <cellStyle name="20% - Énfasis1 2 2 2 3 4" xfId="33488" xr:uid="{0FB6854B-88C2-47D8-B6EB-ACFBC24262A7}"/>
    <cellStyle name="20% - Énfasis1 2 2 2 3 5" xfId="39352" xr:uid="{961E62E3-E411-4D20-A096-D96CC0F32E94}"/>
    <cellStyle name="20% - Énfasis1 2 2 2 4" xfId="19008" xr:uid="{89807500-F991-4AF8-BB0E-1B3A384C8F3E}"/>
    <cellStyle name="20% - Énfasis1 2 2 2 5" xfId="24757" xr:uid="{12311645-3A94-456C-BC2E-2203724B24F3}"/>
    <cellStyle name="20% - Énfasis1 2 2 2 6" xfId="30634" xr:uid="{9CB2DD7F-5AC0-47AB-8235-1651C78B5755}"/>
    <cellStyle name="20% - Énfasis1 2 2 2 7" xfId="36515" xr:uid="{16B35B7D-6843-4E4B-A8C6-84CDAE058BDE}"/>
    <cellStyle name="20% - Énfasis1 2 2 3" xfId="4992" xr:uid="{6874B5E7-F3F7-4926-B1CA-0BECB5D40C41}"/>
    <cellStyle name="20% - Énfasis1 2 2 3 2" xfId="7859" xr:uid="{166E21F8-8E4D-4788-8735-765FC69507A7}"/>
    <cellStyle name="20% - Énfasis1 2 2 3 2 2" xfId="22244" xr:uid="{40D7B0EF-65BB-4415-85CB-1FAB4886B23A}"/>
    <cellStyle name="20% - Énfasis1 2 2 3 2 3" xfId="28092" xr:uid="{141A2DE5-A4AC-40BF-A93A-AF83DDE5ADE3}"/>
    <cellStyle name="20% - Énfasis1 2 2 3 2 4" xfId="33974" xr:uid="{7B0A6276-2A9D-4466-9C27-E29D8892212D}"/>
    <cellStyle name="20% - Énfasis1 2 2 3 2 5" xfId="39838" xr:uid="{18ED3A2D-9ACF-4946-B2EB-60DF2C7191A9}"/>
    <cellStyle name="20% - Énfasis1 2 2 3 3" xfId="19471" xr:uid="{165D4EDB-BD09-4C7C-B671-C5B3C8011B98}"/>
    <cellStyle name="20% - Énfasis1 2 2 3 4" xfId="25243" xr:uid="{231F9903-3371-47E6-8BDA-0077478179D1}"/>
    <cellStyle name="20% - Énfasis1 2 2 3 5" xfId="31117" xr:uid="{9BA17890-E595-4AF9-8298-7BBA7E44DC09}"/>
    <cellStyle name="20% - Énfasis1 2 2 3 6" xfId="36995" xr:uid="{430F9F4B-CD50-45E5-B56B-A02C619E2289}"/>
    <cellStyle name="20% - Énfasis1 2 2 4" xfId="6887" xr:uid="{1B45C81C-BA09-43E6-B621-62E615FAFC79}"/>
    <cellStyle name="20% - Énfasis1 2 2 4 2" xfId="21308" xr:uid="{3E29AFF0-B674-4614-8830-A8D0F9DEC76B}"/>
    <cellStyle name="20% - Énfasis1 2 2 4 3" xfId="27125" xr:uid="{FBA8A364-5C83-4F4D-8702-3D044A4AA622}"/>
    <cellStyle name="20% - Énfasis1 2 2 4 4" xfId="33003" xr:uid="{58B34165-0028-48D6-9F94-D807EE7B2863}"/>
    <cellStyle name="20% - Énfasis1 2 2 4 5" xfId="38867" xr:uid="{1DDA1B98-4343-4578-918F-4B2EDBCA6BF9}"/>
    <cellStyle name="20% - Énfasis1 2 2 5" xfId="18562" xr:uid="{4D5E5E8D-50B3-444A-9AA9-202F1A1838B0}"/>
    <cellStyle name="20% - Énfasis1 2 2 6" xfId="24274" xr:uid="{FB2E166F-CC0E-43CD-9A76-FB2F0C8638B3}"/>
    <cellStyle name="20% - Énfasis1 2 2 7" xfId="30152" xr:uid="{0746ACC7-B8A4-46A0-B0CF-EB07CD2B8DFF}"/>
    <cellStyle name="20% - Énfasis1 2 2 8" xfId="36031" xr:uid="{B2B63B07-C990-4ABD-BA5E-2D84EBB76D2B}"/>
    <cellStyle name="20% - Énfasis1 2 3" xfId="4315" xr:uid="{C2E01EDD-CDAC-4868-8B11-9780DF75DBD7}"/>
    <cellStyle name="20% - Énfasis1 2 3 2" xfId="5281" xr:uid="{16FFF8CB-1A2F-40F1-9F7A-583C0787A26A}"/>
    <cellStyle name="20% - Énfasis1 2 3 2 2" xfId="8148" xr:uid="{9DB3E7D7-51FC-477D-928C-2363A601F390}"/>
    <cellStyle name="20% - Énfasis1 2 3 2 2 2" xfId="22524" xr:uid="{0CFD0FED-82E0-4188-A48E-B30DA8118BDC}"/>
    <cellStyle name="20% - Énfasis1 2 3 2 2 3" xfId="28381" xr:uid="{6D5BD627-2743-4EFC-AC5C-A5D8BF753812}"/>
    <cellStyle name="20% - Énfasis1 2 3 2 2 4" xfId="34263" xr:uid="{7A41B742-C30C-4E87-BFF6-3A1C0F333C17}"/>
    <cellStyle name="20% - Énfasis1 2 3 2 2 5" xfId="40127" xr:uid="{2DA57309-2FCE-4A0A-8388-62A51C5347AB}"/>
    <cellStyle name="20% - Énfasis1 2 3 2 3" xfId="19749" xr:uid="{6D370AB5-3308-4318-95D6-CC80140E1DBA}"/>
    <cellStyle name="20% - Énfasis1 2 3 2 4" xfId="25532" xr:uid="{9F9B9A92-307C-4AC5-A97A-C49BFDC7999D}"/>
    <cellStyle name="20% - Énfasis1 2 3 2 5" xfId="31406" xr:uid="{A76AF381-C414-4040-89BF-E4637F1D3EAD}"/>
    <cellStyle name="20% - Énfasis1 2 3 2 6" xfId="37277" xr:uid="{1F5C00E7-B95F-416F-A4AC-0DF685A8A68E}"/>
    <cellStyle name="20% - Énfasis1 2 3 3" xfId="7176" xr:uid="{6CD1BA37-C2AA-4E6C-BE44-05E8B7E93441}"/>
    <cellStyle name="20% - Énfasis1 2 3 3 2" xfId="21583" xr:uid="{3DB5DD7F-BC4C-4627-A4F4-C6ECD3C20620}"/>
    <cellStyle name="20% - Énfasis1 2 3 3 3" xfId="27410" xr:uid="{19071B40-2321-4FAF-8824-41116BEE3EF7}"/>
    <cellStyle name="20% - Énfasis1 2 3 3 4" xfId="33292" xr:uid="{8B8D9405-63EF-4FAC-BCA7-34A5714609DA}"/>
    <cellStyle name="20% - Énfasis1 2 3 3 5" xfId="39156" xr:uid="{BF16C869-1830-4B12-8D79-1776FD8B8355}"/>
    <cellStyle name="20% - Énfasis1 2 3 4" xfId="18820" xr:uid="{D2CFF817-1AE7-4D85-A47A-566B39104AA4}"/>
    <cellStyle name="20% - Énfasis1 2 3 5" xfId="24561" xr:uid="{AC8D68CB-1B22-4B5F-90EA-F1E66923705E}"/>
    <cellStyle name="20% - Énfasis1 2 3 6" xfId="30440" xr:uid="{12BC3E4D-A83E-4BFE-86DB-F7F752BA105B}"/>
    <cellStyle name="20% - Énfasis1 2 3 7" xfId="36320" xr:uid="{F6B925F6-C348-4EB6-992A-60242DE86400}"/>
    <cellStyle name="20% - Énfasis1 2 4" xfId="4800" xr:uid="{E9A8CD7A-6DDD-4EDF-B32D-7EBC6401AFCF}"/>
    <cellStyle name="20% - Énfasis1 2 4 2" xfId="7663" xr:uid="{9466981B-E3DA-40FC-91F1-FA8C8E8795A2}"/>
    <cellStyle name="20% - Énfasis1 2 4 2 2" xfId="22054" xr:uid="{3A3CFBFC-772F-43E1-8A67-8C347100B634}"/>
    <cellStyle name="20% - Énfasis1 2 4 2 3" xfId="27896" xr:uid="{E56113C2-885F-4AF7-B55B-D50C538C81AA}"/>
    <cellStyle name="20% - Énfasis1 2 4 2 4" xfId="33778" xr:uid="{393A2305-37C0-4F71-B50F-54826E84733F}"/>
    <cellStyle name="20% - Énfasis1 2 4 2 5" xfId="39642" xr:uid="{87AA1A9C-43A5-4961-B6A4-2D12111A2C45}"/>
    <cellStyle name="20% - Énfasis1 2 4 3" xfId="19279" xr:uid="{DA935B68-35AA-4C0A-B70D-2A86B4F0BA43}"/>
    <cellStyle name="20% - Énfasis1 2 4 4" xfId="25047" xr:uid="{814E3027-3780-4A3E-873C-56EA30610C7C}"/>
    <cellStyle name="20% - Énfasis1 2 4 5" xfId="30921" xr:uid="{5C4165E5-1021-4B21-995B-9C90AC33B3A1}"/>
    <cellStyle name="20% - Énfasis1 2 4 6" xfId="36800" xr:uid="{DC12EA26-7B9E-451B-9FBD-075F7F1439D6}"/>
    <cellStyle name="20% - Énfasis1 2 5" xfId="5806" xr:uid="{BFEF765D-CA8C-4C54-A5B3-4F0DA7DAD61D}"/>
    <cellStyle name="20% - Énfasis1 2 5 2" xfId="8675" xr:uid="{0501FE34-3536-4BB9-9ECF-0EA40D5BA48C}"/>
    <cellStyle name="20% - Énfasis1 2 5 2 2" xfId="23043" xr:uid="{25AFC159-4E77-4421-A45F-20ECE8F5E080}"/>
    <cellStyle name="20% - Énfasis1 2 5 2 3" xfId="28907" xr:uid="{4BF8A200-F709-413B-8E8B-FC7FC8C8F08C}"/>
    <cellStyle name="20% - Énfasis1 2 5 2 4" xfId="34789" xr:uid="{670BE7D3-656A-4172-A929-6B68A5B84353}"/>
    <cellStyle name="20% - Énfasis1 2 5 2 5" xfId="40653" xr:uid="{D776F65C-D84E-4CFA-8BAE-74C0EF8EEDF2}"/>
    <cellStyle name="20% - Énfasis1 2 5 3" xfId="20258" xr:uid="{BC1371F6-B289-4A36-8722-E609FC516B48}"/>
    <cellStyle name="20% - Énfasis1 2 5 4" xfId="26057" xr:uid="{F8EE7591-D7EA-4619-9ADA-9E904ED5AC8C}"/>
    <cellStyle name="20% - Énfasis1 2 5 5" xfId="31932" xr:uid="{C1D1C3C9-08A4-4471-A1F8-E3A38320306F}"/>
    <cellStyle name="20% - Énfasis1 2 5 6" xfId="37798" xr:uid="{7CAD428B-8D7E-4720-A175-6ECCD5BAF290}"/>
    <cellStyle name="20% - Énfasis1 2 6" xfId="6692" xr:uid="{9E640CBA-B8EC-45B4-A263-40BA834D88AF}"/>
    <cellStyle name="20% - Énfasis1 2 6 2" xfId="21119" xr:uid="{49805529-150D-4158-933F-A7C56AE3FB0F}"/>
    <cellStyle name="20% - Énfasis1 2 6 3" xfId="26931" xr:uid="{03809C43-F68B-46CC-8F58-F1E60DFE7CFC}"/>
    <cellStyle name="20% - Énfasis1 2 6 4" xfId="32807" xr:uid="{F4447118-DAD2-4A3C-8430-125A06871ED6}"/>
    <cellStyle name="20% - Énfasis1 2 6 5" xfId="38671" xr:uid="{096E905C-ECE3-46EA-8CC4-01893801C669}"/>
    <cellStyle name="20% - Énfasis1 2 7" xfId="18353" xr:uid="{50E63AA9-77E7-4830-8FE2-8E26BF0A99EE}"/>
    <cellStyle name="20% - Énfasis1 2 8" xfId="24061" xr:uid="{4BC792E5-5A21-46FD-BD61-C275E443E2DD}"/>
    <cellStyle name="20% - Énfasis1 2 9" xfId="29939" xr:uid="{9FC24731-1BB7-4F82-83BA-223833E27BB8}"/>
    <cellStyle name="20% - Énfasis1 20" xfId="6035" xr:uid="{FD7116FA-89F5-4504-966A-3DC208E360D6}"/>
    <cellStyle name="20% - Énfasis1 20 2" xfId="8904" xr:uid="{94F7C1F8-0531-4C2A-965C-637259FDC9E7}"/>
    <cellStyle name="20% - Énfasis1 20 2 2" xfId="23268" xr:uid="{88F5769C-8773-4638-8641-5C740909624F}"/>
    <cellStyle name="20% - Énfasis1 20 2 3" xfId="29135" xr:uid="{E20916E4-5E17-41CF-83F5-C689FBAF4170}"/>
    <cellStyle name="20% - Énfasis1 20 2 4" xfId="35017" xr:uid="{999453BD-7794-4CC5-A3D5-AD3E175AC257}"/>
    <cellStyle name="20% - Énfasis1 20 2 5" xfId="40881" xr:uid="{F66F7F09-DFA3-4728-B071-C81CE25C4820}"/>
    <cellStyle name="20% - Énfasis1 20 3" xfId="20483" xr:uid="{2F5C1C7D-3D99-473C-9E6B-C18A4594CA27}"/>
    <cellStyle name="20% - Énfasis1 20 4" xfId="26285" xr:uid="{CF4AAAA1-271D-4CB9-89DE-6DF26E38054A}"/>
    <cellStyle name="20% - Énfasis1 20 5" xfId="32160" xr:uid="{46E265FA-14B0-4008-BDCA-CBC73E7B9D05}"/>
    <cellStyle name="20% - Énfasis1 20 6" xfId="38025" xr:uid="{73C17F7A-8A3E-451C-B10D-BC5F8B9F2C7C}"/>
    <cellStyle name="20% - Énfasis1 21" xfId="6055" xr:uid="{DBE6C497-73AF-4A4E-85C7-CCD04781372E}"/>
    <cellStyle name="20% - Énfasis1 21 2" xfId="8924" xr:uid="{C17ADF44-CC11-4A93-8F2E-0C65A5D0B9CE}"/>
    <cellStyle name="20% - Énfasis1 21 2 2" xfId="23288" xr:uid="{D331B4A2-7488-444B-9ADE-7D338E6555B9}"/>
    <cellStyle name="20% - Énfasis1 21 2 3" xfId="29155" xr:uid="{6C3115A3-181F-4B8F-806A-5DD511089B99}"/>
    <cellStyle name="20% - Énfasis1 21 2 4" xfId="35037" xr:uid="{7FD386CB-10E7-4EBC-9DF9-CD6C030F58A8}"/>
    <cellStyle name="20% - Énfasis1 21 2 5" xfId="40901" xr:uid="{D66C8110-692B-4AD9-977C-50CD82B1C651}"/>
    <cellStyle name="20% - Énfasis1 21 3" xfId="20503" xr:uid="{D27B7804-9F0D-4481-A7F1-710F132A7BCA}"/>
    <cellStyle name="20% - Énfasis1 21 4" xfId="26305" xr:uid="{BED65496-7281-47DC-A9E3-AEA4A9C05899}"/>
    <cellStyle name="20% - Énfasis1 21 5" xfId="32180" xr:uid="{8F255B96-772B-4E5C-A522-6D6B513E8654}"/>
    <cellStyle name="20% - Énfasis1 21 6" xfId="38045" xr:uid="{A6D4B717-17F5-4853-BB56-623FC1B91ABC}"/>
    <cellStyle name="20% - Énfasis1 22" xfId="6075" xr:uid="{F146614F-2F5C-407F-A418-8DB42919E11C}"/>
    <cellStyle name="20% - Énfasis1 22 2" xfId="8944" xr:uid="{91D4503C-82E3-4879-A88B-C93AEA691831}"/>
    <cellStyle name="20% - Énfasis1 22 2 2" xfId="23308" xr:uid="{8E002322-ACE6-4726-8433-CDF123840B81}"/>
    <cellStyle name="20% - Énfasis1 22 2 3" xfId="29175" xr:uid="{6DCC1B43-72DE-4BC1-BD19-B9198323DA31}"/>
    <cellStyle name="20% - Énfasis1 22 2 4" xfId="35057" xr:uid="{1DD5DC76-E6C9-4D6E-820F-30BB77F4CDCB}"/>
    <cellStyle name="20% - Énfasis1 22 2 5" xfId="40921" xr:uid="{A246FB29-4E97-4ED3-8F3A-42F6717B3102}"/>
    <cellStyle name="20% - Énfasis1 22 3" xfId="20523" xr:uid="{EB63D409-785D-41B8-A210-211C8427BCF7}"/>
    <cellStyle name="20% - Énfasis1 22 4" xfId="26325" xr:uid="{FBB9CDF5-6D74-483B-BCC5-7F928E26D8A0}"/>
    <cellStyle name="20% - Énfasis1 22 5" xfId="32200" xr:uid="{90A8368E-DAB6-4A55-A5E9-3699D0C00D23}"/>
    <cellStyle name="20% - Énfasis1 22 6" xfId="38065" xr:uid="{2CCC2F58-9EDB-48A4-85F6-43E0B0521703}"/>
    <cellStyle name="20% - Énfasis1 23" xfId="6095" xr:uid="{6CD6601B-5952-49F8-879B-073CAF3827CA}"/>
    <cellStyle name="20% - Énfasis1 23 2" xfId="8964" xr:uid="{BE8771E3-A7A3-487F-9F26-2300157D045B}"/>
    <cellStyle name="20% - Énfasis1 23 2 2" xfId="23328" xr:uid="{C9CCF56C-EE5A-4C1C-B6C4-220C3DB11986}"/>
    <cellStyle name="20% - Énfasis1 23 2 3" xfId="29195" xr:uid="{17EC9EB9-7A84-49E6-85AA-C7E8184153E5}"/>
    <cellStyle name="20% - Énfasis1 23 2 4" xfId="35077" xr:uid="{99D7CB41-04E6-4824-8951-DEE54FA25A41}"/>
    <cellStyle name="20% - Énfasis1 23 2 5" xfId="40941" xr:uid="{810E47C4-4285-4697-BF26-3C834938A69B}"/>
    <cellStyle name="20% - Énfasis1 23 3" xfId="20543" xr:uid="{F6B6FA42-B5EF-4556-8989-5853B5428C7D}"/>
    <cellStyle name="20% - Énfasis1 23 4" xfId="26345" xr:uid="{910D1153-8EB5-4E77-9AEA-C27D61C2310E}"/>
    <cellStyle name="20% - Énfasis1 23 5" xfId="32220" xr:uid="{B7774C93-D438-4F90-B7D1-4862E00CB019}"/>
    <cellStyle name="20% - Énfasis1 23 6" xfId="38085" xr:uid="{C22513C2-144D-4848-A586-9775C9DA355E}"/>
    <cellStyle name="20% - Énfasis1 24" xfId="6115" xr:uid="{A402E25A-9B13-4DA2-8B47-C4BAC623E6A6}"/>
    <cellStyle name="20% - Énfasis1 24 2" xfId="8984" xr:uid="{1E3633E4-3075-4156-A2E8-A6F78812E82D}"/>
    <cellStyle name="20% - Énfasis1 24 2 2" xfId="23348" xr:uid="{945D378B-B40A-4CBF-B645-75B962DD7108}"/>
    <cellStyle name="20% - Énfasis1 24 2 3" xfId="29215" xr:uid="{9FD1D5CD-200E-4E63-801A-866F9ACF40B6}"/>
    <cellStyle name="20% - Énfasis1 24 2 4" xfId="35097" xr:uid="{DEBF7CA7-4F89-4E60-9514-A84A16C4CF3A}"/>
    <cellStyle name="20% - Énfasis1 24 2 5" xfId="40961" xr:uid="{EA5AD0EE-7FEA-4AEF-BC95-6C12331DC6EC}"/>
    <cellStyle name="20% - Énfasis1 24 3" xfId="20563" xr:uid="{2A7E4A0F-635A-4384-BBAD-265A9F1EFFA5}"/>
    <cellStyle name="20% - Énfasis1 24 4" xfId="26365" xr:uid="{7606474D-80CE-4E90-9752-908AB17157BE}"/>
    <cellStyle name="20% - Énfasis1 24 5" xfId="32240" xr:uid="{2CAF6F6A-3503-4D7A-834C-AF29DB6032DA}"/>
    <cellStyle name="20% - Énfasis1 24 6" xfId="38105" xr:uid="{27CA5B27-9430-499B-AC20-15AE70B28C90}"/>
    <cellStyle name="20% - Énfasis1 25" xfId="6135" xr:uid="{F966FB7F-E815-4C20-9DA5-D589BCAEA025}"/>
    <cellStyle name="20% - Énfasis1 25 2" xfId="9004" xr:uid="{9FF32257-FB43-401B-966F-F8D9A1EB288E}"/>
    <cellStyle name="20% - Énfasis1 25 2 2" xfId="23368" xr:uid="{0F852009-C41D-41AF-BAFE-213766FB29F2}"/>
    <cellStyle name="20% - Énfasis1 25 2 3" xfId="29235" xr:uid="{D09A4984-74E1-4234-90AB-B115581E2745}"/>
    <cellStyle name="20% - Énfasis1 25 2 4" xfId="35117" xr:uid="{BCE0497C-F1CD-4CF6-AB9C-55C897E4CB92}"/>
    <cellStyle name="20% - Énfasis1 25 2 5" xfId="40980" xr:uid="{B1D0B85F-DF89-4EE9-984D-B92D2A2C60E3}"/>
    <cellStyle name="20% - Énfasis1 25 3" xfId="20583" xr:uid="{24D4E69B-58D4-4956-BC81-C8D7A94B3938}"/>
    <cellStyle name="20% - Énfasis1 25 4" xfId="26385" xr:uid="{174C50AA-60AF-40F9-B545-F3536ED325A4}"/>
    <cellStyle name="20% - Énfasis1 25 5" xfId="32260" xr:uid="{5F544132-4DEE-492E-8A13-05446502631A}"/>
    <cellStyle name="20% - Énfasis1 25 6" xfId="38125" xr:uid="{8840DB06-B0EF-44C3-9B85-8CB38BB3DF62}"/>
    <cellStyle name="20% - Énfasis1 26" xfId="6155" xr:uid="{F0FA4F0B-3FCF-49F6-ABA8-FD9E21A66EA7}"/>
    <cellStyle name="20% - Énfasis1 26 2" xfId="9024" xr:uid="{003B8EC4-4CDD-461B-A91B-7387FEE279B7}"/>
    <cellStyle name="20% - Énfasis1 26 2 2" xfId="23388" xr:uid="{CF4F0AFF-CD08-4E28-906F-79EAEAEF17BF}"/>
    <cellStyle name="20% - Énfasis1 26 2 3" xfId="29255" xr:uid="{C677B94A-58F5-46AD-AA8B-878AD819E26E}"/>
    <cellStyle name="20% - Énfasis1 26 2 4" xfId="35137" xr:uid="{19A67256-7B1F-4A3A-8333-60DA90212E02}"/>
    <cellStyle name="20% - Énfasis1 26 2 5" xfId="40999" xr:uid="{A526B0C1-51CE-4912-9A49-D0060F885CA7}"/>
    <cellStyle name="20% - Énfasis1 26 3" xfId="20603" xr:uid="{7FC7CF82-781F-4D31-9492-903B25671094}"/>
    <cellStyle name="20% - Énfasis1 26 4" xfId="26405" xr:uid="{A449281C-EC99-4389-BFE9-1876E3F34CBA}"/>
    <cellStyle name="20% - Énfasis1 26 5" xfId="32280" xr:uid="{F8414B8C-6A14-4BED-AB15-FB2DE6DFC352}"/>
    <cellStyle name="20% - Énfasis1 26 6" xfId="38145" xr:uid="{BBCD4177-46D1-4862-8D1B-79A5FD19F534}"/>
    <cellStyle name="20% - Énfasis1 27" xfId="6175" xr:uid="{E6D9C09E-75FF-4CD1-A445-B07B02EF00D4}"/>
    <cellStyle name="20% - Énfasis1 27 2" xfId="9044" xr:uid="{94225E3F-8BD2-4EFD-9184-FB6312E4F5F9}"/>
    <cellStyle name="20% - Énfasis1 27 2 2" xfId="23408" xr:uid="{EC73050E-B23A-45BF-8BE3-0C7D7C5D5C4A}"/>
    <cellStyle name="20% - Énfasis1 27 2 3" xfId="29275" xr:uid="{37DC7243-0635-476F-BA1A-76279BEFE420}"/>
    <cellStyle name="20% - Énfasis1 27 2 4" xfId="35157" xr:uid="{90AA9A01-43F3-4F2E-A498-A5CC5B3508DD}"/>
    <cellStyle name="20% - Énfasis1 27 2 5" xfId="41019" xr:uid="{632EBF90-F329-4E48-85E1-2B9B700A50ED}"/>
    <cellStyle name="20% - Énfasis1 27 3" xfId="20623" xr:uid="{D549A088-83F9-4C85-A062-2CFE4B580663}"/>
    <cellStyle name="20% - Énfasis1 27 4" xfId="26425" xr:uid="{F74CCDB4-5033-4D67-90D2-ED28EA969C01}"/>
    <cellStyle name="20% - Énfasis1 27 5" xfId="32300" xr:uid="{C2AFCE28-8F70-4EB0-A89F-75C32E223A04}"/>
    <cellStyle name="20% - Énfasis1 27 6" xfId="38165" xr:uid="{C4908142-26E0-4325-A073-211A8EF37E81}"/>
    <cellStyle name="20% - Énfasis1 28" xfId="6197" xr:uid="{E417C601-CBD8-4C91-9BDD-24B36B521E1D}"/>
    <cellStyle name="20% - Énfasis1 28 2" xfId="9066" xr:uid="{A28F431A-2C54-407C-B052-5FBAE6E62566}"/>
    <cellStyle name="20% - Énfasis1 28 2 2" xfId="23430" xr:uid="{D6C9C854-E653-41E2-896C-AB88A8DC4948}"/>
    <cellStyle name="20% - Énfasis1 28 2 3" xfId="29297" xr:uid="{1F2C2921-A297-42DD-B798-9459EDE71AF8}"/>
    <cellStyle name="20% - Énfasis1 28 2 4" xfId="35179" xr:uid="{C23AC15E-026E-4DB7-BC9C-ECBA3E218684}"/>
    <cellStyle name="20% - Énfasis1 28 2 5" xfId="41040" xr:uid="{E3EE58F4-1EE9-4FC8-B2BF-961EA590E02F}"/>
    <cellStyle name="20% - Énfasis1 28 3" xfId="20645" xr:uid="{43D25175-A00C-4388-A362-DF303A62C0DE}"/>
    <cellStyle name="20% - Énfasis1 28 4" xfId="26447" xr:uid="{AA39B683-3869-4AE7-B958-5AC2028F9397}"/>
    <cellStyle name="20% - Énfasis1 28 5" xfId="32322" xr:uid="{C01BA69C-86A9-4361-9301-DD17E1A9E0E5}"/>
    <cellStyle name="20% - Énfasis1 28 6" xfId="38187" xr:uid="{35B1E3A0-8691-4A7A-8E4D-35CC4E0A6EF6}"/>
    <cellStyle name="20% - Énfasis1 29" xfId="6234" xr:uid="{BD5E3981-C369-4E42-9394-02159A21FF17}"/>
    <cellStyle name="20% - Énfasis1 29 2" xfId="9103" xr:uid="{61F58EBF-2E06-45AB-BCA0-20D336CC2EC6}"/>
    <cellStyle name="20% - Énfasis1 29 2 2" xfId="23467" xr:uid="{6272F1FF-290D-433B-92C0-D950F096406F}"/>
    <cellStyle name="20% - Énfasis1 29 2 3" xfId="29334" xr:uid="{14F01CCD-016B-4F8C-A75A-1C10A471F61F}"/>
    <cellStyle name="20% - Énfasis1 29 2 4" xfId="35216" xr:uid="{7C97A8AA-8EF8-42C8-9E42-3CD56856B334}"/>
    <cellStyle name="20% - Énfasis1 29 2 5" xfId="41076" xr:uid="{7E722E6E-8232-45F8-9A79-079496399046}"/>
    <cellStyle name="20% - Énfasis1 29 3" xfId="20675" xr:uid="{B9B71E0B-D050-47C8-8B34-DF91494B9010}"/>
    <cellStyle name="20% - Énfasis1 29 4" xfId="26484" xr:uid="{A28EE869-2B8B-4A94-BCFC-052078B614F2}"/>
    <cellStyle name="20% - Énfasis1 29 5" xfId="32359" xr:uid="{8664E1A1-0F8D-42DA-950F-FC13DB660F65}"/>
    <cellStyle name="20% - Énfasis1 29 6" xfId="38224" xr:uid="{0C8098BA-E9C8-4BBF-AB63-6676F00EF63B}"/>
    <cellStyle name="20% - Énfasis1 3" xfId="3857" xr:uid="{D4FA0A91-C790-4275-8C23-0D2D05DC9629}"/>
    <cellStyle name="20% - Énfasis1 3 10" xfId="35847" xr:uid="{5BC8ED94-72A9-4746-BF0B-A7ED42EB47C2}"/>
    <cellStyle name="20% - Énfasis1 3 2" xfId="4056" xr:uid="{FD302BEF-DC21-43DE-A094-15EB18C3A896}"/>
    <cellStyle name="20% - Énfasis1 3 2 2" xfId="4534" xr:uid="{B0F526FF-F2EA-45C3-9902-2BEB2E1F546B}"/>
    <cellStyle name="20% - Énfasis1 3 2 2 2" xfId="5502" xr:uid="{252CD5D6-C672-424C-9241-0E48B5CC1CEB}"/>
    <cellStyle name="20% - Énfasis1 3 2 2 2 2" xfId="8369" xr:uid="{2DF89D01-0F76-4FCA-8A2E-0B7B0018DEFE}"/>
    <cellStyle name="20% - Énfasis1 3 2 2 2 2 2" xfId="22744" xr:uid="{86AEDB57-F197-4964-A201-CA15D6D2CAC2}"/>
    <cellStyle name="20% - Énfasis1 3 2 2 2 2 3" xfId="28602" xr:uid="{220ECA08-E2C6-4897-8BC5-C95B7DD9E25D}"/>
    <cellStyle name="20% - Énfasis1 3 2 2 2 2 4" xfId="34484" xr:uid="{35682491-86DB-4D41-B0CA-5A259A918A0B}"/>
    <cellStyle name="20% - Énfasis1 3 2 2 2 2 5" xfId="40348" xr:uid="{9E50F7B4-5DBD-4AD6-91D8-9976C62C5B83}"/>
    <cellStyle name="20% - Énfasis1 3 2 2 2 3" xfId="19962" xr:uid="{B42A36AD-A81F-4D1E-A418-3934AFFB6569}"/>
    <cellStyle name="20% - Énfasis1 3 2 2 2 4" xfId="25753" xr:uid="{647907CC-F641-4F63-9244-EBC8BDB7B88C}"/>
    <cellStyle name="20% - Énfasis1 3 2 2 2 5" xfId="31627" xr:uid="{C37CE500-C5A4-4D87-AB1A-6FEEEBA0D083}"/>
    <cellStyle name="20% - Énfasis1 3 2 2 2 6" xfId="37497" xr:uid="{74EDBC8A-5308-4BDA-AA5D-31AF5AB717DC}"/>
    <cellStyle name="20% - Énfasis1 3 2 2 3" xfId="7397" xr:uid="{7AFC7CEE-3710-4A39-A74C-87D4F6C0AD32}"/>
    <cellStyle name="20% - Énfasis1 3 2 2 3 2" xfId="21799" xr:uid="{B7DFBF9D-AEB2-42BE-83E0-D1F05457FADB}"/>
    <cellStyle name="20% - Énfasis1 3 2 2 3 3" xfId="27631" xr:uid="{41090348-C352-4E7A-8FAD-7BAF9951261B}"/>
    <cellStyle name="20% - Énfasis1 3 2 2 3 4" xfId="33513" xr:uid="{BF182300-AD27-4117-B70F-C25B45E4E50D}"/>
    <cellStyle name="20% - Énfasis1 3 2 2 3 5" xfId="39377" xr:uid="{F8C27B39-811A-45F9-B41D-8FD139F41450}"/>
    <cellStyle name="20% - Énfasis1 3 2 2 4" xfId="19030" xr:uid="{A1C2AC2C-3A27-4E71-BEBE-ABBCEE3DD95D}"/>
    <cellStyle name="20% - Énfasis1 3 2 2 5" xfId="24782" xr:uid="{61CBB47B-5A5D-4028-B83C-D5A79C28B866}"/>
    <cellStyle name="20% - Énfasis1 3 2 2 6" xfId="30659" xr:uid="{E71A7E4B-0D5B-4E4D-8BAD-BF746D0EC042}"/>
    <cellStyle name="20% - Énfasis1 3 2 2 7" xfId="36540" xr:uid="{E8A015F5-C63B-4727-ADD9-35314C637EEE}"/>
    <cellStyle name="20% - Énfasis1 3 2 3" xfId="5017" xr:uid="{41B1396F-384E-4F7B-B3CB-18FF848392D6}"/>
    <cellStyle name="20% - Énfasis1 3 2 3 2" xfId="7884" xr:uid="{F36BBD5D-9C1B-4A48-A307-406B7DC97F54}"/>
    <cellStyle name="20% - Énfasis1 3 2 3 2 2" xfId="22269" xr:uid="{AEB7325B-C4D9-4623-B96A-F6E3C73ABAF4}"/>
    <cellStyle name="20% - Énfasis1 3 2 3 2 3" xfId="28117" xr:uid="{8D6E61C5-A528-44B6-9709-ECB7A7350AA8}"/>
    <cellStyle name="20% - Énfasis1 3 2 3 2 4" xfId="33999" xr:uid="{B5307B4B-228C-40E0-942C-FECFD341B9D2}"/>
    <cellStyle name="20% - Énfasis1 3 2 3 2 5" xfId="39863" xr:uid="{0709971E-FCB5-4DF1-A953-1B1C69325542}"/>
    <cellStyle name="20% - Énfasis1 3 2 3 3" xfId="19495" xr:uid="{1DC79E3B-1631-4C1D-BA5A-9F6861ACA656}"/>
    <cellStyle name="20% - Énfasis1 3 2 3 4" xfId="25268" xr:uid="{BF7CE004-51AB-45DE-A004-274E68834514}"/>
    <cellStyle name="20% - Énfasis1 3 2 3 5" xfId="31142" xr:uid="{C612A062-6109-44A9-8643-725D21336C31}"/>
    <cellStyle name="20% - Énfasis1 3 2 3 6" xfId="37020" xr:uid="{027AB8D2-12C6-4DAA-9F3C-6BCB952914AC}"/>
    <cellStyle name="20% - Énfasis1 3 2 4" xfId="6912" xr:uid="{B109A00F-D9D0-4BC2-B025-18D0C9C480AD}"/>
    <cellStyle name="20% - Énfasis1 3 2 4 2" xfId="21332" xr:uid="{1CDACCC9-03A1-43F8-8F18-E498AEF7AC7B}"/>
    <cellStyle name="20% - Énfasis1 3 2 4 3" xfId="27150" xr:uid="{9D1DC94B-D8B3-4EC8-8549-45EF9D49722E}"/>
    <cellStyle name="20% - Énfasis1 3 2 4 4" xfId="33028" xr:uid="{76AF117A-7B60-4DAA-B3A1-6E2C5D4A0750}"/>
    <cellStyle name="20% - Énfasis1 3 2 4 5" xfId="38892" xr:uid="{CE5670D9-885D-4971-850F-43BD83C2E46F}"/>
    <cellStyle name="20% - Énfasis1 3 2 5" xfId="18587" xr:uid="{7427238E-49F7-4D01-9AFE-33A8C5CF1313}"/>
    <cellStyle name="20% - Énfasis1 3 2 6" xfId="24299" xr:uid="{5DD5ADAA-D1FF-4562-BE01-C34DB8E3DB34}"/>
    <cellStyle name="20% - Énfasis1 3 2 7" xfId="30177" xr:uid="{AA0433EB-E3D1-47F7-8D8F-DAF372DACFB6}"/>
    <cellStyle name="20% - Énfasis1 3 2 8" xfId="36056" xr:uid="{FDFB9DE0-10B7-46F1-B05A-925EE56EA149}"/>
    <cellStyle name="20% - Énfasis1 3 3" xfId="4340" xr:uid="{71BD00C7-FDD6-4956-B612-809C6067A3B7}"/>
    <cellStyle name="20% - Énfasis1 3 3 2" xfId="5306" xr:uid="{226D4B3A-4F41-4F9E-8C19-2D04CCB22F62}"/>
    <cellStyle name="20% - Énfasis1 3 3 2 2" xfId="8173" xr:uid="{3FCD0DEA-B07F-43F8-8258-BBAFE3AB2256}"/>
    <cellStyle name="20% - Énfasis1 3 3 2 2 2" xfId="22549" xr:uid="{AA6E4F4A-0B21-4E6B-8D92-7FC006D82861}"/>
    <cellStyle name="20% - Énfasis1 3 3 2 2 3" xfId="28406" xr:uid="{6DA776EF-BEFF-43E0-A635-A379F312AA84}"/>
    <cellStyle name="20% - Énfasis1 3 3 2 2 4" xfId="34288" xr:uid="{52121EB3-2C8B-4797-ADC1-051F4377FCD3}"/>
    <cellStyle name="20% - Énfasis1 3 3 2 2 5" xfId="40152" xr:uid="{1EE891E8-A13A-4991-9F9A-8B5808C6B9FB}"/>
    <cellStyle name="20% - Énfasis1 3 3 2 3" xfId="19774" xr:uid="{56E43883-5A50-40A3-9313-9223750C825B}"/>
    <cellStyle name="20% - Énfasis1 3 3 2 4" xfId="25557" xr:uid="{D90C5344-54BD-43A3-B851-8F4AD674022E}"/>
    <cellStyle name="20% - Énfasis1 3 3 2 5" xfId="31431" xr:uid="{CAA0C081-4E72-46D4-8F11-647C6E1D7978}"/>
    <cellStyle name="20% - Énfasis1 3 3 2 6" xfId="37302" xr:uid="{A4E4AFF6-6A07-4D5E-B9C2-ED6A04F84EF1}"/>
    <cellStyle name="20% - Énfasis1 3 3 3" xfId="7201" xr:uid="{E2998E35-FC89-44F8-A880-613EF80A2B58}"/>
    <cellStyle name="20% - Énfasis1 3 3 3 2" xfId="21608" xr:uid="{904EB089-9471-438C-85A1-ECAFC57BB611}"/>
    <cellStyle name="20% - Énfasis1 3 3 3 3" xfId="27435" xr:uid="{E1E84EFE-2DED-48F6-86AA-D32910BC450B}"/>
    <cellStyle name="20% - Énfasis1 3 3 3 4" xfId="33317" xr:uid="{D76C1875-B388-4BED-B5F8-0C7B184D29CE}"/>
    <cellStyle name="20% - Énfasis1 3 3 3 5" xfId="39181" xr:uid="{615272AD-294A-4863-B4CA-EA590B50F1CA}"/>
    <cellStyle name="20% - Énfasis1 3 3 4" xfId="18845" xr:uid="{BCE9937F-66EE-4A8E-80FE-49D90D097B34}"/>
    <cellStyle name="20% - Énfasis1 3 3 5" xfId="24586" xr:uid="{351D07F6-8858-4599-BCE6-4660687E7130}"/>
    <cellStyle name="20% - Énfasis1 3 3 6" xfId="30465" xr:uid="{3E0341AF-B1F7-4A96-99C4-35C64A11A7A6}"/>
    <cellStyle name="20% - Énfasis1 3 3 7" xfId="36345" xr:uid="{FACCE1B6-CE56-4CC4-B83F-02F7B9FC8530}"/>
    <cellStyle name="20% - Énfasis1 3 4" xfId="4822" xr:uid="{1980895B-6C77-4B43-8F00-B2F8DFBF2C16}"/>
    <cellStyle name="20% - Énfasis1 3 4 2" xfId="7688" xr:uid="{AE52D095-09D4-4EE0-840C-D03FC2DEF70E}"/>
    <cellStyle name="20% - Énfasis1 3 4 2 2" xfId="22078" xr:uid="{8053ECDE-6FBD-434A-97CE-FA8943976173}"/>
    <cellStyle name="20% - Énfasis1 3 4 2 3" xfId="27921" xr:uid="{61F1F482-CCC4-438B-8DB8-3641BE3B12B5}"/>
    <cellStyle name="20% - Énfasis1 3 4 2 4" xfId="33803" xr:uid="{861EEFA8-5BCC-4200-8F74-FEF74F23E74C}"/>
    <cellStyle name="20% - Énfasis1 3 4 2 5" xfId="39667" xr:uid="{7B37F8A3-D92D-464B-80A1-6A742BD5C409}"/>
    <cellStyle name="20% - Énfasis1 3 4 3" xfId="19304" xr:uid="{A6344D01-95FE-4AC6-A057-71E628180422}"/>
    <cellStyle name="20% - Énfasis1 3 4 4" xfId="25072" xr:uid="{9D0B284B-9D06-4858-B71B-6784F41E3721}"/>
    <cellStyle name="20% - Énfasis1 3 4 5" xfId="30946" xr:uid="{8125DB3B-5EEC-4592-9457-C9548B58EE31}"/>
    <cellStyle name="20% - Énfasis1 3 4 6" xfId="36825" xr:uid="{6A0E533E-541B-406E-BF57-698A2A18CE0D}"/>
    <cellStyle name="20% - Énfasis1 3 5" xfId="5831" xr:uid="{1AB48159-5525-407C-B656-1952B02359A3}"/>
    <cellStyle name="20% - Énfasis1 3 5 2" xfId="8700" xr:uid="{E36CC1B0-CCC5-4DAA-AD4D-5C321F28904A}"/>
    <cellStyle name="20% - Énfasis1 3 5 2 2" xfId="23068" xr:uid="{C81B1837-486E-42BA-A3D1-71A517E539EB}"/>
    <cellStyle name="20% - Énfasis1 3 5 2 3" xfId="28932" xr:uid="{D45BDA6F-75D0-486E-91B7-EF13C3340E03}"/>
    <cellStyle name="20% - Énfasis1 3 5 2 4" xfId="34814" xr:uid="{DA9DFD09-0C4F-4867-A919-BFB0BDFC7A61}"/>
    <cellStyle name="20% - Énfasis1 3 5 2 5" xfId="40678" xr:uid="{24535256-B0B7-4541-9090-9C7AC9DF42D9}"/>
    <cellStyle name="20% - Énfasis1 3 5 3" xfId="20283" xr:uid="{3D4741DC-AEF1-4634-A77C-D302C8DF5BA0}"/>
    <cellStyle name="20% - Énfasis1 3 5 4" xfId="26082" xr:uid="{D25AD5C3-AA61-47BE-A9A3-7D7BC0B942E5}"/>
    <cellStyle name="20% - Énfasis1 3 5 5" xfId="31957" xr:uid="{BCD6C293-532E-4294-A57A-6D2CBF9FB507}"/>
    <cellStyle name="20% - Énfasis1 3 5 6" xfId="37823" xr:uid="{23FBB31D-5677-4077-86C4-E69E962A1F70}"/>
    <cellStyle name="20% - Énfasis1 3 6" xfId="6717" xr:uid="{1F42826B-DB39-445C-A9EF-74E38EF06DE9}"/>
    <cellStyle name="20% - Énfasis1 3 6 2" xfId="21141" xr:uid="{DB1CACC3-D6A3-426C-97CE-D1B814C868EC}"/>
    <cellStyle name="20% - Énfasis1 3 6 3" xfId="26956" xr:uid="{E29DAEF4-D61F-4A15-8664-7C4B46461825}"/>
    <cellStyle name="20% - Énfasis1 3 6 4" xfId="32832" xr:uid="{81523379-32A3-42F7-A203-20AC66A9B74E}"/>
    <cellStyle name="20% - Énfasis1 3 6 5" xfId="38696" xr:uid="{C7E1AB73-602B-4FF0-920C-0D45075EAEA1}"/>
    <cellStyle name="20% - Énfasis1 3 7" xfId="18379" xr:uid="{6E1B2F13-6135-43C9-9878-9C06DAA7F559}"/>
    <cellStyle name="20% - Énfasis1 3 8" xfId="24088" xr:uid="{4CD4C45D-0350-4E6E-BC63-BA1C8067EE8F}"/>
    <cellStyle name="20% - Énfasis1 3 9" xfId="29966" xr:uid="{3C73C0E7-C00A-4D21-921C-6A853A21EF95}"/>
    <cellStyle name="20% - Énfasis1 30" xfId="6254" xr:uid="{C946658E-207B-4620-8AEF-B75EC64A0089}"/>
    <cellStyle name="20% - Énfasis1 30 2" xfId="9123" xr:uid="{2C7578C9-E8B4-4FFE-8885-EED075BF78B7}"/>
    <cellStyle name="20% - Énfasis1 30 2 2" xfId="23487" xr:uid="{F219FB49-97D8-4C32-912D-6150AB9DA581}"/>
    <cellStyle name="20% - Énfasis1 30 2 3" xfId="29354" xr:uid="{88E348AF-1229-4D32-8C4A-2A088FA9D6A7}"/>
    <cellStyle name="20% - Énfasis1 30 2 4" xfId="35236" xr:uid="{6345601D-8B55-463B-B460-C70F10C0727F}"/>
    <cellStyle name="20% - Énfasis1 30 2 5" xfId="41095" xr:uid="{16B35534-799B-4187-A742-0864FC31891B}"/>
    <cellStyle name="20% - Énfasis1 30 3" xfId="20695" xr:uid="{F7AF2620-D045-4E7A-802F-8660E1BE92D5}"/>
    <cellStyle name="20% - Énfasis1 30 4" xfId="26504" xr:uid="{9EA63169-A1C2-4800-A849-328F4F7308E5}"/>
    <cellStyle name="20% - Énfasis1 30 5" xfId="32379" xr:uid="{86DBF34C-95E5-4F30-8859-63EA42B482C8}"/>
    <cellStyle name="20% - Énfasis1 30 6" xfId="38244" xr:uid="{BA26885C-957F-43D5-B9B3-3076BD724F3D}"/>
    <cellStyle name="20% - Énfasis1 31" xfId="6274" xr:uid="{878D0770-59F8-49B3-97D9-E10F88D4504A}"/>
    <cellStyle name="20% - Énfasis1 31 2" xfId="9143" xr:uid="{B07EFE37-3F48-4421-927E-8EC186EE6092}"/>
    <cellStyle name="20% - Énfasis1 31 2 2" xfId="23507" xr:uid="{96A411D2-49E4-4CBD-BB42-FDF872100B4B}"/>
    <cellStyle name="20% - Énfasis1 31 2 3" xfId="29374" xr:uid="{27831E88-3465-447C-9FDB-E396B7C753A1}"/>
    <cellStyle name="20% - Énfasis1 31 2 4" xfId="35256" xr:uid="{CB9116E7-C9BB-45C8-BDF1-30AB0B62D80E}"/>
    <cellStyle name="20% - Énfasis1 31 2 5" xfId="41115" xr:uid="{F1B40B3E-FEB0-4396-91D2-2AA89EA6AC38}"/>
    <cellStyle name="20% - Énfasis1 31 3" xfId="20715" xr:uid="{14AE5A39-32A4-4DAA-B484-37C117F22EBD}"/>
    <cellStyle name="20% - Énfasis1 31 4" xfId="26524" xr:uid="{A5600B1A-F37C-4922-BE06-D00347077CAC}"/>
    <cellStyle name="20% - Énfasis1 31 5" xfId="32399" xr:uid="{7F9314A3-188F-4807-BE76-780BEF87D4EA}"/>
    <cellStyle name="20% - Énfasis1 31 6" xfId="38264" xr:uid="{B08A77C8-A53B-458A-B096-4A6E49C70A69}"/>
    <cellStyle name="20% - Énfasis1 32" xfId="6298" xr:uid="{39083877-278B-4EE1-80A6-545B4B626863}"/>
    <cellStyle name="20% - Énfasis1 32 2" xfId="9166" xr:uid="{DE7987D4-E3C4-4B7C-A96F-A449791AA033}"/>
    <cellStyle name="20% - Énfasis1 32 2 2" xfId="23530" xr:uid="{AFBE050C-9905-4C4A-81B9-CDF816A11A4C}"/>
    <cellStyle name="20% - Énfasis1 32 2 3" xfId="29397" xr:uid="{C7310B89-BF88-4B47-98E5-88A706F71BBB}"/>
    <cellStyle name="20% - Énfasis1 32 2 4" xfId="35279" xr:uid="{7505EE03-6B67-49D0-80EE-4812B8C72572}"/>
    <cellStyle name="20% - Énfasis1 32 2 5" xfId="41138" xr:uid="{7ADA4EF5-6A6A-4F7E-B936-9C88ABC9648F}"/>
    <cellStyle name="20% - Énfasis1 32 3" xfId="20739" xr:uid="{711FA784-9349-4475-9131-2D9E427D0566}"/>
    <cellStyle name="20% - Énfasis1 32 4" xfId="26548" xr:uid="{F219A015-EB12-418F-9A3B-7B35A65F7627}"/>
    <cellStyle name="20% - Énfasis1 32 5" xfId="32423" xr:uid="{E64F1E1C-EB49-43D3-AE25-5C480C1650E3}"/>
    <cellStyle name="20% - Énfasis1 32 6" xfId="38288" xr:uid="{00F0B40A-FE84-462C-B7E1-D8CA6FEE63D7}"/>
    <cellStyle name="20% - Énfasis1 33" xfId="6330" xr:uid="{ED4B64C3-6656-4523-91C3-62E31F19B387}"/>
    <cellStyle name="20% - Énfasis1 33 2" xfId="9195" xr:uid="{356D63FC-3902-497B-9F4A-9B2A2334E5C1}"/>
    <cellStyle name="20% - Énfasis1 33 2 2" xfId="23558" xr:uid="{9E33F4A8-D801-4521-A232-16AFCF2214CF}"/>
    <cellStyle name="20% - Énfasis1 33 2 3" xfId="29426" xr:uid="{7F4889C7-A941-476E-839A-B17CABC0A3F9}"/>
    <cellStyle name="20% - Énfasis1 33 2 4" xfId="35308" xr:uid="{45583EB8-C5D7-4AFD-8B86-48B4358D7C59}"/>
    <cellStyle name="20% - Énfasis1 33 2 5" xfId="41167" xr:uid="{16206903-9AC0-4071-9171-518A07BB2623}"/>
    <cellStyle name="20% - Énfasis1 33 3" xfId="20771" xr:uid="{CB586359-F3D6-459D-BB20-0BE70F925C0E}"/>
    <cellStyle name="20% - Énfasis1 33 4" xfId="26580" xr:uid="{9C00A93F-FA51-4A71-A3D4-403503853ACE}"/>
    <cellStyle name="20% - Énfasis1 33 5" xfId="32455" xr:uid="{B2AB066D-08EC-4830-A944-B6365FFC04B7}"/>
    <cellStyle name="20% - Énfasis1 33 6" xfId="38319" xr:uid="{62FFB780-AC6B-4B11-9AC5-116DDDAA70E6}"/>
    <cellStyle name="20% - Énfasis1 34" xfId="6350" xr:uid="{510F450B-68F8-4F56-A015-479BB617B957}"/>
    <cellStyle name="20% - Énfasis1 34 2" xfId="9215" xr:uid="{CC6AE518-7EE6-430B-9F72-B19D69CD9CF1}"/>
    <cellStyle name="20% - Énfasis1 34 2 2" xfId="23578" xr:uid="{1AC93DAB-0335-4458-B344-F0E2116DB436}"/>
    <cellStyle name="20% - Énfasis1 34 2 3" xfId="29446" xr:uid="{E9708886-696E-452B-87A6-DA4CD3440DCD}"/>
    <cellStyle name="20% - Énfasis1 34 2 4" xfId="35328" xr:uid="{910CB36E-84B3-4D51-A341-CE66796E1DEB}"/>
    <cellStyle name="20% - Énfasis1 34 2 5" xfId="41187" xr:uid="{09FE37A0-BEC1-45A7-A4A4-BB47E844C67C}"/>
    <cellStyle name="20% - Énfasis1 34 3" xfId="20791" xr:uid="{CA8AEFBD-12BA-4102-9107-0743C336DC17}"/>
    <cellStyle name="20% - Énfasis1 34 4" xfId="26600" xr:uid="{1FBCC70B-6209-4BFE-A4E5-F5D8308CAEB5}"/>
    <cellStyle name="20% - Énfasis1 34 5" xfId="32475" xr:uid="{2347B640-F724-4E31-A7B3-2559A4576019}"/>
    <cellStyle name="20% - Énfasis1 34 6" xfId="38339" xr:uid="{DC2162B0-0E5E-4053-91E2-6CD853C4252A}"/>
    <cellStyle name="20% - Énfasis1 35" xfId="6370" xr:uid="{294356CF-39AE-4AA1-9785-0AFFA81689A9}"/>
    <cellStyle name="20% - Énfasis1 35 2" xfId="9235" xr:uid="{2BE1164D-EBCC-421C-8FED-81ED10D5D763}"/>
    <cellStyle name="20% - Énfasis1 35 2 2" xfId="23598" xr:uid="{00CD1DF8-172C-4D68-A3B6-F2E72AE42910}"/>
    <cellStyle name="20% - Énfasis1 35 2 3" xfId="29466" xr:uid="{6636BF98-C06F-499D-AFD5-94F2AAD1A312}"/>
    <cellStyle name="20% - Énfasis1 35 2 4" xfId="35348" xr:uid="{A6703FC9-409C-4726-869D-3A3D6CE3E6D9}"/>
    <cellStyle name="20% - Énfasis1 35 2 5" xfId="41207" xr:uid="{0C57222F-B25B-4E95-8A08-5F188B4CBFBA}"/>
    <cellStyle name="20% - Énfasis1 35 3" xfId="20811" xr:uid="{5DCFC536-C428-4D61-9BF5-02C824481472}"/>
    <cellStyle name="20% - Énfasis1 35 4" xfId="26620" xr:uid="{0566489F-2AF2-4C0C-8232-82A827A4E270}"/>
    <cellStyle name="20% - Énfasis1 35 5" xfId="32495" xr:uid="{D7621F1D-60BE-46BC-9D2B-E9573AA45F36}"/>
    <cellStyle name="20% - Énfasis1 35 6" xfId="38359" xr:uid="{47790707-71B6-4B35-BCCD-77DA57F734C6}"/>
    <cellStyle name="20% - Énfasis1 36" xfId="6391" xr:uid="{3962EB0D-E3D8-4B7B-ABA6-C5800779816D}"/>
    <cellStyle name="20% - Énfasis1 36 2" xfId="9256" xr:uid="{703171C5-EC46-4D43-976D-A5359E775042}"/>
    <cellStyle name="20% - Énfasis1 36 2 2" xfId="23619" xr:uid="{8EA45044-7ED3-4D85-AE80-03907073766C}"/>
    <cellStyle name="20% - Énfasis1 36 2 3" xfId="29487" xr:uid="{CCBA4C14-8A6F-4B7E-A499-FB1399A9C6CD}"/>
    <cellStyle name="20% - Énfasis1 36 2 4" xfId="35369" xr:uid="{8D466759-19C8-4186-80B1-1705ED3339F2}"/>
    <cellStyle name="20% - Énfasis1 36 2 5" xfId="41228" xr:uid="{5366CE41-F6A7-4533-8F5D-7C2BC6A70761}"/>
    <cellStyle name="20% - Énfasis1 36 3" xfId="20832" xr:uid="{771062C4-487C-4FE5-A281-495A0950D810}"/>
    <cellStyle name="20% - Énfasis1 36 4" xfId="26641" xr:uid="{E03A57AD-01FF-4091-ABF8-E8A296B66677}"/>
    <cellStyle name="20% - Énfasis1 36 5" xfId="32516" xr:uid="{5A0052B9-72F6-42B6-8572-7800E3D02871}"/>
    <cellStyle name="20% - Énfasis1 36 6" xfId="38380" xr:uid="{4B6F8400-73F3-48CA-AA80-AE5864531259}"/>
    <cellStyle name="20% - Énfasis1 37" xfId="6420" xr:uid="{FCD50C09-1E67-4FC6-80B9-C4D1A8D3D803}"/>
    <cellStyle name="20% - Énfasis1 37 2" xfId="9282" xr:uid="{21D70F93-FC8F-49C8-8346-12CC3D00849B}"/>
    <cellStyle name="20% - Énfasis1 37 2 2" xfId="23645" xr:uid="{213EC119-C65F-4D10-B868-489C11101B6F}"/>
    <cellStyle name="20% - Énfasis1 37 2 3" xfId="29513" xr:uid="{0F1A2615-AE0D-48D3-BDA1-D1DAF2AB8A4E}"/>
    <cellStyle name="20% - Énfasis1 37 2 4" xfId="35395" xr:uid="{B106AF88-6D5A-4446-8C63-1B2B6E44E279}"/>
    <cellStyle name="20% - Énfasis1 37 2 5" xfId="41254" xr:uid="{E66D2F2F-5AF6-4C2B-9665-94D0201CC3B4}"/>
    <cellStyle name="20% - Énfasis1 37 3" xfId="20861" xr:uid="{EEC286E1-B08F-4449-92B9-B634465DF358}"/>
    <cellStyle name="20% - Énfasis1 37 4" xfId="26670" xr:uid="{59749C2F-EE8D-48C5-9A5A-8D16E5D0E7E5}"/>
    <cellStyle name="20% - Énfasis1 37 5" xfId="32545" xr:uid="{946CD536-29B2-485D-9064-1EFF93A6AA54}"/>
    <cellStyle name="20% - Énfasis1 37 6" xfId="38409" xr:uid="{2F5474CC-59A4-41F1-AE6E-015216054B4E}"/>
    <cellStyle name="20% - Énfasis1 38" xfId="6454" xr:uid="{57C38C81-E991-4EF2-9F33-22FFB55FE338}"/>
    <cellStyle name="20% - Énfasis1 38 2" xfId="9314" xr:uid="{F2296B6D-9A10-49D7-8052-8FC7E326512B}"/>
    <cellStyle name="20% - Énfasis1 38 2 2" xfId="23677" xr:uid="{208D33DA-141A-46BA-914B-D40D3150525D}"/>
    <cellStyle name="20% - Énfasis1 38 2 3" xfId="29545" xr:uid="{63E174B4-7240-4385-98E0-BAF4ACAE4ECA}"/>
    <cellStyle name="20% - Énfasis1 38 2 4" xfId="35427" xr:uid="{96C3287E-6BE9-40C5-9151-95E3B1A9BB52}"/>
    <cellStyle name="20% - Énfasis1 38 2 5" xfId="41286" xr:uid="{36D4B7F7-E576-46CF-AE95-59A7EB206001}"/>
    <cellStyle name="20% - Énfasis1 38 3" xfId="20892" xr:uid="{C8461D06-D3D6-48BC-8F42-038BB4CDC23A}"/>
    <cellStyle name="20% - Énfasis1 38 4" xfId="26703" xr:uid="{C74B57D8-3A7F-4E56-B354-1CF0125807B8}"/>
    <cellStyle name="20% - Énfasis1 38 5" xfId="32578" xr:uid="{15F41E86-85C6-4F7D-8E93-77E1A493CC4B}"/>
    <cellStyle name="20% - Énfasis1 38 6" xfId="38442" xr:uid="{96066C39-46CC-462B-A2EF-06DF1811DDAC}"/>
    <cellStyle name="20% - Énfasis1 39" xfId="6474" xr:uid="{08035246-8166-4092-86B9-0144791FDEFE}"/>
    <cellStyle name="20% - Énfasis1 39 2" xfId="9334" xr:uid="{1510DFA6-C208-42B2-936A-236BBEDB849F}"/>
    <cellStyle name="20% - Énfasis1 39 2 2" xfId="23697" xr:uid="{C67698D6-B900-4B40-8DFD-ED1DD8A66063}"/>
    <cellStyle name="20% - Énfasis1 39 2 3" xfId="29565" xr:uid="{3DD5E883-8412-479A-B8C7-30680C2982A8}"/>
    <cellStyle name="20% - Énfasis1 39 2 4" xfId="35447" xr:uid="{6E3A4B28-74AD-4C39-8D1A-B58AB238A513}"/>
    <cellStyle name="20% - Énfasis1 39 2 5" xfId="41306" xr:uid="{60A4B177-ADCB-4348-8AA9-B11268B3F4B3}"/>
    <cellStyle name="20% - Énfasis1 39 3" xfId="20912" xr:uid="{B915716E-066B-45B7-8B5F-B913E31BBB5F}"/>
    <cellStyle name="20% - Énfasis1 39 4" xfId="26723" xr:uid="{246F9A79-5901-406B-A8F2-835B1AC190E3}"/>
    <cellStyle name="20% - Énfasis1 39 5" xfId="32598" xr:uid="{99F52993-3180-4FE6-84D3-55E69D89DC58}"/>
    <cellStyle name="20% - Énfasis1 39 6" xfId="38462" xr:uid="{DE1F1A93-E784-42E1-9EBC-7AE56E9113BD}"/>
    <cellStyle name="20% - Énfasis1 4" xfId="3884" xr:uid="{ADEA7FAA-0A7E-48A0-965B-691048D1BB70}"/>
    <cellStyle name="20% - Énfasis1 4 10" xfId="35876" xr:uid="{2C610877-DE9D-4731-AF43-85F27B5FC004}"/>
    <cellStyle name="20% - Énfasis1 4 2" xfId="4081" xr:uid="{910D603F-13B0-4C02-8AB1-75F1DC93B786}"/>
    <cellStyle name="20% - Énfasis1 4 2 2" xfId="4559" xr:uid="{CFDADBFD-70F2-437E-80C1-8CF16DD42E11}"/>
    <cellStyle name="20% - Énfasis1 4 2 2 2" xfId="5527" xr:uid="{1A32F149-6ED1-4972-8764-231CB8997A7B}"/>
    <cellStyle name="20% - Énfasis1 4 2 2 2 2" xfId="8394" xr:uid="{F064F00E-F7B8-439A-B7DF-9AA58FEB635F}"/>
    <cellStyle name="20% - Énfasis1 4 2 2 2 2 2" xfId="22769" xr:uid="{06FF93F4-FD79-4D6A-A573-9E1875E4C785}"/>
    <cellStyle name="20% - Énfasis1 4 2 2 2 2 3" xfId="28627" xr:uid="{DDCCB618-DB32-4A8E-B51B-C0008C1FCA28}"/>
    <cellStyle name="20% - Énfasis1 4 2 2 2 2 4" xfId="34509" xr:uid="{A5840C49-00E3-4ABB-9675-BB0963E1DEC8}"/>
    <cellStyle name="20% - Énfasis1 4 2 2 2 2 5" xfId="40373" xr:uid="{BE91396B-8528-4716-A0FE-8F728C2B80B4}"/>
    <cellStyle name="20% - Énfasis1 4 2 2 2 3" xfId="19987" xr:uid="{DE933993-B767-4B2F-B21E-3873B85A5D03}"/>
    <cellStyle name="20% - Énfasis1 4 2 2 2 4" xfId="25778" xr:uid="{4B718006-10FF-4BFB-91C3-EBE4A75D4182}"/>
    <cellStyle name="20% - Énfasis1 4 2 2 2 5" xfId="31652" xr:uid="{7B5CE164-FE39-4E55-AB39-A6B47C501F5B}"/>
    <cellStyle name="20% - Énfasis1 4 2 2 2 6" xfId="37522" xr:uid="{DCBBC077-DF78-4DCA-B12A-F727DA7A0622}"/>
    <cellStyle name="20% - Énfasis1 4 2 2 3" xfId="7422" xr:uid="{D09C771C-BF19-482B-8F3C-8555EEABCFB3}"/>
    <cellStyle name="20% - Énfasis1 4 2 2 3 2" xfId="21824" xr:uid="{72DB868B-0DAD-4488-B96B-F694211986E1}"/>
    <cellStyle name="20% - Énfasis1 4 2 2 3 3" xfId="27656" xr:uid="{164E8CB4-5058-420B-86DA-9E63B8151F5C}"/>
    <cellStyle name="20% - Énfasis1 4 2 2 3 4" xfId="33538" xr:uid="{FC976616-4E1C-4069-9B57-2702A081F5E1}"/>
    <cellStyle name="20% - Énfasis1 4 2 2 3 5" xfId="39402" xr:uid="{2A9AA857-A2E1-4E8A-8EEE-E48CED4E4EFC}"/>
    <cellStyle name="20% - Énfasis1 4 2 2 4" xfId="19055" xr:uid="{84216738-54CA-4DAB-9FC0-5A9C340886D0}"/>
    <cellStyle name="20% - Énfasis1 4 2 2 5" xfId="24807" xr:uid="{4F51BB30-1457-48D1-906B-C78D9B871DD9}"/>
    <cellStyle name="20% - Énfasis1 4 2 2 6" xfId="30684" xr:uid="{296B9A7D-6B39-4E04-9179-AA3D7F7122C1}"/>
    <cellStyle name="20% - Énfasis1 4 2 2 7" xfId="36565" xr:uid="{86D8C9FF-E398-485E-B2C7-CFDF29B73E38}"/>
    <cellStyle name="20% - Énfasis1 4 2 3" xfId="5042" xr:uid="{FB088593-1818-4EDF-A47F-E52951F53A5B}"/>
    <cellStyle name="20% - Énfasis1 4 2 3 2" xfId="7909" xr:uid="{B53338B8-AEDF-4CBE-8C31-6250BDCDA2A7}"/>
    <cellStyle name="20% - Énfasis1 4 2 3 2 2" xfId="22294" xr:uid="{1D85E052-04CA-4063-AADF-5FFA9F6B1AFA}"/>
    <cellStyle name="20% - Énfasis1 4 2 3 2 3" xfId="28142" xr:uid="{02470014-CDDD-4636-B0B2-1CD5ADDB970D}"/>
    <cellStyle name="20% - Énfasis1 4 2 3 2 4" xfId="34024" xr:uid="{37A7FD69-6254-421A-B9BD-6520095C9C4B}"/>
    <cellStyle name="20% - Énfasis1 4 2 3 2 5" xfId="39888" xr:uid="{F8E920F4-6F21-4B23-AB79-0A3C914A8DE4}"/>
    <cellStyle name="20% - Énfasis1 4 2 3 3" xfId="19519" xr:uid="{6A626895-B34E-4BC4-9755-B4DA53BED234}"/>
    <cellStyle name="20% - Énfasis1 4 2 3 4" xfId="25293" xr:uid="{C0F7B89C-FE0A-451A-9304-4057CB16A58E}"/>
    <cellStyle name="20% - Énfasis1 4 2 3 5" xfId="31167" xr:uid="{9738985F-8AC2-4111-9056-5FD5DD1161DD}"/>
    <cellStyle name="20% - Énfasis1 4 2 3 6" xfId="37045" xr:uid="{672DB72F-8997-436D-83F9-01301C77ADA7}"/>
    <cellStyle name="20% - Énfasis1 4 2 4" xfId="6937" xr:uid="{AF2E1589-589B-401F-B13E-B66F3B8743BD}"/>
    <cellStyle name="20% - Énfasis1 4 2 4 2" xfId="21357" xr:uid="{67AC2F46-F359-47F0-A902-B46E55D08B9E}"/>
    <cellStyle name="20% - Énfasis1 4 2 4 3" xfId="27175" xr:uid="{9D2391C1-6171-4BF2-A6A4-25A42AEBCB4E}"/>
    <cellStyle name="20% - Énfasis1 4 2 4 4" xfId="33053" xr:uid="{6DACF618-4B1D-4246-8193-25B239366F17}"/>
    <cellStyle name="20% - Énfasis1 4 2 4 5" xfId="38917" xr:uid="{9DA73161-A30C-4584-B687-80FCCC79A80F}"/>
    <cellStyle name="20% - Énfasis1 4 2 5" xfId="18611" xr:uid="{7AC912F0-4944-4A46-A03C-0F14860DCB93}"/>
    <cellStyle name="20% - Énfasis1 4 2 6" xfId="24324" xr:uid="{F09701DD-CD46-4F1D-A26D-BF144B23B97F}"/>
    <cellStyle name="20% - Énfasis1 4 2 7" xfId="30202" xr:uid="{1B637B00-7087-4C2D-B266-7B65DF013518}"/>
    <cellStyle name="20% - Énfasis1 4 2 8" xfId="36081" xr:uid="{4598BD27-04DC-454F-ADA1-4BCB3EA3EBE7}"/>
    <cellStyle name="20% - Énfasis1 4 3" xfId="4365" xr:uid="{DB53A7B3-8D45-474C-A618-03629A3B2AC5}"/>
    <cellStyle name="20% - Énfasis1 4 3 2" xfId="5331" xr:uid="{CA6D6C55-326B-4976-95C8-071B41F13C59}"/>
    <cellStyle name="20% - Énfasis1 4 3 2 2" xfId="8198" xr:uid="{EA7C58F8-DCCC-4B3C-BC91-D81E31514B92}"/>
    <cellStyle name="20% - Énfasis1 4 3 2 2 2" xfId="22574" xr:uid="{9D153165-A49D-4AA8-A698-8CBCF50B68DF}"/>
    <cellStyle name="20% - Énfasis1 4 3 2 2 3" xfId="28431" xr:uid="{00EDEA1E-DD43-4C1B-89A5-2237F953C289}"/>
    <cellStyle name="20% - Énfasis1 4 3 2 2 4" xfId="34313" xr:uid="{B6F6C50A-ED7D-4D43-9BA8-1143D901CBAA}"/>
    <cellStyle name="20% - Énfasis1 4 3 2 2 5" xfId="40177" xr:uid="{D3F5A63D-9868-4C0A-A8E0-86CA8E1BAF76}"/>
    <cellStyle name="20% - Énfasis1 4 3 2 3" xfId="19798" xr:uid="{FB7AA6FA-C057-4D86-B4CC-3BB15D153FBC}"/>
    <cellStyle name="20% - Énfasis1 4 3 2 4" xfId="25582" xr:uid="{85250A0E-65A5-438C-B70E-80568F94F553}"/>
    <cellStyle name="20% - Énfasis1 4 3 2 5" xfId="31456" xr:uid="{013F878B-9E0A-414E-AF32-6C628EFBCE3E}"/>
    <cellStyle name="20% - Énfasis1 4 3 2 6" xfId="37327" xr:uid="{7955FD16-E0CB-4CEA-B60A-B17E3A0C1263}"/>
    <cellStyle name="20% - Énfasis1 4 3 3" xfId="7226" xr:uid="{6AC387AD-3F2E-4E0F-9D05-B7D869DE9853}"/>
    <cellStyle name="20% - Énfasis1 4 3 3 2" xfId="21633" xr:uid="{96E56078-32F8-4F69-9123-D1F9D4689751}"/>
    <cellStyle name="20% - Énfasis1 4 3 3 3" xfId="27460" xr:uid="{C2C885A2-EF36-41D3-9778-BFDEE412EB52}"/>
    <cellStyle name="20% - Énfasis1 4 3 3 4" xfId="33342" xr:uid="{77F76CD9-6A8B-434F-8F3F-03F27EBF1D8F}"/>
    <cellStyle name="20% - Énfasis1 4 3 3 5" xfId="39206" xr:uid="{F9541865-2476-4BEC-A659-06F41DA01D55}"/>
    <cellStyle name="20% - Énfasis1 4 3 4" xfId="18868" xr:uid="{AF519BB6-D0A5-4816-AB01-4B68DD20E682}"/>
    <cellStyle name="20% - Énfasis1 4 3 5" xfId="24611" xr:uid="{E926C018-6041-43F8-A50B-897EBDAAD6BF}"/>
    <cellStyle name="20% - Énfasis1 4 3 6" xfId="30490" xr:uid="{0295C82F-51A2-460D-8AF1-D3D1FBBC9BDC}"/>
    <cellStyle name="20% - Énfasis1 4 3 7" xfId="36370" xr:uid="{D22E9D65-3011-433B-8A18-3B179D2B8346}"/>
    <cellStyle name="20% - Énfasis1 4 4" xfId="4847" xr:uid="{82831D20-5ABD-445B-AA2B-E5F2B825CFDA}"/>
    <cellStyle name="20% - Énfasis1 4 4 2" xfId="7713" xr:uid="{E5A94F06-7CAE-45C5-8359-210377031435}"/>
    <cellStyle name="20% - Énfasis1 4 4 2 2" xfId="22103" xr:uid="{B81B0237-C347-452D-A078-43BD65D7E7F0}"/>
    <cellStyle name="20% - Énfasis1 4 4 2 3" xfId="27946" xr:uid="{E5755992-64A8-4A8F-A25D-C3F0D869CB4F}"/>
    <cellStyle name="20% - Énfasis1 4 4 2 4" xfId="33828" xr:uid="{8844FD2F-53BD-422E-BD47-F8F7B1A3CA4F}"/>
    <cellStyle name="20% - Énfasis1 4 4 2 5" xfId="39692" xr:uid="{F6F934D7-966E-4AC4-87C6-874960139030}"/>
    <cellStyle name="20% - Énfasis1 4 4 3" xfId="19329" xr:uid="{1FCCC484-F0D2-4334-A647-BAC3174E7637}"/>
    <cellStyle name="20% - Énfasis1 4 4 4" xfId="25097" xr:uid="{26D50F9D-9A99-4515-B288-627F22346015}"/>
    <cellStyle name="20% - Énfasis1 4 4 5" xfId="30971" xr:uid="{8336D657-0495-4FEB-A242-D0428350CC01}"/>
    <cellStyle name="20% - Énfasis1 4 4 6" xfId="36850" xr:uid="{142FF951-6F55-4173-90CD-8AD96B5BA025}"/>
    <cellStyle name="20% - Énfasis1 4 5" xfId="5856" xr:uid="{2D34CCB3-2CD0-4DF8-B659-C43DCB18708C}"/>
    <cellStyle name="20% - Énfasis1 4 5 2" xfId="8725" xr:uid="{A39576D1-BA5B-45F3-A235-081E92BC4F2B}"/>
    <cellStyle name="20% - Énfasis1 4 5 2 2" xfId="23093" xr:uid="{C5D85083-80BF-4F00-928B-7463B683DFE8}"/>
    <cellStyle name="20% - Énfasis1 4 5 2 3" xfId="28957" xr:uid="{02525673-D8C8-4DC4-A9B5-AA9EA0C65F8C}"/>
    <cellStyle name="20% - Énfasis1 4 5 2 4" xfId="34839" xr:uid="{C0B6D18C-7888-42BB-9337-12C29C58E3C5}"/>
    <cellStyle name="20% - Énfasis1 4 5 2 5" xfId="40703" xr:uid="{1C46230C-C5DC-4E34-8717-84D8B6EB0A46}"/>
    <cellStyle name="20% - Énfasis1 4 5 3" xfId="20308" xr:uid="{8C384C8B-8F20-4384-972C-25CAAB29816B}"/>
    <cellStyle name="20% - Énfasis1 4 5 4" xfId="26107" xr:uid="{79C5D917-B297-4F44-890F-BD8352C45F2B}"/>
    <cellStyle name="20% - Énfasis1 4 5 5" xfId="31982" xr:uid="{045223B1-7078-4C90-8DB9-D982E3E5D857}"/>
    <cellStyle name="20% - Énfasis1 4 5 6" xfId="37848" xr:uid="{993A956A-3955-4EBF-9C03-293E67CBA93E}"/>
    <cellStyle name="20% - Énfasis1 4 6" xfId="6742" xr:uid="{979B042A-FB5F-4588-B34F-FD3FEF3E2346}"/>
    <cellStyle name="20% - Énfasis1 4 6 2" xfId="21166" xr:uid="{4357E2A7-583C-4367-AF6C-61ACC21C56EF}"/>
    <cellStyle name="20% - Énfasis1 4 6 3" xfId="26981" xr:uid="{CA03F57C-F56E-4071-86B6-73E033791BBA}"/>
    <cellStyle name="20% - Énfasis1 4 6 4" xfId="32857" xr:uid="{98343C6F-049E-41E8-AC1D-20FDBCA5F063}"/>
    <cellStyle name="20% - Énfasis1 4 6 5" xfId="38721" xr:uid="{E035B5F3-78DB-405C-80DC-1D672C3EF54D}"/>
    <cellStyle name="20% - Énfasis1 4 7" xfId="18408" xr:uid="{C42BA0E7-0343-46EB-B287-9E698FBA04B1}"/>
    <cellStyle name="20% - Énfasis1 4 8" xfId="24117" xr:uid="{4A1B303A-BB60-4A12-891B-813EB3FB6A90}"/>
    <cellStyle name="20% - Énfasis1 4 9" xfId="29995" xr:uid="{0E4269B1-2CC5-4046-973A-7AC59F1C9EA8}"/>
    <cellStyle name="20% - Énfasis1 40" xfId="6494" xr:uid="{F32B1C07-CB5A-46B6-A1E1-9DDAC77707C5}"/>
    <cellStyle name="20% - Énfasis1 40 2" xfId="9354" xr:uid="{37874641-9744-442B-9C05-B944B74D19F4}"/>
    <cellStyle name="20% - Énfasis1 40 2 2" xfId="23717" xr:uid="{7359A0BE-0407-4EE1-A143-37280DAF1E95}"/>
    <cellStyle name="20% - Énfasis1 40 2 3" xfId="29585" xr:uid="{9C2107F5-DACF-49BF-9FC4-282383B69C0C}"/>
    <cellStyle name="20% - Énfasis1 40 2 4" xfId="35467" xr:uid="{DBCE334C-F74A-4019-9D76-7E72AF9A0632}"/>
    <cellStyle name="20% - Énfasis1 40 2 5" xfId="41326" xr:uid="{A3AA9E8E-7C1B-4440-8995-D3AAE9E811F1}"/>
    <cellStyle name="20% - Énfasis1 40 3" xfId="20932" xr:uid="{3D12328A-EBBC-4BFC-8D74-B75ACB3232D8}"/>
    <cellStyle name="20% - Énfasis1 40 4" xfId="26743" xr:uid="{620C77F2-5B1D-415D-A180-3005DC9E6D62}"/>
    <cellStyle name="20% - Énfasis1 40 5" xfId="32618" xr:uid="{7FE97388-9851-42B1-AEE2-39391AE14817}"/>
    <cellStyle name="20% - Énfasis1 40 6" xfId="38482" xr:uid="{47F97D7E-3729-4498-B19F-58E3580D8ABC}"/>
    <cellStyle name="20% - Énfasis1 41" xfId="6514" xr:uid="{9AEA4A8F-5969-4C54-B3D3-583870EC5B1E}"/>
    <cellStyle name="20% - Énfasis1 41 2" xfId="9374" xr:uid="{DF62AC92-7413-4903-B695-D97A33D265BE}"/>
    <cellStyle name="20% - Énfasis1 41 2 2" xfId="23737" xr:uid="{CF01A77A-53F6-43F0-B392-60E5542F3518}"/>
    <cellStyle name="20% - Énfasis1 41 2 3" xfId="29605" xr:uid="{A51E962A-9066-49AA-8019-C521D37CB26B}"/>
    <cellStyle name="20% - Énfasis1 41 2 4" xfId="35487" xr:uid="{70C6FA74-F9CD-4A0E-B5D8-201FAB3D410D}"/>
    <cellStyle name="20% - Énfasis1 41 2 5" xfId="41346" xr:uid="{F35ED0CE-13B7-4BA8-916A-C7C0B56FA5CF}"/>
    <cellStyle name="20% - Énfasis1 41 3" xfId="20952" xr:uid="{DCF92B3C-0A1E-4A37-93EA-CDC55CB37734}"/>
    <cellStyle name="20% - Énfasis1 41 4" xfId="26763" xr:uid="{4B4EA732-B6F6-479B-97D2-DE8252F900EC}"/>
    <cellStyle name="20% - Énfasis1 41 5" xfId="32638" xr:uid="{049074DC-5BDF-4D19-9170-B2D5894E9569}"/>
    <cellStyle name="20% - Énfasis1 41 6" xfId="38502" xr:uid="{206E8F07-47C2-4556-AFD7-7CA2CBCE6DB6}"/>
    <cellStyle name="20% - Énfasis1 42" xfId="6534" xr:uid="{46755C19-0D5D-4915-91C1-A976F5E3E1A4}"/>
    <cellStyle name="20% - Énfasis1 42 2" xfId="9394" xr:uid="{961DD8F6-00B8-4BF1-A3BB-EB0DCF4E5239}"/>
    <cellStyle name="20% - Énfasis1 42 2 2" xfId="23757" xr:uid="{D0B3B5A1-185E-4CB9-90B6-CF0FE476A320}"/>
    <cellStyle name="20% - Énfasis1 42 2 3" xfId="29625" xr:uid="{8C91026F-B374-4AEE-96C4-CC9B1B5DBF2D}"/>
    <cellStyle name="20% - Énfasis1 42 2 4" xfId="35507" xr:uid="{C998B7C6-4918-4F96-8449-BBB0A943B83C}"/>
    <cellStyle name="20% - Énfasis1 42 2 5" xfId="41366" xr:uid="{CFD69964-B324-4209-A7B1-71BAD96B1947}"/>
    <cellStyle name="20% - Énfasis1 42 3" xfId="20972" xr:uid="{6A4440F1-EDA7-4391-BF2B-8463C12200AD}"/>
    <cellStyle name="20% - Énfasis1 42 4" xfId="26783" xr:uid="{2ED30F06-4683-40E3-8D4E-1109D227EF1D}"/>
    <cellStyle name="20% - Énfasis1 42 5" xfId="32658" xr:uid="{ECB61D32-B58C-49DD-99DF-101C6C6B5E1B}"/>
    <cellStyle name="20% - Énfasis1 42 6" xfId="38522" xr:uid="{AFE1AF11-280D-43A4-AFE7-DE254A6ADC61}"/>
    <cellStyle name="20% - Énfasis1 43" xfId="6555" xr:uid="{FAD706BF-AC81-449B-B8BC-CF88DE339912}"/>
    <cellStyle name="20% - Énfasis1 43 2" xfId="9416" xr:uid="{7A1B5743-4F62-4C4B-A659-3EA1C63CDBBE}"/>
    <cellStyle name="20% - Énfasis1 43 2 2" xfId="23779" xr:uid="{D3C3F5D0-95E3-43BF-92ED-896B4A0AFC63}"/>
    <cellStyle name="20% - Énfasis1 43 2 3" xfId="29647" xr:uid="{F3D34979-C1A0-4FD4-80A2-5DA0A43DBBE0}"/>
    <cellStyle name="20% - Énfasis1 43 2 4" xfId="35529" xr:uid="{73AA3F04-59BA-47E1-9B40-6F367B151838}"/>
    <cellStyle name="20% - Énfasis1 43 2 5" xfId="41388" xr:uid="{42EF7B51-575A-425D-95C1-07FF89F5F033}"/>
    <cellStyle name="20% - Énfasis1 43 3" xfId="20994" xr:uid="{9BF2A577-6338-4E02-AFB1-22CA5FA76CDB}"/>
    <cellStyle name="20% - Énfasis1 43 4" xfId="26805" xr:uid="{4E5C68A5-1BAE-4509-B664-BA8E96C41FA1}"/>
    <cellStyle name="20% - Énfasis1 43 5" xfId="32680" xr:uid="{7E635AE8-B055-4549-BCC0-BDE258BFF5BA}"/>
    <cellStyle name="20% - Énfasis1 43 6" xfId="38544" xr:uid="{87313173-2A6E-4F29-9E78-9303DFF0E912}"/>
    <cellStyle name="20% - Énfasis1 44" xfId="6585" xr:uid="{AE9A08F3-BC46-4D9A-8F6B-CC372F3AC3A4}"/>
    <cellStyle name="20% - Énfasis1 44 2" xfId="9445" xr:uid="{06C2EAE8-50D5-4E68-BE4C-CDB2DF213BF4}"/>
    <cellStyle name="20% - Énfasis1 44 2 2" xfId="23807" xr:uid="{0666BB20-9C1B-4462-B9AA-27B99E52A72C}"/>
    <cellStyle name="20% - Énfasis1 44 2 3" xfId="29676" xr:uid="{CDA31338-3AA1-42CC-8D70-3BFBB5D487DE}"/>
    <cellStyle name="20% - Énfasis1 44 2 4" xfId="35558" xr:uid="{8540A7E6-1A12-4DB7-998F-E81043D25C06}"/>
    <cellStyle name="20% - Énfasis1 44 2 5" xfId="41417" xr:uid="{251C10B0-24CE-40E5-B47E-A4B28A2A67DE}"/>
    <cellStyle name="20% - Énfasis1 44 3" xfId="21023" xr:uid="{4807C1E7-39FE-4239-93D2-9264851D4877}"/>
    <cellStyle name="20% - Énfasis1 44 4" xfId="26834" xr:uid="{FDE28160-B374-40E2-A28A-0BDA91B3DC33}"/>
    <cellStyle name="20% - Énfasis1 44 5" xfId="32709" xr:uid="{C7845639-45AD-4CCE-9813-E8F8F0920F7F}"/>
    <cellStyle name="20% - Énfasis1 44 6" xfId="38573" xr:uid="{CF857F82-B520-443C-BBB2-037C9C5776A7}"/>
    <cellStyle name="20% - Énfasis1 45" xfId="6610" xr:uid="{DD00C270-BDF7-46AE-B226-702E8F74A081}"/>
    <cellStyle name="20% - Énfasis1 45 2" xfId="9470" xr:uid="{281D12FC-F262-4384-B1D4-717B3BE1EF24}"/>
    <cellStyle name="20% - Énfasis1 45 2 2" xfId="23832" xr:uid="{F56947EA-A44E-4D7F-8CAF-9DE13C978425}"/>
    <cellStyle name="20% - Énfasis1 45 2 3" xfId="29701" xr:uid="{1DEC6C98-EFCA-4027-A4BF-725EA1829443}"/>
    <cellStyle name="20% - Énfasis1 45 2 4" xfId="35583" xr:uid="{59AE667C-48D9-4E8A-940E-5704D85C3A37}"/>
    <cellStyle name="20% - Énfasis1 45 2 5" xfId="41442" xr:uid="{31B0DFF8-1AA5-40A5-A9DA-CCB568D8086D}"/>
    <cellStyle name="20% - Énfasis1 45 3" xfId="21047" xr:uid="{184CB5D0-2003-4685-969E-9D8E5305D483}"/>
    <cellStyle name="20% - Énfasis1 45 4" xfId="26859" xr:uid="{A29EB622-F558-4256-88D0-EC83E7C4CB03}"/>
    <cellStyle name="20% - Énfasis1 45 5" xfId="32734" xr:uid="{18883FE3-287E-47F7-9EA1-160526554F30}"/>
    <cellStyle name="20% - Énfasis1 45 6" xfId="38598" xr:uid="{EC506692-8156-4E60-A4E3-F948EA22CFBF}"/>
    <cellStyle name="20% - Énfasis1 46" xfId="6632" xr:uid="{7C98B036-8E03-45F2-BAC3-93FC7BFC9A36}"/>
    <cellStyle name="20% - Énfasis1 46 2" xfId="21069" xr:uid="{AA1CF74A-C9DE-46C0-A0C4-3F4C50653DF9}"/>
    <cellStyle name="20% - Énfasis1 46 3" xfId="26881" xr:uid="{B05CC0FD-C8F4-4938-BB4A-CBFB90CA97D3}"/>
    <cellStyle name="20% - Énfasis1 46 4" xfId="32756" xr:uid="{AA12E1C0-46EB-48E6-BEB0-B3A6527240BF}"/>
    <cellStyle name="20% - Énfasis1 46 5" xfId="38620" xr:uid="{BBA615DA-A3CD-455E-A280-526778416575}"/>
    <cellStyle name="20% - Énfasis1 47" xfId="6662" xr:uid="{C3F3AA6D-301A-4174-A5AB-92976C6D48D3}"/>
    <cellStyle name="20% - Énfasis1 47 2" xfId="21091" xr:uid="{B852B8C4-7BEA-41B1-BD77-16D0AE0A063F}"/>
    <cellStyle name="20% - Énfasis1 47 3" xfId="26903" xr:uid="{8ECE89C3-E44A-4A92-94E1-A325E107A28D}"/>
    <cellStyle name="20% - Énfasis1 47 4" xfId="32778" xr:uid="{9D7F233F-0E9E-471D-831A-44BE715CFE40}"/>
    <cellStyle name="20% - Énfasis1 47 5" xfId="38642" xr:uid="{DDCDF21E-D3E9-4809-B237-D4A850093756}"/>
    <cellStyle name="20% - Énfasis1 48" xfId="9488" xr:uid="{7134826D-BD09-4658-95A8-3A35D1C5D3B4}"/>
    <cellStyle name="20% - Énfasis1 48 2" xfId="23850" xr:uid="{58D69165-4323-4D3D-8571-8260A1C719CF}"/>
    <cellStyle name="20% - Énfasis1 48 3" xfId="29719" xr:uid="{939F051E-DD08-4470-9776-2C78E5453887}"/>
    <cellStyle name="20% - Énfasis1 48 4" xfId="35601" xr:uid="{417DDA98-B124-4763-8CD2-5162C8376106}"/>
    <cellStyle name="20% - Énfasis1 48 5" xfId="41460" xr:uid="{7FDF02AB-764C-43A3-B3F1-7E6EE9601349}"/>
    <cellStyle name="20% - Énfasis1 49" xfId="9511" xr:uid="{667AB846-4B26-42AD-A39E-CD608D4ECEDE}"/>
    <cellStyle name="20% - Énfasis1 49 2" xfId="23872" xr:uid="{B936F8B4-D266-4BD9-928D-FDFCFF9636A2}"/>
    <cellStyle name="20% - Énfasis1 49 3" xfId="29742" xr:uid="{D4626222-9E65-4F5C-8FA4-25C35E5A53CE}"/>
    <cellStyle name="20% - Énfasis1 49 4" xfId="35624" xr:uid="{8AEDFF4F-B154-49DE-8992-3573657F92F9}"/>
    <cellStyle name="20% - Énfasis1 49 5" xfId="41483" xr:uid="{95821BFB-5E43-4E25-801F-5463A7EFB702}"/>
    <cellStyle name="20% - Énfasis1 5" xfId="3910" xr:uid="{2163B49F-EDAC-46EA-93F8-197F9719C607}"/>
    <cellStyle name="20% - Énfasis1 5 10" xfId="35902" xr:uid="{E4459B5C-5A34-41D1-9BF6-F279378AE529}"/>
    <cellStyle name="20% - Énfasis1 5 2" xfId="4104" xr:uid="{54891E12-AA91-4EFE-8427-7B061FD4F0A9}"/>
    <cellStyle name="20% - Énfasis1 5 2 2" xfId="4582" xr:uid="{F16C6341-EAF0-4352-94A9-0BC66BDADA4A}"/>
    <cellStyle name="20% - Énfasis1 5 2 2 2" xfId="5550" xr:uid="{3776A0E3-44E1-4733-A83D-64750BD0278D}"/>
    <cellStyle name="20% - Énfasis1 5 2 2 2 2" xfId="8417" xr:uid="{6F518BE1-3A53-4E3A-8A7C-1BCF98357035}"/>
    <cellStyle name="20% - Énfasis1 5 2 2 2 2 2" xfId="22792" xr:uid="{C681A412-8AE4-44C3-8B41-D33FC86DD0FD}"/>
    <cellStyle name="20% - Énfasis1 5 2 2 2 2 3" xfId="28650" xr:uid="{BFAA7437-95F9-4565-AF6D-D698999E701F}"/>
    <cellStyle name="20% - Énfasis1 5 2 2 2 2 4" xfId="34532" xr:uid="{91529822-BD86-42F6-B29B-4ED23CBBB3DC}"/>
    <cellStyle name="20% - Énfasis1 5 2 2 2 2 5" xfId="40396" xr:uid="{51610A27-FAD6-4247-ABFA-59488F0AB096}"/>
    <cellStyle name="20% - Énfasis1 5 2 2 2 3" xfId="20010" xr:uid="{40861441-34BB-4A4E-92AA-5EE2F37FDEDA}"/>
    <cellStyle name="20% - Énfasis1 5 2 2 2 4" xfId="25801" xr:uid="{68FE8154-7C66-4AF6-928A-6777064E7816}"/>
    <cellStyle name="20% - Énfasis1 5 2 2 2 5" xfId="31675" xr:uid="{29EF38DB-8F02-4299-87D7-E1905AAF3493}"/>
    <cellStyle name="20% - Énfasis1 5 2 2 2 6" xfId="37545" xr:uid="{563259CD-A549-4046-B1E9-6DCFC170884D}"/>
    <cellStyle name="20% - Énfasis1 5 2 2 3" xfId="7445" xr:uid="{53FAC52C-94A9-4D63-9931-A49E41CC369D}"/>
    <cellStyle name="20% - Énfasis1 5 2 2 3 2" xfId="21847" xr:uid="{E0B05A04-0344-4E88-B963-D69EC8951836}"/>
    <cellStyle name="20% - Énfasis1 5 2 2 3 3" xfId="27679" xr:uid="{AAAD6AD1-BBD3-43C2-A1C9-6F20514A0991}"/>
    <cellStyle name="20% - Énfasis1 5 2 2 3 4" xfId="33561" xr:uid="{23B23163-4F56-4658-91A7-5DAB8AFCF7ED}"/>
    <cellStyle name="20% - Énfasis1 5 2 2 3 5" xfId="39425" xr:uid="{4379A3CA-59BC-4B79-B09D-DDBFE8CFEA9C}"/>
    <cellStyle name="20% - Énfasis1 5 2 2 4" xfId="19077" xr:uid="{CC143904-4146-4DFC-8B4C-3E330E5BD853}"/>
    <cellStyle name="20% - Énfasis1 5 2 2 5" xfId="24830" xr:uid="{E7B3D4EE-F8D6-4133-91C9-1B46C84CF2C4}"/>
    <cellStyle name="20% - Énfasis1 5 2 2 6" xfId="30707" xr:uid="{C20974C9-613E-46EE-9D0A-ADB0EE12DA12}"/>
    <cellStyle name="20% - Énfasis1 5 2 2 7" xfId="36588" xr:uid="{C36112DF-EA9D-43BA-BEED-545282C71791}"/>
    <cellStyle name="20% - Énfasis1 5 2 3" xfId="5065" xr:uid="{8581FF14-BFED-4131-9596-07F30E6BE3BA}"/>
    <cellStyle name="20% - Énfasis1 5 2 3 2" xfId="7932" xr:uid="{05B17152-B60F-45F8-812A-E1521D034C31}"/>
    <cellStyle name="20% - Énfasis1 5 2 3 2 2" xfId="22317" xr:uid="{995785EB-1276-4BF0-A869-22207B85D55B}"/>
    <cellStyle name="20% - Énfasis1 5 2 3 2 3" xfId="28165" xr:uid="{2D12540E-871D-4B60-89F7-494D53902ABB}"/>
    <cellStyle name="20% - Énfasis1 5 2 3 2 4" xfId="34047" xr:uid="{8C0177AF-CBC2-4763-A149-977DB7ECB6D8}"/>
    <cellStyle name="20% - Énfasis1 5 2 3 2 5" xfId="39911" xr:uid="{3BB6C17D-F5B7-4AC1-9F6F-9770BC03DD6F}"/>
    <cellStyle name="20% - Énfasis1 5 2 3 3" xfId="19542" xr:uid="{B9DDD766-3A68-4336-A0DC-144BADAD7699}"/>
    <cellStyle name="20% - Énfasis1 5 2 3 4" xfId="25316" xr:uid="{950A89FF-430A-4903-9944-40AB21251869}"/>
    <cellStyle name="20% - Énfasis1 5 2 3 5" xfId="31190" xr:uid="{135D127B-BB80-4804-9916-7B8C1A8E1BA2}"/>
    <cellStyle name="20% - Énfasis1 5 2 3 6" xfId="37068" xr:uid="{0EE4E78F-89F9-4772-A481-32F2108AA988}"/>
    <cellStyle name="20% - Énfasis1 5 2 4" xfId="6960" xr:uid="{C123486D-E0AE-4C4C-9FE3-36DE771AA75A}"/>
    <cellStyle name="20% - Énfasis1 5 2 4 2" xfId="21379" xr:uid="{8418765D-DBA1-42B1-8105-E04DDB8377F8}"/>
    <cellStyle name="20% - Énfasis1 5 2 4 3" xfId="27198" xr:uid="{EF415F08-A84C-48D4-94A7-860FB7591624}"/>
    <cellStyle name="20% - Énfasis1 5 2 4 4" xfId="33076" xr:uid="{34E25BE0-99AA-4850-8541-AEA645277314}"/>
    <cellStyle name="20% - Énfasis1 5 2 4 5" xfId="38940" xr:uid="{822A24D6-EA54-4264-BAA0-F5444E41A9B5}"/>
    <cellStyle name="20% - Énfasis1 5 2 5" xfId="18633" xr:uid="{4F7A08F6-1493-4FB4-A028-77400B8B9FA5}"/>
    <cellStyle name="20% - Énfasis1 5 2 6" xfId="24347" xr:uid="{49800E26-838D-48F0-A157-4B985D690652}"/>
    <cellStyle name="20% - Énfasis1 5 2 7" xfId="30225" xr:uid="{0FFA341C-2A44-44FD-987A-2FFB022101CD}"/>
    <cellStyle name="20% - Énfasis1 5 2 8" xfId="36104" xr:uid="{C90D9A45-B107-4B54-B635-BE50C86E97FD}"/>
    <cellStyle name="20% - Énfasis1 5 3" xfId="4388" xr:uid="{F6C82576-09A2-4A46-B3B2-2D35D5B2E357}"/>
    <cellStyle name="20% - Énfasis1 5 3 2" xfId="5354" xr:uid="{C4911C82-B9B5-4926-893B-27B714929A48}"/>
    <cellStyle name="20% - Énfasis1 5 3 2 2" xfId="8221" xr:uid="{E30578C8-83EC-4901-A6BF-A66AC4BE0C29}"/>
    <cellStyle name="20% - Énfasis1 5 3 2 2 2" xfId="22597" xr:uid="{2694F9BF-8126-4C98-98B7-3CD0C9729AC4}"/>
    <cellStyle name="20% - Énfasis1 5 3 2 2 3" xfId="28454" xr:uid="{B443DEE9-C722-451A-9F69-7526366B696A}"/>
    <cellStyle name="20% - Énfasis1 5 3 2 2 4" xfId="34336" xr:uid="{EB7862DE-3FDB-49CA-9D5C-A63CCF5F778C}"/>
    <cellStyle name="20% - Énfasis1 5 3 2 2 5" xfId="40200" xr:uid="{ADEDA5ED-1F9F-4C09-85CE-CE1A24A3B84C}"/>
    <cellStyle name="20% - Énfasis1 5 3 2 3" xfId="19821" xr:uid="{A99F3B61-B79B-4A03-BCF9-95A8D11C10D5}"/>
    <cellStyle name="20% - Énfasis1 5 3 2 4" xfId="25605" xr:uid="{A2CBE301-4CDE-42B5-A213-EE879D0E0B03}"/>
    <cellStyle name="20% - Énfasis1 5 3 2 5" xfId="31479" xr:uid="{1257DBCF-E61F-4672-90B6-8F38A3D0E6F5}"/>
    <cellStyle name="20% - Énfasis1 5 3 2 6" xfId="37350" xr:uid="{F00FC84E-1145-4002-8232-3888CC448F08}"/>
    <cellStyle name="20% - Énfasis1 5 3 3" xfId="7249" xr:uid="{304B5B45-652A-42B4-9FD0-C0B346EA3674}"/>
    <cellStyle name="20% - Énfasis1 5 3 3 2" xfId="21656" xr:uid="{CE517EDC-3C77-4300-80A4-1DDEE8D77B89}"/>
    <cellStyle name="20% - Énfasis1 5 3 3 3" xfId="27483" xr:uid="{30C8F841-526F-4711-87C1-6C58A130A3AF}"/>
    <cellStyle name="20% - Énfasis1 5 3 3 4" xfId="33365" xr:uid="{25D650AB-CA54-4A5A-ADA3-9A71C344DD3A}"/>
    <cellStyle name="20% - Énfasis1 5 3 3 5" xfId="39229" xr:uid="{91B7F7FD-65AC-4D83-ADAE-70E425AFDE16}"/>
    <cellStyle name="20% - Énfasis1 5 3 4" xfId="18890" xr:uid="{DDA235FD-7A66-4C7D-A3A4-6F29BA3A41AD}"/>
    <cellStyle name="20% - Énfasis1 5 3 5" xfId="24634" xr:uid="{88371383-BF33-46F7-A752-6B0C9DF10996}"/>
    <cellStyle name="20% - Énfasis1 5 3 6" xfId="30513" xr:uid="{F4CB2ECC-23AD-4D84-90F3-101638ABD4E1}"/>
    <cellStyle name="20% - Énfasis1 5 3 7" xfId="36393" xr:uid="{B163E3D6-190F-4DF6-A812-3DF8D10C5D02}"/>
    <cellStyle name="20% - Énfasis1 5 4" xfId="4869" xr:uid="{D956132F-3A63-4ECA-819A-9ED0D5CC1384}"/>
    <cellStyle name="20% - Énfasis1 5 4 2" xfId="7736" xr:uid="{493FA4D9-69F8-4556-9993-E50CF0B8B318}"/>
    <cellStyle name="20% - Énfasis1 5 4 2 2" xfId="22126" xr:uid="{94DE2813-32D8-4619-B157-A2EF17C7C481}"/>
    <cellStyle name="20% - Énfasis1 5 4 2 3" xfId="27969" xr:uid="{4204178F-B407-49B1-924D-80A177714E94}"/>
    <cellStyle name="20% - Énfasis1 5 4 2 4" xfId="33851" xr:uid="{B9C6087B-F0DB-434E-AB68-2462868D9DFE}"/>
    <cellStyle name="20% - Énfasis1 5 4 2 5" xfId="39715" xr:uid="{693240D5-62EE-4899-ACE5-EF0966000C11}"/>
    <cellStyle name="20% - Énfasis1 5 4 3" xfId="19352" xr:uid="{DDCEBDFB-6EBB-424D-8269-5182A242334D}"/>
    <cellStyle name="20% - Énfasis1 5 4 4" xfId="25120" xr:uid="{875F7F66-E3F1-4B74-B328-8E67DDC7B141}"/>
    <cellStyle name="20% - Énfasis1 5 4 5" xfId="30994" xr:uid="{A8EF17E1-B56E-49F4-85C6-68B34077376F}"/>
    <cellStyle name="20% - Énfasis1 5 4 6" xfId="36873" xr:uid="{975E38F0-A682-4A83-9362-AC47EA451654}"/>
    <cellStyle name="20% - Énfasis1 5 5" xfId="5879" xr:uid="{812356C8-F0C5-4BCB-8552-A545E4D6AEC3}"/>
    <cellStyle name="20% - Énfasis1 5 5 2" xfId="8748" xr:uid="{3DE4DB02-0549-42EF-8575-446792A4FB8D}"/>
    <cellStyle name="20% - Énfasis1 5 5 2 2" xfId="23116" xr:uid="{DF865539-425F-4471-AA14-F275A5831DBD}"/>
    <cellStyle name="20% - Énfasis1 5 5 2 3" xfId="28980" xr:uid="{2FBB9BCB-66B6-4F8C-A6DB-E7FC25DB7084}"/>
    <cellStyle name="20% - Énfasis1 5 5 2 4" xfId="34862" xr:uid="{8B61BA2D-9683-4CE1-9003-4646293B4315}"/>
    <cellStyle name="20% - Énfasis1 5 5 2 5" xfId="40726" xr:uid="{6516D962-909F-4B5F-A339-9A29BE0D3E78}"/>
    <cellStyle name="20% - Énfasis1 5 5 3" xfId="20330" xr:uid="{5B63AC34-0782-49C3-A0E3-64449151D08A}"/>
    <cellStyle name="20% - Énfasis1 5 5 4" xfId="26130" xr:uid="{46474787-F07E-42FF-AAA1-3EBA059DCD36}"/>
    <cellStyle name="20% - Énfasis1 5 5 5" xfId="32005" xr:uid="{8809D573-D773-4F95-9BDA-889DC8F11A72}"/>
    <cellStyle name="20% - Énfasis1 5 5 6" xfId="37871" xr:uid="{39F3F9B4-1543-4DEF-8FC7-3C92FFBA10CB}"/>
    <cellStyle name="20% - Énfasis1 5 6" xfId="6765" xr:uid="{B02BC36F-C761-4D2B-8D78-90DA0918C244}"/>
    <cellStyle name="20% - Énfasis1 5 6 2" xfId="21189" xr:uid="{E46CF172-56AB-4A7C-94AA-D2C17FE2845F}"/>
    <cellStyle name="20% - Énfasis1 5 6 3" xfId="27004" xr:uid="{5534E1C6-3E5E-4E59-98E2-B3D2FA617A75}"/>
    <cellStyle name="20% - Énfasis1 5 6 4" xfId="32880" xr:uid="{ADEA85AD-F53F-422F-ABD2-395346FA4912}"/>
    <cellStyle name="20% - Énfasis1 5 6 5" xfId="38744" xr:uid="{89B75E9E-122A-413A-99B4-69C51B7CA328}"/>
    <cellStyle name="20% - Énfasis1 5 7" xfId="18435" xr:uid="{C5D0AF79-A535-4EA7-8B33-B9D00EDD52D8}"/>
    <cellStyle name="20% - Énfasis1 5 8" xfId="24143" xr:uid="{EE79B19F-D5CC-409A-9C77-F12E45FC545F}"/>
    <cellStyle name="20% - Énfasis1 5 9" xfId="30021" xr:uid="{E307287E-EED8-4C9E-B3D3-6F792DE28865}"/>
    <cellStyle name="20% - Énfasis1 50" xfId="9530" xr:uid="{DDC4A665-3A5C-4FC6-8F81-9E2973C5537A}"/>
    <cellStyle name="20% - Énfasis1 50 2" xfId="23892" xr:uid="{B3045046-9CBE-405C-B992-2E4E33B3CC2F}"/>
    <cellStyle name="20% - Énfasis1 50 3" xfId="29762" xr:uid="{26AF481E-1D6E-4087-9757-979F4D8269AB}"/>
    <cellStyle name="20% - Énfasis1 50 4" xfId="35644" xr:uid="{A73C0FB5-8698-40FB-89A3-BB179BC0BCEA}"/>
    <cellStyle name="20% - Énfasis1 50 5" xfId="41503" xr:uid="{DE06E724-A9F5-4658-AC68-9F80DB1E59D7}"/>
    <cellStyle name="20% - Énfasis1 51" xfId="9556" xr:uid="{20923C58-A43D-4525-89FE-BC79A7FE5243}"/>
    <cellStyle name="20% - Énfasis1 51 2" xfId="23918" xr:uid="{9E78D8CE-4AC4-4519-AC8F-C392F2A10EE6}"/>
    <cellStyle name="20% - Énfasis1 51 3" xfId="29788" xr:uid="{5887FCD7-1726-4B01-A865-BF1E67443E0A}"/>
    <cellStyle name="20% - Énfasis1 51 4" xfId="35670" xr:uid="{5629B029-29D6-4D04-950C-73489344A5F8}"/>
    <cellStyle name="20% - Énfasis1 51 5" xfId="41529" xr:uid="{B6B61A67-AFF5-425E-97B4-4EA2F1118165}"/>
    <cellStyle name="20% - Énfasis1 52" xfId="15758" xr:uid="{D6605F2C-BC00-41F4-B308-BC6CB3FE7D8B}"/>
    <cellStyle name="20% - Énfasis1 52 2" xfId="23978" xr:uid="{D8517AC0-D87F-443A-A6EA-F570D91A63FE}"/>
    <cellStyle name="20% - Énfasis1 52 3" xfId="29850" xr:uid="{A000308E-53EF-4CDD-BA9D-97EACFA68D42}"/>
    <cellStyle name="20% - Énfasis1 52 4" xfId="35732" xr:uid="{09AE900C-1201-4F66-A6DB-C4DEE75D3039}"/>
    <cellStyle name="20% - Énfasis1 52 5" xfId="41591" xr:uid="{DE9C202F-E151-4DE3-B5A1-4FA61B992BC0}"/>
    <cellStyle name="20% - Énfasis1 53" xfId="15782" xr:uid="{965270F6-AD35-4B8C-AAA8-E1ED706C3D9C}"/>
    <cellStyle name="20% - Énfasis1 53 2" xfId="23999" xr:uid="{5EF7561E-80EE-48EC-B975-A81E1FD8AF65}"/>
    <cellStyle name="20% - Énfasis1 53 3" xfId="29874" xr:uid="{90DB3777-9CD0-4B58-903A-2D83DF1A238E}"/>
    <cellStyle name="20% - Énfasis1 53 4" xfId="35756" xr:uid="{FEE0C0CA-DDDD-4D2C-A55E-9DDEADC0C222}"/>
    <cellStyle name="20% - Énfasis1 53 5" xfId="41615" xr:uid="{D58454DD-8758-43B2-8685-CDF758075441}"/>
    <cellStyle name="20% - Énfasis1 54" xfId="15817" xr:uid="{89EE4E74-7571-40D7-AC16-C1CDB74B4290}"/>
    <cellStyle name="20% - Énfasis1 55" xfId="18292" xr:uid="{58D1FAEA-3764-49DA-BBE2-331790CECDCC}"/>
    <cellStyle name="20% - Énfasis1 56" xfId="18315" xr:uid="{370EABAE-FFD3-4A84-8373-B4781A873476}"/>
    <cellStyle name="20% - Énfasis1 57" xfId="24027" xr:uid="{9845CCF2-7E28-4CA8-9066-51DC6BADE558}"/>
    <cellStyle name="20% - Énfasis1 58" xfId="29905" xr:uid="{4D810E19-EAC7-4683-A17B-5AC565272A22}"/>
    <cellStyle name="20% - Énfasis1 59" xfId="35786" xr:uid="{2404B967-F7C0-40A7-8634-1CA78B16E9D9}"/>
    <cellStyle name="20% - Énfasis1 6" xfId="3934" xr:uid="{98BA6E02-EC18-458B-ABF6-C278E0D39D6F}"/>
    <cellStyle name="20% - Énfasis1 6 10" xfId="35925" xr:uid="{60FE9888-251E-41E3-B0D9-60ACE7783C35}"/>
    <cellStyle name="20% - Énfasis1 6 2" xfId="4126" xr:uid="{D8143CA8-B90C-48F4-9FE2-5B91E3F6B244}"/>
    <cellStyle name="20% - Énfasis1 6 2 2" xfId="4604" xr:uid="{B311E330-30EA-4DF6-8A00-C9DA0703A140}"/>
    <cellStyle name="20% - Énfasis1 6 2 2 2" xfId="5572" xr:uid="{9C5227B8-5CDD-4A1D-A009-508E37A375A3}"/>
    <cellStyle name="20% - Énfasis1 6 2 2 2 2" xfId="8439" xr:uid="{3ED381C9-BBA3-4027-A18B-454B52495BE6}"/>
    <cellStyle name="20% - Énfasis1 6 2 2 2 2 2" xfId="22814" xr:uid="{DFE0568A-57F9-42D8-A19D-DEE7A74A2769}"/>
    <cellStyle name="20% - Énfasis1 6 2 2 2 2 3" xfId="28672" xr:uid="{27990D15-559C-40FC-86F8-E782BAC6E91B}"/>
    <cellStyle name="20% - Énfasis1 6 2 2 2 2 4" xfId="34554" xr:uid="{D55C216C-5661-444F-B023-4991FD4A5899}"/>
    <cellStyle name="20% - Énfasis1 6 2 2 2 2 5" xfId="40418" xr:uid="{AD644B5C-E3B8-43BE-988E-E2F193F94773}"/>
    <cellStyle name="20% - Énfasis1 6 2 2 2 3" xfId="20032" xr:uid="{797E034E-E51F-4017-9483-E651E2C5D350}"/>
    <cellStyle name="20% - Énfasis1 6 2 2 2 4" xfId="25823" xr:uid="{59BDDB89-E90B-4FDC-B0AD-8CF3D131CF8E}"/>
    <cellStyle name="20% - Énfasis1 6 2 2 2 5" xfId="31697" xr:uid="{3C682B9E-2F98-419F-91D0-448EA41EC517}"/>
    <cellStyle name="20% - Énfasis1 6 2 2 2 6" xfId="37567" xr:uid="{CAA1CF80-C844-49E5-929E-7B1DD9CA7100}"/>
    <cellStyle name="20% - Énfasis1 6 2 2 3" xfId="7467" xr:uid="{21AD89D2-1F45-4850-AECE-10F7B54AE42D}"/>
    <cellStyle name="20% - Énfasis1 6 2 2 3 2" xfId="21869" xr:uid="{C48ED0F6-892B-4D4B-9B6C-9CB3BCAAB872}"/>
    <cellStyle name="20% - Énfasis1 6 2 2 3 3" xfId="27701" xr:uid="{4D606453-63DB-4FE1-AB40-680E00D98BA2}"/>
    <cellStyle name="20% - Énfasis1 6 2 2 3 4" xfId="33583" xr:uid="{40E38EF9-42AF-4E13-A4D0-FAC85491A497}"/>
    <cellStyle name="20% - Énfasis1 6 2 2 3 5" xfId="39447" xr:uid="{0DD085E5-B36A-4FA9-8D42-67B9ADE55AD6}"/>
    <cellStyle name="20% - Énfasis1 6 2 2 4" xfId="19099" xr:uid="{43664CA9-1DE1-474C-A7A2-974DC1001E5C}"/>
    <cellStyle name="20% - Énfasis1 6 2 2 5" xfId="24852" xr:uid="{172778DA-8874-4D81-9C34-620010105D20}"/>
    <cellStyle name="20% - Énfasis1 6 2 2 6" xfId="30729" xr:uid="{DC1A23B6-99A5-4942-B2B3-91BBBC478AF7}"/>
    <cellStyle name="20% - Énfasis1 6 2 2 7" xfId="36610" xr:uid="{E60E0C01-B829-42BD-BA3A-42751832C9FA}"/>
    <cellStyle name="20% - Énfasis1 6 2 3" xfId="5087" xr:uid="{76B0958E-9335-490D-95ED-0BBD19FE18A9}"/>
    <cellStyle name="20% - Énfasis1 6 2 3 2" xfId="7954" xr:uid="{52FB0CF9-5F4B-4CCF-A44C-BB870848B8A6}"/>
    <cellStyle name="20% - Énfasis1 6 2 3 2 2" xfId="22339" xr:uid="{D8DAC56C-DEF5-47EC-9194-3ABA50764F9D}"/>
    <cellStyle name="20% - Énfasis1 6 2 3 2 3" xfId="28187" xr:uid="{AF19CC7B-DA17-49F6-83B1-2F6BF5280676}"/>
    <cellStyle name="20% - Énfasis1 6 2 3 2 4" xfId="34069" xr:uid="{8D6D480F-8B1A-442B-88D3-7FA805C70CAF}"/>
    <cellStyle name="20% - Énfasis1 6 2 3 2 5" xfId="39933" xr:uid="{396C9608-5608-43E3-BEE8-B9AEE6732354}"/>
    <cellStyle name="20% - Énfasis1 6 2 3 3" xfId="19564" xr:uid="{415D986F-8672-4413-A887-62F214BF1A95}"/>
    <cellStyle name="20% - Énfasis1 6 2 3 4" xfId="25338" xr:uid="{9A671551-7F10-4AA6-8200-99E8E94E21D2}"/>
    <cellStyle name="20% - Énfasis1 6 2 3 5" xfId="31212" xr:uid="{71312FCF-E8EF-40DE-B310-9FE190DA7788}"/>
    <cellStyle name="20% - Énfasis1 6 2 3 6" xfId="37090" xr:uid="{419AEF00-54EB-4234-9E21-F3CC44B9539A}"/>
    <cellStyle name="20% - Énfasis1 6 2 4" xfId="6982" xr:uid="{56196A2A-7B83-4258-9F92-1B9E1D6E7B40}"/>
    <cellStyle name="20% - Énfasis1 6 2 4 2" xfId="21401" xr:uid="{493D7DC5-5D98-4CF4-8BB1-D952B1AE8B08}"/>
    <cellStyle name="20% - Énfasis1 6 2 4 3" xfId="27220" xr:uid="{BDD87174-4D6C-482D-B850-A2099FBE6191}"/>
    <cellStyle name="20% - Énfasis1 6 2 4 4" xfId="33098" xr:uid="{75716265-9CBB-4AAF-A387-C6ED14B7523E}"/>
    <cellStyle name="20% - Énfasis1 6 2 4 5" xfId="38962" xr:uid="{F668CA18-9027-47A6-A3A8-82779EF9B959}"/>
    <cellStyle name="20% - Énfasis1 6 2 5" xfId="18655" xr:uid="{9D6E9205-4689-4DB4-80F1-63178F43FC1E}"/>
    <cellStyle name="20% - Énfasis1 6 2 6" xfId="24369" xr:uid="{FC1E5C69-533C-4C8A-A166-752C138F5832}"/>
    <cellStyle name="20% - Énfasis1 6 2 7" xfId="30247" xr:uid="{9A22721D-5913-4ED1-8DE0-09B4AC1FBFD6}"/>
    <cellStyle name="20% - Énfasis1 6 2 8" xfId="36126" xr:uid="{07C8463B-9EBE-4B80-8FA9-B10C3099245E}"/>
    <cellStyle name="20% - Énfasis1 6 3" xfId="4410" xr:uid="{5B67DFC7-F2F9-49B3-8EBD-DB8C81B692C1}"/>
    <cellStyle name="20% - Énfasis1 6 3 2" xfId="5376" xr:uid="{3BD0B378-5245-4DB1-AE16-6B2D3E1AA73F}"/>
    <cellStyle name="20% - Énfasis1 6 3 2 2" xfId="8243" xr:uid="{BAB8C26C-E48E-4258-B1CD-6786F181799D}"/>
    <cellStyle name="20% - Énfasis1 6 3 2 2 2" xfId="22619" xr:uid="{980E05CB-1355-4D16-B02E-ABA11039679B}"/>
    <cellStyle name="20% - Énfasis1 6 3 2 2 3" xfId="28476" xr:uid="{D11D00E7-A96D-4E2C-A07A-6FFFF9C9B04A}"/>
    <cellStyle name="20% - Énfasis1 6 3 2 2 4" xfId="34358" xr:uid="{28A6063B-4C84-4A9E-A1C5-5AF109EE51C2}"/>
    <cellStyle name="20% - Énfasis1 6 3 2 2 5" xfId="40222" xr:uid="{6C3285D8-CBF2-4BE6-9DC7-6B19CF02E2A7}"/>
    <cellStyle name="20% - Énfasis1 6 3 2 3" xfId="19843" xr:uid="{2BE541E8-3575-4397-9AA9-2C2FC25D4FB8}"/>
    <cellStyle name="20% - Énfasis1 6 3 2 4" xfId="25627" xr:uid="{D2E55FEF-6418-40C6-92D5-59768071755B}"/>
    <cellStyle name="20% - Énfasis1 6 3 2 5" xfId="31501" xr:uid="{4BFE4D9B-A5D8-4A69-A626-F9DB51EF9249}"/>
    <cellStyle name="20% - Énfasis1 6 3 2 6" xfId="37372" xr:uid="{29811654-B68F-4A6E-BE8B-510DB4B6AAA0}"/>
    <cellStyle name="20% - Énfasis1 6 3 3" xfId="7271" xr:uid="{47F58F8E-8E96-4E63-8081-6507184A853E}"/>
    <cellStyle name="20% - Énfasis1 6 3 3 2" xfId="21678" xr:uid="{9A86EB0E-2326-4B79-8FB4-48D7387891B1}"/>
    <cellStyle name="20% - Énfasis1 6 3 3 3" xfId="27505" xr:uid="{B3BD71E1-61F1-4E4D-85C0-F7A0ABC90FDE}"/>
    <cellStyle name="20% - Énfasis1 6 3 3 4" xfId="33387" xr:uid="{CDA9AD65-233F-429C-87E2-E0D35C1E40A8}"/>
    <cellStyle name="20% - Énfasis1 6 3 3 5" xfId="39251" xr:uid="{B468D492-B117-449F-A13E-85A76BE5B344}"/>
    <cellStyle name="20% - Énfasis1 6 3 4" xfId="18912" xr:uid="{C9A9E966-1171-45E7-A97C-054748B75C7F}"/>
    <cellStyle name="20% - Énfasis1 6 3 5" xfId="24656" xr:uid="{DD9C1A1F-5E19-463B-B1EB-B136302374AA}"/>
    <cellStyle name="20% - Énfasis1 6 3 6" xfId="30535" xr:uid="{33E9C5CC-4930-4A76-A24C-5A41362CA923}"/>
    <cellStyle name="20% - Énfasis1 6 3 7" xfId="36415" xr:uid="{9F12BD47-318C-4821-B33F-D1F7B9269A73}"/>
    <cellStyle name="20% - Énfasis1 6 4" xfId="4891" xr:uid="{BDE25C64-7444-432C-BB6D-CBC84F85A9B4}"/>
    <cellStyle name="20% - Énfasis1 6 4 2" xfId="7758" xr:uid="{A39998BC-1CED-4A7C-B0B0-328E0EED7ADB}"/>
    <cellStyle name="20% - Énfasis1 6 4 2 2" xfId="22148" xr:uid="{12AA8EE0-D3FC-455B-BEE5-7480908AD0FE}"/>
    <cellStyle name="20% - Énfasis1 6 4 2 3" xfId="27991" xr:uid="{2A3CD2C5-8DE9-440D-87BA-65B6DC733CAB}"/>
    <cellStyle name="20% - Énfasis1 6 4 2 4" xfId="33873" xr:uid="{97CDB988-1061-4D44-B418-BE31C0BDDCE2}"/>
    <cellStyle name="20% - Énfasis1 6 4 2 5" xfId="39737" xr:uid="{1DE05616-D7C4-47B0-BD11-FB6874BF4D48}"/>
    <cellStyle name="20% - Énfasis1 6 4 3" xfId="19374" xr:uid="{5A6E712F-80D0-47C1-9BF2-2CE50B61B063}"/>
    <cellStyle name="20% - Énfasis1 6 4 4" xfId="25142" xr:uid="{52510157-C0F2-4B03-A6A7-866EB52CBC51}"/>
    <cellStyle name="20% - Énfasis1 6 4 5" xfId="31016" xr:uid="{323D72F9-0C11-45A4-AEE2-51BBF69FC51D}"/>
    <cellStyle name="20% - Énfasis1 6 4 6" xfId="36895" xr:uid="{9EB24F8A-BBE9-45E8-89E4-5F9CF93EE70C}"/>
    <cellStyle name="20% - Énfasis1 6 5" xfId="5901" xr:uid="{CE8EACD7-0CA8-45E4-8D3A-6CC13B6D6CE5}"/>
    <cellStyle name="20% - Énfasis1 6 5 2" xfId="8770" xr:uid="{FA584807-B8F4-49B5-A800-2981B0D8D350}"/>
    <cellStyle name="20% - Énfasis1 6 5 2 2" xfId="23138" xr:uid="{933159B0-5F4C-4CCD-9F57-92230697D870}"/>
    <cellStyle name="20% - Énfasis1 6 5 2 3" xfId="29002" xr:uid="{5FE77B51-8249-47B4-8A43-A3A8F7FCECAF}"/>
    <cellStyle name="20% - Énfasis1 6 5 2 4" xfId="34884" xr:uid="{CF621717-5F17-478A-9D0E-222F89C74817}"/>
    <cellStyle name="20% - Énfasis1 6 5 2 5" xfId="40748" xr:uid="{9F4B31B1-FC5C-45F5-85D4-3672E7725CCB}"/>
    <cellStyle name="20% - Énfasis1 6 5 3" xfId="20352" xr:uid="{4F04A4F0-3167-4721-ADDD-B5D68312F575}"/>
    <cellStyle name="20% - Énfasis1 6 5 4" xfId="26152" xr:uid="{F8872A1F-4828-4B4D-88E8-19D9C9F3E708}"/>
    <cellStyle name="20% - Énfasis1 6 5 5" xfId="32027" xr:uid="{880D8814-BB88-4784-8C7D-B6D5752987BF}"/>
    <cellStyle name="20% - Énfasis1 6 5 6" xfId="37893" xr:uid="{CAB83B59-5170-4400-989D-0AD17F52D119}"/>
    <cellStyle name="20% - Énfasis1 6 6" xfId="6787" xr:uid="{687B4974-BEC7-4F34-927E-500127C08B55}"/>
    <cellStyle name="20% - Énfasis1 6 6 2" xfId="21211" xr:uid="{E10CCE3A-21C6-49AD-9148-D44ED381FCBD}"/>
    <cellStyle name="20% - Énfasis1 6 6 3" xfId="27026" xr:uid="{99ED3265-3B74-4642-B0F2-5367A0880AD3}"/>
    <cellStyle name="20% - Énfasis1 6 6 4" xfId="32902" xr:uid="{FB6263E0-9FCD-4D3F-9461-8D8B4E6C2C18}"/>
    <cellStyle name="20% - Énfasis1 6 6 5" xfId="38766" xr:uid="{0315A9DC-0594-48E0-90AB-E849291DA2B0}"/>
    <cellStyle name="20% - Énfasis1 6 7" xfId="18458" xr:uid="{4BDF88F5-0FE0-439C-B8F6-79DDD804E73D}"/>
    <cellStyle name="20% - Énfasis1 6 8" xfId="24166" xr:uid="{93534F0A-E6B6-4B0A-B899-FA30B20EC251}"/>
    <cellStyle name="20% - Énfasis1 6 9" xfId="30044" xr:uid="{0A779190-463B-4B64-98CD-A51EF3461138}"/>
    <cellStyle name="20% - Énfasis1 7" xfId="3958" xr:uid="{E487C179-2895-4D09-8AFB-454A0584501B}"/>
    <cellStyle name="20% - Énfasis1 7 10" xfId="35950" xr:uid="{1DD78EA3-8D8F-4000-8DE2-C75A4147A5D1}"/>
    <cellStyle name="20% - Énfasis1 7 2" xfId="4150" xr:uid="{D9752F00-E8C1-47E7-A2CA-957998770658}"/>
    <cellStyle name="20% - Énfasis1 7 2 2" xfId="4628" xr:uid="{5BD5B62A-EAA1-4384-8B17-D2D1E26A5E02}"/>
    <cellStyle name="20% - Énfasis1 7 2 2 2" xfId="5596" xr:uid="{37761A72-EA70-40E5-A331-7D6DF63F9A54}"/>
    <cellStyle name="20% - Énfasis1 7 2 2 2 2" xfId="8463" xr:uid="{4E3BCFF3-77E2-4EBD-83B1-17D1D6076DF9}"/>
    <cellStyle name="20% - Énfasis1 7 2 2 2 2 2" xfId="22838" xr:uid="{FDEDDD11-6CCA-4899-A184-64D7DABC1CAC}"/>
    <cellStyle name="20% - Énfasis1 7 2 2 2 2 3" xfId="28696" xr:uid="{D80FD6EB-1243-404E-8467-61721F5BB9FB}"/>
    <cellStyle name="20% - Énfasis1 7 2 2 2 2 4" xfId="34578" xr:uid="{1FCEA521-F105-456C-8146-0B0CE31D08EB}"/>
    <cellStyle name="20% - Énfasis1 7 2 2 2 2 5" xfId="40442" xr:uid="{BB02E5F2-EF99-4465-9C46-63ADC545EC27}"/>
    <cellStyle name="20% - Énfasis1 7 2 2 2 3" xfId="20055" xr:uid="{F8CBEE4C-450C-4FB8-B860-918E76D96C26}"/>
    <cellStyle name="20% - Énfasis1 7 2 2 2 4" xfId="25847" xr:uid="{571F7927-050C-48C2-849D-87E969D08150}"/>
    <cellStyle name="20% - Énfasis1 7 2 2 2 5" xfId="31721" xr:uid="{93A4AF39-E12D-4D3D-B686-DBBECB450375}"/>
    <cellStyle name="20% - Énfasis1 7 2 2 2 6" xfId="37591" xr:uid="{54009A63-E1C7-41AE-9F50-31AC4F09F8DE}"/>
    <cellStyle name="20% - Énfasis1 7 2 2 3" xfId="7491" xr:uid="{1631F93C-EEFE-49F3-A1FF-12AA42AD3AD2}"/>
    <cellStyle name="20% - Énfasis1 7 2 2 3 2" xfId="21892" xr:uid="{44529906-AE6A-4579-A661-3F602C8BE8B5}"/>
    <cellStyle name="20% - Énfasis1 7 2 2 3 3" xfId="27725" xr:uid="{C41C2F0C-398B-4EE8-A206-A7641754CF5E}"/>
    <cellStyle name="20% - Énfasis1 7 2 2 3 4" xfId="33607" xr:uid="{60FA54E7-9155-4832-9AB1-9C32CB045EBF}"/>
    <cellStyle name="20% - Énfasis1 7 2 2 3 5" xfId="39471" xr:uid="{4F5F7791-2965-42B5-B4EE-CA51FD779903}"/>
    <cellStyle name="20% - Énfasis1 7 2 2 4" xfId="19122" xr:uid="{39212466-9713-4C5C-BF34-98C0551F8F86}"/>
    <cellStyle name="20% - Énfasis1 7 2 2 5" xfId="24876" xr:uid="{B3B3AB0F-17D6-4441-8342-E3AFA37CD4CA}"/>
    <cellStyle name="20% - Énfasis1 7 2 2 6" xfId="30752" xr:uid="{7BBBA49C-8269-4F5E-A563-33D5600B3F99}"/>
    <cellStyle name="20% - Énfasis1 7 2 2 7" xfId="36634" xr:uid="{13F62E57-EEF1-4593-8BE2-C88F54ABED99}"/>
    <cellStyle name="20% - Énfasis1 7 2 3" xfId="5111" xr:uid="{7B90BC18-7847-472F-8637-605E521BB230}"/>
    <cellStyle name="20% - Énfasis1 7 2 3 2" xfId="7978" xr:uid="{4427AC6A-728C-4C78-91DA-415E92560CE8}"/>
    <cellStyle name="20% - Énfasis1 7 2 3 2 2" xfId="22363" xr:uid="{6248E557-2DD5-44A3-B694-1AC8419A43AF}"/>
    <cellStyle name="20% - Énfasis1 7 2 3 2 3" xfId="28211" xr:uid="{A9448AE4-8020-4C0B-B8CD-08E3DF8209C6}"/>
    <cellStyle name="20% - Énfasis1 7 2 3 2 4" xfId="34093" xr:uid="{A39B8743-EE2E-444D-90AC-211C2A058B7B}"/>
    <cellStyle name="20% - Énfasis1 7 2 3 2 5" xfId="39957" xr:uid="{BE06E96F-75FC-4E28-B216-40E1C67E0879}"/>
    <cellStyle name="20% - Énfasis1 7 2 3 3" xfId="19586" xr:uid="{740B5B92-FAC9-4CC7-A1BD-E151EFDB93B6}"/>
    <cellStyle name="20% - Énfasis1 7 2 3 4" xfId="25362" xr:uid="{851D5448-4904-4A66-8E95-7D9731A6A965}"/>
    <cellStyle name="20% - Énfasis1 7 2 3 5" xfId="31236" xr:uid="{34C42E10-29C4-4B11-B7C0-FA2756E7A13D}"/>
    <cellStyle name="20% - Énfasis1 7 2 3 6" xfId="37114" xr:uid="{5D8E7C51-BB52-4C8A-BCBD-CB01295D108B}"/>
    <cellStyle name="20% - Énfasis1 7 2 4" xfId="7006" xr:uid="{C9FB867C-0D51-4EB7-87A7-3C70BC527EDF}"/>
    <cellStyle name="20% - Énfasis1 7 2 4 2" xfId="21423" xr:uid="{BF5DB1ED-0C1D-4AB6-8BC2-CD4F96BFDFFC}"/>
    <cellStyle name="20% - Énfasis1 7 2 4 3" xfId="27244" xr:uid="{A9AAA85F-E13E-4267-94E7-3CDE994AEE5E}"/>
    <cellStyle name="20% - Énfasis1 7 2 4 4" xfId="33122" xr:uid="{3096F49D-B38B-4B7D-95C4-EC22FCA70196}"/>
    <cellStyle name="20% - Énfasis1 7 2 4 5" xfId="38986" xr:uid="{56AF0BB6-6494-4AF5-9420-A95AF1713F94}"/>
    <cellStyle name="20% - Énfasis1 7 2 5" xfId="18678" xr:uid="{B244D92A-EF77-41D4-8940-8D9FA3C41019}"/>
    <cellStyle name="20% - Énfasis1 7 2 6" xfId="24393" xr:uid="{855DE15A-FEA8-4D35-A644-6BB236941746}"/>
    <cellStyle name="20% - Énfasis1 7 2 7" xfId="30270" xr:uid="{81F247A0-5B7D-4E0B-AA70-DCCD0C95C335}"/>
    <cellStyle name="20% - Énfasis1 7 2 8" xfId="36150" xr:uid="{53B71CFE-8941-4265-BF75-B19AB49C8BDC}"/>
    <cellStyle name="20% - Énfasis1 7 3" xfId="4433" xr:uid="{327F2A2F-231C-45EE-B6F9-56F1A93B407B}"/>
    <cellStyle name="20% - Énfasis1 7 3 2" xfId="5400" xr:uid="{1CEB3D2C-16B8-47E2-8EC1-BE2FD4985850}"/>
    <cellStyle name="20% - Énfasis1 7 3 2 2" xfId="8267" xr:uid="{DCA45D73-9E66-4E51-AD35-66BB2C7DC723}"/>
    <cellStyle name="20% - Énfasis1 7 3 2 2 2" xfId="22643" xr:uid="{52776BD9-8884-47F3-8BB7-27F3922F3B70}"/>
    <cellStyle name="20% - Énfasis1 7 3 2 2 3" xfId="28500" xr:uid="{D2CAE4C1-1394-47B5-B844-9CA64717D706}"/>
    <cellStyle name="20% - Énfasis1 7 3 2 2 4" xfId="34382" xr:uid="{53865997-E8B0-4CB9-8454-143533B24863}"/>
    <cellStyle name="20% - Énfasis1 7 3 2 2 5" xfId="40246" xr:uid="{22D27B05-94ED-4416-A412-1E2D39989009}"/>
    <cellStyle name="20% - Énfasis1 7 3 2 3" xfId="19865" xr:uid="{A54E4F07-E182-4DC8-B66E-1B55C68FC742}"/>
    <cellStyle name="20% - Énfasis1 7 3 2 4" xfId="25651" xr:uid="{8C300272-670A-4360-9C45-12E11301C1EE}"/>
    <cellStyle name="20% - Énfasis1 7 3 2 5" xfId="31525" xr:uid="{56BF7180-E75E-4ADE-B6C2-1CC287EAF982}"/>
    <cellStyle name="20% - Énfasis1 7 3 2 6" xfId="37396" xr:uid="{A8F32BF9-5CE2-4C0D-8CBD-19A89AAA48CE}"/>
    <cellStyle name="20% - Énfasis1 7 3 3" xfId="7295" xr:uid="{0C3B4ACD-D3D2-46AA-940A-E68C0F4F5CB5}"/>
    <cellStyle name="20% - Énfasis1 7 3 3 2" xfId="21700" xr:uid="{C402A386-04C2-4109-9BC9-E4F979478984}"/>
    <cellStyle name="20% - Énfasis1 7 3 3 3" xfId="27529" xr:uid="{B9AB787F-9BDE-4FBE-9F4D-37A2A2EFF1D1}"/>
    <cellStyle name="20% - Énfasis1 7 3 3 4" xfId="33411" xr:uid="{77EA1B16-3711-423C-B7EC-267C248FE57B}"/>
    <cellStyle name="20% - Énfasis1 7 3 3 5" xfId="39275" xr:uid="{C85683AE-A536-437B-A7A7-1D6FA7DF6114}"/>
    <cellStyle name="20% - Énfasis1 7 3 4" xfId="18936" xr:uid="{525C9A36-FA4D-4CBC-93C5-3A9648B3F5CE}"/>
    <cellStyle name="20% - Énfasis1 7 3 5" xfId="24680" xr:uid="{2A09DB01-3F7B-451E-A1BC-81F8C316B51A}"/>
    <cellStyle name="20% - Énfasis1 7 3 6" xfId="30558" xr:uid="{71C06500-77CA-4E4A-B7F7-5316AC42E89D}"/>
    <cellStyle name="20% - Énfasis1 7 3 7" xfId="36439" xr:uid="{2AFDB2BF-8FAD-4E84-93C7-9ED7A98DA9E5}"/>
    <cellStyle name="20% - Énfasis1 7 4" xfId="4915" xr:uid="{CF3ED418-58F6-4E72-A7A2-1E7114352DB7}"/>
    <cellStyle name="20% - Énfasis1 7 4 2" xfId="7782" xr:uid="{7957556B-721B-445E-9432-A67E52C701A0}"/>
    <cellStyle name="20% - Énfasis1 7 4 2 2" xfId="22170" xr:uid="{8508B36E-5EC0-48EE-B6DC-5BDEF684764A}"/>
    <cellStyle name="20% - Énfasis1 7 4 2 3" xfId="28015" xr:uid="{03C6D118-89F1-4E17-BBA6-B098426A520A}"/>
    <cellStyle name="20% - Énfasis1 7 4 2 4" xfId="33897" xr:uid="{3D3D53CF-FF46-493D-BD2D-8E8A6F647DB5}"/>
    <cellStyle name="20% - Énfasis1 7 4 2 5" xfId="39761" xr:uid="{1113BF0D-4C19-49C8-BF95-A7C836253447}"/>
    <cellStyle name="20% - Énfasis1 7 4 3" xfId="19397" xr:uid="{8C65C53A-6915-4AB1-9B0A-146D056F6E53}"/>
    <cellStyle name="20% - Énfasis1 7 4 4" xfId="25166" xr:uid="{6AFA978B-6A4C-470A-8040-0523DA2D8EFD}"/>
    <cellStyle name="20% - Énfasis1 7 4 5" xfId="31040" xr:uid="{3F41D891-915A-499A-80F9-789E3D0A4C75}"/>
    <cellStyle name="20% - Énfasis1 7 4 6" xfId="36919" xr:uid="{A0C5AF05-1E6A-440A-9464-C8C6005F8F9A}"/>
    <cellStyle name="20% - Énfasis1 7 5" xfId="5925" xr:uid="{1B103809-D8C1-46BB-B685-F618B426A16F}"/>
    <cellStyle name="20% - Énfasis1 7 5 2" xfId="8794" xr:uid="{0BF89C08-5C09-4BD0-B311-9281578BC9C2}"/>
    <cellStyle name="20% - Énfasis1 7 5 2 2" xfId="23161" xr:uid="{2572E3E5-CA10-4A4D-ADE8-BA492AB7D167}"/>
    <cellStyle name="20% - Énfasis1 7 5 2 3" xfId="29026" xr:uid="{7398FA16-495F-40C8-8061-5D949219D8D8}"/>
    <cellStyle name="20% - Énfasis1 7 5 2 4" xfId="34908" xr:uid="{E5945D12-0BF8-4EFE-8073-0DDAF374F3C2}"/>
    <cellStyle name="20% - Énfasis1 7 5 2 5" xfId="40772" xr:uid="{E21D158B-0F55-419B-8CCF-BAA8EC34291D}"/>
    <cellStyle name="20% - Énfasis1 7 5 3" xfId="20375" xr:uid="{4169D854-7443-447E-9FFE-9B0BFE73E3BC}"/>
    <cellStyle name="20% - Énfasis1 7 5 4" xfId="26176" xr:uid="{240AEC96-49AB-4C8F-96F4-AE74136E43BF}"/>
    <cellStyle name="20% - Énfasis1 7 5 5" xfId="32051" xr:uid="{D01DABAA-AADA-4983-99D5-CAEFF0B09E47}"/>
    <cellStyle name="20% - Énfasis1 7 5 6" xfId="37917" xr:uid="{F225F42D-55D3-4195-A3B4-576BAD4FB614}"/>
    <cellStyle name="20% - Énfasis1 7 6" xfId="6811" xr:uid="{BA451AC4-64A4-4121-B140-4DCACE36DDE3}"/>
    <cellStyle name="20% - Énfasis1 7 6 2" xfId="21234" xr:uid="{D15F7C86-619E-4629-A277-0FCADFD3D455}"/>
    <cellStyle name="20% - Énfasis1 7 6 3" xfId="27050" xr:uid="{98182E54-DF0B-4B5E-912E-E4DE17567800}"/>
    <cellStyle name="20% - Énfasis1 7 6 4" xfId="32926" xr:uid="{8455DE54-EBFC-43FE-9DF8-2A59BAF7CDEC}"/>
    <cellStyle name="20% - Énfasis1 7 6 5" xfId="38790" xr:uid="{4D50D6EB-7401-4FA0-873B-46700C672FBC}"/>
    <cellStyle name="20% - Énfasis1 7 7" xfId="18484" xr:uid="{A5353F86-DB49-4BCD-8C07-DF048877F073}"/>
    <cellStyle name="20% - Énfasis1 7 8" xfId="24192" xr:uid="{AB1B833A-F17D-4906-9D07-53280932A932}"/>
    <cellStyle name="20% - Énfasis1 7 9" xfId="30070" xr:uid="{86D934EB-CFC0-4184-A78C-FA2EE997F267}"/>
    <cellStyle name="20% - Énfasis1 8" xfId="3984" xr:uid="{B93BF0FA-176B-4C71-8CA1-D3EA33B270BA}"/>
    <cellStyle name="20% - Énfasis1 8 10" xfId="35978" xr:uid="{46489D5E-644F-4859-9FD5-3C98D542C5C2}"/>
    <cellStyle name="20% - Énfasis1 8 2" xfId="4176" xr:uid="{CD03DE6F-7DDC-4ADE-8FD2-6DEDB6B075CC}"/>
    <cellStyle name="20% - Énfasis1 8 2 2" xfId="4654" xr:uid="{70AD7E55-86B7-4518-BAD7-11EA180136B5}"/>
    <cellStyle name="20% - Énfasis1 8 2 2 2" xfId="5622" xr:uid="{BFB7332C-53CF-4047-B786-80FFBC187BE6}"/>
    <cellStyle name="20% - Énfasis1 8 2 2 2 2" xfId="8489" xr:uid="{57EBF72E-ED2B-47E6-B40E-3A7E8EF3AC95}"/>
    <cellStyle name="20% - Énfasis1 8 2 2 2 2 2" xfId="22863" xr:uid="{D1F760DC-F087-49D0-B9A2-7EA783738546}"/>
    <cellStyle name="20% - Énfasis1 8 2 2 2 2 3" xfId="28722" xr:uid="{EC00F1B3-1E19-4110-80DE-1DAD053B1738}"/>
    <cellStyle name="20% - Énfasis1 8 2 2 2 2 4" xfId="34604" xr:uid="{0AA6F2A7-15E9-4DAC-B8AA-A965EDEAAD3F}"/>
    <cellStyle name="20% - Énfasis1 8 2 2 2 2 5" xfId="40468" xr:uid="{2146D051-10FB-43F0-A990-2BD76514546A}"/>
    <cellStyle name="20% - Énfasis1 8 2 2 2 3" xfId="20081" xr:uid="{645C7B70-2A89-4BF6-9031-2B1888FCC7AF}"/>
    <cellStyle name="20% - Énfasis1 8 2 2 2 4" xfId="25873" xr:uid="{4414459B-A9FF-4DFF-B9C8-887298CA5F67}"/>
    <cellStyle name="20% - Énfasis1 8 2 2 2 5" xfId="31747" xr:uid="{9ADD798E-4D95-4ABC-BF8E-F7B720E45CFD}"/>
    <cellStyle name="20% - Énfasis1 8 2 2 2 6" xfId="37616" xr:uid="{D9B908F9-48A4-4ECF-BE54-57001EF4C51A}"/>
    <cellStyle name="20% - Énfasis1 8 2 2 3" xfId="7517" xr:uid="{6F685E66-36E5-475F-9DC1-5D2F6F663257}"/>
    <cellStyle name="20% - Énfasis1 8 2 2 3 2" xfId="21917" xr:uid="{D11D882E-B096-4DA4-B812-17BAA7D25210}"/>
    <cellStyle name="20% - Énfasis1 8 2 2 3 3" xfId="27751" xr:uid="{DB658B1F-B101-4ACE-BD1C-329A15B4DD2F}"/>
    <cellStyle name="20% - Énfasis1 8 2 2 3 4" xfId="33633" xr:uid="{07822993-23E4-47A0-A4F8-73D050FFD487}"/>
    <cellStyle name="20% - Énfasis1 8 2 2 3 5" xfId="39497" xr:uid="{D65E347B-595F-4336-BAEB-68F6981EED59}"/>
    <cellStyle name="20% - Énfasis1 8 2 2 4" xfId="19146" xr:uid="{0471876E-D5C6-47BA-9596-D20C652E4FBD}"/>
    <cellStyle name="20% - Énfasis1 8 2 2 5" xfId="24902" xr:uid="{0E2895D8-FD97-4AE3-B73C-8894A9E2C7CB}"/>
    <cellStyle name="20% - Énfasis1 8 2 2 6" xfId="30778" xr:uid="{5A0322C5-5DE1-4D7A-9CFF-3612D8BB8802}"/>
    <cellStyle name="20% - Énfasis1 8 2 2 7" xfId="36659" xr:uid="{B154AA53-AAE1-497D-84A5-1CB2BBE54766}"/>
    <cellStyle name="20% - Énfasis1 8 2 3" xfId="5137" xr:uid="{BE2CADE6-5DA4-4BDF-BC05-353EB5F70C77}"/>
    <cellStyle name="20% - Énfasis1 8 2 3 2" xfId="8004" xr:uid="{3C23F030-4509-4F78-9956-764AB0ED08EC}"/>
    <cellStyle name="20% - Énfasis1 8 2 3 2 2" xfId="22388" xr:uid="{720FA1A7-FC93-4BC1-ACAF-3BAD2B3801C9}"/>
    <cellStyle name="20% - Énfasis1 8 2 3 2 3" xfId="28237" xr:uid="{FF0F483E-84C6-4D47-9805-E45CB988D9E2}"/>
    <cellStyle name="20% - Énfasis1 8 2 3 2 4" xfId="34119" xr:uid="{11D6FB4B-AAE0-4773-91F1-B85D34305D4A}"/>
    <cellStyle name="20% - Énfasis1 8 2 3 2 5" xfId="39983" xr:uid="{67E4224B-5D8E-4F4C-AA9D-4945A9882D22}"/>
    <cellStyle name="20% - Énfasis1 8 2 3 3" xfId="19611" xr:uid="{44E2C8FB-6EA9-4A2F-B73D-0562F24BF966}"/>
    <cellStyle name="20% - Énfasis1 8 2 3 4" xfId="25388" xr:uid="{07C761DA-443E-460F-8108-047EBBDA96FE}"/>
    <cellStyle name="20% - Énfasis1 8 2 3 5" xfId="31262" xr:uid="{38858F5A-6E14-48C5-9C20-2102989F4232}"/>
    <cellStyle name="20% - Énfasis1 8 2 3 6" xfId="37139" xr:uid="{FD120593-6004-4105-9422-28C79F182116}"/>
    <cellStyle name="20% - Énfasis1 8 2 4" xfId="7032" xr:uid="{AF8D6E3B-B38A-471B-B072-906BD832707A}"/>
    <cellStyle name="20% - Énfasis1 8 2 4 2" xfId="21448" xr:uid="{82D646B5-FE8A-4CBA-A48C-1571D7042F7A}"/>
    <cellStyle name="20% - Énfasis1 8 2 4 3" xfId="27269" xr:uid="{F64DB0CD-9878-4315-A7B8-8DBF5C26A891}"/>
    <cellStyle name="20% - Énfasis1 8 2 4 4" xfId="33148" xr:uid="{987BC58E-3835-4A87-8190-5FD6A5DC7109}"/>
    <cellStyle name="20% - Énfasis1 8 2 4 5" xfId="39012" xr:uid="{0583600A-6C4D-43B9-86AA-7222E9BAA130}"/>
    <cellStyle name="20% - Énfasis1 8 2 5" xfId="18703" xr:uid="{ED426E97-D1C1-48CC-B571-417064A47FFE}"/>
    <cellStyle name="20% - Énfasis1 8 2 6" xfId="24419" xr:uid="{96C41450-CFC2-470F-854F-201073DA862A}"/>
    <cellStyle name="20% - Énfasis1 8 2 7" xfId="30296" xr:uid="{B8BDB5E7-90F4-48E6-B781-388092C295FC}"/>
    <cellStyle name="20% - Énfasis1 8 2 8" xfId="36176" xr:uid="{1250C6A0-7117-498A-BBBB-BD9A4B21591A}"/>
    <cellStyle name="20% - Énfasis1 8 3" xfId="4458" xr:uid="{B9906644-6C31-410D-AD4C-B70EADC0C1C8}"/>
    <cellStyle name="20% - Énfasis1 8 3 2" xfId="5426" xr:uid="{62AFC0B9-91B4-4E46-A397-186901AA7F4C}"/>
    <cellStyle name="20% - Énfasis1 8 3 2 2" xfId="8293" xr:uid="{10352E52-D787-4F80-8B02-F38021A1A3D3}"/>
    <cellStyle name="20% - Énfasis1 8 3 2 2 2" xfId="22669" xr:uid="{935D52EC-A8A6-4785-A83E-BBC8D3446A71}"/>
    <cellStyle name="20% - Énfasis1 8 3 2 2 3" xfId="28526" xr:uid="{8CD590C9-91E0-4277-83F4-80B8C83FF6F1}"/>
    <cellStyle name="20% - Énfasis1 8 3 2 2 4" xfId="34408" xr:uid="{8F2512F1-ABAD-4F34-BB15-80DA8EFACD40}"/>
    <cellStyle name="20% - Énfasis1 8 3 2 2 5" xfId="40272" xr:uid="{6F8ADA10-02E2-4F28-84BB-8E2B88697BCB}"/>
    <cellStyle name="20% - Énfasis1 8 3 2 3" xfId="19890" xr:uid="{828A5C9A-DCF7-4626-B252-1450B6B40927}"/>
    <cellStyle name="20% - Énfasis1 8 3 2 4" xfId="25677" xr:uid="{EF0F8039-883F-4D42-B6AC-17E8CC69D8BE}"/>
    <cellStyle name="20% - Énfasis1 8 3 2 5" xfId="31551" xr:uid="{86F26D1E-154A-4D27-B34C-6B0D1D194A29}"/>
    <cellStyle name="20% - Énfasis1 8 3 2 6" xfId="37422" xr:uid="{1DF6B988-50B6-4410-8531-470563A59C4A}"/>
    <cellStyle name="20% - Énfasis1 8 3 3" xfId="7321" xr:uid="{9B4D6BBD-0A0A-4209-8601-F5A3F7FBF035}"/>
    <cellStyle name="20% - Énfasis1 8 3 3 2" xfId="21725" xr:uid="{9B7BB3FE-0F5C-4E16-A2DB-C36D26429AB6}"/>
    <cellStyle name="20% - Énfasis1 8 3 3 3" xfId="27555" xr:uid="{32EDF113-CBF4-41AE-AF53-7681FCE2B439}"/>
    <cellStyle name="20% - Énfasis1 8 3 3 4" xfId="33437" xr:uid="{1BDF4C7D-BB15-410E-84E8-94C4C9DC2926}"/>
    <cellStyle name="20% - Énfasis1 8 3 3 5" xfId="39301" xr:uid="{ADFA26A6-DB38-4831-8B43-81C76F746622}"/>
    <cellStyle name="20% - Énfasis1 8 3 4" xfId="18962" xr:uid="{5FAE27A6-F466-4B37-8C78-87F722F1A74B}"/>
    <cellStyle name="20% - Énfasis1 8 3 5" xfId="24706" xr:uid="{33B99CAF-7004-4DDC-B41A-654DEF16E648}"/>
    <cellStyle name="20% - Énfasis1 8 3 6" xfId="30584" xr:uid="{711586F9-56B8-4AD1-B786-D884234C2F56}"/>
    <cellStyle name="20% - Énfasis1 8 3 7" xfId="36465" xr:uid="{39CDFFE3-E778-4A08-8639-D0DA9C07A20F}"/>
    <cellStyle name="20% - Énfasis1 8 4" xfId="4941" xr:uid="{30371BD3-8CE1-401A-8F96-7132DA480BD3}"/>
    <cellStyle name="20% - Énfasis1 8 4 2" xfId="7808" xr:uid="{0CA59705-D294-4AB7-A352-F0C80820609B}"/>
    <cellStyle name="20% - Énfasis1 8 4 2 2" xfId="22195" xr:uid="{F658FB47-1C67-4279-844B-A69A96198666}"/>
    <cellStyle name="20% - Énfasis1 8 4 2 3" xfId="28041" xr:uid="{06E7E80B-827D-4CE1-A4CD-99D758CB80F0}"/>
    <cellStyle name="20% - Énfasis1 8 4 2 4" xfId="33923" xr:uid="{6B80F1DC-CF91-4EFF-87C1-A0B5533ECFC5}"/>
    <cellStyle name="20% - Énfasis1 8 4 2 5" xfId="39787" xr:uid="{1612AE99-4D97-4684-9AEA-8BC62A0AE052}"/>
    <cellStyle name="20% - Énfasis1 8 4 3" xfId="19423" xr:uid="{B1502BD6-1379-4CE5-B410-A40764C5AD21}"/>
    <cellStyle name="20% - Énfasis1 8 4 4" xfId="25192" xr:uid="{192BA7D9-CA7B-446F-8EA4-59F13F262686}"/>
    <cellStyle name="20% - Énfasis1 8 4 5" xfId="31066" xr:uid="{A63C5ED2-0D38-4346-BB58-20F14BD61A5F}"/>
    <cellStyle name="20% - Énfasis1 8 4 6" xfId="36945" xr:uid="{CD289138-D11B-4F76-B2C4-F32E3D610F37}"/>
    <cellStyle name="20% - Énfasis1 8 5" xfId="5951" xr:uid="{62A8C631-D778-49E6-9B94-E3EAB2A3B482}"/>
    <cellStyle name="20% - Énfasis1 8 5 2" xfId="8820" xr:uid="{576F9EAC-74D1-4067-9E5F-D93AF139B523}"/>
    <cellStyle name="20% - Énfasis1 8 5 2 2" xfId="23185" xr:uid="{39070FD4-9432-48B4-A9AE-17B9CA72A578}"/>
    <cellStyle name="20% - Énfasis1 8 5 2 3" xfId="29052" xr:uid="{A606A8D7-2896-4AF0-9063-3E0CD8A7837D}"/>
    <cellStyle name="20% - Énfasis1 8 5 2 4" xfId="34934" xr:uid="{ED399C0C-4A03-41C6-857C-6ACFBC008776}"/>
    <cellStyle name="20% - Énfasis1 8 5 2 5" xfId="40798" xr:uid="{C9FC2024-EBA2-4AA4-A469-D308FD9C2B9E}"/>
    <cellStyle name="20% - Énfasis1 8 5 3" xfId="20401" xr:uid="{2B9EEC09-55AC-493A-B9FC-15B49C3A8BC6}"/>
    <cellStyle name="20% - Énfasis1 8 5 4" xfId="26202" xr:uid="{34999D86-5F0C-476F-9096-9E7353FC7138}"/>
    <cellStyle name="20% - Énfasis1 8 5 5" xfId="32077" xr:uid="{63E0E0F3-327B-4503-9367-89A96D75D7C0}"/>
    <cellStyle name="20% - Énfasis1 8 5 6" xfId="37942" xr:uid="{BA1678D2-2DDF-4DC1-846C-F883DEE1D502}"/>
    <cellStyle name="20% - Énfasis1 8 6" xfId="6837" xr:uid="{37B3B6C4-A50C-401F-90B0-180A8C4C3355}"/>
    <cellStyle name="20% - Énfasis1 8 6 2" xfId="21260" xr:uid="{55659429-D033-46F6-B3FD-4B555054779F}"/>
    <cellStyle name="20% - Énfasis1 8 6 3" xfId="27075" xr:uid="{3FC4600B-58E5-42FB-A450-0D8B488F92F3}"/>
    <cellStyle name="20% - Énfasis1 8 6 4" xfId="32952" xr:uid="{FD827E74-29A8-4D06-8635-845939F6FED0}"/>
    <cellStyle name="20% - Énfasis1 8 6 5" xfId="38816" xr:uid="{6D5E06EB-F3F5-461A-8FDB-811966F06347}"/>
    <cellStyle name="20% - Énfasis1 8 7" xfId="18511" xr:uid="{5552E52B-AE78-459C-9341-91ABD77C9AD6}"/>
    <cellStyle name="20% - Énfasis1 8 8" xfId="24220" xr:uid="{45D7837E-E947-444B-A1D3-67146F469556}"/>
    <cellStyle name="20% - Énfasis1 8 9" xfId="30098" xr:uid="{5C112E59-BC42-40B2-8BFB-3A1CC5E660A1}"/>
    <cellStyle name="20% - Énfasis1 9" xfId="4008" xr:uid="{BEEA907D-C225-456A-82E6-DF6863A56615}"/>
    <cellStyle name="20% - Énfasis1 9 2" xfId="4479" xr:uid="{B51C868B-E3B8-4AD8-B542-5E95859A8C10}"/>
    <cellStyle name="20% - Énfasis1 9 2 2" xfId="5447" xr:uid="{596FCC54-D29A-472A-B8B3-934FDC6EC0AF}"/>
    <cellStyle name="20% - Énfasis1 9 2 2 2" xfId="8314" xr:uid="{A442A24B-BDF2-416D-9387-87700EE9EDB3}"/>
    <cellStyle name="20% - Énfasis1 9 2 2 2 2" xfId="22690" xr:uid="{AD56E37A-8AEB-482A-B39E-4F60813DCD97}"/>
    <cellStyle name="20% - Énfasis1 9 2 2 2 3" xfId="28547" xr:uid="{8A9A28B4-85D2-49FA-9E51-96363D47F2AF}"/>
    <cellStyle name="20% - Énfasis1 9 2 2 2 4" xfId="34429" xr:uid="{AFF7C4A2-B5D3-4D47-9080-35EA74DC6416}"/>
    <cellStyle name="20% - Énfasis1 9 2 2 2 5" xfId="40293" xr:uid="{D885A03C-EF19-458F-82D3-6D3666AE061A}"/>
    <cellStyle name="20% - Énfasis1 9 2 2 3" xfId="19910" xr:uid="{BA07A027-25CD-478A-ACCB-D8D916515C4E}"/>
    <cellStyle name="20% - Énfasis1 9 2 2 4" xfId="25698" xr:uid="{89A4AA81-15DB-4B52-9C24-5006C0E76991}"/>
    <cellStyle name="20% - Énfasis1 9 2 2 5" xfId="31572" xr:uid="{49CDB494-B42A-4459-9FD5-A19B95554ABE}"/>
    <cellStyle name="20% - Énfasis1 9 2 2 6" xfId="37443" xr:uid="{AA0C58EA-EE00-44CA-9BA9-D90A355E595F}"/>
    <cellStyle name="20% - Énfasis1 9 2 3" xfId="7342" xr:uid="{EE7C6F45-FC64-4C72-9728-120E41E319B6}"/>
    <cellStyle name="20% - Énfasis1 9 2 3 2" xfId="21745" xr:uid="{35C04AED-361A-434D-97B8-0F64FEABB3CB}"/>
    <cellStyle name="20% - Énfasis1 9 2 3 3" xfId="27576" xr:uid="{A762DBDF-0024-4531-937E-15F530F9D65C}"/>
    <cellStyle name="20% - Énfasis1 9 2 3 4" xfId="33458" xr:uid="{E54168BC-E74A-4D55-A5D5-6F9FCC01C09E}"/>
    <cellStyle name="20% - Énfasis1 9 2 3 5" xfId="39322" xr:uid="{A7BF1A24-0827-4B78-B5A1-4B569D7AA924}"/>
    <cellStyle name="20% - Énfasis1 9 2 4" xfId="18983" xr:uid="{4DB3D304-8585-47E4-B46D-E3C857C79084}"/>
    <cellStyle name="20% - Énfasis1 9 2 5" xfId="24727" xr:uid="{22FC338F-4E53-488E-A2E5-E82FB15C9DD7}"/>
    <cellStyle name="20% - Énfasis1 9 2 6" xfId="30604" xr:uid="{21F48C5A-053D-4BB5-9883-CA9B9439A2A7}"/>
    <cellStyle name="20% - Énfasis1 9 2 7" xfId="36486" xr:uid="{F747AEDD-4DE8-409E-BDCC-F645D3FE6D5C}"/>
    <cellStyle name="20% - Énfasis1 9 3" xfId="4962" xr:uid="{31F25CCA-DE45-433E-A4CF-891200434BC8}"/>
    <cellStyle name="20% - Énfasis1 9 3 2" xfId="7829" xr:uid="{DB241B15-FF0D-4856-A97F-A497B11C3718}"/>
    <cellStyle name="20% - Énfasis1 9 3 2 2" xfId="22215" xr:uid="{6219F0E2-15C8-4C4F-84BD-A71DDBB9DC6F}"/>
    <cellStyle name="20% - Énfasis1 9 3 2 3" xfId="28062" xr:uid="{28D039C0-3910-4B0C-B9D5-992DE29ABBCD}"/>
    <cellStyle name="20% - Énfasis1 9 3 2 4" xfId="33944" xr:uid="{9D061A5F-4108-464E-A656-A17C80F27564}"/>
    <cellStyle name="20% - Énfasis1 9 3 2 5" xfId="39808" xr:uid="{5EABFC28-4A5F-4080-8916-CD05014A5D00}"/>
    <cellStyle name="20% - Énfasis1 9 3 3" xfId="19443" xr:uid="{EED8A58A-BE58-46A4-85C2-E994B4DE6733}"/>
    <cellStyle name="20% - Énfasis1 9 3 4" xfId="25213" xr:uid="{A05ED4F8-E2A6-49E8-B302-C834121124DD}"/>
    <cellStyle name="20% - Énfasis1 9 3 5" xfId="31087" xr:uid="{1391B8E9-E1F5-4F9B-A5BB-BA2C8797CAF3}"/>
    <cellStyle name="20% - Énfasis1 9 3 6" xfId="36966" xr:uid="{8058287E-2EE8-4ACC-BD26-0CE44984C441}"/>
    <cellStyle name="20% - Énfasis1 9 4" xfId="6858" xr:uid="{9E3EE927-933B-48D7-9F3C-ED5AAD26F2E2}"/>
    <cellStyle name="20% - Énfasis1 9 4 2" xfId="21280" xr:uid="{B33296EA-6487-44BB-B381-96CA4EECFAA2}"/>
    <cellStyle name="20% - Énfasis1 9 4 3" xfId="27096" xr:uid="{59F29D05-D12B-45E2-B73F-9C52A1861C66}"/>
    <cellStyle name="20% - Énfasis1 9 4 4" xfId="32973" xr:uid="{E002C77B-6640-4B6C-9185-2BCC459ED412}"/>
    <cellStyle name="20% - Énfasis1 9 4 5" xfId="38837" xr:uid="{00400B65-3DA4-4D58-89EE-8436014B1445}"/>
    <cellStyle name="20% - Énfasis1 9 5" xfId="18534" xr:uid="{513B3CAD-8008-4D61-98EC-D024593445BC}"/>
    <cellStyle name="20% - Énfasis1 9 6" xfId="24244" xr:uid="{8EA09EFD-448A-4434-9D59-DA4AA0C46728}"/>
    <cellStyle name="20% - Énfasis1 9 7" xfId="30122" xr:uid="{4060B6C4-5680-4AF8-96AF-F273DA878EFE}"/>
    <cellStyle name="20% - Énfasis1 9 8" xfId="36001" xr:uid="{4B88A245-4955-4620-8655-B4E178302835}"/>
    <cellStyle name="20% - Énfasis2" xfId="23" builtinId="34" customBuiltin="1"/>
    <cellStyle name="20% - Énfasis2 10" xfId="4203" xr:uid="{3E666156-9C2A-4B88-B341-D5A7A71B29D6}"/>
    <cellStyle name="20% - Énfasis2 10 2" xfId="4681" xr:uid="{533E139C-6D13-4DF7-BE7A-1E47E63322FA}"/>
    <cellStyle name="20% - Énfasis2 10 2 2" xfId="5649" xr:uid="{CD61171B-C27E-4ED3-BB2B-CF45AFEB78C1}"/>
    <cellStyle name="20% - Énfasis2 10 2 2 2" xfId="8517" xr:uid="{69DF9F3E-FA8E-492B-942B-647754DCCB90}"/>
    <cellStyle name="20% - Énfasis2 10 2 2 2 2" xfId="22891" xr:uid="{1410C535-5B48-4F24-BC13-77D65BE5DD0F}"/>
    <cellStyle name="20% - Énfasis2 10 2 2 2 3" xfId="28750" xr:uid="{78AD0550-FF08-4E3B-920E-F1CBFFF563C6}"/>
    <cellStyle name="20% - Énfasis2 10 2 2 2 4" xfId="34632" xr:uid="{518043CE-73E1-4FE9-B2DB-74B70F3AD65C}"/>
    <cellStyle name="20% - Énfasis2 10 2 2 2 5" xfId="40496" xr:uid="{C60C901E-DE35-44CE-BED5-DDFC141905A4}"/>
    <cellStyle name="20% - Énfasis2 10 2 2 3" xfId="20108" xr:uid="{F227ADBA-85C0-48AE-9F89-0C63652246AC}"/>
    <cellStyle name="20% - Énfasis2 10 2 2 4" xfId="25900" xr:uid="{DD51019D-C1F8-4A5D-849A-2251055469DF}"/>
    <cellStyle name="20% - Énfasis2 10 2 2 5" xfId="31775" xr:uid="{1C971608-1740-4008-AC49-2452C22C1825}"/>
    <cellStyle name="20% - Énfasis2 10 2 2 6" xfId="37644" xr:uid="{FAC21A0E-F628-4488-BBA2-BA678E601B19}"/>
    <cellStyle name="20% - Énfasis2 10 2 3" xfId="7545" xr:uid="{95E94F04-F6B8-400E-A866-D77ABC049729}"/>
    <cellStyle name="20% - Énfasis2 10 2 3 2" xfId="21943" xr:uid="{A96D158C-E1FE-4031-8DF1-C8AA2B7EC764}"/>
    <cellStyle name="20% - Énfasis2 10 2 3 3" xfId="27779" xr:uid="{9EEE2442-5086-4B85-B59F-68A2B0D62947}"/>
    <cellStyle name="20% - Énfasis2 10 2 3 4" xfId="33661" xr:uid="{EAD489B2-87E8-4FF6-AF0D-2546EF8FB24A}"/>
    <cellStyle name="20% - Énfasis2 10 2 3 5" xfId="39525" xr:uid="{50ED9053-2BAD-4132-BA31-5A595B8EC9E3}"/>
    <cellStyle name="20% - Énfasis2 10 2 4" xfId="19174" xr:uid="{A57208AD-5B2F-415B-8F17-C0E933DA0AF4}"/>
    <cellStyle name="20% - Énfasis2 10 2 5" xfId="24930" xr:uid="{F62EEADF-BA1B-4CB9-A1AF-18D4A98D9EFF}"/>
    <cellStyle name="20% - Énfasis2 10 2 6" xfId="30805" xr:uid="{849D86AB-3B33-4663-98C2-DD8DB38CD754}"/>
    <cellStyle name="20% - Énfasis2 10 2 7" xfId="36687" xr:uid="{90D5136B-18BE-4F18-B1CD-F259B57B3794}"/>
    <cellStyle name="20% - Énfasis2 10 3" xfId="5165" xr:uid="{372F74B1-F5A8-4D50-89D7-F39BB4D0BC3F}"/>
    <cellStyle name="20% - Énfasis2 10 3 2" xfId="8032" xr:uid="{1744DDD4-497D-4686-A9BB-9EFF8D1853AB}"/>
    <cellStyle name="20% - Énfasis2 10 3 2 2" xfId="22415" xr:uid="{591DBCC4-51F5-4D87-BB2F-294602DFE2F2}"/>
    <cellStyle name="20% - Énfasis2 10 3 2 3" xfId="28265" xr:uid="{EDB1D748-CB0D-45EB-B20B-9F6C38BF04D1}"/>
    <cellStyle name="20% - Énfasis2 10 3 2 4" xfId="34147" xr:uid="{BAF6B62C-B180-4BBA-8BEE-CC65BCDC1F15}"/>
    <cellStyle name="20% - Énfasis2 10 3 2 5" xfId="40011" xr:uid="{CD2A984C-5B11-4761-8AB0-009166AE71AD}"/>
    <cellStyle name="20% - Énfasis2 10 3 3" xfId="19638" xr:uid="{8E8E3C2A-31EC-4F3F-BBFC-379D7C7BFE00}"/>
    <cellStyle name="20% - Énfasis2 10 3 4" xfId="25416" xr:uid="{BC4F7AE9-4F9D-4126-BDBD-0C4AD9E1792A}"/>
    <cellStyle name="20% - Énfasis2 10 3 5" xfId="31290" xr:uid="{21CEB81D-068B-4B89-A97C-359C50EBD2BA}"/>
    <cellStyle name="20% - Énfasis2 10 3 6" xfId="37167" xr:uid="{AF9D7C7F-0620-47FA-B135-A31BBC5B473D}"/>
    <cellStyle name="20% - Énfasis2 10 4" xfId="7060" xr:uid="{73FDEEED-5476-4DAE-B576-5D7983DDD672}"/>
    <cellStyle name="20% - Énfasis2 10 4 2" xfId="21475" xr:uid="{075DB38C-BF5D-41CE-A29B-D07234349AFD}"/>
    <cellStyle name="20% - Énfasis2 10 4 3" xfId="27297" xr:uid="{984F8621-1C99-40B0-8E56-54C010E0F56E}"/>
    <cellStyle name="20% - Énfasis2 10 4 4" xfId="33176" xr:uid="{A64366E9-A21D-46DF-AAE3-DD21EF496B0E}"/>
    <cellStyle name="20% - Énfasis2 10 4 5" xfId="39040" xr:uid="{BC12A9C1-9D08-4D5F-8BC3-2E8E586C7FAC}"/>
    <cellStyle name="20% - Énfasis2 10 5" xfId="18731" xr:uid="{FE24C27C-8156-476B-8E55-4D68D5B2FD33}"/>
    <cellStyle name="20% - Énfasis2 10 6" xfId="24447" xr:uid="{60EB93B8-C909-4E68-A12B-3C065FFFC29D}"/>
    <cellStyle name="20% - Énfasis2 10 7" xfId="30323" xr:uid="{3C6D7484-4E61-4E95-8544-3F1C34F8266E}"/>
    <cellStyle name="20% - Énfasis2 10 8" xfId="36204" xr:uid="{9F632939-95D0-48F3-A81B-FF1269CAC9E9}"/>
    <cellStyle name="20% - Énfasis2 11" xfId="4238" xr:uid="{3E4407A6-09BF-40C0-A8DB-32693343D8E0}"/>
    <cellStyle name="20% - Énfasis2 11 2" xfId="4717" xr:uid="{0A650B25-BB9B-4837-B086-F2F9673033E2}"/>
    <cellStyle name="20% - Énfasis2 11 2 2" xfId="5685" xr:uid="{1626BBEE-700A-4532-8D79-D1DE075227A9}"/>
    <cellStyle name="20% - Énfasis2 11 2 2 2" xfId="8553" xr:uid="{985E9F67-A66E-450C-AEFD-8E2315F4827E}"/>
    <cellStyle name="20% - Énfasis2 11 2 2 2 2" xfId="22925" xr:uid="{5FA2D2F6-1657-49AC-83B0-2B34E3BB211B}"/>
    <cellStyle name="20% - Énfasis2 11 2 2 2 3" xfId="28786" xr:uid="{96A9C9F6-979C-4AA5-8A59-14DFD243E141}"/>
    <cellStyle name="20% - Énfasis2 11 2 2 2 4" xfId="34668" xr:uid="{0C289C3B-C688-40CC-AABD-A31412157471}"/>
    <cellStyle name="20% - Énfasis2 11 2 2 2 5" xfId="40532" xr:uid="{F0A8A1BC-39D8-494C-A08C-76B769EF5391}"/>
    <cellStyle name="20% - Énfasis2 11 2 2 3" xfId="20142" xr:uid="{5573F56F-BD52-434B-980E-55E68B310920}"/>
    <cellStyle name="20% - Énfasis2 11 2 2 4" xfId="25936" xr:uid="{C7ED3F35-2EC7-4E66-B85A-A143A646C831}"/>
    <cellStyle name="20% - Énfasis2 11 2 2 5" xfId="31811" xr:uid="{F5B87A0C-393F-4725-A448-048CBA3CA9D2}"/>
    <cellStyle name="20% - Énfasis2 11 2 2 6" xfId="37678" xr:uid="{57E55704-F3CB-4712-B18A-A2F6AADCC516}"/>
    <cellStyle name="20% - Énfasis2 11 2 3" xfId="7581" xr:uid="{DC3552C8-FFA3-477D-B96B-3E2AA496A223}"/>
    <cellStyle name="20% - Énfasis2 11 2 3 2" xfId="21975" xr:uid="{298B40A1-DBC8-45C3-A0A6-2167C1C2CA7C}"/>
    <cellStyle name="20% - Énfasis2 11 2 3 3" xfId="27815" xr:uid="{96F4AC0E-33B0-4D91-B058-8AD71CDC2439}"/>
    <cellStyle name="20% - Énfasis2 11 2 3 4" xfId="33697" xr:uid="{0DFFE54D-FD4C-4014-98C5-E3871D23E07A}"/>
    <cellStyle name="20% - Énfasis2 11 2 3 5" xfId="39561" xr:uid="{6F1DA132-3A4E-45EC-98A4-FA237A319846}"/>
    <cellStyle name="20% - Énfasis2 11 2 4" xfId="19207" xr:uid="{6B793E6F-E6B7-4E17-88A3-8BB5A3659A0B}"/>
    <cellStyle name="20% - Énfasis2 11 2 5" xfId="24966" xr:uid="{D9BC2607-FD17-4DB4-B481-9456B9F36755}"/>
    <cellStyle name="20% - Énfasis2 11 2 6" xfId="30840" xr:uid="{A8404658-9473-4BB9-BB5E-01D978F3925A}"/>
    <cellStyle name="20% - Énfasis2 11 2 7" xfId="36721" xr:uid="{918A0D0E-A29D-43AE-BBFE-2177AD155884}"/>
    <cellStyle name="20% - Énfasis2 11 3" xfId="5201" xr:uid="{228CB4D7-1FB0-4756-81DC-7A1A194BD5F7}"/>
    <cellStyle name="20% - Énfasis2 11 3 2" xfId="8068" xr:uid="{238328BB-1398-4620-BCFA-07A0E39AA14D}"/>
    <cellStyle name="20% - Énfasis2 11 3 2 2" xfId="22446" xr:uid="{99D0420F-64F1-45A2-92D3-68929B18DE84}"/>
    <cellStyle name="20% - Énfasis2 11 3 2 3" xfId="28301" xr:uid="{AE23F771-4D67-422D-ADB6-3CE40676835A}"/>
    <cellStyle name="20% - Énfasis2 11 3 2 4" xfId="34183" xr:uid="{5EF18A13-A11F-4765-BA23-A007FFE28C1D}"/>
    <cellStyle name="20% - Énfasis2 11 3 2 5" xfId="40047" xr:uid="{2352CC6F-8A37-4C08-AC4A-E5C76888267E}"/>
    <cellStyle name="20% - Énfasis2 11 3 3" xfId="19672" xr:uid="{C621484C-F900-4423-883E-5053DA1A1FB1}"/>
    <cellStyle name="20% - Énfasis2 11 3 4" xfId="25452" xr:uid="{4D1CC2E1-7B32-4E50-B112-927960E179B0}"/>
    <cellStyle name="20% - Énfasis2 11 3 5" xfId="31326" xr:uid="{7FBAF4B1-6F74-4E39-B63B-51F6A72D90B3}"/>
    <cellStyle name="20% - Énfasis2 11 3 6" xfId="37199" xr:uid="{2429CAF8-8C16-4E4A-A385-717BBC4F33CE}"/>
    <cellStyle name="20% - Énfasis2 11 4" xfId="7096" xr:uid="{4256E06C-33D1-4131-9CAB-7CC94C9F7214}"/>
    <cellStyle name="20% - Énfasis2 11 4 2" xfId="21508" xr:uid="{4B9859A3-9802-437E-B90F-0A5C1A25B8B1}"/>
    <cellStyle name="20% - Énfasis2 11 4 3" xfId="27331" xr:uid="{59EE2B15-F26D-44EA-B361-32F4BC3D91BC}"/>
    <cellStyle name="20% - Énfasis2 11 4 4" xfId="33212" xr:uid="{E6F7948C-A117-46DD-973F-C8B6018064D0}"/>
    <cellStyle name="20% - Énfasis2 11 4 5" xfId="39076" xr:uid="{6501CB2F-5251-482D-B9CF-B73A64D3D6C1}"/>
    <cellStyle name="20% - Énfasis2 11 5" xfId="18760" xr:uid="{6EE7FEBA-0821-4E4C-B119-92EA6E68B620}"/>
    <cellStyle name="20% - Énfasis2 11 6" xfId="24481" xr:uid="{BE471FFF-D9D3-483F-994E-9B17867C435F}"/>
    <cellStyle name="20% - Énfasis2 11 7" xfId="30359" xr:uid="{F094E088-9AC7-4CE2-939E-1F60A637BA21}"/>
    <cellStyle name="20% - Énfasis2 11 8" xfId="36240" xr:uid="{0C9697AD-8BD3-47AB-AB6C-8F4E3A667C80}"/>
    <cellStyle name="20% - Énfasis2 12" xfId="4288" xr:uid="{97E979DD-4D32-43BF-A9FE-7E426CF60BFC}"/>
    <cellStyle name="20% - Énfasis2 12 2" xfId="5254" xr:uid="{7B08BA08-4D04-4C52-82A3-D92BFB2FD1F0}"/>
    <cellStyle name="20% - Énfasis2 12 2 2" xfId="8121" xr:uid="{61AECB0C-9AFC-44B2-889C-3AD0ADC28E69}"/>
    <cellStyle name="20% - Énfasis2 12 2 2 2" xfId="22498" xr:uid="{6CF88071-BE7C-4C89-B735-473049C962E1}"/>
    <cellStyle name="20% - Énfasis2 12 2 2 3" xfId="28354" xr:uid="{CF059E0C-7395-4F9F-BA72-417B20D0B412}"/>
    <cellStyle name="20% - Énfasis2 12 2 2 4" xfId="34236" xr:uid="{0D473E19-3AEA-4EC9-BB85-6CEB56FEEAC3}"/>
    <cellStyle name="20% - Énfasis2 12 2 2 5" xfId="40100" xr:uid="{AAAA4453-33DE-4B94-8C8E-06E3B787D9AE}"/>
    <cellStyle name="20% - Énfasis2 12 2 3" xfId="19724" xr:uid="{BF7EE94F-1958-404B-8E65-B5B30EC23992}"/>
    <cellStyle name="20% - Énfasis2 12 2 4" xfId="25505" xr:uid="{AF512E5A-CFF7-41A3-8CC3-3E9438665346}"/>
    <cellStyle name="20% - Énfasis2 12 2 5" xfId="31379" xr:uid="{EDD95DC3-F667-4989-B66A-6BD2D8463963}"/>
    <cellStyle name="20% - Énfasis2 12 2 6" xfId="37251" xr:uid="{677D779F-FB27-4307-B422-A730EB7EE599}"/>
    <cellStyle name="20% - Énfasis2 12 3" xfId="7149" xr:uid="{6A4E1589-98BF-4D90-8030-A947BB174BA7}"/>
    <cellStyle name="20% - Énfasis2 12 3 2" xfId="21560" xr:uid="{3875DFB8-7699-425D-A065-0B5644B36CEF}"/>
    <cellStyle name="20% - Énfasis2 12 3 3" xfId="27383" xr:uid="{F2F06671-DE00-435A-B991-6770505C846C}"/>
    <cellStyle name="20% - Énfasis2 12 3 4" xfId="33265" xr:uid="{7CFDEB74-B44E-425B-8036-3E0C29D9FAFE}"/>
    <cellStyle name="20% - Énfasis2 12 3 5" xfId="39129" xr:uid="{6C37DA22-BCC0-441A-9FB8-13A7D5B8C4B8}"/>
    <cellStyle name="20% - Énfasis2 12 4" xfId="18796" xr:uid="{C7207F06-EECD-41FB-91F1-930F9AA628A7}"/>
    <cellStyle name="20% - Énfasis2 12 5" xfId="24534" xr:uid="{9553E562-B85D-4612-BB5A-C66E8AA7DFAA}"/>
    <cellStyle name="20% - Énfasis2 12 6" xfId="30413" xr:uid="{DF1EEA1F-23C7-490E-AD45-8A2EF0EE5134}"/>
    <cellStyle name="20% - Énfasis2 12 7" xfId="36294" xr:uid="{1F43FEE4-9F68-42C8-990A-233277FE3C8F}"/>
    <cellStyle name="20% - Énfasis2 13" xfId="4773" xr:uid="{4B18AA79-9D59-4187-834C-0D342F592FC9}"/>
    <cellStyle name="20% - Énfasis2 13 2" xfId="7636" xr:uid="{A078EDCB-A731-4F24-91B2-1B118F689B2D}"/>
    <cellStyle name="20% - Énfasis2 13 2 2" xfId="22029" xr:uid="{E806777B-1740-4A86-8E22-9BC594AEDDFD}"/>
    <cellStyle name="20% - Énfasis2 13 2 3" xfId="27870" xr:uid="{93BAA810-8B36-4D33-A71A-F30197911A0D}"/>
    <cellStyle name="20% - Énfasis2 13 2 4" xfId="33752" xr:uid="{6426B47C-0845-480A-B388-6C268E772714}"/>
    <cellStyle name="20% - Énfasis2 13 2 5" xfId="39616" xr:uid="{2C3E77F5-1276-4A05-B846-D6196258AE75}"/>
    <cellStyle name="20% - Énfasis2 13 3" xfId="19255" xr:uid="{0F3DF798-6991-4E52-93E7-10085833DC6B}"/>
    <cellStyle name="20% - Énfasis2 13 4" xfId="25021" xr:uid="{7B46E6D4-BEEC-447C-8BD8-4EB829F48834}"/>
    <cellStyle name="20% - Énfasis2 13 5" xfId="30895" xr:uid="{773194E4-F80E-482B-8BF3-1B81FF265ADB}"/>
    <cellStyle name="20% - Énfasis2 13 6" xfId="36775" xr:uid="{7FB70AA5-1ACE-4E9F-BB7D-A983B8B660A5}"/>
    <cellStyle name="20% - Énfasis2 14" xfId="5739" xr:uid="{3A67B6CD-BA69-4DC7-A0DD-990591B8BDFF}"/>
    <cellStyle name="20% - Énfasis2 14 2" xfId="8608" xr:uid="{5C920C7E-4757-4EB1-BA2B-93F0802177E3}"/>
    <cellStyle name="20% - Énfasis2 14 2 2" xfId="22979" xr:uid="{13762595-FC93-4831-B895-495706C4A7EB}"/>
    <cellStyle name="20% - Énfasis2 14 2 3" xfId="28841" xr:uid="{2AB7DCB9-4AB8-4C73-806B-55CC52425F9E}"/>
    <cellStyle name="20% - Énfasis2 14 2 4" xfId="34723" xr:uid="{706BCA82-238C-4146-8830-8196546DA188}"/>
    <cellStyle name="20% - Énfasis2 14 2 5" xfId="40587" xr:uid="{8AC6A31A-181F-4B47-A4A0-1DCDCEB94000}"/>
    <cellStyle name="20% - Énfasis2 14 3" xfId="20197" xr:uid="{04012C07-70D9-49E6-9EEE-9FCA7F48CCF3}"/>
    <cellStyle name="20% - Énfasis2 14 4" xfId="25991" xr:uid="{EDF4BCFB-C54D-4176-B1B0-8F953D1FA06C}"/>
    <cellStyle name="20% - Énfasis2 14 5" xfId="31866" xr:uid="{47849E0C-3DAF-4627-8726-9617E3D75458}"/>
    <cellStyle name="20% - Énfasis2 14 6" xfId="37732" xr:uid="{A5922B7D-784C-4ACA-BBF2-F0E660B1DF68}"/>
    <cellStyle name="20% - Énfasis2 15" xfId="5759" xr:uid="{6A9EB596-1F8E-4931-800A-2379786D9800}"/>
    <cellStyle name="20% - Énfasis2 15 2" xfId="8628" xr:uid="{E67F92F7-BBAE-4AB0-A223-DBB1CFD5BCF9}"/>
    <cellStyle name="20% - Énfasis2 15 2 2" xfId="22999" xr:uid="{565D7292-14D6-447C-9071-6FFAC7574A53}"/>
    <cellStyle name="20% - Énfasis2 15 2 3" xfId="28861" xr:uid="{3A15265E-A8DF-464E-A1A1-5D9142EC655F}"/>
    <cellStyle name="20% - Énfasis2 15 2 4" xfId="34743" xr:uid="{6C9D6C2A-719F-4884-B502-101EAF2B9DEA}"/>
    <cellStyle name="20% - Énfasis2 15 2 5" xfId="40607" xr:uid="{152DC721-774C-491D-8988-9A8AD4720B31}"/>
    <cellStyle name="20% - Énfasis2 15 3" xfId="20216" xr:uid="{F5878A10-E396-4CE8-A345-7740D3E00507}"/>
    <cellStyle name="20% - Énfasis2 15 4" xfId="26011" xr:uid="{82AD7A97-5C2D-4D81-BD39-D1FFD547E8CA}"/>
    <cellStyle name="20% - Énfasis2 15 5" xfId="31886" xr:uid="{F1F78EFD-90DF-435D-BECF-6EAB4F3F3469}"/>
    <cellStyle name="20% - Énfasis2 15 6" xfId="37752" xr:uid="{55B2E377-FEAB-40B2-BC5B-123B7A3B2422}"/>
    <cellStyle name="20% - Énfasis2 16" xfId="5779" xr:uid="{33F61064-D86A-46F1-861C-88BF43384FFE}"/>
    <cellStyle name="20% - Énfasis2 16 2" xfId="8648" xr:uid="{42ED1D0C-98F3-4478-9395-7A38E5D6FB6E}"/>
    <cellStyle name="20% - Énfasis2 16 2 2" xfId="23019" xr:uid="{3EB03B52-1305-4BDC-A12A-1E872F20B00D}"/>
    <cellStyle name="20% - Énfasis2 16 2 3" xfId="28881" xr:uid="{BFAEC6AA-80D7-4645-B967-A055314E1550}"/>
    <cellStyle name="20% - Énfasis2 16 2 4" xfId="34763" xr:uid="{3D7F8A57-DD9B-4A21-8819-86449D47FAF8}"/>
    <cellStyle name="20% - Énfasis2 16 2 5" xfId="40627" xr:uid="{F4415B8C-75BC-4767-AE85-61DB7F737304}"/>
    <cellStyle name="20% - Énfasis2 16 3" xfId="20234" xr:uid="{CF256110-D585-4587-A93D-24CE80802B89}"/>
    <cellStyle name="20% - Énfasis2 16 4" xfId="26031" xr:uid="{B88A58D3-61ED-4D18-850E-38E03FD96C51}"/>
    <cellStyle name="20% - Énfasis2 16 5" xfId="31906" xr:uid="{AFA453E0-A611-4615-A2A4-275613132F32}"/>
    <cellStyle name="20% - Énfasis2 16 6" xfId="37772" xr:uid="{D44BF961-1DA6-490E-88E3-259FCBB8BCE1}"/>
    <cellStyle name="20% - Énfasis2 17" xfId="5978" xr:uid="{4CD7B468-B60F-4305-96AB-CEC05B9F626D}"/>
    <cellStyle name="20% - Énfasis2 17 2" xfId="8847" xr:uid="{6DEE34E0-6E99-41C8-B764-A7F0FD472D5E}"/>
    <cellStyle name="20% - Énfasis2 17 2 2" xfId="23211" xr:uid="{29C53939-ABC1-4A18-8AE5-C528A76C17D9}"/>
    <cellStyle name="20% - Énfasis2 17 2 3" xfId="29078" xr:uid="{04560B88-AB9A-4945-949D-9C7FA455A256}"/>
    <cellStyle name="20% - Énfasis2 17 2 4" xfId="34960" xr:uid="{274E09C2-37A3-409D-9FB8-F5DCC58D982E}"/>
    <cellStyle name="20% - Énfasis2 17 2 5" xfId="40824" xr:uid="{25B04A84-58A2-4B23-BC40-C3DD3A9E0714}"/>
    <cellStyle name="20% - Énfasis2 17 3" xfId="20426" xr:uid="{FDCD4268-C83A-4D1D-B50F-8C31FC34C759}"/>
    <cellStyle name="20% - Énfasis2 17 4" xfId="26228" xr:uid="{549C4583-10D9-4EA3-AB96-5068DB270AC2}"/>
    <cellStyle name="20% - Énfasis2 17 5" xfId="32103" xr:uid="{144B9BA9-A81F-487B-8B81-789B72B11246}"/>
    <cellStyle name="20% - Énfasis2 17 6" xfId="37968" xr:uid="{AFCB0C10-DC64-4C52-823B-5433DDA59C13}"/>
    <cellStyle name="20% - Énfasis2 18" xfId="5998" xr:uid="{B1C90066-F62C-4C34-AD24-914D511E301E}"/>
    <cellStyle name="20% - Énfasis2 18 2" xfId="8867" xr:uid="{52ADBD9B-0B6D-42BC-AE34-738F96DA1276}"/>
    <cellStyle name="20% - Énfasis2 18 2 2" xfId="23231" xr:uid="{AE8C2912-AD15-45EF-BA4E-BEC1042390B1}"/>
    <cellStyle name="20% - Énfasis2 18 2 3" xfId="29098" xr:uid="{D628D956-A5D7-4039-A00B-467C3E07CBF2}"/>
    <cellStyle name="20% - Énfasis2 18 2 4" xfId="34980" xr:uid="{A9292571-D246-472B-9736-6F3AEF6E4F29}"/>
    <cellStyle name="20% - Énfasis2 18 2 5" xfId="40844" xr:uid="{AE296026-1BE6-4CA2-96C6-9FEFFA9ECBD4}"/>
    <cellStyle name="20% - Énfasis2 18 3" xfId="20446" xr:uid="{2C160345-788B-43E0-8E11-0F34D6BC87D1}"/>
    <cellStyle name="20% - Énfasis2 18 4" xfId="26248" xr:uid="{6102008E-2237-4BA3-AA42-3BDCC5991D26}"/>
    <cellStyle name="20% - Énfasis2 18 5" xfId="32123" xr:uid="{12F71FF8-5331-4F35-BBA4-D6D2796DEF47}"/>
    <cellStyle name="20% - Énfasis2 18 6" xfId="37988" xr:uid="{DAD24197-FE41-4A60-9F30-1998B9845017}"/>
    <cellStyle name="20% - Énfasis2 19" xfId="6018" xr:uid="{0B761C13-B8AF-41C0-BFC7-FE1099033F5E}"/>
    <cellStyle name="20% - Énfasis2 19 2" xfId="8887" xr:uid="{0AF56421-7F7E-4E9F-B5BB-B7494AAAD607}"/>
    <cellStyle name="20% - Énfasis2 19 2 2" xfId="23251" xr:uid="{AC27ED4D-3683-4886-AD8E-3186D82327CC}"/>
    <cellStyle name="20% - Énfasis2 19 2 3" xfId="29118" xr:uid="{FAF403AD-F9E9-45C0-98E0-249EDFC4928B}"/>
    <cellStyle name="20% - Énfasis2 19 2 4" xfId="35000" xr:uid="{56D754FB-718B-4E29-98CE-DB1E286D507B}"/>
    <cellStyle name="20% - Énfasis2 19 2 5" xfId="40864" xr:uid="{D87751C1-E078-4E76-AAB0-CDDF2FC9F328}"/>
    <cellStyle name="20% - Énfasis2 19 3" xfId="20466" xr:uid="{E3A6C333-54BE-47B8-8FC3-25331E4301B9}"/>
    <cellStyle name="20% - Énfasis2 19 4" xfId="26268" xr:uid="{5DA5F947-E7A7-4BDD-BEEC-5378D5AA15DE}"/>
    <cellStyle name="20% - Énfasis2 19 5" xfId="32143" xr:uid="{FFA33990-9538-4E87-808C-B9ED580A98A2}"/>
    <cellStyle name="20% - Énfasis2 19 6" xfId="38008" xr:uid="{7E85A450-B720-426B-BC36-5683EA532B45}"/>
    <cellStyle name="20% - Énfasis2 2" xfId="3842" xr:uid="{B74FE2E5-7495-496B-A8F8-B146F9F78FD3}"/>
    <cellStyle name="20% - Énfasis2 2 10" xfId="35823" xr:uid="{E1EF4903-69AD-47D0-AD3F-B8F251B27EDF}"/>
    <cellStyle name="20% - Énfasis2 2 2" xfId="4038" xr:uid="{E234E9F5-5F18-448D-8895-889EC1F6F213}"/>
    <cellStyle name="20% - Énfasis2 2 2 2" xfId="4512" xr:uid="{FBE67728-EC10-41E9-997B-ADB3D4925D1B}"/>
    <cellStyle name="20% - Énfasis2 2 2 2 2" xfId="5480" xr:uid="{A830F9C4-8C9E-498E-A21E-2913D67EE7A1}"/>
    <cellStyle name="20% - Énfasis2 2 2 2 2 2" xfId="8347" xr:uid="{CFFE7798-2906-470B-85E3-5251685D269F}"/>
    <cellStyle name="20% - Énfasis2 2 2 2 2 2 2" xfId="22722" xr:uid="{17B74BE5-05B0-4172-8E0C-179A3CDC3E48}"/>
    <cellStyle name="20% - Énfasis2 2 2 2 2 2 3" xfId="28580" xr:uid="{C01DAC3C-8EEA-44BC-A34B-8B0E6CFCFDDB}"/>
    <cellStyle name="20% - Énfasis2 2 2 2 2 2 4" xfId="34462" xr:uid="{54629ADF-9E26-4A0C-BF97-DC27D8D58DD3}"/>
    <cellStyle name="20% - Énfasis2 2 2 2 2 2 5" xfId="40326" xr:uid="{D3DCEE8F-0340-4C85-BC67-B0F7998521E0}"/>
    <cellStyle name="20% - Énfasis2 2 2 2 2 3" xfId="19941" xr:uid="{3E507A98-63EF-481E-82BA-12F398EC481A}"/>
    <cellStyle name="20% - Énfasis2 2 2 2 2 4" xfId="25731" xr:uid="{0B5D3ACB-D30B-45F2-81A9-148341E9D240}"/>
    <cellStyle name="20% - Énfasis2 2 2 2 2 5" xfId="31605" xr:uid="{F4789500-C623-4BA7-8B96-8D181563C35A}"/>
    <cellStyle name="20% - Énfasis2 2 2 2 2 6" xfId="37475" xr:uid="{C6DC2C88-A0F7-470F-B4C6-1AF5617CE452}"/>
    <cellStyle name="20% - Énfasis2 2 2 2 3" xfId="7375" xr:uid="{1335B033-6EB3-44E6-AB68-66EC38BF7E96}"/>
    <cellStyle name="20% - Énfasis2 2 2 2 3 2" xfId="21777" xr:uid="{3259A490-E00E-432C-9A44-FCAA99186998}"/>
    <cellStyle name="20% - Énfasis2 2 2 2 3 3" xfId="27609" xr:uid="{DC5E85FE-32D4-4874-ACA9-FCE027B4E298}"/>
    <cellStyle name="20% - Énfasis2 2 2 2 3 4" xfId="33491" xr:uid="{7EBD055F-B3C9-4399-9BCA-48330429ECC1}"/>
    <cellStyle name="20% - Énfasis2 2 2 2 3 5" xfId="39355" xr:uid="{6ECA0079-5745-4C7F-8BBB-3C80BFE59955}"/>
    <cellStyle name="20% - Énfasis2 2 2 2 4" xfId="19011" xr:uid="{61755725-1B57-4754-8F78-9CA09C3E4888}"/>
    <cellStyle name="20% - Énfasis2 2 2 2 5" xfId="24760" xr:uid="{CF47BFE2-D464-4F51-96D2-D11476B02C02}"/>
    <cellStyle name="20% - Énfasis2 2 2 2 6" xfId="30637" xr:uid="{D7A3A589-7BA9-484F-8038-89EC53D30087}"/>
    <cellStyle name="20% - Énfasis2 2 2 2 7" xfId="36518" xr:uid="{F5703E8E-820F-40BE-B58F-261660ED7E8C}"/>
    <cellStyle name="20% - Énfasis2 2 2 3" xfId="4995" xr:uid="{4550032C-C9A6-4400-9CCC-5E4DEDBC70BC}"/>
    <cellStyle name="20% - Énfasis2 2 2 3 2" xfId="7862" xr:uid="{80E11416-1D5A-4592-804C-A39D36545818}"/>
    <cellStyle name="20% - Énfasis2 2 2 3 2 2" xfId="22247" xr:uid="{AEF0E35B-006F-4B0E-96AC-1179DF087B27}"/>
    <cellStyle name="20% - Énfasis2 2 2 3 2 3" xfId="28095" xr:uid="{9154B32E-170D-4278-AD1F-D4199D998736}"/>
    <cellStyle name="20% - Énfasis2 2 2 3 2 4" xfId="33977" xr:uid="{8CE53EA4-9C32-468F-9771-039018CF22CF}"/>
    <cellStyle name="20% - Énfasis2 2 2 3 2 5" xfId="39841" xr:uid="{5533557B-2F63-433A-B147-FB7F02E9F9D6}"/>
    <cellStyle name="20% - Énfasis2 2 2 3 3" xfId="19474" xr:uid="{C3496D81-BBB5-4925-A666-FBA6911D7EF4}"/>
    <cellStyle name="20% - Énfasis2 2 2 3 4" xfId="25246" xr:uid="{F1D19F21-907E-469C-8602-8737842055E8}"/>
    <cellStyle name="20% - Énfasis2 2 2 3 5" xfId="31120" xr:uid="{045E3D6C-4E04-454B-890C-1AFC7237BE52}"/>
    <cellStyle name="20% - Énfasis2 2 2 3 6" xfId="36998" xr:uid="{B1DFE6E1-0E89-41AB-9F8E-3E3286DBB615}"/>
    <cellStyle name="20% - Énfasis2 2 2 4" xfId="6890" xr:uid="{7B299875-B6EF-4294-88B9-3001690BD131}"/>
    <cellStyle name="20% - Énfasis2 2 2 4 2" xfId="21311" xr:uid="{A61E143B-4392-4914-BB24-A7A5CE7C1E0C}"/>
    <cellStyle name="20% - Énfasis2 2 2 4 3" xfId="27128" xr:uid="{EE536A28-2E81-446A-99B8-87F99F3200E9}"/>
    <cellStyle name="20% - Énfasis2 2 2 4 4" xfId="33006" xr:uid="{54B9896B-5874-43B7-8DD3-808A86C817FA}"/>
    <cellStyle name="20% - Énfasis2 2 2 4 5" xfId="38870" xr:uid="{AB553986-D074-4E73-A4CF-92926F3536C9}"/>
    <cellStyle name="20% - Énfasis2 2 2 5" xfId="18565" xr:uid="{AE650C22-2113-47AB-BBE6-0E91D17596E1}"/>
    <cellStyle name="20% - Énfasis2 2 2 6" xfId="24277" xr:uid="{4F81D403-F4B1-4390-923A-9B2AE49FF16A}"/>
    <cellStyle name="20% - Énfasis2 2 2 7" xfId="30155" xr:uid="{2B9B9764-6B72-43A0-A567-67C7A685817A}"/>
    <cellStyle name="20% - Énfasis2 2 2 8" xfId="36034" xr:uid="{474EE86C-F03E-444A-9B09-8039CDA50641}"/>
    <cellStyle name="20% - Énfasis2 2 3" xfId="4318" xr:uid="{BFFE443A-8B94-4111-B17D-8EFD4AA602F8}"/>
    <cellStyle name="20% - Énfasis2 2 3 2" xfId="5284" xr:uid="{DE4829C1-E1BA-4A52-A712-66D33C698934}"/>
    <cellStyle name="20% - Énfasis2 2 3 2 2" xfId="8151" xr:uid="{E40FB9C5-1FA1-4A07-BC2A-382F2BCB9C19}"/>
    <cellStyle name="20% - Énfasis2 2 3 2 2 2" xfId="22527" xr:uid="{4CB9245C-7D37-476B-A483-08FA683986C0}"/>
    <cellStyle name="20% - Énfasis2 2 3 2 2 3" xfId="28384" xr:uid="{088F5895-337A-4E0E-97E3-FB7332F69F27}"/>
    <cellStyle name="20% - Énfasis2 2 3 2 2 4" xfId="34266" xr:uid="{7A5E0606-F95A-4C22-89BC-DF87619E3B1D}"/>
    <cellStyle name="20% - Énfasis2 2 3 2 2 5" xfId="40130" xr:uid="{3C98FC05-D35C-41E6-BEEA-AC472085FF74}"/>
    <cellStyle name="20% - Énfasis2 2 3 2 3" xfId="19752" xr:uid="{CD1DF4A8-C6F9-4B79-9DAF-4FA15F0CB32F}"/>
    <cellStyle name="20% - Énfasis2 2 3 2 4" xfId="25535" xr:uid="{5091476B-9ABF-4ED7-B34A-C8D2FA97B889}"/>
    <cellStyle name="20% - Énfasis2 2 3 2 5" xfId="31409" xr:uid="{500C87D8-2500-49B0-AC02-27095359E185}"/>
    <cellStyle name="20% - Énfasis2 2 3 2 6" xfId="37280" xr:uid="{CE4C8091-C6DC-4994-939D-E7002BD4310C}"/>
    <cellStyle name="20% - Énfasis2 2 3 3" xfId="7179" xr:uid="{2A17ED24-F1E0-4037-B105-09369451527A}"/>
    <cellStyle name="20% - Énfasis2 2 3 3 2" xfId="21586" xr:uid="{0FF137D3-4A2A-4B25-8C02-383176AA1E14}"/>
    <cellStyle name="20% - Énfasis2 2 3 3 3" xfId="27413" xr:uid="{9B8C8CF6-FA13-441F-983D-66978A6997B7}"/>
    <cellStyle name="20% - Énfasis2 2 3 3 4" xfId="33295" xr:uid="{FF9BACF2-C163-4B4E-AFFC-54942A8ED082}"/>
    <cellStyle name="20% - Énfasis2 2 3 3 5" xfId="39159" xr:uid="{4AC3D2F6-DE07-4E4B-BA14-60CB775EE3EB}"/>
    <cellStyle name="20% - Énfasis2 2 3 4" xfId="18823" xr:uid="{4E192F7A-319E-451A-B7F4-0B0D84E23BA9}"/>
    <cellStyle name="20% - Énfasis2 2 3 5" xfId="24564" xr:uid="{9ABA34F2-8A55-4665-AFB7-74DB072BC1FC}"/>
    <cellStyle name="20% - Énfasis2 2 3 6" xfId="30443" xr:uid="{6C839A7C-F9ED-4852-B6AE-35E85CBB7789}"/>
    <cellStyle name="20% - Énfasis2 2 3 7" xfId="36323" xr:uid="{8770836E-0A5C-49F3-BC05-497BC064144B}"/>
    <cellStyle name="20% - Énfasis2 2 4" xfId="4803" xr:uid="{A175F3F4-A72E-4DE2-9074-7D592B152D10}"/>
    <cellStyle name="20% - Énfasis2 2 4 2" xfId="7666" xr:uid="{9D2A69F5-A610-45A4-A48E-F530DC48EC66}"/>
    <cellStyle name="20% - Énfasis2 2 4 2 2" xfId="22057" xr:uid="{5F4FBE09-61AE-4AF0-AE1E-2F88BF314498}"/>
    <cellStyle name="20% - Énfasis2 2 4 2 3" xfId="27899" xr:uid="{0AA294BF-8653-4570-AE1A-BEF1052E8372}"/>
    <cellStyle name="20% - Énfasis2 2 4 2 4" xfId="33781" xr:uid="{97578A86-C2B4-4ADC-80DF-87B86D3F4E89}"/>
    <cellStyle name="20% - Énfasis2 2 4 2 5" xfId="39645" xr:uid="{10F26E31-07B9-4BD8-BBF2-1A637BEA59DE}"/>
    <cellStyle name="20% - Énfasis2 2 4 3" xfId="19282" xr:uid="{280D3403-C56B-4B07-8618-8C0FF2A1710B}"/>
    <cellStyle name="20% - Énfasis2 2 4 4" xfId="25050" xr:uid="{22120E04-1D5A-401B-B2F0-1DC4FABE750F}"/>
    <cellStyle name="20% - Énfasis2 2 4 5" xfId="30924" xr:uid="{CA2717A0-E1EB-4B5F-9A7D-F62D64F6866F}"/>
    <cellStyle name="20% - Énfasis2 2 4 6" xfId="36803" xr:uid="{B9EABE26-AB74-4D2B-BB97-EDD0BD339A4D}"/>
    <cellStyle name="20% - Énfasis2 2 5" xfId="5809" xr:uid="{53117D70-13DF-4AB0-8179-1B2E6750008B}"/>
    <cellStyle name="20% - Énfasis2 2 5 2" xfId="8678" xr:uid="{CBF3C939-24BC-4122-BE3C-C59355D2D304}"/>
    <cellStyle name="20% - Énfasis2 2 5 2 2" xfId="23046" xr:uid="{6DB0AC23-A0EA-445D-8E8A-AFBE9592AA90}"/>
    <cellStyle name="20% - Énfasis2 2 5 2 3" xfId="28910" xr:uid="{1165374C-9F57-4E60-87F9-D6ACF7DBA694}"/>
    <cellStyle name="20% - Énfasis2 2 5 2 4" xfId="34792" xr:uid="{BB4BD6F9-5BA7-4B41-9170-BBE4D1040002}"/>
    <cellStyle name="20% - Énfasis2 2 5 2 5" xfId="40656" xr:uid="{D76EDA31-4728-43AB-BD25-61B5198A862F}"/>
    <cellStyle name="20% - Énfasis2 2 5 3" xfId="20261" xr:uid="{06714848-5075-4EB4-8C69-747426332FB8}"/>
    <cellStyle name="20% - Énfasis2 2 5 4" xfId="26060" xr:uid="{A6752E99-69CA-4C54-B976-FF1D263D4DE0}"/>
    <cellStyle name="20% - Énfasis2 2 5 5" xfId="31935" xr:uid="{2F62B132-79C7-4DD9-BB18-84CDFC181838}"/>
    <cellStyle name="20% - Énfasis2 2 5 6" xfId="37801" xr:uid="{4EC22B34-C05D-4580-ADD4-BCF178DC4E38}"/>
    <cellStyle name="20% - Énfasis2 2 6" xfId="6695" xr:uid="{1AF76D7E-F9C8-4C09-A8BF-F6B63D1B6E3B}"/>
    <cellStyle name="20% - Énfasis2 2 6 2" xfId="21122" xr:uid="{478AC1FE-522A-4C89-990C-CF60AEC4B543}"/>
    <cellStyle name="20% - Énfasis2 2 6 3" xfId="26934" xr:uid="{9C37BAFF-B664-43C1-AF32-EFC121E30B81}"/>
    <cellStyle name="20% - Énfasis2 2 6 4" xfId="32810" xr:uid="{E71890D2-BED4-400D-8BDB-D7EFEABFC8AE}"/>
    <cellStyle name="20% - Énfasis2 2 6 5" xfId="38674" xr:uid="{3DD176EF-E2C1-40CF-91F8-5A06182C1FCF}"/>
    <cellStyle name="20% - Énfasis2 2 7" xfId="18356" xr:uid="{44B3A9D0-E4E9-4E59-9DE8-6325BF38225A}"/>
    <cellStyle name="20% - Énfasis2 2 8" xfId="24064" xr:uid="{C2368D59-E8C9-485F-B6CF-EA4433335FE2}"/>
    <cellStyle name="20% - Énfasis2 2 9" xfId="29942" xr:uid="{3FA93221-AA20-42D1-A1E5-D21F6FABB1F4}"/>
    <cellStyle name="20% - Énfasis2 20" xfId="6038" xr:uid="{F291EE00-5585-4DA7-B296-6A8FD957151F}"/>
    <cellStyle name="20% - Énfasis2 20 2" xfId="8907" xr:uid="{28C0F2B6-40DB-4D1E-9C8D-C3343C3A348A}"/>
    <cellStyle name="20% - Énfasis2 20 2 2" xfId="23271" xr:uid="{7070D454-41C1-4E06-8DBA-EB2C150DC40E}"/>
    <cellStyle name="20% - Énfasis2 20 2 3" xfId="29138" xr:uid="{6370D493-AA53-4065-B76E-40467F719DDA}"/>
    <cellStyle name="20% - Énfasis2 20 2 4" xfId="35020" xr:uid="{6EB05E78-4211-4E66-81CE-BB175C06E166}"/>
    <cellStyle name="20% - Énfasis2 20 2 5" xfId="40884" xr:uid="{74F3C0B4-4DF5-4A1D-9DC2-CFF4F1E96C0D}"/>
    <cellStyle name="20% - Énfasis2 20 3" xfId="20486" xr:uid="{2F456D24-9E49-4D61-969D-EEFE1EC1DBC3}"/>
    <cellStyle name="20% - Énfasis2 20 4" xfId="26288" xr:uid="{0FF0D94C-C860-4AAA-B100-B489CB1C6E26}"/>
    <cellStyle name="20% - Énfasis2 20 5" xfId="32163" xr:uid="{70105D6D-4763-49B6-8FCA-DD86E09F195A}"/>
    <cellStyle name="20% - Énfasis2 20 6" xfId="38028" xr:uid="{148BC8A9-20EC-4241-AB6B-D942D82C48A2}"/>
    <cellStyle name="20% - Énfasis2 21" xfId="6058" xr:uid="{155115E3-7307-41A7-8860-D6F373CE53DD}"/>
    <cellStyle name="20% - Énfasis2 21 2" xfId="8927" xr:uid="{19B2B99F-BFFF-42CB-9BAA-7EE5D968BA7C}"/>
    <cellStyle name="20% - Énfasis2 21 2 2" xfId="23291" xr:uid="{D5EE4B19-4612-4546-820E-3C24C72058A0}"/>
    <cellStyle name="20% - Énfasis2 21 2 3" xfId="29158" xr:uid="{DBD5C12D-C949-45E9-AC89-54047D1FD12B}"/>
    <cellStyle name="20% - Énfasis2 21 2 4" xfId="35040" xr:uid="{FD27957A-4D62-4EC9-BA24-679E99429D4E}"/>
    <cellStyle name="20% - Énfasis2 21 2 5" xfId="40904" xr:uid="{D33CCEA9-467F-4A67-9A3C-4BE8EDC1F09B}"/>
    <cellStyle name="20% - Énfasis2 21 3" xfId="20506" xr:uid="{B45D4B30-ECC4-47AC-9053-09410F291E89}"/>
    <cellStyle name="20% - Énfasis2 21 4" xfId="26308" xr:uid="{5F04185E-FC94-4BDE-8B57-5B545BC61D2B}"/>
    <cellStyle name="20% - Énfasis2 21 5" xfId="32183" xr:uid="{EDDC7BA7-275E-41C7-BF73-08C28D818C03}"/>
    <cellStyle name="20% - Énfasis2 21 6" xfId="38048" xr:uid="{A654BF47-4FC2-4CA3-8D9F-72DA5FCB9CEB}"/>
    <cellStyle name="20% - Énfasis2 22" xfId="6078" xr:uid="{2014129A-C92B-4D5A-B49E-B7B8AC4EC1AC}"/>
    <cellStyle name="20% - Énfasis2 22 2" xfId="8947" xr:uid="{AFFFB59A-B675-41D9-8976-7373EF2465CB}"/>
    <cellStyle name="20% - Énfasis2 22 2 2" xfId="23311" xr:uid="{D02213EA-1356-4BB8-9E09-79FA5FEA987B}"/>
    <cellStyle name="20% - Énfasis2 22 2 3" xfId="29178" xr:uid="{08B5AABF-318D-44AE-AEB2-1C607C943D05}"/>
    <cellStyle name="20% - Énfasis2 22 2 4" xfId="35060" xr:uid="{D78D5B68-4CB9-43B1-9726-17DEA98CFEBE}"/>
    <cellStyle name="20% - Énfasis2 22 2 5" xfId="40924" xr:uid="{2CD70E59-C164-480E-B412-3AE4D21A09A5}"/>
    <cellStyle name="20% - Énfasis2 22 3" xfId="20526" xr:uid="{72ABD64E-4F40-461A-B17A-F7862CFE6A53}"/>
    <cellStyle name="20% - Énfasis2 22 4" xfId="26328" xr:uid="{872D54F5-A2A2-4E29-8C3D-CBBD466D822C}"/>
    <cellStyle name="20% - Énfasis2 22 5" xfId="32203" xr:uid="{8A4E5A34-4BB7-4E1D-9F1B-0165E48E91DF}"/>
    <cellStyle name="20% - Énfasis2 22 6" xfId="38068" xr:uid="{AC82798C-7D6B-4F6C-A093-BE5E7A899579}"/>
    <cellStyle name="20% - Énfasis2 23" xfId="6098" xr:uid="{84BF23B1-B94D-4606-A0E6-3CD5C795AA06}"/>
    <cellStyle name="20% - Énfasis2 23 2" xfId="8967" xr:uid="{6F5B53E3-B300-4709-8D2D-558BA495D685}"/>
    <cellStyle name="20% - Énfasis2 23 2 2" xfId="23331" xr:uid="{14A7C623-CB15-489B-A683-535442648E6F}"/>
    <cellStyle name="20% - Énfasis2 23 2 3" xfId="29198" xr:uid="{56B025CD-2769-4DC1-86A8-D46BA8FC1597}"/>
    <cellStyle name="20% - Énfasis2 23 2 4" xfId="35080" xr:uid="{6EEAAA6C-60D3-49F7-A34E-6178D097F7F3}"/>
    <cellStyle name="20% - Énfasis2 23 2 5" xfId="40944" xr:uid="{F829FF91-3BAF-404E-903B-2C11EFCDED6F}"/>
    <cellStyle name="20% - Énfasis2 23 3" xfId="20546" xr:uid="{0090A1CF-9A10-4B99-B8D5-6BE3C8EAA6AB}"/>
    <cellStyle name="20% - Énfasis2 23 4" xfId="26348" xr:uid="{D813BCEC-2CA5-4816-AB29-61D66C9AE8D2}"/>
    <cellStyle name="20% - Énfasis2 23 5" xfId="32223" xr:uid="{8F54727F-9D44-49CD-A429-3F2C88851996}"/>
    <cellStyle name="20% - Énfasis2 23 6" xfId="38088" xr:uid="{5307D43F-B790-4622-9178-C5229A86F023}"/>
    <cellStyle name="20% - Énfasis2 24" xfId="6118" xr:uid="{1B9E5D3D-65FF-4C84-90DB-CA0661F4749A}"/>
    <cellStyle name="20% - Énfasis2 24 2" xfId="8987" xr:uid="{9C5EFEC5-0B06-4051-B49F-A083DF32AAF3}"/>
    <cellStyle name="20% - Énfasis2 24 2 2" xfId="23351" xr:uid="{87D8565C-EF36-4E3A-B241-147B1616291A}"/>
    <cellStyle name="20% - Énfasis2 24 2 3" xfId="29218" xr:uid="{61F046FC-41E6-46FA-891B-AC7FEB5E2174}"/>
    <cellStyle name="20% - Énfasis2 24 2 4" xfId="35100" xr:uid="{39DEAE74-F4A6-4592-856D-1368C266C650}"/>
    <cellStyle name="20% - Énfasis2 24 2 5" xfId="40964" xr:uid="{79B52D7D-6E10-4DDE-8F2E-E5AE92D4F1E5}"/>
    <cellStyle name="20% - Énfasis2 24 3" xfId="20566" xr:uid="{5731A508-6CFE-4AF6-9110-D412127CA42E}"/>
    <cellStyle name="20% - Énfasis2 24 4" xfId="26368" xr:uid="{2256D080-75D9-462B-BA84-06E8C8C205C3}"/>
    <cellStyle name="20% - Énfasis2 24 5" xfId="32243" xr:uid="{52FEBED5-9315-46F5-AA72-688954431A43}"/>
    <cellStyle name="20% - Énfasis2 24 6" xfId="38108" xr:uid="{46219C03-97A6-4529-817A-022BE32B786C}"/>
    <cellStyle name="20% - Énfasis2 25" xfId="6138" xr:uid="{22F51AD3-AAE4-4C26-8843-8C709B11C6F7}"/>
    <cellStyle name="20% - Énfasis2 25 2" xfId="9007" xr:uid="{2A26E0D3-C3A9-4807-BF56-5FF4EA1B863C}"/>
    <cellStyle name="20% - Énfasis2 25 2 2" xfId="23371" xr:uid="{222C3A7F-44FA-4B6C-97ED-66C5C3633CA1}"/>
    <cellStyle name="20% - Énfasis2 25 2 3" xfId="29238" xr:uid="{1D562FC0-8BB2-4A8C-A04F-61439FB5914C}"/>
    <cellStyle name="20% - Énfasis2 25 2 4" xfId="35120" xr:uid="{81F39699-BF7D-4C06-AE9E-C72AD0E08DF1}"/>
    <cellStyle name="20% - Énfasis2 25 2 5" xfId="40983" xr:uid="{CBB52C54-B910-40D0-9A6D-0ED1D511B92A}"/>
    <cellStyle name="20% - Énfasis2 25 3" xfId="20586" xr:uid="{1A9066D5-0A7E-4F52-98C2-58A93D34C242}"/>
    <cellStyle name="20% - Énfasis2 25 4" xfId="26388" xr:uid="{BDFA50E8-007A-4CE2-A288-3C194609FAAD}"/>
    <cellStyle name="20% - Énfasis2 25 5" xfId="32263" xr:uid="{CCE9E773-C9AC-4045-8622-BAF65F552D7A}"/>
    <cellStyle name="20% - Énfasis2 25 6" xfId="38128" xr:uid="{45A667DC-C041-40BF-9ADD-0827F100C322}"/>
    <cellStyle name="20% - Énfasis2 26" xfId="6158" xr:uid="{58590EC1-D6A5-47CC-A015-FBF2E71EE58B}"/>
    <cellStyle name="20% - Énfasis2 26 2" xfId="9027" xr:uid="{C4E559D8-FF46-4616-9552-47658DFB338A}"/>
    <cellStyle name="20% - Énfasis2 26 2 2" xfId="23391" xr:uid="{4CD6B64D-F53D-4884-B09C-0C9EB3554467}"/>
    <cellStyle name="20% - Énfasis2 26 2 3" xfId="29258" xr:uid="{D1FAA341-5F42-4C1F-9FDF-89A0850E9909}"/>
    <cellStyle name="20% - Énfasis2 26 2 4" xfId="35140" xr:uid="{9DD7A089-654D-4BC0-943B-F651BC6208E9}"/>
    <cellStyle name="20% - Énfasis2 26 2 5" xfId="41002" xr:uid="{D19A66EB-72B8-4736-9B5E-6DD558F53E52}"/>
    <cellStyle name="20% - Énfasis2 26 3" xfId="20606" xr:uid="{5506173F-CCD5-4676-8940-53D43D37B8F4}"/>
    <cellStyle name="20% - Énfasis2 26 4" xfId="26408" xr:uid="{C276E20E-A35C-42C0-92B8-2A5FCB447B1C}"/>
    <cellStyle name="20% - Énfasis2 26 5" xfId="32283" xr:uid="{28ADF911-E3A1-451E-927E-DB943EE9A23C}"/>
    <cellStyle name="20% - Énfasis2 26 6" xfId="38148" xr:uid="{FFE52E40-7F9B-4E37-AB7A-066C6A4B1B67}"/>
    <cellStyle name="20% - Énfasis2 27" xfId="6178" xr:uid="{66BFFE58-52A1-4912-BBDF-D95E95D05456}"/>
    <cellStyle name="20% - Énfasis2 27 2" xfId="9047" xr:uid="{87D166AE-7F16-4357-847F-2E0E61ED9D1C}"/>
    <cellStyle name="20% - Énfasis2 27 2 2" xfId="23411" xr:uid="{9C8545C6-C767-49C7-91D3-54C934B2318B}"/>
    <cellStyle name="20% - Énfasis2 27 2 3" xfId="29278" xr:uid="{E3BE50A9-9400-4A04-B9D3-82B694CA9D28}"/>
    <cellStyle name="20% - Énfasis2 27 2 4" xfId="35160" xr:uid="{A8B76DAC-79B5-4EC9-86F7-ED5A0D3BAF39}"/>
    <cellStyle name="20% - Énfasis2 27 2 5" xfId="41022" xr:uid="{7B234E94-75BC-4B75-8833-E83000BEE6E1}"/>
    <cellStyle name="20% - Énfasis2 27 3" xfId="20626" xr:uid="{5F9D5AAC-BD37-4AB9-8612-60AF936B37E4}"/>
    <cellStyle name="20% - Énfasis2 27 4" xfId="26428" xr:uid="{C70B7DB3-EA56-4438-B8F9-8976AEEBDFBD}"/>
    <cellStyle name="20% - Énfasis2 27 5" xfId="32303" xr:uid="{0AB93BD7-EFE5-40DB-9C24-6924FBD3EA01}"/>
    <cellStyle name="20% - Énfasis2 27 6" xfId="38168" xr:uid="{AAC77C48-56F8-4F1E-82F7-3AE90E42CD92}"/>
    <cellStyle name="20% - Énfasis2 28" xfId="6200" xr:uid="{F2B4F893-2CC2-487E-8C6F-DC303A0D029A}"/>
    <cellStyle name="20% - Énfasis2 28 2" xfId="9069" xr:uid="{E1E455F8-497D-4C71-B3CA-6BE84A326983}"/>
    <cellStyle name="20% - Énfasis2 28 2 2" xfId="23433" xr:uid="{5082789D-563A-45AE-8DE0-317237FEC042}"/>
    <cellStyle name="20% - Énfasis2 28 2 3" xfId="29300" xr:uid="{6EA36574-BB05-4475-8A9D-90839A47F093}"/>
    <cellStyle name="20% - Énfasis2 28 2 4" xfId="35182" xr:uid="{814F0C45-7AD0-494A-AFDF-D687952630C6}"/>
    <cellStyle name="20% - Énfasis2 28 2 5" xfId="41043" xr:uid="{407C6AC3-2BA0-4E1C-AD6B-9808BA1A1E53}"/>
    <cellStyle name="20% - Énfasis2 28 3" xfId="20648" xr:uid="{F5FEE129-6B04-4DED-AD91-E92969AD6387}"/>
    <cellStyle name="20% - Énfasis2 28 4" xfId="26450" xr:uid="{E789CD38-C776-4312-8A11-13FC4CD9254D}"/>
    <cellStyle name="20% - Énfasis2 28 5" xfId="32325" xr:uid="{21B8A493-D469-4542-B5A2-5B690530EF78}"/>
    <cellStyle name="20% - Énfasis2 28 6" xfId="38190" xr:uid="{B1F824B6-9BD6-457B-A71D-6F3C7FAA7F2A}"/>
    <cellStyle name="20% - Énfasis2 29" xfId="6237" xr:uid="{5A7AF210-40EB-433C-BE7C-4D34DC9CB786}"/>
    <cellStyle name="20% - Énfasis2 29 2" xfId="9106" xr:uid="{BA7CBC43-3BFF-46D0-8228-1C7ED6C91044}"/>
    <cellStyle name="20% - Énfasis2 29 2 2" xfId="23470" xr:uid="{3299FE7A-36A6-4D4B-BF6C-0F210AC9F50A}"/>
    <cellStyle name="20% - Énfasis2 29 2 3" xfId="29337" xr:uid="{CBBF2558-A5A5-42C7-B2B1-31D82D1B5184}"/>
    <cellStyle name="20% - Énfasis2 29 2 4" xfId="35219" xr:uid="{07527C04-C35D-4D22-A40E-BC0495FB9D00}"/>
    <cellStyle name="20% - Énfasis2 29 2 5" xfId="41079" xr:uid="{2862A89B-7666-4450-BF58-F3071938E079}"/>
    <cellStyle name="20% - Énfasis2 29 3" xfId="20678" xr:uid="{65A15C83-EF2C-4C3B-A8DD-477255019CC4}"/>
    <cellStyle name="20% - Énfasis2 29 4" xfId="26487" xr:uid="{1F416FBC-879E-4DC8-98B5-2D3F6C060AEC}"/>
    <cellStyle name="20% - Énfasis2 29 5" xfId="32362" xr:uid="{36F82AF2-B7A0-4F1A-A1C6-FA18DC75EC8C}"/>
    <cellStyle name="20% - Énfasis2 29 6" xfId="38227" xr:uid="{9036BEE6-F24D-4F2B-BCA3-F0A6FE8F9153}"/>
    <cellStyle name="20% - Énfasis2 3" xfId="3860" xr:uid="{D377D268-55FB-41B5-9EA6-B5557454A82B}"/>
    <cellStyle name="20% - Énfasis2 3 10" xfId="35850" xr:uid="{D2CFA796-FDA1-4EE0-ACBD-F1A3CA05E06C}"/>
    <cellStyle name="20% - Énfasis2 3 2" xfId="4059" xr:uid="{7E8EA412-DA87-465D-9182-DE4DBDDF5019}"/>
    <cellStyle name="20% - Énfasis2 3 2 2" xfId="4537" xr:uid="{66EABCD1-E7DE-4CF5-B8F8-4CF1AFD8B5FA}"/>
    <cellStyle name="20% - Énfasis2 3 2 2 2" xfId="5505" xr:uid="{1C618BDD-6066-42B9-85CB-2EEEE43E1F0F}"/>
    <cellStyle name="20% - Énfasis2 3 2 2 2 2" xfId="8372" xr:uid="{92564F8E-1044-4D71-914B-5326A903E4EE}"/>
    <cellStyle name="20% - Énfasis2 3 2 2 2 2 2" xfId="22747" xr:uid="{EED0ADB6-FF3D-4157-8B37-214F9B8184F3}"/>
    <cellStyle name="20% - Énfasis2 3 2 2 2 2 3" xfId="28605" xr:uid="{2108C813-A8ED-48BF-B04F-1052C53DF279}"/>
    <cellStyle name="20% - Énfasis2 3 2 2 2 2 4" xfId="34487" xr:uid="{2C6F7D74-10C1-4816-9E6C-2527D2CEC590}"/>
    <cellStyle name="20% - Énfasis2 3 2 2 2 2 5" xfId="40351" xr:uid="{E6BC47D5-66AD-48EB-87FD-A870E81763A3}"/>
    <cellStyle name="20% - Énfasis2 3 2 2 2 3" xfId="19965" xr:uid="{2824784F-34B8-46F3-8E3F-FD6D325C138A}"/>
    <cellStyle name="20% - Énfasis2 3 2 2 2 4" xfId="25756" xr:uid="{4FD0C33F-9229-4FA4-A54F-545F8D82B571}"/>
    <cellStyle name="20% - Énfasis2 3 2 2 2 5" xfId="31630" xr:uid="{AED6A58B-6B55-4C89-A412-61A900427998}"/>
    <cellStyle name="20% - Énfasis2 3 2 2 2 6" xfId="37500" xr:uid="{91D2859A-65AC-4740-B271-2AC6C9A58341}"/>
    <cellStyle name="20% - Énfasis2 3 2 2 3" xfId="7400" xr:uid="{A0390DC3-2188-4C35-875D-70C4A10258A5}"/>
    <cellStyle name="20% - Énfasis2 3 2 2 3 2" xfId="21802" xr:uid="{7403C668-D31B-4510-8251-6FC787A9B462}"/>
    <cellStyle name="20% - Énfasis2 3 2 2 3 3" xfId="27634" xr:uid="{3712AE77-365D-451B-A5EB-E2882521BEEA}"/>
    <cellStyle name="20% - Énfasis2 3 2 2 3 4" xfId="33516" xr:uid="{1F3EBF81-D6FF-49B8-ACB2-373BFD48AB71}"/>
    <cellStyle name="20% - Énfasis2 3 2 2 3 5" xfId="39380" xr:uid="{21B24129-6398-475B-9152-B43AAC2934BE}"/>
    <cellStyle name="20% - Énfasis2 3 2 2 4" xfId="19033" xr:uid="{0E555B47-0B9E-46A0-966E-52AB9A0F06ED}"/>
    <cellStyle name="20% - Énfasis2 3 2 2 5" xfId="24785" xr:uid="{50FCA7E6-9978-4A48-B52F-CF05CE8F3CA3}"/>
    <cellStyle name="20% - Énfasis2 3 2 2 6" xfId="30662" xr:uid="{D1E25ED9-AC90-464F-8CD7-A97787C817AC}"/>
    <cellStyle name="20% - Énfasis2 3 2 2 7" xfId="36543" xr:uid="{A18DA8A0-F06F-40E6-BC73-F4CB74011DA8}"/>
    <cellStyle name="20% - Énfasis2 3 2 3" xfId="5020" xr:uid="{A812151F-1B8F-4452-8CEF-428004FA4EFC}"/>
    <cellStyle name="20% - Énfasis2 3 2 3 2" xfId="7887" xr:uid="{DF7E42CE-8B18-462F-A734-115C5E6B8B33}"/>
    <cellStyle name="20% - Énfasis2 3 2 3 2 2" xfId="22272" xr:uid="{FFA0E223-A206-4A82-9D91-7393E4132517}"/>
    <cellStyle name="20% - Énfasis2 3 2 3 2 3" xfId="28120" xr:uid="{B6FE664B-CD22-4AAA-8C62-394B91145169}"/>
    <cellStyle name="20% - Énfasis2 3 2 3 2 4" xfId="34002" xr:uid="{1B1432D8-3ADD-4DC1-AA1D-14D191260EAE}"/>
    <cellStyle name="20% - Énfasis2 3 2 3 2 5" xfId="39866" xr:uid="{0FEE8F9C-95D1-4E1E-83A0-77B4ED675378}"/>
    <cellStyle name="20% - Énfasis2 3 2 3 3" xfId="19498" xr:uid="{861B75EB-D888-409D-800D-059D3395AFDE}"/>
    <cellStyle name="20% - Énfasis2 3 2 3 4" xfId="25271" xr:uid="{C405D869-D738-4FE6-BE4A-215C4349971B}"/>
    <cellStyle name="20% - Énfasis2 3 2 3 5" xfId="31145" xr:uid="{D753ABA7-F096-4CF2-BA0C-0FD261130D27}"/>
    <cellStyle name="20% - Énfasis2 3 2 3 6" xfId="37023" xr:uid="{AFD11315-86BF-425C-8E31-54676DA539D5}"/>
    <cellStyle name="20% - Énfasis2 3 2 4" xfId="6915" xr:uid="{E8547706-EA8C-411C-A123-B12E25FB2B0E}"/>
    <cellStyle name="20% - Énfasis2 3 2 4 2" xfId="21335" xr:uid="{6CB7BDB4-CA49-4E44-8630-581624012A75}"/>
    <cellStyle name="20% - Énfasis2 3 2 4 3" xfId="27153" xr:uid="{980C3667-573F-400C-BA12-4CC15AFBF579}"/>
    <cellStyle name="20% - Énfasis2 3 2 4 4" xfId="33031" xr:uid="{063D330A-FAB0-4BA6-8443-4FA45EED815B}"/>
    <cellStyle name="20% - Énfasis2 3 2 4 5" xfId="38895" xr:uid="{5DCBBB86-4BAF-4CEF-8C8A-6B6CEA7F2D9F}"/>
    <cellStyle name="20% - Énfasis2 3 2 5" xfId="18590" xr:uid="{2DF170C3-60B4-401B-9C59-6FFED46A3E20}"/>
    <cellStyle name="20% - Énfasis2 3 2 6" xfId="24302" xr:uid="{4AAE9293-6CDE-4260-A675-01E79A3D6C95}"/>
    <cellStyle name="20% - Énfasis2 3 2 7" xfId="30180" xr:uid="{8B42B757-831D-4F2B-B9FB-25216573D810}"/>
    <cellStyle name="20% - Énfasis2 3 2 8" xfId="36059" xr:uid="{612DE804-214E-423D-9C74-D76F55AF55F3}"/>
    <cellStyle name="20% - Énfasis2 3 3" xfId="4343" xr:uid="{E97F66BF-D393-4115-B2A6-C5F634B0E174}"/>
    <cellStyle name="20% - Énfasis2 3 3 2" xfId="5309" xr:uid="{90F768C0-7BF6-4B28-9B8D-1729B46C9F2F}"/>
    <cellStyle name="20% - Énfasis2 3 3 2 2" xfId="8176" xr:uid="{3F4F7FE1-9B4B-4C3F-92BC-5F9AB53720B1}"/>
    <cellStyle name="20% - Énfasis2 3 3 2 2 2" xfId="22552" xr:uid="{762D9474-1546-46B0-BA1F-C001BDD01743}"/>
    <cellStyle name="20% - Énfasis2 3 3 2 2 3" xfId="28409" xr:uid="{DD8A34F8-BFDD-4637-99C8-54ADCF64077B}"/>
    <cellStyle name="20% - Énfasis2 3 3 2 2 4" xfId="34291" xr:uid="{A82CC637-3BCA-435C-B8A2-799FEDD0E658}"/>
    <cellStyle name="20% - Énfasis2 3 3 2 2 5" xfId="40155" xr:uid="{BD68FF7B-2888-4045-B147-6135954C7401}"/>
    <cellStyle name="20% - Énfasis2 3 3 2 3" xfId="19777" xr:uid="{4760E70A-81AF-478B-A418-714309135585}"/>
    <cellStyle name="20% - Énfasis2 3 3 2 4" xfId="25560" xr:uid="{32B5BCAF-9D8E-4B41-B786-3840433F9C90}"/>
    <cellStyle name="20% - Énfasis2 3 3 2 5" xfId="31434" xr:uid="{B1579800-0345-41FB-A7E2-9B988C75C2EF}"/>
    <cellStyle name="20% - Énfasis2 3 3 2 6" xfId="37305" xr:uid="{CE2F5A59-BB74-4EEB-A6C2-D1F7C69DE4D2}"/>
    <cellStyle name="20% - Énfasis2 3 3 3" xfId="7204" xr:uid="{341BE5B1-9388-4863-92D0-7B05070FE358}"/>
    <cellStyle name="20% - Énfasis2 3 3 3 2" xfId="21611" xr:uid="{08AAC588-EED5-4050-B6A1-54C5DCD5E300}"/>
    <cellStyle name="20% - Énfasis2 3 3 3 3" xfId="27438" xr:uid="{3A34D81B-5DCC-4F8C-8D40-52980A27407E}"/>
    <cellStyle name="20% - Énfasis2 3 3 3 4" xfId="33320" xr:uid="{3B16F255-2EC6-4920-A64B-A114436DA1DB}"/>
    <cellStyle name="20% - Énfasis2 3 3 3 5" xfId="39184" xr:uid="{AFAB1946-EBEE-4991-9328-C57DADF2C113}"/>
    <cellStyle name="20% - Énfasis2 3 3 4" xfId="18848" xr:uid="{31FC8D2B-BC23-4B43-BBA4-CEC4CA2966D8}"/>
    <cellStyle name="20% - Énfasis2 3 3 5" xfId="24589" xr:uid="{E4D529B8-C788-48E0-A7FF-46AF35767A86}"/>
    <cellStyle name="20% - Énfasis2 3 3 6" xfId="30468" xr:uid="{CE9BAF31-F2B9-4A57-8000-519DAE4E2B0F}"/>
    <cellStyle name="20% - Énfasis2 3 3 7" xfId="36348" xr:uid="{4579C7CE-08D1-4FD1-B902-5CC3C8381FEE}"/>
    <cellStyle name="20% - Énfasis2 3 4" xfId="4825" xr:uid="{B5E8C168-FB6D-4ED8-B85E-A2BD76C2221D}"/>
    <cellStyle name="20% - Énfasis2 3 4 2" xfId="7691" xr:uid="{CA9998CD-8CF6-4166-AFCC-4CE2E75A59D0}"/>
    <cellStyle name="20% - Énfasis2 3 4 2 2" xfId="22081" xr:uid="{526E7555-1E14-4A30-9F97-0C4CFE19E8ED}"/>
    <cellStyle name="20% - Énfasis2 3 4 2 3" xfId="27924" xr:uid="{DC26196E-5590-442D-B9D0-A46A0A4EE273}"/>
    <cellStyle name="20% - Énfasis2 3 4 2 4" xfId="33806" xr:uid="{71B73321-51F0-4CC4-8A8C-98A01B53FF77}"/>
    <cellStyle name="20% - Énfasis2 3 4 2 5" xfId="39670" xr:uid="{2EF2356D-5BB7-4335-8DCF-63956BF44FFC}"/>
    <cellStyle name="20% - Énfasis2 3 4 3" xfId="19307" xr:uid="{9BC7BD68-824A-41DD-A5A7-CEA6B3CD40C8}"/>
    <cellStyle name="20% - Énfasis2 3 4 4" xfId="25075" xr:uid="{7C137F49-A3A6-4829-AA2E-9B3F3C3F9CBE}"/>
    <cellStyle name="20% - Énfasis2 3 4 5" xfId="30949" xr:uid="{01B610A0-7796-46F1-83AB-43DBE85BB58D}"/>
    <cellStyle name="20% - Énfasis2 3 4 6" xfId="36828" xr:uid="{4FBF1529-91B8-40A1-982E-122586B9EFBC}"/>
    <cellStyle name="20% - Énfasis2 3 5" xfId="5834" xr:uid="{0252825A-D248-4D81-802C-F6762E9DABC9}"/>
    <cellStyle name="20% - Énfasis2 3 5 2" xfId="8703" xr:uid="{F8C5314F-F60F-4A60-B8BE-BA70D8EC4561}"/>
    <cellStyle name="20% - Énfasis2 3 5 2 2" xfId="23071" xr:uid="{1CFFA09E-F075-4E7C-8FA0-2AFD24C295FE}"/>
    <cellStyle name="20% - Énfasis2 3 5 2 3" xfId="28935" xr:uid="{F629B1F7-C798-400E-89D1-4CEE56D0E619}"/>
    <cellStyle name="20% - Énfasis2 3 5 2 4" xfId="34817" xr:uid="{DCAABEF5-0D1B-4F39-B7E6-0CF0D8E9C00B}"/>
    <cellStyle name="20% - Énfasis2 3 5 2 5" xfId="40681" xr:uid="{CD1D93C8-FCC2-44A3-87E3-2F72AA735B1F}"/>
    <cellStyle name="20% - Énfasis2 3 5 3" xfId="20286" xr:uid="{209A96A2-0352-46A7-BC78-B128E18F39D5}"/>
    <cellStyle name="20% - Énfasis2 3 5 4" xfId="26085" xr:uid="{5CDA256F-D033-43E0-9C78-2666006DBDD9}"/>
    <cellStyle name="20% - Énfasis2 3 5 5" xfId="31960" xr:uid="{489CE1AD-E545-484D-A0FC-A32123AE9F20}"/>
    <cellStyle name="20% - Énfasis2 3 5 6" xfId="37826" xr:uid="{252E09A7-309D-4F0D-B931-BFDCF5ACBD44}"/>
    <cellStyle name="20% - Énfasis2 3 6" xfId="6720" xr:uid="{78A75D59-E9AC-4D2E-AA56-C5F54B759FD2}"/>
    <cellStyle name="20% - Énfasis2 3 6 2" xfId="21144" xr:uid="{9306257C-7895-4C6F-8F8B-74AF6AF9E0CC}"/>
    <cellStyle name="20% - Énfasis2 3 6 3" xfId="26959" xr:uid="{D01754BE-84E4-4EA8-ADC4-8C93E7A3C737}"/>
    <cellStyle name="20% - Énfasis2 3 6 4" xfId="32835" xr:uid="{AC67FE84-9868-47D0-82EC-9326E293D15E}"/>
    <cellStyle name="20% - Énfasis2 3 6 5" xfId="38699" xr:uid="{313E5171-3C44-4CF8-AF55-B9DC092FA935}"/>
    <cellStyle name="20% - Énfasis2 3 7" xfId="18382" xr:uid="{1BC05D88-7010-4B76-8954-DA209F7894C1}"/>
    <cellStyle name="20% - Énfasis2 3 8" xfId="24091" xr:uid="{739B206F-67F3-424C-8CB8-B2BCBDEA02EF}"/>
    <cellStyle name="20% - Énfasis2 3 9" xfId="29969" xr:uid="{0049BD14-4F76-4F9C-B9C4-63AFEF787866}"/>
    <cellStyle name="20% - Énfasis2 30" xfId="6257" xr:uid="{9F08C1B6-6149-4841-8F81-9E4A8CEDFA9B}"/>
    <cellStyle name="20% - Énfasis2 30 2" xfId="9126" xr:uid="{E92460C5-9F57-4B83-954A-F541BA474482}"/>
    <cellStyle name="20% - Énfasis2 30 2 2" xfId="23490" xr:uid="{9B78254F-95AD-4CD5-B66C-034EF71533F1}"/>
    <cellStyle name="20% - Énfasis2 30 2 3" xfId="29357" xr:uid="{148CCE70-0FCF-42AB-AF4D-214614FAACB7}"/>
    <cellStyle name="20% - Énfasis2 30 2 4" xfId="35239" xr:uid="{EC836370-D225-4ECB-ADD7-28A9D013D852}"/>
    <cellStyle name="20% - Énfasis2 30 2 5" xfId="41098" xr:uid="{FBD388A5-2728-4757-BB2F-B8C01AB3BF18}"/>
    <cellStyle name="20% - Énfasis2 30 3" xfId="20698" xr:uid="{BF35395F-DDBA-4916-B87C-FA78E4B2E8CB}"/>
    <cellStyle name="20% - Énfasis2 30 4" xfId="26507" xr:uid="{C2C04578-A067-452F-820B-DED1029F88B5}"/>
    <cellStyle name="20% - Énfasis2 30 5" xfId="32382" xr:uid="{F01D8640-BE54-4E1D-8EDE-340F81472F03}"/>
    <cellStyle name="20% - Énfasis2 30 6" xfId="38247" xr:uid="{86278138-D813-4F46-AAE3-5C40210FA5E4}"/>
    <cellStyle name="20% - Énfasis2 31" xfId="6277" xr:uid="{16C2F510-295C-4DC1-9791-D492855890C1}"/>
    <cellStyle name="20% - Énfasis2 31 2" xfId="9146" xr:uid="{961C95D6-0B3E-4A2D-AA02-0A3884AFAA45}"/>
    <cellStyle name="20% - Énfasis2 31 2 2" xfId="23510" xr:uid="{1468222A-0467-4C42-BDFC-828E1BDDD900}"/>
    <cellStyle name="20% - Énfasis2 31 2 3" xfId="29377" xr:uid="{DBF09FA1-B126-44D8-9FB6-40C979230BD4}"/>
    <cellStyle name="20% - Énfasis2 31 2 4" xfId="35259" xr:uid="{E596E227-69F6-4B24-B84E-E4F694250966}"/>
    <cellStyle name="20% - Énfasis2 31 2 5" xfId="41118" xr:uid="{60A80979-82DB-44C3-8D46-15C8E9136BA1}"/>
    <cellStyle name="20% - Énfasis2 31 3" xfId="20718" xr:uid="{D1352331-4775-4F18-8A0F-A21712443EA1}"/>
    <cellStyle name="20% - Énfasis2 31 4" xfId="26527" xr:uid="{8A2F05C1-9503-44BC-98C8-599BC4D09881}"/>
    <cellStyle name="20% - Énfasis2 31 5" xfId="32402" xr:uid="{2FF9CB62-F627-4BB2-90E0-9EBF7CDF6962}"/>
    <cellStyle name="20% - Énfasis2 31 6" xfId="38267" xr:uid="{D5E6A0FA-7A63-4D38-8737-CD567E64BA62}"/>
    <cellStyle name="20% - Énfasis2 32" xfId="6301" xr:uid="{52BB2007-6F15-4FAC-877F-669320C52E2F}"/>
    <cellStyle name="20% - Énfasis2 32 2" xfId="9169" xr:uid="{93AE295A-9E33-4561-9501-E787857C3669}"/>
    <cellStyle name="20% - Énfasis2 32 2 2" xfId="23533" xr:uid="{B4D72039-97CB-4210-A1C6-430CE30E2A2D}"/>
    <cellStyle name="20% - Énfasis2 32 2 3" xfId="29400" xr:uid="{8503D704-52D4-4DF0-924B-E2DFD96D13AB}"/>
    <cellStyle name="20% - Énfasis2 32 2 4" xfId="35282" xr:uid="{DBF5451D-D297-472E-9745-474BEC536BF2}"/>
    <cellStyle name="20% - Énfasis2 32 2 5" xfId="41141" xr:uid="{B1519CBD-3CD1-4C8A-A6A1-993F3B247950}"/>
    <cellStyle name="20% - Énfasis2 32 3" xfId="20742" xr:uid="{45834A9B-11B3-4CA9-BB06-F6C395D3349A}"/>
    <cellStyle name="20% - Énfasis2 32 4" xfId="26551" xr:uid="{AB937696-5A75-4C73-AC34-C85EA8F310EE}"/>
    <cellStyle name="20% - Énfasis2 32 5" xfId="32426" xr:uid="{E90CFBD7-9C7B-46F5-81B9-50EAAA6D32D3}"/>
    <cellStyle name="20% - Énfasis2 32 6" xfId="38291" xr:uid="{562EC042-A921-40D2-9CD8-499735EB1E6C}"/>
    <cellStyle name="20% - Énfasis2 33" xfId="6333" xr:uid="{21EE330E-7D59-413B-AA82-039D963D87F9}"/>
    <cellStyle name="20% - Énfasis2 33 2" xfId="9198" xr:uid="{D2BDD33F-760D-4C71-A994-337B18587C64}"/>
    <cellStyle name="20% - Énfasis2 33 2 2" xfId="23561" xr:uid="{93E3998C-1B7E-4C2F-8B2F-AEDEEA78CE23}"/>
    <cellStyle name="20% - Énfasis2 33 2 3" xfId="29429" xr:uid="{8646D2D7-16E7-4EE1-B756-E7E011076030}"/>
    <cellStyle name="20% - Énfasis2 33 2 4" xfId="35311" xr:uid="{5810AE05-1DCC-4077-A311-BF70AD802BF4}"/>
    <cellStyle name="20% - Énfasis2 33 2 5" xfId="41170" xr:uid="{55E6D6D3-0791-4F50-9A06-02DF9905156D}"/>
    <cellStyle name="20% - Énfasis2 33 3" xfId="20774" xr:uid="{9AB87C68-89FA-4E8E-8F39-CFF2E1C7E6EE}"/>
    <cellStyle name="20% - Énfasis2 33 4" xfId="26583" xr:uid="{C6E0B769-DDBE-4678-B410-4A10E9421653}"/>
    <cellStyle name="20% - Énfasis2 33 5" xfId="32458" xr:uid="{25F41429-09A9-4E82-A21D-9AFEDEF92C46}"/>
    <cellStyle name="20% - Énfasis2 33 6" xfId="38322" xr:uid="{9DF32394-2A51-4666-9C42-045B37E84870}"/>
    <cellStyle name="20% - Énfasis2 34" xfId="6353" xr:uid="{12DC5ADB-1C8C-4FA0-B2FD-BFD633B597AE}"/>
    <cellStyle name="20% - Énfasis2 34 2" xfId="9218" xr:uid="{5433E3BA-B22B-473A-9D3D-9B08CE72ABBC}"/>
    <cellStyle name="20% - Énfasis2 34 2 2" xfId="23581" xr:uid="{3A4157E8-A940-4A91-824A-040092C4A452}"/>
    <cellStyle name="20% - Énfasis2 34 2 3" xfId="29449" xr:uid="{2D101744-DF65-474C-ABE6-9E5814D9529D}"/>
    <cellStyle name="20% - Énfasis2 34 2 4" xfId="35331" xr:uid="{4A83D8FF-5B2F-4FF5-BA1E-2E706A490EEC}"/>
    <cellStyle name="20% - Énfasis2 34 2 5" xfId="41190" xr:uid="{C6E51E77-C460-4BA3-A587-F3AA6408BE2A}"/>
    <cellStyle name="20% - Énfasis2 34 3" xfId="20794" xr:uid="{CEC0281B-A4B4-4BF3-8754-BCF1DAF0B22D}"/>
    <cellStyle name="20% - Énfasis2 34 4" xfId="26603" xr:uid="{EEE71D42-6723-498A-8B0A-D2944F2B0409}"/>
    <cellStyle name="20% - Énfasis2 34 5" xfId="32478" xr:uid="{36FFA15E-A3A9-4E9C-9A40-23C494FB5A72}"/>
    <cellStyle name="20% - Énfasis2 34 6" xfId="38342" xr:uid="{0719358A-1E36-4C44-9453-3BA6EFB4D024}"/>
    <cellStyle name="20% - Énfasis2 35" xfId="6373" xr:uid="{CFB2EC94-5CA0-4F01-8E45-29285B7C4256}"/>
    <cellStyle name="20% - Énfasis2 35 2" xfId="9238" xr:uid="{24A09EAA-7AFE-401C-BF40-B073682BBF7C}"/>
    <cellStyle name="20% - Énfasis2 35 2 2" xfId="23601" xr:uid="{94F69A88-54FB-4FF6-9438-F88AA797F814}"/>
    <cellStyle name="20% - Énfasis2 35 2 3" xfId="29469" xr:uid="{6DC4ED65-D027-4D82-A405-5905B1FF4A9E}"/>
    <cellStyle name="20% - Énfasis2 35 2 4" xfId="35351" xr:uid="{8EB33BF6-533C-4FE8-A8BD-E478B213AA6C}"/>
    <cellStyle name="20% - Énfasis2 35 2 5" xfId="41210" xr:uid="{097BF1BF-7BEC-43DE-BAB5-4E578BEDBB22}"/>
    <cellStyle name="20% - Énfasis2 35 3" xfId="20814" xr:uid="{81201CC4-95B7-4D38-B3FB-E31A80D133BF}"/>
    <cellStyle name="20% - Énfasis2 35 4" xfId="26623" xr:uid="{E6E95480-E7E6-4B7E-8D6D-A688CACEE8EA}"/>
    <cellStyle name="20% - Énfasis2 35 5" xfId="32498" xr:uid="{943244FF-FD73-4CDB-8DEB-3C5C7F4C7799}"/>
    <cellStyle name="20% - Énfasis2 35 6" xfId="38362" xr:uid="{7BD44BEE-265B-4D51-9581-9F67E3442EF0}"/>
    <cellStyle name="20% - Énfasis2 36" xfId="6394" xr:uid="{F2F52EC7-03C8-4868-B301-8B4FBFE76CD1}"/>
    <cellStyle name="20% - Énfasis2 36 2" xfId="9259" xr:uid="{0DC63E29-7206-46C1-8C44-362C079AA65F}"/>
    <cellStyle name="20% - Énfasis2 36 2 2" xfId="23622" xr:uid="{B2AAE95A-2C54-4222-A9E0-524827AF20C4}"/>
    <cellStyle name="20% - Énfasis2 36 2 3" xfId="29490" xr:uid="{59359A9F-81C6-4B5F-B22E-E34CB794C359}"/>
    <cellStyle name="20% - Énfasis2 36 2 4" xfId="35372" xr:uid="{D539AB01-1094-4354-8425-36B6D72141DB}"/>
    <cellStyle name="20% - Énfasis2 36 2 5" xfId="41231" xr:uid="{FA03E6B9-CCD5-479E-BA80-6E724269C894}"/>
    <cellStyle name="20% - Énfasis2 36 3" xfId="20835" xr:uid="{A8ADD7D4-659B-4894-87D5-BB2239672CA2}"/>
    <cellStyle name="20% - Énfasis2 36 4" xfId="26644" xr:uid="{BEAC435B-7BD5-42F0-B6B2-5F3AE6DD8DB6}"/>
    <cellStyle name="20% - Énfasis2 36 5" xfId="32519" xr:uid="{FEDC821D-3EF2-4BDF-AFFA-67C2502EEB30}"/>
    <cellStyle name="20% - Énfasis2 36 6" xfId="38383" xr:uid="{B974AF9B-A816-4C89-8372-FD0046EF3EB9}"/>
    <cellStyle name="20% - Énfasis2 37" xfId="6423" xr:uid="{B59551E4-1D12-45FA-B131-688A9043C806}"/>
    <cellStyle name="20% - Énfasis2 37 2" xfId="9285" xr:uid="{AF8E2BC7-1801-4528-83F7-C0C395856156}"/>
    <cellStyle name="20% - Énfasis2 37 2 2" xfId="23648" xr:uid="{1605E269-C8AA-4406-93BA-570644B5471D}"/>
    <cellStyle name="20% - Énfasis2 37 2 3" xfId="29516" xr:uid="{B9ACEEF5-1C68-4E02-89C0-90607BD30887}"/>
    <cellStyle name="20% - Énfasis2 37 2 4" xfId="35398" xr:uid="{18DA3ECA-5302-407A-8F17-1AE90AA384DE}"/>
    <cellStyle name="20% - Énfasis2 37 2 5" xfId="41257" xr:uid="{2DD3CEBD-117E-4B04-B363-29F961903675}"/>
    <cellStyle name="20% - Énfasis2 37 3" xfId="20864" xr:uid="{6728C672-5453-40DE-BCDF-1EFB87A86D44}"/>
    <cellStyle name="20% - Énfasis2 37 4" xfId="26673" xr:uid="{31371B94-5852-4EA0-9AAA-465C592C11EE}"/>
    <cellStyle name="20% - Énfasis2 37 5" xfId="32548" xr:uid="{007135CE-CE0F-4571-96CF-0055185F034B}"/>
    <cellStyle name="20% - Énfasis2 37 6" xfId="38412" xr:uid="{F857B429-75D5-4D35-B759-81E7F22AA58F}"/>
    <cellStyle name="20% - Énfasis2 38" xfId="6457" xr:uid="{20DC56C4-F5F8-4B20-BD60-401FB3A4C684}"/>
    <cellStyle name="20% - Énfasis2 38 2" xfId="9317" xr:uid="{960EC940-0BA0-4710-AD5E-64358EFBF274}"/>
    <cellStyle name="20% - Énfasis2 38 2 2" xfId="23680" xr:uid="{8A434E57-4D3A-4359-AA3C-4314F767C2A5}"/>
    <cellStyle name="20% - Énfasis2 38 2 3" xfId="29548" xr:uid="{54B2A720-C878-45CF-8035-07044AAB7849}"/>
    <cellStyle name="20% - Énfasis2 38 2 4" xfId="35430" xr:uid="{C06B4CC8-E76A-4B46-9E22-D0BE5E2858CD}"/>
    <cellStyle name="20% - Énfasis2 38 2 5" xfId="41289" xr:uid="{725F1716-11E9-4F5A-A957-5D103D3109B8}"/>
    <cellStyle name="20% - Énfasis2 38 3" xfId="20895" xr:uid="{07F37A6D-086A-43A6-A086-50F94DCD32D7}"/>
    <cellStyle name="20% - Énfasis2 38 4" xfId="26706" xr:uid="{D77D8506-4711-40EA-8AC8-E6B9AED72E39}"/>
    <cellStyle name="20% - Énfasis2 38 5" xfId="32581" xr:uid="{19FE1F48-D579-4819-91BE-A47276173C9A}"/>
    <cellStyle name="20% - Énfasis2 38 6" xfId="38445" xr:uid="{78FFF086-CD04-406F-BDC6-C3A510BAA3C7}"/>
    <cellStyle name="20% - Énfasis2 39" xfId="6477" xr:uid="{778CDAD2-DA19-489D-9D66-08C86F38DF77}"/>
    <cellStyle name="20% - Énfasis2 39 2" xfId="9337" xr:uid="{02D13334-20F2-4ABA-8A94-7ABB9C342226}"/>
    <cellStyle name="20% - Énfasis2 39 2 2" xfId="23700" xr:uid="{B84313D2-D6AF-435B-8546-138B9E82DB5F}"/>
    <cellStyle name="20% - Énfasis2 39 2 3" xfId="29568" xr:uid="{EBE55B20-6918-4478-BBB9-AE50DB489BC5}"/>
    <cellStyle name="20% - Énfasis2 39 2 4" xfId="35450" xr:uid="{0CF6500C-AA43-43BE-9B3C-A5CF6A885DEA}"/>
    <cellStyle name="20% - Énfasis2 39 2 5" xfId="41309" xr:uid="{A9F6CF45-48F2-47C7-BA80-CE8931662B5C}"/>
    <cellStyle name="20% - Énfasis2 39 3" xfId="20915" xr:uid="{0EC71522-DF26-48E0-9318-F4F48B38A280}"/>
    <cellStyle name="20% - Énfasis2 39 4" xfId="26726" xr:uid="{2CAB5F02-57B2-4897-AAE7-9CFA902881B1}"/>
    <cellStyle name="20% - Énfasis2 39 5" xfId="32601" xr:uid="{8E2C8CB9-18ED-4B50-A066-F53379B9FD7C}"/>
    <cellStyle name="20% - Énfasis2 39 6" xfId="38465" xr:uid="{F19331AC-B5D7-43E7-802A-95FC0B139494}"/>
    <cellStyle name="20% - Énfasis2 4" xfId="3887" xr:uid="{AF0A74C5-6EDB-4AA1-BEB9-82CDB17C3E3B}"/>
    <cellStyle name="20% - Énfasis2 4 10" xfId="35879" xr:uid="{C4B34E24-1022-46A0-9D36-1B5499BF6F8D}"/>
    <cellStyle name="20% - Énfasis2 4 2" xfId="4084" xr:uid="{4118BCE3-15D8-4606-8483-FB6F580CC33A}"/>
    <cellStyle name="20% - Énfasis2 4 2 2" xfId="4562" xr:uid="{A2D7FADA-B12C-4890-B94D-0F0ED99323B1}"/>
    <cellStyle name="20% - Énfasis2 4 2 2 2" xfId="5530" xr:uid="{0DD9D32E-8834-441D-AFC9-58BD7E8666F6}"/>
    <cellStyle name="20% - Énfasis2 4 2 2 2 2" xfId="8397" xr:uid="{E387A6B8-9CB4-4852-848B-3DCDF3D435D1}"/>
    <cellStyle name="20% - Énfasis2 4 2 2 2 2 2" xfId="22772" xr:uid="{81C71430-7C0E-41F3-AACD-575496E0B9A4}"/>
    <cellStyle name="20% - Énfasis2 4 2 2 2 2 3" xfId="28630" xr:uid="{6474910C-9805-4CA3-8A8E-A1FA940903E3}"/>
    <cellStyle name="20% - Énfasis2 4 2 2 2 2 4" xfId="34512" xr:uid="{438DDD0F-31EC-4EC4-A670-0D4BA3C5AC4D}"/>
    <cellStyle name="20% - Énfasis2 4 2 2 2 2 5" xfId="40376" xr:uid="{76B17B60-DA7D-4FE7-8DFF-BDEB87DA3F57}"/>
    <cellStyle name="20% - Énfasis2 4 2 2 2 3" xfId="19990" xr:uid="{EAD26A84-89B8-4E82-8EA9-4DFA2CC31268}"/>
    <cellStyle name="20% - Énfasis2 4 2 2 2 4" xfId="25781" xr:uid="{B918D30E-3796-434B-8002-62376DC991DD}"/>
    <cellStyle name="20% - Énfasis2 4 2 2 2 5" xfId="31655" xr:uid="{C7999491-2A8B-40F9-A344-40E1B7B25904}"/>
    <cellStyle name="20% - Énfasis2 4 2 2 2 6" xfId="37525" xr:uid="{43FED6FD-9037-4114-BBA2-EDBDF7D9BF6E}"/>
    <cellStyle name="20% - Énfasis2 4 2 2 3" xfId="7425" xr:uid="{02B08728-D698-4953-ADA8-40248FF0A6C5}"/>
    <cellStyle name="20% - Énfasis2 4 2 2 3 2" xfId="21827" xr:uid="{2DDD87FE-36C7-4722-99A0-42D99F5C6939}"/>
    <cellStyle name="20% - Énfasis2 4 2 2 3 3" xfId="27659" xr:uid="{5046D0C8-544C-4902-A052-1704B9D7D052}"/>
    <cellStyle name="20% - Énfasis2 4 2 2 3 4" xfId="33541" xr:uid="{4C2B4389-562A-4BB2-B923-C470FBF2402F}"/>
    <cellStyle name="20% - Énfasis2 4 2 2 3 5" xfId="39405" xr:uid="{ECFCD801-44F2-47EE-B5DE-7080AF4C82E8}"/>
    <cellStyle name="20% - Énfasis2 4 2 2 4" xfId="19058" xr:uid="{B0638442-7A6D-4BC8-BC7A-D163FD6D91EA}"/>
    <cellStyle name="20% - Énfasis2 4 2 2 5" xfId="24810" xr:uid="{245E05E0-4BDA-4138-AB92-7D39A0749A25}"/>
    <cellStyle name="20% - Énfasis2 4 2 2 6" xfId="30687" xr:uid="{78D35330-59FA-4C8A-9C63-A3DAFEF94D90}"/>
    <cellStyle name="20% - Énfasis2 4 2 2 7" xfId="36568" xr:uid="{CA35E6EC-4A67-4C43-83AA-AF32AB001A15}"/>
    <cellStyle name="20% - Énfasis2 4 2 3" xfId="5045" xr:uid="{A88112F8-EA04-4C83-A28A-4EA981144C03}"/>
    <cellStyle name="20% - Énfasis2 4 2 3 2" xfId="7912" xr:uid="{8856402C-36BF-47A9-9F9A-7C3891DC1DB8}"/>
    <cellStyle name="20% - Énfasis2 4 2 3 2 2" xfId="22297" xr:uid="{0EF81E00-9527-4720-96B7-577976DA1931}"/>
    <cellStyle name="20% - Énfasis2 4 2 3 2 3" xfId="28145" xr:uid="{4B40FCEC-3047-4E9A-8F02-6029152E9732}"/>
    <cellStyle name="20% - Énfasis2 4 2 3 2 4" xfId="34027" xr:uid="{53AC6694-6E2E-4A50-9A8C-4BCEB4E7670F}"/>
    <cellStyle name="20% - Énfasis2 4 2 3 2 5" xfId="39891" xr:uid="{8E60ACE2-FE0F-4A9A-964F-43FF3C613424}"/>
    <cellStyle name="20% - Énfasis2 4 2 3 3" xfId="19522" xr:uid="{822B4264-A993-4CCB-9373-38C4A41EFE4E}"/>
    <cellStyle name="20% - Énfasis2 4 2 3 4" xfId="25296" xr:uid="{C17DDDC5-6EF1-4D8D-8EAB-EDE9D9136F54}"/>
    <cellStyle name="20% - Énfasis2 4 2 3 5" xfId="31170" xr:uid="{588A19E7-CA9D-468E-ABF6-38D14D3D8FB7}"/>
    <cellStyle name="20% - Énfasis2 4 2 3 6" xfId="37048" xr:uid="{747C8048-4B62-4AAF-B644-F87B6B51FB2F}"/>
    <cellStyle name="20% - Énfasis2 4 2 4" xfId="6940" xr:uid="{97268942-1DED-48A5-9B7B-6DB82A4399C1}"/>
    <cellStyle name="20% - Énfasis2 4 2 4 2" xfId="21360" xr:uid="{EFE1EA35-E9C4-49D7-9C2B-62A0748787F8}"/>
    <cellStyle name="20% - Énfasis2 4 2 4 3" xfId="27178" xr:uid="{17E4E0CF-E581-4073-AE73-69CE3609FDC3}"/>
    <cellStyle name="20% - Énfasis2 4 2 4 4" xfId="33056" xr:uid="{EEBBFD55-87D5-4236-9559-5CEE5D647EEF}"/>
    <cellStyle name="20% - Énfasis2 4 2 4 5" xfId="38920" xr:uid="{17E1AE72-A27A-45A6-ACE4-A5EC1CF8BE3B}"/>
    <cellStyle name="20% - Énfasis2 4 2 5" xfId="18614" xr:uid="{CB95F0A1-A73C-4575-B651-9288A19C2C81}"/>
    <cellStyle name="20% - Énfasis2 4 2 6" xfId="24327" xr:uid="{9697F4A6-DB8F-4670-86AE-5A734F895A3A}"/>
    <cellStyle name="20% - Énfasis2 4 2 7" xfId="30205" xr:uid="{2E31F612-5B01-4F8A-9A19-4074ACE363F0}"/>
    <cellStyle name="20% - Énfasis2 4 2 8" xfId="36084" xr:uid="{8A8E419D-8C5E-4D3A-A086-A06627F6A957}"/>
    <cellStyle name="20% - Énfasis2 4 3" xfId="4368" xr:uid="{E0A69235-2A9E-495D-A75B-A7F21BCECFA3}"/>
    <cellStyle name="20% - Énfasis2 4 3 2" xfId="5334" xr:uid="{4102DD56-A834-49E4-A8A5-D3DC42E4C905}"/>
    <cellStyle name="20% - Énfasis2 4 3 2 2" xfId="8201" xr:uid="{A67EF664-C975-4BBD-8D00-63A69503469A}"/>
    <cellStyle name="20% - Énfasis2 4 3 2 2 2" xfId="22577" xr:uid="{5ADECE14-9919-4401-BBD6-A4FF507D11FD}"/>
    <cellStyle name="20% - Énfasis2 4 3 2 2 3" xfId="28434" xr:uid="{8DEF37F4-55D6-495C-AB3F-F6A480D38327}"/>
    <cellStyle name="20% - Énfasis2 4 3 2 2 4" xfId="34316" xr:uid="{56EE349F-7816-4CE0-BCBE-33E8A68A3D8D}"/>
    <cellStyle name="20% - Énfasis2 4 3 2 2 5" xfId="40180" xr:uid="{18889AC5-175C-4CA2-BD5F-679C8449C2D5}"/>
    <cellStyle name="20% - Énfasis2 4 3 2 3" xfId="19801" xr:uid="{2930A72F-C036-4A1B-9C86-FD0BB945BBF6}"/>
    <cellStyle name="20% - Énfasis2 4 3 2 4" xfId="25585" xr:uid="{A8C55F4B-B94C-4759-8D47-1D6F9DF61CFC}"/>
    <cellStyle name="20% - Énfasis2 4 3 2 5" xfId="31459" xr:uid="{A49EE635-78AF-4E0C-ADFA-45E4DFAAC9F3}"/>
    <cellStyle name="20% - Énfasis2 4 3 2 6" xfId="37330" xr:uid="{1ACAF61F-9635-4076-8C26-5D62E832BBF4}"/>
    <cellStyle name="20% - Énfasis2 4 3 3" xfId="7229" xr:uid="{6B0016FD-0E60-4C16-B431-A06F62120D4B}"/>
    <cellStyle name="20% - Énfasis2 4 3 3 2" xfId="21636" xr:uid="{06AA4D55-AFDD-4BCC-88BB-34E9A9B727EC}"/>
    <cellStyle name="20% - Énfasis2 4 3 3 3" xfId="27463" xr:uid="{6E95BEDC-CC68-489B-82CC-4F12B96B3CC9}"/>
    <cellStyle name="20% - Énfasis2 4 3 3 4" xfId="33345" xr:uid="{459AA0B0-26D7-41DB-9CAF-C66FB86DD1B1}"/>
    <cellStyle name="20% - Énfasis2 4 3 3 5" xfId="39209" xr:uid="{89CC5CBD-4CD2-47F0-8F1A-0944CEFCE0C4}"/>
    <cellStyle name="20% - Énfasis2 4 3 4" xfId="18871" xr:uid="{8A0E7537-72F5-4402-92DA-A80E976D755A}"/>
    <cellStyle name="20% - Énfasis2 4 3 5" xfId="24614" xr:uid="{B0A2FD3A-0B9E-4046-986F-E2133F6613CA}"/>
    <cellStyle name="20% - Énfasis2 4 3 6" xfId="30493" xr:uid="{FE962E94-7321-45B2-8D44-03B26BCE47C9}"/>
    <cellStyle name="20% - Énfasis2 4 3 7" xfId="36373" xr:uid="{187FD9C1-4842-413A-9A39-2F5A7BF2EB52}"/>
    <cellStyle name="20% - Énfasis2 4 4" xfId="4850" xr:uid="{D3C7BD9F-BF6A-4947-BB6D-D687F66F2087}"/>
    <cellStyle name="20% - Énfasis2 4 4 2" xfId="7716" xr:uid="{F5906730-3469-45A1-91C0-C8FAC5588B07}"/>
    <cellStyle name="20% - Énfasis2 4 4 2 2" xfId="22106" xr:uid="{AFB1ECD7-9804-4537-838C-338C61365C30}"/>
    <cellStyle name="20% - Énfasis2 4 4 2 3" xfId="27949" xr:uid="{DC5FF786-D836-4523-952A-E9FD61F1CD31}"/>
    <cellStyle name="20% - Énfasis2 4 4 2 4" xfId="33831" xr:uid="{81F3D3F3-FF4A-4209-819F-3FFE76ADC4D4}"/>
    <cellStyle name="20% - Énfasis2 4 4 2 5" xfId="39695" xr:uid="{A8D71A36-A6E8-4CC1-B03A-1188B1CED56E}"/>
    <cellStyle name="20% - Énfasis2 4 4 3" xfId="19332" xr:uid="{D94CB35D-1820-4BEC-8630-EC893BB00C83}"/>
    <cellStyle name="20% - Énfasis2 4 4 4" xfId="25100" xr:uid="{4365984F-91B2-40D2-897C-512CEEC73D5E}"/>
    <cellStyle name="20% - Énfasis2 4 4 5" xfId="30974" xr:uid="{D9C4D292-5909-4751-AA1D-514ED6CFD8AC}"/>
    <cellStyle name="20% - Énfasis2 4 4 6" xfId="36853" xr:uid="{5B17F147-09A2-4E38-BEA9-84A4A00DBE4D}"/>
    <cellStyle name="20% - Énfasis2 4 5" xfId="5859" xr:uid="{7CD37BF1-4568-4AF5-820B-D3FA51881BE2}"/>
    <cellStyle name="20% - Énfasis2 4 5 2" xfId="8728" xr:uid="{7BF3E1FB-FFBE-45F7-9EB6-CEF0A56F6203}"/>
    <cellStyle name="20% - Énfasis2 4 5 2 2" xfId="23096" xr:uid="{8B6DAE2B-6861-4884-BCE4-C39EE7270FD7}"/>
    <cellStyle name="20% - Énfasis2 4 5 2 3" xfId="28960" xr:uid="{14328CC5-471A-49FF-82C3-AE85294FEE9D}"/>
    <cellStyle name="20% - Énfasis2 4 5 2 4" xfId="34842" xr:uid="{C0E8104E-02BC-4873-819C-CA6BA0C3FC4D}"/>
    <cellStyle name="20% - Énfasis2 4 5 2 5" xfId="40706" xr:uid="{199D937F-57BD-4737-AA5A-532C8AFF6316}"/>
    <cellStyle name="20% - Énfasis2 4 5 3" xfId="20311" xr:uid="{45259CC5-B929-4A43-96BC-5B3605B080CC}"/>
    <cellStyle name="20% - Énfasis2 4 5 4" xfId="26110" xr:uid="{8A54B840-24B4-4102-B37F-696AD6733BAA}"/>
    <cellStyle name="20% - Énfasis2 4 5 5" xfId="31985" xr:uid="{5C1C2A0A-E119-4651-87A6-69FA7C3FEB8C}"/>
    <cellStyle name="20% - Énfasis2 4 5 6" xfId="37851" xr:uid="{68EE5256-29A4-4ACB-8BEE-A02A971E734E}"/>
    <cellStyle name="20% - Énfasis2 4 6" xfId="6745" xr:uid="{00A66B96-A768-4F0B-BBA4-826D6C14492B}"/>
    <cellStyle name="20% - Énfasis2 4 6 2" xfId="21169" xr:uid="{BF4C9BD4-F476-4196-A3B4-F64B58ACDDFB}"/>
    <cellStyle name="20% - Énfasis2 4 6 3" xfId="26984" xr:uid="{B21E66D0-5359-4119-BEB6-17014A09A805}"/>
    <cellStyle name="20% - Énfasis2 4 6 4" xfId="32860" xr:uid="{08F044A4-9285-4974-B662-A1A037C394DD}"/>
    <cellStyle name="20% - Énfasis2 4 6 5" xfId="38724" xr:uid="{6BCE53B7-4B9F-4281-8118-3EF1CF99FDF6}"/>
    <cellStyle name="20% - Énfasis2 4 7" xfId="18411" xr:uid="{FA9BFA2A-9739-4FEA-9208-AFF1224AB19B}"/>
    <cellStyle name="20% - Énfasis2 4 8" xfId="24120" xr:uid="{B7A837DA-7C70-49E9-940E-FECA06E097C3}"/>
    <cellStyle name="20% - Énfasis2 4 9" xfId="29998" xr:uid="{78B6F6F6-DAD1-473B-8B5B-6651210CA768}"/>
    <cellStyle name="20% - Énfasis2 40" xfId="6497" xr:uid="{446C5764-2105-445B-9CA5-4BEA33DD77DD}"/>
    <cellStyle name="20% - Énfasis2 40 2" xfId="9357" xr:uid="{F95A4055-BBBD-4B9B-BF45-6095299CE857}"/>
    <cellStyle name="20% - Énfasis2 40 2 2" xfId="23720" xr:uid="{18F4CEDA-4C3E-45AF-89A9-338F6C1809F6}"/>
    <cellStyle name="20% - Énfasis2 40 2 3" xfId="29588" xr:uid="{E74A6E6F-F1E1-45D5-93EC-07FDDC0A19DF}"/>
    <cellStyle name="20% - Énfasis2 40 2 4" xfId="35470" xr:uid="{2D954B3B-AE54-499D-8CDB-68F71EA39382}"/>
    <cellStyle name="20% - Énfasis2 40 2 5" xfId="41329" xr:uid="{77B1084D-D694-4DC2-BDFF-714F9BEE6F95}"/>
    <cellStyle name="20% - Énfasis2 40 3" xfId="20935" xr:uid="{8C7C7E0E-98EA-4684-90F9-0CF2AE4A80E5}"/>
    <cellStyle name="20% - Énfasis2 40 4" xfId="26746" xr:uid="{93DC1A90-2DE2-4D50-823E-641B2A75D87C}"/>
    <cellStyle name="20% - Énfasis2 40 5" xfId="32621" xr:uid="{A2831B4C-869F-434C-A938-5F1A2C7547F8}"/>
    <cellStyle name="20% - Énfasis2 40 6" xfId="38485" xr:uid="{23157332-1281-43FD-B96B-96042C0ECC8D}"/>
    <cellStyle name="20% - Énfasis2 41" xfId="6517" xr:uid="{28EEA3E1-E962-4B28-B6FC-B8B972DAE8CF}"/>
    <cellStyle name="20% - Énfasis2 41 2" xfId="9377" xr:uid="{9A101CC7-5BFB-43A6-855E-FCF9F91D5937}"/>
    <cellStyle name="20% - Énfasis2 41 2 2" xfId="23740" xr:uid="{ED72B484-C694-48C3-9A81-C82D27388CBD}"/>
    <cellStyle name="20% - Énfasis2 41 2 3" xfId="29608" xr:uid="{73E1320C-D1D2-4658-A9A4-C56DB97678D3}"/>
    <cellStyle name="20% - Énfasis2 41 2 4" xfId="35490" xr:uid="{DC0598F8-60F9-44B3-A01B-99861FC148DE}"/>
    <cellStyle name="20% - Énfasis2 41 2 5" xfId="41349" xr:uid="{EDC078B4-4CBF-4D12-9835-3BF5C0EA10C7}"/>
    <cellStyle name="20% - Énfasis2 41 3" xfId="20955" xr:uid="{9C6652E3-805C-4970-995D-763F880F2AD0}"/>
    <cellStyle name="20% - Énfasis2 41 4" xfId="26766" xr:uid="{9EF05C9E-CB02-455A-8F20-A6242B0F294E}"/>
    <cellStyle name="20% - Énfasis2 41 5" xfId="32641" xr:uid="{FB17A54E-A862-466B-9FA1-264666B31D8D}"/>
    <cellStyle name="20% - Énfasis2 41 6" xfId="38505" xr:uid="{A35C7211-C615-4906-87F7-7B3E6A3CCA69}"/>
    <cellStyle name="20% - Énfasis2 42" xfId="6537" xr:uid="{3431CA9C-DBFD-4EE8-99DE-D9D9FBA85212}"/>
    <cellStyle name="20% - Énfasis2 42 2" xfId="9397" xr:uid="{0BCA20D6-EAA8-4BD0-8381-4A0CCF0CBAC8}"/>
    <cellStyle name="20% - Énfasis2 42 2 2" xfId="23760" xr:uid="{B61DF95A-CF0F-4C1D-A956-EC03DA43AAFB}"/>
    <cellStyle name="20% - Énfasis2 42 2 3" xfId="29628" xr:uid="{B1C759FA-1E33-4D2D-AB47-C04AA259FA96}"/>
    <cellStyle name="20% - Énfasis2 42 2 4" xfId="35510" xr:uid="{DF7F4E52-121F-458E-AD3F-B47C30787743}"/>
    <cellStyle name="20% - Énfasis2 42 2 5" xfId="41369" xr:uid="{D388898F-E510-4270-A71C-BF1DF2244640}"/>
    <cellStyle name="20% - Énfasis2 42 3" xfId="20975" xr:uid="{7426A5DE-2ABB-4960-87C2-836DC9591063}"/>
    <cellStyle name="20% - Énfasis2 42 4" xfId="26786" xr:uid="{739B72E5-E974-4C3B-A542-8F8AC448656B}"/>
    <cellStyle name="20% - Énfasis2 42 5" xfId="32661" xr:uid="{3A00E07A-D7CF-45B9-82C0-9971AA2404F1}"/>
    <cellStyle name="20% - Énfasis2 42 6" xfId="38525" xr:uid="{FB4EA483-0D77-4033-B423-A97A6265EA4E}"/>
    <cellStyle name="20% - Énfasis2 43" xfId="6558" xr:uid="{17929B3C-9052-4DB0-B679-A65B44E8BF49}"/>
    <cellStyle name="20% - Énfasis2 43 2" xfId="9419" xr:uid="{3140B1D5-63D4-46CD-9DF1-F1BA3B419E04}"/>
    <cellStyle name="20% - Énfasis2 43 2 2" xfId="23782" xr:uid="{E4266CAA-6136-422B-B192-A95A4EE2E095}"/>
    <cellStyle name="20% - Énfasis2 43 2 3" xfId="29650" xr:uid="{A76A241B-ED7B-4AF4-816C-6BD42455F603}"/>
    <cellStyle name="20% - Énfasis2 43 2 4" xfId="35532" xr:uid="{73927020-F2C7-411A-865F-AD8E3818015A}"/>
    <cellStyle name="20% - Énfasis2 43 2 5" xfId="41391" xr:uid="{D2949CD9-1211-4614-9322-54732640B794}"/>
    <cellStyle name="20% - Énfasis2 43 3" xfId="20997" xr:uid="{206EC73D-F75E-4E9A-95BF-055C015FAF2F}"/>
    <cellStyle name="20% - Énfasis2 43 4" xfId="26808" xr:uid="{7E92D957-1A1B-4932-93E7-0F82B9684DCD}"/>
    <cellStyle name="20% - Énfasis2 43 5" xfId="32683" xr:uid="{756A2D12-FF02-4C6F-A929-C5CA5C87EAEF}"/>
    <cellStyle name="20% - Énfasis2 43 6" xfId="38547" xr:uid="{CBAC6BD2-4CE0-43B4-A61F-42D765565EDB}"/>
    <cellStyle name="20% - Énfasis2 44" xfId="6588" xr:uid="{273E0B85-B982-482B-98B0-41EEA167117C}"/>
    <cellStyle name="20% - Énfasis2 44 2" xfId="9448" xr:uid="{F38B1A3C-1DE0-4080-BCE3-21C35CA5AC2A}"/>
    <cellStyle name="20% - Énfasis2 44 2 2" xfId="23810" xr:uid="{0FC251BD-132F-43BA-9FDF-A8E63E3905E1}"/>
    <cellStyle name="20% - Énfasis2 44 2 3" xfId="29679" xr:uid="{11645851-F097-43EA-B7F3-A248E3434745}"/>
    <cellStyle name="20% - Énfasis2 44 2 4" xfId="35561" xr:uid="{85D864EA-9012-408C-9DF9-50930EC3C7FE}"/>
    <cellStyle name="20% - Énfasis2 44 2 5" xfId="41420" xr:uid="{ADC4E30A-9680-4EB9-BB5B-842F9BEF317F}"/>
    <cellStyle name="20% - Énfasis2 44 3" xfId="21026" xr:uid="{BEA086B0-547F-418A-9658-7ED1E6A92347}"/>
    <cellStyle name="20% - Énfasis2 44 4" xfId="26837" xr:uid="{633613A3-D3B5-4472-A9D9-A0D7CA100E80}"/>
    <cellStyle name="20% - Énfasis2 44 5" xfId="32712" xr:uid="{0D72BADE-E817-464B-A3C5-02EC975E80CE}"/>
    <cellStyle name="20% - Énfasis2 44 6" xfId="38576" xr:uid="{9DEE49EC-94F0-4E68-A64D-DDB919FABF8E}"/>
    <cellStyle name="20% - Énfasis2 45" xfId="6613" xr:uid="{B29D8E96-0716-4E24-BEC2-4A45AC6DFC83}"/>
    <cellStyle name="20% - Énfasis2 45 2" xfId="9473" xr:uid="{31DB3B3F-941F-4CEA-8911-D6B779A740AD}"/>
    <cellStyle name="20% - Énfasis2 45 2 2" xfId="23835" xr:uid="{478AC291-81D8-420B-87D0-232EB1431550}"/>
    <cellStyle name="20% - Énfasis2 45 2 3" xfId="29704" xr:uid="{A50F5C4C-8963-411F-899E-0EBBD5D4E20C}"/>
    <cellStyle name="20% - Énfasis2 45 2 4" xfId="35586" xr:uid="{9B78AACE-2A8B-4966-B322-D0C607691582}"/>
    <cellStyle name="20% - Énfasis2 45 2 5" xfId="41445" xr:uid="{7CC1CEB8-F2FA-4EF8-8A23-290704DE94D9}"/>
    <cellStyle name="20% - Énfasis2 45 3" xfId="21050" xr:uid="{0CF8B1F6-1C2F-407A-B7BA-F78CF57CE45B}"/>
    <cellStyle name="20% - Énfasis2 45 4" xfId="26862" xr:uid="{95ED1D37-F564-4BD4-9F66-51810A9EDF13}"/>
    <cellStyle name="20% - Énfasis2 45 5" xfId="32737" xr:uid="{3B562C36-D134-4CD0-A609-9DF903D6688C}"/>
    <cellStyle name="20% - Énfasis2 45 6" xfId="38601" xr:uid="{4FE3EBC3-5465-4503-A5B3-42AAA64A416B}"/>
    <cellStyle name="20% - Énfasis2 46" xfId="6635" xr:uid="{C88C6F07-DC60-43C0-B42D-42585D3809A2}"/>
    <cellStyle name="20% - Énfasis2 46 2" xfId="21072" xr:uid="{6CC0B14B-32DC-40D9-8415-E6198FFD23B1}"/>
    <cellStyle name="20% - Énfasis2 46 3" xfId="26884" xr:uid="{2DCE64E3-C9B1-4694-9ED0-6133948E7B35}"/>
    <cellStyle name="20% - Énfasis2 46 4" xfId="32759" xr:uid="{CCA03F2C-948F-4425-B14B-2C8CDF7C1572}"/>
    <cellStyle name="20% - Énfasis2 46 5" xfId="38623" xr:uid="{668D0ACB-C558-4E3E-BAB9-2A5ADD305EEB}"/>
    <cellStyle name="20% - Énfasis2 47" xfId="6665" xr:uid="{0A89AEDA-CE23-4491-BC3F-FCB61BCAC6C5}"/>
    <cellStyle name="20% - Énfasis2 47 2" xfId="21094" xr:uid="{870D6F3B-F35B-4A00-945D-11D703BD5844}"/>
    <cellStyle name="20% - Énfasis2 47 3" xfId="26906" xr:uid="{10E263FB-EABD-42F7-96D2-8EA8D3B14360}"/>
    <cellStyle name="20% - Énfasis2 47 4" xfId="32781" xr:uid="{DCE14FF9-D51D-4D0F-A730-18C2E75B4E55}"/>
    <cellStyle name="20% - Énfasis2 47 5" xfId="38645" xr:uid="{CA4AA425-713B-4E7D-AB8C-BC2A85137DEC}"/>
    <cellStyle name="20% - Énfasis2 48" xfId="9489" xr:uid="{E34CB9FD-5521-4F02-A7C2-66547F940EB7}"/>
    <cellStyle name="20% - Énfasis2 48 2" xfId="23851" xr:uid="{7AF9F246-0F7C-4F7F-A370-A32633613931}"/>
    <cellStyle name="20% - Énfasis2 48 3" xfId="29720" xr:uid="{9245DEDC-2626-49F8-A451-351A18E0CE23}"/>
    <cellStyle name="20% - Énfasis2 48 4" xfId="35602" xr:uid="{65BF0320-2E53-4BEB-B9CB-8BDAB9EA2261}"/>
    <cellStyle name="20% - Énfasis2 48 5" xfId="41461" xr:uid="{95E2902E-1FC3-442F-A0DB-E97C14C09F1A}"/>
    <cellStyle name="20% - Énfasis2 49" xfId="9514" xr:uid="{06BF9D83-CAF6-46C7-9421-66DA5CB71CA3}"/>
    <cellStyle name="20% - Énfasis2 49 2" xfId="23875" xr:uid="{5D457DD3-BF59-425A-BB54-A96E7EB14EBA}"/>
    <cellStyle name="20% - Énfasis2 49 3" xfId="29745" xr:uid="{EA308530-4C78-49CD-9FF4-CFA752B1F891}"/>
    <cellStyle name="20% - Énfasis2 49 4" xfId="35627" xr:uid="{181D5EDC-38CE-4BD5-A7D6-49D4554B895C}"/>
    <cellStyle name="20% - Énfasis2 49 5" xfId="41486" xr:uid="{344B4A94-7C3F-4EE7-AE80-AF810DB71CF7}"/>
    <cellStyle name="20% - Énfasis2 5" xfId="3913" xr:uid="{F6914ED1-7D93-406C-8ABA-10492A99EF3F}"/>
    <cellStyle name="20% - Énfasis2 5 10" xfId="35905" xr:uid="{1BEEB56A-7B72-47DB-B330-82486F6D1D82}"/>
    <cellStyle name="20% - Énfasis2 5 2" xfId="4107" xr:uid="{668EC47D-F668-4F1A-8A7B-34164E5771A2}"/>
    <cellStyle name="20% - Énfasis2 5 2 2" xfId="4585" xr:uid="{0FB08BD5-562D-4806-897C-3A33A1D2BF68}"/>
    <cellStyle name="20% - Énfasis2 5 2 2 2" xfId="5553" xr:uid="{8473F238-37BB-4DF5-8F83-00075D619CA5}"/>
    <cellStyle name="20% - Énfasis2 5 2 2 2 2" xfId="8420" xr:uid="{D172ED15-D3BD-4E66-BD6D-BC55EED9090E}"/>
    <cellStyle name="20% - Énfasis2 5 2 2 2 2 2" xfId="22795" xr:uid="{764C8153-A2FB-4F51-80F2-B1E75EDE16D5}"/>
    <cellStyle name="20% - Énfasis2 5 2 2 2 2 3" xfId="28653" xr:uid="{02510A72-7991-4E97-BE58-9DF1E62A836C}"/>
    <cellStyle name="20% - Énfasis2 5 2 2 2 2 4" xfId="34535" xr:uid="{467C2F07-375D-48C3-A977-43FD2438FD9F}"/>
    <cellStyle name="20% - Énfasis2 5 2 2 2 2 5" xfId="40399" xr:uid="{2C71E190-E4A1-4E8A-8F71-22A34C1BA89A}"/>
    <cellStyle name="20% - Énfasis2 5 2 2 2 3" xfId="20013" xr:uid="{B6C10190-97C8-48F7-B169-9C4F48C84145}"/>
    <cellStyle name="20% - Énfasis2 5 2 2 2 4" xfId="25804" xr:uid="{A8E78CB0-B415-4A11-AB5B-A2E6612CFFC1}"/>
    <cellStyle name="20% - Énfasis2 5 2 2 2 5" xfId="31678" xr:uid="{2725CF22-4AE8-4FEB-8B6F-58886DF0DFBE}"/>
    <cellStyle name="20% - Énfasis2 5 2 2 2 6" xfId="37548" xr:uid="{9E8C9BA8-EC18-48EC-90AB-123738489FC2}"/>
    <cellStyle name="20% - Énfasis2 5 2 2 3" xfId="7448" xr:uid="{14ACD2DB-2BF9-46CD-BDA5-E13CD874D9C1}"/>
    <cellStyle name="20% - Énfasis2 5 2 2 3 2" xfId="21850" xr:uid="{F8A8E260-F825-47FA-99D0-348D06B49A84}"/>
    <cellStyle name="20% - Énfasis2 5 2 2 3 3" xfId="27682" xr:uid="{04D17B2D-CAF4-4FD4-A842-CD39CB2FDCA3}"/>
    <cellStyle name="20% - Énfasis2 5 2 2 3 4" xfId="33564" xr:uid="{F0380458-5278-4D93-8C35-97D28D5BA1FD}"/>
    <cellStyle name="20% - Énfasis2 5 2 2 3 5" xfId="39428" xr:uid="{2571BC60-A0EC-4BC9-B718-9385ECE70053}"/>
    <cellStyle name="20% - Énfasis2 5 2 2 4" xfId="19080" xr:uid="{49CB5A85-C325-4621-B696-49F955DF48B8}"/>
    <cellStyle name="20% - Énfasis2 5 2 2 5" xfId="24833" xr:uid="{F595984F-3242-414F-A2B5-A2D7C16A901F}"/>
    <cellStyle name="20% - Énfasis2 5 2 2 6" xfId="30710" xr:uid="{FA2C9E49-E50F-4B07-852F-89794DC11712}"/>
    <cellStyle name="20% - Énfasis2 5 2 2 7" xfId="36591" xr:uid="{90115152-D870-4D55-BA87-7E0A50662ACE}"/>
    <cellStyle name="20% - Énfasis2 5 2 3" xfId="5068" xr:uid="{7702871E-9F8F-4E87-A1AF-6DD852BA58C5}"/>
    <cellStyle name="20% - Énfasis2 5 2 3 2" xfId="7935" xr:uid="{5B0176F7-595D-4745-89DD-1F983E609605}"/>
    <cellStyle name="20% - Énfasis2 5 2 3 2 2" xfId="22320" xr:uid="{A8341763-143F-4D40-868C-3E724F3ED0D8}"/>
    <cellStyle name="20% - Énfasis2 5 2 3 2 3" xfId="28168" xr:uid="{7CBA0A8F-5B13-48F3-839C-F96DC5AC535C}"/>
    <cellStyle name="20% - Énfasis2 5 2 3 2 4" xfId="34050" xr:uid="{AF1AD388-4630-49EC-BB2A-D8F31084104B}"/>
    <cellStyle name="20% - Énfasis2 5 2 3 2 5" xfId="39914" xr:uid="{8260EAE8-A4EF-4077-A57E-BDFF34580F6A}"/>
    <cellStyle name="20% - Énfasis2 5 2 3 3" xfId="19545" xr:uid="{061AC499-BAE6-4BB4-801F-C4DC1EB27091}"/>
    <cellStyle name="20% - Énfasis2 5 2 3 4" xfId="25319" xr:uid="{DA3C5CC4-7297-43C6-B6F6-AC90EACC7D6C}"/>
    <cellStyle name="20% - Énfasis2 5 2 3 5" xfId="31193" xr:uid="{58C630FE-D518-40DE-AAF2-027C97D9BED5}"/>
    <cellStyle name="20% - Énfasis2 5 2 3 6" xfId="37071" xr:uid="{D94BCABC-9E7F-42DB-B039-D4F6C334744C}"/>
    <cellStyle name="20% - Énfasis2 5 2 4" xfId="6963" xr:uid="{8D4AEB25-7B47-49C8-8700-E1697A902228}"/>
    <cellStyle name="20% - Énfasis2 5 2 4 2" xfId="21382" xr:uid="{F5BB357A-6D45-45DE-82BE-E58DE2E9E9CF}"/>
    <cellStyle name="20% - Énfasis2 5 2 4 3" xfId="27201" xr:uid="{266D1AEE-51FD-4BE3-9CD5-9F4B07DE76B8}"/>
    <cellStyle name="20% - Énfasis2 5 2 4 4" xfId="33079" xr:uid="{22F31EBF-B591-46B2-B918-EEE5068458A9}"/>
    <cellStyle name="20% - Énfasis2 5 2 4 5" xfId="38943" xr:uid="{11CCC1BE-8511-4506-A22F-6E06899A7996}"/>
    <cellStyle name="20% - Énfasis2 5 2 5" xfId="18636" xr:uid="{3EB1878A-2153-4CEC-9326-64A6BD9C9096}"/>
    <cellStyle name="20% - Énfasis2 5 2 6" xfId="24350" xr:uid="{07B5F7E6-BF14-426D-BE27-4911EC46CC6A}"/>
    <cellStyle name="20% - Énfasis2 5 2 7" xfId="30228" xr:uid="{C6A219FA-ECAA-47C9-8BC9-64577C0703EC}"/>
    <cellStyle name="20% - Énfasis2 5 2 8" xfId="36107" xr:uid="{22181529-30BC-4CFA-87A7-C0A4DF4A15DB}"/>
    <cellStyle name="20% - Énfasis2 5 3" xfId="4391" xr:uid="{9C9862BE-24D8-4967-9086-94B4D934F8EA}"/>
    <cellStyle name="20% - Énfasis2 5 3 2" xfId="5357" xr:uid="{A5E57AC8-D120-4758-A948-E6508F50B852}"/>
    <cellStyle name="20% - Énfasis2 5 3 2 2" xfId="8224" xr:uid="{774B90F0-171E-4C83-A8FA-C8E96BB4F119}"/>
    <cellStyle name="20% - Énfasis2 5 3 2 2 2" xfId="22600" xr:uid="{7D19D7AC-78E9-411B-A4DF-48B2666D5889}"/>
    <cellStyle name="20% - Énfasis2 5 3 2 2 3" xfId="28457" xr:uid="{FD981649-BACC-4508-9B9A-CB2C4AC4806D}"/>
    <cellStyle name="20% - Énfasis2 5 3 2 2 4" xfId="34339" xr:uid="{AA6FC630-3B74-4A70-93F5-8F617EA8C97D}"/>
    <cellStyle name="20% - Énfasis2 5 3 2 2 5" xfId="40203" xr:uid="{C441FA98-E369-4E87-8D00-D3A448FA00F8}"/>
    <cellStyle name="20% - Énfasis2 5 3 2 3" xfId="19824" xr:uid="{DEFDC275-5C36-4CAF-9549-768239364341}"/>
    <cellStyle name="20% - Énfasis2 5 3 2 4" xfId="25608" xr:uid="{698C9856-C63A-4A34-9208-1252AD3347D1}"/>
    <cellStyle name="20% - Énfasis2 5 3 2 5" xfId="31482" xr:uid="{3F58BB7C-0232-4834-963A-D488A46D8DE8}"/>
    <cellStyle name="20% - Énfasis2 5 3 2 6" xfId="37353" xr:uid="{8DBA7455-9D93-43FA-98CF-5AE2D91770AC}"/>
    <cellStyle name="20% - Énfasis2 5 3 3" xfId="7252" xr:uid="{F9E528AF-6C1D-4A8E-8CC8-78A704E2FE35}"/>
    <cellStyle name="20% - Énfasis2 5 3 3 2" xfId="21659" xr:uid="{2E413C15-6278-4991-AFEA-FCBC20C7703F}"/>
    <cellStyle name="20% - Énfasis2 5 3 3 3" xfId="27486" xr:uid="{2F23DBD8-E74C-47DB-9DEB-2FD546F72E2A}"/>
    <cellStyle name="20% - Énfasis2 5 3 3 4" xfId="33368" xr:uid="{CF5CD944-9C82-4001-A0DB-42510E9C28E3}"/>
    <cellStyle name="20% - Énfasis2 5 3 3 5" xfId="39232" xr:uid="{A8019F73-AE47-48B3-97BA-F09E83E3E300}"/>
    <cellStyle name="20% - Énfasis2 5 3 4" xfId="18893" xr:uid="{A47FECC5-4D49-450F-BD98-231AEFB5C263}"/>
    <cellStyle name="20% - Énfasis2 5 3 5" xfId="24637" xr:uid="{6D830093-82C9-442E-B737-AE31C536DB79}"/>
    <cellStyle name="20% - Énfasis2 5 3 6" xfId="30516" xr:uid="{F2223E7F-8C43-4615-890E-F388FC94CA97}"/>
    <cellStyle name="20% - Énfasis2 5 3 7" xfId="36396" xr:uid="{3D9705E1-F010-442C-94DF-71BC8AAD83EC}"/>
    <cellStyle name="20% - Énfasis2 5 4" xfId="4872" xr:uid="{02EA42AF-57E6-489B-AC72-01B0D33C044A}"/>
    <cellStyle name="20% - Énfasis2 5 4 2" xfId="7739" xr:uid="{A661C6F5-2C05-4C71-A3F7-CA0CB2B71558}"/>
    <cellStyle name="20% - Énfasis2 5 4 2 2" xfId="22129" xr:uid="{214E68C9-CCCA-48F5-A2FC-3CDFE2011B09}"/>
    <cellStyle name="20% - Énfasis2 5 4 2 3" xfId="27972" xr:uid="{7473C825-E242-49B6-BBC1-10942B3F61AF}"/>
    <cellStyle name="20% - Énfasis2 5 4 2 4" xfId="33854" xr:uid="{E8F990C4-C928-4CA4-AAFA-F3A270E96A32}"/>
    <cellStyle name="20% - Énfasis2 5 4 2 5" xfId="39718" xr:uid="{3134E55A-DF69-465C-93C3-37AFA1577E22}"/>
    <cellStyle name="20% - Énfasis2 5 4 3" xfId="19355" xr:uid="{2FA661FF-E684-467A-BACE-442AD2DB84CA}"/>
    <cellStyle name="20% - Énfasis2 5 4 4" xfId="25123" xr:uid="{CCFDA247-436F-418F-A2F6-CD82B75C6EBB}"/>
    <cellStyle name="20% - Énfasis2 5 4 5" xfId="30997" xr:uid="{DF762234-AD00-421A-89B5-A9A8C42EAE9A}"/>
    <cellStyle name="20% - Énfasis2 5 4 6" xfId="36876" xr:uid="{05D78621-EF70-4E9A-8AAD-474EA7C14337}"/>
    <cellStyle name="20% - Énfasis2 5 5" xfId="5882" xr:uid="{15202D99-367E-4E43-B896-CD770A2C65E9}"/>
    <cellStyle name="20% - Énfasis2 5 5 2" xfId="8751" xr:uid="{8E22169D-1C06-429E-A6F6-5FBC8A20D6C4}"/>
    <cellStyle name="20% - Énfasis2 5 5 2 2" xfId="23119" xr:uid="{D5DE4762-E676-420B-B926-FF890C1FF0FD}"/>
    <cellStyle name="20% - Énfasis2 5 5 2 3" xfId="28983" xr:uid="{31CB949B-E276-4BAD-987E-0200819AC6DC}"/>
    <cellStyle name="20% - Énfasis2 5 5 2 4" xfId="34865" xr:uid="{DD01FD9B-DD24-48D0-980A-D64202F4C3E9}"/>
    <cellStyle name="20% - Énfasis2 5 5 2 5" xfId="40729" xr:uid="{FE82ED59-FEBC-4404-A5F0-420B7B8DD474}"/>
    <cellStyle name="20% - Énfasis2 5 5 3" xfId="20333" xr:uid="{771E9F42-CB9B-408A-9212-A23C21691C9F}"/>
    <cellStyle name="20% - Énfasis2 5 5 4" xfId="26133" xr:uid="{4E6F3780-FCF4-444E-B6A9-ECDAD12C14E2}"/>
    <cellStyle name="20% - Énfasis2 5 5 5" xfId="32008" xr:uid="{BE4342E2-B610-4957-B6A1-EE278E5C01B8}"/>
    <cellStyle name="20% - Énfasis2 5 5 6" xfId="37874" xr:uid="{5492A3C5-EAF6-46B4-A8F6-B2FC22119F03}"/>
    <cellStyle name="20% - Énfasis2 5 6" xfId="6768" xr:uid="{C1EA645D-1128-4D81-83BB-F14106ED09AB}"/>
    <cellStyle name="20% - Énfasis2 5 6 2" xfId="21192" xr:uid="{E26C525A-1D70-4BD5-94AF-5DD9F0E80109}"/>
    <cellStyle name="20% - Énfasis2 5 6 3" xfId="27007" xr:uid="{5036CCF8-9CC0-4E24-9BDA-439126D9785A}"/>
    <cellStyle name="20% - Énfasis2 5 6 4" xfId="32883" xr:uid="{20518186-4FA6-49FD-8191-C04836603F58}"/>
    <cellStyle name="20% - Énfasis2 5 6 5" xfId="38747" xr:uid="{64AFDAD9-82D3-4988-B606-E7451A15A356}"/>
    <cellStyle name="20% - Énfasis2 5 7" xfId="18438" xr:uid="{9949843B-5D31-4C72-85D5-9776421F2892}"/>
    <cellStyle name="20% - Énfasis2 5 8" xfId="24146" xr:uid="{A2FE94A4-38EF-4E52-A283-E2B1375C3B0B}"/>
    <cellStyle name="20% - Énfasis2 5 9" xfId="30024" xr:uid="{A1DE6FEB-028D-4D25-BD13-0077236E8995}"/>
    <cellStyle name="20% - Énfasis2 50" xfId="9533" xr:uid="{915450B6-BF89-45BB-B5CA-B9AC9415F892}"/>
    <cellStyle name="20% - Énfasis2 50 2" xfId="23895" xr:uid="{6FD1FCAB-53C0-4E7D-A3F3-1139155D6090}"/>
    <cellStyle name="20% - Énfasis2 50 3" xfId="29765" xr:uid="{BDC9F9DE-F95B-4D5B-879B-D461914ECC5D}"/>
    <cellStyle name="20% - Énfasis2 50 4" xfId="35647" xr:uid="{3F31D3C5-CD43-4218-95F6-BAD4A46784E2}"/>
    <cellStyle name="20% - Énfasis2 50 5" xfId="41506" xr:uid="{17551D95-60A3-4697-90B2-816E80B43D26}"/>
    <cellStyle name="20% - Énfasis2 51" xfId="9559" xr:uid="{EDD1AC5C-AE07-47EE-9AD9-EAD92058A198}"/>
    <cellStyle name="20% - Énfasis2 51 2" xfId="23921" xr:uid="{72BDC0A7-3C59-472D-8CDE-52B5FEF0FB5E}"/>
    <cellStyle name="20% - Énfasis2 51 3" xfId="29791" xr:uid="{85D5CEEC-D423-440E-9F25-EEA63E4D0E9C}"/>
    <cellStyle name="20% - Énfasis2 51 4" xfId="35673" xr:uid="{21C3D01C-A9C5-4AB2-86A5-C2CEC058918C}"/>
    <cellStyle name="20% - Énfasis2 51 5" xfId="41532" xr:uid="{743E155B-8A83-4809-80BD-50DAB179801B}"/>
    <cellStyle name="20% - Énfasis2 52" xfId="15761" xr:uid="{D32EFC10-B30A-4A5A-8F34-799355B561DA}"/>
    <cellStyle name="20% - Énfasis2 52 2" xfId="23981" xr:uid="{D7BB9674-5F52-477C-BD11-9A64C51B83DB}"/>
    <cellStyle name="20% - Énfasis2 52 3" xfId="29853" xr:uid="{FF643748-E3ED-4336-89FD-F08B2B2995A4}"/>
    <cellStyle name="20% - Énfasis2 52 4" xfId="35735" xr:uid="{2EBBB59B-19A2-4A93-AF07-576E4FF43BE0}"/>
    <cellStyle name="20% - Énfasis2 52 5" xfId="41594" xr:uid="{7E2AFB34-0015-4E15-8D88-2205FEBFDAF6}"/>
    <cellStyle name="20% - Énfasis2 53" xfId="15785" xr:uid="{9A8C277D-3B8F-4746-83A9-E566B47FB11C}"/>
    <cellStyle name="20% - Énfasis2 53 2" xfId="24002" xr:uid="{5A43C30B-AA70-40B9-9BB7-11FF1A44922E}"/>
    <cellStyle name="20% - Énfasis2 53 3" xfId="29877" xr:uid="{D40761C2-B380-41C7-9FEF-307FD7ED81AB}"/>
    <cellStyle name="20% - Énfasis2 53 4" xfId="35759" xr:uid="{CB2E01AF-36DE-41F1-AA84-C01259C82402}"/>
    <cellStyle name="20% - Énfasis2 53 5" xfId="41618" xr:uid="{78EB0D8C-7CC7-4F88-B242-53EA38BF6598}"/>
    <cellStyle name="20% - Énfasis2 54" xfId="15820" xr:uid="{0547ED9A-1271-4821-A2C3-2B69B52ECA28}"/>
    <cellStyle name="20% - Énfasis2 55" xfId="18295" xr:uid="{2DB7F660-46F3-423C-BFCC-1D78367398DB}"/>
    <cellStyle name="20% - Énfasis2 56" xfId="18318" xr:uid="{1372BE50-7FB4-4F8E-AC8D-F53D3FB403D4}"/>
    <cellStyle name="20% - Énfasis2 57" xfId="24030" xr:uid="{8A9E8EFD-D403-429C-9D62-7AB47776A686}"/>
    <cellStyle name="20% - Énfasis2 58" xfId="29908" xr:uid="{4BE664C1-300C-4F74-B4AC-B118E2D8F5BB}"/>
    <cellStyle name="20% - Énfasis2 59" xfId="35789" xr:uid="{9B18F092-1A6A-4127-8A8B-F32F157C9F10}"/>
    <cellStyle name="20% - Énfasis2 6" xfId="3937" xr:uid="{5DCAEE91-02A3-4736-890F-E23E6D981D59}"/>
    <cellStyle name="20% - Énfasis2 6 10" xfId="35928" xr:uid="{D2D27C1D-DCB3-4B68-A391-5CDE8D4B3D5A}"/>
    <cellStyle name="20% - Énfasis2 6 2" xfId="4129" xr:uid="{B94906EE-BFE1-4E5D-9722-DF354B63084B}"/>
    <cellStyle name="20% - Énfasis2 6 2 2" xfId="4607" xr:uid="{7612C1A8-A9DA-4535-80E4-91E2BFA3DEA6}"/>
    <cellStyle name="20% - Énfasis2 6 2 2 2" xfId="5575" xr:uid="{A111C5D8-FAE2-482A-80EF-D19DFED834EB}"/>
    <cellStyle name="20% - Énfasis2 6 2 2 2 2" xfId="8442" xr:uid="{010035D9-8234-472A-BFB5-1C1A30A726F8}"/>
    <cellStyle name="20% - Énfasis2 6 2 2 2 2 2" xfId="22817" xr:uid="{938A68EC-45FA-442B-9880-D9EBA02AC6EA}"/>
    <cellStyle name="20% - Énfasis2 6 2 2 2 2 3" xfId="28675" xr:uid="{50AD29C7-DA26-429B-BD37-4138B18D8543}"/>
    <cellStyle name="20% - Énfasis2 6 2 2 2 2 4" xfId="34557" xr:uid="{D186DAEA-BD7C-4A58-8F13-0FAF54797DE5}"/>
    <cellStyle name="20% - Énfasis2 6 2 2 2 2 5" xfId="40421" xr:uid="{5562942A-A4A9-4C50-B3EE-76B3DA332D9A}"/>
    <cellStyle name="20% - Énfasis2 6 2 2 2 3" xfId="20035" xr:uid="{145F6592-95C7-4CFE-9D27-FD2FE8B674C8}"/>
    <cellStyle name="20% - Énfasis2 6 2 2 2 4" xfId="25826" xr:uid="{8E05C6D5-D281-4403-95D8-1B00EA8BDA42}"/>
    <cellStyle name="20% - Énfasis2 6 2 2 2 5" xfId="31700" xr:uid="{927F4DD8-A11C-4297-B395-6536F23006D4}"/>
    <cellStyle name="20% - Énfasis2 6 2 2 2 6" xfId="37570" xr:uid="{783FC4CD-33DA-4BB9-8F0F-902A65663047}"/>
    <cellStyle name="20% - Énfasis2 6 2 2 3" xfId="7470" xr:uid="{DA8CF24D-65FE-42AE-8F94-483B14B2063C}"/>
    <cellStyle name="20% - Énfasis2 6 2 2 3 2" xfId="21872" xr:uid="{F9A67FFA-B4DC-4137-9499-4B17EF4BF4BF}"/>
    <cellStyle name="20% - Énfasis2 6 2 2 3 3" xfId="27704" xr:uid="{195389F0-FA09-49C8-BD29-27AE02EDCC15}"/>
    <cellStyle name="20% - Énfasis2 6 2 2 3 4" xfId="33586" xr:uid="{424D27B0-DCD2-4ED8-A34A-B76615D1ADEA}"/>
    <cellStyle name="20% - Énfasis2 6 2 2 3 5" xfId="39450" xr:uid="{83790994-33F8-485C-8660-C47B1EB0390E}"/>
    <cellStyle name="20% - Énfasis2 6 2 2 4" xfId="19102" xr:uid="{274218ED-CCE7-4DA9-8CD6-052AA78E85C7}"/>
    <cellStyle name="20% - Énfasis2 6 2 2 5" xfId="24855" xr:uid="{7C78B357-574F-4705-BD4B-7E1E68153672}"/>
    <cellStyle name="20% - Énfasis2 6 2 2 6" xfId="30732" xr:uid="{D32AB358-741D-4643-895E-066995483FC9}"/>
    <cellStyle name="20% - Énfasis2 6 2 2 7" xfId="36613" xr:uid="{0EC052B6-2F99-4E85-A2E5-BF0D8E3E8F70}"/>
    <cellStyle name="20% - Énfasis2 6 2 3" xfId="5090" xr:uid="{59B98FAA-8DB9-484F-9500-86ADC5D863E5}"/>
    <cellStyle name="20% - Énfasis2 6 2 3 2" xfId="7957" xr:uid="{8AD5694E-B02B-45D0-9D83-BEF14337699A}"/>
    <cellStyle name="20% - Énfasis2 6 2 3 2 2" xfId="22342" xr:uid="{3BAB1D0E-2B42-4EA5-8766-2DA6E74B6986}"/>
    <cellStyle name="20% - Énfasis2 6 2 3 2 3" xfId="28190" xr:uid="{17023A7E-0C7E-4C51-B56B-1E9700DFDA01}"/>
    <cellStyle name="20% - Énfasis2 6 2 3 2 4" xfId="34072" xr:uid="{B3062667-A1E0-42AE-A80D-CE494098857E}"/>
    <cellStyle name="20% - Énfasis2 6 2 3 2 5" xfId="39936" xr:uid="{1EC07695-7066-48B3-A385-4D1F2493D54B}"/>
    <cellStyle name="20% - Énfasis2 6 2 3 3" xfId="19567" xr:uid="{04F10B21-AD10-4016-86B1-9EFB28E27E3F}"/>
    <cellStyle name="20% - Énfasis2 6 2 3 4" xfId="25341" xr:uid="{C93A4CB4-CCA6-4666-AF71-B73A7C575A9F}"/>
    <cellStyle name="20% - Énfasis2 6 2 3 5" xfId="31215" xr:uid="{954A8415-B5FE-48A1-8A73-00CFE7D29259}"/>
    <cellStyle name="20% - Énfasis2 6 2 3 6" xfId="37093" xr:uid="{6991006C-9976-46D8-ABB1-9E6A3AEBA0A7}"/>
    <cellStyle name="20% - Énfasis2 6 2 4" xfId="6985" xr:uid="{B9187588-82F3-4432-B0B5-ECF12C2DF90A}"/>
    <cellStyle name="20% - Énfasis2 6 2 4 2" xfId="21404" xr:uid="{C9263A78-F5AA-45F2-9E72-2A113B97D37F}"/>
    <cellStyle name="20% - Énfasis2 6 2 4 3" xfId="27223" xr:uid="{5E9DE62A-6498-4582-81F8-CA8528205359}"/>
    <cellStyle name="20% - Énfasis2 6 2 4 4" xfId="33101" xr:uid="{F6F095DF-D573-4EB9-9EDB-13BF651639CB}"/>
    <cellStyle name="20% - Énfasis2 6 2 4 5" xfId="38965" xr:uid="{8A385BAB-B35E-4791-9182-C896028D84A4}"/>
    <cellStyle name="20% - Énfasis2 6 2 5" xfId="18658" xr:uid="{2B0D71AF-8F93-4C96-B5A6-DECC7FDC57B5}"/>
    <cellStyle name="20% - Énfasis2 6 2 6" xfId="24372" xr:uid="{8E612F77-77D0-4E4D-B603-843AC728A072}"/>
    <cellStyle name="20% - Énfasis2 6 2 7" xfId="30250" xr:uid="{3B551F54-C87F-41CA-AC60-D710B2F8244C}"/>
    <cellStyle name="20% - Énfasis2 6 2 8" xfId="36129" xr:uid="{EE486404-C48D-4B41-B6BC-8245B121BBF1}"/>
    <cellStyle name="20% - Énfasis2 6 3" xfId="4413" xr:uid="{FF4EF1DB-A31C-4B8B-9A92-650652AD8D38}"/>
    <cellStyle name="20% - Énfasis2 6 3 2" xfId="5379" xr:uid="{79F38926-FBC6-414F-B8C0-27F840FA2A2F}"/>
    <cellStyle name="20% - Énfasis2 6 3 2 2" xfId="8246" xr:uid="{44ABD221-A1FF-4285-8FD9-5E8DE21307C7}"/>
    <cellStyle name="20% - Énfasis2 6 3 2 2 2" xfId="22622" xr:uid="{09377519-7B72-4870-8AAC-F1AD5DD64FC3}"/>
    <cellStyle name="20% - Énfasis2 6 3 2 2 3" xfId="28479" xr:uid="{98EBA421-92D8-4F02-811F-D91F550040B0}"/>
    <cellStyle name="20% - Énfasis2 6 3 2 2 4" xfId="34361" xr:uid="{F167F51C-E069-4FBB-BEA3-3630C38721FB}"/>
    <cellStyle name="20% - Énfasis2 6 3 2 2 5" xfId="40225" xr:uid="{714D8A43-FA4B-4EAE-A6AD-A16C785303D2}"/>
    <cellStyle name="20% - Énfasis2 6 3 2 3" xfId="19846" xr:uid="{DA9913DB-09CD-42C3-9AD1-BC5B4AE557C2}"/>
    <cellStyle name="20% - Énfasis2 6 3 2 4" xfId="25630" xr:uid="{2DA07192-5676-4ED1-A97C-737F10504323}"/>
    <cellStyle name="20% - Énfasis2 6 3 2 5" xfId="31504" xr:uid="{1416E8F8-FB4E-45BE-B5CF-B8A02E7028BE}"/>
    <cellStyle name="20% - Énfasis2 6 3 2 6" xfId="37375" xr:uid="{F078C3D9-C547-4FE3-B2E6-B7E43CDC702F}"/>
    <cellStyle name="20% - Énfasis2 6 3 3" xfId="7274" xr:uid="{98413C50-26F4-4084-82E1-44AC4F85FA7C}"/>
    <cellStyle name="20% - Énfasis2 6 3 3 2" xfId="21681" xr:uid="{2199C6DF-235F-4826-8D75-756147B5CB21}"/>
    <cellStyle name="20% - Énfasis2 6 3 3 3" xfId="27508" xr:uid="{699F7673-8676-450C-9B9E-9E1ACF5411AF}"/>
    <cellStyle name="20% - Énfasis2 6 3 3 4" xfId="33390" xr:uid="{8A12D349-C86C-4276-A517-4B23D646C17A}"/>
    <cellStyle name="20% - Énfasis2 6 3 3 5" xfId="39254" xr:uid="{68EB5E1A-3063-4FDB-893F-864D30FEDE5C}"/>
    <cellStyle name="20% - Énfasis2 6 3 4" xfId="18915" xr:uid="{8CF0ABF8-46B9-4527-B59E-BEDB459F612E}"/>
    <cellStyle name="20% - Énfasis2 6 3 5" xfId="24659" xr:uid="{EB67AD45-4193-4CB9-939C-76CA0C3369EB}"/>
    <cellStyle name="20% - Énfasis2 6 3 6" xfId="30538" xr:uid="{A05F9B26-31DE-4FAD-9A41-BD0D1089CD2F}"/>
    <cellStyle name="20% - Énfasis2 6 3 7" xfId="36418" xr:uid="{1AE1CC64-F53F-45D6-9408-9CE7D395DBA4}"/>
    <cellStyle name="20% - Énfasis2 6 4" xfId="4894" xr:uid="{E8DECD07-A3C8-4607-B172-D219890A960E}"/>
    <cellStyle name="20% - Énfasis2 6 4 2" xfId="7761" xr:uid="{E43A87FB-6F9C-4317-8D7E-FA56EB65315D}"/>
    <cellStyle name="20% - Énfasis2 6 4 2 2" xfId="22151" xr:uid="{F631A2AE-CE66-40C7-AA64-4FC842C07E43}"/>
    <cellStyle name="20% - Énfasis2 6 4 2 3" xfId="27994" xr:uid="{D62D258D-AC8F-41E6-932E-AE4AFD9235C7}"/>
    <cellStyle name="20% - Énfasis2 6 4 2 4" xfId="33876" xr:uid="{40925FFF-D73A-4C2F-834C-9BF694492995}"/>
    <cellStyle name="20% - Énfasis2 6 4 2 5" xfId="39740" xr:uid="{D86CC791-1B27-4F2B-AB39-758B4623610A}"/>
    <cellStyle name="20% - Énfasis2 6 4 3" xfId="19377" xr:uid="{3341DBB5-ABF5-4500-82E6-067E08A10510}"/>
    <cellStyle name="20% - Énfasis2 6 4 4" xfId="25145" xr:uid="{50B03031-82AD-4957-8E3D-D6ED8F182EA3}"/>
    <cellStyle name="20% - Énfasis2 6 4 5" xfId="31019" xr:uid="{E7CBD474-921C-4250-BD86-8115410D814D}"/>
    <cellStyle name="20% - Énfasis2 6 4 6" xfId="36898" xr:uid="{BB069737-70F1-49A3-ABFF-79760CE35F1B}"/>
    <cellStyle name="20% - Énfasis2 6 5" xfId="5904" xr:uid="{8FAE232A-35FB-4984-A270-48D618E88624}"/>
    <cellStyle name="20% - Énfasis2 6 5 2" xfId="8773" xr:uid="{2A2002FE-5D2F-4E67-B1F6-E28CCADBF258}"/>
    <cellStyle name="20% - Énfasis2 6 5 2 2" xfId="23141" xr:uid="{762E4522-E86C-4E8C-B4C0-32C8E3D65A03}"/>
    <cellStyle name="20% - Énfasis2 6 5 2 3" xfId="29005" xr:uid="{A59276C9-A0C2-4982-A910-EB8FB0B7970B}"/>
    <cellStyle name="20% - Énfasis2 6 5 2 4" xfId="34887" xr:uid="{5AD988DB-6184-4C84-94A5-71B4724B0943}"/>
    <cellStyle name="20% - Énfasis2 6 5 2 5" xfId="40751" xr:uid="{77799872-57CF-478F-9BA0-1F6DB2205290}"/>
    <cellStyle name="20% - Énfasis2 6 5 3" xfId="20355" xr:uid="{AB8B62A2-93EB-4761-A11B-CC1576EB6ABC}"/>
    <cellStyle name="20% - Énfasis2 6 5 4" xfId="26155" xr:uid="{360CE074-0D79-43F0-A632-456A9585C362}"/>
    <cellStyle name="20% - Énfasis2 6 5 5" xfId="32030" xr:uid="{BA74E270-610D-4832-8C1C-BEC1424FEBEB}"/>
    <cellStyle name="20% - Énfasis2 6 5 6" xfId="37896" xr:uid="{64F3B41E-5250-4594-941C-CEC9595A96ED}"/>
    <cellStyle name="20% - Énfasis2 6 6" xfId="6790" xr:uid="{A2F62FB4-CC2B-47E8-9CAC-2AB21CF30C4E}"/>
    <cellStyle name="20% - Énfasis2 6 6 2" xfId="21214" xr:uid="{5DD928AE-AF5E-4E8A-8552-F3C9E665F6F8}"/>
    <cellStyle name="20% - Énfasis2 6 6 3" xfId="27029" xr:uid="{58C1EE67-F59F-447E-B11A-D7CB6DDBEACC}"/>
    <cellStyle name="20% - Énfasis2 6 6 4" xfId="32905" xr:uid="{A83F9F39-7BE9-4E88-A9DC-589D2BE90227}"/>
    <cellStyle name="20% - Énfasis2 6 6 5" xfId="38769" xr:uid="{5D2CAFF5-5EFB-4E3C-ACBD-CD429FCE1462}"/>
    <cellStyle name="20% - Énfasis2 6 7" xfId="18461" xr:uid="{A545970A-9C12-465D-A4AD-746DD17284F2}"/>
    <cellStyle name="20% - Énfasis2 6 8" xfId="24169" xr:uid="{BD6FC2B4-65C4-4495-A4D0-947EFE7839DD}"/>
    <cellStyle name="20% - Énfasis2 6 9" xfId="30047" xr:uid="{7193D1B7-9D5A-4984-ACD2-CAA149AAC7FD}"/>
    <cellStyle name="20% - Énfasis2 7" xfId="3961" xr:uid="{B606C608-E18C-409B-94F4-2DFA26084DB5}"/>
    <cellStyle name="20% - Énfasis2 7 10" xfId="35953" xr:uid="{3FF026B8-81A2-41C0-AD97-DE84E0732C00}"/>
    <cellStyle name="20% - Énfasis2 7 2" xfId="4153" xr:uid="{FF1A2AAB-249B-444A-BE89-14C4EC6B41D6}"/>
    <cellStyle name="20% - Énfasis2 7 2 2" xfId="4631" xr:uid="{910CEAFF-8FDB-4573-B882-3A25E4CC1B79}"/>
    <cellStyle name="20% - Énfasis2 7 2 2 2" xfId="5599" xr:uid="{84076275-789D-4251-9966-570C9D6825CB}"/>
    <cellStyle name="20% - Énfasis2 7 2 2 2 2" xfId="8466" xr:uid="{490C0C27-BE92-4B09-8061-E311579E488B}"/>
    <cellStyle name="20% - Énfasis2 7 2 2 2 2 2" xfId="22841" xr:uid="{92CE0F8A-C324-48B4-8379-AF3604092113}"/>
    <cellStyle name="20% - Énfasis2 7 2 2 2 2 3" xfId="28699" xr:uid="{A6CE884D-5B52-40C0-9D4F-87CF9D53AA8F}"/>
    <cellStyle name="20% - Énfasis2 7 2 2 2 2 4" xfId="34581" xr:uid="{30F46AA1-51DF-4ABD-89B8-9769BC2F7F12}"/>
    <cellStyle name="20% - Énfasis2 7 2 2 2 2 5" xfId="40445" xr:uid="{3932FB79-7C6A-4A14-A91B-0065A6A3AE46}"/>
    <cellStyle name="20% - Énfasis2 7 2 2 2 3" xfId="20058" xr:uid="{17545A34-EDC0-424A-9C87-BF97373DBBAA}"/>
    <cellStyle name="20% - Énfasis2 7 2 2 2 4" xfId="25850" xr:uid="{F1F80E43-DC00-471A-BE6A-1203E0FCB3F1}"/>
    <cellStyle name="20% - Énfasis2 7 2 2 2 5" xfId="31724" xr:uid="{B27A5E61-6700-42FB-B852-176B730E509F}"/>
    <cellStyle name="20% - Énfasis2 7 2 2 2 6" xfId="37594" xr:uid="{BE62763A-21F4-4E07-A29F-0461A53B848A}"/>
    <cellStyle name="20% - Énfasis2 7 2 2 3" xfId="7494" xr:uid="{28C61A3E-9907-4895-8112-5CD26F576671}"/>
    <cellStyle name="20% - Énfasis2 7 2 2 3 2" xfId="21895" xr:uid="{A93D5AAC-BAFF-4DA3-A00C-95B66CE93A58}"/>
    <cellStyle name="20% - Énfasis2 7 2 2 3 3" xfId="27728" xr:uid="{9CFBB6BC-8921-41B3-8FBD-52A4E743830C}"/>
    <cellStyle name="20% - Énfasis2 7 2 2 3 4" xfId="33610" xr:uid="{F93FC6FC-2175-4B9F-9D05-4540ECA484AC}"/>
    <cellStyle name="20% - Énfasis2 7 2 2 3 5" xfId="39474" xr:uid="{238B68CA-B6E7-4CC1-B906-D5695D0E617C}"/>
    <cellStyle name="20% - Énfasis2 7 2 2 4" xfId="19125" xr:uid="{8FEF3E20-75CB-4224-84A5-7D349AD1C747}"/>
    <cellStyle name="20% - Énfasis2 7 2 2 5" xfId="24879" xr:uid="{97B570F2-DD5D-4307-920A-B2C98C812FA0}"/>
    <cellStyle name="20% - Énfasis2 7 2 2 6" xfId="30755" xr:uid="{29976009-4E13-43E9-B874-46F25F009F98}"/>
    <cellStyle name="20% - Énfasis2 7 2 2 7" xfId="36637" xr:uid="{478486E5-43FA-462C-AB7C-958DA5DBE0AC}"/>
    <cellStyle name="20% - Énfasis2 7 2 3" xfId="5114" xr:uid="{13FDC06A-3CA8-4857-BF30-0020AD2EF86D}"/>
    <cellStyle name="20% - Énfasis2 7 2 3 2" xfId="7981" xr:uid="{EB864DAE-9E17-4EDD-99DF-B0E73D14C2FC}"/>
    <cellStyle name="20% - Énfasis2 7 2 3 2 2" xfId="22366" xr:uid="{894C708D-89D0-413E-8F29-A28220A67A17}"/>
    <cellStyle name="20% - Énfasis2 7 2 3 2 3" xfId="28214" xr:uid="{642B4B6B-2B9D-425B-9D85-E63ADF4932E5}"/>
    <cellStyle name="20% - Énfasis2 7 2 3 2 4" xfId="34096" xr:uid="{E46367A2-0442-4A1F-A68B-3A7E0F2F24CC}"/>
    <cellStyle name="20% - Énfasis2 7 2 3 2 5" xfId="39960" xr:uid="{350AF9C6-E881-46A1-AA5A-15A87B51023C}"/>
    <cellStyle name="20% - Énfasis2 7 2 3 3" xfId="19589" xr:uid="{C25D15F6-7A20-4457-82CA-57FAADDBE130}"/>
    <cellStyle name="20% - Énfasis2 7 2 3 4" xfId="25365" xr:uid="{78B38856-3E1D-4BB0-B97F-D23EE5C7D073}"/>
    <cellStyle name="20% - Énfasis2 7 2 3 5" xfId="31239" xr:uid="{33A47FA5-80DA-4C6D-A1E5-96FA9E1171ED}"/>
    <cellStyle name="20% - Énfasis2 7 2 3 6" xfId="37117" xr:uid="{2047305F-F031-457A-9D97-A825F30208F8}"/>
    <cellStyle name="20% - Énfasis2 7 2 4" xfId="7009" xr:uid="{65B3DE97-259B-4735-9B2E-3A0B966FB9A3}"/>
    <cellStyle name="20% - Énfasis2 7 2 4 2" xfId="21426" xr:uid="{01862DED-34ED-4F3F-AB89-B6E04AD72B21}"/>
    <cellStyle name="20% - Énfasis2 7 2 4 3" xfId="27247" xr:uid="{BD3E92DD-E9D0-421E-9B3C-6AD082B6088E}"/>
    <cellStyle name="20% - Énfasis2 7 2 4 4" xfId="33125" xr:uid="{D9DCE8FA-4DC8-45D9-B28A-724477947471}"/>
    <cellStyle name="20% - Énfasis2 7 2 4 5" xfId="38989" xr:uid="{01489572-82C3-456E-AA2D-EB8BBB2F17AE}"/>
    <cellStyle name="20% - Énfasis2 7 2 5" xfId="18681" xr:uid="{0BBE1529-2D5E-4FCD-B795-CEBD440F5EE4}"/>
    <cellStyle name="20% - Énfasis2 7 2 6" xfId="24396" xr:uid="{159FC845-7A44-47F1-ADE2-FEEF2A918787}"/>
    <cellStyle name="20% - Énfasis2 7 2 7" xfId="30273" xr:uid="{D8BAA49C-A397-48C6-B7AA-C4A77C540A05}"/>
    <cellStyle name="20% - Énfasis2 7 2 8" xfId="36153" xr:uid="{017E5E6C-0C8C-4D4B-A318-365923C38EA7}"/>
    <cellStyle name="20% - Énfasis2 7 3" xfId="4436" xr:uid="{F3EC8671-8A15-468B-A9DD-1705895E5674}"/>
    <cellStyle name="20% - Énfasis2 7 3 2" xfId="5403" xr:uid="{B45E3B9A-F063-4B92-93A5-2A86D625E799}"/>
    <cellStyle name="20% - Énfasis2 7 3 2 2" xfId="8270" xr:uid="{09F99EEC-403F-4BE4-96FD-BA1660EC2306}"/>
    <cellStyle name="20% - Énfasis2 7 3 2 2 2" xfId="22646" xr:uid="{8EB256DF-04E7-438A-B085-29FB6AEAA8DB}"/>
    <cellStyle name="20% - Énfasis2 7 3 2 2 3" xfId="28503" xr:uid="{7E113B25-E0C3-4560-A461-C15BF6C50119}"/>
    <cellStyle name="20% - Énfasis2 7 3 2 2 4" xfId="34385" xr:uid="{3F82990B-46C8-4987-B122-F025949670C9}"/>
    <cellStyle name="20% - Énfasis2 7 3 2 2 5" xfId="40249" xr:uid="{78059217-2365-4CA0-AAFB-D9ADFF866D02}"/>
    <cellStyle name="20% - Énfasis2 7 3 2 3" xfId="19868" xr:uid="{9B9047F1-028F-47F2-9684-056A1958F88B}"/>
    <cellStyle name="20% - Énfasis2 7 3 2 4" xfId="25654" xr:uid="{9CA3AD8C-BFB1-48E7-B657-E9B769E9CE47}"/>
    <cellStyle name="20% - Énfasis2 7 3 2 5" xfId="31528" xr:uid="{B8D7394C-F9E1-49BE-ACB8-DC47232994C0}"/>
    <cellStyle name="20% - Énfasis2 7 3 2 6" xfId="37399" xr:uid="{1CC984FF-9147-4414-8DC5-F8E48BCB218B}"/>
    <cellStyle name="20% - Énfasis2 7 3 3" xfId="7298" xr:uid="{8DBD4A13-C1B0-4DBA-BBC6-D11B19C32C06}"/>
    <cellStyle name="20% - Énfasis2 7 3 3 2" xfId="21703" xr:uid="{47BD3F21-385B-4109-942D-85D762B34D10}"/>
    <cellStyle name="20% - Énfasis2 7 3 3 3" xfId="27532" xr:uid="{DEEE039D-6001-4580-8A51-98347FFD6A35}"/>
    <cellStyle name="20% - Énfasis2 7 3 3 4" xfId="33414" xr:uid="{3801F903-8137-4366-AB2C-4210A107FE0F}"/>
    <cellStyle name="20% - Énfasis2 7 3 3 5" xfId="39278" xr:uid="{5B0FA24D-11C9-411C-A5FD-781E29F74E73}"/>
    <cellStyle name="20% - Énfasis2 7 3 4" xfId="18939" xr:uid="{53B90D0F-0A8B-4318-8345-21D21827A413}"/>
    <cellStyle name="20% - Énfasis2 7 3 5" xfId="24683" xr:uid="{6FB8B1D5-C350-4761-9E08-3120694DCCE2}"/>
    <cellStyle name="20% - Énfasis2 7 3 6" xfId="30561" xr:uid="{C4340406-494A-4EEE-A79A-31A83717F1EF}"/>
    <cellStyle name="20% - Énfasis2 7 3 7" xfId="36442" xr:uid="{A88E2EBD-04C3-4E73-9CAE-71A3A1E069CA}"/>
    <cellStyle name="20% - Énfasis2 7 4" xfId="4918" xr:uid="{5E1A6E47-8E90-49A1-8521-A68017C93070}"/>
    <cellStyle name="20% - Énfasis2 7 4 2" xfId="7785" xr:uid="{92A9BCB9-FDDD-47AC-B7BC-8E87917E142D}"/>
    <cellStyle name="20% - Énfasis2 7 4 2 2" xfId="22173" xr:uid="{ECB31F06-5908-44E2-B210-92236D78DD56}"/>
    <cellStyle name="20% - Énfasis2 7 4 2 3" xfId="28018" xr:uid="{52ADB4F4-5815-4A4F-B6EC-70316AB7F2DE}"/>
    <cellStyle name="20% - Énfasis2 7 4 2 4" xfId="33900" xr:uid="{02D0F16C-E751-4CEF-98DD-0DF04FBFBCD3}"/>
    <cellStyle name="20% - Énfasis2 7 4 2 5" xfId="39764" xr:uid="{6AA1998A-97BD-4508-8A59-5C206C9B0149}"/>
    <cellStyle name="20% - Énfasis2 7 4 3" xfId="19400" xr:uid="{B9E5251E-23BD-48AB-A4E8-0C2C8B068868}"/>
    <cellStyle name="20% - Énfasis2 7 4 4" xfId="25169" xr:uid="{E0C28D9A-4B40-49A1-BB15-F7DBE2FD9951}"/>
    <cellStyle name="20% - Énfasis2 7 4 5" xfId="31043" xr:uid="{7B956A2D-7C2A-4961-9CCE-110902605B07}"/>
    <cellStyle name="20% - Énfasis2 7 4 6" xfId="36922" xr:uid="{A3E184D7-DC40-4304-AA19-B7F307075F2B}"/>
    <cellStyle name="20% - Énfasis2 7 5" xfId="5928" xr:uid="{0A9CCDC3-6D94-4E13-A587-459D18667A90}"/>
    <cellStyle name="20% - Énfasis2 7 5 2" xfId="8797" xr:uid="{436F1202-75C2-48B7-9309-E27C10D244C0}"/>
    <cellStyle name="20% - Énfasis2 7 5 2 2" xfId="23164" xr:uid="{AC4B1185-EC1E-4F6B-B888-8116BFD36398}"/>
    <cellStyle name="20% - Énfasis2 7 5 2 3" xfId="29029" xr:uid="{34FAEF58-BE5E-42EE-8343-884C2AE8B269}"/>
    <cellStyle name="20% - Énfasis2 7 5 2 4" xfId="34911" xr:uid="{A83D7D34-9876-4B0C-BC6D-EF80E747F209}"/>
    <cellStyle name="20% - Énfasis2 7 5 2 5" xfId="40775" xr:uid="{6DA03454-1FE1-4E3A-B2B6-DC5CBC4185A9}"/>
    <cellStyle name="20% - Énfasis2 7 5 3" xfId="20378" xr:uid="{B372191F-6414-4B07-A0DF-E42B195E2EB7}"/>
    <cellStyle name="20% - Énfasis2 7 5 4" xfId="26179" xr:uid="{4914D824-5FB7-4AFC-985F-8583B7A24225}"/>
    <cellStyle name="20% - Énfasis2 7 5 5" xfId="32054" xr:uid="{47B62FE3-C074-4264-8588-ECF7593FF1F6}"/>
    <cellStyle name="20% - Énfasis2 7 5 6" xfId="37920" xr:uid="{B2E5F180-8066-4329-B4C6-AA9E3FCBD0FB}"/>
    <cellStyle name="20% - Énfasis2 7 6" xfId="6814" xr:uid="{0E2DFBFE-2C0F-4366-B494-2C80ADFEA0B2}"/>
    <cellStyle name="20% - Énfasis2 7 6 2" xfId="21237" xr:uid="{FC1F65C6-C6D4-4790-A79C-0CA5DDA63C7D}"/>
    <cellStyle name="20% - Énfasis2 7 6 3" xfId="27053" xr:uid="{05452E54-44FD-4C9D-A3E2-E462D36E51C0}"/>
    <cellStyle name="20% - Énfasis2 7 6 4" xfId="32929" xr:uid="{CF055662-3915-45F3-9560-4F323A690F94}"/>
    <cellStyle name="20% - Énfasis2 7 6 5" xfId="38793" xr:uid="{4C95B46A-3098-4717-9310-9271FA9EBA8E}"/>
    <cellStyle name="20% - Énfasis2 7 7" xfId="18487" xr:uid="{124E7241-B2F2-4A1E-A89B-2A97CCA6A065}"/>
    <cellStyle name="20% - Énfasis2 7 8" xfId="24195" xr:uid="{FA2E6301-BB5B-4646-B4A1-C67D98B1E232}"/>
    <cellStyle name="20% - Énfasis2 7 9" xfId="30073" xr:uid="{7D60D2A3-70A2-4943-A9D2-33574F2839F0}"/>
    <cellStyle name="20% - Énfasis2 8" xfId="3987" xr:uid="{5C90545C-237D-4B06-BEA6-234BE9465AC9}"/>
    <cellStyle name="20% - Énfasis2 8 10" xfId="35981" xr:uid="{D318BFFC-24B0-4E45-8F92-2F052C08E452}"/>
    <cellStyle name="20% - Énfasis2 8 2" xfId="4179" xr:uid="{A7334AFE-CBFD-47AD-B1EC-5705641BD639}"/>
    <cellStyle name="20% - Énfasis2 8 2 2" xfId="4657" xr:uid="{5AE52E63-B13B-4CB7-AD74-880F68FC479F}"/>
    <cellStyle name="20% - Énfasis2 8 2 2 2" xfId="5625" xr:uid="{E7854864-FEDF-46C0-AA22-01B5F07C07DA}"/>
    <cellStyle name="20% - Énfasis2 8 2 2 2 2" xfId="8492" xr:uid="{BD3E0DBD-0258-44BB-A945-ACB499277923}"/>
    <cellStyle name="20% - Énfasis2 8 2 2 2 2 2" xfId="22866" xr:uid="{08430C60-E2DB-4601-87F7-D4FC7D53B050}"/>
    <cellStyle name="20% - Énfasis2 8 2 2 2 2 3" xfId="28725" xr:uid="{CFBCAAA0-7AA0-497B-8A3A-01047C8047EC}"/>
    <cellStyle name="20% - Énfasis2 8 2 2 2 2 4" xfId="34607" xr:uid="{84B6B0BA-B94F-48A8-B0D7-1841FEB8CBA6}"/>
    <cellStyle name="20% - Énfasis2 8 2 2 2 2 5" xfId="40471" xr:uid="{8AD4BA07-BC7E-4B2D-B82E-754B83D13350}"/>
    <cellStyle name="20% - Énfasis2 8 2 2 2 3" xfId="20084" xr:uid="{3C0CFBB0-2799-42FE-840D-FE5301E64BD5}"/>
    <cellStyle name="20% - Énfasis2 8 2 2 2 4" xfId="25876" xr:uid="{A4D210DB-24FB-474B-BE6F-3EC9F2C0B835}"/>
    <cellStyle name="20% - Énfasis2 8 2 2 2 5" xfId="31750" xr:uid="{9694FEB3-1438-451F-9A6C-F9A2BC3F9290}"/>
    <cellStyle name="20% - Énfasis2 8 2 2 2 6" xfId="37619" xr:uid="{5D25E36E-28DF-4254-9BD9-C0B5CA4E097A}"/>
    <cellStyle name="20% - Énfasis2 8 2 2 3" xfId="7520" xr:uid="{54764562-A335-4864-AD35-B522F0B48F1D}"/>
    <cellStyle name="20% - Énfasis2 8 2 2 3 2" xfId="21920" xr:uid="{1E1C83B7-3288-4245-BB91-98958C20D945}"/>
    <cellStyle name="20% - Énfasis2 8 2 2 3 3" xfId="27754" xr:uid="{A6813BA5-4404-4A81-9A04-1ED2E850EBF0}"/>
    <cellStyle name="20% - Énfasis2 8 2 2 3 4" xfId="33636" xr:uid="{768A59B8-A70E-4C67-BE92-69D86597FE26}"/>
    <cellStyle name="20% - Énfasis2 8 2 2 3 5" xfId="39500" xr:uid="{C867A3CE-235A-4FEA-BAB6-5F1FD93CD59D}"/>
    <cellStyle name="20% - Énfasis2 8 2 2 4" xfId="19149" xr:uid="{7BDCDCC9-5739-486C-AAC6-0F501E190FF8}"/>
    <cellStyle name="20% - Énfasis2 8 2 2 5" xfId="24905" xr:uid="{01E1FD3D-7762-4A4B-8A7B-5C564EFA8C0A}"/>
    <cellStyle name="20% - Énfasis2 8 2 2 6" xfId="30781" xr:uid="{ADF8DF95-1C8A-4915-82E0-FA0409453D47}"/>
    <cellStyle name="20% - Énfasis2 8 2 2 7" xfId="36662" xr:uid="{C696552E-CFE2-47A8-990E-B8D6CE1C98A6}"/>
    <cellStyle name="20% - Énfasis2 8 2 3" xfId="5140" xr:uid="{CC821CDA-5DB3-460D-8E3C-09AE2A55FBB3}"/>
    <cellStyle name="20% - Énfasis2 8 2 3 2" xfId="8007" xr:uid="{072B43D5-BCEB-4697-AF6C-1337AF1450DD}"/>
    <cellStyle name="20% - Énfasis2 8 2 3 2 2" xfId="22391" xr:uid="{9BC6144C-281F-4626-A105-CE4D2149B176}"/>
    <cellStyle name="20% - Énfasis2 8 2 3 2 3" xfId="28240" xr:uid="{0ADF6DE7-006B-4769-8457-2870925E65AA}"/>
    <cellStyle name="20% - Énfasis2 8 2 3 2 4" xfId="34122" xr:uid="{8BEEA53F-C83A-4956-B11B-2C6178D536C7}"/>
    <cellStyle name="20% - Énfasis2 8 2 3 2 5" xfId="39986" xr:uid="{EED2A90B-949F-4B9C-BE9A-191EF35D5B48}"/>
    <cellStyle name="20% - Énfasis2 8 2 3 3" xfId="19614" xr:uid="{56AF0136-F2A7-4C04-BDAE-EF46C5E61BE4}"/>
    <cellStyle name="20% - Énfasis2 8 2 3 4" xfId="25391" xr:uid="{8EE473F8-F101-4FEE-90B7-6B8A1D27FB22}"/>
    <cellStyle name="20% - Énfasis2 8 2 3 5" xfId="31265" xr:uid="{E70F7D8C-07F5-4B6B-BBDD-36834BC85317}"/>
    <cellStyle name="20% - Énfasis2 8 2 3 6" xfId="37142" xr:uid="{2F027DA7-F3F8-4F7F-B074-26C1E81BC2F7}"/>
    <cellStyle name="20% - Énfasis2 8 2 4" xfId="7035" xr:uid="{BD1151EA-E18E-4D55-A095-25B0E0EA8024}"/>
    <cellStyle name="20% - Énfasis2 8 2 4 2" xfId="21451" xr:uid="{CF9553B1-4FC7-41D5-BE4B-47120BE80100}"/>
    <cellStyle name="20% - Énfasis2 8 2 4 3" xfId="27272" xr:uid="{ED960D19-6D44-47C6-ADF6-55134411BE2F}"/>
    <cellStyle name="20% - Énfasis2 8 2 4 4" xfId="33151" xr:uid="{1B1EDA61-BC15-4499-AAE2-C4D081248AEC}"/>
    <cellStyle name="20% - Énfasis2 8 2 4 5" xfId="39015" xr:uid="{171867A0-6602-47D5-9CDB-1313A433A8CA}"/>
    <cellStyle name="20% - Énfasis2 8 2 5" xfId="18706" xr:uid="{4C10AB0C-0E98-4BDA-A923-FB62F59F8A89}"/>
    <cellStyle name="20% - Énfasis2 8 2 6" xfId="24422" xr:uid="{F6D0E79F-D533-46FF-BEB1-A46025633433}"/>
    <cellStyle name="20% - Énfasis2 8 2 7" xfId="30299" xr:uid="{A690BE40-DB6E-49AE-AA16-11CC472F7E08}"/>
    <cellStyle name="20% - Énfasis2 8 2 8" xfId="36179" xr:uid="{3FE70DB0-C16E-40D5-BB86-367D2E4B7500}"/>
    <cellStyle name="20% - Énfasis2 8 3" xfId="4461" xr:uid="{1ADD3DCF-5C65-4EC1-8090-54BDD941032F}"/>
    <cellStyle name="20% - Énfasis2 8 3 2" xfId="5429" xr:uid="{5BDFB6F1-FC10-48BD-AA44-8685EB687B23}"/>
    <cellStyle name="20% - Énfasis2 8 3 2 2" xfId="8296" xr:uid="{94ABBDC9-D8F6-4613-9901-9175F74AD988}"/>
    <cellStyle name="20% - Énfasis2 8 3 2 2 2" xfId="22672" xr:uid="{71598D9B-3562-4A4C-80AE-8783D0E2EF0D}"/>
    <cellStyle name="20% - Énfasis2 8 3 2 2 3" xfId="28529" xr:uid="{E62CF533-76AE-443A-8486-DC285CF7085D}"/>
    <cellStyle name="20% - Énfasis2 8 3 2 2 4" xfId="34411" xr:uid="{8C642BF4-304F-492F-BDA0-9E53D01032AA}"/>
    <cellStyle name="20% - Énfasis2 8 3 2 2 5" xfId="40275" xr:uid="{106549A5-485B-447E-81EC-3F457F2A51EB}"/>
    <cellStyle name="20% - Énfasis2 8 3 2 3" xfId="19893" xr:uid="{361AA13C-6BBC-440B-AB87-322D6CFAF01D}"/>
    <cellStyle name="20% - Énfasis2 8 3 2 4" xfId="25680" xr:uid="{5D567233-4119-4DAF-9E23-C597879BD9D8}"/>
    <cellStyle name="20% - Énfasis2 8 3 2 5" xfId="31554" xr:uid="{A1568121-8776-40A4-95B0-240B0A843D47}"/>
    <cellStyle name="20% - Énfasis2 8 3 2 6" xfId="37425" xr:uid="{471C66DB-DCE7-4E87-8C5E-6CFD09B7F127}"/>
    <cellStyle name="20% - Énfasis2 8 3 3" xfId="7324" xr:uid="{A7B92BD5-58DB-44AB-8B10-5BBF852D8413}"/>
    <cellStyle name="20% - Énfasis2 8 3 3 2" xfId="21728" xr:uid="{3C7234FE-E304-49A5-98F8-B551D41FF5DD}"/>
    <cellStyle name="20% - Énfasis2 8 3 3 3" xfId="27558" xr:uid="{657D915D-60E5-4506-9C48-B7C2256479BC}"/>
    <cellStyle name="20% - Énfasis2 8 3 3 4" xfId="33440" xr:uid="{C79BABD1-40FF-43BB-BDE5-79EA453C6B28}"/>
    <cellStyle name="20% - Énfasis2 8 3 3 5" xfId="39304" xr:uid="{49D2EDAB-CCF8-43D6-B8FF-5FC82E09D8A1}"/>
    <cellStyle name="20% - Énfasis2 8 3 4" xfId="18965" xr:uid="{2CBFB2CE-4D91-4B1B-9B64-FC3545A51F7B}"/>
    <cellStyle name="20% - Énfasis2 8 3 5" xfId="24709" xr:uid="{02E06E58-5E39-451C-9594-04025ABC0163}"/>
    <cellStyle name="20% - Énfasis2 8 3 6" xfId="30587" xr:uid="{8AA062DA-509F-4A3D-9380-F55068F1DB75}"/>
    <cellStyle name="20% - Énfasis2 8 3 7" xfId="36468" xr:uid="{C0BA7789-7D99-4736-B4C8-D6DF54699A9D}"/>
    <cellStyle name="20% - Énfasis2 8 4" xfId="4944" xr:uid="{22169F4A-CB30-4F87-AA33-47A387BB30BA}"/>
    <cellStyle name="20% - Énfasis2 8 4 2" xfId="7811" xr:uid="{8DC0725E-F4FE-4555-A0D7-4AC5BECDF892}"/>
    <cellStyle name="20% - Énfasis2 8 4 2 2" xfId="22198" xr:uid="{A3CB44E7-F8FA-44BF-9B67-797EAD2E92F2}"/>
    <cellStyle name="20% - Énfasis2 8 4 2 3" xfId="28044" xr:uid="{89F74123-EF45-4F2A-B5ED-52D51FC7E71F}"/>
    <cellStyle name="20% - Énfasis2 8 4 2 4" xfId="33926" xr:uid="{050A7823-315C-4927-8ECB-1EC29385C88A}"/>
    <cellStyle name="20% - Énfasis2 8 4 2 5" xfId="39790" xr:uid="{E58DCEF5-58A5-4F85-A898-025716C42226}"/>
    <cellStyle name="20% - Énfasis2 8 4 3" xfId="19426" xr:uid="{5761577C-D52F-440F-B0D2-A24E7891A6A1}"/>
    <cellStyle name="20% - Énfasis2 8 4 4" xfId="25195" xr:uid="{86F614DD-F734-4DE7-BDD5-334D319A05D8}"/>
    <cellStyle name="20% - Énfasis2 8 4 5" xfId="31069" xr:uid="{8D22993E-DDC7-4B15-9DB4-2D1A2E86B992}"/>
    <cellStyle name="20% - Énfasis2 8 4 6" xfId="36948" xr:uid="{B9F6DBE0-8773-4BA8-9A9B-460797C4D063}"/>
    <cellStyle name="20% - Énfasis2 8 5" xfId="5954" xr:uid="{5D4EBFAD-0CB0-4D13-B074-2F97F02F1F2C}"/>
    <cellStyle name="20% - Énfasis2 8 5 2" xfId="8823" xr:uid="{ADF3EAA4-9897-4AF1-BD60-B69FD7BFF652}"/>
    <cellStyle name="20% - Énfasis2 8 5 2 2" xfId="23188" xr:uid="{9A8FA8CA-4468-4094-8320-E480987367CB}"/>
    <cellStyle name="20% - Énfasis2 8 5 2 3" xfId="29055" xr:uid="{A2B73436-6E84-47CD-95FD-D6659D953309}"/>
    <cellStyle name="20% - Énfasis2 8 5 2 4" xfId="34937" xr:uid="{058737AC-36A5-4081-8336-5D4BBB776F20}"/>
    <cellStyle name="20% - Énfasis2 8 5 2 5" xfId="40801" xr:uid="{5FAEDCE0-823E-4AD3-8DE3-54AE83F1F19E}"/>
    <cellStyle name="20% - Énfasis2 8 5 3" xfId="20404" xr:uid="{3BFAF7A9-56DE-471B-8A24-D052CF72EAB8}"/>
    <cellStyle name="20% - Énfasis2 8 5 4" xfId="26205" xr:uid="{46598F1F-A70C-43A3-B8D4-72480EA4D5F3}"/>
    <cellStyle name="20% - Énfasis2 8 5 5" xfId="32080" xr:uid="{AE71BA8E-3687-4436-8A1B-49775D10520E}"/>
    <cellStyle name="20% - Énfasis2 8 5 6" xfId="37945" xr:uid="{A624FD39-A970-4688-8B9F-C2CF44276E8D}"/>
    <cellStyle name="20% - Énfasis2 8 6" xfId="6840" xr:uid="{D2F738DA-CBFF-4C70-96BE-5D92C6562A64}"/>
    <cellStyle name="20% - Énfasis2 8 6 2" xfId="21263" xr:uid="{DD33C4FE-AAFF-4FFF-B585-7A8D77BF8061}"/>
    <cellStyle name="20% - Énfasis2 8 6 3" xfId="27078" xr:uid="{3E0F978A-3772-491A-87E3-489816126040}"/>
    <cellStyle name="20% - Énfasis2 8 6 4" xfId="32955" xr:uid="{F730F949-9DF2-4D2B-B8D1-4F70E7749E5E}"/>
    <cellStyle name="20% - Énfasis2 8 6 5" xfId="38819" xr:uid="{4272199D-A183-4335-AFF5-3576077471B4}"/>
    <cellStyle name="20% - Énfasis2 8 7" xfId="18514" xr:uid="{F098EE42-CD22-4A12-B1D2-866997034437}"/>
    <cellStyle name="20% - Énfasis2 8 8" xfId="24223" xr:uid="{C1D3F5AC-CC00-4D3F-8790-283D0B803811}"/>
    <cellStyle name="20% - Énfasis2 8 9" xfId="30101" xr:uid="{47C1BD9F-73B0-4988-BC74-F02911B7E525}"/>
    <cellStyle name="20% - Énfasis2 9" xfId="4011" xr:uid="{0FA9FF4B-1D26-41BF-B047-EBC21F3EA565}"/>
    <cellStyle name="20% - Énfasis2 9 2" xfId="4482" xr:uid="{66B0F651-35AC-40AE-A50A-134890971320}"/>
    <cellStyle name="20% - Énfasis2 9 2 2" xfId="5450" xr:uid="{8132389D-42EA-4549-86E6-CED3E4E163F4}"/>
    <cellStyle name="20% - Énfasis2 9 2 2 2" xfId="8317" xr:uid="{0200993B-9ECD-4280-BFD5-E8DB70A59E84}"/>
    <cellStyle name="20% - Énfasis2 9 2 2 2 2" xfId="22693" xr:uid="{2B270BF7-C850-4662-B103-B2D31BF2FAEB}"/>
    <cellStyle name="20% - Énfasis2 9 2 2 2 3" xfId="28550" xr:uid="{BEE76FFE-BBD4-4529-A25B-8FB7300752AA}"/>
    <cellStyle name="20% - Énfasis2 9 2 2 2 4" xfId="34432" xr:uid="{79EC7330-54D1-488F-BC3D-C6F02D3F2A73}"/>
    <cellStyle name="20% - Énfasis2 9 2 2 2 5" xfId="40296" xr:uid="{E3798935-8E9D-4769-821D-E8A8F7AFC433}"/>
    <cellStyle name="20% - Énfasis2 9 2 2 3" xfId="19913" xr:uid="{7E0D746C-0F63-45BA-A597-8FBB663B2F02}"/>
    <cellStyle name="20% - Énfasis2 9 2 2 4" xfId="25701" xr:uid="{921A913D-6415-4712-934E-1720956B4C72}"/>
    <cellStyle name="20% - Énfasis2 9 2 2 5" xfId="31575" xr:uid="{12044CCB-452B-40B2-A8A6-9F8990E22375}"/>
    <cellStyle name="20% - Énfasis2 9 2 2 6" xfId="37446" xr:uid="{9270CBFE-FB95-4E97-BFFE-90479EC99175}"/>
    <cellStyle name="20% - Énfasis2 9 2 3" xfId="7345" xr:uid="{47FF9AB9-B178-4796-B282-122471DE20D1}"/>
    <cellStyle name="20% - Énfasis2 9 2 3 2" xfId="21748" xr:uid="{5BB3543C-01B9-4ED2-BC45-626239FA6FDE}"/>
    <cellStyle name="20% - Énfasis2 9 2 3 3" xfId="27579" xr:uid="{C6033941-BF15-4B7F-AF8A-657590CBDB38}"/>
    <cellStyle name="20% - Énfasis2 9 2 3 4" xfId="33461" xr:uid="{F50B1D36-00F7-4ADB-8EBE-0124754AAF14}"/>
    <cellStyle name="20% - Énfasis2 9 2 3 5" xfId="39325" xr:uid="{543A8B8C-E53F-4A1B-96DB-9F76792891A5}"/>
    <cellStyle name="20% - Énfasis2 9 2 4" xfId="18986" xr:uid="{1A901A05-2B4C-4B2B-9FED-4CE0812F245A}"/>
    <cellStyle name="20% - Énfasis2 9 2 5" xfId="24730" xr:uid="{17B227CE-AC39-4290-A070-2C593AF0540F}"/>
    <cellStyle name="20% - Énfasis2 9 2 6" xfId="30607" xr:uid="{11FD316A-828B-4CF9-82C2-385DF1496DCD}"/>
    <cellStyle name="20% - Énfasis2 9 2 7" xfId="36489" xr:uid="{953903E7-2E4D-48DE-889E-B336EC64B4A6}"/>
    <cellStyle name="20% - Énfasis2 9 3" xfId="4965" xr:uid="{627139A3-07FB-4CA7-A538-2296D7E2727B}"/>
    <cellStyle name="20% - Énfasis2 9 3 2" xfId="7832" xr:uid="{3EB413B6-EA77-47D2-890B-302144C227FE}"/>
    <cellStyle name="20% - Énfasis2 9 3 2 2" xfId="22218" xr:uid="{41F2FB81-7ECC-47B6-A2CF-23E72FB4F594}"/>
    <cellStyle name="20% - Énfasis2 9 3 2 3" xfId="28065" xr:uid="{8F81ABB0-019F-4D52-B538-E962E8A211D8}"/>
    <cellStyle name="20% - Énfasis2 9 3 2 4" xfId="33947" xr:uid="{40992ECC-7CEF-4511-92B5-DE1C2406EB7E}"/>
    <cellStyle name="20% - Énfasis2 9 3 2 5" xfId="39811" xr:uid="{DACFD768-0B55-4EA2-9500-7F0BDE929973}"/>
    <cellStyle name="20% - Énfasis2 9 3 3" xfId="19446" xr:uid="{B7B6CEEC-ED0A-4880-BEA2-6673CD6123D5}"/>
    <cellStyle name="20% - Énfasis2 9 3 4" xfId="25216" xr:uid="{32C32940-41A2-49B5-8719-AB1759822D7B}"/>
    <cellStyle name="20% - Énfasis2 9 3 5" xfId="31090" xr:uid="{73FB3A5A-4D60-4164-B3D1-B3C0F4695BD1}"/>
    <cellStyle name="20% - Énfasis2 9 3 6" xfId="36969" xr:uid="{5093CC53-0AC5-4379-8261-7219C368D65A}"/>
    <cellStyle name="20% - Énfasis2 9 4" xfId="6861" xr:uid="{2115C3B8-2F9D-4199-A571-5942B3C7C3BA}"/>
    <cellStyle name="20% - Énfasis2 9 4 2" xfId="21283" xr:uid="{001A79A5-1B8D-4C68-BD0E-58CF31990BA0}"/>
    <cellStyle name="20% - Énfasis2 9 4 3" xfId="27099" xr:uid="{359428DC-4FCF-4334-A9A0-E42CBD91A798}"/>
    <cellStyle name="20% - Énfasis2 9 4 4" xfId="32976" xr:uid="{563CF9A9-7083-409E-A488-66CF4888371F}"/>
    <cellStyle name="20% - Énfasis2 9 4 5" xfId="38840" xr:uid="{24F1AD35-EEDC-48E8-B64B-11E80C1D6FE4}"/>
    <cellStyle name="20% - Énfasis2 9 5" xfId="18537" xr:uid="{54F716E5-B9E8-4BE2-8763-277F976D6D86}"/>
    <cellStyle name="20% - Énfasis2 9 6" xfId="24247" xr:uid="{973B905A-96A4-4AAF-80BE-2D51CACE2CDB}"/>
    <cellStyle name="20% - Énfasis2 9 7" xfId="30125" xr:uid="{33CF34E1-B2F9-4D35-939D-584B8211D1DB}"/>
    <cellStyle name="20% - Énfasis2 9 8" xfId="36004" xr:uid="{A8C61D6B-05F3-4EB6-A2BA-0545C87B0C40}"/>
    <cellStyle name="20% - Énfasis3" xfId="27" builtinId="38" customBuiltin="1"/>
    <cellStyle name="20% - Énfasis3 10" xfId="4206" xr:uid="{43A1EC02-BDF3-4B6B-9379-558209CA3FB8}"/>
    <cellStyle name="20% - Énfasis3 10 2" xfId="4684" xr:uid="{626FF7C0-E62F-428C-BC00-16B77645399C}"/>
    <cellStyle name="20% - Énfasis3 10 2 2" xfId="5652" xr:uid="{01F7382A-DE24-457E-B025-0D83A21C8DA4}"/>
    <cellStyle name="20% - Énfasis3 10 2 2 2" xfId="8520" xr:uid="{8C5C9D70-F748-42CF-8AD5-95F727F218AA}"/>
    <cellStyle name="20% - Énfasis3 10 2 2 2 2" xfId="22894" xr:uid="{8D24E752-ABF4-4D32-A385-073364F90A71}"/>
    <cellStyle name="20% - Énfasis3 10 2 2 2 3" xfId="28753" xr:uid="{CF8E5827-23C7-48CE-AFF9-43A9D88A80B8}"/>
    <cellStyle name="20% - Énfasis3 10 2 2 2 4" xfId="34635" xr:uid="{6E3D47EF-9FBC-462F-89AE-37823001A7FA}"/>
    <cellStyle name="20% - Énfasis3 10 2 2 2 5" xfId="40499" xr:uid="{E182C0FA-5FB3-4D5D-AECE-FDC0D030EA22}"/>
    <cellStyle name="20% - Énfasis3 10 2 2 3" xfId="20111" xr:uid="{F8F2741A-720E-466C-92EE-69149F285C2A}"/>
    <cellStyle name="20% - Énfasis3 10 2 2 4" xfId="25903" xr:uid="{EE7EFD3B-2ED2-4D4F-AC14-EA8B0731CE59}"/>
    <cellStyle name="20% - Énfasis3 10 2 2 5" xfId="31778" xr:uid="{2315F192-762F-439E-AD19-5D9405123914}"/>
    <cellStyle name="20% - Énfasis3 10 2 2 6" xfId="37647" xr:uid="{76311FDD-9FAE-42D4-A409-1CF1945D43FE}"/>
    <cellStyle name="20% - Énfasis3 10 2 3" xfId="7548" xr:uid="{5DEAF55E-9827-40B2-ADFB-9D4CF3BF9D74}"/>
    <cellStyle name="20% - Énfasis3 10 2 3 2" xfId="21946" xr:uid="{4CCB7C10-2AEB-47C7-9A35-51F462273BE8}"/>
    <cellStyle name="20% - Énfasis3 10 2 3 3" xfId="27782" xr:uid="{CFA580AA-976E-4EE5-966F-42F417595E19}"/>
    <cellStyle name="20% - Énfasis3 10 2 3 4" xfId="33664" xr:uid="{A7B28D5F-3FA5-45F3-8708-175494EF46C7}"/>
    <cellStyle name="20% - Énfasis3 10 2 3 5" xfId="39528" xr:uid="{8E924846-5006-45B6-B960-891AA977E9F3}"/>
    <cellStyle name="20% - Énfasis3 10 2 4" xfId="19177" xr:uid="{B4422D43-9709-4EBA-84E5-554250554090}"/>
    <cellStyle name="20% - Énfasis3 10 2 5" xfId="24933" xr:uid="{5BE4952E-FF5D-4CC7-B4A5-BF4C91B98A1E}"/>
    <cellStyle name="20% - Énfasis3 10 2 6" xfId="30808" xr:uid="{71127D57-CB8B-4330-AF66-E46F74674E09}"/>
    <cellStyle name="20% - Énfasis3 10 2 7" xfId="36690" xr:uid="{941E0C55-F680-41D3-BF9A-C1D2B48F4A75}"/>
    <cellStyle name="20% - Énfasis3 10 3" xfId="5168" xr:uid="{EA884C51-BFCD-417D-B7CA-4001178FD4EB}"/>
    <cellStyle name="20% - Énfasis3 10 3 2" xfId="8035" xr:uid="{A570B9A2-A6A7-4526-BBD9-B688DB76715B}"/>
    <cellStyle name="20% - Énfasis3 10 3 2 2" xfId="22418" xr:uid="{55AC2AAB-5814-49FC-A8A3-0B1635016593}"/>
    <cellStyle name="20% - Énfasis3 10 3 2 3" xfId="28268" xr:uid="{0C2A2931-8287-404E-838F-9806D2394B46}"/>
    <cellStyle name="20% - Énfasis3 10 3 2 4" xfId="34150" xr:uid="{9C87C5A7-D1AD-4967-8E9F-321B9B7D5584}"/>
    <cellStyle name="20% - Énfasis3 10 3 2 5" xfId="40014" xr:uid="{F271EDC3-8C10-46F1-9AA0-F2838C340FFB}"/>
    <cellStyle name="20% - Énfasis3 10 3 3" xfId="19641" xr:uid="{2AB2BF05-DC8C-4330-8CBA-D9A804FE0990}"/>
    <cellStyle name="20% - Énfasis3 10 3 4" xfId="25419" xr:uid="{8781681E-A176-4369-B6D6-1A394C310174}"/>
    <cellStyle name="20% - Énfasis3 10 3 5" xfId="31293" xr:uid="{B127C8D5-8893-4617-928B-012C712EFE99}"/>
    <cellStyle name="20% - Énfasis3 10 3 6" xfId="37170" xr:uid="{7EDE634D-6A9D-4094-9BB3-149E50DD5E5C}"/>
    <cellStyle name="20% - Énfasis3 10 4" xfId="7063" xr:uid="{F97CFDB9-4E4D-41B1-92AE-ED50DE0C3D2C}"/>
    <cellStyle name="20% - Énfasis3 10 4 2" xfId="21478" xr:uid="{4CE15025-0AFD-40D6-B8B7-50280B115FB7}"/>
    <cellStyle name="20% - Énfasis3 10 4 3" xfId="27300" xr:uid="{13DA6992-76FF-4F5F-8057-90F7BF864989}"/>
    <cellStyle name="20% - Énfasis3 10 4 4" xfId="33179" xr:uid="{50CCBE0E-0DC9-4217-AF78-C36047DD6029}"/>
    <cellStyle name="20% - Énfasis3 10 4 5" xfId="39043" xr:uid="{9691E8D6-9CD0-4338-A2DF-99B0EEF2702F}"/>
    <cellStyle name="20% - Énfasis3 10 5" xfId="18734" xr:uid="{ADFFA4AE-89D8-49DD-AA76-2B8274014883}"/>
    <cellStyle name="20% - Énfasis3 10 6" xfId="24450" xr:uid="{08B6C790-BDCC-4690-B8D4-5B31192C3ECF}"/>
    <cellStyle name="20% - Énfasis3 10 7" xfId="30326" xr:uid="{1D734FB8-1A14-492D-B00D-36194BF7D6A0}"/>
    <cellStyle name="20% - Énfasis3 10 8" xfId="36207" xr:uid="{6A2A27E5-1BDE-49B8-9296-F76013CC8311}"/>
    <cellStyle name="20% - Énfasis3 11" xfId="4241" xr:uid="{AA3F1385-B6D1-4C85-A3C7-A50D9B78E0D4}"/>
    <cellStyle name="20% - Énfasis3 11 2" xfId="4720" xr:uid="{0E3243CA-2F02-4B36-8B43-CBC5639EB7DF}"/>
    <cellStyle name="20% - Énfasis3 11 2 2" xfId="5688" xr:uid="{2FC8DE13-CA2B-4D57-81D3-A0E53DB939BF}"/>
    <cellStyle name="20% - Énfasis3 11 2 2 2" xfId="8556" xr:uid="{40AD073A-8926-43C3-8B10-98B527B213E2}"/>
    <cellStyle name="20% - Énfasis3 11 2 2 2 2" xfId="22928" xr:uid="{C9B85121-FD5D-4ABA-9714-BD8CFE45C677}"/>
    <cellStyle name="20% - Énfasis3 11 2 2 2 3" xfId="28789" xr:uid="{CE0A03E7-275C-41CA-BD74-C6F83DB44B76}"/>
    <cellStyle name="20% - Énfasis3 11 2 2 2 4" xfId="34671" xr:uid="{95FACCCD-CEB9-4F35-B721-BA5090FB7805}"/>
    <cellStyle name="20% - Énfasis3 11 2 2 2 5" xfId="40535" xr:uid="{0130EB50-CBBF-445E-96E5-53E5E06AB43A}"/>
    <cellStyle name="20% - Énfasis3 11 2 2 3" xfId="20145" xr:uid="{80F0ED4D-A2DA-4877-B656-7D8678BBE793}"/>
    <cellStyle name="20% - Énfasis3 11 2 2 4" xfId="25939" xr:uid="{4675A70D-57EC-448F-83D0-578C72881065}"/>
    <cellStyle name="20% - Énfasis3 11 2 2 5" xfId="31814" xr:uid="{BDFD77CF-4AFE-4C0F-AA18-7A512FF6188D}"/>
    <cellStyle name="20% - Énfasis3 11 2 2 6" xfId="37681" xr:uid="{7CA66C44-F7FC-4E97-B316-D0A3F4288AFE}"/>
    <cellStyle name="20% - Énfasis3 11 2 3" xfId="7584" xr:uid="{0B4D84C8-B2B8-4040-A6C5-FE707C9D7A36}"/>
    <cellStyle name="20% - Énfasis3 11 2 3 2" xfId="21978" xr:uid="{D4D9A12D-82F8-4834-AFB2-1A6D56F642D1}"/>
    <cellStyle name="20% - Énfasis3 11 2 3 3" xfId="27818" xr:uid="{FB4F234C-3F1E-4A18-A67F-A07403FA7177}"/>
    <cellStyle name="20% - Énfasis3 11 2 3 4" xfId="33700" xr:uid="{5E95E1B7-9119-4056-8474-90985D069756}"/>
    <cellStyle name="20% - Énfasis3 11 2 3 5" xfId="39564" xr:uid="{BD540F9D-3040-4B43-B809-749B187E3247}"/>
    <cellStyle name="20% - Énfasis3 11 2 4" xfId="19210" xr:uid="{02D432B5-EE21-4898-BC05-BDA348686AB7}"/>
    <cellStyle name="20% - Énfasis3 11 2 5" xfId="24969" xr:uid="{76D97781-C433-49B0-B043-E3C49CE451B3}"/>
    <cellStyle name="20% - Énfasis3 11 2 6" xfId="30843" xr:uid="{32C0FA76-5A4C-4873-8D10-38DF34FBB32B}"/>
    <cellStyle name="20% - Énfasis3 11 2 7" xfId="36724" xr:uid="{45EBC043-84D1-43A8-A094-064CD0A339AB}"/>
    <cellStyle name="20% - Énfasis3 11 3" xfId="5204" xr:uid="{DCA70283-A716-480D-AA8D-EC4D0D6D4661}"/>
    <cellStyle name="20% - Énfasis3 11 3 2" xfId="8071" xr:uid="{AF9B6C92-219B-419C-94BA-4D3165C03B6A}"/>
    <cellStyle name="20% - Énfasis3 11 3 2 2" xfId="22449" xr:uid="{93AEBD3B-7FFA-4027-B540-FDF5AB3D0352}"/>
    <cellStyle name="20% - Énfasis3 11 3 2 3" xfId="28304" xr:uid="{29AFD510-DC0E-4BC4-ABCE-801108BC9C6A}"/>
    <cellStyle name="20% - Énfasis3 11 3 2 4" xfId="34186" xr:uid="{81F21C07-2558-4B0B-A40D-C01A22D264D9}"/>
    <cellStyle name="20% - Énfasis3 11 3 2 5" xfId="40050" xr:uid="{354BEE77-2EFC-4BC6-98C7-780F02832509}"/>
    <cellStyle name="20% - Énfasis3 11 3 3" xfId="19675" xr:uid="{49E2782D-BAF5-448A-BBCC-8B6217045537}"/>
    <cellStyle name="20% - Énfasis3 11 3 4" xfId="25455" xr:uid="{E2A9B010-3415-4AF4-BA03-5CCFCEB97A43}"/>
    <cellStyle name="20% - Énfasis3 11 3 5" xfId="31329" xr:uid="{38AC907E-616A-4CDF-A48F-2A5213BD88E0}"/>
    <cellStyle name="20% - Énfasis3 11 3 6" xfId="37202" xr:uid="{02847586-ECAA-4164-ABDB-5A5A878DC66A}"/>
    <cellStyle name="20% - Énfasis3 11 4" xfId="7099" xr:uid="{9CB20F46-4A0F-46FB-A556-5EC5391A81C9}"/>
    <cellStyle name="20% - Énfasis3 11 4 2" xfId="21511" xr:uid="{9335B40E-B35F-410B-93E6-DB1B2F9716A5}"/>
    <cellStyle name="20% - Énfasis3 11 4 3" xfId="27334" xr:uid="{E60020B5-46D7-4B75-BBE5-7078EC4F2FC4}"/>
    <cellStyle name="20% - Énfasis3 11 4 4" xfId="33215" xr:uid="{4035E7B4-EDF8-4D09-A0F9-C44C576145D0}"/>
    <cellStyle name="20% - Énfasis3 11 4 5" xfId="39079" xr:uid="{2B772FED-9AA1-4B27-9CA6-AB40B854F357}"/>
    <cellStyle name="20% - Énfasis3 11 5" xfId="18763" xr:uid="{AB7CF82B-4A42-444C-ACC6-0A7C6641DBC4}"/>
    <cellStyle name="20% - Énfasis3 11 6" xfId="24484" xr:uid="{78A0C0E8-11B4-4F87-9D12-BB665EE42897}"/>
    <cellStyle name="20% - Énfasis3 11 7" xfId="30362" xr:uid="{E08018B3-5B07-43AA-8DBF-88AEA44A55DB}"/>
    <cellStyle name="20% - Énfasis3 11 8" xfId="36243" xr:uid="{799071DF-B1A2-48AA-AE0A-91A4DB0B9F35}"/>
    <cellStyle name="20% - Énfasis3 12" xfId="4291" xr:uid="{CF9715F4-5E95-4176-9C04-21E0BCE1819B}"/>
    <cellStyle name="20% - Énfasis3 12 2" xfId="5257" xr:uid="{AD9009B4-4326-49E0-AA7A-3928D21FDDDB}"/>
    <cellStyle name="20% - Énfasis3 12 2 2" xfId="8124" xr:uid="{1B073009-8006-448E-8C70-C41D5EE05D70}"/>
    <cellStyle name="20% - Énfasis3 12 2 2 2" xfId="22501" xr:uid="{A1FAC101-CFF7-4F1F-8FA7-E7E237D21B15}"/>
    <cellStyle name="20% - Énfasis3 12 2 2 3" xfId="28357" xr:uid="{60977E13-FCB7-4FFA-B4F9-BC1937755594}"/>
    <cellStyle name="20% - Énfasis3 12 2 2 4" xfId="34239" xr:uid="{7C5149BC-288B-49C8-8338-853D789B2A0C}"/>
    <cellStyle name="20% - Énfasis3 12 2 2 5" xfId="40103" xr:uid="{7010AB18-489D-4F05-B395-638E09195623}"/>
    <cellStyle name="20% - Énfasis3 12 2 3" xfId="19727" xr:uid="{8ACA10E8-CE5B-408C-8180-FC48E6910DA2}"/>
    <cellStyle name="20% - Énfasis3 12 2 4" xfId="25508" xr:uid="{3C32A2D9-FC3E-4AC4-A444-16AD0D3B9520}"/>
    <cellStyle name="20% - Énfasis3 12 2 5" xfId="31382" xr:uid="{55010F21-5F33-45C2-B12F-76B48BEDDFE1}"/>
    <cellStyle name="20% - Énfasis3 12 2 6" xfId="37254" xr:uid="{013470D9-47EB-485B-BD6D-8655B9B0B952}"/>
    <cellStyle name="20% - Énfasis3 12 3" xfId="7152" xr:uid="{130EA644-8BF7-43BB-A8F3-9ECCF81A165B}"/>
    <cellStyle name="20% - Énfasis3 12 3 2" xfId="21563" xr:uid="{F6D7577F-00B8-4DB0-B74B-31C9FBF3C7D9}"/>
    <cellStyle name="20% - Énfasis3 12 3 3" xfId="27386" xr:uid="{B126D61D-9293-415A-9003-C953072B6578}"/>
    <cellStyle name="20% - Énfasis3 12 3 4" xfId="33268" xr:uid="{4D23CB7E-CCA9-48C5-8355-9434F51049CA}"/>
    <cellStyle name="20% - Énfasis3 12 3 5" xfId="39132" xr:uid="{8C646A08-EB2C-49E3-8501-59C90AA0F9A0}"/>
    <cellStyle name="20% - Énfasis3 12 4" xfId="18799" xr:uid="{94469293-CF42-44E8-821D-606E5438AA67}"/>
    <cellStyle name="20% - Énfasis3 12 5" xfId="24537" xr:uid="{C21CB60F-13D1-4B6B-AF87-BD40E79B0325}"/>
    <cellStyle name="20% - Énfasis3 12 6" xfId="30416" xr:uid="{40B48036-4898-48B7-802D-4C178045D64C}"/>
    <cellStyle name="20% - Énfasis3 12 7" xfId="36297" xr:uid="{AE853755-2A96-472F-A8F1-8253D8E9600A}"/>
    <cellStyle name="20% - Énfasis3 13" xfId="4776" xr:uid="{E5EF46FC-9356-4747-A662-9D6987D3F681}"/>
    <cellStyle name="20% - Énfasis3 13 2" xfId="7639" xr:uid="{17E59BBC-07C4-4860-9150-14CFE85113CB}"/>
    <cellStyle name="20% - Énfasis3 13 2 2" xfId="22032" xr:uid="{F278B7C3-EB56-4758-8ED9-A03E942F3AEC}"/>
    <cellStyle name="20% - Énfasis3 13 2 3" xfId="27873" xr:uid="{17E36974-5019-43B4-8ACA-DECEC8243E57}"/>
    <cellStyle name="20% - Énfasis3 13 2 4" xfId="33755" xr:uid="{C3D7E22A-0EF5-4833-AB87-0C84AB1FD4C5}"/>
    <cellStyle name="20% - Énfasis3 13 2 5" xfId="39619" xr:uid="{233ACDB8-5E05-45B4-9341-DEB52E9D1BF9}"/>
    <cellStyle name="20% - Énfasis3 13 3" xfId="19258" xr:uid="{E5F7BAFE-0348-40ED-BCB5-74AC9CAE37EA}"/>
    <cellStyle name="20% - Énfasis3 13 4" xfId="25024" xr:uid="{CB0B065C-5F45-448A-A183-13670D1D28BD}"/>
    <cellStyle name="20% - Énfasis3 13 5" xfId="30898" xr:uid="{F4ABBD3D-0AF5-4F6D-B6CF-C3DEB490278F}"/>
    <cellStyle name="20% - Énfasis3 13 6" xfId="36778" xr:uid="{C90522D8-E184-4E44-A741-53F63EB47287}"/>
    <cellStyle name="20% - Énfasis3 14" xfId="5742" xr:uid="{2C92FCCA-B3A2-4161-8CE1-0C36888F88E0}"/>
    <cellStyle name="20% - Énfasis3 14 2" xfId="8611" xr:uid="{ABC6CB83-AF00-4317-B2BE-61B68059F107}"/>
    <cellStyle name="20% - Énfasis3 14 2 2" xfId="22982" xr:uid="{67AC7BBF-2664-44DA-9FF7-4A93D69B4B40}"/>
    <cellStyle name="20% - Énfasis3 14 2 3" xfId="28844" xr:uid="{37F10232-D843-446B-AA9C-8CDB1D0A6C71}"/>
    <cellStyle name="20% - Énfasis3 14 2 4" xfId="34726" xr:uid="{E04D4609-A1A8-4072-B0A4-3F6BE7DDDDB6}"/>
    <cellStyle name="20% - Énfasis3 14 2 5" xfId="40590" xr:uid="{2BAEE1BC-534E-4DAB-A3E6-C528162B65CA}"/>
    <cellStyle name="20% - Énfasis3 14 3" xfId="20200" xr:uid="{9C2046C6-4F3A-4648-90AD-E78B51E592EC}"/>
    <cellStyle name="20% - Énfasis3 14 4" xfId="25994" xr:uid="{029D77ED-160D-4EFA-B893-282A66F26400}"/>
    <cellStyle name="20% - Énfasis3 14 5" xfId="31869" xr:uid="{16B19EB5-50B8-4304-B01F-419A7C23D3BB}"/>
    <cellStyle name="20% - Énfasis3 14 6" xfId="37735" xr:uid="{E2CC4EA6-9284-4FE4-9FF7-4C11D28E7E3F}"/>
    <cellStyle name="20% - Énfasis3 15" xfId="5762" xr:uid="{0B010576-02B1-4692-8445-4AF1FBAC0351}"/>
    <cellStyle name="20% - Énfasis3 15 2" xfId="8631" xr:uid="{0F4D8878-0DA7-423C-910B-6762188D061F}"/>
    <cellStyle name="20% - Énfasis3 15 2 2" xfId="23002" xr:uid="{AEC39762-3031-4D7B-ADF0-191E02A9071B}"/>
    <cellStyle name="20% - Énfasis3 15 2 3" xfId="28864" xr:uid="{715EF7D7-64FE-4A98-A152-4FE99D86A3E0}"/>
    <cellStyle name="20% - Énfasis3 15 2 4" xfId="34746" xr:uid="{6B1EA7FD-A42E-4271-8F08-6A8604F85C0C}"/>
    <cellStyle name="20% - Énfasis3 15 2 5" xfId="40610" xr:uid="{A4F5A789-4870-4671-8058-8E12B74B7382}"/>
    <cellStyle name="20% - Énfasis3 15 3" xfId="20219" xr:uid="{E9390F94-DB61-4DF4-A816-5BF602188F1C}"/>
    <cellStyle name="20% - Énfasis3 15 4" xfId="26014" xr:uid="{606F1936-158E-4431-A3EB-BEE73D5A08BA}"/>
    <cellStyle name="20% - Énfasis3 15 5" xfId="31889" xr:uid="{180E1764-9676-41AC-9823-5F790E9CD9DE}"/>
    <cellStyle name="20% - Énfasis3 15 6" xfId="37755" xr:uid="{CDBC7916-1E28-4DC7-8749-4C0F211061C7}"/>
    <cellStyle name="20% - Énfasis3 16" xfId="5782" xr:uid="{6F9773DE-FBF0-4061-AAB8-AAB7777BF995}"/>
    <cellStyle name="20% - Énfasis3 16 2" xfId="8651" xr:uid="{A7C7A802-699E-4A4C-8CED-79DCBBF75A57}"/>
    <cellStyle name="20% - Énfasis3 16 2 2" xfId="23022" xr:uid="{2858F233-9CD2-49AA-A0F0-A0F0094EFD4F}"/>
    <cellStyle name="20% - Énfasis3 16 2 3" xfId="28884" xr:uid="{04B616FF-6D39-4ABB-B5AC-043663E8CA51}"/>
    <cellStyle name="20% - Énfasis3 16 2 4" xfId="34766" xr:uid="{3AAB0E86-2B8E-4805-816A-2ECD08A7F91B}"/>
    <cellStyle name="20% - Énfasis3 16 2 5" xfId="40630" xr:uid="{8426B313-DE38-4531-BC9A-5EF67062BBBC}"/>
    <cellStyle name="20% - Énfasis3 16 3" xfId="20237" xr:uid="{A7D43173-5C15-40C6-9FE4-9428F72D716B}"/>
    <cellStyle name="20% - Énfasis3 16 4" xfId="26034" xr:uid="{A288ECB0-CDA6-442A-87C9-180785888A06}"/>
    <cellStyle name="20% - Énfasis3 16 5" xfId="31909" xr:uid="{23E405BA-396B-4B4F-93EB-4342AF288882}"/>
    <cellStyle name="20% - Énfasis3 16 6" xfId="37775" xr:uid="{B7B108B9-6D50-4154-86B9-A4D1283C542C}"/>
    <cellStyle name="20% - Énfasis3 17" xfId="5981" xr:uid="{C70BB1EB-8D0E-4CA6-9F60-9B23F20EEEDF}"/>
    <cellStyle name="20% - Énfasis3 17 2" xfId="8850" xr:uid="{56207B97-CFF0-4588-9512-813BDC1678D2}"/>
    <cellStyle name="20% - Énfasis3 17 2 2" xfId="23214" xr:uid="{B6E73ADB-1C68-408F-B6D6-2388E4B63281}"/>
    <cellStyle name="20% - Énfasis3 17 2 3" xfId="29081" xr:uid="{B54E1F65-D65F-4E4F-AAC7-6F818AFA2A59}"/>
    <cellStyle name="20% - Énfasis3 17 2 4" xfId="34963" xr:uid="{50670A0A-BBFA-4CC7-A496-6102DA781197}"/>
    <cellStyle name="20% - Énfasis3 17 2 5" xfId="40827" xr:uid="{18E7D9A9-BA74-49AD-8E17-0B690BDBA4A8}"/>
    <cellStyle name="20% - Énfasis3 17 3" xfId="20429" xr:uid="{7F170160-97C1-43F3-9845-21E78ED9B54A}"/>
    <cellStyle name="20% - Énfasis3 17 4" xfId="26231" xr:uid="{75A410BC-22E1-439E-B713-C4951A2CD7D9}"/>
    <cellStyle name="20% - Énfasis3 17 5" xfId="32106" xr:uid="{C0AA466C-9F6C-41B1-A4B3-D968189DD7F3}"/>
    <cellStyle name="20% - Énfasis3 17 6" xfId="37971" xr:uid="{5D6FCE2B-913E-4E15-A70E-E0DC514DAB26}"/>
    <cellStyle name="20% - Énfasis3 18" xfId="6001" xr:uid="{36D59AFA-976A-4549-A70D-C842F69FB666}"/>
    <cellStyle name="20% - Énfasis3 18 2" xfId="8870" xr:uid="{8D701B33-F3B8-4087-BB9E-4CFD82451E7B}"/>
    <cellStyle name="20% - Énfasis3 18 2 2" xfId="23234" xr:uid="{5E3CE1CE-D811-42D5-97FE-5CBACE69A1C1}"/>
    <cellStyle name="20% - Énfasis3 18 2 3" xfId="29101" xr:uid="{803DE985-2FD4-45F4-895F-39C2B6621A06}"/>
    <cellStyle name="20% - Énfasis3 18 2 4" xfId="34983" xr:uid="{BF08502A-1F09-4F6C-9FDB-ECE0ECD878F0}"/>
    <cellStyle name="20% - Énfasis3 18 2 5" xfId="40847" xr:uid="{063DB68D-AA21-4213-BEA3-BA3EBD2148C5}"/>
    <cellStyle name="20% - Énfasis3 18 3" xfId="20449" xr:uid="{4B8DB5CA-B5CE-4B31-8737-43C176B737A6}"/>
    <cellStyle name="20% - Énfasis3 18 4" xfId="26251" xr:uid="{E3B3FF4B-1F8D-4FAE-9681-B0AA93B29C91}"/>
    <cellStyle name="20% - Énfasis3 18 5" xfId="32126" xr:uid="{A9804459-9307-4F78-BD1C-E04B17264F67}"/>
    <cellStyle name="20% - Énfasis3 18 6" xfId="37991" xr:uid="{249221E1-44FF-4ACC-849F-F3E3FDB3579A}"/>
    <cellStyle name="20% - Énfasis3 19" xfId="6021" xr:uid="{33376919-90C3-4FB8-84E7-6BC52081EC5D}"/>
    <cellStyle name="20% - Énfasis3 19 2" xfId="8890" xr:uid="{1F1B3BCA-9BFD-4E56-81B8-95F6B547FBFB}"/>
    <cellStyle name="20% - Énfasis3 19 2 2" xfId="23254" xr:uid="{5EE0281E-7AE7-4CA7-8AA7-017CFD0CFF8F}"/>
    <cellStyle name="20% - Énfasis3 19 2 3" xfId="29121" xr:uid="{99FB9019-E0F7-4FA0-8377-757F7CD8EEF7}"/>
    <cellStyle name="20% - Énfasis3 19 2 4" xfId="35003" xr:uid="{3E31CD93-6DB3-4BF2-88ED-538A25DCE2CF}"/>
    <cellStyle name="20% - Énfasis3 19 2 5" xfId="40867" xr:uid="{90946C5F-F8C7-4F19-AC98-74F5EF7EFB0F}"/>
    <cellStyle name="20% - Énfasis3 19 3" xfId="20469" xr:uid="{C5A59111-0560-4F24-9FA3-456B4BE69302}"/>
    <cellStyle name="20% - Énfasis3 19 4" xfId="26271" xr:uid="{89BF9E3A-96AE-4802-9449-0C721E638174}"/>
    <cellStyle name="20% - Énfasis3 19 5" xfId="32146" xr:uid="{B91B19AC-3E51-412E-93CC-1647E8927219}"/>
    <cellStyle name="20% - Énfasis3 19 6" xfId="38011" xr:uid="{D00EB643-DA29-4B98-BB79-303A718F9891}"/>
    <cellStyle name="20% - Énfasis3 2" xfId="3844" xr:uid="{0C58E2B4-D29E-414E-8722-A505785D4BD5}"/>
    <cellStyle name="20% - Énfasis3 2 10" xfId="35826" xr:uid="{F53F1F08-B6D5-4117-AC24-B3D704096F07}"/>
    <cellStyle name="20% - Énfasis3 2 2" xfId="4041" xr:uid="{7F64B00A-681B-4752-91D2-040375AA9133}"/>
    <cellStyle name="20% - Énfasis3 2 2 2" xfId="4515" xr:uid="{5B85D874-97C2-4345-9583-D7B5EAFB68D5}"/>
    <cellStyle name="20% - Énfasis3 2 2 2 2" xfId="5483" xr:uid="{33C3536B-2552-4D17-93D3-935B6FCFDB84}"/>
    <cellStyle name="20% - Énfasis3 2 2 2 2 2" xfId="8350" xr:uid="{5C66EE23-BC8F-47BD-8D57-774DA3F70E82}"/>
    <cellStyle name="20% - Énfasis3 2 2 2 2 2 2" xfId="22725" xr:uid="{B1525A78-359C-4FB6-85A5-E63D187AF26F}"/>
    <cellStyle name="20% - Énfasis3 2 2 2 2 2 3" xfId="28583" xr:uid="{3F357FB3-25B4-47F6-BD4A-D7FACE7A3F9A}"/>
    <cellStyle name="20% - Énfasis3 2 2 2 2 2 4" xfId="34465" xr:uid="{817F6BE4-6555-4D7E-A5DF-38BEE209590A}"/>
    <cellStyle name="20% - Énfasis3 2 2 2 2 2 5" xfId="40329" xr:uid="{25C0C0A9-4D55-47AC-83F7-0A69252D0004}"/>
    <cellStyle name="20% - Énfasis3 2 2 2 2 3" xfId="19944" xr:uid="{6D028B48-8F5B-49BF-AE21-7332FB565670}"/>
    <cellStyle name="20% - Énfasis3 2 2 2 2 4" xfId="25734" xr:uid="{621D2396-A502-4C79-83AB-0190A8B76836}"/>
    <cellStyle name="20% - Énfasis3 2 2 2 2 5" xfId="31608" xr:uid="{8B946C16-448B-4CDB-BCC7-3BA7DB77325B}"/>
    <cellStyle name="20% - Énfasis3 2 2 2 2 6" xfId="37478" xr:uid="{F0026D7B-D279-4F32-BA90-69569DCC353F}"/>
    <cellStyle name="20% - Énfasis3 2 2 2 3" xfId="7378" xr:uid="{6EE06D9F-B182-4348-B26A-0A1E4CBBCF91}"/>
    <cellStyle name="20% - Énfasis3 2 2 2 3 2" xfId="21780" xr:uid="{98D32BC8-624B-4610-8AC9-77B2E7DB6214}"/>
    <cellStyle name="20% - Énfasis3 2 2 2 3 3" xfId="27612" xr:uid="{77BF2776-6693-4B0E-8C9B-E56E62E4489F}"/>
    <cellStyle name="20% - Énfasis3 2 2 2 3 4" xfId="33494" xr:uid="{BFCD21AA-7936-4492-A699-DFE85AE02EAE}"/>
    <cellStyle name="20% - Énfasis3 2 2 2 3 5" xfId="39358" xr:uid="{03A7C26D-ED7D-40A3-A35F-729838DA3197}"/>
    <cellStyle name="20% - Énfasis3 2 2 2 4" xfId="19014" xr:uid="{264C7C49-A8DA-44B0-8CE2-610D193AC676}"/>
    <cellStyle name="20% - Énfasis3 2 2 2 5" xfId="24763" xr:uid="{792FF77E-C609-4B8B-BD76-4CBF771037C4}"/>
    <cellStyle name="20% - Énfasis3 2 2 2 6" xfId="30640" xr:uid="{3B9B47E2-FFAE-4F60-B54D-292191AB4D5D}"/>
    <cellStyle name="20% - Énfasis3 2 2 2 7" xfId="36521" xr:uid="{B8556BCF-2066-4083-B339-F5B3D47198A1}"/>
    <cellStyle name="20% - Énfasis3 2 2 3" xfId="4998" xr:uid="{629FEE1D-9C59-4E80-9635-878076364F31}"/>
    <cellStyle name="20% - Énfasis3 2 2 3 2" xfId="7865" xr:uid="{6A45DD13-78F8-4ACD-BCB7-9B98F48BABE4}"/>
    <cellStyle name="20% - Énfasis3 2 2 3 2 2" xfId="22250" xr:uid="{0BEBE3FA-5702-4340-88E3-6DDD3E116C87}"/>
    <cellStyle name="20% - Énfasis3 2 2 3 2 3" xfId="28098" xr:uid="{6E173783-6B95-4D3C-BC5B-E15748B8498F}"/>
    <cellStyle name="20% - Énfasis3 2 2 3 2 4" xfId="33980" xr:uid="{E25CEE41-1B8F-4D90-B8E9-5E69AD66310E}"/>
    <cellStyle name="20% - Énfasis3 2 2 3 2 5" xfId="39844" xr:uid="{71D27289-49F1-40EC-ABB9-EC7610A80638}"/>
    <cellStyle name="20% - Énfasis3 2 2 3 3" xfId="19477" xr:uid="{B39C9DBF-22FE-4219-97D7-342E4B2ED698}"/>
    <cellStyle name="20% - Énfasis3 2 2 3 4" xfId="25249" xr:uid="{75FA67C9-C45C-437C-B968-80A2EF54C3EE}"/>
    <cellStyle name="20% - Énfasis3 2 2 3 5" xfId="31123" xr:uid="{650FCD2E-2D9F-49AA-B882-36EE944FA987}"/>
    <cellStyle name="20% - Énfasis3 2 2 3 6" xfId="37001" xr:uid="{1AB5CB6E-18F0-4796-8D85-E8AF21783C1B}"/>
    <cellStyle name="20% - Énfasis3 2 2 4" xfId="6893" xr:uid="{49C10681-2901-471D-A077-B9DA9F1BB7A6}"/>
    <cellStyle name="20% - Énfasis3 2 2 4 2" xfId="21314" xr:uid="{44BA083E-E28F-49FA-AB1A-504FB15B4673}"/>
    <cellStyle name="20% - Énfasis3 2 2 4 3" xfId="27131" xr:uid="{836D26F1-A560-4E5B-9FCD-7C3651CD8E32}"/>
    <cellStyle name="20% - Énfasis3 2 2 4 4" xfId="33009" xr:uid="{2D85158A-1FD8-4BF5-9173-7F0EF59B54BD}"/>
    <cellStyle name="20% - Énfasis3 2 2 4 5" xfId="38873" xr:uid="{54FC323F-9362-4A24-A54A-97CEC7FC7E17}"/>
    <cellStyle name="20% - Énfasis3 2 2 5" xfId="18568" xr:uid="{177ECE5F-EB88-4BAA-8628-5622B19A0AE8}"/>
    <cellStyle name="20% - Énfasis3 2 2 6" xfId="24280" xr:uid="{492615FB-898F-4BA8-A2EB-754E480C9293}"/>
    <cellStyle name="20% - Énfasis3 2 2 7" xfId="30158" xr:uid="{9226A87A-A780-431A-8625-51D69FEDE908}"/>
    <cellStyle name="20% - Énfasis3 2 2 8" xfId="36037" xr:uid="{05B03031-0AC4-429E-9583-9CB2A4CB8421}"/>
    <cellStyle name="20% - Énfasis3 2 3" xfId="4321" xr:uid="{EF267EDA-9E97-4065-8850-9775486C6560}"/>
    <cellStyle name="20% - Énfasis3 2 3 2" xfId="5287" xr:uid="{C260FE95-CE68-4C4E-B458-74BD671947D1}"/>
    <cellStyle name="20% - Énfasis3 2 3 2 2" xfId="8154" xr:uid="{7D2E09BA-06BD-40C3-8618-35076C8F82FB}"/>
    <cellStyle name="20% - Énfasis3 2 3 2 2 2" xfId="22530" xr:uid="{CD1D7171-CF2C-424C-B72E-17067ECB2C54}"/>
    <cellStyle name="20% - Énfasis3 2 3 2 2 3" xfId="28387" xr:uid="{72AFE62A-A542-4225-A369-2E3A5D218C45}"/>
    <cellStyle name="20% - Énfasis3 2 3 2 2 4" xfId="34269" xr:uid="{4CC477A7-406F-40FE-8C80-89547262E35D}"/>
    <cellStyle name="20% - Énfasis3 2 3 2 2 5" xfId="40133" xr:uid="{097DD867-D245-4BA4-AA46-DD7497B22D30}"/>
    <cellStyle name="20% - Énfasis3 2 3 2 3" xfId="19755" xr:uid="{687E5DBE-DF10-4BB7-BAC4-9597149F1690}"/>
    <cellStyle name="20% - Énfasis3 2 3 2 4" xfId="25538" xr:uid="{027A90FD-6AEA-4AB9-B258-895938B179C2}"/>
    <cellStyle name="20% - Énfasis3 2 3 2 5" xfId="31412" xr:uid="{06377AFE-6EAA-4A1D-8C77-5D5C95AA9524}"/>
    <cellStyle name="20% - Énfasis3 2 3 2 6" xfId="37283" xr:uid="{C4F6F362-D4B9-47A7-96FF-94AE77B18FB0}"/>
    <cellStyle name="20% - Énfasis3 2 3 3" xfId="7182" xr:uid="{1AAC1B6D-EB5B-4871-8426-CFFE1CC0BC27}"/>
    <cellStyle name="20% - Énfasis3 2 3 3 2" xfId="21589" xr:uid="{86CB190A-FCFF-452E-B7C2-3DBC6D1A3CFB}"/>
    <cellStyle name="20% - Énfasis3 2 3 3 3" xfId="27416" xr:uid="{A0A17641-23AC-4DF6-B7B8-537391F70FFC}"/>
    <cellStyle name="20% - Énfasis3 2 3 3 4" xfId="33298" xr:uid="{D270AFA5-8A19-4210-A0C0-D91429A151EE}"/>
    <cellStyle name="20% - Énfasis3 2 3 3 5" xfId="39162" xr:uid="{41800FEE-3F97-4375-9207-E12DBD94AB31}"/>
    <cellStyle name="20% - Énfasis3 2 3 4" xfId="18826" xr:uid="{2DBB5CA9-A5E9-465A-BD70-CBE73D802412}"/>
    <cellStyle name="20% - Énfasis3 2 3 5" xfId="24567" xr:uid="{CD4C9F2A-BF91-4278-B33F-C3943772B0FA}"/>
    <cellStyle name="20% - Énfasis3 2 3 6" xfId="30446" xr:uid="{B943ECDF-E13A-4420-8D5B-2778BBB9D9A1}"/>
    <cellStyle name="20% - Énfasis3 2 3 7" xfId="36326" xr:uid="{229771E5-6FCF-46DF-AD87-2AA01478F301}"/>
    <cellStyle name="20% - Énfasis3 2 4" xfId="4806" xr:uid="{14FA4C5E-E65E-4BDD-A16E-670BEB9C6744}"/>
    <cellStyle name="20% - Énfasis3 2 4 2" xfId="7669" xr:uid="{E8124BB3-28A4-477F-B8DF-35FC96AEC923}"/>
    <cellStyle name="20% - Énfasis3 2 4 2 2" xfId="22060" xr:uid="{4AC1232E-A902-4C46-9E7A-C3EF8E7D20A5}"/>
    <cellStyle name="20% - Énfasis3 2 4 2 3" xfId="27902" xr:uid="{30E5F78C-71CE-46FA-B1C4-6BB410143E36}"/>
    <cellStyle name="20% - Énfasis3 2 4 2 4" xfId="33784" xr:uid="{13FAC01D-F4F4-4B4D-9082-580999070D6D}"/>
    <cellStyle name="20% - Énfasis3 2 4 2 5" xfId="39648" xr:uid="{8FD547BE-0F6C-4EFE-A817-DB7C75C29542}"/>
    <cellStyle name="20% - Énfasis3 2 4 3" xfId="19285" xr:uid="{02AABAA5-7E5E-4D0D-BE1C-E4F0DD84E374}"/>
    <cellStyle name="20% - Énfasis3 2 4 4" xfId="25053" xr:uid="{690E4857-0E00-4EB7-9615-4E3DE587A96A}"/>
    <cellStyle name="20% - Énfasis3 2 4 5" xfId="30927" xr:uid="{C302C3C4-EC6B-4412-BC5B-BCF9AB469756}"/>
    <cellStyle name="20% - Énfasis3 2 4 6" xfId="36806" xr:uid="{E45C9C87-FCFF-41E5-AAEE-171B497434FE}"/>
    <cellStyle name="20% - Énfasis3 2 5" xfId="5812" xr:uid="{C7EA9CF0-63D3-4C3A-8AF7-FF8CD4BA0C12}"/>
    <cellStyle name="20% - Énfasis3 2 5 2" xfId="8681" xr:uid="{2985AE68-AEF4-4D38-98C1-00107C69F93D}"/>
    <cellStyle name="20% - Énfasis3 2 5 2 2" xfId="23049" xr:uid="{18307AA1-AF4B-45DB-A553-F6F3C8A408A7}"/>
    <cellStyle name="20% - Énfasis3 2 5 2 3" xfId="28913" xr:uid="{BFBE0F3D-55C4-4DD2-A7B5-A8B0C85EFFB4}"/>
    <cellStyle name="20% - Énfasis3 2 5 2 4" xfId="34795" xr:uid="{ED7B985C-31DE-46EA-8895-78D175DF398F}"/>
    <cellStyle name="20% - Énfasis3 2 5 2 5" xfId="40659" xr:uid="{CACFCC10-71FF-4B5B-B55F-2683909429F7}"/>
    <cellStyle name="20% - Énfasis3 2 5 3" xfId="20264" xr:uid="{5D6B7E5B-7E07-4306-A670-43EB643D9A7B}"/>
    <cellStyle name="20% - Énfasis3 2 5 4" xfId="26063" xr:uid="{EB6D3F0F-8B6F-48DD-B208-9ACAD1A92A9E}"/>
    <cellStyle name="20% - Énfasis3 2 5 5" xfId="31938" xr:uid="{316F45A8-DC3D-4155-A116-D545A4F1127B}"/>
    <cellStyle name="20% - Énfasis3 2 5 6" xfId="37804" xr:uid="{E630EB20-A2F5-4167-82A5-9E14BFE4FDEF}"/>
    <cellStyle name="20% - Énfasis3 2 6" xfId="6698" xr:uid="{9D74DB11-BAB3-46DE-BF4A-02537B0E3873}"/>
    <cellStyle name="20% - Énfasis3 2 6 2" xfId="21125" xr:uid="{708EFC32-BFD2-41F9-A44F-7D6D361D864A}"/>
    <cellStyle name="20% - Énfasis3 2 6 3" xfId="26937" xr:uid="{4820DB55-DEA5-47B7-9151-ADFADF6BC470}"/>
    <cellStyle name="20% - Énfasis3 2 6 4" xfId="32813" xr:uid="{6F8FA8EF-0854-4044-BE37-D86FDA171B6C}"/>
    <cellStyle name="20% - Énfasis3 2 6 5" xfId="38677" xr:uid="{B1DFB91F-0EF3-4183-B07D-695D56502A67}"/>
    <cellStyle name="20% - Énfasis3 2 7" xfId="18359" xr:uid="{6EF6D8B4-A5D2-4058-B258-EFA863DE59D1}"/>
    <cellStyle name="20% - Énfasis3 2 8" xfId="24067" xr:uid="{C48D452E-FD08-4ACB-9AE9-E0DCAB7936D2}"/>
    <cellStyle name="20% - Énfasis3 2 9" xfId="29945" xr:uid="{3798CFB3-0A86-412A-A6F9-2D1A4B92ECE0}"/>
    <cellStyle name="20% - Énfasis3 20" xfId="6041" xr:uid="{49CB8877-2854-429D-AADA-721D8FF79773}"/>
    <cellStyle name="20% - Énfasis3 20 2" xfId="8910" xr:uid="{728AB6CB-9BA0-4BD8-B275-F3C88DEE5C74}"/>
    <cellStyle name="20% - Énfasis3 20 2 2" xfId="23274" xr:uid="{B6F92816-F7DD-462D-9BCC-A0DDF7B3BE93}"/>
    <cellStyle name="20% - Énfasis3 20 2 3" xfId="29141" xr:uid="{26C30FA7-F9D2-4519-9575-531282250A9B}"/>
    <cellStyle name="20% - Énfasis3 20 2 4" xfId="35023" xr:uid="{99F1D85D-CFD5-47B5-B751-3B32604E2F47}"/>
    <cellStyle name="20% - Énfasis3 20 2 5" xfId="40887" xr:uid="{CFC7F304-B34D-4A7E-A9EB-1E4335E5E841}"/>
    <cellStyle name="20% - Énfasis3 20 3" xfId="20489" xr:uid="{6404453D-1C0D-4472-B13B-3F7049E0517B}"/>
    <cellStyle name="20% - Énfasis3 20 4" xfId="26291" xr:uid="{911FE4D3-C751-4742-B6EE-0A2B1282ACA1}"/>
    <cellStyle name="20% - Énfasis3 20 5" xfId="32166" xr:uid="{3DCCA3D0-E0B0-412B-85E5-E297419DC2E1}"/>
    <cellStyle name="20% - Énfasis3 20 6" xfId="38031" xr:uid="{D5B178CC-A671-4D54-ACBB-F5842C4B2963}"/>
    <cellStyle name="20% - Énfasis3 21" xfId="6061" xr:uid="{79275610-75F7-41B0-8E6E-6A1EE9DC818C}"/>
    <cellStyle name="20% - Énfasis3 21 2" xfId="8930" xr:uid="{0507B29A-2ACC-4C19-B4EE-8049587A0064}"/>
    <cellStyle name="20% - Énfasis3 21 2 2" xfId="23294" xr:uid="{6713F313-CC30-432A-A855-C0CBAED2E71A}"/>
    <cellStyle name="20% - Énfasis3 21 2 3" xfId="29161" xr:uid="{E84766B6-5884-4534-9CED-6FAD6ADC5E65}"/>
    <cellStyle name="20% - Énfasis3 21 2 4" xfId="35043" xr:uid="{3E778A84-E50A-4B7F-891F-D33713BBCF68}"/>
    <cellStyle name="20% - Énfasis3 21 2 5" xfId="40907" xr:uid="{649296B5-B764-48BC-85C3-39D7CAF9BFE2}"/>
    <cellStyle name="20% - Énfasis3 21 3" xfId="20509" xr:uid="{4A0C7F2E-641F-480D-9119-8A1A4939438D}"/>
    <cellStyle name="20% - Énfasis3 21 4" xfId="26311" xr:uid="{B5396EE4-5FE8-4709-BA25-6950C2544CC2}"/>
    <cellStyle name="20% - Énfasis3 21 5" xfId="32186" xr:uid="{BD55F0C4-23CF-40F4-ABB2-4BB35EE6EF7A}"/>
    <cellStyle name="20% - Énfasis3 21 6" xfId="38051" xr:uid="{0FEAB0BE-E9B5-4203-8927-A5BF6EBFFD42}"/>
    <cellStyle name="20% - Énfasis3 22" xfId="6081" xr:uid="{6BC909EE-5F9B-4799-B079-682DFAD14CA1}"/>
    <cellStyle name="20% - Énfasis3 22 2" xfId="8950" xr:uid="{81EE6382-5D58-4841-9CB4-B67730645722}"/>
    <cellStyle name="20% - Énfasis3 22 2 2" xfId="23314" xr:uid="{A27D4962-1B02-402B-AFB3-8D9EAEF8E40F}"/>
    <cellStyle name="20% - Énfasis3 22 2 3" xfId="29181" xr:uid="{79F34F56-BD8C-4C66-8C8E-9A080A026A7F}"/>
    <cellStyle name="20% - Énfasis3 22 2 4" xfId="35063" xr:uid="{787B852D-646E-445F-875E-F563A4A6DB6B}"/>
    <cellStyle name="20% - Énfasis3 22 2 5" xfId="40927" xr:uid="{6DAC035C-8A6E-4A43-827A-75E39DF6159C}"/>
    <cellStyle name="20% - Énfasis3 22 3" xfId="20529" xr:uid="{EEB5FAA1-1C11-495F-8FF0-D3FDDBD18C76}"/>
    <cellStyle name="20% - Énfasis3 22 4" xfId="26331" xr:uid="{2ECEE7EA-EAF1-46CF-ADAF-AA497693D50F}"/>
    <cellStyle name="20% - Énfasis3 22 5" xfId="32206" xr:uid="{28232D4F-314C-47EA-950B-00AF58476540}"/>
    <cellStyle name="20% - Énfasis3 22 6" xfId="38071" xr:uid="{1540CBAC-940C-487E-BA7A-92D1C5A4C02B}"/>
    <cellStyle name="20% - Énfasis3 23" xfId="6101" xr:uid="{AAE18075-484E-4DAD-A178-000DD106D6C8}"/>
    <cellStyle name="20% - Énfasis3 23 2" xfId="8970" xr:uid="{F204D9F5-8A38-47D0-BD4D-CD749E77E0CC}"/>
    <cellStyle name="20% - Énfasis3 23 2 2" xfId="23334" xr:uid="{05C784AD-9893-4B10-802F-A4394CEAB10D}"/>
    <cellStyle name="20% - Énfasis3 23 2 3" xfId="29201" xr:uid="{0BB062B4-B6FB-49E0-AF3A-63CD9BDA5A61}"/>
    <cellStyle name="20% - Énfasis3 23 2 4" xfId="35083" xr:uid="{C448190E-F627-4F5D-8946-C15BD4AC918E}"/>
    <cellStyle name="20% - Énfasis3 23 2 5" xfId="40947" xr:uid="{D58A856F-D984-4B3A-860D-FA6DEE69EA54}"/>
    <cellStyle name="20% - Énfasis3 23 3" xfId="20549" xr:uid="{2BB96C4A-8AC0-4FC7-9724-5547192967F9}"/>
    <cellStyle name="20% - Énfasis3 23 4" xfId="26351" xr:uid="{E0AD83CC-82D4-4792-BDDC-E58E2368B4D7}"/>
    <cellStyle name="20% - Énfasis3 23 5" xfId="32226" xr:uid="{21F9F9CE-785F-49E6-B122-4A935B3B2F32}"/>
    <cellStyle name="20% - Énfasis3 23 6" xfId="38091" xr:uid="{EC47C79F-74AC-4CA4-9FD6-A19E2A5E74D8}"/>
    <cellStyle name="20% - Énfasis3 24" xfId="6121" xr:uid="{768636EC-0958-4568-B396-E55F44D6AAFA}"/>
    <cellStyle name="20% - Énfasis3 24 2" xfId="8990" xr:uid="{3D576330-63B7-4657-8F8B-3859338D945E}"/>
    <cellStyle name="20% - Énfasis3 24 2 2" xfId="23354" xr:uid="{9F4DEB7E-5604-4179-BFEF-9EE94AD16DDC}"/>
    <cellStyle name="20% - Énfasis3 24 2 3" xfId="29221" xr:uid="{20CDBEB1-5FDD-451A-8A4B-58215FB8D0ED}"/>
    <cellStyle name="20% - Énfasis3 24 2 4" xfId="35103" xr:uid="{A450EAD7-3D5E-4790-BCE1-10216FFE3D43}"/>
    <cellStyle name="20% - Énfasis3 24 2 5" xfId="40967" xr:uid="{DC67486E-9A1C-4F08-A818-B10EFAD6DB1C}"/>
    <cellStyle name="20% - Énfasis3 24 3" xfId="20569" xr:uid="{0971D1E9-9F67-4B7D-8C5C-91803E65F428}"/>
    <cellStyle name="20% - Énfasis3 24 4" xfId="26371" xr:uid="{24E1CC3E-A347-4AEC-9F06-028A664F127A}"/>
    <cellStyle name="20% - Énfasis3 24 5" xfId="32246" xr:uid="{3D2BB89E-3336-49F4-BE63-CB8D0571E565}"/>
    <cellStyle name="20% - Énfasis3 24 6" xfId="38111" xr:uid="{3E61AE54-A06B-47AF-ACCA-6DFF1BFE1948}"/>
    <cellStyle name="20% - Énfasis3 25" xfId="6141" xr:uid="{CC38D0DC-356B-49AB-A2DD-C4574CC99159}"/>
    <cellStyle name="20% - Énfasis3 25 2" xfId="9010" xr:uid="{8B8AF0FD-0816-41D5-A286-EB645449E68C}"/>
    <cellStyle name="20% - Énfasis3 25 2 2" xfId="23374" xr:uid="{B902FE43-0E13-423A-9BDB-0B7D4A397D26}"/>
    <cellStyle name="20% - Énfasis3 25 2 3" xfId="29241" xr:uid="{898E9C9C-BFBF-4A22-B14C-B5C140FDD4A6}"/>
    <cellStyle name="20% - Énfasis3 25 2 4" xfId="35123" xr:uid="{2E7CF445-E649-42B1-9231-A0B9BEF2C765}"/>
    <cellStyle name="20% - Énfasis3 25 2 5" xfId="40986" xr:uid="{54D7BB68-F849-46F8-8FC6-3D359A0A32F2}"/>
    <cellStyle name="20% - Énfasis3 25 3" xfId="20589" xr:uid="{448CD972-D490-4871-B790-E23F07D8822A}"/>
    <cellStyle name="20% - Énfasis3 25 4" xfId="26391" xr:uid="{621AF43E-B85D-4571-A292-899E4BD2B248}"/>
    <cellStyle name="20% - Énfasis3 25 5" xfId="32266" xr:uid="{11C7C4FE-3461-4F49-AD2A-EA225C40A28F}"/>
    <cellStyle name="20% - Énfasis3 25 6" xfId="38131" xr:uid="{37C647A9-53AE-46D9-A518-AABB1B005598}"/>
    <cellStyle name="20% - Énfasis3 26" xfId="6161" xr:uid="{18572A13-0CDF-4187-9871-A6BF332FBCAF}"/>
    <cellStyle name="20% - Énfasis3 26 2" xfId="9030" xr:uid="{6C3C7791-BC99-4F71-8F7E-308FC7C51DB4}"/>
    <cellStyle name="20% - Énfasis3 26 2 2" xfId="23394" xr:uid="{5D8CFE86-4B1A-472F-B076-30129DDDDAC4}"/>
    <cellStyle name="20% - Énfasis3 26 2 3" xfId="29261" xr:uid="{6BA885D3-7A22-4AA2-A132-2420889C99EA}"/>
    <cellStyle name="20% - Énfasis3 26 2 4" xfId="35143" xr:uid="{97D201C1-CC8C-42D1-AC45-64E97582EB2A}"/>
    <cellStyle name="20% - Énfasis3 26 2 5" xfId="41005" xr:uid="{3F722ACA-CD26-448B-8891-9661D77AF6E4}"/>
    <cellStyle name="20% - Énfasis3 26 3" xfId="20609" xr:uid="{460CA0A4-9769-425B-ACEE-46B9D693A308}"/>
    <cellStyle name="20% - Énfasis3 26 4" xfId="26411" xr:uid="{AC6A7195-E4ED-46E5-AFF5-F57663AB87AE}"/>
    <cellStyle name="20% - Énfasis3 26 5" xfId="32286" xr:uid="{BBF13A2B-C147-4234-BC55-6C7650729FCE}"/>
    <cellStyle name="20% - Énfasis3 26 6" xfId="38151" xr:uid="{EACD9E89-F5A1-46C9-816A-A4223A8B499C}"/>
    <cellStyle name="20% - Énfasis3 27" xfId="6181" xr:uid="{A67DA053-1DC3-47F4-8224-D537016CA54A}"/>
    <cellStyle name="20% - Énfasis3 27 2" xfId="9050" xr:uid="{8A4E9371-07C5-4F6C-BBED-EF2BCB405B4E}"/>
    <cellStyle name="20% - Énfasis3 27 2 2" xfId="23414" xr:uid="{26C1040B-AF67-4BED-9F96-61128E00D231}"/>
    <cellStyle name="20% - Énfasis3 27 2 3" xfId="29281" xr:uid="{16871EBA-26BA-4B86-8DB3-635D10481F55}"/>
    <cellStyle name="20% - Énfasis3 27 2 4" xfId="35163" xr:uid="{E3F7D126-72DA-4401-AEE7-00357249087A}"/>
    <cellStyle name="20% - Énfasis3 27 2 5" xfId="41025" xr:uid="{9A8E6C07-458A-4B35-BBA4-1BE7B8ACE434}"/>
    <cellStyle name="20% - Énfasis3 27 3" xfId="20629" xr:uid="{E65F5956-A73E-4C67-BCF1-A9F12EBBD64D}"/>
    <cellStyle name="20% - Énfasis3 27 4" xfId="26431" xr:uid="{207AA204-A979-4CD8-A2F4-5FD292BE4FCA}"/>
    <cellStyle name="20% - Énfasis3 27 5" xfId="32306" xr:uid="{EAE27EF5-8CFC-4D4E-8AAC-E0BE39CDA174}"/>
    <cellStyle name="20% - Énfasis3 27 6" xfId="38171" xr:uid="{0335B8F8-9C9D-4C31-9779-C0177B33AFEA}"/>
    <cellStyle name="20% - Énfasis3 28" xfId="6203" xr:uid="{B68CA185-8A8B-4FA2-B344-E684CA06CE52}"/>
    <cellStyle name="20% - Énfasis3 28 2" xfId="9072" xr:uid="{A769B996-825E-4B66-9FF6-6C008ED7E2EB}"/>
    <cellStyle name="20% - Énfasis3 28 2 2" xfId="23436" xr:uid="{C9A9BD21-C0E2-48C8-9CC6-E191678148D1}"/>
    <cellStyle name="20% - Énfasis3 28 2 3" xfId="29303" xr:uid="{BAA78949-E5BC-4E5D-98B2-7FF261AABF90}"/>
    <cellStyle name="20% - Énfasis3 28 2 4" xfId="35185" xr:uid="{3BD95FC3-7F1F-48B4-ABA9-782805FE15D4}"/>
    <cellStyle name="20% - Énfasis3 28 2 5" xfId="41046" xr:uid="{565D2FBB-6AD0-4328-B0A9-3CA26CAE5EEE}"/>
    <cellStyle name="20% - Énfasis3 28 3" xfId="20651" xr:uid="{B9082153-6C67-4169-B99C-F0DDA5A54BA3}"/>
    <cellStyle name="20% - Énfasis3 28 4" xfId="26453" xr:uid="{B86E3902-F279-455F-82AE-766D7C6E37C5}"/>
    <cellStyle name="20% - Énfasis3 28 5" xfId="32328" xr:uid="{DCACF7F1-3038-4A3E-9CBC-4EE5648C7723}"/>
    <cellStyle name="20% - Énfasis3 28 6" xfId="38193" xr:uid="{CB66EB17-EB44-4E1D-A639-423A6E94447A}"/>
    <cellStyle name="20% - Énfasis3 29" xfId="6240" xr:uid="{91DB2A48-653C-4D1D-A295-D586ECB8C0E0}"/>
    <cellStyle name="20% - Énfasis3 29 2" xfId="9109" xr:uid="{9C42B84F-775D-43F7-9B7A-79834B1CF78D}"/>
    <cellStyle name="20% - Énfasis3 29 2 2" xfId="23473" xr:uid="{E5C19FE9-BF4E-4025-8D23-B534238F281B}"/>
    <cellStyle name="20% - Énfasis3 29 2 3" xfId="29340" xr:uid="{5D70B6AE-7651-46ED-9D9C-7DA441D7F121}"/>
    <cellStyle name="20% - Énfasis3 29 2 4" xfId="35222" xr:uid="{C937DF1C-2EFF-424C-821C-2F164EE8275E}"/>
    <cellStyle name="20% - Énfasis3 29 2 5" xfId="41082" xr:uid="{16561AE4-C412-4CB8-88AF-763C959CF4B4}"/>
    <cellStyle name="20% - Énfasis3 29 3" xfId="20681" xr:uid="{C317959E-552C-430D-8470-2350DF53AADB}"/>
    <cellStyle name="20% - Énfasis3 29 4" xfId="26490" xr:uid="{D624B9CC-2D23-4711-84A8-A7AC10D95CDE}"/>
    <cellStyle name="20% - Énfasis3 29 5" xfId="32365" xr:uid="{BB8BB94E-79C3-43C5-803E-13E1977A818B}"/>
    <cellStyle name="20% - Énfasis3 29 6" xfId="38230" xr:uid="{B7538075-4792-42E6-AB75-1E611C593C06}"/>
    <cellStyle name="20% - Énfasis3 3" xfId="3863" xr:uid="{C3B471E3-FFEF-453F-A3AD-00BBD4121CF3}"/>
    <cellStyle name="20% - Énfasis3 3 10" xfId="35853" xr:uid="{E0C49EC2-7077-4B3F-BEDA-C2A9D37F1FD3}"/>
    <cellStyle name="20% - Énfasis3 3 2" xfId="4062" xr:uid="{EA293A1B-DF9A-4FA4-BE38-AE4AFB4D05D8}"/>
    <cellStyle name="20% - Énfasis3 3 2 2" xfId="4540" xr:uid="{3EE8400C-A62E-4E9C-9DF3-59915F809D3F}"/>
    <cellStyle name="20% - Énfasis3 3 2 2 2" xfId="5508" xr:uid="{9472D996-89C4-463E-8EB7-143A243645FC}"/>
    <cellStyle name="20% - Énfasis3 3 2 2 2 2" xfId="8375" xr:uid="{8B5665E3-CB9A-43F3-AAB7-74FA23D8C744}"/>
    <cellStyle name="20% - Énfasis3 3 2 2 2 2 2" xfId="22750" xr:uid="{4D0C44AD-0138-4A66-A080-519ECA5E5A1E}"/>
    <cellStyle name="20% - Énfasis3 3 2 2 2 2 3" xfId="28608" xr:uid="{7E3C0284-3D2D-4937-8541-37A0E6630F7D}"/>
    <cellStyle name="20% - Énfasis3 3 2 2 2 2 4" xfId="34490" xr:uid="{4E2CE183-31A2-4BFB-9E47-A9F2BA2CBD3C}"/>
    <cellStyle name="20% - Énfasis3 3 2 2 2 2 5" xfId="40354" xr:uid="{A745DF9F-633F-43E5-84AF-6F2AEF26FCCA}"/>
    <cellStyle name="20% - Énfasis3 3 2 2 2 3" xfId="19968" xr:uid="{58CD29A2-39A0-4E4B-9AE2-9DD0ABD34E4B}"/>
    <cellStyle name="20% - Énfasis3 3 2 2 2 4" xfId="25759" xr:uid="{3F5FD64E-E656-4F19-8762-678C99957080}"/>
    <cellStyle name="20% - Énfasis3 3 2 2 2 5" xfId="31633" xr:uid="{DE3AB084-7DEE-48C3-8777-6E7D8F689129}"/>
    <cellStyle name="20% - Énfasis3 3 2 2 2 6" xfId="37503" xr:uid="{E0729A3F-D16E-4D7D-8D9C-24550265FCF2}"/>
    <cellStyle name="20% - Énfasis3 3 2 2 3" xfId="7403" xr:uid="{5A015694-01D6-45A5-BA0D-523C2C003EFC}"/>
    <cellStyle name="20% - Énfasis3 3 2 2 3 2" xfId="21805" xr:uid="{D046F61E-A454-4038-A3F3-857CAD269BB0}"/>
    <cellStyle name="20% - Énfasis3 3 2 2 3 3" xfId="27637" xr:uid="{08998A05-A6BE-4760-812F-684BE931FF92}"/>
    <cellStyle name="20% - Énfasis3 3 2 2 3 4" xfId="33519" xr:uid="{B92BF3A0-0345-4D9A-AC8E-30812E5834CF}"/>
    <cellStyle name="20% - Énfasis3 3 2 2 3 5" xfId="39383" xr:uid="{44EE7F53-43B1-4369-AFE0-D15DDCEAE1A6}"/>
    <cellStyle name="20% - Énfasis3 3 2 2 4" xfId="19036" xr:uid="{73328FF0-4FE1-468D-BEF7-3B4D949D3144}"/>
    <cellStyle name="20% - Énfasis3 3 2 2 5" xfId="24788" xr:uid="{A7C56503-EA0A-4B1F-89DA-A2E01A0CA1AA}"/>
    <cellStyle name="20% - Énfasis3 3 2 2 6" xfId="30665" xr:uid="{1CC47425-9FA2-49A9-9625-FE11C326D7B4}"/>
    <cellStyle name="20% - Énfasis3 3 2 2 7" xfId="36546" xr:uid="{241772CC-D59D-460C-9614-EE4CB407C431}"/>
    <cellStyle name="20% - Énfasis3 3 2 3" xfId="5023" xr:uid="{FBBADF73-B64B-4611-81D0-F8B17F377129}"/>
    <cellStyle name="20% - Énfasis3 3 2 3 2" xfId="7890" xr:uid="{12E9597F-D41A-4FAB-8486-82D8F4972311}"/>
    <cellStyle name="20% - Énfasis3 3 2 3 2 2" xfId="22275" xr:uid="{DB4FFCBB-62A8-4CC1-A68D-7D09024B06D3}"/>
    <cellStyle name="20% - Énfasis3 3 2 3 2 3" xfId="28123" xr:uid="{5A7508DE-B9C7-4298-8FAA-88272C43614D}"/>
    <cellStyle name="20% - Énfasis3 3 2 3 2 4" xfId="34005" xr:uid="{1404DD69-35CD-431B-B144-144CD610368E}"/>
    <cellStyle name="20% - Énfasis3 3 2 3 2 5" xfId="39869" xr:uid="{F969CFE1-D2EC-495A-836B-EAF97E4724F7}"/>
    <cellStyle name="20% - Énfasis3 3 2 3 3" xfId="19501" xr:uid="{6E8472AC-75A7-4C3F-8748-9C41C658C22C}"/>
    <cellStyle name="20% - Énfasis3 3 2 3 4" xfId="25274" xr:uid="{E541210E-FA9A-4ADF-82AD-0DC6FAEC37D4}"/>
    <cellStyle name="20% - Énfasis3 3 2 3 5" xfId="31148" xr:uid="{22CDDFDA-BCF0-4A33-81D1-94F470DA7CEB}"/>
    <cellStyle name="20% - Énfasis3 3 2 3 6" xfId="37026" xr:uid="{62AF82FB-CF83-406A-A394-24827065E7C1}"/>
    <cellStyle name="20% - Énfasis3 3 2 4" xfId="6918" xr:uid="{72077675-0C7F-4295-94EC-3E11893F2405}"/>
    <cellStyle name="20% - Énfasis3 3 2 4 2" xfId="21338" xr:uid="{AF67B31F-2EF2-4AC4-86ED-A586B590EE46}"/>
    <cellStyle name="20% - Énfasis3 3 2 4 3" xfId="27156" xr:uid="{E924F7C6-90EF-4735-87F3-25D39FAE339A}"/>
    <cellStyle name="20% - Énfasis3 3 2 4 4" xfId="33034" xr:uid="{CB7751E1-B8F7-44DB-BD14-F6CFF9BF83DF}"/>
    <cellStyle name="20% - Énfasis3 3 2 4 5" xfId="38898" xr:uid="{576A2C01-32B5-434C-A7B6-1F3CB4E0B55D}"/>
    <cellStyle name="20% - Énfasis3 3 2 5" xfId="18593" xr:uid="{2C9C69CF-9746-4ABE-8629-59D4D5E66342}"/>
    <cellStyle name="20% - Énfasis3 3 2 6" xfId="24305" xr:uid="{6A602207-7EB3-4822-813B-F4C69AFA874C}"/>
    <cellStyle name="20% - Énfasis3 3 2 7" xfId="30183" xr:uid="{C9627865-7053-4049-AACA-AF885999C1C2}"/>
    <cellStyle name="20% - Énfasis3 3 2 8" xfId="36062" xr:uid="{64C3AB27-421E-4D1E-92DC-0F8AB85C424D}"/>
    <cellStyle name="20% - Énfasis3 3 3" xfId="4346" xr:uid="{100996D6-2A3C-42D1-AFF8-9583C1B8A7B6}"/>
    <cellStyle name="20% - Énfasis3 3 3 2" xfId="5312" xr:uid="{4F9C7970-0A11-4DF3-9C36-4F78FCBBBD93}"/>
    <cellStyle name="20% - Énfasis3 3 3 2 2" xfId="8179" xr:uid="{B83D6BA5-73FE-408C-B7E0-E57F19140EE8}"/>
    <cellStyle name="20% - Énfasis3 3 3 2 2 2" xfId="22555" xr:uid="{C1F1BBFA-21B5-4AA2-8761-29C5419A1D75}"/>
    <cellStyle name="20% - Énfasis3 3 3 2 2 3" xfId="28412" xr:uid="{15034989-5090-4B45-9A62-5B734515B9D7}"/>
    <cellStyle name="20% - Énfasis3 3 3 2 2 4" xfId="34294" xr:uid="{AAAFB561-CD3C-49AF-A63F-0D3C367E31FC}"/>
    <cellStyle name="20% - Énfasis3 3 3 2 2 5" xfId="40158" xr:uid="{D2A2066D-0E4A-4A19-B8D5-BADA3E45CD21}"/>
    <cellStyle name="20% - Énfasis3 3 3 2 3" xfId="19780" xr:uid="{274B6657-F855-4207-A705-08C07BC7ADA2}"/>
    <cellStyle name="20% - Énfasis3 3 3 2 4" xfId="25563" xr:uid="{BF02EB75-22A0-4877-8CBE-4ED8B0B0AC79}"/>
    <cellStyle name="20% - Énfasis3 3 3 2 5" xfId="31437" xr:uid="{D522E729-5614-43A1-A48A-BC825B016EDD}"/>
    <cellStyle name="20% - Énfasis3 3 3 2 6" xfId="37308" xr:uid="{BE07D683-C476-4CD0-A941-099F2B9BEEEC}"/>
    <cellStyle name="20% - Énfasis3 3 3 3" xfId="7207" xr:uid="{14903F4A-5141-4F4D-B56A-93CE08EA3714}"/>
    <cellStyle name="20% - Énfasis3 3 3 3 2" xfId="21614" xr:uid="{5B4D62A3-3E3D-4035-9B97-C253022637D1}"/>
    <cellStyle name="20% - Énfasis3 3 3 3 3" xfId="27441" xr:uid="{BA8003CD-39E5-4704-9A0D-797427606E57}"/>
    <cellStyle name="20% - Énfasis3 3 3 3 4" xfId="33323" xr:uid="{0A35AFB7-88AA-4845-ADFF-CA1B48BFE5A2}"/>
    <cellStyle name="20% - Énfasis3 3 3 3 5" xfId="39187" xr:uid="{F4135A8B-77FA-4FFC-A5DA-F344A9FE14BF}"/>
    <cellStyle name="20% - Énfasis3 3 3 4" xfId="18851" xr:uid="{6CC3C95A-AA1F-4100-A14C-FF89D8C3CB8F}"/>
    <cellStyle name="20% - Énfasis3 3 3 5" xfId="24592" xr:uid="{36A3180B-7369-4AA6-BB9D-653A56069A92}"/>
    <cellStyle name="20% - Énfasis3 3 3 6" xfId="30471" xr:uid="{59E69981-35D6-4203-8E39-89A55727F6AE}"/>
    <cellStyle name="20% - Énfasis3 3 3 7" xfId="36351" xr:uid="{6DB9597E-9E10-4774-B937-674A8E19A37C}"/>
    <cellStyle name="20% - Énfasis3 3 4" xfId="4828" xr:uid="{7F776556-0154-4FA4-892A-EFD485085C89}"/>
    <cellStyle name="20% - Énfasis3 3 4 2" xfId="7694" xr:uid="{C1167143-3022-4D9A-8DD5-3D68883C9786}"/>
    <cellStyle name="20% - Énfasis3 3 4 2 2" xfId="22084" xr:uid="{9A559C9D-2B5D-43A3-ADA2-EDAD7AABE572}"/>
    <cellStyle name="20% - Énfasis3 3 4 2 3" xfId="27927" xr:uid="{956282C7-1F8D-4B96-B9E0-07EF7590AF24}"/>
    <cellStyle name="20% - Énfasis3 3 4 2 4" xfId="33809" xr:uid="{25EEFBC1-52FB-47B4-B52B-AB90FCC38E5B}"/>
    <cellStyle name="20% - Énfasis3 3 4 2 5" xfId="39673" xr:uid="{41E4F9C6-4B66-4262-8092-52B7ACD67AC8}"/>
    <cellStyle name="20% - Énfasis3 3 4 3" xfId="19310" xr:uid="{A855C9F9-D23D-4F65-A30F-315F846A2732}"/>
    <cellStyle name="20% - Énfasis3 3 4 4" xfId="25078" xr:uid="{1FDB733F-C649-4E5D-B6EF-0F3B889840D9}"/>
    <cellStyle name="20% - Énfasis3 3 4 5" xfId="30952" xr:uid="{CB923B7D-3026-48E2-A078-9CA247F55817}"/>
    <cellStyle name="20% - Énfasis3 3 4 6" xfId="36831" xr:uid="{26015836-1E75-4650-AB8C-10798DE5DF6B}"/>
    <cellStyle name="20% - Énfasis3 3 5" xfId="5837" xr:uid="{DAF195E5-F447-45C7-8CCF-B10243F899DB}"/>
    <cellStyle name="20% - Énfasis3 3 5 2" xfId="8706" xr:uid="{F89A3F20-FB67-48FA-9796-1290BE980870}"/>
    <cellStyle name="20% - Énfasis3 3 5 2 2" xfId="23074" xr:uid="{D5211AAF-E0B2-4909-B2FF-AD9168D59D22}"/>
    <cellStyle name="20% - Énfasis3 3 5 2 3" xfId="28938" xr:uid="{06FF658C-A6CF-4650-BD2E-A8BF92E61993}"/>
    <cellStyle name="20% - Énfasis3 3 5 2 4" xfId="34820" xr:uid="{85E0AAA3-1178-4C5E-A957-A02151C80392}"/>
    <cellStyle name="20% - Énfasis3 3 5 2 5" xfId="40684" xr:uid="{35A5281C-3EBB-4A4D-9DB6-B88436585F4D}"/>
    <cellStyle name="20% - Énfasis3 3 5 3" xfId="20289" xr:uid="{CD6C94BE-9DA0-47F6-97AB-C81D3597C8F8}"/>
    <cellStyle name="20% - Énfasis3 3 5 4" xfId="26088" xr:uid="{EA1C422D-D7D6-41F5-AC6F-BD74F3AA9382}"/>
    <cellStyle name="20% - Énfasis3 3 5 5" xfId="31963" xr:uid="{468829E4-C32B-4E4E-81A1-29AE2B2D0D2E}"/>
    <cellStyle name="20% - Énfasis3 3 5 6" xfId="37829" xr:uid="{54BB913F-948C-4D59-AEA8-35363DCC043A}"/>
    <cellStyle name="20% - Énfasis3 3 6" xfId="6723" xr:uid="{25336F47-10A9-47B0-B939-BC692C92E86E}"/>
    <cellStyle name="20% - Énfasis3 3 6 2" xfId="21147" xr:uid="{37F47395-E069-4421-891D-0813974F3227}"/>
    <cellStyle name="20% - Énfasis3 3 6 3" xfId="26962" xr:uid="{F54216E7-55C3-4F2F-A4F4-00D829E5A730}"/>
    <cellStyle name="20% - Énfasis3 3 6 4" xfId="32838" xr:uid="{E787F028-3879-46A4-92BB-91AAAA073289}"/>
    <cellStyle name="20% - Énfasis3 3 6 5" xfId="38702" xr:uid="{EA5023F1-DE0B-4955-9B24-9FCF6807885F}"/>
    <cellStyle name="20% - Énfasis3 3 7" xfId="18385" xr:uid="{7314A2C5-6BA3-45A0-B219-E58D38F08338}"/>
    <cellStyle name="20% - Énfasis3 3 8" xfId="24094" xr:uid="{316C9025-F54C-4877-A897-3C3C83E7110F}"/>
    <cellStyle name="20% - Énfasis3 3 9" xfId="29972" xr:uid="{0F8E124D-F2EA-404F-8DA7-41DCF3266BA9}"/>
    <cellStyle name="20% - Énfasis3 30" xfId="6260" xr:uid="{D40FDB4B-C73F-42BB-873A-C5A207BC990A}"/>
    <cellStyle name="20% - Énfasis3 30 2" xfId="9129" xr:uid="{8A4B4881-FD31-4C45-953B-B6D9B5A55813}"/>
    <cellStyle name="20% - Énfasis3 30 2 2" xfId="23493" xr:uid="{28B2A27C-37C0-419C-963C-BAE454A35716}"/>
    <cellStyle name="20% - Énfasis3 30 2 3" xfId="29360" xr:uid="{EB69EC41-A563-4E9D-8AF9-C176427F75BC}"/>
    <cellStyle name="20% - Énfasis3 30 2 4" xfId="35242" xr:uid="{1DF1A1A0-82B1-4614-8B2D-E81897A04735}"/>
    <cellStyle name="20% - Énfasis3 30 2 5" xfId="41101" xr:uid="{5212220F-85D4-45AE-9CFE-48DEE538E29A}"/>
    <cellStyle name="20% - Énfasis3 30 3" xfId="20701" xr:uid="{381744CC-AECC-4B4E-9AA3-6BC5CD9B4CDB}"/>
    <cellStyle name="20% - Énfasis3 30 4" xfId="26510" xr:uid="{0BF01C6A-AEA1-4F18-A2BC-3352A879FFFF}"/>
    <cellStyle name="20% - Énfasis3 30 5" xfId="32385" xr:uid="{BC5448C3-9556-405E-A61C-DCEE246ACA64}"/>
    <cellStyle name="20% - Énfasis3 30 6" xfId="38250" xr:uid="{D6B7C8D9-2093-4D64-BC4E-27E8172B376B}"/>
    <cellStyle name="20% - Énfasis3 31" xfId="6280" xr:uid="{2EBDC65B-90D1-4462-BBD6-9CD97201C902}"/>
    <cellStyle name="20% - Énfasis3 31 2" xfId="9149" xr:uid="{511E1E6B-1037-4382-BC8C-94B27E83C7B1}"/>
    <cellStyle name="20% - Énfasis3 31 2 2" xfId="23513" xr:uid="{D9823591-30B9-4EF5-80D7-B5A53A11DD30}"/>
    <cellStyle name="20% - Énfasis3 31 2 3" xfId="29380" xr:uid="{E72AE715-08D9-4E4D-94F3-559167B13531}"/>
    <cellStyle name="20% - Énfasis3 31 2 4" xfId="35262" xr:uid="{38446CDE-4524-4DF9-A3EC-181F6DE05CBE}"/>
    <cellStyle name="20% - Énfasis3 31 2 5" xfId="41121" xr:uid="{FDCDEC3B-D07D-4945-918E-BF78FE73C773}"/>
    <cellStyle name="20% - Énfasis3 31 3" xfId="20721" xr:uid="{AD774093-7F91-442B-A754-DED958F99775}"/>
    <cellStyle name="20% - Énfasis3 31 4" xfId="26530" xr:uid="{376F3913-9E30-47CF-ADD0-89E6240BAC57}"/>
    <cellStyle name="20% - Énfasis3 31 5" xfId="32405" xr:uid="{11D4FDE5-42D5-4D37-B3B2-6AEF92A24037}"/>
    <cellStyle name="20% - Énfasis3 31 6" xfId="38270" xr:uid="{ED6D1916-01D1-4244-B280-FD27C31D3B5C}"/>
    <cellStyle name="20% - Énfasis3 32" xfId="6304" xr:uid="{B4622978-E06E-4FDE-B2D5-824D866D4344}"/>
    <cellStyle name="20% - Énfasis3 32 2" xfId="9172" xr:uid="{44C75AB9-F3A7-41D4-871B-1CE443D3CC11}"/>
    <cellStyle name="20% - Énfasis3 32 2 2" xfId="23536" xr:uid="{3F16FFFF-4997-4312-9038-5004B4DBE043}"/>
    <cellStyle name="20% - Énfasis3 32 2 3" xfId="29403" xr:uid="{6115103A-F6AC-48BE-AFE0-E4DC7D22D03E}"/>
    <cellStyle name="20% - Énfasis3 32 2 4" xfId="35285" xr:uid="{682280AE-1F35-4C2F-8947-1F5D7F33BFEB}"/>
    <cellStyle name="20% - Énfasis3 32 2 5" xfId="41144" xr:uid="{F806E27C-B02F-4EA4-B302-9DE54F32DABB}"/>
    <cellStyle name="20% - Énfasis3 32 3" xfId="20745" xr:uid="{F25E255B-332D-4828-9DFB-AA0772D47643}"/>
    <cellStyle name="20% - Énfasis3 32 4" xfId="26554" xr:uid="{BBB5B0C6-E6E8-446E-A86B-F53C5EE3D5AA}"/>
    <cellStyle name="20% - Énfasis3 32 5" xfId="32429" xr:uid="{AD5A9AC0-D43F-4E13-9ED7-860DC3814EC7}"/>
    <cellStyle name="20% - Énfasis3 32 6" xfId="38294" xr:uid="{9F7F4B1D-3162-4A8A-A8A9-681908878478}"/>
    <cellStyle name="20% - Énfasis3 33" xfId="6336" xr:uid="{4B77FBC0-6DC4-44C1-ADD1-DEE44DCA1DC3}"/>
    <cellStyle name="20% - Énfasis3 33 2" xfId="9201" xr:uid="{FEE46A35-22D4-4CD7-8BE7-CA03E832ECC4}"/>
    <cellStyle name="20% - Énfasis3 33 2 2" xfId="23564" xr:uid="{1E083AEB-F4A2-4887-8D95-75853CA0DAB0}"/>
    <cellStyle name="20% - Énfasis3 33 2 3" xfId="29432" xr:uid="{A70A0972-6D6B-42AF-A919-5ABCA2FA2AA0}"/>
    <cellStyle name="20% - Énfasis3 33 2 4" xfId="35314" xr:uid="{336E41A4-0029-4745-8EEE-B6C253A88037}"/>
    <cellStyle name="20% - Énfasis3 33 2 5" xfId="41173" xr:uid="{E4E0710B-08AD-4AFA-9681-B60857B78FC0}"/>
    <cellStyle name="20% - Énfasis3 33 3" xfId="20777" xr:uid="{D83FFC91-83F0-4931-B513-F8B50846DC75}"/>
    <cellStyle name="20% - Énfasis3 33 4" xfId="26586" xr:uid="{3CB013DB-113D-4053-8368-B0A543F3AC96}"/>
    <cellStyle name="20% - Énfasis3 33 5" xfId="32461" xr:uid="{86DD6C87-F0A2-4C83-88DB-9CA1FF9105BF}"/>
    <cellStyle name="20% - Énfasis3 33 6" xfId="38325" xr:uid="{25E4309B-3AB3-417E-B8CC-9BF02CD8EE4C}"/>
    <cellStyle name="20% - Énfasis3 34" xfId="6356" xr:uid="{ACFC1890-880A-498E-8873-03AEC0D0E931}"/>
    <cellStyle name="20% - Énfasis3 34 2" xfId="9221" xr:uid="{11D40377-F1BD-4936-B2C6-A8EEB1565B6B}"/>
    <cellStyle name="20% - Énfasis3 34 2 2" xfId="23584" xr:uid="{5FD5E0DC-B265-4473-BD17-554AE0741E4E}"/>
    <cellStyle name="20% - Énfasis3 34 2 3" xfId="29452" xr:uid="{41C7B04F-3F7C-4830-95C5-6679CA0FD48A}"/>
    <cellStyle name="20% - Énfasis3 34 2 4" xfId="35334" xr:uid="{8E5EEA41-B958-4476-9D53-DEED8CEC5C5D}"/>
    <cellStyle name="20% - Énfasis3 34 2 5" xfId="41193" xr:uid="{610D768C-015B-4BF9-BC56-D657517AC269}"/>
    <cellStyle name="20% - Énfasis3 34 3" xfId="20797" xr:uid="{D8D5A055-1612-48A3-A069-EE49378B6678}"/>
    <cellStyle name="20% - Énfasis3 34 4" xfId="26606" xr:uid="{D7F74252-67BD-4D50-B8CE-5C2812012FC7}"/>
    <cellStyle name="20% - Énfasis3 34 5" xfId="32481" xr:uid="{DE0720C8-DD69-4A6C-88F2-E43FD43E06A0}"/>
    <cellStyle name="20% - Énfasis3 34 6" xfId="38345" xr:uid="{1F07702B-B5A9-4EF6-AB0D-526F2B2BE219}"/>
    <cellStyle name="20% - Énfasis3 35" xfId="6376" xr:uid="{213B6ED4-CD98-4857-A40D-1BB510CA4CE4}"/>
    <cellStyle name="20% - Énfasis3 35 2" xfId="9241" xr:uid="{C5DC2C31-E2CB-4164-9DB1-BB60F9C23689}"/>
    <cellStyle name="20% - Énfasis3 35 2 2" xfId="23604" xr:uid="{280CE38D-BAAF-40B8-B880-BFDF07ED73E8}"/>
    <cellStyle name="20% - Énfasis3 35 2 3" xfId="29472" xr:uid="{6FFFCE92-A17D-47CC-A5B0-ADE784FD52CF}"/>
    <cellStyle name="20% - Énfasis3 35 2 4" xfId="35354" xr:uid="{D810420C-83AF-4935-8BB0-D753AEA871B7}"/>
    <cellStyle name="20% - Énfasis3 35 2 5" xfId="41213" xr:uid="{0458B26F-5CD8-4B01-B88B-41E9D09D07CE}"/>
    <cellStyle name="20% - Énfasis3 35 3" xfId="20817" xr:uid="{A2468048-048C-4226-A2C3-7CB418CC407F}"/>
    <cellStyle name="20% - Énfasis3 35 4" xfId="26626" xr:uid="{140DA688-C641-4A4A-8511-1A98A26F8668}"/>
    <cellStyle name="20% - Énfasis3 35 5" xfId="32501" xr:uid="{277046A0-9BF1-4BE2-A2B5-CEE5B1A2E75F}"/>
    <cellStyle name="20% - Énfasis3 35 6" xfId="38365" xr:uid="{A7521477-1FFB-4125-91CA-D90E95EEE29C}"/>
    <cellStyle name="20% - Énfasis3 36" xfId="6397" xr:uid="{B7D6131E-2FE0-4117-913F-C5434F4FD199}"/>
    <cellStyle name="20% - Énfasis3 36 2" xfId="9262" xr:uid="{DD577584-D381-418B-B879-4796666C6901}"/>
    <cellStyle name="20% - Énfasis3 36 2 2" xfId="23625" xr:uid="{D5F552AF-4002-4DCC-B8B4-83EF5F6C659F}"/>
    <cellStyle name="20% - Énfasis3 36 2 3" xfId="29493" xr:uid="{1F397E51-93E5-4930-A1FA-F6C43B2319FE}"/>
    <cellStyle name="20% - Énfasis3 36 2 4" xfId="35375" xr:uid="{8ABC1565-583D-4988-963B-37633E948B95}"/>
    <cellStyle name="20% - Énfasis3 36 2 5" xfId="41234" xr:uid="{66D649EF-266C-430A-A5F0-792BE9458D78}"/>
    <cellStyle name="20% - Énfasis3 36 3" xfId="20838" xr:uid="{62DA4304-45AD-421F-AD2E-2602B3863A21}"/>
    <cellStyle name="20% - Énfasis3 36 4" xfId="26647" xr:uid="{7105E34D-6B0B-4E04-9A81-84DFBA742438}"/>
    <cellStyle name="20% - Énfasis3 36 5" xfId="32522" xr:uid="{FFFC2728-54C1-44D2-9048-85CF7AA58B95}"/>
    <cellStyle name="20% - Énfasis3 36 6" xfId="38386" xr:uid="{D8DF4A94-A2F9-4483-9F77-7C52F55404AD}"/>
    <cellStyle name="20% - Énfasis3 37" xfId="6426" xr:uid="{D0F2F9B5-6EF7-42B1-8733-A9FD99971AAA}"/>
    <cellStyle name="20% - Énfasis3 37 2" xfId="9288" xr:uid="{692C2460-2ACD-4674-B7F1-15623D32BFC0}"/>
    <cellStyle name="20% - Énfasis3 37 2 2" xfId="23651" xr:uid="{117FD36D-5E6E-463F-AE3E-DC5B8005F9CD}"/>
    <cellStyle name="20% - Énfasis3 37 2 3" xfId="29519" xr:uid="{83485859-7843-4DBB-8AC7-F6ABF85A924C}"/>
    <cellStyle name="20% - Énfasis3 37 2 4" xfId="35401" xr:uid="{4950B89C-24DB-48EA-99E7-1F45495EC9E8}"/>
    <cellStyle name="20% - Énfasis3 37 2 5" xfId="41260" xr:uid="{DE6208EF-5394-4B27-AC9D-326E4DF8739F}"/>
    <cellStyle name="20% - Énfasis3 37 3" xfId="20867" xr:uid="{4644739E-33F0-459B-A940-81E2336ADED7}"/>
    <cellStyle name="20% - Énfasis3 37 4" xfId="26676" xr:uid="{F3C0FE87-2030-4AE9-A5E2-728BB4DA7E65}"/>
    <cellStyle name="20% - Énfasis3 37 5" xfId="32551" xr:uid="{33653604-04AB-4EE1-BA76-AFBDD1253760}"/>
    <cellStyle name="20% - Énfasis3 37 6" xfId="38415" xr:uid="{26DB267A-2976-489E-947B-1E0F23C24CB2}"/>
    <cellStyle name="20% - Énfasis3 38" xfId="6460" xr:uid="{4F477FF5-CEF2-4100-A388-1023B603F800}"/>
    <cellStyle name="20% - Énfasis3 38 2" xfId="9320" xr:uid="{7C2921D1-45F6-4D53-BC2D-09D19D2C0DDB}"/>
    <cellStyle name="20% - Énfasis3 38 2 2" xfId="23683" xr:uid="{AA5E9ACD-C60E-4AF1-9A4D-D3560C711216}"/>
    <cellStyle name="20% - Énfasis3 38 2 3" xfId="29551" xr:uid="{6CF50995-FB02-466F-976F-570B3046DDE8}"/>
    <cellStyle name="20% - Énfasis3 38 2 4" xfId="35433" xr:uid="{2EE578F4-0D2E-413D-A217-C4BFF25FAA13}"/>
    <cellStyle name="20% - Énfasis3 38 2 5" xfId="41292" xr:uid="{0813E52B-C2D3-4379-8D11-D4410DF723AF}"/>
    <cellStyle name="20% - Énfasis3 38 3" xfId="20898" xr:uid="{474246A0-F2CB-4E6E-95C5-9BF616049AA2}"/>
    <cellStyle name="20% - Énfasis3 38 4" xfId="26709" xr:uid="{BA5C4D04-C23F-42CC-A75F-0BE7A547A0B8}"/>
    <cellStyle name="20% - Énfasis3 38 5" xfId="32584" xr:uid="{1682FBD5-FD00-4D53-A376-EDD9A0D52B4C}"/>
    <cellStyle name="20% - Énfasis3 38 6" xfId="38448" xr:uid="{B6A5AC8F-9BC2-4DCD-AB1D-1DD398E4A0D8}"/>
    <cellStyle name="20% - Énfasis3 39" xfId="6480" xr:uid="{552B0C37-6FE5-454C-91FA-542C4618880D}"/>
    <cellStyle name="20% - Énfasis3 39 2" xfId="9340" xr:uid="{32B8111A-4DEA-42E7-AD9A-BF4D52ECA4AB}"/>
    <cellStyle name="20% - Énfasis3 39 2 2" xfId="23703" xr:uid="{37314AB6-C7A9-4412-8C9D-A176CBEC9631}"/>
    <cellStyle name="20% - Énfasis3 39 2 3" xfId="29571" xr:uid="{2059AF8B-995D-4A62-9618-B37A8CDBF02A}"/>
    <cellStyle name="20% - Énfasis3 39 2 4" xfId="35453" xr:uid="{52E03A30-3371-4285-838E-EC71CF2CE4F7}"/>
    <cellStyle name="20% - Énfasis3 39 2 5" xfId="41312" xr:uid="{7CCA66D8-28D0-4F0D-8F05-4FC9B284F1B9}"/>
    <cellStyle name="20% - Énfasis3 39 3" xfId="20918" xr:uid="{B531586E-0003-41EC-8D0A-9E01014FA935}"/>
    <cellStyle name="20% - Énfasis3 39 4" xfId="26729" xr:uid="{268D64C5-078A-4326-8977-796C9D362B84}"/>
    <cellStyle name="20% - Énfasis3 39 5" xfId="32604" xr:uid="{9EE00192-7FA6-4EBD-A92F-78FA807EDF55}"/>
    <cellStyle name="20% - Énfasis3 39 6" xfId="38468" xr:uid="{1B305AA1-8570-4699-8D8A-A4F9254281CF}"/>
    <cellStyle name="20% - Énfasis3 4" xfId="3890" xr:uid="{A9FC1EC3-A0E6-429F-A054-38CD12BFAA30}"/>
    <cellStyle name="20% - Énfasis3 4 10" xfId="35882" xr:uid="{32C79802-016B-410D-BDEE-C753303ADC6C}"/>
    <cellStyle name="20% - Énfasis3 4 2" xfId="4087" xr:uid="{B360A92D-588E-415F-B693-A2BD8C10ABAE}"/>
    <cellStyle name="20% - Énfasis3 4 2 2" xfId="4565" xr:uid="{25497B30-B7DA-43B4-8587-436F0B19D764}"/>
    <cellStyle name="20% - Énfasis3 4 2 2 2" xfId="5533" xr:uid="{8287DCE7-0D95-4640-9FDC-37B3D1DCB7FF}"/>
    <cellStyle name="20% - Énfasis3 4 2 2 2 2" xfId="8400" xr:uid="{77023767-928A-4581-B6B4-C4BC243F3B8D}"/>
    <cellStyle name="20% - Énfasis3 4 2 2 2 2 2" xfId="22775" xr:uid="{432F7DEF-0AB3-40CA-81AD-E0753920314F}"/>
    <cellStyle name="20% - Énfasis3 4 2 2 2 2 3" xfId="28633" xr:uid="{ED8D135E-85BB-476B-817D-4BFB6244B3B7}"/>
    <cellStyle name="20% - Énfasis3 4 2 2 2 2 4" xfId="34515" xr:uid="{75930016-847E-44AB-8F62-B63E2C6A09F8}"/>
    <cellStyle name="20% - Énfasis3 4 2 2 2 2 5" xfId="40379" xr:uid="{FF8858F3-E16C-4357-9D50-F5AAE1DE8E04}"/>
    <cellStyle name="20% - Énfasis3 4 2 2 2 3" xfId="19993" xr:uid="{E2AAE9C4-D3E0-454E-BFDE-BC06C9D7E92B}"/>
    <cellStyle name="20% - Énfasis3 4 2 2 2 4" xfId="25784" xr:uid="{315C8BC4-52B4-464C-B1E7-5F07076A7C2A}"/>
    <cellStyle name="20% - Énfasis3 4 2 2 2 5" xfId="31658" xr:uid="{BE4E83D7-CBED-4FB1-9045-390961F9D716}"/>
    <cellStyle name="20% - Énfasis3 4 2 2 2 6" xfId="37528" xr:uid="{3C7513E4-0B64-4C4B-B605-92C66CC11F58}"/>
    <cellStyle name="20% - Énfasis3 4 2 2 3" xfId="7428" xr:uid="{AF6E7158-B74A-44F8-8DAE-A7481BDE26F9}"/>
    <cellStyle name="20% - Énfasis3 4 2 2 3 2" xfId="21830" xr:uid="{C202DC14-2DC7-4680-8C02-67BD82BCE30E}"/>
    <cellStyle name="20% - Énfasis3 4 2 2 3 3" xfId="27662" xr:uid="{38C156C7-7A71-47C6-9721-49878DBA5729}"/>
    <cellStyle name="20% - Énfasis3 4 2 2 3 4" xfId="33544" xr:uid="{65FC04E4-1CB2-4003-AF3B-9D9F73290241}"/>
    <cellStyle name="20% - Énfasis3 4 2 2 3 5" xfId="39408" xr:uid="{344CC0BB-7407-489A-AD10-BE32E0FAD0D2}"/>
    <cellStyle name="20% - Énfasis3 4 2 2 4" xfId="19061" xr:uid="{64850169-EBCA-43E8-9A6C-EA7AA5C29048}"/>
    <cellStyle name="20% - Énfasis3 4 2 2 5" xfId="24813" xr:uid="{AC861F6C-FE84-4E10-895E-76AADD49A36F}"/>
    <cellStyle name="20% - Énfasis3 4 2 2 6" xfId="30690" xr:uid="{936B136F-70E7-45D2-8C8D-62CCBAE91EC1}"/>
    <cellStyle name="20% - Énfasis3 4 2 2 7" xfId="36571" xr:uid="{DD240CC0-8B42-4520-B172-AA4ADB07C176}"/>
    <cellStyle name="20% - Énfasis3 4 2 3" xfId="5048" xr:uid="{1E81B5FF-58A1-4095-ACF1-C6B4881653D2}"/>
    <cellStyle name="20% - Énfasis3 4 2 3 2" xfId="7915" xr:uid="{3206770F-3070-4D28-844C-63D8EF11EFD0}"/>
    <cellStyle name="20% - Énfasis3 4 2 3 2 2" xfId="22300" xr:uid="{F71EB130-11BE-4ADA-B7B1-ECE0EED2CCF6}"/>
    <cellStyle name="20% - Énfasis3 4 2 3 2 3" xfId="28148" xr:uid="{42D2DD18-E97E-4344-BEBC-5426DBE40930}"/>
    <cellStyle name="20% - Énfasis3 4 2 3 2 4" xfId="34030" xr:uid="{D6121328-8F2C-4664-8FF7-3C7C15002254}"/>
    <cellStyle name="20% - Énfasis3 4 2 3 2 5" xfId="39894" xr:uid="{CC73F5C4-52AC-4341-A493-8775246D37A0}"/>
    <cellStyle name="20% - Énfasis3 4 2 3 3" xfId="19525" xr:uid="{4C1B35E6-4176-4B17-BE6E-0E84BFB356CE}"/>
    <cellStyle name="20% - Énfasis3 4 2 3 4" xfId="25299" xr:uid="{9C58A666-1457-4264-BC43-2E2496F135F3}"/>
    <cellStyle name="20% - Énfasis3 4 2 3 5" xfId="31173" xr:uid="{A74CBBBB-DB9B-4025-9060-8BBD89D95F04}"/>
    <cellStyle name="20% - Énfasis3 4 2 3 6" xfId="37051" xr:uid="{0563DDD1-4C29-4F78-82F0-58CF932BBF84}"/>
    <cellStyle name="20% - Énfasis3 4 2 4" xfId="6943" xr:uid="{E4D333F4-6F98-4844-9A6F-D3840F1B4722}"/>
    <cellStyle name="20% - Énfasis3 4 2 4 2" xfId="21363" xr:uid="{9E23B4EF-4FA5-4FB9-994D-3E4568FEFA09}"/>
    <cellStyle name="20% - Énfasis3 4 2 4 3" xfId="27181" xr:uid="{F67B3D56-D1F0-4579-BF88-D94F88F881F2}"/>
    <cellStyle name="20% - Énfasis3 4 2 4 4" xfId="33059" xr:uid="{9BB969A3-7852-48C5-BEBB-E82015A11717}"/>
    <cellStyle name="20% - Énfasis3 4 2 4 5" xfId="38923" xr:uid="{BF8D53EF-531E-4FAF-A56E-FF7060A27FC7}"/>
    <cellStyle name="20% - Énfasis3 4 2 5" xfId="18617" xr:uid="{71C3F322-563C-4FB9-8279-753DD7CB71E7}"/>
    <cellStyle name="20% - Énfasis3 4 2 6" xfId="24330" xr:uid="{327413AC-C6CD-402A-AD05-6512686ACB81}"/>
    <cellStyle name="20% - Énfasis3 4 2 7" xfId="30208" xr:uid="{2ADA9598-DC8D-468F-B429-E6C8028EA3B6}"/>
    <cellStyle name="20% - Énfasis3 4 2 8" xfId="36087" xr:uid="{001CABAC-03B3-44D6-95D9-3470E84A03FE}"/>
    <cellStyle name="20% - Énfasis3 4 3" xfId="4371" xr:uid="{49B7D6A5-3998-4811-813D-6EBBB860F1CB}"/>
    <cellStyle name="20% - Énfasis3 4 3 2" xfId="5337" xr:uid="{C4966094-5AA0-4750-83BD-938B0155A47A}"/>
    <cellStyle name="20% - Énfasis3 4 3 2 2" xfId="8204" xr:uid="{B4786FE6-4778-43CD-9D63-6F9D45B623F5}"/>
    <cellStyle name="20% - Énfasis3 4 3 2 2 2" xfId="22580" xr:uid="{3BC88AFD-D158-4030-BB02-816000DC8626}"/>
    <cellStyle name="20% - Énfasis3 4 3 2 2 3" xfId="28437" xr:uid="{51101BD4-EFEA-40A1-B417-4A4B92007DC4}"/>
    <cellStyle name="20% - Énfasis3 4 3 2 2 4" xfId="34319" xr:uid="{0204CADC-50DF-4CBC-9444-2169993EA5D9}"/>
    <cellStyle name="20% - Énfasis3 4 3 2 2 5" xfId="40183" xr:uid="{FBBB8C8C-CF81-40BD-A834-AD67400CB445}"/>
    <cellStyle name="20% - Énfasis3 4 3 2 3" xfId="19804" xr:uid="{D19E7158-A712-4B46-A610-44D02D9B569F}"/>
    <cellStyle name="20% - Énfasis3 4 3 2 4" xfId="25588" xr:uid="{B3DF667B-E574-48EE-BB4C-F0DD979A12E4}"/>
    <cellStyle name="20% - Énfasis3 4 3 2 5" xfId="31462" xr:uid="{2F4BD78A-DEBC-43D3-86C5-7809908F5F5F}"/>
    <cellStyle name="20% - Énfasis3 4 3 2 6" xfId="37333" xr:uid="{5143D33A-B833-42E1-8F20-11A5336B32BD}"/>
    <cellStyle name="20% - Énfasis3 4 3 3" xfId="7232" xr:uid="{543AB4C5-D8EA-4762-B361-E0A64FCEA35A}"/>
    <cellStyle name="20% - Énfasis3 4 3 3 2" xfId="21639" xr:uid="{D432D418-DFFB-46D8-9BAB-7045B678E6EC}"/>
    <cellStyle name="20% - Énfasis3 4 3 3 3" xfId="27466" xr:uid="{4B5375DA-1F83-41DD-8752-9E1CE79CC917}"/>
    <cellStyle name="20% - Énfasis3 4 3 3 4" xfId="33348" xr:uid="{2BC7A496-26AA-4F15-883A-79BE9351D6AC}"/>
    <cellStyle name="20% - Énfasis3 4 3 3 5" xfId="39212" xr:uid="{A33F7D57-44A6-436A-9672-E5EFC957A55D}"/>
    <cellStyle name="20% - Énfasis3 4 3 4" xfId="18874" xr:uid="{0E76C1D3-FC16-41C4-859D-198940B3128D}"/>
    <cellStyle name="20% - Énfasis3 4 3 5" xfId="24617" xr:uid="{62604EDF-6C33-40C6-B021-ECC5428DCE2F}"/>
    <cellStyle name="20% - Énfasis3 4 3 6" xfId="30496" xr:uid="{E2CCA61D-D099-410F-A438-AB0BB4ED804C}"/>
    <cellStyle name="20% - Énfasis3 4 3 7" xfId="36376" xr:uid="{CE7A9841-A2C2-4F35-AF0E-AC44B9613B80}"/>
    <cellStyle name="20% - Énfasis3 4 4" xfId="4853" xr:uid="{FF9D4831-B481-49BE-8EFE-F6622BDD5B33}"/>
    <cellStyle name="20% - Énfasis3 4 4 2" xfId="7719" xr:uid="{8BC71AE7-AA78-49A1-84E5-8A4318725E28}"/>
    <cellStyle name="20% - Énfasis3 4 4 2 2" xfId="22109" xr:uid="{55801A1E-045E-4620-8685-2B7A90DDD050}"/>
    <cellStyle name="20% - Énfasis3 4 4 2 3" xfId="27952" xr:uid="{692C08A5-2335-4FAB-BC3E-90CBEDA7B93D}"/>
    <cellStyle name="20% - Énfasis3 4 4 2 4" xfId="33834" xr:uid="{5594E5C3-3C22-476D-BD8A-B804498DC858}"/>
    <cellStyle name="20% - Énfasis3 4 4 2 5" xfId="39698" xr:uid="{C86D3D50-ABC1-46D1-AB95-6F75E53AEF17}"/>
    <cellStyle name="20% - Énfasis3 4 4 3" xfId="19335" xr:uid="{AEE51271-7D54-451E-BAA5-94DD30F1475C}"/>
    <cellStyle name="20% - Énfasis3 4 4 4" xfId="25103" xr:uid="{58A7D0A1-2B6B-4B62-BEA5-431F98BD0A51}"/>
    <cellStyle name="20% - Énfasis3 4 4 5" xfId="30977" xr:uid="{408D58AF-BD78-44A3-960B-D4A8396B1E50}"/>
    <cellStyle name="20% - Énfasis3 4 4 6" xfId="36856" xr:uid="{E729C8CC-0459-45F7-9D09-7121667D1B5D}"/>
    <cellStyle name="20% - Énfasis3 4 5" xfId="5862" xr:uid="{DA019513-523C-4667-96C6-3037713CAE98}"/>
    <cellStyle name="20% - Énfasis3 4 5 2" xfId="8731" xr:uid="{FF399974-7934-48B9-878D-471C952739DD}"/>
    <cellStyle name="20% - Énfasis3 4 5 2 2" xfId="23099" xr:uid="{204D3098-B118-4813-8749-C500C794AA2C}"/>
    <cellStyle name="20% - Énfasis3 4 5 2 3" xfId="28963" xr:uid="{AF748811-C1E9-421F-8369-D53E52C91F98}"/>
    <cellStyle name="20% - Énfasis3 4 5 2 4" xfId="34845" xr:uid="{639D726B-D0E9-4C24-9067-B47CA829659D}"/>
    <cellStyle name="20% - Énfasis3 4 5 2 5" xfId="40709" xr:uid="{9F6BC9A0-E90F-4517-B350-5A52D9E94BAE}"/>
    <cellStyle name="20% - Énfasis3 4 5 3" xfId="20314" xr:uid="{18D4ED04-B05A-4189-A74C-1225D3F41989}"/>
    <cellStyle name="20% - Énfasis3 4 5 4" xfId="26113" xr:uid="{F030A879-7FC4-4192-98DA-B786039BC498}"/>
    <cellStyle name="20% - Énfasis3 4 5 5" xfId="31988" xr:uid="{29301B57-0518-4567-A8D8-8C4AA727F5C1}"/>
    <cellStyle name="20% - Énfasis3 4 5 6" xfId="37854" xr:uid="{EB2279F9-D126-4710-8D9B-14F30DECDDF3}"/>
    <cellStyle name="20% - Énfasis3 4 6" xfId="6748" xr:uid="{424C565A-83CA-49B0-B657-7DAD96DD84B6}"/>
    <cellStyle name="20% - Énfasis3 4 6 2" xfId="21172" xr:uid="{AE34DA97-0D97-4CB2-B76C-83796C879C62}"/>
    <cellStyle name="20% - Énfasis3 4 6 3" xfId="26987" xr:uid="{F32D316A-8DA9-4EDD-B96B-1A95DD63670D}"/>
    <cellStyle name="20% - Énfasis3 4 6 4" xfId="32863" xr:uid="{BE72A124-3AD2-45B9-BA12-4D4D8072F2DC}"/>
    <cellStyle name="20% - Énfasis3 4 6 5" xfId="38727" xr:uid="{B610F278-B2A6-4457-91EB-94FB04B5D9BF}"/>
    <cellStyle name="20% - Énfasis3 4 7" xfId="18414" xr:uid="{E2E42A98-9675-4F97-B868-CE728E2591D2}"/>
    <cellStyle name="20% - Énfasis3 4 8" xfId="24123" xr:uid="{312D30D8-4B64-4DA9-91A4-2A8FF046A48F}"/>
    <cellStyle name="20% - Énfasis3 4 9" xfId="30001" xr:uid="{0057F9C6-697D-449C-8008-85B9F0C9804B}"/>
    <cellStyle name="20% - Énfasis3 40" xfId="6500" xr:uid="{F7026822-1875-4133-BB90-4C6A9A356993}"/>
    <cellStyle name="20% - Énfasis3 40 2" xfId="9360" xr:uid="{679594E6-9A79-4BBB-96B2-555E690FF073}"/>
    <cellStyle name="20% - Énfasis3 40 2 2" xfId="23723" xr:uid="{5CF4239E-B358-44FB-9B46-F94C60901E43}"/>
    <cellStyle name="20% - Énfasis3 40 2 3" xfId="29591" xr:uid="{5BE95265-4F2A-42A6-89CE-E3C032ACBB1F}"/>
    <cellStyle name="20% - Énfasis3 40 2 4" xfId="35473" xr:uid="{27B6EB47-FBF1-44FE-BC19-A485323AA3B5}"/>
    <cellStyle name="20% - Énfasis3 40 2 5" xfId="41332" xr:uid="{9C81DE7B-490B-4903-8CA3-7C73597258BE}"/>
    <cellStyle name="20% - Énfasis3 40 3" xfId="20938" xr:uid="{92E0BD03-4B5B-4337-A4BF-365972881E4A}"/>
    <cellStyle name="20% - Énfasis3 40 4" xfId="26749" xr:uid="{ABEE2892-3DDD-4EDE-B973-F74DD6036E86}"/>
    <cellStyle name="20% - Énfasis3 40 5" xfId="32624" xr:uid="{0747AA59-6F91-4E8F-980D-7A17542000F9}"/>
    <cellStyle name="20% - Énfasis3 40 6" xfId="38488" xr:uid="{D793AB88-CAE9-4A14-A631-656C8F57CE18}"/>
    <cellStyle name="20% - Énfasis3 41" xfId="6520" xr:uid="{2C6B0A5F-E7AD-4026-8787-A75ABE1AB861}"/>
    <cellStyle name="20% - Énfasis3 41 2" xfId="9380" xr:uid="{0F308C10-5001-4072-9B65-198FBB5F6B7F}"/>
    <cellStyle name="20% - Énfasis3 41 2 2" xfId="23743" xr:uid="{99B0215E-C6FD-4481-9D22-43FC534C3991}"/>
    <cellStyle name="20% - Énfasis3 41 2 3" xfId="29611" xr:uid="{11D3CC50-2C46-443F-9B2D-C59FC957367B}"/>
    <cellStyle name="20% - Énfasis3 41 2 4" xfId="35493" xr:uid="{02D67D5B-469E-4435-B6FF-2ECD2BEE292C}"/>
    <cellStyle name="20% - Énfasis3 41 2 5" xfId="41352" xr:uid="{22CACDD7-8FFC-4F1C-A6E0-C8EE64578DFE}"/>
    <cellStyle name="20% - Énfasis3 41 3" xfId="20958" xr:uid="{2F2979CC-DBFB-4EE1-A303-00AF699058AC}"/>
    <cellStyle name="20% - Énfasis3 41 4" xfId="26769" xr:uid="{2A47D2D4-9CE2-4CD7-BC98-062464439735}"/>
    <cellStyle name="20% - Énfasis3 41 5" xfId="32644" xr:uid="{5C20951C-894A-423D-8CE7-2EBC1B0F3DD5}"/>
    <cellStyle name="20% - Énfasis3 41 6" xfId="38508" xr:uid="{90B79B29-551F-4C5F-B5D0-48E2347CE47E}"/>
    <cellStyle name="20% - Énfasis3 42" xfId="6540" xr:uid="{B6D96D6A-698D-4C11-9FCE-80BD18D3559D}"/>
    <cellStyle name="20% - Énfasis3 42 2" xfId="9400" xr:uid="{B3B29F59-30E7-4A23-AA0F-070959CEC352}"/>
    <cellStyle name="20% - Énfasis3 42 2 2" xfId="23763" xr:uid="{2BF2C933-D9F8-43DB-B3BE-DE4269A1B80D}"/>
    <cellStyle name="20% - Énfasis3 42 2 3" xfId="29631" xr:uid="{FB6CB9B0-E118-4146-A0A3-2F8B92F474F5}"/>
    <cellStyle name="20% - Énfasis3 42 2 4" xfId="35513" xr:uid="{0689F2C5-6345-4B79-BD63-BBA1C1299DAC}"/>
    <cellStyle name="20% - Énfasis3 42 2 5" xfId="41372" xr:uid="{FE5B00E0-9C79-47C4-9265-1F912D50BEB9}"/>
    <cellStyle name="20% - Énfasis3 42 3" xfId="20978" xr:uid="{6FD69963-C088-4005-B453-664A353D1EC5}"/>
    <cellStyle name="20% - Énfasis3 42 4" xfId="26789" xr:uid="{6F5F8441-112B-4660-B8BD-3D47C6ED8545}"/>
    <cellStyle name="20% - Énfasis3 42 5" xfId="32664" xr:uid="{0AF1498F-7E92-4C74-9C56-0CD24F1163DE}"/>
    <cellStyle name="20% - Énfasis3 42 6" xfId="38528" xr:uid="{7D8680A7-8E31-41A4-B417-A12CB0C1FD4E}"/>
    <cellStyle name="20% - Énfasis3 43" xfId="6561" xr:uid="{826A7EB4-39BC-4558-B56F-56726F9C1A31}"/>
    <cellStyle name="20% - Énfasis3 43 2" xfId="9422" xr:uid="{5D64271F-4F8F-491E-B36A-302F78640213}"/>
    <cellStyle name="20% - Énfasis3 43 2 2" xfId="23785" xr:uid="{D221E528-5A18-466D-930E-478728314FDF}"/>
    <cellStyle name="20% - Énfasis3 43 2 3" xfId="29653" xr:uid="{4A315E43-8769-4C10-95FF-55BC82F3004F}"/>
    <cellStyle name="20% - Énfasis3 43 2 4" xfId="35535" xr:uid="{D24F4EB0-30EC-4A99-B881-640C64B48553}"/>
    <cellStyle name="20% - Énfasis3 43 2 5" xfId="41394" xr:uid="{03632730-2778-41E8-AB34-2EA35C08129B}"/>
    <cellStyle name="20% - Énfasis3 43 3" xfId="21000" xr:uid="{1F2A7055-0FF8-42F9-ABEF-A606ACA5BAA3}"/>
    <cellStyle name="20% - Énfasis3 43 4" xfId="26811" xr:uid="{1AFE5C8C-FA0D-4889-878A-1031184D5F97}"/>
    <cellStyle name="20% - Énfasis3 43 5" xfId="32686" xr:uid="{DC008AC2-A499-497A-8D4A-CBCA6096E780}"/>
    <cellStyle name="20% - Énfasis3 43 6" xfId="38550" xr:uid="{E42A7588-B77D-46F8-B835-ECCCD8C61FA6}"/>
    <cellStyle name="20% - Énfasis3 44" xfId="6591" xr:uid="{CE3E512B-BEB3-4787-82A1-A4F711F47612}"/>
    <cellStyle name="20% - Énfasis3 44 2" xfId="9451" xr:uid="{E9C46002-5F79-49BB-BB4F-40E7AB85842B}"/>
    <cellStyle name="20% - Énfasis3 44 2 2" xfId="23813" xr:uid="{25C0ED4F-2357-4810-B803-A347F8D27D00}"/>
    <cellStyle name="20% - Énfasis3 44 2 3" xfId="29682" xr:uid="{FCE32C75-9FFD-4D5B-8B54-11C9414FABBE}"/>
    <cellStyle name="20% - Énfasis3 44 2 4" xfId="35564" xr:uid="{B72B3628-E7B7-4911-B46F-99065E7A4B87}"/>
    <cellStyle name="20% - Énfasis3 44 2 5" xfId="41423" xr:uid="{26992AD9-24F6-407F-A06B-CD48532C3FDD}"/>
    <cellStyle name="20% - Énfasis3 44 3" xfId="21029" xr:uid="{74ECD813-B84E-446D-82B0-F8C197E8C859}"/>
    <cellStyle name="20% - Énfasis3 44 4" xfId="26840" xr:uid="{43AEA0F3-8C54-42E7-95FF-5C3DBE57C6ED}"/>
    <cellStyle name="20% - Énfasis3 44 5" xfId="32715" xr:uid="{89DE977F-A32A-48BC-9A8E-9CEFF69DF6B9}"/>
    <cellStyle name="20% - Énfasis3 44 6" xfId="38579" xr:uid="{64766F33-BF56-4796-BB77-CD3AE62CF62B}"/>
    <cellStyle name="20% - Énfasis3 45" xfId="6616" xr:uid="{4083D488-161C-4861-A373-A66DC0BF5910}"/>
    <cellStyle name="20% - Énfasis3 45 2" xfId="9476" xr:uid="{57B99837-1F80-4A4B-AD13-4CBB25AA430B}"/>
    <cellStyle name="20% - Énfasis3 45 2 2" xfId="23838" xr:uid="{F7670FC4-9C0A-484F-B712-475EF0913566}"/>
    <cellStyle name="20% - Énfasis3 45 2 3" xfId="29707" xr:uid="{6E1BE82E-3C35-447B-883D-4F48737D7B2D}"/>
    <cellStyle name="20% - Énfasis3 45 2 4" xfId="35589" xr:uid="{63B7AD52-22F4-4AE5-A5D9-4E2FF0089520}"/>
    <cellStyle name="20% - Énfasis3 45 2 5" xfId="41448" xr:uid="{D400D3F7-4C69-4AC6-B054-4C83FD858658}"/>
    <cellStyle name="20% - Énfasis3 45 3" xfId="21053" xr:uid="{0A2E99B5-4684-443B-9427-2580AAAB3F10}"/>
    <cellStyle name="20% - Énfasis3 45 4" xfId="26865" xr:uid="{3314D82E-943B-418F-9AD8-B44628B2EE91}"/>
    <cellStyle name="20% - Énfasis3 45 5" xfId="32740" xr:uid="{A6FCB87B-D76C-4B83-844F-E52C9D56B31B}"/>
    <cellStyle name="20% - Énfasis3 45 6" xfId="38604" xr:uid="{62E2AAB6-FB90-4D53-AE65-AF4C3F4D64C6}"/>
    <cellStyle name="20% - Énfasis3 46" xfId="6638" xr:uid="{66A48FC3-DA66-488F-B599-74E57DE86155}"/>
    <cellStyle name="20% - Énfasis3 46 2" xfId="21075" xr:uid="{B1FEFB00-5E7D-444F-8C2D-4F736A7B292E}"/>
    <cellStyle name="20% - Énfasis3 46 3" xfId="26887" xr:uid="{372382F9-32CE-4009-99AD-299F549D5956}"/>
    <cellStyle name="20% - Énfasis3 46 4" xfId="32762" xr:uid="{5930F083-16E4-40EA-B531-7BCCA6F9AFD2}"/>
    <cellStyle name="20% - Énfasis3 46 5" xfId="38626" xr:uid="{BC412146-6E19-4BA6-AF71-785E9F9AD351}"/>
    <cellStyle name="20% - Énfasis3 47" xfId="6668" xr:uid="{5BB252B9-40E7-4DEC-A778-DB1DDCDC2E7F}"/>
    <cellStyle name="20% - Énfasis3 47 2" xfId="21097" xr:uid="{FC199B39-E11A-4D21-85FF-B316C58A39CC}"/>
    <cellStyle name="20% - Énfasis3 47 3" xfId="26909" xr:uid="{DE18DA31-6342-45DE-AFB9-E1FFF4EE92D3}"/>
    <cellStyle name="20% - Énfasis3 47 4" xfId="32784" xr:uid="{1D242112-3603-4077-B9BE-E314B1EE9E3B}"/>
    <cellStyle name="20% - Énfasis3 47 5" xfId="38648" xr:uid="{EA7A2FBE-CCAC-476F-8214-F96E4C0AFFDB}"/>
    <cellStyle name="20% - Énfasis3 48" xfId="9490" xr:uid="{F8495D2A-A571-4D6E-8938-326C1741D3C7}"/>
    <cellStyle name="20% - Énfasis3 48 2" xfId="23852" xr:uid="{D97C8BD2-4A7D-48FE-AF25-4BB56740067D}"/>
    <cellStyle name="20% - Énfasis3 48 3" xfId="29721" xr:uid="{2E2C9334-8A6E-4B5F-BF38-7D5F81DD168F}"/>
    <cellStyle name="20% - Énfasis3 48 4" xfId="35603" xr:uid="{9BB0FEDF-B1A6-45D4-A94F-A62C11138F31}"/>
    <cellStyle name="20% - Énfasis3 48 5" xfId="41462" xr:uid="{B92DC437-CE01-478D-AAA0-E6901B744EBC}"/>
    <cellStyle name="20% - Énfasis3 49" xfId="9517" xr:uid="{79BA1D56-1A4A-46E3-B269-9CC678153524}"/>
    <cellStyle name="20% - Énfasis3 49 2" xfId="23878" xr:uid="{AEAE2038-533B-4492-914B-AE8001526968}"/>
    <cellStyle name="20% - Énfasis3 49 3" xfId="29748" xr:uid="{8E62BE50-C7D4-4AD2-B4CB-B1B16D8719EB}"/>
    <cellStyle name="20% - Énfasis3 49 4" xfId="35630" xr:uid="{EEF900B1-7B02-449C-B485-61C721A4F17D}"/>
    <cellStyle name="20% - Énfasis3 49 5" xfId="41489" xr:uid="{3B1C8777-4578-4CDB-9B40-98E0DB87DC9A}"/>
    <cellStyle name="20% - Énfasis3 5" xfId="3916" xr:uid="{3432B032-1F7E-417B-9DA8-E95F280D49A9}"/>
    <cellStyle name="20% - Énfasis3 5 10" xfId="35908" xr:uid="{AECD9B4D-0A38-4CB4-8347-BFA81547BF63}"/>
    <cellStyle name="20% - Énfasis3 5 2" xfId="4110" xr:uid="{E3DD19B6-5B7E-4B04-895E-2DE2980F1B0E}"/>
    <cellStyle name="20% - Énfasis3 5 2 2" xfId="4588" xr:uid="{6DE26D70-2FB0-46FE-98D0-AEA94B712AFE}"/>
    <cellStyle name="20% - Énfasis3 5 2 2 2" xfId="5556" xr:uid="{78FB9CE6-37B7-4B8A-A581-351B5EBE9802}"/>
    <cellStyle name="20% - Énfasis3 5 2 2 2 2" xfId="8423" xr:uid="{62F31E28-E02E-42A3-8D44-C20661A77512}"/>
    <cellStyle name="20% - Énfasis3 5 2 2 2 2 2" xfId="22798" xr:uid="{9DEFFE03-11F3-4F66-BB8F-BC3EABECA370}"/>
    <cellStyle name="20% - Énfasis3 5 2 2 2 2 3" xfId="28656" xr:uid="{7EE66531-1C3C-4EF3-BE71-C1C425D71853}"/>
    <cellStyle name="20% - Énfasis3 5 2 2 2 2 4" xfId="34538" xr:uid="{DB6E1176-D7A7-4972-B0E4-9D36A84D9734}"/>
    <cellStyle name="20% - Énfasis3 5 2 2 2 2 5" xfId="40402" xr:uid="{C8EF61CF-02A6-49F5-8574-F4B30D6AF0FA}"/>
    <cellStyle name="20% - Énfasis3 5 2 2 2 3" xfId="20016" xr:uid="{E0938096-0131-4AF1-9F6F-4DBA592C2A9C}"/>
    <cellStyle name="20% - Énfasis3 5 2 2 2 4" xfId="25807" xr:uid="{A707D023-F88A-487B-984D-F1B4CE77ACAA}"/>
    <cellStyle name="20% - Énfasis3 5 2 2 2 5" xfId="31681" xr:uid="{BBF6BEF1-20B0-4A6F-9F1E-DDB9C0BEAA43}"/>
    <cellStyle name="20% - Énfasis3 5 2 2 2 6" xfId="37551" xr:uid="{0795FFFA-35DB-48A9-8DCA-13C86029EC1E}"/>
    <cellStyle name="20% - Énfasis3 5 2 2 3" xfId="7451" xr:uid="{DAC9F332-8C79-4CB9-A65F-BC12CB75C563}"/>
    <cellStyle name="20% - Énfasis3 5 2 2 3 2" xfId="21853" xr:uid="{48F150FA-D3A3-4412-9075-B5C019565AC2}"/>
    <cellStyle name="20% - Énfasis3 5 2 2 3 3" xfId="27685" xr:uid="{2CF8035A-8535-4083-9C38-FA4DEB4F621C}"/>
    <cellStyle name="20% - Énfasis3 5 2 2 3 4" xfId="33567" xr:uid="{7820DA1D-A2E0-4783-AEA6-CC3A752542D4}"/>
    <cellStyle name="20% - Énfasis3 5 2 2 3 5" xfId="39431" xr:uid="{E69F3E30-6778-493B-A620-24C4D6144CD7}"/>
    <cellStyle name="20% - Énfasis3 5 2 2 4" xfId="19083" xr:uid="{5805BB83-1224-4DDC-A332-59268781F844}"/>
    <cellStyle name="20% - Énfasis3 5 2 2 5" xfId="24836" xr:uid="{41C7BCE7-D5D7-49F2-BD6F-247D5154BC88}"/>
    <cellStyle name="20% - Énfasis3 5 2 2 6" xfId="30713" xr:uid="{8816C071-FCF6-495F-9670-130F01F575A3}"/>
    <cellStyle name="20% - Énfasis3 5 2 2 7" xfId="36594" xr:uid="{139571AF-4C62-4DBC-905E-0EF84FBE8AD9}"/>
    <cellStyle name="20% - Énfasis3 5 2 3" xfId="5071" xr:uid="{08F3FF00-F3F7-4ED9-ABBC-63CDB1EE4CB8}"/>
    <cellStyle name="20% - Énfasis3 5 2 3 2" xfId="7938" xr:uid="{87FBAA8D-9E27-48CA-9A03-18E0972C4CD3}"/>
    <cellStyle name="20% - Énfasis3 5 2 3 2 2" xfId="22323" xr:uid="{8F59C5F2-C11C-4C26-AF4E-776C95F48528}"/>
    <cellStyle name="20% - Énfasis3 5 2 3 2 3" xfId="28171" xr:uid="{AC6B35FE-013B-4B6D-B0AC-87E2A2256138}"/>
    <cellStyle name="20% - Énfasis3 5 2 3 2 4" xfId="34053" xr:uid="{FEBF7447-064A-4DE4-A5FD-2F6F8FED2CB8}"/>
    <cellStyle name="20% - Énfasis3 5 2 3 2 5" xfId="39917" xr:uid="{7B991772-80C0-4DDE-9C02-275BB8664AEC}"/>
    <cellStyle name="20% - Énfasis3 5 2 3 3" xfId="19548" xr:uid="{930C4A19-A023-4492-BAF7-586851DECE25}"/>
    <cellStyle name="20% - Énfasis3 5 2 3 4" xfId="25322" xr:uid="{E7FD63B2-D78F-4DB4-9167-9C2E70677D50}"/>
    <cellStyle name="20% - Énfasis3 5 2 3 5" xfId="31196" xr:uid="{F9CDCD11-5033-4B7E-827C-39589A0C0A12}"/>
    <cellStyle name="20% - Énfasis3 5 2 3 6" xfId="37074" xr:uid="{2490268D-04A0-4232-9F8E-F0C05750701E}"/>
    <cellStyle name="20% - Énfasis3 5 2 4" xfId="6966" xr:uid="{0BC9CFCC-3D53-4108-BBCD-EA4A29CC6851}"/>
    <cellStyle name="20% - Énfasis3 5 2 4 2" xfId="21385" xr:uid="{124D16DA-FB4C-4F7C-8AAD-7FF5B40AD87E}"/>
    <cellStyle name="20% - Énfasis3 5 2 4 3" xfId="27204" xr:uid="{2EE544BD-302F-488E-94A3-33BEAD9D81F4}"/>
    <cellStyle name="20% - Énfasis3 5 2 4 4" xfId="33082" xr:uid="{A5BFCF44-2482-4050-A6CF-0A3213A25E40}"/>
    <cellStyle name="20% - Énfasis3 5 2 4 5" xfId="38946" xr:uid="{80FAF6F6-7ABA-4D99-821C-B3DC20B18E39}"/>
    <cellStyle name="20% - Énfasis3 5 2 5" xfId="18639" xr:uid="{71ED44D7-4D25-40AF-A58D-0F0122798637}"/>
    <cellStyle name="20% - Énfasis3 5 2 6" xfId="24353" xr:uid="{01C38AD6-E269-4A49-A351-3054183ED8AD}"/>
    <cellStyle name="20% - Énfasis3 5 2 7" xfId="30231" xr:uid="{20DCD37D-C6F4-457F-A729-F1F838F3ED58}"/>
    <cellStyle name="20% - Énfasis3 5 2 8" xfId="36110" xr:uid="{7432DFFC-4538-47DD-8A50-80B1E027592E}"/>
    <cellStyle name="20% - Énfasis3 5 3" xfId="4394" xr:uid="{EE5F4E43-67A4-4460-ABA9-DA0B1382988F}"/>
    <cellStyle name="20% - Énfasis3 5 3 2" xfId="5360" xr:uid="{77BB7994-3A22-4E1D-952A-7DB41866739E}"/>
    <cellStyle name="20% - Énfasis3 5 3 2 2" xfId="8227" xr:uid="{AF3503A3-B2EC-429A-A3AD-6E7243D02D36}"/>
    <cellStyle name="20% - Énfasis3 5 3 2 2 2" xfId="22603" xr:uid="{83DBA2E2-67BC-4395-9198-7E4806B09944}"/>
    <cellStyle name="20% - Énfasis3 5 3 2 2 3" xfId="28460" xr:uid="{60651BA3-93ED-4C06-9865-B8C57E7B1996}"/>
    <cellStyle name="20% - Énfasis3 5 3 2 2 4" xfId="34342" xr:uid="{163BEEC7-F428-4CBD-88AC-14F95ECD0BA2}"/>
    <cellStyle name="20% - Énfasis3 5 3 2 2 5" xfId="40206" xr:uid="{21514F88-CE4F-4F3F-A747-ED7CCB1DBE6E}"/>
    <cellStyle name="20% - Énfasis3 5 3 2 3" xfId="19827" xr:uid="{02358846-266E-48B2-BBC2-3BCFB24DAF2C}"/>
    <cellStyle name="20% - Énfasis3 5 3 2 4" xfId="25611" xr:uid="{A5D8A92B-BF80-433B-B62B-9451AE2C9187}"/>
    <cellStyle name="20% - Énfasis3 5 3 2 5" xfId="31485" xr:uid="{E59EE92E-3040-40FB-AE1A-480CBB4BC4A6}"/>
    <cellStyle name="20% - Énfasis3 5 3 2 6" xfId="37356" xr:uid="{39172D28-CA13-457E-850A-DC11DB0DB95B}"/>
    <cellStyle name="20% - Énfasis3 5 3 3" xfId="7255" xr:uid="{631E82C9-E8EE-455F-9509-64BEE755E4ED}"/>
    <cellStyle name="20% - Énfasis3 5 3 3 2" xfId="21662" xr:uid="{52A81CFD-3923-4031-866E-5126DB98A29E}"/>
    <cellStyle name="20% - Énfasis3 5 3 3 3" xfId="27489" xr:uid="{F82347CC-7301-45E4-B200-5253C3C5858E}"/>
    <cellStyle name="20% - Énfasis3 5 3 3 4" xfId="33371" xr:uid="{423D90BD-458D-4244-AABD-B7D5541DF4EA}"/>
    <cellStyle name="20% - Énfasis3 5 3 3 5" xfId="39235" xr:uid="{1E272D26-977C-424C-9C48-6DBB0C6B29A2}"/>
    <cellStyle name="20% - Énfasis3 5 3 4" xfId="18896" xr:uid="{1A620C37-A7A0-46A7-AF1C-D5B18EC2616A}"/>
    <cellStyle name="20% - Énfasis3 5 3 5" xfId="24640" xr:uid="{B15AE5B1-EFAA-4AA6-BFFE-6AC9E970DA23}"/>
    <cellStyle name="20% - Énfasis3 5 3 6" xfId="30519" xr:uid="{F9F6EC5A-6B3E-4A8F-9658-808E79E73AB8}"/>
    <cellStyle name="20% - Énfasis3 5 3 7" xfId="36399" xr:uid="{EA49DA8A-FAD5-4794-83A9-13E5EA8F7A4A}"/>
    <cellStyle name="20% - Énfasis3 5 4" xfId="4875" xr:uid="{E4024931-9B2E-44CA-B722-5F9BF1B40E19}"/>
    <cellStyle name="20% - Énfasis3 5 4 2" xfId="7742" xr:uid="{014DE48E-BD1C-4B95-B6BE-7C93046F28BB}"/>
    <cellStyle name="20% - Énfasis3 5 4 2 2" xfId="22132" xr:uid="{AAFFA98A-6E01-4D17-8C41-AAFC0AA7472D}"/>
    <cellStyle name="20% - Énfasis3 5 4 2 3" xfId="27975" xr:uid="{4838A1B1-E578-4CDD-9B1A-2BDDB6AB0EC3}"/>
    <cellStyle name="20% - Énfasis3 5 4 2 4" xfId="33857" xr:uid="{3591CAE1-421F-4E8B-933D-590F526AAB58}"/>
    <cellStyle name="20% - Énfasis3 5 4 2 5" xfId="39721" xr:uid="{5098B40E-15F6-459A-9F84-04D55799E639}"/>
    <cellStyle name="20% - Énfasis3 5 4 3" xfId="19358" xr:uid="{6558735A-9C59-4730-8255-9046BEEA0EED}"/>
    <cellStyle name="20% - Énfasis3 5 4 4" xfId="25126" xr:uid="{7CCEE98A-7197-4397-9E5D-80BFCD27D1D6}"/>
    <cellStyle name="20% - Énfasis3 5 4 5" xfId="31000" xr:uid="{D4781AA2-51D8-4722-B241-A66D6ADE1EE1}"/>
    <cellStyle name="20% - Énfasis3 5 4 6" xfId="36879" xr:uid="{77577447-3749-4968-A228-38BBAF2FE2CD}"/>
    <cellStyle name="20% - Énfasis3 5 5" xfId="5885" xr:uid="{B701AE09-3BCF-413E-B51C-9F4ADBB94AE0}"/>
    <cellStyle name="20% - Énfasis3 5 5 2" xfId="8754" xr:uid="{90F9A5EF-9A05-419A-B31A-516554814BA5}"/>
    <cellStyle name="20% - Énfasis3 5 5 2 2" xfId="23122" xr:uid="{9B693F9E-51B4-4DF9-A573-9280F8051B19}"/>
    <cellStyle name="20% - Énfasis3 5 5 2 3" xfId="28986" xr:uid="{6FDFEFC3-3637-4864-AE24-B66C1E80A1B3}"/>
    <cellStyle name="20% - Énfasis3 5 5 2 4" xfId="34868" xr:uid="{06A3B40B-F022-45E8-9EE8-59539B8A4925}"/>
    <cellStyle name="20% - Énfasis3 5 5 2 5" xfId="40732" xr:uid="{6C03DF9C-EF1F-41B0-951B-F7FEEC2FCC22}"/>
    <cellStyle name="20% - Énfasis3 5 5 3" xfId="20336" xr:uid="{E4EC6902-2E2E-4F09-A2DE-054E180F7AEE}"/>
    <cellStyle name="20% - Énfasis3 5 5 4" xfId="26136" xr:uid="{D4C01A67-BA91-4B33-8127-3F646C8F6EEF}"/>
    <cellStyle name="20% - Énfasis3 5 5 5" xfId="32011" xr:uid="{70837E01-C62C-4CB7-B1A0-D95F16FA0E67}"/>
    <cellStyle name="20% - Énfasis3 5 5 6" xfId="37877" xr:uid="{30100D7C-D887-46C3-92BE-3E2BB0855621}"/>
    <cellStyle name="20% - Énfasis3 5 6" xfId="6771" xr:uid="{30095EE2-528E-4EC4-8845-B4A4BB0A4A6C}"/>
    <cellStyle name="20% - Énfasis3 5 6 2" xfId="21195" xr:uid="{0D8083AD-5BF0-462D-9155-8393037C606A}"/>
    <cellStyle name="20% - Énfasis3 5 6 3" xfId="27010" xr:uid="{5464536E-F82C-4C72-A082-8DA42D230CDA}"/>
    <cellStyle name="20% - Énfasis3 5 6 4" xfId="32886" xr:uid="{A7A39AA1-8DBB-4891-B9D3-7B092237B191}"/>
    <cellStyle name="20% - Énfasis3 5 6 5" xfId="38750" xr:uid="{7B56C5EF-8614-472C-B140-22E51CB3AEDA}"/>
    <cellStyle name="20% - Énfasis3 5 7" xfId="18441" xr:uid="{29AF84C4-610D-43C2-A8C9-3FD7058B6B45}"/>
    <cellStyle name="20% - Énfasis3 5 8" xfId="24149" xr:uid="{1F4A7F9F-14FF-4B25-855E-59F955F78267}"/>
    <cellStyle name="20% - Énfasis3 5 9" xfId="30027" xr:uid="{30A1B833-C61B-4C8E-9083-8CE80B3FD822}"/>
    <cellStyle name="20% - Énfasis3 50" xfId="9536" xr:uid="{43E1E26C-F6BC-4856-81E5-A433D6BF4853}"/>
    <cellStyle name="20% - Énfasis3 50 2" xfId="23898" xr:uid="{277ADF35-E374-48C4-BA08-A18F62DB289C}"/>
    <cellStyle name="20% - Énfasis3 50 3" xfId="29768" xr:uid="{D123867E-53EE-4022-AF03-D3E2C25D8732}"/>
    <cellStyle name="20% - Énfasis3 50 4" xfId="35650" xr:uid="{10AFF646-DFE8-457F-BD60-1A61E4386169}"/>
    <cellStyle name="20% - Énfasis3 50 5" xfId="41509" xr:uid="{D62B422A-86F3-4464-AF30-31713D133E7B}"/>
    <cellStyle name="20% - Énfasis3 51" xfId="9562" xr:uid="{A3B8F90C-07F3-4474-8EA9-F73982C821F2}"/>
    <cellStyle name="20% - Énfasis3 51 2" xfId="23924" xr:uid="{E698C37F-F497-49CF-BF0F-687CDBC86446}"/>
    <cellStyle name="20% - Énfasis3 51 3" xfId="29794" xr:uid="{3627C9DD-3B08-4A36-B478-62A210BFF63A}"/>
    <cellStyle name="20% - Énfasis3 51 4" xfId="35676" xr:uid="{B69356E2-C28A-4152-81B7-FFDFB71A3F96}"/>
    <cellStyle name="20% - Énfasis3 51 5" xfId="41535" xr:uid="{8823A760-2C40-49B8-8CD9-F7B03393CA67}"/>
    <cellStyle name="20% - Énfasis3 52" xfId="15764" xr:uid="{C265A95F-16C7-483F-A4B2-58D541197A76}"/>
    <cellStyle name="20% - Énfasis3 52 2" xfId="23984" xr:uid="{8F9DA3BA-FAAB-453A-8EBA-35C7C38AEC7E}"/>
    <cellStyle name="20% - Énfasis3 52 3" xfId="29856" xr:uid="{0387145E-694E-4FA2-9B2D-82EC515BDFA3}"/>
    <cellStyle name="20% - Énfasis3 52 4" xfId="35738" xr:uid="{725D5618-2683-4A07-BF1C-ABB3F125F6C2}"/>
    <cellStyle name="20% - Énfasis3 52 5" xfId="41597" xr:uid="{26C25433-9467-4669-A374-E065353AD2EE}"/>
    <cellStyle name="20% - Énfasis3 53" xfId="15788" xr:uid="{1F41981A-DB11-4D0C-A96E-9E2194EF3A95}"/>
    <cellStyle name="20% - Énfasis3 53 2" xfId="24005" xr:uid="{632116E2-7A28-4B88-AA13-14B353866AC6}"/>
    <cellStyle name="20% - Énfasis3 53 3" xfId="29880" xr:uid="{B45FC323-6374-4BE9-93E1-71603F02EE30}"/>
    <cellStyle name="20% - Énfasis3 53 4" xfId="35762" xr:uid="{3F396B19-EB82-4B5D-80B1-0485187FB23C}"/>
    <cellStyle name="20% - Énfasis3 53 5" xfId="41621" xr:uid="{9F6374CE-285C-4DD8-90E1-4A3A80D9C334}"/>
    <cellStyle name="20% - Énfasis3 54" xfId="15823" xr:uid="{EA3E0ED9-7375-428F-8979-7901B13417FA}"/>
    <cellStyle name="20% - Énfasis3 55" xfId="18298" xr:uid="{FE7AE352-5AF9-45F2-B694-18B12DDE67A7}"/>
    <cellStyle name="20% - Énfasis3 56" xfId="18321" xr:uid="{6B4E7F87-B05B-4078-978C-003DAD0AE876}"/>
    <cellStyle name="20% - Énfasis3 57" xfId="24033" xr:uid="{E21B1C3E-FBBA-4EC3-9EF7-DE0FF1FE687A}"/>
    <cellStyle name="20% - Énfasis3 58" xfId="29911" xr:uid="{310CF510-81A1-4C2C-B60B-38FC135D8964}"/>
    <cellStyle name="20% - Énfasis3 59" xfId="35792" xr:uid="{B3E3AC9A-D584-4805-A5F3-FC9DBDB53799}"/>
    <cellStyle name="20% - Énfasis3 6" xfId="3940" xr:uid="{75233D97-F4BE-40E5-8D8A-8984B770A39A}"/>
    <cellStyle name="20% - Énfasis3 6 10" xfId="35931" xr:uid="{58C0FAE6-9FB7-4F95-B1D4-33CE7C8AAA43}"/>
    <cellStyle name="20% - Énfasis3 6 2" xfId="4132" xr:uid="{16D50A9D-A09F-40E8-BF45-149BFE9E9831}"/>
    <cellStyle name="20% - Énfasis3 6 2 2" xfId="4610" xr:uid="{0B7FBA11-043F-4D6F-B891-6974E55485B1}"/>
    <cellStyle name="20% - Énfasis3 6 2 2 2" xfId="5578" xr:uid="{AC6DE846-D94D-4792-B9B8-FC2A1A7DE5B4}"/>
    <cellStyle name="20% - Énfasis3 6 2 2 2 2" xfId="8445" xr:uid="{93DE8301-583C-4453-B6FD-F1FF0F6B1E76}"/>
    <cellStyle name="20% - Énfasis3 6 2 2 2 2 2" xfId="22820" xr:uid="{BE469C42-4239-43B7-AA95-8AA084C9BCCC}"/>
    <cellStyle name="20% - Énfasis3 6 2 2 2 2 3" xfId="28678" xr:uid="{E3158EDD-8EF9-4BE2-B413-779CC1628FFD}"/>
    <cellStyle name="20% - Énfasis3 6 2 2 2 2 4" xfId="34560" xr:uid="{EDD0CAA8-EC2F-4A2E-9285-A5EC3200BB37}"/>
    <cellStyle name="20% - Énfasis3 6 2 2 2 2 5" xfId="40424" xr:uid="{8B751C5F-0C1E-4E9D-BA88-404898088295}"/>
    <cellStyle name="20% - Énfasis3 6 2 2 2 3" xfId="20038" xr:uid="{33EFD4C5-473C-428A-86EA-235A3A58F408}"/>
    <cellStyle name="20% - Énfasis3 6 2 2 2 4" xfId="25829" xr:uid="{AA5F63E1-C225-4311-B563-8FC11F78F1B3}"/>
    <cellStyle name="20% - Énfasis3 6 2 2 2 5" xfId="31703" xr:uid="{5CEF60DC-188E-4C22-A403-AEE4C360C0FD}"/>
    <cellStyle name="20% - Énfasis3 6 2 2 2 6" xfId="37573" xr:uid="{53AB3BEB-360B-431A-8A69-C601BA38F5B3}"/>
    <cellStyle name="20% - Énfasis3 6 2 2 3" xfId="7473" xr:uid="{1196AB07-BC63-49B9-B548-F3F99AF89FFB}"/>
    <cellStyle name="20% - Énfasis3 6 2 2 3 2" xfId="21875" xr:uid="{915441A5-76A5-492D-B1B2-29BA79470F91}"/>
    <cellStyle name="20% - Énfasis3 6 2 2 3 3" xfId="27707" xr:uid="{56E9F2DD-8DD0-4887-A960-B0CBC48F5D4E}"/>
    <cellStyle name="20% - Énfasis3 6 2 2 3 4" xfId="33589" xr:uid="{7103D01A-A68D-4178-B8B4-6C8F9D0DCFE8}"/>
    <cellStyle name="20% - Énfasis3 6 2 2 3 5" xfId="39453" xr:uid="{1A52FA80-060A-41C8-A4A6-9E6E7DE10C7B}"/>
    <cellStyle name="20% - Énfasis3 6 2 2 4" xfId="19105" xr:uid="{C6C30C0E-B030-4E48-8713-0FF7931EDA49}"/>
    <cellStyle name="20% - Énfasis3 6 2 2 5" xfId="24858" xr:uid="{C315B4E7-4E15-4E6F-A844-F7B1C8DE31D1}"/>
    <cellStyle name="20% - Énfasis3 6 2 2 6" xfId="30735" xr:uid="{0D221082-A232-430E-88CD-14318C5E0B5E}"/>
    <cellStyle name="20% - Énfasis3 6 2 2 7" xfId="36616" xr:uid="{6EE00828-11F2-4AC9-B9DE-2B4C15B390F7}"/>
    <cellStyle name="20% - Énfasis3 6 2 3" xfId="5093" xr:uid="{A1B60C73-B2CF-4719-B113-74CC704B8C95}"/>
    <cellStyle name="20% - Énfasis3 6 2 3 2" xfId="7960" xr:uid="{656421B0-29F0-44B6-AC39-210EC0942405}"/>
    <cellStyle name="20% - Énfasis3 6 2 3 2 2" xfId="22345" xr:uid="{02029667-6D2A-464A-9C56-859BC8273E8F}"/>
    <cellStyle name="20% - Énfasis3 6 2 3 2 3" xfId="28193" xr:uid="{D84B0D20-F749-45D7-91E2-3B1462D5CCDC}"/>
    <cellStyle name="20% - Énfasis3 6 2 3 2 4" xfId="34075" xr:uid="{E5A9CCCC-F0F0-4128-B0E8-CD7886472238}"/>
    <cellStyle name="20% - Énfasis3 6 2 3 2 5" xfId="39939" xr:uid="{EDFCC4DA-054B-4E43-A059-5F7AD1CA544A}"/>
    <cellStyle name="20% - Énfasis3 6 2 3 3" xfId="19570" xr:uid="{230AF624-7D4D-465B-A0D8-8768F8675196}"/>
    <cellStyle name="20% - Énfasis3 6 2 3 4" xfId="25344" xr:uid="{33885A3E-B139-482F-A7F7-3EEADE6FC428}"/>
    <cellStyle name="20% - Énfasis3 6 2 3 5" xfId="31218" xr:uid="{F5DA40E8-B583-4F99-BFD9-08C1F1D9CF56}"/>
    <cellStyle name="20% - Énfasis3 6 2 3 6" xfId="37096" xr:uid="{59B9A3FB-7CC2-47FF-9A9F-E13FAC792C8A}"/>
    <cellStyle name="20% - Énfasis3 6 2 4" xfId="6988" xr:uid="{B6704C79-CDD0-474C-821C-BA2CA1C9B085}"/>
    <cellStyle name="20% - Énfasis3 6 2 4 2" xfId="21407" xr:uid="{684D0383-D79B-462E-B788-93C6351886A8}"/>
    <cellStyle name="20% - Énfasis3 6 2 4 3" xfId="27226" xr:uid="{08E62150-F6C9-4654-9FA5-439DDE68D4A8}"/>
    <cellStyle name="20% - Énfasis3 6 2 4 4" xfId="33104" xr:uid="{BC5F9AF2-4AC4-464E-AEBF-A75AC6193E63}"/>
    <cellStyle name="20% - Énfasis3 6 2 4 5" xfId="38968" xr:uid="{A8279D67-63EF-41FB-880B-2060B8406FC9}"/>
    <cellStyle name="20% - Énfasis3 6 2 5" xfId="18661" xr:uid="{0349D63B-C276-4C05-818E-C3F05B6CD674}"/>
    <cellStyle name="20% - Énfasis3 6 2 6" xfId="24375" xr:uid="{1BBBF206-A315-4F26-8FB6-F42C6613129C}"/>
    <cellStyle name="20% - Énfasis3 6 2 7" xfId="30253" xr:uid="{FF8703A4-FAAE-4CB6-A4DB-41FC2560525C}"/>
    <cellStyle name="20% - Énfasis3 6 2 8" xfId="36132" xr:uid="{879F8AE8-B3BC-446A-B50F-7B814F7F48AB}"/>
    <cellStyle name="20% - Énfasis3 6 3" xfId="4416" xr:uid="{914AD729-0B9E-4603-91BF-DFED4F010C65}"/>
    <cellStyle name="20% - Énfasis3 6 3 2" xfId="5382" xr:uid="{FD1B1B7B-EEB6-4C3F-B83D-0A6AAF3B8FB7}"/>
    <cellStyle name="20% - Énfasis3 6 3 2 2" xfId="8249" xr:uid="{7852B2BD-C89C-4F04-BB4B-3C0D2E47C0C4}"/>
    <cellStyle name="20% - Énfasis3 6 3 2 2 2" xfId="22625" xr:uid="{19CDBFCF-1993-403E-8469-3A3208DA40BE}"/>
    <cellStyle name="20% - Énfasis3 6 3 2 2 3" xfId="28482" xr:uid="{82719FE6-AB91-4A28-91ED-133694E56C2B}"/>
    <cellStyle name="20% - Énfasis3 6 3 2 2 4" xfId="34364" xr:uid="{D5CCE54C-26A9-4484-B66E-2F08E4A0840A}"/>
    <cellStyle name="20% - Énfasis3 6 3 2 2 5" xfId="40228" xr:uid="{D3694379-549E-4647-9191-2460CE52DB86}"/>
    <cellStyle name="20% - Énfasis3 6 3 2 3" xfId="19849" xr:uid="{4D55B960-1F13-4AD3-9E63-F93939C24D42}"/>
    <cellStyle name="20% - Énfasis3 6 3 2 4" xfId="25633" xr:uid="{4F856633-9B61-457E-8A55-2B5A8C4E6B68}"/>
    <cellStyle name="20% - Énfasis3 6 3 2 5" xfId="31507" xr:uid="{46C3C781-9936-42B2-ACA3-6AC01549A747}"/>
    <cellStyle name="20% - Énfasis3 6 3 2 6" xfId="37378" xr:uid="{8A305819-BE15-49D2-9134-C3DB0A90F6A5}"/>
    <cellStyle name="20% - Énfasis3 6 3 3" xfId="7277" xr:uid="{2E6D53AF-E476-4BE9-B13D-06A50878CE09}"/>
    <cellStyle name="20% - Énfasis3 6 3 3 2" xfId="21684" xr:uid="{FB4650EC-739A-479F-8B8E-3F5CA2F8AB7A}"/>
    <cellStyle name="20% - Énfasis3 6 3 3 3" xfId="27511" xr:uid="{5C95E5FA-7EA5-4A08-933D-063272E92941}"/>
    <cellStyle name="20% - Énfasis3 6 3 3 4" xfId="33393" xr:uid="{AB9DD534-125E-461B-B223-C10544BBFB54}"/>
    <cellStyle name="20% - Énfasis3 6 3 3 5" xfId="39257" xr:uid="{4DD3A1E4-FEAF-40C9-BACB-45ABDA87B159}"/>
    <cellStyle name="20% - Énfasis3 6 3 4" xfId="18918" xr:uid="{23D268F7-385B-4DF2-86D4-183D96D8A03F}"/>
    <cellStyle name="20% - Énfasis3 6 3 5" xfId="24662" xr:uid="{D6328DF2-6EB1-4329-B6E3-21C3DB8A7681}"/>
    <cellStyle name="20% - Énfasis3 6 3 6" xfId="30541" xr:uid="{0824BAEE-B5A7-49AC-BE01-D3CEE16D9469}"/>
    <cellStyle name="20% - Énfasis3 6 3 7" xfId="36421" xr:uid="{E5AB90F3-1DC2-4417-AF62-D86F3BECA4B8}"/>
    <cellStyle name="20% - Énfasis3 6 4" xfId="4897" xr:uid="{7D72C319-BBDD-46F6-B14B-74504958FEE7}"/>
    <cellStyle name="20% - Énfasis3 6 4 2" xfId="7764" xr:uid="{DC0C2D8A-0239-4629-85FC-03BF7DA4EE22}"/>
    <cellStyle name="20% - Énfasis3 6 4 2 2" xfId="22154" xr:uid="{DA17BBD2-1FFA-4180-BA5D-9E5171ED0BD3}"/>
    <cellStyle name="20% - Énfasis3 6 4 2 3" xfId="27997" xr:uid="{480CB5E3-199C-4F6F-9992-CD9B72DDBF3B}"/>
    <cellStyle name="20% - Énfasis3 6 4 2 4" xfId="33879" xr:uid="{ABE35BAA-99C5-49A0-94D3-3B067B18AACD}"/>
    <cellStyle name="20% - Énfasis3 6 4 2 5" xfId="39743" xr:uid="{8EDC1215-774C-4A1D-A5C8-F51F8ECDF597}"/>
    <cellStyle name="20% - Énfasis3 6 4 3" xfId="19380" xr:uid="{09BFF486-75D2-492E-85C7-F6947F41C4E1}"/>
    <cellStyle name="20% - Énfasis3 6 4 4" xfId="25148" xr:uid="{D88F8C0E-CC32-492C-8335-8E13E0C41355}"/>
    <cellStyle name="20% - Énfasis3 6 4 5" xfId="31022" xr:uid="{F3AEEB36-ACE4-40E2-9504-251A0D2E6B45}"/>
    <cellStyle name="20% - Énfasis3 6 4 6" xfId="36901" xr:uid="{9503020A-E176-4883-9C97-4FD0DC3383BB}"/>
    <cellStyle name="20% - Énfasis3 6 5" xfId="5907" xr:uid="{C9EAE326-410E-44B9-89C9-6284F5A6C28A}"/>
    <cellStyle name="20% - Énfasis3 6 5 2" xfId="8776" xr:uid="{68A173AF-0EE6-43E3-AEE4-00B002132F0E}"/>
    <cellStyle name="20% - Énfasis3 6 5 2 2" xfId="23144" xr:uid="{7998B9C4-FC5B-4C02-8F04-73831A34D6C7}"/>
    <cellStyle name="20% - Énfasis3 6 5 2 3" xfId="29008" xr:uid="{7D8DAFE7-7DBB-4A06-A455-5E62BC949C68}"/>
    <cellStyle name="20% - Énfasis3 6 5 2 4" xfId="34890" xr:uid="{E6843106-FEC1-4EF7-B637-1045CF4FA5F1}"/>
    <cellStyle name="20% - Énfasis3 6 5 2 5" xfId="40754" xr:uid="{C86DEE2D-E105-45E5-86E6-AAAC147EA4D5}"/>
    <cellStyle name="20% - Énfasis3 6 5 3" xfId="20358" xr:uid="{AC264E23-1248-4775-A9F7-51A095E370D5}"/>
    <cellStyle name="20% - Énfasis3 6 5 4" xfId="26158" xr:uid="{3B55AA98-6100-4B53-9703-9641880BD9EF}"/>
    <cellStyle name="20% - Énfasis3 6 5 5" xfId="32033" xr:uid="{0F075173-FF14-4920-8F05-2E0F80C8688E}"/>
    <cellStyle name="20% - Énfasis3 6 5 6" xfId="37899" xr:uid="{9E82F2D0-31DF-4DA3-ACE8-E3C6E3F45BBC}"/>
    <cellStyle name="20% - Énfasis3 6 6" xfId="6793" xr:uid="{8174ECD7-0C54-4A84-80CF-A5C9E7515758}"/>
    <cellStyle name="20% - Énfasis3 6 6 2" xfId="21217" xr:uid="{E5D83A2E-18A5-4137-82F4-E88F55D50569}"/>
    <cellStyle name="20% - Énfasis3 6 6 3" xfId="27032" xr:uid="{21267CD4-6F54-4506-A0D6-300F5605EA19}"/>
    <cellStyle name="20% - Énfasis3 6 6 4" xfId="32908" xr:uid="{4B6B30BB-8736-42EB-B2C3-503665A6FD40}"/>
    <cellStyle name="20% - Énfasis3 6 6 5" xfId="38772" xr:uid="{E976F51F-43F6-4581-B90F-720FD0F29A3F}"/>
    <cellStyle name="20% - Énfasis3 6 7" xfId="18464" xr:uid="{73EDDA34-C6A8-4A35-A945-DB34B6889FFC}"/>
    <cellStyle name="20% - Énfasis3 6 8" xfId="24172" xr:uid="{D411D619-B4B2-4032-AACC-B9BFAF842500}"/>
    <cellStyle name="20% - Énfasis3 6 9" xfId="30050" xr:uid="{0D25EEB5-1960-432E-B622-5BD7E318E169}"/>
    <cellStyle name="20% - Énfasis3 7" xfId="3964" xr:uid="{C492D52D-DF1A-4552-A451-6B87293A223D}"/>
    <cellStyle name="20% - Énfasis3 7 10" xfId="35956" xr:uid="{873E16BD-A039-4F97-AB45-86169A47AEAC}"/>
    <cellStyle name="20% - Énfasis3 7 2" xfId="4156" xr:uid="{D09B1DA2-7A4F-44F7-9A49-36CC56708663}"/>
    <cellStyle name="20% - Énfasis3 7 2 2" xfId="4634" xr:uid="{D2EFD8B6-B298-45C2-AD3D-2986CF546021}"/>
    <cellStyle name="20% - Énfasis3 7 2 2 2" xfId="5602" xr:uid="{0D856D9E-5915-4989-A92A-B095B298D86D}"/>
    <cellStyle name="20% - Énfasis3 7 2 2 2 2" xfId="8469" xr:uid="{E3E23713-9E14-47EC-9034-84BC834EC933}"/>
    <cellStyle name="20% - Énfasis3 7 2 2 2 2 2" xfId="22844" xr:uid="{0DE7DAE5-4FF8-4331-A19D-00F7343295E7}"/>
    <cellStyle name="20% - Énfasis3 7 2 2 2 2 3" xfId="28702" xr:uid="{1EE82F92-BCEA-4904-BA3A-AB3591FFFEA4}"/>
    <cellStyle name="20% - Énfasis3 7 2 2 2 2 4" xfId="34584" xr:uid="{1DC3D60B-9A77-4F38-93E3-EC83FACE4A32}"/>
    <cellStyle name="20% - Énfasis3 7 2 2 2 2 5" xfId="40448" xr:uid="{912559D7-FB73-4CBA-AE2C-C0B2944A0DB7}"/>
    <cellStyle name="20% - Énfasis3 7 2 2 2 3" xfId="20061" xr:uid="{CFC8656C-6ABA-4915-811F-6A05C744ED6D}"/>
    <cellStyle name="20% - Énfasis3 7 2 2 2 4" xfId="25853" xr:uid="{3F4DAC98-F000-4D65-B632-A6CEF0350AB5}"/>
    <cellStyle name="20% - Énfasis3 7 2 2 2 5" xfId="31727" xr:uid="{BC48084E-AE14-448E-BF0D-961D13FE9B21}"/>
    <cellStyle name="20% - Énfasis3 7 2 2 2 6" xfId="37597" xr:uid="{3E4EE8F4-8F37-4652-B548-C1B310FD3D3C}"/>
    <cellStyle name="20% - Énfasis3 7 2 2 3" xfId="7497" xr:uid="{F4E635AB-32B8-4FAD-8EEE-EDE97769FD38}"/>
    <cellStyle name="20% - Énfasis3 7 2 2 3 2" xfId="21898" xr:uid="{0B9934B3-2CA2-4F3E-A87B-E17C2AF4D2D0}"/>
    <cellStyle name="20% - Énfasis3 7 2 2 3 3" xfId="27731" xr:uid="{5BB6F9DD-2911-44E9-931F-79DD6443F311}"/>
    <cellStyle name="20% - Énfasis3 7 2 2 3 4" xfId="33613" xr:uid="{99F1CBB7-3C13-4912-AFBF-150AC05602BC}"/>
    <cellStyle name="20% - Énfasis3 7 2 2 3 5" xfId="39477" xr:uid="{6BD12428-334D-4CAB-8852-27689C5B8E96}"/>
    <cellStyle name="20% - Énfasis3 7 2 2 4" xfId="19128" xr:uid="{198A945F-C6E8-4818-AA2F-4DB21C589CC4}"/>
    <cellStyle name="20% - Énfasis3 7 2 2 5" xfId="24882" xr:uid="{468B7110-6BA5-4E12-B18E-A04B437AF344}"/>
    <cellStyle name="20% - Énfasis3 7 2 2 6" xfId="30758" xr:uid="{8FCB393B-2BD0-4866-8F0B-7171C5D99E4B}"/>
    <cellStyle name="20% - Énfasis3 7 2 2 7" xfId="36640" xr:uid="{8EB74BC4-8A23-4061-A1C9-B117F8EEB88C}"/>
    <cellStyle name="20% - Énfasis3 7 2 3" xfId="5117" xr:uid="{A45A58BA-F257-458B-9E7A-95BFF8B9438E}"/>
    <cellStyle name="20% - Énfasis3 7 2 3 2" xfId="7984" xr:uid="{1F293004-5C1E-4A60-98F4-8DDCF4812F8C}"/>
    <cellStyle name="20% - Énfasis3 7 2 3 2 2" xfId="22369" xr:uid="{B7B941D0-4A76-44BF-B4EB-5DD7C7174E03}"/>
    <cellStyle name="20% - Énfasis3 7 2 3 2 3" xfId="28217" xr:uid="{E783585D-A095-445D-BE4C-D688BCD81604}"/>
    <cellStyle name="20% - Énfasis3 7 2 3 2 4" xfId="34099" xr:uid="{76854350-AC16-4EC4-BC88-549D368F43C2}"/>
    <cellStyle name="20% - Énfasis3 7 2 3 2 5" xfId="39963" xr:uid="{6BF6AA27-BD18-494A-8B6B-ABB461798B66}"/>
    <cellStyle name="20% - Énfasis3 7 2 3 3" xfId="19592" xr:uid="{5E3C885B-F5CB-470F-B8BF-2CACB50EFA48}"/>
    <cellStyle name="20% - Énfasis3 7 2 3 4" xfId="25368" xr:uid="{79C9738E-2E89-47AD-914E-69B2BE0B28BA}"/>
    <cellStyle name="20% - Énfasis3 7 2 3 5" xfId="31242" xr:uid="{2E94BE29-F2BD-41A3-8736-D1BD5A47A3E6}"/>
    <cellStyle name="20% - Énfasis3 7 2 3 6" xfId="37120" xr:uid="{2822745B-EDE7-4F5B-88B6-772DFAB7D6A8}"/>
    <cellStyle name="20% - Énfasis3 7 2 4" xfId="7012" xr:uid="{B1E4D63B-53C3-40C5-975F-4BC45201A54F}"/>
    <cellStyle name="20% - Énfasis3 7 2 4 2" xfId="21429" xr:uid="{7C16FFE7-C4E2-482D-AFDB-77A2878F0648}"/>
    <cellStyle name="20% - Énfasis3 7 2 4 3" xfId="27250" xr:uid="{DADD5770-2F55-40A6-9B06-D55B50250AA4}"/>
    <cellStyle name="20% - Énfasis3 7 2 4 4" xfId="33128" xr:uid="{8136E2EC-F5D7-404C-B72D-8BA9A8502EA9}"/>
    <cellStyle name="20% - Énfasis3 7 2 4 5" xfId="38992" xr:uid="{4724B81A-EEFB-45C7-9E6E-1B39B20C7E2E}"/>
    <cellStyle name="20% - Énfasis3 7 2 5" xfId="18684" xr:uid="{EF8DDE03-470B-485A-B009-162179106987}"/>
    <cellStyle name="20% - Énfasis3 7 2 6" xfId="24399" xr:uid="{FBD63AD6-F92A-4E37-9F07-B3C7B7E4B1E2}"/>
    <cellStyle name="20% - Énfasis3 7 2 7" xfId="30276" xr:uid="{C74164E1-AE0A-413B-996F-A31108128EC8}"/>
    <cellStyle name="20% - Énfasis3 7 2 8" xfId="36156" xr:uid="{CE1FA3A7-0195-4163-9A60-988BD345E919}"/>
    <cellStyle name="20% - Énfasis3 7 3" xfId="4439" xr:uid="{A2A5D80E-850B-498A-86D0-2635E60F2A3F}"/>
    <cellStyle name="20% - Énfasis3 7 3 2" xfId="5406" xr:uid="{258A2CED-8917-4F12-879C-45ED2BB36044}"/>
    <cellStyle name="20% - Énfasis3 7 3 2 2" xfId="8273" xr:uid="{DF53EF4D-965B-49CC-AFAF-0FE4B7A88F63}"/>
    <cellStyle name="20% - Énfasis3 7 3 2 2 2" xfId="22649" xr:uid="{2C6E9EBF-6668-4830-8E2C-4A5E40C00303}"/>
    <cellStyle name="20% - Énfasis3 7 3 2 2 3" xfId="28506" xr:uid="{6D1C698A-69A8-437E-9AC2-FAC35C3B799A}"/>
    <cellStyle name="20% - Énfasis3 7 3 2 2 4" xfId="34388" xr:uid="{A70FD02D-8FDC-41A7-BF83-929749525617}"/>
    <cellStyle name="20% - Énfasis3 7 3 2 2 5" xfId="40252" xr:uid="{28D4441A-A2E2-414B-868B-912C0C130217}"/>
    <cellStyle name="20% - Énfasis3 7 3 2 3" xfId="19871" xr:uid="{EA9AD957-CC82-40D6-9E9B-75A891A62025}"/>
    <cellStyle name="20% - Énfasis3 7 3 2 4" xfId="25657" xr:uid="{03B89D27-0FB0-4628-9465-0DB77A374B67}"/>
    <cellStyle name="20% - Énfasis3 7 3 2 5" xfId="31531" xr:uid="{E54E13A1-4ADB-487E-9230-E651FCF772E1}"/>
    <cellStyle name="20% - Énfasis3 7 3 2 6" xfId="37402" xr:uid="{329DEF98-B298-40A2-9E21-F0325C5DB1A4}"/>
    <cellStyle name="20% - Énfasis3 7 3 3" xfId="7301" xr:uid="{EFE5F516-B0A1-43B5-BD0A-5E8393F2E790}"/>
    <cellStyle name="20% - Énfasis3 7 3 3 2" xfId="21706" xr:uid="{7CE0C88D-74AB-4C79-A4D2-239BC3B613B3}"/>
    <cellStyle name="20% - Énfasis3 7 3 3 3" xfId="27535" xr:uid="{1726233D-5A9E-43DD-939C-24974203C32A}"/>
    <cellStyle name="20% - Énfasis3 7 3 3 4" xfId="33417" xr:uid="{D44DF88C-C592-46AA-BF70-FDFFB4A24F41}"/>
    <cellStyle name="20% - Énfasis3 7 3 3 5" xfId="39281" xr:uid="{3E887224-9AFE-49B4-AAC6-7FBA3DA78E03}"/>
    <cellStyle name="20% - Énfasis3 7 3 4" xfId="18942" xr:uid="{BD087CFC-1051-4CDE-B1A8-E0A57E0F8E78}"/>
    <cellStyle name="20% - Énfasis3 7 3 5" xfId="24686" xr:uid="{70B179CD-95BE-478D-B65A-FF4A0BB7F269}"/>
    <cellStyle name="20% - Énfasis3 7 3 6" xfId="30564" xr:uid="{54F219F0-76FD-4E7B-8C1E-BB7373AB672F}"/>
    <cellStyle name="20% - Énfasis3 7 3 7" xfId="36445" xr:uid="{09C64F54-D662-490C-80E5-EA902E558194}"/>
    <cellStyle name="20% - Énfasis3 7 4" xfId="4921" xr:uid="{373B5A09-262B-44E3-ADE3-9D7498103CCA}"/>
    <cellStyle name="20% - Énfasis3 7 4 2" xfId="7788" xr:uid="{4A997BFB-5F38-41E6-BA53-E2222C813399}"/>
    <cellStyle name="20% - Énfasis3 7 4 2 2" xfId="22176" xr:uid="{1B1A907B-BFCF-4D05-9136-3470EBBA1E28}"/>
    <cellStyle name="20% - Énfasis3 7 4 2 3" xfId="28021" xr:uid="{7669FE47-CCE4-4436-8BC4-286ABAA2FB55}"/>
    <cellStyle name="20% - Énfasis3 7 4 2 4" xfId="33903" xr:uid="{FF5CAFB3-CCDD-471B-BFBE-9FCE8B76C940}"/>
    <cellStyle name="20% - Énfasis3 7 4 2 5" xfId="39767" xr:uid="{ABB49720-CAF3-4550-8BC1-3FE9A6E35626}"/>
    <cellStyle name="20% - Énfasis3 7 4 3" xfId="19403" xr:uid="{8841AD36-9AFE-4083-A005-E84973FE03CF}"/>
    <cellStyle name="20% - Énfasis3 7 4 4" xfId="25172" xr:uid="{02CF3FA3-809D-42E1-ABB6-1EDE50B848DC}"/>
    <cellStyle name="20% - Énfasis3 7 4 5" xfId="31046" xr:uid="{538F9F43-D707-4CE6-8AE0-A47AC92CCCD1}"/>
    <cellStyle name="20% - Énfasis3 7 4 6" xfId="36925" xr:uid="{9B840DDA-665B-4C2D-8D22-549ADC67AC88}"/>
    <cellStyle name="20% - Énfasis3 7 5" xfId="5931" xr:uid="{AC878F69-C7A5-4741-8065-60641F5D9577}"/>
    <cellStyle name="20% - Énfasis3 7 5 2" xfId="8800" xr:uid="{194E8B2B-1E0B-4721-BDB2-1E422F16F528}"/>
    <cellStyle name="20% - Énfasis3 7 5 2 2" xfId="23167" xr:uid="{6D33FC49-1886-4FF9-B142-684406B4638A}"/>
    <cellStyle name="20% - Énfasis3 7 5 2 3" xfId="29032" xr:uid="{BD76E12C-D6E4-446B-AF68-771DF109F8F3}"/>
    <cellStyle name="20% - Énfasis3 7 5 2 4" xfId="34914" xr:uid="{07094958-57B1-41B6-A47F-7670E0615F1C}"/>
    <cellStyle name="20% - Énfasis3 7 5 2 5" xfId="40778" xr:uid="{6FC76046-D4FA-4B37-9401-3A5FF48CC0CC}"/>
    <cellStyle name="20% - Énfasis3 7 5 3" xfId="20381" xr:uid="{84734357-C4B7-4A17-BF10-EE55BF4926C9}"/>
    <cellStyle name="20% - Énfasis3 7 5 4" xfId="26182" xr:uid="{5D48E0A0-978D-411F-BA33-FFF29163C432}"/>
    <cellStyle name="20% - Énfasis3 7 5 5" xfId="32057" xr:uid="{76065EB6-9EAC-4912-8DC5-C74416A86D91}"/>
    <cellStyle name="20% - Énfasis3 7 5 6" xfId="37923" xr:uid="{75BD1382-E391-403B-9B7B-23687B6255C3}"/>
    <cellStyle name="20% - Énfasis3 7 6" xfId="6817" xr:uid="{662C9BF7-0B8B-456E-808A-31646A5C7953}"/>
    <cellStyle name="20% - Énfasis3 7 6 2" xfId="21240" xr:uid="{5FF947DE-A80A-462E-BA32-79203BD00A6D}"/>
    <cellStyle name="20% - Énfasis3 7 6 3" xfId="27056" xr:uid="{DAFF2245-3B45-4641-9F9F-F8D3BDB691BE}"/>
    <cellStyle name="20% - Énfasis3 7 6 4" xfId="32932" xr:uid="{7086871C-BEE3-4C52-B95A-CFD8FAA7EAB1}"/>
    <cellStyle name="20% - Énfasis3 7 6 5" xfId="38796" xr:uid="{F85A4856-1217-41EC-B3AC-C78699ACDC44}"/>
    <cellStyle name="20% - Énfasis3 7 7" xfId="18490" xr:uid="{6BAF3443-16CD-456D-BF78-6E6A1EDE921F}"/>
    <cellStyle name="20% - Énfasis3 7 8" xfId="24198" xr:uid="{9CCA0452-D980-4C24-BE51-CA55932D9456}"/>
    <cellStyle name="20% - Énfasis3 7 9" xfId="30076" xr:uid="{E55129F5-45BC-46CE-A361-CFD93F47ECCE}"/>
    <cellStyle name="20% - Énfasis3 8" xfId="3990" xr:uid="{EC3948F7-EAA9-4F99-B2A9-6E3B72EFC251}"/>
    <cellStyle name="20% - Énfasis3 8 10" xfId="35984" xr:uid="{1C13C5F4-FE44-4B1A-9586-49F7A319FC72}"/>
    <cellStyle name="20% - Énfasis3 8 2" xfId="4182" xr:uid="{A3D1BAFD-BC83-41E8-809E-9BAB98D41218}"/>
    <cellStyle name="20% - Énfasis3 8 2 2" xfId="4660" xr:uid="{5C88B440-AB81-4E87-BFFC-3DF605DD3944}"/>
    <cellStyle name="20% - Énfasis3 8 2 2 2" xfId="5628" xr:uid="{5973AEC4-1BEA-487E-AFE9-11FC6FB27D82}"/>
    <cellStyle name="20% - Énfasis3 8 2 2 2 2" xfId="8495" xr:uid="{A087C173-6A01-4831-956A-0E93569603FD}"/>
    <cellStyle name="20% - Énfasis3 8 2 2 2 2 2" xfId="22869" xr:uid="{6CB0EC91-B5DD-4770-B802-116F8F820378}"/>
    <cellStyle name="20% - Énfasis3 8 2 2 2 2 3" xfId="28728" xr:uid="{A47DB315-D0FA-49FC-89DC-E81810D6C05C}"/>
    <cellStyle name="20% - Énfasis3 8 2 2 2 2 4" xfId="34610" xr:uid="{DBA58A7C-8564-4485-95FA-5236EA7D6352}"/>
    <cellStyle name="20% - Énfasis3 8 2 2 2 2 5" xfId="40474" xr:uid="{B8189874-11FB-4E59-90EB-23AFA993E27F}"/>
    <cellStyle name="20% - Énfasis3 8 2 2 2 3" xfId="20087" xr:uid="{5994175B-64D6-49C0-BAEE-BE38AD76512F}"/>
    <cellStyle name="20% - Énfasis3 8 2 2 2 4" xfId="25879" xr:uid="{787181ED-2BA0-4E06-9522-91CB7AB10EB0}"/>
    <cellStyle name="20% - Énfasis3 8 2 2 2 5" xfId="31753" xr:uid="{C61A909F-AF6D-4C3F-B0DC-3CE4013B28A4}"/>
    <cellStyle name="20% - Énfasis3 8 2 2 2 6" xfId="37622" xr:uid="{6D218419-4A46-403E-9B13-B34FACC539D3}"/>
    <cellStyle name="20% - Énfasis3 8 2 2 3" xfId="7523" xr:uid="{715FAF9F-746E-4ADB-9FD8-44D49B3ACB6C}"/>
    <cellStyle name="20% - Énfasis3 8 2 2 3 2" xfId="21923" xr:uid="{B21277AE-9DF0-4CB3-9987-9537442C4B7C}"/>
    <cellStyle name="20% - Énfasis3 8 2 2 3 3" xfId="27757" xr:uid="{D3221E0C-1175-46A8-9187-E1E47033C77B}"/>
    <cellStyle name="20% - Énfasis3 8 2 2 3 4" xfId="33639" xr:uid="{827829D7-C5B6-42EC-BCCB-476A41BF4B29}"/>
    <cellStyle name="20% - Énfasis3 8 2 2 3 5" xfId="39503" xr:uid="{8626D1A5-9EFB-4399-892E-91AF73EF5D65}"/>
    <cellStyle name="20% - Énfasis3 8 2 2 4" xfId="19152" xr:uid="{756F518D-34C7-4B2E-A969-8075819EF663}"/>
    <cellStyle name="20% - Énfasis3 8 2 2 5" xfId="24908" xr:uid="{F15CE7BA-47C1-496E-907D-280B0EFBE259}"/>
    <cellStyle name="20% - Énfasis3 8 2 2 6" xfId="30784" xr:uid="{F10510B0-D23E-4161-AB9A-4815585446F1}"/>
    <cellStyle name="20% - Énfasis3 8 2 2 7" xfId="36665" xr:uid="{08C96165-5D15-4012-9C1C-914916AA2949}"/>
    <cellStyle name="20% - Énfasis3 8 2 3" xfId="5143" xr:uid="{0C2D334C-9D66-4EEF-B937-921DD1460BA0}"/>
    <cellStyle name="20% - Énfasis3 8 2 3 2" xfId="8010" xr:uid="{2FEDA9D2-65F8-43CD-A2A5-5073D369D54E}"/>
    <cellStyle name="20% - Énfasis3 8 2 3 2 2" xfId="22394" xr:uid="{56C63B92-38BE-4E5A-9F7F-5D14197BDBB1}"/>
    <cellStyle name="20% - Énfasis3 8 2 3 2 3" xfId="28243" xr:uid="{CB284C27-B9EA-4E76-9F5A-6EE002DD6D60}"/>
    <cellStyle name="20% - Énfasis3 8 2 3 2 4" xfId="34125" xr:uid="{1C318224-F317-4021-98D3-445816498641}"/>
    <cellStyle name="20% - Énfasis3 8 2 3 2 5" xfId="39989" xr:uid="{833F2947-6873-4808-8559-11007BB79DFC}"/>
    <cellStyle name="20% - Énfasis3 8 2 3 3" xfId="19617" xr:uid="{4DC40173-DF6F-4E79-86AA-9FF039DEEC7C}"/>
    <cellStyle name="20% - Énfasis3 8 2 3 4" xfId="25394" xr:uid="{37730ED8-64C4-4857-B6F1-9BAB13554E8F}"/>
    <cellStyle name="20% - Énfasis3 8 2 3 5" xfId="31268" xr:uid="{8D6F1ADB-4D7C-49CE-8529-C7B4D420C583}"/>
    <cellStyle name="20% - Énfasis3 8 2 3 6" xfId="37145" xr:uid="{62282244-38BE-4E13-8706-1AFC8CC8D76C}"/>
    <cellStyle name="20% - Énfasis3 8 2 4" xfId="7038" xr:uid="{A15ECB61-5D30-4249-BB28-2E5146AC7AC5}"/>
    <cellStyle name="20% - Énfasis3 8 2 4 2" xfId="21454" xr:uid="{DA63BBF9-ACDF-49E9-87DC-5F05BD72933A}"/>
    <cellStyle name="20% - Énfasis3 8 2 4 3" xfId="27275" xr:uid="{E20DF1A6-ECCB-4052-9432-E6D280D39583}"/>
    <cellStyle name="20% - Énfasis3 8 2 4 4" xfId="33154" xr:uid="{DAC9B1A1-7CB7-43FB-9644-A96C2EFCFA37}"/>
    <cellStyle name="20% - Énfasis3 8 2 4 5" xfId="39018" xr:uid="{12EEB209-3B8F-4311-9C9A-59025B55EA68}"/>
    <cellStyle name="20% - Énfasis3 8 2 5" xfId="18709" xr:uid="{EA05F1A7-6277-44D8-93CF-B758E3259BD9}"/>
    <cellStyle name="20% - Énfasis3 8 2 6" xfId="24425" xr:uid="{C8808A62-8A17-4116-99E6-E7986DA9BD00}"/>
    <cellStyle name="20% - Énfasis3 8 2 7" xfId="30302" xr:uid="{F679349F-1EA3-4097-800B-EB8446E3C2B4}"/>
    <cellStyle name="20% - Énfasis3 8 2 8" xfId="36182" xr:uid="{384E3F5F-B95E-47C7-87CF-5AAE32A280D0}"/>
    <cellStyle name="20% - Énfasis3 8 3" xfId="4464" xr:uid="{4316A4F7-EB44-4A62-8509-45F11595AF1E}"/>
    <cellStyle name="20% - Énfasis3 8 3 2" xfId="5432" xr:uid="{82094B8D-76C6-4AE7-94CD-1777EB5A2DFE}"/>
    <cellStyle name="20% - Énfasis3 8 3 2 2" xfId="8299" xr:uid="{4B69088B-71C2-4575-8AED-BF17A51B8995}"/>
    <cellStyle name="20% - Énfasis3 8 3 2 2 2" xfId="22675" xr:uid="{06B99A7E-E81E-4A1C-BE8C-01D3A643F92E}"/>
    <cellStyle name="20% - Énfasis3 8 3 2 2 3" xfId="28532" xr:uid="{0CB4641E-D419-42EA-99F9-68C7507B72E4}"/>
    <cellStyle name="20% - Énfasis3 8 3 2 2 4" xfId="34414" xr:uid="{BA5CF8B0-C4FC-4A37-8E1F-4598D51844FA}"/>
    <cellStyle name="20% - Énfasis3 8 3 2 2 5" xfId="40278" xr:uid="{CDA9805E-0DFF-479C-B32E-7563B3BA60B4}"/>
    <cellStyle name="20% - Énfasis3 8 3 2 3" xfId="19896" xr:uid="{F26BEABA-1F15-47B2-936E-C828F3FB3ECD}"/>
    <cellStyle name="20% - Énfasis3 8 3 2 4" xfId="25683" xr:uid="{A0ED3CEE-B669-49A7-A4F1-2BD9803A6DA9}"/>
    <cellStyle name="20% - Énfasis3 8 3 2 5" xfId="31557" xr:uid="{96AAD9FC-4E31-45DD-8E1E-78E14DF0335E}"/>
    <cellStyle name="20% - Énfasis3 8 3 2 6" xfId="37428" xr:uid="{00B5D54A-F12B-4915-A985-B57F0F96B5D1}"/>
    <cellStyle name="20% - Énfasis3 8 3 3" xfId="7327" xr:uid="{DD36838F-D472-454C-AAFA-EAB208897C46}"/>
    <cellStyle name="20% - Énfasis3 8 3 3 2" xfId="21731" xr:uid="{DEDDE641-299A-4F73-BF86-CF54105768F4}"/>
    <cellStyle name="20% - Énfasis3 8 3 3 3" xfId="27561" xr:uid="{B34BA8B9-1BE3-464D-A1D0-D5DA3D99C27C}"/>
    <cellStyle name="20% - Énfasis3 8 3 3 4" xfId="33443" xr:uid="{E2931C7D-AD34-4A85-B75F-C74C0FC7E0C9}"/>
    <cellStyle name="20% - Énfasis3 8 3 3 5" xfId="39307" xr:uid="{E61298AE-DFC9-4FFC-8188-FBF095F2E44E}"/>
    <cellStyle name="20% - Énfasis3 8 3 4" xfId="18968" xr:uid="{7B10A164-0343-410C-9306-E2A39F8F4A43}"/>
    <cellStyle name="20% - Énfasis3 8 3 5" xfId="24712" xr:uid="{D7720EC9-B238-42AD-A3DD-C84158410795}"/>
    <cellStyle name="20% - Énfasis3 8 3 6" xfId="30590" xr:uid="{2E49DFE3-D7B5-4348-805B-F5530CDA1A3F}"/>
    <cellStyle name="20% - Énfasis3 8 3 7" xfId="36471" xr:uid="{F8323CB6-9697-4FE6-81B2-5A5ED849F049}"/>
    <cellStyle name="20% - Énfasis3 8 4" xfId="4947" xr:uid="{DAB91E66-24BF-4D7F-A3D8-296BE289131A}"/>
    <cellStyle name="20% - Énfasis3 8 4 2" xfId="7814" xr:uid="{2424A6C9-9F59-472A-A62F-63E16736048B}"/>
    <cellStyle name="20% - Énfasis3 8 4 2 2" xfId="22201" xr:uid="{D2FAA391-B648-49B2-A68F-E010A119561E}"/>
    <cellStyle name="20% - Énfasis3 8 4 2 3" xfId="28047" xr:uid="{1A053E4C-ACF3-409C-9127-DCF9E89C332B}"/>
    <cellStyle name="20% - Énfasis3 8 4 2 4" xfId="33929" xr:uid="{58C1757B-6438-4CE2-870B-6E353EC7BC98}"/>
    <cellStyle name="20% - Énfasis3 8 4 2 5" xfId="39793" xr:uid="{19C126DC-C41E-4774-B926-DF4D59BD1ED6}"/>
    <cellStyle name="20% - Énfasis3 8 4 3" xfId="19429" xr:uid="{7FE7FFD0-E889-4DC5-AD6B-0BAEBC83499D}"/>
    <cellStyle name="20% - Énfasis3 8 4 4" xfId="25198" xr:uid="{F6408F36-A303-44F6-B7A2-48C793C7D8F7}"/>
    <cellStyle name="20% - Énfasis3 8 4 5" xfId="31072" xr:uid="{EE1B8CC7-C6E0-4719-A963-869CA0378663}"/>
    <cellStyle name="20% - Énfasis3 8 4 6" xfId="36951" xr:uid="{6E4AB860-B5C4-49A9-8F96-007362F40919}"/>
    <cellStyle name="20% - Énfasis3 8 5" xfId="5957" xr:uid="{A6ABE0BF-15B9-47C5-9296-A8E0FCEF5E54}"/>
    <cellStyle name="20% - Énfasis3 8 5 2" xfId="8826" xr:uid="{0C1C9DB1-B2F5-43B4-8436-33DFDFAA4A3A}"/>
    <cellStyle name="20% - Énfasis3 8 5 2 2" xfId="23191" xr:uid="{61898B89-9437-44D0-B6EC-2085AC4BF79B}"/>
    <cellStyle name="20% - Énfasis3 8 5 2 3" xfId="29058" xr:uid="{48573791-3289-4400-A70B-9222AEBFB28D}"/>
    <cellStyle name="20% - Énfasis3 8 5 2 4" xfId="34940" xr:uid="{A61A11D4-B503-407D-84DE-66F03FEFC4C3}"/>
    <cellStyle name="20% - Énfasis3 8 5 2 5" xfId="40804" xr:uid="{BA3C866E-3C37-486A-B0EF-E3A8E86CE387}"/>
    <cellStyle name="20% - Énfasis3 8 5 3" xfId="20407" xr:uid="{ADC993D4-EB4B-4340-906A-4782417759DC}"/>
    <cellStyle name="20% - Énfasis3 8 5 4" xfId="26208" xr:uid="{C3E3B204-1BDB-4CCC-99BE-F3AC2647944B}"/>
    <cellStyle name="20% - Énfasis3 8 5 5" xfId="32083" xr:uid="{4D36F8B6-61A1-40D8-9F50-DBF4CA543364}"/>
    <cellStyle name="20% - Énfasis3 8 5 6" xfId="37948" xr:uid="{506A99CA-194D-4D6E-BF25-7624150799E8}"/>
    <cellStyle name="20% - Énfasis3 8 6" xfId="6843" xr:uid="{7B1B8180-2732-4348-AF1F-3C6B53DE3AB6}"/>
    <cellStyle name="20% - Énfasis3 8 6 2" xfId="21266" xr:uid="{F63556B4-12DB-4D0A-93E4-7A28049EBB3B}"/>
    <cellStyle name="20% - Énfasis3 8 6 3" xfId="27081" xr:uid="{2720A193-5F81-47A9-8024-DED8F54164AC}"/>
    <cellStyle name="20% - Énfasis3 8 6 4" xfId="32958" xr:uid="{05B5A7CE-E421-4FA6-A819-6648B63D7644}"/>
    <cellStyle name="20% - Énfasis3 8 6 5" xfId="38822" xr:uid="{1535BC43-54B9-4BCF-AA83-41EC51D275A9}"/>
    <cellStyle name="20% - Énfasis3 8 7" xfId="18517" xr:uid="{D7FBA37C-EDEB-4713-B244-6CD453679E8D}"/>
    <cellStyle name="20% - Énfasis3 8 8" xfId="24226" xr:uid="{B0A2DE0F-399B-4912-82A2-4FEF70FED85B}"/>
    <cellStyle name="20% - Énfasis3 8 9" xfId="30104" xr:uid="{6AAD2030-59F2-43CD-A736-D117A878D3F7}"/>
    <cellStyle name="20% - Énfasis3 9" xfId="4014" xr:uid="{F0E91E4D-0B9E-4303-8B49-22DE8C142880}"/>
    <cellStyle name="20% - Énfasis3 9 2" xfId="4485" xr:uid="{3845BFD0-D521-40CE-8377-CA4E782E37B3}"/>
    <cellStyle name="20% - Énfasis3 9 2 2" xfId="5453" xr:uid="{7818A885-B13E-4E70-B7AE-0095DA30B57C}"/>
    <cellStyle name="20% - Énfasis3 9 2 2 2" xfId="8320" xr:uid="{783ECE70-5F51-4474-8E28-19EABFFBE3AF}"/>
    <cellStyle name="20% - Énfasis3 9 2 2 2 2" xfId="22696" xr:uid="{2EB1163C-EB3D-439B-8B0A-4D1849B06942}"/>
    <cellStyle name="20% - Énfasis3 9 2 2 2 3" xfId="28553" xr:uid="{4E787237-BB1E-4881-937A-1D2E6CE19561}"/>
    <cellStyle name="20% - Énfasis3 9 2 2 2 4" xfId="34435" xr:uid="{7CDEACF9-59BC-41FF-A108-9B6D3BC141F8}"/>
    <cellStyle name="20% - Énfasis3 9 2 2 2 5" xfId="40299" xr:uid="{B226D44A-AB0E-487A-AC46-92763716A872}"/>
    <cellStyle name="20% - Énfasis3 9 2 2 3" xfId="19916" xr:uid="{3B5F17FE-27E6-4DF2-9608-F8E324FB2618}"/>
    <cellStyle name="20% - Énfasis3 9 2 2 4" xfId="25704" xr:uid="{5A4E18BE-D703-45EF-AA01-0F77591F703A}"/>
    <cellStyle name="20% - Énfasis3 9 2 2 5" xfId="31578" xr:uid="{93496CA2-68E4-4BA8-AB9B-D85D6C832937}"/>
    <cellStyle name="20% - Énfasis3 9 2 2 6" xfId="37449" xr:uid="{7C469604-FA0A-4B10-9F91-60977970A7D4}"/>
    <cellStyle name="20% - Énfasis3 9 2 3" xfId="7348" xr:uid="{9F5638B6-189B-42DD-8704-242135C8B214}"/>
    <cellStyle name="20% - Énfasis3 9 2 3 2" xfId="21751" xr:uid="{403918B0-E2AC-46EF-9612-E30F5E6B6F60}"/>
    <cellStyle name="20% - Énfasis3 9 2 3 3" xfId="27582" xr:uid="{675F4F50-1BF4-42E5-A08C-0E3B66531241}"/>
    <cellStyle name="20% - Énfasis3 9 2 3 4" xfId="33464" xr:uid="{01669890-86FE-44FA-BA7D-FD769107B2ED}"/>
    <cellStyle name="20% - Énfasis3 9 2 3 5" xfId="39328" xr:uid="{1C3DDA8F-DEA5-417C-B3DE-9AE52CF7BE8C}"/>
    <cellStyle name="20% - Énfasis3 9 2 4" xfId="18989" xr:uid="{089DC346-DE18-48B0-8785-8EE5C178CD84}"/>
    <cellStyle name="20% - Énfasis3 9 2 5" xfId="24733" xr:uid="{6A506CB5-5A0E-4322-924A-8E81430FF6E7}"/>
    <cellStyle name="20% - Énfasis3 9 2 6" xfId="30610" xr:uid="{E9D44D61-EC21-4E4F-8419-EE2E2AE92C2B}"/>
    <cellStyle name="20% - Énfasis3 9 2 7" xfId="36492" xr:uid="{4721D983-77F9-4BBA-A64E-6DDE6AA105B9}"/>
    <cellStyle name="20% - Énfasis3 9 3" xfId="4968" xr:uid="{EB608C7A-624A-4CDC-A728-9414C59FD4BA}"/>
    <cellStyle name="20% - Énfasis3 9 3 2" xfId="7835" xr:uid="{9F73B431-3033-497E-9204-2F604822B87A}"/>
    <cellStyle name="20% - Énfasis3 9 3 2 2" xfId="22221" xr:uid="{ADC3CE9D-6454-4EA1-AD88-F9729CC89816}"/>
    <cellStyle name="20% - Énfasis3 9 3 2 3" xfId="28068" xr:uid="{FFDCA2F5-F008-4F90-AB94-F326D05D9687}"/>
    <cellStyle name="20% - Énfasis3 9 3 2 4" xfId="33950" xr:uid="{78C896D7-DA38-4E9B-9730-9CF3403548BE}"/>
    <cellStyle name="20% - Énfasis3 9 3 2 5" xfId="39814" xr:uid="{71ECE2A1-8837-432A-B8CA-D8A5B13DA0F7}"/>
    <cellStyle name="20% - Énfasis3 9 3 3" xfId="19449" xr:uid="{C8800B46-B550-4EAE-A7E8-742AB56D47E0}"/>
    <cellStyle name="20% - Énfasis3 9 3 4" xfId="25219" xr:uid="{FAE91F43-BAAD-4114-8B12-DFF0D5A94BF3}"/>
    <cellStyle name="20% - Énfasis3 9 3 5" xfId="31093" xr:uid="{160929B2-8D1F-4681-9536-719E53EB7F54}"/>
    <cellStyle name="20% - Énfasis3 9 3 6" xfId="36972" xr:uid="{5581665C-EFFC-4ACB-BBF2-60A766B84B24}"/>
    <cellStyle name="20% - Énfasis3 9 4" xfId="6864" xr:uid="{35521C24-6CA4-424E-81F5-BCC32F854C36}"/>
    <cellStyle name="20% - Énfasis3 9 4 2" xfId="21286" xr:uid="{F37E1D29-557C-42DE-B240-C59317213FE0}"/>
    <cellStyle name="20% - Énfasis3 9 4 3" xfId="27102" xr:uid="{164B37B5-79A7-41EF-B51A-56EC4E8C593A}"/>
    <cellStyle name="20% - Énfasis3 9 4 4" xfId="32979" xr:uid="{B2132839-BA84-4C71-8759-6A5AC4678671}"/>
    <cellStyle name="20% - Énfasis3 9 4 5" xfId="38843" xr:uid="{D27CE1EE-3539-4CD9-AE43-201F02B3EF77}"/>
    <cellStyle name="20% - Énfasis3 9 5" xfId="18540" xr:uid="{C53E53AB-A104-4EE9-BBAB-A37D7A73E0D3}"/>
    <cellStyle name="20% - Énfasis3 9 6" xfId="24250" xr:uid="{26C2E921-8426-4640-AB5F-AB8A8EB7055A}"/>
    <cellStyle name="20% - Énfasis3 9 7" xfId="30128" xr:uid="{CCA5D48F-7B94-4132-8851-F2E865C25AF9}"/>
    <cellStyle name="20% - Énfasis3 9 8" xfId="36007" xr:uid="{6B966D0B-B3BE-460B-8B66-E468952187AD}"/>
    <cellStyle name="20% - Énfasis4" xfId="31" builtinId="42" customBuiltin="1"/>
    <cellStyle name="20% - Énfasis4 10" xfId="4209" xr:uid="{C37CCB67-3830-46B0-B787-E558C16AB9EF}"/>
    <cellStyle name="20% - Énfasis4 10 2" xfId="4687" xr:uid="{AB58ED37-9789-4980-A588-B4718AEC9A36}"/>
    <cellStyle name="20% - Énfasis4 10 2 2" xfId="5655" xr:uid="{753985FA-83BC-4A31-90FA-404472981236}"/>
    <cellStyle name="20% - Énfasis4 10 2 2 2" xfId="8523" xr:uid="{0919AA44-8A70-459C-96B8-E18E2375AA33}"/>
    <cellStyle name="20% - Énfasis4 10 2 2 2 2" xfId="22897" xr:uid="{03217B8A-DC23-4DF5-8F55-8A3543846E71}"/>
    <cellStyle name="20% - Énfasis4 10 2 2 2 3" xfId="28756" xr:uid="{A1908BE7-D4E7-4EB3-9509-C69F85D25AD7}"/>
    <cellStyle name="20% - Énfasis4 10 2 2 2 4" xfId="34638" xr:uid="{5C48DB3C-5D05-4A24-AB1B-51EEC9D869F3}"/>
    <cellStyle name="20% - Énfasis4 10 2 2 2 5" xfId="40502" xr:uid="{48F83A95-9568-470B-A3C6-CDD3F2CF66D9}"/>
    <cellStyle name="20% - Énfasis4 10 2 2 3" xfId="20114" xr:uid="{0A28E452-C446-4BD4-88D5-B3931B57B84F}"/>
    <cellStyle name="20% - Énfasis4 10 2 2 4" xfId="25906" xr:uid="{716FCD6A-1BCD-4102-BD75-FBF45834D40F}"/>
    <cellStyle name="20% - Énfasis4 10 2 2 5" xfId="31781" xr:uid="{7BBF3101-12EB-403F-BCEC-0BAEF916D76F}"/>
    <cellStyle name="20% - Énfasis4 10 2 2 6" xfId="37650" xr:uid="{33E65EF6-8064-44FE-B8D1-F6B9E441631A}"/>
    <cellStyle name="20% - Énfasis4 10 2 3" xfId="7551" xr:uid="{8760816E-90E6-4715-BD64-7D95FD0B6CB3}"/>
    <cellStyle name="20% - Énfasis4 10 2 3 2" xfId="21949" xr:uid="{FCA628B0-B9E4-42D9-9D4B-1445877D5A65}"/>
    <cellStyle name="20% - Énfasis4 10 2 3 3" xfId="27785" xr:uid="{6BCF32B1-02C6-4E10-B7A7-472D8B60AEC6}"/>
    <cellStyle name="20% - Énfasis4 10 2 3 4" xfId="33667" xr:uid="{371D5D0E-51A1-4892-83CF-4809859AD75C}"/>
    <cellStyle name="20% - Énfasis4 10 2 3 5" xfId="39531" xr:uid="{F34464EF-524C-4127-8225-7E5C6FDFA99F}"/>
    <cellStyle name="20% - Énfasis4 10 2 4" xfId="19180" xr:uid="{B728D3DA-F8B2-4D26-BC9B-ED0B744C6377}"/>
    <cellStyle name="20% - Énfasis4 10 2 5" xfId="24936" xr:uid="{17E99B77-59D7-429E-AA4C-A9ADD26E2692}"/>
    <cellStyle name="20% - Énfasis4 10 2 6" xfId="30811" xr:uid="{EC116265-1E2E-4DC4-8B77-F635F0BDB39F}"/>
    <cellStyle name="20% - Énfasis4 10 2 7" xfId="36693" xr:uid="{DB8456F6-6CD1-4EFC-8E48-5FC80AF8E0E5}"/>
    <cellStyle name="20% - Énfasis4 10 3" xfId="5171" xr:uid="{0B6D8789-5314-4748-B2E6-174B4D4D55EA}"/>
    <cellStyle name="20% - Énfasis4 10 3 2" xfId="8038" xr:uid="{4971A25C-1F6E-4835-84B4-BE458709878B}"/>
    <cellStyle name="20% - Énfasis4 10 3 2 2" xfId="22421" xr:uid="{675BB975-0450-4FC8-982D-57C70A312633}"/>
    <cellStyle name="20% - Énfasis4 10 3 2 3" xfId="28271" xr:uid="{E152556B-A069-4F02-A166-7D09FA9DCC2D}"/>
    <cellStyle name="20% - Énfasis4 10 3 2 4" xfId="34153" xr:uid="{BCF12433-B37A-4D67-89E6-1D3947B0113D}"/>
    <cellStyle name="20% - Énfasis4 10 3 2 5" xfId="40017" xr:uid="{82645493-423B-4563-9AFA-BB8A859B14EC}"/>
    <cellStyle name="20% - Énfasis4 10 3 3" xfId="19644" xr:uid="{8038CF07-A9D1-48AF-A33A-3699B30DAFF0}"/>
    <cellStyle name="20% - Énfasis4 10 3 4" xfId="25422" xr:uid="{F673837A-A498-4684-B641-8F1706B5742E}"/>
    <cellStyle name="20% - Énfasis4 10 3 5" xfId="31296" xr:uid="{EEF07AAA-86B0-4D77-B90D-9A318B14CFB1}"/>
    <cellStyle name="20% - Énfasis4 10 3 6" xfId="37173" xr:uid="{D57AA940-DD43-4900-910B-45A0EE32AA23}"/>
    <cellStyle name="20% - Énfasis4 10 4" xfId="7066" xr:uid="{6E9FC6B8-2138-4300-83C1-4573D5FFBFB6}"/>
    <cellStyle name="20% - Énfasis4 10 4 2" xfId="21481" xr:uid="{B6336AB3-265F-4EAA-97A8-4911B3B1053E}"/>
    <cellStyle name="20% - Énfasis4 10 4 3" xfId="27303" xr:uid="{B3C5FB5E-6A05-44F3-A6BC-DE0A65982C0F}"/>
    <cellStyle name="20% - Énfasis4 10 4 4" xfId="33182" xr:uid="{B7A34756-8798-4971-A480-D0ABE0C2F79C}"/>
    <cellStyle name="20% - Énfasis4 10 4 5" xfId="39046" xr:uid="{C7F85F36-0966-49A8-82F2-D42357A9880F}"/>
    <cellStyle name="20% - Énfasis4 10 5" xfId="18737" xr:uid="{A769D8A3-0333-4416-AE44-DBC702E13951}"/>
    <cellStyle name="20% - Énfasis4 10 6" xfId="24453" xr:uid="{0F12607D-9665-4055-8F29-6137D9CB78B7}"/>
    <cellStyle name="20% - Énfasis4 10 7" xfId="30329" xr:uid="{7108EBAC-C28E-470C-8C91-30A4AE27681D}"/>
    <cellStyle name="20% - Énfasis4 10 8" xfId="36210" xr:uid="{4036E670-FADF-463C-88D9-5DEBD59EE8CA}"/>
    <cellStyle name="20% - Énfasis4 11" xfId="4245" xr:uid="{18EE84E8-0A22-49A4-A138-76F3517CF641}"/>
    <cellStyle name="20% - Énfasis4 11 2" xfId="4724" xr:uid="{CE9E1D27-3D3C-4050-8693-E83CCD8C3E8B}"/>
    <cellStyle name="20% - Énfasis4 11 2 2" xfId="5692" xr:uid="{91E1333E-8C4F-4DA5-A819-B954D6200CD4}"/>
    <cellStyle name="20% - Énfasis4 11 2 2 2" xfId="8560" xr:uid="{197F3315-BED1-4728-859E-54A88EA25A6B}"/>
    <cellStyle name="20% - Énfasis4 11 2 2 2 2" xfId="22932" xr:uid="{AFD9FF82-2E1A-4192-8C15-CBFB301C240E}"/>
    <cellStyle name="20% - Énfasis4 11 2 2 2 3" xfId="28793" xr:uid="{272CB3E1-D8F0-4AAF-905F-D39A09E62CB1}"/>
    <cellStyle name="20% - Énfasis4 11 2 2 2 4" xfId="34675" xr:uid="{EF1CE33B-9249-4FF7-A878-2BAA8F93CC7C}"/>
    <cellStyle name="20% - Énfasis4 11 2 2 2 5" xfId="40539" xr:uid="{BCAB0DE2-6BA2-44E2-812E-D100AB5E972F}"/>
    <cellStyle name="20% - Énfasis4 11 2 2 3" xfId="20149" xr:uid="{DA1E24FD-C86B-4750-8227-546A3B67562B}"/>
    <cellStyle name="20% - Énfasis4 11 2 2 4" xfId="25943" xr:uid="{5F2CE16C-3BFF-4A00-853B-CC001D303541}"/>
    <cellStyle name="20% - Énfasis4 11 2 2 5" xfId="31818" xr:uid="{2E538CE8-8949-4A94-9A36-670BEE009EB6}"/>
    <cellStyle name="20% - Énfasis4 11 2 2 6" xfId="37685" xr:uid="{1CEA1FF4-F5B9-48FE-9D07-66448666A09E}"/>
    <cellStyle name="20% - Énfasis4 11 2 3" xfId="7588" xr:uid="{926B9890-2E93-4B2E-A388-0C2AB46F03BB}"/>
    <cellStyle name="20% - Énfasis4 11 2 3 2" xfId="21982" xr:uid="{BBD6FF50-D54D-4592-96D2-69E0DAFA9BDE}"/>
    <cellStyle name="20% - Énfasis4 11 2 3 3" xfId="27822" xr:uid="{B1355FAB-C171-41A7-87B1-A92E616FC7C8}"/>
    <cellStyle name="20% - Énfasis4 11 2 3 4" xfId="33704" xr:uid="{EBE7A77D-CE7A-4DC2-A04D-963A1BA2953A}"/>
    <cellStyle name="20% - Énfasis4 11 2 3 5" xfId="39568" xr:uid="{E0B1106D-6F51-4F43-9F13-28AB61E77CA0}"/>
    <cellStyle name="20% - Énfasis4 11 2 4" xfId="19214" xr:uid="{EF27D3FC-300E-446F-870F-57CB9ABEA0BA}"/>
    <cellStyle name="20% - Énfasis4 11 2 5" xfId="24973" xr:uid="{5391ED0B-B56A-4541-83F8-B65236FF9F5C}"/>
    <cellStyle name="20% - Énfasis4 11 2 6" xfId="30847" xr:uid="{360D0382-314D-4D91-AB07-3FEAB1D3FDB0}"/>
    <cellStyle name="20% - Énfasis4 11 2 7" xfId="36728" xr:uid="{41439FA7-4301-469C-970A-04B7A5DB292B}"/>
    <cellStyle name="20% - Énfasis4 11 3" xfId="5208" xr:uid="{CBF24CA8-7A88-4232-AA76-79965DBA6176}"/>
    <cellStyle name="20% - Énfasis4 11 3 2" xfId="8075" xr:uid="{36E64E43-8820-45BB-84A3-17BF6E7C85A1}"/>
    <cellStyle name="20% - Énfasis4 11 3 2 2" xfId="22453" xr:uid="{0B973C66-B0FC-4318-9C64-861CEA8B1544}"/>
    <cellStyle name="20% - Énfasis4 11 3 2 3" xfId="28308" xr:uid="{FEC1D10A-430D-4223-88AB-37602C5E2A9E}"/>
    <cellStyle name="20% - Énfasis4 11 3 2 4" xfId="34190" xr:uid="{CCE12F5B-C840-4653-9D9D-6284A38B0A07}"/>
    <cellStyle name="20% - Énfasis4 11 3 2 5" xfId="40054" xr:uid="{5AFFC8C4-741D-4B3E-A4DE-5728A4ADCC3C}"/>
    <cellStyle name="20% - Énfasis4 11 3 3" xfId="19679" xr:uid="{249BC5F1-128B-4E9A-A913-291C5624D422}"/>
    <cellStyle name="20% - Énfasis4 11 3 4" xfId="25459" xr:uid="{E00DAD99-AE6B-4498-81E7-4F464CFDE7E2}"/>
    <cellStyle name="20% - Énfasis4 11 3 5" xfId="31333" xr:uid="{4EBB123D-5DE4-478A-A4AE-8CA1FEAE17E1}"/>
    <cellStyle name="20% - Énfasis4 11 3 6" xfId="37206" xr:uid="{C78F926D-33CF-4922-81B2-8402954B9F7A}"/>
    <cellStyle name="20% - Énfasis4 11 4" xfId="7103" xr:uid="{9BC8B074-34C4-4306-BC8D-EA2E6D23964E}"/>
    <cellStyle name="20% - Énfasis4 11 4 2" xfId="21515" xr:uid="{72237EDA-B15E-48FD-BCEB-C55391E768F0}"/>
    <cellStyle name="20% - Énfasis4 11 4 3" xfId="27338" xr:uid="{5609B015-916B-40D2-BB3D-EE06E3F0CC26}"/>
    <cellStyle name="20% - Énfasis4 11 4 4" xfId="33219" xr:uid="{2D92A0D0-34E0-4556-811B-B2620B54F40D}"/>
    <cellStyle name="20% - Énfasis4 11 4 5" xfId="39083" xr:uid="{F6601B6A-BDA1-49C9-9125-8A4F5A0C129F}"/>
    <cellStyle name="20% - Énfasis4 11 5" xfId="18766" xr:uid="{421C878A-F6B9-4E4F-86C8-3349B4992B7E}"/>
    <cellStyle name="20% - Énfasis4 11 6" xfId="24488" xr:uid="{4C11C1FF-B571-4FF5-857F-3FF701BB6671}"/>
    <cellStyle name="20% - Énfasis4 11 7" xfId="30366" xr:uid="{1A032BEA-6A8A-4CB8-A987-66128A25794E}"/>
    <cellStyle name="20% - Énfasis4 11 8" xfId="36247" xr:uid="{ACBDCC73-F01B-4B82-B511-C6CF8779BC26}"/>
    <cellStyle name="20% - Énfasis4 12" xfId="4294" xr:uid="{6D591F13-D6F9-4981-8F33-32F43B13996E}"/>
    <cellStyle name="20% - Énfasis4 12 2" xfId="5260" xr:uid="{8C605DE1-4DEA-4ECB-80BB-3D3A1061C60D}"/>
    <cellStyle name="20% - Énfasis4 12 2 2" xfId="8127" xr:uid="{F523F5FF-A868-412D-90D9-0C72CD914992}"/>
    <cellStyle name="20% - Énfasis4 12 2 2 2" xfId="22504" xr:uid="{6CDB40E4-5367-4F27-96CE-B4271B9CBB38}"/>
    <cellStyle name="20% - Énfasis4 12 2 2 3" xfId="28360" xr:uid="{93ACEA86-0DCD-47BD-968E-34F0DF5E2821}"/>
    <cellStyle name="20% - Énfasis4 12 2 2 4" xfId="34242" xr:uid="{E79D01FF-E1AB-411A-9E3E-9FA1A8312AEC}"/>
    <cellStyle name="20% - Énfasis4 12 2 2 5" xfId="40106" xr:uid="{5A40B3ED-AC48-4565-89D5-109994A91617}"/>
    <cellStyle name="20% - Énfasis4 12 2 3" xfId="19730" xr:uid="{D43CB405-206A-4D68-B869-FB884819F115}"/>
    <cellStyle name="20% - Énfasis4 12 2 4" xfId="25511" xr:uid="{269152DB-469E-4EF4-9C8D-2E5FA70D96E5}"/>
    <cellStyle name="20% - Énfasis4 12 2 5" xfId="31385" xr:uid="{3D6027BF-5B09-47E7-B55A-0B3335949309}"/>
    <cellStyle name="20% - Énfasis4 12 2 6" xfId="37257" xr:uid="{A515ECA0-AD85-4B6C-B241-E00804A775C8}"/>
    <cellStyle name="20% - Énfasis4 12 3" xfId="7155" xr:uid="{EC117CB4-8F24-4A06-852C-414F9CCBCE25}"/>
    <cellStyle name="20% - Énfasis4 12 3 2" xfId="21566" xr:uid="{8653880B-51AB-4192-957F-9095589F14BA}"/>
    <cellStyle name="20% - Énfasis4 12 3 3" xfId="27389" xr:uid="{179F9CA1-673F-4BF5-B57F-B088E45E2ECC}"/>
    <cellStyle name="20% - Énfasis4 12 3 4" xfId="33271" xr:uid="{08576EEB-A0F7-4AA3-811E-AE57B6A89818}"/>
    <cellStyle name="20% - Énfasis4 12 3 5" xfId="39135" xr:uid="{94D72271-02ED-451A-9F5F-4495028FE1F0}"/>
    <cellStyle name="20% - Énfasis4 12 4" xfId="18802" xr:uid="{4917182F-EB24-484E-B49E-A55ACC2F3CC1}"/>
    <cellStyle name="20% - Énfasis4 12 5" xfId="24540" xr:uid="{40229AFF-0F35-4001-8CB2-04BD9DEA85F5}"/>
    <cellStyle name="20% - Énfasis4 12 6" xfId="30419" xr:uid="{8B24EB42-6235-4E48-98F5-2BFD567445B5}"/>
    <cellStyle name="20% - Énfasis4 12 7" xfId="36300" xr:uid="{7D4D0C1E-3BD3-46DC-9197-15D9B6530751}"/>
    <cellStyle name="20% - Énfasis4 13" xfId="4779" xr:uid="{FF3EFE15-2918-4C5C-B9B9-AA645E39A029}"/>
    <cellStyle name="20% - Énfasis4 13 2" xfId="7642" xr:uid="{0E16ECFE-B649-46C0-8ECE-6ACB56CD952E}"/>
    <cellStyle name="20% - Énfasis4 13 2 2" xfId="22035" xr:uid="{D539A908-E6D5-43B0-9163-3E68FCC02ECA}"/>
    <cellStyle name="20% - Énfasis4 13 2 3" xfId="27876" xr:uid="{324D07BF-28B9-4C82-B0AB-B577E24EB890}"/>
    <cellStyle name="20% - Énfasis4 13 2 4" xfId="33758" xr:uid="{DCC0DDD5-0CD5-4D4F-AC8D-0BC0251B9FF6}"/>
    <cellStyle name="20% - Énfasis4 13 2 5" xfId="39622" xr:uid="{47708CC9-6DAB-4085-A37D-16CF29E3F12E}"/>
    <cellStyle name="20% - Énfasis4 13 3" xfId="19261" xr:uid="{A223300A-23F9-4FA3-8EFD-0C19509BAB0F}"/>
    <cellStyle name="20% - Énfasis4 13 4" xfId="25027" xr:uid="{48D4AD8E-0168-474B-ACE8-6E2B6293C137}"/>
    <cellStyle name="20% - Énfasis4 13 5" xfId="30901" xr:uid="{8A1C456F-8863-412D-BEA8-4ABD1A7A34F9}"/>
    <cellStyle name="20% - Énfasis4 13 6" xfId="36781" xr:uid="{486C336C-6E43-45CA-8563-38184993C88C}"/>
    <cellStyle name="20% - Énfasis4 14" xfId="5745" xr:uid="{7A2E22FD-C02E-4A4A-B744-C508018114E0}"/>
    <cellStyle name="20% - Énfasis4 14 2" xfId="8614" xr:uid="{F1565B3D-DDB7-4208-A649-0CA85EC37599}"/>
    <cellStyle name="20% - Énfasis4 14 2 2" xfId="22985" xr:uid="{5EA733D6-AB23-41E6-858F-E567BB5BEF3A}"/>
    <cellStyle name="20% - Énfasis4 14 2 3" xfId="28847" xr:uid="{D2177706-89FF-49FC-8F98-6CCD2102CBD9}"/>
    <cellStyle name="20% - Énfasis4 14 2 4" xfId="34729" xr:uid="{B09224DA-7549-45F4-A451-06F55F9F2BA8}"/>
    <cellStyle name="20% - Énfasis4 14 2 5" xfId="40593" xr:uid="{65BBE26C-0E11-45A8-AB73-267DE032064C}"/>
    <cellStyle name="20% - Énfasis4 14 3" xfId="20203" xr:uid="{759D7C20-E35D-411B-B878-F61AF036B78C}"/>
    <cellStyle name="20% - Énfasis4 14 4" xfId="25997" xr:uid="{09262A0B-F260-43D6-B2EE-EE9B50613744}"/>
    <cellStyle name="20% - Énfasis4 14 5" xfId="31872" xr:uid="{F4ED427E-B688-442D-A95F-F9C29FA0135E}"/>
    <cellStyle name="20% - Énfasis4 14 6" xfId="37738" xr:uid="{B0BA4341-BC00-4A44-9F73-D76EB529F1AF}"/>
    <cellStyle name="20% - Énfasis4 15" xfId="5765" xr:uid="{683F6BFF-0F2F-4C80-B51D-E196A6F7431D}"/>
    <cellStyle name="20% - Énfasis4 15 2" xfId="8634" xr:uid="{36D08854-70A6-4462-9062-2943BB5105D8}"/>
    <cellStyle name="20% - Énfasis4 15 2 2" xfId="23005" xr:uid="{83B97DF7-9A0B-4517-AA17-2FE5DF190ACA}"/>
    <cellStyle name="20% - Énfasis4 15 2 3" xfId="28867" xr:uid="{00018293-F07B-483A-A468-EEF39149C10F}"/>
    <cellStyle name="20% - Énfasis4 15 2 4" xfId="34749" xr:uid="{C9807597-81FB-433D-A661-5BDCA6693DEC}"/>
    <cellStyle name="20% - Énfasis4 15 2 5" xfId="40613" xr:uid="{5557EF06-BD83-4CC9-B127-73CD6E49423F}"/>
    <cellStyle name="20% - Énfasis4 15 3" xfId="20222" xr:uid="{119837A2-ECF8-465E-B0F8-D3BC842FB61A}"/>
    <cellStyle name="20% - Énfasis4 15 4" xfId="26017" xr:uid="{562D81EB-712C-404B-A1B1-03D353E1290B}"/>
    <cellStyle name="20% - Énfasis4 15 5" xfId="31892" xr:uid="{54B8F9AD-86D3-4386-945A-E5668CFB5281}"/>
    <cellStyle name="20% - Énfasis4 15 6" xfId="37758" xr:uid="{0BAFABB7-5784-4E08-BB3C-C499CF53767D}"/>
    <cellStyle name="20% - Énfasis4 16" xfId="5785" xr:uid="{6C819A72-B30C-4473-BE9D-0AB3DF782C1A}"/>
    <cellStyle name="20% - Énfasis4 16 2" xfId="8654" xr:uid="{F6A2C8C5-8EEC-4793-AC93-91B35804735C}"/>
    <cellStyle name="20% - Énfasis4 16 2 2" xfId="23025" xr:uid="{EC8063F8-170A-40DF-9DBB-F01F73C55438}"/>
    <cellStyle name="20% - Énfasis4 16 2 3" xfId="28887" xr:uid="{AB401A63-07B1-4E9A-A4F8-F69865F0E373}"/>
    <cellStyle name="20% - Énfasis4 16 2 4" xfId="34769" xr:uid="{69D67DA3-0629-4EDC-A0CD-8827D131EF61}"/>
    <cellStyle name="20% - Énfasis4 16 2 5" xfId="40633" xr:uid="{59D93F95-C0D2-4FCC-A0D1-B9A0287445A6}"/>
    <cellStyle name="20% - Énfasis4 16 3" xfId="20240" xr:uid="{C03A58F1-1F56-44EB-90C6-1618555EE56A}"/>
    <cellStyle name="20% - Énfasis4 16 4" xfId="26037" xr:uid="{C6639079-68C9-46A8-A0E2-B743355C67A9}"/>
    <cellStyle name="20% - Énfasis4 16 5" xfId="31912" xr:uid="{0274D03F-63C5-4EFD-90A4-63972736E41B}"/>
    <cellStyle name="20% - Énfasis4 16 6" xfId="37778" xr:uid="{624EB783-43AA-4EAE-8088-79F42236035B}"/>
    <cellStyle name="20% - Énfasis4 17" xfId="5984" xr:uid="{AA2A0A21-7505-46E5-AE1A-DBEAA8BF905C}"/>
    <cellStyle name="20% - Énfasis4 17 2" xfId="8853" xr:uid="{9D1C4D15-8251-4B1A-86CB-F2AB47A06CC2}"/>
    <cellStyle name="20% - Énfasis4 17 2 2" xfId="23217" xr:uid="{F3253906-899A-41BB-985C-0A3E8BA3F23D}"/>
    <cellStyle name="20% - Énfasis4 17 2 3" xfId="29084" xr:uid="{0AF2B0AF-E56E-462D-9E77-C773969A06BD}"/>
    <cellStyle name="20% - Énfasis4 17 2 4" xfId="34966" xr:uid="{6680C7ED-E8F5-4C46-91C1-FA3E6943B486}"/>
    <cellStyle name="20% - Énfasis4 17 2 5" xfId="40830" xr:uid="{C95FDFCD-1C40-4F24-98F1-C2D5D393F6CE}"/>
    <cellStyle name="20% - Énfasis4 17 3" xfId="20432" xr:uid="{DB2AC7AC-1B98-46DC-9E7E-BF402991CA26}"/>
    <cellStyle name="20% - Énfasis4 17 4" xfId="26234" xr:uid="{01DFAE2D-E6C6-47EE-874C-A585FC2D8AC0}"/>
    <cellStyle name="20% - Énfasis4 17 5" xfId="32109" xr:uid="{9CE7F561-8454-46B3-A826-53C09F0AF34F}"/>
    <cellStyle name="20% - Énfasis4 17 6" xfId="37974" xr:uid="{47B5040B-BCCB-46B1-BC2E-984C7C75CC12}"/>
    <cellStyle name="20% - Énfasis4 18" xfId="6004" xr:uid="{C491FF7C-76E7-46C4-ABE0-9605107CDFF8}"/>
    <cellStyle name="20% - Énfasis4 18 2" xfId="8873" xr:uid="{2585F8F4-E180-4EA2-B12B-FA93A720B793}"/>
    <cellStyle name="20% - Énfasis4 18 2 2" xfId="23237" xr:uid="{DE7B492E-BA53-4FAE-A2EA-D1AAC059BD9F}"/>
    <cellStyle name="20% - Énfasis4 18 2 3" xfId="29104" xr:uid="{6DF09F6A-27EA-4D05-B29D-D485C6242210}"/>
    <cellStyle name="20% - Énfasis4 18 2 4" xfId="34986" xr:uid="{E8097FA4-18DB-4B3D-BB17-6175AFC53AE3}"/>
    <cellStyle name="20% - Énfasis4 18 2 5" xfId="40850" xr:uid="{EA57EB6A-BE79-44E9-9E9D-CA20754FDAA7}"/>
    <cellStyle name="20% - Énfasis4 18 3" xfId="20452" xr:uid="{5F4B9A4F-84E6-4506-85F0-3F049D39B0A9}"/>
    <cellStyle name="20% - Énfasis4 18 4" xfId="26254" xr:uid="{A6D576A0-A487-4BAE-A8E2-36743B752933}"/>
    <cellStyle name="20% - Énfasis4 18 5" xfId="32129" xr:uid="{7EE3E152-F05E-4124-8678-537852B6F85D}"/>
    <cellStyle name="20% - Énfasis4 18 6" xfId="37994" xr:uid="{56C4818E-5B22-47BA-9BEF-89822D49F109}"/>
    <cellStyle name="20% - Énfasis4 19" xfId="6024" xr:uid="{13E42D7D-74DA-452E-B1E0-CC5A97522881}"/>
    <cellStyle name="20% - Énfasis4 19 2" xfId="8893" xr:uid="{9C7C05CA-F5E8-48B5-93B3-16C27A840861}"/>
    <cellStyle name="20% - Énfasis4 19 2 2" xfId="23257" xr:uid="{92B52D90-BC4A-4656-89E0-71CB86212906}"/>
    <cellStyle name="20% - Énfasis4 19 2 3" xfId="29124" xr:uid="{407CF6E4-1E3F-4AEA-9B6A-17A46515466B}"/>
    <cellStyle name="20% - Énfasis4 19 2 4" xfId="35006" xr:uid="{EA15D8FB-90C6-4D28-A3AB-FBB5173E95CB}"/>
    <cellStyle name="20% - Énfasis4 19 2 5" xfId="40870" xr:uid="{B4199450-0CDD-49F5-AD3D-45ED5DE3BA5E}"/>
    <cellStyle name="20% - Énfasis4 19 3" xfId="20472" xr:uid="{95DA187B-F3D5-4B7F-B5D0-6BDAE08D60DC}"/>
    <cellStyle name="20% - Énfasis4 19 4" xfId="26274" xr:uid="{104E52CF-6E5F-44B5-AEBF-2FE6FDEB7D3E}"/>
    <cellStyle name="20% - Énfasis4 19 5" xfId="32149" xr:uid="{065C17A5-8332-43A1-AF94-DCCF85F5FE63}"/>
    <cellStyle name="20% - Énfasis4 19 6" xfId="38014" xr:uid="{1D112CFD-67C3-4739-B488-4E837B515127}"/>
    <cellStyle name="20% - Énfasis4 2" xfId="3846" xr:uid="{59F9D944-2950-45A0-B7D6-130C0EDCA7FF}"/>
    <cellStyle name="20% - Énfasis4 2 10" xfId="35829" xr:uid="{E0DD5A1E-2521-4DA8-A14C-1542A48C7C0C}"/>
    <cellStyle name="20% - Énfasis4 2 2" xfId="4044" xr:uid="{E435619B-A6A9-4D7A-A6A1-ACDF7CC1D735}"/>
    <cellStyle name="20% - Énfasis4 2 2 2" xfId="4518" xr:uid="{BD69E7CB-090D-4DE1-839A-AD811FB9B51F}"/>
    <cellStyle name="20% - Énfasis4 2 2 2 2" xfId="5486" xr:uid="{F7978E68-0673-4AFE-9F1F-B9C3C126D578}"/>
    <cellStyle name="20% - Énfasis4 2 2 2 2 2" xfId="8353" xr:uid="{A6EEE334-9FFE-49FE-9A0D-1D2C891E7976}"/>
    <cellStyle name="20% - Énfasis4 2 2 2 2 2 2" xfId="22728" xr:uid="{11761DBF-0E1F-49A2-A5E3-DBC651A20025}"/>
    <cellStyle name="20% - Énfasis4 2 2 2 2 2 3" xfId="28586" xr:uid="{9BBD9A98-BF05-42E9-A54E-993C08722DB8}"/>
    <cellStyle name="20% - Énfasis4 2 2 2 2 2 4" xfId="34468" xr:uid="{5CE26F4D-D10E-4F01-984C-82381FC07960}"/>
    <cellStyle name="20% - Énfasis4 2 2 2 2 2 5" xfId="40332" xr:uid="{35FBA75C-848D-429C-84C1-93F0C11CBABE}"/>
    <cellStyle name="20% - Énfasis4 2 2 2 2 3" xfId="19947" xr:uid="{20263943-400D-40EE-B28D-9F35AC8BE673}"/>
    <cellStyle name="20% - Énfasis4 2 2 2 2 4" xfId="25737" xr:uid="{014D0EDE-2E0D-49E0-87E0-59DCE8145A58}"/>
    <cellStyle name="20% - Énfasis4 2 2 2 2 5" xfId="31611" xr:uid="{8E270B24-38B6-4361-839D-17EB3C80BDD9}"/>
    <cellStyle name="20% - Énfasis4 2 2 2 2 6" xfId="37481" xr:uid="{653F20F1-945C-4BF6-B0B4-84232A2541E4}"/>
    <cellStyle name="20% - Énfasis4 2 2 2 3" xfId="7381" xr:uid="{F14E3DF9-17D7-443A-833D-FB24F091C07C}"/>
    <cellStyle name="20% - Énfasis4 2 2 2 3 2" xfId="21783" xr:uid="{B23E5720-01E0-4A8F-9E68-C62ECBE6A2F2}"/>
    <cellStyle name="20% - Énfasis4 2 2 2 3 3" xfId="27615" xr:uid="{459AEF1B-AB10-412F-821C-AEEF92490F9A}"/>
    <cellStyle name="20% - Énfasis4 2 2 2 3 4" xfId="33497" xr:uid="{4CE52278-3DA3-453E-A0E0-FEFB971C6BBC}"/>
    <cellStyle name="20% - Énfasis4 2 2 2 3 5" xfId="39361" xr:uid="{E2D3AF4F-43BE-4D3C-B2C8-4C4A8C9C273E}"/>
    <cellStyle name="20% - Énfasis4 2 2 2 4" xfId="19017" xr:uid="{CA2B0C47-1E9F-4F14-B7B7-E19C059E8575}"/>
    <cellStyle name="20% - Énfasis4 2 2 2 5" xfId="24766" xr:uid="{FAD2DFB4-E846-4A88-9A1D-D4202739F029}"/>
    <cellStyle name="20% - Énfasis4 2 2 2 6" xfId="30643" xr:uid="{41810C3B-39BA-48B6-B0F9-941556C73FD1}"/>
    <cellStyle name="20% - Énfasis4 2 2 2 7" xfId="36524" xr:uid="{514A84BE-2047-43D0-922E-77AB783D8567}"/>
    <cellStyle name="20% - Énfasis4 2 2 3" xfId="5001" xr:uid="{B4E92D7A-9676-4AB0-88BA-DBD1C008B6D7}"/>
    <cellStyle name="20% - Énfasis4 2 2 3 2" xfId="7868" xr:uid="{C8C4CD7B-80D9-4787-A874-9AA020D15060}"/>
    <cellStyle name="20% - Énfasis4 2 2 3 2 2" xfId="22253" xr:uid="{15AABD25-28AB-4312-B205-6CBE7E7EE870}"/>
    <cellStyle name="20% - Énfasis4 2 2 3 2 3" xfId="28101" xr:uid="{A627535D-91E6-431D-AD4F-D9D694EB2D5B}"/>
    <cellStyle name="20% - Énfasis4 2 2 3 2 4" xfId="33983" xr:uid="{455F6D85-10B4-4F24-8578-2E944B415C95}"/>
    <cellStyle name="20% - Énfasis4 2 2 3 2 5" xfId="39847" xr:uid="{DA661869-8BAB-4B95-88FE-D4E74F70BB68}"/>
    <cellStyle name="20% - Énfasis4 2 2 3 3" xfId="19480" xr:uid="{47F9C7F1-29CE-4AD7-865B-E552DA1BEB31}"/>
    <cellStyle name="20% - Énfasis4 2 2 3 4" xfId="25252" xr:uid="{A3016EE3-2E43-47DD-890F-E8C58D684533}"/>
    <cellStyle name="20% - Énfasis4 2 2 3 5" xfId="31126" xr:uid="{C3D5E222-C850-4922-A45A-12B4D414C7BA}"/>
    <cellStyle name="20% - Énfasis4 2 2 3 6" xfId="37004" xr:uid="{B9B8B8B0-4BBB-4A2E-8C46-238A9BEDFE4E}"/>
    <cellStyle name="20% - Énfasis4 2 2 4" xfId="6896" xr:uid="{FF352DB5-5970-4119-8D75-AF6A8F5C3B36}"/>
    <cellStyle name="20% - Énfasis4 2 2 4 2" xfId="21317" xr:uid="{76010BE8-F3EE-4B82-9151-A5ADEAD3DC72}"/>
    <cellStyle name="20% - Énfasis4 2 2 4 3" xfId="27134" xr:uid="{C05EF20E-666C-4B01-AFBF-CE43C9156B59}"/>
    <cellStyle name="20% - Énfasis4 2 2 4 4" xfId="33012" xr:uid="{9F02B302-D2E7-483F-93D2-498D2E692869}"/>
    <cellStyle name="20% - Énfasis4 2 2 4 5" xfId="38876" xr:uid="{4D07F6F6-241F-466E-8C5F-31E6B23FB973}"/>
    <cellStyle name="20% - Énfasis4 2 2 5" xfId="18571" xr:uid="{2A9643C4-648C-4B54-9169-A1A213FDEFC4}"/>
    <cellStyle name="20% - Énfasis4 2 2 6" xfId="24283" xr:uid="{A8916D39-00DE-4918-B56B-AAA55A0EAB4D}"/>
    <cellStyle name="20% - Énfasis4 2 2 7" xfId="30161" xr:uid="{FD441B4B-8392-442F-B8D9-3B590FB6D4E4}"/>
    <cellStyle name="20% - Énfasis4 2 2 8" xfId="36040" xr:uid="{B2E970F7-6FA5-4AD7-8940-9789E8D801F9}"/>
    <cellStyle name="20% - Énfasis4 2 3" xfId="4324" xr:uid="{FBD34E4F-AF8E-4BEA-842E-9687EF06FABE}"/>
    <cellStyle name="20% - Énfasis4 2 3 2" xfId="5290" xr:uid="{EA688DF2-B779-4A75-96F0-44B1BCD31EDA}"/>
    <cellStyle name="20% - Énfasis4 2 3 2 2" xfId="8157" xr:uid="{1107502D-C0A7-49EE-B4FE-776D5167FC02}"/>
    <cellStyle name="20% - Énfasis4 2 3 2 2 2" xfId="22533" xr:uid="{AA80B93D-2BE8-4A6D-A24D-6417FBAD163F}"/>
    <cellStyle name="20% - Énfasis4 2 3 2 2 3" xfId="28390" xr:uid="{79A04E79-A3F1-429E-99CE-255EC373D330}"/>
    <cellStyle name="20% - Énfasis4 2 3 2 2 4" xfId="34272" xr:uid="{C13BB4DD-F2C6-46CE-BC39-B482DABD3096}"/>
    <cellStyle name="20% - Énfasis4 2 3 2 2 5" xfId="40136" xr:uid="{BFB000D3-067B-4E6C-9B91-6667D9A380FD}"/>
    <cellStyle name="20% - Énfasis4 2 3 2 3" xfId="19758" xr:uid="{6F9B28D0-FD5C-4524-95DA-FFCEE0BBFE6B}"/>
    <cellStyle name="20% - Énfasis4 2 3 2 4" xfId="25541" xr:uid="{4D3D2490-562C-4D17-A315-F0652B07EA61}"/>
    <cellStyle name="20% - Énfasis4 2 3 2 5" xfId="31415" xr:uid="{19992953-522B-42E7-87F7-B40FEEC721F4}"/>
    <cellStyle name="20% - Énfasis4 2 3 2 6" xfId="37286" xr:uid="{BCD0BC10-76C4-47B9-AD00-6E6E97421245}"/>
    <cellStyle name="20% - Énfasis4 2 3 3" xfId="7185" xr:uid="{F70A61CF-FF9B-4FB2-A425-070E523A87CF}"/>
    <cellStyle name="20% - Énfasis4 2 3 3 2" xfId="21592" xr:uid="{0C0B47BE-CF82-4147-A328-EEA11FD4C082}"/>
    <cellStyle name="20% - Énfasis4 2 3 3 3" xfId="27419" xr:uid="{11CBB5D3-501B-4DA3-B04E-79EFA2AB93D1}"/>
    <cellStyle name="20% - Énfasis4 2 3 3 4" xfId="33301" xr:uid="{33D0F2E3-EBCD-4184-B56F-191C9D26E717}"/>
    <cellStyle name="20% - Énfasis4 2 3 3 5" xfId="39165" xr:uid="{18C811B5-0182-4504-9E8B-461D381C4DAE}"/>
    <cellStyle name="20% - Énfasis4 2 3 4" xfId="18829" xr:uid="{2D287D87-0A7D-4400-A8B7-95FB8B651AE1}"/>
    <cellStyle name="20% - Énfasis4 2 3 5" xfId="24570" xr:uid="{AC646F66-3DAB-45B2-9ADD-E2F52E454947}"/>
    <cellStyle name="20% - Énfasis4 2 3 6" xfId="30449" xr:uid="{717FE09D-C1C2-402F-B778-55AC5FE378E9}"/>
    <cellStyle name="20% - Énfasis4 2 3 7" xfId="36329" xr:uid="{BE65C7A2-9328-443D-AAB0-736A9FC20C8D}"/>
    <cellStyle name="20% - Énfasis4 2 4" xfId="4809" xr:uid="{95122DE5-B26A-4AAB-B6D6-BF0C5B8D93AC}"/>
    <cellStyle name="20% - Énfasis4 2 4 2" xfId="7672" xr:uid="{B9D6AC9A-1932-4944-84BE-D983793BE7F8}"/>
    <cellStyle name="20% - Énfasis4 2 4 2 2" xfId="22063" xr:uid="{BE5B298A-7CDE-4D86-A1EF-8A94F7A575B6}"/>
    <cellStyle name="20% - Énfasis4 2 4 2 3" xfId="27905" xr:uid="{2C2C9293-DC60-48EF-A32A-7CC7FC5F8A5C}"/>
    <cellStyle name="20% - Énfasis4 2 4 2 4" xfId="33787" xr:uid="{09177AE7-5A24-40BF-AA0E-1FDB2749F44B}"/>
    <cellStyle name="20% - Énfasis4 2 4 2 5" xfId="39651" xr:uid="{EF54776D-852B-4888-A3C9-7CC55E7D1D40}"/>
    <cellStyle name="20% - Énfasis4 2 4 3" xfId="19288" xr:uid="{A2AF2FEE-37CD-443A-8C07-04A62CBFD601}"/>
    <cellStyle name="20% - Énfasis4 2 4 4" xfId="25056" xr:uid="{4EC7644A-9C93-481A-8E6F-D419F60D8DBF}"/>
    <cellStyle name="20% - Énfasis4 2 4 5" xfId="30930" xr:uid="{48F5CAFF-C1B3-4A03-AA04-71C3316B06B3}"/>
    <cellStyle name="20% - Énfasis4 2 4 6" xfId="36809" xr:uid="{461A8F37-24C0-41C6-A851-0FD99FAB3966}"/>
    <cellStyle name="20% - Énfasis4 2 5" xfId="5815" xr:uid="{8BB3E0A7-70F5-44E9-A02D-A7BA7D4CA144}"/>
    <cellStyle name="20% - Énfasis4 2 5 2" xfId="8684" xr:uid="{3830D8F2-6B8D-4DA5-A471-C85488C598BE}"/>
    <cellStyle name="20% - Énfasis4 2 5 2 2" xfId="23052" xr:uid="{557AC7A2-0638-475F-BA44-6DD5204A6C41}"/>
    <cellStyle name="20% - Énfasis4 2 5 2 3" xfId="28916" xr:uid="{5B3640AA-C243-4711-BFB1-329261160BD9}"/>
    <cellStyle name="20% - Énfasis4 2 5 2 4" xfId="34798" xr:uid="{CA3EF553-4E0B-425B-A30F-98FFEA1F5AA5}"/>
    <cellStyle name="20% - Énfasis4 2 5 2 5" xfId="40662" xr:uid="{8943AD84-4A61-40BB-9103-FBD3C779626B}"/>
    <cellStyle name="20% - Énfasis4 2 5 3" xfId="20267" xr:uid="{59C16027-71C1-409E-A29A-B008CF1C48AA}"/>
    <cellStyle name="20% - Énfasis4 2 5 4" xfId="26066" xr:uid="{CAFF50BF-5606-47B2-9434-DEA6AB89E81E}"/>
    <cellStyle name="20% - Énfasis4 2 5 5" xfId="31941" xr:uid="{5A0C05AB-707D-44A9-8F1C-EDCED37B593F}"/>
    <cellStyle name="20% - Énfasis4 2 5 6" xfId="37807" xr:uid="{937FEDAB-E299-44EE-84A1-A223AA7B18D7}"/>
    <cellStyle name="20% - Énfasis4 2 6" xfId="6701" xr:uid="{BCAD13D9-154B-41DB-9F6A-1446AB7249E6}"/>
    <cellStyle name="20% - Énfasis4 2 6 2" xfId="21128" xr:uid="{F69FC0C2-4061-4657-AE12-20DD20F2399B}"/>
    <cellStyle name="20% - Énfasis4 2 6 3" xfId="26940" xr:uid="{E4F2A7FD-C83C-40DC-8B5E-CC0E9B908EDA}"/>
    <cellStyle name="20% - Énfasis4 2 6 4" xfId="32816" xr:uid="{97F4B832-566B-4F7F-8F26-50314397DFA3}"/>
    <cellStyle name="20% - Énfasis4 2 6 5" xfId="38680" xr:uid="{0F147706-8123-452F-9E9B-3DE3499A8650}"/>
    <cellStyle name="20% - Énfasis4 2 7" xfId="18362" xr:uid="{258D77E8-AE23-430F-A848-D1BB2490774A}"/>
    <cellStyle name="20% - Énfasis4 2 8" xfId="24070" xr:uid="{C27AC36A-58BE-472F-9FB4-EB8E599658AC}"/>
    <cellStyle name="20% - Énfasis4 2 9" xfId="29948" xr:uid="{E6FCE1CE-AAEA-401D-B248-8CC7DD200E40}"/>
    <cellStyle name="20% - Énfasis4 20" xfId="6044" xr:uid="{BB33E9B2-3FC6-4F04-A7DD-E047CE550AA4}"/>
    <cellStyle name="20% - Énfasis4 20 2" xfId="8913" xr:uid="{9777B5B0-633D-4A24-B441-C71815EBD076}"/>
    <cellStyle name="20% - Énfasis4 20 2 2" xfId="23277" xr:uid="{3BDF0E34-D738-41E5-8610-2FB3AC5DE948}"/>
    <cellStyle name="20% - Énfasis4 20 2 3" xfId="29144" xr:uid="{95883968-CB25-435D-A7BC-9B36DE759665}"/>
    <cellStyle name="20% - Énfasis4 20 2 4" xfId="35026" xr:uid="{A1987D47-6921-4AAB-975E-20B54326EE7A}"/>
    <cellStyle name="20% - Énfasis4 20 2 5" xfId="40890" xr:uid="{63E75955-02AA-41D7-AA1F-A0A2A76DF328}"/>
    <cellStyle name="20% - Énfasis4 20 3" xfId="20492" xr:uid="{174227CE-BE5C-43DB-ACD5-4D0E3A071697}"/>
    <cellStyle name="20% - Énfasis4 20 4" xfId="26294" xr:uid="{EFC64D62-A3F6-4AFE-91CF-8C44F7FBA46C}"/>
    <cellStyle name="20% - Énfasis4 20 5" xfId="32169" xr:uid="{DED4D7DA-FF66-4859-835C-FC236556ACA6}"/>
    <cellStyle name="20% - Énfasis4 20 6" xfId="38034" xr:uid="{243994C0-94BA-441E-802E-63D26DA24A1E}"/>
    <cellStyle name="20% - Énfasis4 21" xfId="6064" xr:uid="{7738B670-1D63-427A-99F2-14A29058F877}"/>
    <cellStyle name="20% - Énfasis4 21 2" xfId="8933" xr:uid="{FACE3A1C-C923-4293-9704-F8BB5E40A234}"/>
    <cellStyle name="20% - Énfasis4 21 2 2" xfId="23297" xr:uid="{329B2D53-B931-4999-BC86-3440EEEE1B79}"/>
    <cellStyle name="20% - Énfasis4 21 2 3" xfId="29164" xr:uid="{BC0F7C9D-166F-4302-852F-E64313CA2EB0}"/>
    <cellStyle name="20% - Énfasis4 21 2 4" xfId="35046" xr:uid="{103AD907-11D0-4DFA-ACFA-95ED3A9099A8}"/>
    <cellStyle name="20% - Énfasis4 21 2 5" xfId="40910" xr:uid="{1FF616EC-E3DC-49E7-B927-623D15DA2FA8}"/>
    <cellStyle name="20% - Énfasis4 21 3" xfId="20512" xr:uid="{292D98F7-9337-4B6E-8F6D-9FCEB22D8B45}"/>
    <cellStyle name="20% - Énfasis4 21 4" xfId="26314" xr:uid="{6F57721C-C93A-485C-B15F-8F2542EBBCC4}"/>
    <cellStyle name="20% - Énfasis4 21 5" xfId="32189" xr:uid="{8BCC2537-2849-4BE4-8440-24DAC32F6A0F}"/>
    <cellStyle name="20% - Énfasis4 21 6" xfId="38054" xr:uid="{DF9CAF41-9851-4338-B94F-DB1B0312B1EF}"/>
    <cellStyle name="20% - Énfasis4 22" xfId="6084" xr:uid="{8E28EB4D-ECFE-44D2-B50D-A30932ED7EDA}"/>
    <cellStyle name="20% - Énfasis4 22 2" xfId="8953" xr:uid="{3CC860BB-2B07-427A-B5CC-B6904453AE9B}"/>
    <cellStyle name="20% - Énfasis4 22 2 2" xfId="23317" xr:uid="{34271921-1DF9-48EF-8281-2C35659D6707}"/>
    <cellStyle name="20% - Énfasis4 22 2 3" xfId="29184" xr:uid="{BD258C04-3DE2-48E5-9C9D-983E646FC754}"/>
    <cellStyle name="20% - Énfasis4 22 2 4" xfId="35066" xr:uid="{26061399-7A98-4A86-BB03-59FFF88F38EC}"/>
    <cellStyle name="20% - Énfasis4 22 2 5" xfId="40930" xr:uid="{5D867975-CB10-4AA7-A586-B8793ED1291A}"/>
    <cellStyle name="20% - Énfasis4 22 3" xfId="20532" xr:uid="{5BA43567-48F2-412B-A6F8-F997C366FE88}"/>
    <cellStyle name="20% - Énfasis4 22 4" xfId="26334" xr:uid="{36B0F746-7F62-415B-98E5-C9E55768FE7F}"/>
    <cellStyle name="20% - Énfasis4 22 5" xfId="32209" xr:uid="{F812D304-172B-4704-AA2F-BF3C75B6DA6E}"/>
    <cellStyle name="20% - Énfasis4 22 6" xfId="38074" xr:uid="{0739BE36-EAB5-4095-828F-D85AC0639958}"/>
    <cellStyle name="20% - Énfasis4 23" xfId="6104" xr:uid="{245AAA1E-922E-4BD6-80D5-D45F0280051C}"/>
    <cellStyle name="20% - Énfasis4 23 2" xfId="8973" xr:uid="{4D4EE7C0-10D5-4A3C-BAD0-C713711B0BF2}"/>
    <cellStyle name="20% - Énfasis4 23 2 2" xfId="23337" xr:uid="{B25AB89D-EE54-4A5E-8974-FA3987E6CD5C}"/>
    <cellStyle name="20% - Énfasis4 23 2 3" xfId="29204" xr:uid="{BD8E4132-AC82-46BC-BC29-B211ED42E28D}"/>
    <cellStyle name="20% - Énfasis4 23 2 4" xfId="35086" xr:uid="{866C4B58-44CC-4525-8966-2FA390AD8EF9}"/>
    <cellStyle name="20% - Énfasis4 23 2 5" xfId="40950" xr:uid="{DC519648-1F6C-45A3-AD91-E90E86942B62}"/>
    <cellStyle name="20% - Énfasis4 23 3" xfId="20552" xr:uid="{23E89B86-E95B-495A-9547-AF9275470FE7}"/>
    <cellStyle name="20% - Énfasis4 23 4" xfId="26354" xr:uid="{E1B4D0E3-42BD-441C-84FB-E0D8433A5DAC}"/>
    <cellStyle name="20% - Énfasis4 23 5" xfId="32229" xr:uid="{8202FBE8-8AAC-47C5-92FA-11DB5A23CDC0}"/>
    <cellStyle name="20% - Énfasis4 23 6" xfId="38094" xr:uid="{98B691B7-0E48-4BEF-8B3D-56D81E9BB467}"/>
    <cellStyle name="20% - Énfasis4 24" xfId="6124" xr:uid="{3EF316CD-2D09-481C-923B-AEC0473499BC}"/>
    <cellStyle name="20% - Énfasis4 24 2" xfId="8993" xr:uid="{2D630338-4B7B-4E48-AE0D-0C862AB9488F}"/>
    <cellStyle name="20% - Énfasis4 24 2 2" xfId="23357" xr:uid="{68504DD9-F174-4118-9664-145240F728D9}"/>
    <cellStyle name="20% - Énfasis4 24 2 3" xfId="29224" xr:uid="{84BEDEBB-4744-4A95-87C8-953E0580C91B}"/>
    <cellStyle name="20% - Énfasis4 24 2 4" xfId="35106" xr:uid="{E6276098-B7F0-497A-87EA-9BBA18A51F80}"/>
    <cellStyle name="20% - Énfasis4 24 2 5" xfId="40970" xr:uid="{4499DAC3-1FE0-4AA7-95F9-64387E5EE608}"/>
    <cellStyle name="20% - Énfasis4 24 3" xfId="20572" xr:uid="{D51C6231-A400-4EAB-B940-7DA2AB800293}"/>
    <cellStyle name="20% - Énfasis4 24 4" xfId="26374" xr:uid="{B4BC2ADC-44C4-4D22-AF12-84594D488C9B}"/>
    <cellStyle name="20% - Énfasis4 24 5" xfId="32249" xr:uid="{A432EA10-39DA-48A2-9EC5-2A40119B3B88}"/>
    <cellStyle name="20% - Énfasis4 24 6" xfId="38114" xr:uid="{DED61664-2D7B-45C5-B833-4DA826D0F3B4}"/>
    <cellStyle name="20% - Énfasis4 25" xfId="6144" xr:uid="{2C0574AD-DE05-4C08-AFAF-B4168333C09A}"/>
    <cellStyle name="20% - Énfasis4 25 2" xfId="9013" xr:uid="{B39424B4-2C2B-476E-87A9-BC3305F6BBD8}"/>
    <cellStyle name="20% - Énfasis4 25 2 2" xfId="23377" xr:uid="{CE177BEE-0C67-43AE-B83E-019E86253EC0}"/>
    <cellStyle name="20% - Énfasis4 25 2 3" xfId="29244" xr:uid="{9A0B5F6E-2ABC-4EA5-9719-26EC71DDE100}"/>
    <cellStyle name="20% - Énfasis4 25 2 4" xfId="35126" xr:uid="{397163BF-DD64-4B74-832D-F9FAF25EBD05}"/>
    <cellStyle name="20% - Énfasis4 25 2 5" xfId="40989" xr:uid="{18A70114-220A-4387-9319-9D7B61F548BC}"/>
    <cellStyle name="20% - Énfasis4 25 3" xfId="20592" xr:uid="{4AA9AF90-55C7-4935-8FAC-14FEACCBB743}"/>
    <cellStyle name="20% - Énfasis4 25 4" xfId="26394" xr:uid="{DFC5092B-304E-40AB-9E3A-8AEF123FDEB1}"/>
    <cellStyle name="20% - Énfasis4 25 5" xfId="32269" xr:uid="{3D38D97E-2748-4FC4-AAAC-E8507877E45F}"/>
    <cellStyle name="20% - Énfasis4 25 6" xfId="38134" xr:uid="{6849C281-CD4B-44D1-B43A-475060C2A54E}"/>
    <cellStyle name="20% - Énfasis4 26" xfId="6164" xr:uid="{FAFF49FF-14A3-483E-829A-8621ED6DF8CB}"/>
    <cellStyle name="20% - Énfasis4 26 2" xfId="9033" xr:uid="{B5385F22-76DF-49AE-A3BE-76BC35682EA7}"/>
    <cellStyle name="20% - Énfasis4 26 2 2" xfId="23397" xr:uid="{726CDEFF-65A3-4AB0-8F98-35761D699725}"/>
    <cellStyle name="20% - Énfasis4 26 2 3" xfId="29264" xr:uid="{7E3B0C6C-8B7F-4977-9997-18BB9BB02B90}"/>
    <cellStyle name="20% - Énfasis4 26 2 4" xfId="35146" xr:uid="{98F6305E-4099-449C-9EA6-E461C1053430}"/>
    <cellStyle name="20% - Énfasis4 26 2 5" xfId="41008" xr:uid="{CF76703C-75C1-4740-8DC0-BA00973A2B99}"/>
    <cellStyle name="20% - Énfasis4 26 3" xfId="20612" xr:uid="{ED59325E-0511-445E-A284-513FA40778AE}"/>
    <cellStyle name="20% - Énfasis4 26 4" xfId="26414" xr:uid="{6693D0B5-1C80-4F48-A015-125DF490BC3A}"/>
    <cellStyle name="20% - Énfasis4 26 5" xfId="32289" xr:uid="{186C8A62-B7B0-4411-8A9A-DC1AA48E386D}"/>
    <cellStyle name="20% - Énfasis4 26 6" xfId="38154" xr:uid="{C688BFA6-5CE2-4AD8-98AC-A10B82B05320}"/>
    <cellStyle name="20% - Énfasis4 27" xfId="6184" xr:uid="{07FAE372-2FCE-4554-AF1C-20FD104A7D56}"/>
    <cellStyle name="20% - Énfasis4 27 2" xfId="9053" xr:uid="{B454B02D-087D-4537-B551-D53FD2B07B04}"/>
    <cellStyle name="20% - Énfasis4 27 2 2" xfId="23417" xr:uid="{96DA1A91-F472-4DB2-BF36-65E50BBC9549}"/>
    <cellStyle name="20% - Énfasis4 27 2 3" xfId="29284" xr:uid="{66197CB3-8E5E-4B12-85AA-9E3B5DC426DC}"/>
    <cellStyle name="20% - Énfasis4 27 2 4" xfId="35166" xr:uid="{2DFBCAF1-B2B6-4D22-AAFE-94BCE0D1787F}"/>
    <cellStyle name="20% - Énfasis4 27 2 5" xfId="41028" xr:uid="{87F00E5E-D88F-4CF9-AE64-8B7120CB3F05}"/>
    <cellStyle name="20% - Énfasis4 27 3" xfId="20632" xr:uid="{ADCF4F55-00F1-4260-9712-037594FB9F1E}"/>
    <cellStyle name="20% - Énfasis4 27 4" xfId="26434" xr:uid="{F7F568B7-8D16-4F2A-9744-19DBF8B1DDC5}"/>
    <cellStyle name="20% - Énfasis4 27 5" xfId="32309" xr:uid="{80A9933C-6AFC-4A0E-983C-7B5CA612B18B}"/>
    <cellStyle name="20% - Énfasis4 27 6" xfId="38174" xr:uid="{7B5715EF-0E34-435D-8A72-A6F89B23F04C}"/>
    <cellStyle name="20% - Énfasis4 28" xfId="6206" xr:uid="{BFF1BF5D-C0C1-4895-BCEB-E198CA116FDA}"/>
    <cellStyle name="20% - Énfasis4 28 2" xfId="9075" xr:uid="{17D7C701-FCA2-4156-988A-AC14F4B14901}"/>
    <cellStyle name="20% - Énfasis4 28 2 2" xfId="23439" xr:uid="{3459A420-F88C-42A0-9AEC-A7903B048E31}"/>
    <cellStyle name="20% - Énfasis4 28 2 3" xfId="29306" xr:uid="{D19D49B4-1F7E-4382-83CD-0838900887D7}"/>
    <cellStyle name="20% - Énfasis4 28 2 4" xfId="35188" xr:uid="{1B5EDDA2-0896-44E0-A69F-5DD870F1BE2B}"/>
    <cellStyle name="20% - Énfasis4 28 2 5" xfId="41049" xr:uid="{62999CDE-8BAB-4BF9-BDF9-00FBA08BDEBA}"/>
    <cellStyle name="20% - Énfasis4 28 3" xfId="20654" xr:uid="{B3360925-ED6A-4F3F-8520-1D9518409AC3}"/>
    <cellStyle name="20% - Énfasis4 28 4" xfId="26456" xr:uid="{DDBE894A-2E5B-48D4-ADB5-22A2D75237DC}"/>
    <cellStyle name="20% - Énfasis4 28 5" xfId="32331" xr:uid="{B1032010-CFE0-4FF8-9C5F-8031B77E9802}"/>
    <cellStyle name="20% - Énfasis4 28 6" xfId="38196" xr:uid="{A7FD1BAB-8246-47D4-B98F-14D5197AF7F3}"/>
    <cellStyle name="20% - Énfasis4 29" xfId="6243" xr:uid="{BF201F7E-AD2F-486F-B3B9-762A517D494E}"/>
    <cellStyle name="20% - Énfasis4 29 2" xfId="9112" xr:uid="{E7F31C40-3679-4783-981B-796F57247351}"/>
    <cellStyle name="20% - Énfasis4 29 2 2" xfId="23476" xr:uid="{B8A843D2-A76B-449E-8672-DFD547F50E6C}"/>
    <cellStyle name="20% - Énfasis4 29 2 3" xfId="29343" xr:uid="{733FBBC6-A00E-4997-8A42-B6DBBE0A9CC6}"/>
    <cellStyle name="20% - Énfasis4 29 2 4" xfId="35225" xr:uid="{88784B6A-CB32-48DE-97AC-27021E8B1BC1}"/>
    <cellStyle name="20% - Énfasis4 29 2 5" xfId="41085" xr:uid="{2A948939-5A98-4F20-9B16-52EC7E8455F2}"/>
    <cellStyle name="20% - Énfasis4 29 3" xfId="20684" xr:uid="{90F33884-5BD1-4AE9-B79C-C92BAF289B5B}"/>
    <cellStyle name="20% - Énfasis4 29 4" xfId="26493" xr:uid="{9922852E-358B-4C3C-AD0A-9D74120E6869}"/>
    <cellStyle name="20% - Énfasis4 29 5" xfId="32368" xr:uid="{D9DA7994-22FE-4153-84BE-A1B2A1B9DB9D}"/>
    <cellStyle name="20% - Énfasis4 29 6" xfId="38233" xr:uid="{6E766B62-C88D-44DB-94C3-A6785796D182}"/>
    <cellStyle name="20% - Énfasis4 3" xfId="3866" xr:uid="{C421A86F-DB16-4DFF-8622-8B1883E77AAF}"/>
    <cellStyle name="20% - Énfasis4 3 10" xfId="35856" xr:uid="{5877CC58-E5E4-47D3-84BE-8D60211BB600}"/>
    <cellStyle name="20% - Énfasis4 3 2" xfId="4065" xr:uid="{243E8A57-02A6-4C81-AA1D-1514D0194746}"/>
    <cellStyle name="20% - Énfasis4 3 2 2" xfId="4543" xr:uid="{4F6C456E-19FD-4617-89AA-B004A95DBDAA}"/>
    <cellStyle name="20% - Énfasis4 3 2 2 2" xfId="5511" xr:uid="{91119F67-6BEF-4E62-9FC9-071CAB879128}"/>
    <cellStyle name="20% - Énfasis4 3 2 2 2 2" xfId="8378" xr:uid="{D4219925-6378-438F-9C09-A3357B8A8920}"/>
    <cellStyle name="20% - Énfasis4 3 2 2 2 2 2" xfId="22753" xr:uid="{76745A8C-93C7-4D4B-B847-8C08B021F1B3}"/>
    <cellStyle name="20% - Énfasis4 3 2 2 2 2 3" xfId="28611" xr:uid="{E6071E17-DD4E-4D89-B8D8-A3ECEA6C3337}"/>
    <cellStyle name="20% - Énfasis4 3 2 2 2 2 4" xfId="34493" xr:uid="{F763CC5D-A6FC-44AE-9D21-C078459D0061}"/>
    <cellStyle name="20% - Énfasis4 3 2 2 2 2 5" xfId="40357" xr:uid="{C9028D00-A0F9-4B32-9544-D0BDB4F91A32}"/>
    <cellStyle name="20% - Énfasis4 3 2 2 2 3" xfId="19971" xr:uid="{13652505-A25C-474B-A416-B7C9CD071056}"/>
    <cellStyle name="20% - Énfasis4 3 2 2 2 4" xfId="25762" xr:uid="{6D9734E3-3E4D-4AC2-B923-0C7203E4889F}"/>
    <cellStyle name="20% - Énfasis4 3 2 2 2 5" xfId="31636" xr:uid="{461CEC41-2821-45AF-87C3-DC177B5BB70E}"/>
    <cellStyle name="20% - Énfasis4 3 2 2 2 6" xfId="37506" xr:uid="{118087A7-A469-4F5A-BAE5-EDC4C1543A18}"/>
    <cellStyle name="20% - Énfasis4 3 2 2 3" xfId="7406" xr:uid="{EB4D442F-ACB5-477D-9533-3679542C3A3B}"/>
    <cellStyle name="20% - Énfasis4 3 2 2 3 2" xfId="21808" xr:uid="{89FCDE59-5241-4AD9-B616-97853DDBA50A}"/>
    <cellStyle name="20% - Énfasis4 3 2 2 3 3" xfId="27640" xr:uid="{98BB19DF-054F-4B14-AA8D-FCFDD9BC44A8}"/>
    <cellStyle name="20% - Énfasis4 3 2 2 3 4" xfId="33522" xr:uid="{CCF53C62-C3D4-4BD4-96EB-DDC10EABB2B3}"/>
    <cellStyle name="20% - Énfasis4 3 2 2 3 5" xfId="39386" xr:uid="{90B12219-F37C-4BF9-AF52-366888DAAF21}"/>
    <cellStyle name="20% - Énfasis4 3 2 2 4" xfId="19039" xr:uid="{C791467C-AF7E-4908-93A4-60662664BA88}"/>
    <cellStyle name="20% - Énfasis4 3 2 2 5" xfId="24791" xr:uid="{F0456E73-09C0-4508-8631-8C9288E69ADC}"/>
    <cellStyle name="20% - Énfasis4 3 2 2 6" xfId="30668" xr:uid="{E5D518EF-87B1-46D7-9CAE-3BA2BB6DCB5A}"/>
    <cellStyle name="20% - Énfasis4 3 2 2 7" xfId="36549" xr:uid="{352FD4EB-8B61-4173-845C-6472F2DE6076}"/>
    <cellStyle name="20% - Énfasis4 3 2 3" xfId="5026" xr:uid="{5A5B2C5C-CB13-4D8E-968E-0EA030F2CCCA}"/>
    <cellStyle name="20% - Énfasis4 3 2 3 2" xfId="7893" xr:uid="{1AEA5795-D79F-40B4-BA76-B3DEE7FB9480}"/>
    <cellStyle name="20% - Énfasis4 3 2 3 2 2" xfId="22278" xr:uid="{DC32E737-E98E-4434-958D-2E5FC21F4104}"/>
    <cellStyle name="20% - Énfasis4 3 2 3 2 3" xfId="28126" xr:uid="{E85D9B57-5DDB-40B3-8DFD-679C20CC11EC}"/>
    <cellStyle name="20% - Énfasis4 3 2 3 2 4" xfId="34008" xr:uid="{E72A9B19-A800-40D1-A6CA-7555E7551A6B}"/>
    <cellStyle name="20% - Énfasis4 3 2 3 2 5" xfId="39872" xr:uid="{B12A7159-600E-4482-ABCF-BB210FD13605}"/>
    <cellStyle name="20% - Énfasis4 3 2 3 3" xfId="19504" xr:uid="{9718A159-2AA9-49BC-B3A1-8494E4E77C7B}"/>
    <cellStyle name="20% - Énfasis4 3 2 3 4" xfId="25277" xr:uid="{90073DC6-22AE-44B0-A1A4-7316154A1AF0}"/>
    <cellStyle name="20% - Énfasis4 3 2 3 5" xfId="31151" xr:uid="{05D35D86-8361-4A65-8C21-BFCFF380EABB}"/>
    <cellStyle name="20% - Énfasis4 3 2 3 6" xfId="37029" xr:uid="{C3013AA8-0C68-4F6A-B672-E7ED99F86460}"/>
    <cellStyle name="20% - Énfasis4 3 2 4" xfId="6921" xr:uid="{E699BEED-E84C-43EA-A2EB-750695D91098}"/>
    <cellStyle name="20% - Énfasis4 3 2 4 2" xfId="21341" xr:uid="{F26CB6D0-12C4-4526-8839-8EEA14FFA6ED}"/>
    <cellStyle name="20% - Énfasis4 3 2 4 3" xfId="27159" xr:uid="{DEFFC6D3-29A7-4A63-AACD-42D6D5DC1198}"/>
    <cellStyle name="20% - Énfasis4 3 2 4 4" xfId="33037" xr:uid="{1EEDB371-E12D-4C0C-A07F-50D5722A67AC}"/>
    <cellStyle name="20% - Énfasis4 3 2 4 5" xfId="38901" xr:uid="{C0A59DEC-165D-4DDB-A9DE-11226287E6A2}"/>
    <cellStyle name="20% - Énfasis4 3 2 5" xfId="18596" xr:uid="{EDB54DF6-D4DB-4325-A181-F65FDA26631D}"/>
    <cellStyle name="20% - Énfasis4 3 2 6" xfId="24308" xr:uid="{DCBE6FE6-0DA0-46A2-98D0-A0D39BE4F2E7}"/>
    <cellStyle name="20% - Énfasis4 3 2 7" xfId="30186" xr:uid="{9FB452F0-E65B-4E1B-A0F0-E56C76E3A55C}"/>
    <cellStyle name="20% - Énfasis4 3 2 8" xfId="36065" xr:uid="{68A0652D-1921-4E94-AB17-19E10CFBED5C}"/>
    <cellStyle name="20% - Énfasis4 3 3" xfId="4349" xr:uid="{853280C8-F5E6-48CF-B39F-ED51AD9AF9B7}"/>
    <cellStyle name="20% - Énfasis4 3 3 2" xfId="5315" xr:uid="{287CD245-3429-4A5E-A58B-C25EE41B7038}"/>
    <cellStyle name="20% - Énfasis4 3 3 2 2" xfId="8182" xr:uid="{6031345B-FC71-407C-87E7-F71E13F53912}"/>
    <cellStyle name="20% - Énfasis4 3 3 2 2 2" xfId="22558" xr:uid="{35C0258D-97FB-4631-9274-E89715D798B5}"/>
    <cellStyle name="20% - Énfasis4 3 3 2 2 3" xfId="28415" xr:uid="{19F8BEF8-0D8E-4591-A501-449412F3AB1D}"/>
    <cellStyle name="20% - Énfasis4 3 3 2 2 4" xfId="34297" xr:uid="{75A226E0-DDA8-4519-A42D-66E558DBE8E3}"/>
    <cellStyle name="20% - Énfasis4 3 3 2 2 5" xfId="40161" xr:uid="{F67E122E-FC26-4F73-8A9E-CF7D00668C9A}"/>
    <cellStyle name="20% - Énfasis4 3 3 2 3" xfId="19783" xr:uid="{EF87EA8B-8410-4259-B044-882DAAB12D6F}"/>
    <cellStyle name="20% - Énfasis4 3 3 2 4" xfId="25566" xr:uid="{2EEE666A-5423-48D1-A701-7EA77476D4E3}"/>
    <cellStyle name="20% - Énfasis4 3 3 2 5" xfId="31440" xr:uid="{0746A1CC-4D06-4419-B967-C3E13D141DDF}"/>
    <cellStyle name="20% - Énfasis4 3 3 2 6" xfId="37311" xr:uid="{A8452BAC-80CA-4EB3-94F0-CA501FA1A460}"/>
    <cellStyle name="20% - Énfasis4 3 3 3" xfId="7210" xr:uid="{3E148C8B-5931-425C-AF72-BBB18EAC1890}"/>
    <cellStyle name="20% - Énfasis4 3 3 3 2" xfId="21617" xr:uid="{B730092C-47F3-42BE-A88C-3BAAB43A814F}"/>
    <cellStyle name="20% - Énfasis4 3 3 3 3" xfId="27444" xr:uid="{384372AA-8B09-403F-A0FD-D12A887FF5E0}"/>
    <cellStyle name="20% - Énfasis4 3 3 3 4" xfId="33326" xr:uid="{815D1CE3-2F68-4638-9653-A128B51D1D00}"/>
    <cellStyle name="20% - Énfasis4 3 3 3 5" xfId="39190" xr:uid="{D5FC73C4-1A97-4D78-AB9F-6DF63889AE1B}"/>
    <cellStyle name="20% - Énfasis4 3 3 4" xfId="18854" xr:uid="{A01DABD4-0C72-4525-97A3-11D22C5D0E9B}"/>
    <cellStyle name="20% - Énfasis4 3 3 5" xfId="24595" xr:uid="{655ECFC3-02E2-4C3F-86DA-CFC61CFEF21A}"/>
    <cellStyle name="20% - Énfasis4 3 3 6" xfId="30474" xr:uid="{784860D4-1F05-4136-A3BF-E83B27AB5DE6}"/>
    <cellStyle name="20% - Énfasis4 3 3 7" xfId="36354" xr:uid="{5E180FF3-714F-4B90-9613-59442193518D}"/>
    <cellStyle name="20% - Énfasis4 3 4" xfId="4831" xr:uid="{184117E4-CB9C-4214-ABB4-587D13BA1433}"/>
    <cellStyle name="20% - Énfasis4 3 4 2" xfId="7697" xr:uid="{87DD674E-9492-48FA-A438-3742DCBBCD79}"/>
    <cellStyle name="20% - Énfasis4 3 4 2 2" xfId="22087" xr:uid="{BFC65A12-7802-4507-A1DE-57657C579319}"/>
    <cellStyle name="20% - Énfasis4 3 4 2 3" xfId="27930" xr:uid="{73F3929C-FD82-4AF2-B4F0-B0F876C76343}"/>
    <cellStyle name="20% - Énfasis4 3 4 2 4" xfId="33812" xr:uid="{DD5D5D2D-235F-477F-BFFA-0B34F6906455}"/>
    <cellStyle name="20% - Énfasis4 3 4 2 5" xfId="39676" xr:uid="{B4707917-69D2-4B80-9406-5902EBEAECF8}"/>
    <cellStyle name="20% - Énfasis4 3 4 3" xfId="19313" xr:uid="{8E7B1BB0-D63D-45BE-8D8C-E55223CED14F}"/>
    <cellStyle name="20% - Énfasis4 3 4 4" xfId="25081" xr:uid="{A2DE65A2-A5A1-4BB8-A24E-23D8D27031E7}"/>
    <cellStyle name="20% - Énfasis4 3 4 5" xfId="30955" xr:uid="{5CD9EBD9-7FA6-4B19-BECB-9D910B0D3F82}"/>
    <cellStyle name="20% - Énfasis4 3 4 6" xfId="36834" xr:uid="{E24CC808-2A2F-4098-A275-D1AA52F0F0BE}"/>
    <cellStyle name="20% - Énfasis4 3 5" xfId="5840" xr:uid="{13BC2185-BA02-42A7-9E5E-D122F7003D81}"/>
    <cellStyle name="20% - Énfasis4 3 5 2" xfId="8709" xr:uid="{3F5E1825-FAB2-40F2-8FC2-BA458F41E40F}"/>
    <cellStyle name="20% - Énfasis4 3 5 2 2" xfId="23077" xr:uid="{810F22DD-BA57-45F0-9FB6-73474FA8C496}"/>
    <cellStyle name="20% - Énfasis4 3 5 2 3" xfId="28941" xr:uid="{0FC5D909-A448-4527-A619-6AB2589B7481}"/>
    <cellStyle name="20% - Énfasis4 3 5 2 4" xfId="34823" xr:uid="{8EF50618-93CD-4129-8B3D-A3F8B20DB7B5}"/>
    <cellStyle name="20% - Énfasis4 3 5 2 5" xfId="40687" xr:uid="{C6750554-866D-490A-8C91-EC09C54387E6}"/>
    <cellStyle name="20% - Énfasis4 3 5 3" xfId="20292" xr:uid="{F9D1DB67-1F81-40FA-834D-23277D02DF6D}"/>
    <cellStyle name="20% - Énfasis4 3 5 4" xfId="26091" xr:uid="{9B32BF07-C2E4-4169-865C-25CEECFC36C2}"/>
    <cellStyle name="20% - Énfasis4 3 5 5" xfId="31966" xr:uid="{0F71D99A-BF89-4386-9DA5-CE4C09FDB0FA}"/>
    <cellStyle name="20% - Énfasis4 3 5 6" xfId="37832" xr:uid="{752DAE37-B20C-4624-BA32-F6262105EF1C}"/>
    <cellStyle name="20% - Énfasis4 3 6" xfId="6726" xr:uid="{E81D322F-D802-496E-9B67-AE159FE10E5F}"/>
    <cellStyle name="20% - Énfasis4 3 6 2" xfId="21150" xr:uid="{6B9F69A4-6F85-4C9A-B19B-D99E68081BB8}"/>
    <cellStyle name="20% - Énfasis4 3 6 3" xfId="26965" xr:uid="{B2FB6641-2937-4610-998A-8E55722E2E7E}"/>
    <cellStyle name="20% - Énfasis4 3 6 4" xfId="32841" xr:uid="{D222D8BF-22B1-4E76-8EA2-5E79EE8CA409}"/>
    <cellStyle name="20% - Énfasis4 3 6 5" xfId="38705" xr:uid="{9D554117-8F2B-435F-83C6-E36C21E3DA7F}"/>
    <cellStyle name="20% - Énfasis4 3 7" xfId="18388" xr:uid="{6C5A57CF-BC57-4881-A386-C23CD867E29F}"/>
    <cellStyle name="20% - Énfasis4 3 8" xfId="24097" xr:uid="{3C681B1E-C0DA-43C8-82B2-AEDDF1FC9BE8}"/>
    <cellStyle name="20% - Énfasis4 3 9" xfId="29975" xr:uid="{3B7AE34A-461A-4DF7-9BBE-62C46AB91806}"/>
    <cellStyle name="20% - Énfasis4 30" xfId="6263" xr:uid="{DC29FCB1-DCE4-45A8-A513-BB5BB9D8E949}"/>
    <cellStyle name="20% - Énfasis4 30 2" xfId="9132" xr:uid="{C9650136-F05F-497A-9C9A-8395F7AE90AA}"/>
    <cellStyle name="20% - Énfasis4 30 2 2" xfId="23496" xr:uid="{8231A803-ECDD-440C-9E27-24F3E74E8266}"/>
    <cellStyle name="20% - Énfasis4 30 2 3" xfId="29363" xr:uid="{01E37BD4-66F2-4CE3-A6ED-D4961327A84A}"/>
    <cellStyle name="20% - Énfasis4 30 2 4" xfId="35245" xr:uid="{1618B81B-9EEA-4D68-9184-84E6EDEA006A}"/>
    <cellStyle name="20% - Énfasis4 30 2 5" xfId="41104" xr:uid="{E5FF0F7A-845F-4655-A6DA-40818525E167}"/>
    <cellStyle name="20% - Énfasis4 30 3" xfId="20704" xr:uid="{C9285C06-7748-4FD1-B5EE-47E3D602B220}"/>
    <cellStyle name="20% - Énfasis4 30 4" xfId="26513" xr:uid="{8E78AF9A-5768-4CF8-BF88-FE5A4CC5040C}"/>
    <cellStyle name="20% - Énfasis4 30 5" xfId="32388" xr:uid="{770CD070-9217-4A91-9C8E-714BC67907BA}"/>
    <cellStyle name="20% - Énfasis4 30 6" xfId="38253" xr:uid="{8D10A00B-E709-4200-91DB-177F10E0A531}"/>
    <cellStyle name="20% - Énfasis4 31" xfId="6283" xr:uid="{15EE8066-BA71-4D1B-86B1-2E33E117E56B}"/>
    <cellStyle name="20% - Énfasis4 31 2" xfId="9152" xr:uid="{E79ACE25-431E-4EB5-88FA-C3DC0BA60A61}"/>
    <cellStyle name="20% - Énfasis4 31 2 2" xfId="23516" xr:uid="{D800DA90-75C6-4E72-909F-7BDE4F7A66F9}"/>
    <cellStyle name="20% - Énfasis4 31 2 3" xfId="29383" xr:uid="{CAC1C972-C271-493D-918E-B6AC7363D218}"/>
    <cellStyle name="20% - Énfasis4 31 2 4" xfId="35265" xr:uid="{C008DBBA-E74E-418B-9F80-8ECC2E43D79F}"/>
    <cellStyle name="20% - Énfasis4 31 2 5" xfId="41124" xr:uid="{7F0A4AF2-040A-45DC-ADBE-3E9F0C58462C}"/>
    <cellStyle name="20% - Énfasis4 31 3" xfId="20724" xr:uid="{0A6DDC96-491B-483F-BF90-98F4CBD72AC5}"/>
    <cellStyle name="20% - Énfasis4 31 4" xfId="26533" xr:uid="{96D4D70F-294F-4FF1-9F38-3A8A735F7598}"/>
    <cellStyle name="20% - Énfasis4 31 5" xfId="32408" xr:uid="{90BC83B1-23F0-47C2-9E3D-BFB718D001C6}"/>
    <cellStyle name="20% - Énfasis4 31 6" xfId="38273" xr:uid="{A5EEE433-EDD7-4B8D-90C4-1968521A43B8}"/>
    <cellStyle name="20% - Énfasis4 32" xfId="6307" xr:uid="{74DADD7D-7E15-4D74-BBD5-D6E4D758AAE6}"/>
    <cellStyle name="20% - Énfasis4 32 2" xfId="9175" xr:uid="{7581CD1E-0D3A-4E59-96DE-A37D3BFC6842}"/>
    <cellStyle name="20% - Énfasis4 32 2 2" xfId="23539" xr:uid="{0FAC9D1F-BC09-4809-976E-ACA5C3C45AE4}"/>
    <cellStyle name="20% - Énfasis4 32 2 3" xfId="29406" xr:uid="{D4AFF870-D12A-4570-A318-DFE15B4FBBFC}"/>
    <cellStyle name="20% - Énfasis4 32 2 4" xfId="35288" xr:uid="{F2C91B4D-96CF-4000-927C-1AA40AF77AC4}"/>
    <cellStyle name="20% - Énfasis4 32 2 5" xfId="41147" xr:uid="{2648A8D2-FB8C-4E00-9ACC-98B8BF125B73}"/>
    <cellStyle name="20% - Énfasis4 32 3" xfId="20748" xr:uid="{616049D3-B872-4B6E-AEE9-D30560EE8EDC}"/>
    <cellStyle name="20% - Énfasis4 32 4" xfId="26557" xr:uid="{347A9D3C-0399-443A-9938-C60C7255450B}"/>
    <cellStyle name="20% - Énfasis4 32 5" xfId="32432" xr:uid="{E17B1B47-9466-46FA-9E37-DCEDEDC72032}"/>
    <cellStyle name="20% - Énfasis4 32 6" xfId="38297" xr:uid="{E01E2CE2-FC3F-4217-96AC-7E7C24C8D223}"/>
    <cellStyle name="20% - Énfasis4 33" xfId="6339" xr:uid="{96764966-61E3-4376-9C26-0BCE723E003E}"/>
    <cellStyle name="20% - Énfasis4 33 2" xfId="9204" xr:uid="{3E19D5FD-B8E6-486A-840B-673F77EEA803}"/>
    <cellStyle name="20% - Énfasis4 33 2 2" xfId="23567" xr:uid="{95E9B411-BA60-42A3-8E98-4B914EF67156}"/>
    <cellStyle name="20% - Énfasis4 33 2 3" xfId="29435" xr:uid="{94F0BF6F-1DB2-43A0-8BE4-A84309FBA7D8}"/>
    <cellStyle name="20% - Énfasis4 33 2 4" xfId="35317" xr:uid="{E56F05A2-E22A-4697-B5E4-0CEBFCDE21D1}"/>
    <cellStyle name="20% - Énfasis4 33 2 5" xfId="41176" xr:uid="{F5C1AFD8-3585-4E4B-8214-61C7D0F840C0}"/>
    <cellStyle name="20% - Énfasis4 33 3" xfId="20780" xr:uid="{45255D82-1683-4883-8628-50603A5E6499}"/>
    <cellStyle name="20% - Énfasis4 33 4" xfId="26589" xr:uid="{C8858249-FCA6-4971-B98A-70FA13B348F5}"/>
    <cellStyle name="20% - Énfasis4 33 5" xfId="32464" xr:uid="{B709A848-7C36-4229-9D8C-92FEE68E3768}"/>
    <cellStyle name="20% - Énfasis4 33 6" xfId="38328" xr:uid="{9D9769BE-84A5-418F-BFA6-85840543F366}"/>
    <cellStyle name="20% - Énfasis4 34" xfId="6359" xr:uid="{28547E06-BDD2-4F6B-8A01-AD490E92B549}"/>
    <cellStyle name="20% - Énfasis4 34 2" xfId="9224" xr:uid="{23FF0534-AB49-4A03-9415-96D47DCEBD75}"/>
    <cellStyle name="20% - Énfasis4 34 2 2" xfId="23587" xr:uid="{4768333E-88AC-422D-B9E9-EB6337C6F2D0}"/>
    <cellStyle name="20% - Énfasis4 34 2 3" xfId="29455" xr:uid="{8AF3CA6F-0D29-4723-8282-385E714B10FA}"/>
    <cellStyle name="20% - Énfasis4 34 2 4" xfId="35337" xr:uid="{B61E4272-D6FD-4400-B050-6A244BF5AD85}"/>
    <cellStyle name="20% - Énfasis4 34 2 5" xfId="41196" xr:uid="{8FCC720F-87DB-4AAA-B5CA-9196B2B45135}"/>
    <cellStyle name="20% - Énfasis4 34 3" xfId="20800" xr:uid="{08E326FA-391A-4EA2-A7C5-B86DE29C2179}"/>
    <cellStyle name="20% - Énfasis4 34 4" xfId="26609" xr:uid="{04ABE518-BBB7-4CDF-91BC-EFB0D9A100F6}"/>
    <cellStyle name="20% - Énfasis4 34 5" xfId="32484" xr:uid="{2CE6B59E-FBF6-456D-8388-880C743C3DEF}"/>
    <cellStyle name="20% - Énfasis4 34 6" xfId="38348" xr:uid="{28ADF592-42DB-44F9-B770-B158DD4A450D}"/>
    <cellStyle name="20% - Énfasis4 35" xfId="6379" xr:uid="{E85E1633-86D9-42BF-A744-3A20ABEC8156}"/>
    <cellStyle name="20% - Énfasis4 35 2" xfId="9244" xr:uid="{7BB5D502-DFB6-4FD7-B484-C767C24273AF}"/>
    <cellStyle name="20% - Énfasis4 35 2 2" xfId="23607" xr:uid="{E6818A01-479C-4742-A1EB-99C1CF1980B1}"/>
    <cellStyle name="20% - Énfasis4 35 2 3" xfId="29475" xr:uid="{85528AB2-B206-4405-9114-359B6332E2B0}"/>
    <cellStyle name="20% - Énfasis4 35 2 4" xfId="35357" xr:uid="{53F12EFD-5C4A-4EDD-8D00-511C05C7F8C5}"/>
    <cellStyle name="20% - Énfasis4 35 2 5" xfId="41216" xr:uid="{3375824B-0282-431C-9FDD-849D15848B19}"/>
    <cellStyle name="20% - Énfasis4 35 3" xfId="20820" xr:uid="{A8990394-93F9-44C3-AED7-9D4B1F9F34A4}"/>
    <cellStyle name="20% - Énfasis4 35 4" xfId="26629" xr:uid="{14C0570D-41B4-46C2-8F48-2C654E46A483}"/>
    <cellStyle name="20% - Énfasis4 35 5" xfId="32504" xr:uid="{91B0DF57-1D41-4E3A-AE24-4CF473A5B7D6}"/>
    <cellStyle name="20% - Énfasis4 35 6" xfId="38368" xr:uid="{755860C2-CCD4-413A-8B56-BE95CA3CA9DF}"/>
    <cellStyle name="20% - Énfasis4 36" xfId="6400" xr:uid="{B09F4823-225D-4895-8C0B-4B3C14C08C25}"/>
    <cellStyle name="20% - Énfasis4 36 2" xfId="9265" xr:uid="{6FB1BFEA-2788-4A81-A332-57019A8F7716}"/>
    <cellStyle name="20% - Énfasis4 36 2 2" xfId="23628" xr:uid="{C4085D87-665F-439F-91EF-B8C5662C6410}"/>
    <cellStyle name="20% - Énfasis4 36 2 3" xfId="29496" xr:uid="{4B260EC7-7A5C-49FA-A5AA-11EA758EE083}"/>
    <cellStyle name="20% - Énfasis4 36 2 4" xfId="35378" xr:uid="{606C6799-0793-4E18-B256-6D507AEEF4AF}"/>
    <cellStyle name="20% - Énfasis4 36 2 5" xfId="41237" xr:uid="{B00F22B6-948F-4898-9BBC-6351297A7C11}"/>
    <cellStyle name="20% - Énfasis4 36 3" xfId="20841" xr:uid="{BA3DBB91-5CDD-40D0-98C3-7B3C7BE08096}"/>
    <cellStyle name="20% - Énfasis4 36 4" xfId="26650" xr:uid="{1D6B6249-82EC-4E7A-8166-A4F65595C813}"/>
    <cellStyle name="20% - Énfasis4 36 5" xfId="32525" xr:uid="{37E64F78-1B12-40BB-868A-50826A4FE942}"/>
    <cellStyle name="20% - Énfasis4 36 6" xfId="38389" xr:uid="{EF0873D8-9F07-43FB-937B-C8D0405114E8}"/>
    <cellStyle name="20% - Énfasis4 37" xfId="6429" xr:uid="{D3033DA4-09AB-4DF3-A9A5-EE475D3A76CC}"/>
    <cellStyle name="20% - Énfasis4 37 2" xfId="9291" xr:uid="{AB7F4CD0-6000-4B07-B934-F03F9A6FF723}"/>
    <cellStyle name="20% - Énfasis4 37 2 2" xfId="23654" xr:uid="{8762CDB3-E8B2-4D82-BEB5-81E049BEBDC6}"/>
    <cellStyle name="20% - Énfasis4 37 2 3" xfId="29522" xr:uid="{A093147C-BAB8-4183-8416-DE4260FF47E8}"/>
    <cellStyle name="20% - Énfasis4 37 2 4" xfId="35404" xr:uid="{FA222FB2-97BB-460B-819D-A39C6252D5BC}"/>
    <cellStyle name="20% - Énfasis4 37 2 5" xfId="41263" xr:uid="{4B995B85-29B0-47B2-AB34-074E20549220}"/>
    <cellStyle name="20% - Énfasis4 37 3" xfId="20870" xr:uid="{593BF7FD-E998-442F-BA87-40D51E953B43}"/>
    <cellStyle name="20% - Énfasis4 37 4" xfId="26679" xr:uid="{4D80A8CD-CF5F-494C-92FB-93A6021DBE89}"/>
    <cellStyle name="20% - Énfasis4 37 5" xfId="32554" xr:uid="{D642E9F0-3FC3-408C-ADE5-3AF155BDF584}"/>
    <cellStyle name="20% - Énfasis4 37 6" xfId="38418" xr:uid="{A6209451-FC67-4467-97CD-69D28E896733}"/>
    <cellStyle name="20% - Énfasis4 38" xfId="6463" xr:uid="{B512188F-7C06-4906-8B5F-C9CF32A5A485}"/>
    <cellStyle name="20% - Énfasis4 38 2" xfId="9323" xr:uid="{731AE7DB-3F64-4995-B2A2-2141F93BF5AD}"/>
    <cellStyle name="20% - Énfasis4 38 2 2" xfId="23686" xr:uid="{71BA27F9-2265-42C0-88D6-EF7B240D1610}"/>
    <cellStyle name="20% - Énfasis4 38 2 3" xfId="29554" xr:uid="{8792234F-5B88-426D-8D78-53202D11ACEE}"/>
    <cellStyle name="20% - Énfasis4 38 2 4" xfId="35436" xr:uid="{8D0BC5B3-6C34-4A7A-B89C-A9883313DA4B}"/>
    <cellStyle name="20% - Énfasis4 38 2 5" xfId="41295" xr:uid="{248D2959-B74F-4456-8510-F57CF616100C}"/>
    <cellStyle name="20% - Énfasis4 38 3" xfId="20901" xr:uid="{804425B6-6B16-4398-9B02-CA73F4229F3B}"/>
    <cellStyle name="20% - Énfasis4 38 4" xfId="26712" xr:uid="{F8BED81A-06D2-4654-ACCF-0CAAE160A879}"/>
    <cellStyle name="20% - Énfasis4 38 5" xfId="32587" xr:uid="{A0398801-A34C-465A-917D-5BD4C0F6E795}"/>
    <cellStyle name="20% - Énfasis4 38 6" xfId="38451" xr:uid="{9D980840-7AB5-4B63-AF68-CDE80D081415}"/>
    <cellStyle name="20% - Énfasis4 39" xfId="6483" xr:uid="{B65A60F7-F96C-4C3F-A6A1-F1FD8E018711}"/>
    <cellStyle name="20% - Énfasis4 39 2" xfId="9343" xr:uid="{388FDA92-F205-495B-8299-4CEFD506AEA8}"/>
    <cellStyle name="20% - Énfasis4 39 2 2" xfId="23706" xr:uid="{AFB8FCCD-97BD-48C6-B349-E017EA73B1B0}"/>
    <cellStyle name="20% - Énfasis4 39 2 3" xfId="29574" xr:uid="{9FD47F23-C6D7-4555-AD42-4089CD660F78}"/>
    <cellStyle name="20% - Énfasis4 39 2 4" xfId="35456" xr:uid="{EE43FE9A-AAFD-42A3-ABD2-79630FE340A2}"/>
    <cellStyle name="20% - Énfasis4 39 2 5" xfId="41315" xr:uid="{40CEAB2D-64EC-4710-8A10-DC4EAA628C10}"/>
    <cellStyle name="20% - Énfasis4 39 3" xfId="20921" xr:uid="{27018553-BE3C-4890-8A16-867E86371BD3}"/>
    <cellStyle name="20% - Énfasis4 39 4" xfId="26732" xr:uid="{66754636-CFD5-4AD4-885C-EC0E1CD8A210}"/>
    <cellStyle name="20% - Énfasis4 39 5" xfId="32607" xr:uid="{D09113F2-423B-40CD-A936-D21767AD591F}"/>
    <cellStyle name="20% - Énfasis4 39 6" xfId="38471" xr:uid="{3A2BC429-5BBE-40CD-9FD3-7581A5B77819}"/>
    <cellStyle name="20% - Énfasis4 4" xfId="3893" xr:uid="{332574A3-EDA8-4F60-9155-E5F210EE1728}"/>
    <cellStyle name="20% - Énfasis4 4 10" xfId="35885" xr:uid="{F77878D2-17C5-4C42-9B7F-FBF1B5C8BE91}"/>
    <cellStyle name="20% - Énfasis4 4 2" xfId="4090" xr:uid="{502A4B31-5438-4D00-B885-3AE66591A955}"/>
    <cellStyle name="20% - Énfasis4 4 2 2" xfId="4568" xr:uid="{820BBD9A-01DC-4D79-93CE-A0EEF39E1D2C}"/>
    <cellStyle name="20% - Énfasis4 4 2 2 2" xfId="5536" xr:uid="{0C2D3B40-23DC-469B-9824-43F158594A85}"/>
    <cellStyle name="20% - Énfasis4 4 2 2 2 2" xfId="8403" xr:uid="{603782F6-B899-4B5F-BB8C-FF506D404372}"/>
    <cellStyle name="20% - Énfasis4 4 2 2 2 2 2" xfId="22778" xr:uid="{4495DC56-CAB3-46CB-8B54-C349DB96FBB0}"/>
    <cellStyle name="20% - Énfasis4 4 2 2 2 2 3" xfId="28636" xr:uid="{A3DB1F0F-5C5C-466D-8BCE-F39888FB1F70}"/>
    <cellStyle name="20% - Énfasis4 4 2 2 2 2 4" xfId="34518" xr:uid="{C92D6891-FD7D-4949-A561-D17F117A219D}"/>
    <cellStyle name="20% - Énfasis4 4 2 2 2 2 5" xfId="40382" xr:uid="{151B5C3C-7E26-4BF9-B468-8E8C2572E893}"/>
    <cellStyle name="20% - Énfasis4 4 2 2 2 3" xfId="19996" xr:uid="{392D92C0-D529-4CC0-87A0-153418BAB1D7}"/>
    <cellStyle name="20% - Énfasis4 4 2 2 2 4" xfId="25787" xr:uid="{ACD857D5-7A63-4227-9C51-C65120E7C0A0}"/>
    <cellStyle name="20% - Énfasis4 4 2 2 2 5" xfId="31661" xr:uid="{016A424D-74B3-4C91-86CD-F1B3D1902F31}"/>
    <cellStyle name="20% - Énfasis4 4 2 2 2 6" xfId="37531" xr:uid="{D6416F29-C4DD-4175-910C-85576FCD2677}"/>
    <cellStyle name="20% - Énfasis4 4 2 2 3" xfId="7431" xr:uid="{A06747A1-FEE6-4C39-980B-D0EEEC10F957}"/>
    <cellStyle name="20% - Énfasis4 4 2 2 3 2" xfId="21833" xr:uid="{AB2516F3-00AF-4B4F-BCAB-D4937375EA65}"/>
    <cellStyle name="20% - Énfasis4 4 2 2 3 3" xfId="27665" xr:uid="{01CFB8F4-3E77-466F-B3F2-8C3F475E8B68}"/>
    <cellStyle name="20% - Énfasis4 4 2 2 3 4" xfId="33547" xr:uid="{80316767-80DF-4346-A2CF-5ABC5D087EB7}"/>
    <cellStyle name="20% - Énfasis4 4 2 2 3 5" xfId="39411" xr:uid="{871B51A3-952F-43F2-98B8-944D70462116}"/>
    <cellStyle name="20% - Énfasis4 4 2 2 4" xfId="19064" xr:uid="{7E6685A1-069B-4D3F-AF7F-A73A2AF08940}"/>
    <cellStyle name="20% - Énfasis4 4 2 2 5" xfId="24816" xr:uid="{925895E8-262D-4E1F-AED0-43CDA74EF1D8}"/>
    <cellStyle name="20% - Énfasis4 4 2 2 6" xfId="30693" xr:uid="{4FFF43A2-2205-42A6-BCF6-09B2070E4A40}"/>
    <cellStyle name="20% - Énfasis4 4 2 2 7" xfId="36574" xr:uid="{741733EC-765D-4308-B8DC-67D67F835A78}"/>
    <cellStyle name="20% - Énfasis4 4 2 3" xfId="5051" xr:uid="{4FDAE029-7FA9-4704-B9D3-FE4B5CF319ED}"/>
    <cellStyle name="20% - Énfasis4 4 2 3 2" xfId="7918" xr:uid="{036B2DFD-55F2-4CE9-A158-CF174B741851}"/>
    <cellStyle name="20% - Énfasis4 4 2 3 2 2" xfId="22303" xr:uid="{1058FC5A-7B01-46C3-BF2A-C301F0DD285F}"/>
    <cellStyle name="20% - Énfasis4 4 2 3 2 3" xfId="28151" xr:uid="{EC64BB24-1878-43A8-9E1A-703ECA250B89}"/>
    <cellStyle name="20% - Énfasis4 4 2 3 2 4" xfId="34033" xr:uid="{50753424-9BB4-4592-BC04-17036E968082}"/>
    <cellStyle name="20% - Énfasis4 4 2 3 2 5" xfId="39897" xr:uid="{08B56D0F-DC55-440E-AE1B-F2CC6B3AEC90}"/>
    <cellStyle name="20% - Énfasis4 4 2 3 3" xfId="19528" xr:uid="{5469651D-FBDC-47D8-8EF6-E219528E80A1}"/>
    <cellStyle name="20% - Énfasis4 4 2 3 4" xfId="25302" xr:uid="{4DA88C96-C905-4AF8-9856-AE1F73EEE561}"/>
    <cellStyle name="20% - Énfasis4 4 2 3 5" xfId="31176" xr:uid="{17BACF80-4F85-46F0-A3A9-1E32B2B75C89}"/>
    <cellStyle name="20% - Énfasis4 4 2 3 6" xfId="37054" xr:uid="{11CC6F06-5910-4187-AE86-2A514878602C}"/>
    <cellStyle name="20% - Énfasis4 4 2 4" xfId="6946" xr:uid="{CD81C3A7-E173-4EC3-A542-E95E103BAC2D}"/>
    <cellStyle name="20% - Énfasis4 4 2 4 2" xfId="21366" xr:uid="{703169AE-43FF-4BCC-9890-6D087EEC544A}"/>
    <cellStyle name="20% - Énfasis4 4 2 4 3" xfId="27184" xr:uid="{8869BDB6-2CC9-4B6F-917C-C44155D324B9}"/>
    <cellStyle name="20% - Énfasis4 4 2 4 4" xfId="33062" xr:uid="{330A71DA-4EC3-4F23-8F60-B7DE335300E6}"/>
    <cellStyle name="20% - Énfasis4 4 2 4 5" xfId="38926" xr:uid="{14DD0A57-3E92-4381-8D5A-5C1DC72E8855}"/>
    <cellStyle name="20% - Énfasis4 4 2 5" xfId="18620" xr:uid="{CB5C8DBD-9091-4E8F-A1F5-9697B9147918}"/>
    <cellStyle name="20% - Énfasis4 4 2 6" xfId="24333" xr:uid="{C9DF5CC4-7948-4AAC-B0EE-501A16831296}"/>
    <cellStyle name="20% - Énfasis4 4 2 7" xfId="30211" xr:uid="{9391FEC7-8432-41C5-87E5-74820C1925BD}"/>
    <cellStyle name="20% - Énfasis4 4 2 8" xfId="36090" xr:uid="{C6428476-D8DF-41B2-AEB5-96A3A20B6FC0}"/>
    <cellStyle name="20% - Énfasis4 4 3" xfId="4374" xr:uid="{4CE7AD45-FC78-4D05-A5C6-45A24867518E}"/>
    <cellStyle name="20% - Énfasis4 4 3 2" xfId="5340" xr:uid="{6864951F-7DD3-446B-86E9-E4CBBDA53426}"/>
    <cellStyle name="20% - Énfasis4 4 3 2 2" xfId="8207" xr:uid="{1B42F4C0-2D56-484D-8281-25F9904ABE2C}"/>
    <cellStyle name="20% - Énfasis4 4 3 2 2 2" xfId="22583" xr:uid="{384E8750-5D92-4FB5-AAD1-D5082CE4B0A3}"/>
    <cellStyle name="20% - Énfasis4 4 3 2 2 3" xfId="28440" xr:uid="{0F3FDDBD-5ADD-4EED-97EE-A7609A986300}"/>
    <cellStyle name="20% - Énfasis4 4 3 2 2 4" xfId="34322" xr:uid="{2F3D6F88-EB10-4974-8EC5-F937D53358D8}"/>
    <cellStyle name="20% - Énfasis4 4 3 2 2 5" xfId="40186" xr:uid="{01E53D4D-83F3-4DEB-8D9D-145CDB5BDE62}"/>
    <cellStyle name="20% - Énfasis4 4 3 2 3" xfId="19807" xr:uid="{08F80CC1-DF1C-4A8F-8579-130FEC3135C8}"/>
    <cellStyle name="20% - Énfasis4 4 3 2 4" xfId="25591" xr:uid="{4D3BBEA0-A673-476E-8CAE-A214C901872C}"/>
    <cellStyle name="20% - Énfasis4 4 3 2 5" xfId="31465" xr:uid="{6955A2CB-DC1E-4E20-BAA9-7B924CDE2ABC}"/>
    <cellStyle name="20% - Énfasis4 4 3 2 6" xfId="37336" xr:uid="{5CF377A8-3930-41A5-B56E-62D05492D24D}"/>
    <cellStyle name="20% - Énfasis4 4 3 3" xfId="7235" xr:uid="{D4860DD1-3616-49E2-9D94-7AA5CF52DCDB}"/>
    <cellStyle name="20% - Énfasis4 4 3 3 2" xfId="21642" xr:uid="{6FBF83C1-F4EB-4F99-B7FB-B6F065B9A1DC}"/>
    <cellStyle name="20% - Énfasis4 4 3 3 3" xfId="27469" xr:uid="{2E664398-7B6C-4B07-996C-DAF28D5CA878}"/>
    <cellStyle name="20% - Énfasis4 4 3 3 4" xfId="33351" xr:uid="{186EBE6A-289E-4567-87FE-3C24C1A90060}"/>
    <cellStyle name="20% - Énfasis4 4 3 3 5" xfId="39215" xr:uid="{D0185D50-0C95-41C0-95F7-6A89A0F735F3}"/>
    <cellStyle name="20% - Énfasis4 4 3 4" xfId="18877" xr:uid="{92C9AB96-751E-42EF-9FDE-5BEDABEFE69C}"/>
    <cellStyle name="20% - Énfasis4 4 3 5" xfId="24620" xr:uid="{63444FA4-3F23-456F-B785-D2CA9054AAC7}"/>
    <cellStyle name="20% - Énfasis4 4 3 6" xfId="30499" xr:uid="{4A5611C8-08C8-4D5D-B1E8-88FC8DA86CA2}"/>
    <cellStyle name="20% - Énfasis4 4 3 7" xfId="36379" xr:uid="{B4A5074D-AFFD-435B-AB42-CD1B8559E19F}"/>
    <cellStyle name="20% - Énfasis4 4 4" xfId="4856" xr:uid="{78ED8FE3-5E76-44E1-8E55-30B9660111F3}"/>
    <cellStyle name="20% - Énfasis4 4 4 2" xfId="7722" xr:uid="{B10D7E9B-41A6-4F5B-A658-8679E42D6371}"/>
    <cellStyle name="20% - Énfasis4 4 4 2 2" xfId="22112" xr:uid="{9B9D6857-1373-4C3D-A283-4073E54D1F45}"/>
    <cellStyle name="20% - Énfasis4 4 4 2 3" xfId="27955" xr:uid="{4CAF58BF-0062-4F2D-8C56-894FF222C929}"/>
    <cellStyle name="20% - Énfasis4 4 4 2 4" xfId="33837" xr:uid="{2CED4EF5-3A05-4C9C-996D-15B5442D9A05}"/>
    <cellStyle name="20% - Énfasis4 4 4 2 5" xfId="39701" xr:uid="{0DF24620-9DE3-4F72-AE81-11698269D8E2}"/>
    <cellStyle name="20% - Énfasis4 4 4 3" xfId="19338" xr:uid="{6CB5ED26-0DBF-4794-B5D5-8535AD869050}"/>
    <cellStyle name="20% - Énfasis4 4 4 4" xfId="25106" xr:uid="{97204008-6FFB-4B46-B199-045826CE2378}"/>
    <cellStyle name="20% - Énfasis4 4 4 5" xfId="30980" xr:uid="{87BB73B5-EF43-4984-9FD8-E48AD3A215C6}"/>
    <cellStyle name="20% - Énfasis4 4 4 6" xfId="36859" xr:uid="{23162EC0-A606-4E67-BEFC-B35B210845CB}"/>
    <cellStyle name="20% - Énfasis4 4 5" xfId="5865" xr:uid="{E2756D17-30E6-4361-84A9-B6DB0026675E}"/>
    <cellStyle name="20% - Énfasis4 4 5 2" xfId="8734" xr:uid="{B99C8AE1-0839-4DDC-A44D-D8DC923C33E9}"/>
    <cellStyle name="20% - Énfasis4 4 5 2 2" xfId="23102" xr:uid="{14C1BB0E-918A-4F90-B5AE-4AC01B3221FC}"/>
    <cellStyle name="20% - Énfasis4 4 5 2 3" xfId="28966" xr:uid="{5FEAE3EF-E1E4-43D4-A265-83B4AEA3ABFB}"/>
    <cellStyle name="20% - Énfasis4 4 5 2 4" xfId="34848" xr:uid="{D5F4DE1E-ECF7-45F3-AB45-E8B41D12373A}"/>
    <cellStyle name="20% - Énfasis4 4 5 2 5" xfId="40712" xr:uid="{2DEA3493-E798-4F32-9FF9-B2239DF6EA2D}"/>
    <cellStyle name="20% - Énfasis4 4 5 3" xfId="20317" xr:uid="{246D91E4-E49A-429B-BDD0-76550E768A50}"/>
    <cellStyle name="20% - Énfasis4 4 5 4" xfId="26116" xr:uid="{33534BC5-B58F-4C1C-BFE3-7EE048BE4747}"/>
    <cellStyle name="20% - Énfasis4 4 5 5" xfId="31991" xr:uid="{7A361D8C-0064-4707-B99D-84A5635989CD}"/>
    <cellStyle name="20% - Énfasis4 4 5 6" xfId="37857" xr:uid="{841A272D-D79A-4ACC-B559-9AD78E971176}"/>
    <cellStyle name="20% - Énfasis4 4 6" xfId="6751" xr:uid="{4B9B8AFB-058C-4F0A-B5AA-D07D6266EB85}"/>
    <cellStyle name="20% - Énfasis4 4 6 2" xfId="21175" xr:uid="{3148F48E-A774-4A01-A0DE-9EBE9560338F}"/>
    <cellStyle name="20% - Énfasis4 4 6 3" xfId="26990" xr:uid="{F66EE942-AE49-46D2-9EC3-864DFFBE828D}"/>
    <cellStyle name="20% - Énfasis4 4 6 4" xfId="32866" xr:uid="{97AB331B-2ACE-44C7-9AB7-7EA2B9B1661A}"/>
    <cellStyle name="20% - Énfasis4 4 6 5" xfId="38730" xr:uid="{8CBEE396-650D-42F9-B8E9-301FC1394E9C}"/>
    <cellStyle name="20% - Énfasis4 4 7" xfId="18417" xr:uid="{3FAF3627-191F-45E0-A457-D15186AC7BCE}"/>
    <cellStyle name="20% - Énfasis4 4 8" xfId="24126" xr:uid="{AB4BAE67-53DB-4D24-976C-86778A69BAE3}"/>
    <cellStyle name="20% - Énfasis4 4 9" xfId="30004" xr:uid="{82B1940F-7DD6-4CFA-BCCB-1BD798ABF482}"/>
    <cellStyle name="20% - Énfasis4 40" xfId="6503" xr:uid="{AD7DA138-5EE6-45FC-A1C7-CB21EB666EE0}"/>
    <cellStyle name="20% - Énfasis4 40 2" xfId="9363" xr:uid="{ED460192-9449-4844-8646-7BEE7A840186}"/>
    <cellStyle name="20% - Énfasis4 40 2 2" xfId="23726" xr:uid="{344070FC-C4A3-4B53-8699-73036EE90F28}"/>
    <cellStyle name="20% - Énfasis4 40 2 3" xfId="29594" xr:uid="{E4A78FEC-0A9D-43A7-9330-018BE65BFA90}"/>
    <cellStyle name="20% - Énfasis4 40 2 4" xfId="35476" xr:uid="{A2F711FD-008C-4431-9A13-0FD23BFB83C2}"/>
    <cellStyle name="20% - Énfasis4 40 2 5" xfId="41335" xr:uid="{43B61C7D-37B9-4C05-BAD6-4563A0A1838F}"/>
    <cellStyle name="20% - Énfasis4 40 3" xfId="20941" xr:uid="{F6689F4B-8958-4052-81D6-DAD1C110B682}"/>
    <cellStyle name="20% - Énfasis4 40 4" xfId="26752" xr:uid="{9DD7D74B-D0CD-4750-A842-42655901184A}"/>
    <cellStyle name="20% - Énfasis4 40 5" xfId="32627" xr:uid="{E888FFED-C8F7-4D72-BCC2-88BFFD778B1A}"/>
    <cellStyle name="20% - Énfasis4 40 6" xfId="38491" xr:uid="{EA1058B0-0798-4CB7-A433-E0F5570B21F2}"/>
    <cellStyle name="20% - Énfasis4 41" xfId="6523" xr:uid="{C3A3C2C7-3A18-4413-A393-045434A0AE17}"/>
    <cellStyle name="20% - Énfasis4 41 2" xfId="9383" xr:uid="{EB4BE9D0-EDBB-4705-B975-3F8F8405F7A4}"/>
    <cellStyle name="20% - Énfasis4 41 2 2" xfId="23746" xr:uid="{C1F4FFE1-8BE3-4609-980B-5C32F0A42C77}"/>
    <cellStyle name="20% - Énfasis4 41 2 3" xfId="29614" xr:uid="{5A4923E0-3A49-4E99-ABB4-A40F571DA62A}"/>
    <cellStyle name="20% - Énfasis4 41 2 4" xfId="35496" xr:uid="{E800FC84-8E66-48A4-A385-91CCB1DFF447}"/>
    <cellStyle name="20% - Énfasis4 41 2 5" xfId="41355" xr:uid="{B9A240F7-63E9-49E6-AAF7-E91E6C1702FE}"/>
    <cellStyle name="20% - Énfasis4 41 3" xfId="20961" xr:uid="{EEA91A75-5750-41DC-89F2-68F1BAA42122}"/>
    <cellStyle name="20% - Énfasis4 41 4" xfId="26772" xr:uid="{D0F1B491-5738-4822-84DE-BB0D8CE5F992}"/>
    <cellStyle name="20% - Énfasis4 41 5" xfId="32647" xr:uid="{932B94C2-8D06-435D-BDCE-6F40273A6E9B}"/>
    <cellStyle name="20% - Énfasis4 41 6" xfId="38511" xr:uid="{AA9498F6-39B5-4C61-A5CF-5A9B806A6377}"/>
    <cellStyle name="20% - Énfasis4 42" xfId="6543" xr:uid="{87D89121-F565-48F3-B181-58F19A350C70}"/>
    <cellStyle name="20% - Énfasis4 42 2" xfId="9403" xr:uid="{693D4E62-597B-48AB-BAC9-3101B592CCCF}"/>
    <cellStyle name="20% - Énfasis4 42 2 2" xfId="23766" xr:uid="{414A3A44-3A05-4DF0-AA05-B7F8DF7BBFC5}"/>
    <cellStyle name="20% - Énfasis4 42 2 3" xfId="29634" xr:uid="{B854C7EA-93CC-4D01-A21C-C00814E954BD}"/>
    <cellStyle name="20% - Énfasis4 42 2 4" xfId="35516" xr:uid="{CFB570A1-DC05-49D4-91D7-F0854D35052D}"/>
    <cellStyle name="20% - Énfasis4 42 2 5" xfId="41375" xr:uid="{6576E74A-C969-4F58-8069-6CEE01FD846A}"/>
    <cellStyle name="20% - Énfasis4 42 3" xfId="20981" xr:uid="{CBB325C2-F602-4F6D-A71C-6C11BB11182A}"/>
    <cellStyle name="20% - Énfasis4 42 4" xfId="26792" xr:uid="{B6854BCB-0FE3-4ACD-BE83-268E8ACEE94E}"/>
    <cellStyle name="20% - Énfasis4 42 5" xfId="32667" xr:uid="{B1B63572-9932-4E01-8E42-05F3700B0D0E}"/>
    <cellStyle name="20% - Énfasis4 42 6" xfId="38531" xr:uid="{68A5742E-B208-4AE5-B528-B766F6583CF1}"/>
    <cellStyle name="20% - Énfasis4 43" xfId="6564" xr:uid="{DBF6A952-11C3-4865-B7DC-98D369622C09}"/>
    <cellStyle name="20% - Énfasis4 43 2" xfId="9425" xr:uid="{ABFF05C8-68F4-4AB6-B1D6-392F90BF0151}"/>
    <cellStyle name="20% - Énfasis4 43 2 2" xfId="23788" xr:uid="{3265A1F5-C8FA-4A3C-BB4E-D62786985E04}"/>
    <cellStyle name="20% - Énfasis4 43 2 3" xfId="29656" xr:uid="{B7422102-39DB-4F04-AB24-68CAED537F46}"/>
    <cellStyle name="20% - Énfasis4 43 2 4" xfId="35538" xr:uid="{A87A2E6E-5E30-43A1-9400-5AE5EEEA5974}"/>
    <cellStyle name="20% - Énfasis4 43 2 5" xfId="41397" xr:uid="{56EAF1A7-986E-47BA-AB3F-DE5EAF5DB777}"/>
    <cellStyle name="20% - Énfasis4 43 3" xfId="21003" xr:uid="{E2AEF124-86BA-4320-986A-39C3A6A92218}"/>
    <cellStyle name="20% - Énfasis4 43 4" xfId="26814" xr:uid="{4885BDF1-0DFD-47F5-BAE5-10A6A0E6D0DB}"/>
    <cellStyle name="20% - Énfasis4 43 5" xfId="32689" xr:uid="{F0A2106C-2F80-4AB4-AB27-67D9D91C295B}"/>
    <cellStyle name="20% - Énfasis4 43 6" xfId="38553" xr:uid="{8241F35B-A7EB-4669-9598-C942491AFF08}"/>
    <cellStyle name="20% - Énfasis4 44" xfId="6594" xr:uid="{A49FB33C-38B6-4614-996F-75CDAAEEEDEE}"/>
    <cellStyle name="20% - Énfasis4 44 2" xfId="9454" xr:uid="{CA6FA42C-E4CB-42F5-875D-26D6334968E7}"/>
    <cellStyle name="20% - Énfasis4 44 2 2" xfId="23816" xr:uid="{AC4FA793-BD9A-4CDD-BF6A-15CF315B8AC7}"/>
    <cellStyle name="20% - Énfasis4 44 2 3" xfId="29685" xr:uid="{B18C4E34-2E8B-4B11-A794-60AC1A83A602}"/>
    <cellStyle name="20% - Énfasis4 44 2 4" xfId="35567" xr:uid="{5E2FF25B-475F-45E2-97BB-3366D5B5B676}"/>
    <cellStyle name="20% - Énfasis4 44 2 5" xfId="41426" xr:uid="{438C9812-FFAA-4742-A9C5-D775E273AABD}"/>
    <cellStyle name="20% - Énfasis4 44 3" xfId="21032" xr:uid="{A41B1FA2-110E-4502-9351-70879F5E6E7B}"/>
    <cellStyle name="20% - Énfasis4 44 4" xfId="26843" xr:uid="{5EDAEE5F-56D2-4A47-83F7-9D7D276901BC}"/>
    <cellStyle name="20% - Énfasis4 44 5" xfId="32718" xr:uid="{9F7C590A-F1F3-4EB7-ACD9-BE723F1F909C}"/>
    <cellStyle name="20% - Énfasis4 44 6" xfId="38582" xr:uid="{88370249-FD97-4EA7-A7F0-B2633CA4F3EE}"/>
    <cellStyle name="20% - Énfasis4 45" xfId="6619" xr:uid="{018AFFC9-9A08-45A9-8094-722B4996B36E}"/>
    <cellStyle name="20% - Énfasis4 45 2" xfId="9479" xr:uid="{120AD865-EA73-479F-9FFD-EF230B9ED62F}"/>
    <cellStyle name="20% - Énfasis4 45 2 2" xfId="23841" xr:uid="{F5770651-B0AF-4091-A698-8B51F52DA2CB}"/>
    <cellStyle name="20% - Énfasis4 45 2 3" xfId="29710" xr:uid="{A363ECC2-F0B2-4115-AA30-CB233521EA08}"/>
    <cellStyle name="20% - Énfasis4 45 2 4" xfId="35592" xr:uid="{79A2D544-54AA-4935-9314-3110FEF76063}"/>
    <cellStyle name="20% - Énfasis4 45 2 5" xfId="41451" xr:uid="{34BC619D-7FE4-4041-A3BD-740BF303ED91}"/>
    <cellStyle name="20% - Énfasis4 45 3" xfId="21056" xr:uid="{9EF529FC-584E-40B9-9DE6-F86196C38B82}"/>
    <cellStyle name="20% - Énfasis4 45 4" xfId="26868" xr:uid="{D4271CEC-7358-419C-BF63-D9DEA003C0AB}"/>
    <cellStyle name="20% - Énfasis4 45 5" xfId="32743" xr:uid="{4938A6B4-989A-45EF-AD9D-B1DD1A7A67FF}"/>
    <cellStyle name="20% - Énfasis4 45 6" xfId="38607" xr:uid="{04DCB939-B95B-4BA6-B0E0-47116A7B0D04}"/>
    <cellStyle name="20% - Énfasis4 46" xfId="6641" xr:uid="{2D814B81-5408-437D-9B57-4AC0873B2AF1}"/>
    <cellStyle name="20% - Énfasis4 46 2" xfId="21078" xr:uid="{FB9EE2CE-A170-4C45-B37B-8EF0D9D30EF3}"/>
    <cellStyle name="20% - Énfasis4 46 3" xfId="26890" xr:uid="{4B387797-D21F-402A-974B-A164CEEF273E}"/>
    <cellStyle name="20% - Énfasis4 46 4" xfId="32765" xr:uid="{5710C339-C398-40C7-A564-04F7B19D9DD4}"/>
    <cellStyle name="20% - Énfasis4 46 5" xfId="38629" xr:uid="{C9812142-D10F-4F7E-A0D5-485EB9FB2A1C}"/>
    <cellStyle name="20% - Énfasis4 47" xfId="6671" xr:uid="{0030E024-DED1-4BF3-87F5-226571B869C1}"/>
    <cellStyle name="20% - Énfasis4 47 2" xfId="21100" xr:uid="{762D53DB-4914-47C9-BA77-3B1159018C3D}"/>
    <cellStyle name="20% - Énfasis4 47 3" xfId="26912" xr:uid="{9AF1C500-9391-4797-9214-5F8479364A3E}"/>
    <cellStyle name="20% - Énfasis4 47 4" xfId="32787" xr:uid="{F201B39A-1376-41D9-BC2C-4AC47038236C}"/>
    <cellStyle name="20% - Énfasis4 47 5" xfId="38651" xr:uid="{A9CBDF30-0C1B-44E6-8215-922C5476F214}"/>
    <cellStyle name="20% - Énfasis4 48" xfId="9491" xr:uid="{91F0377A-D65A-43F2-AE43-1578C09F3AD0}"/>
    <cellStyle name="20% - Énfasis4 48 2" xfId="23853" xr:uid="{CDD403AE-1AA4-45B0-BD02-5198B7AFC9F3}"/>
    <cellStyle name="20% - Énfasis4 48 3" xfId="29722" xr:uid="{C132A344-96E2-497E-ADD3-B7AEFBA8E627}"/>
    <cellStyle name="20% - Énfasis4 48 4" xfId="35604" xr:uid="{45D07017-618C-4C28-8E06-B1557A32F4B9}"/>
    <cellStyle name="20% - Énfasis4 48 5" xfId="41463" xr:uid="{86EFD588-7BA5-4A4C-A764-9F56F0A2F6D0}"/>
    <cellStyle name="20% - Énfasis4 49" xfId="9520" xr:uid="{F6E18C09-1DC7-4D89-969A-1D9E5637718C}"/>
    <cellStyle name="20% - Énfasis4 49 2" xfId="23881" xr:uid="{0B5DE29B-B7A4-441C-BD32-CCBC2E3A8E55}"/>
    <cellStyle name="20% - Énfasis4 49 3" xfId="29751" xr:uid="{BBF76D53-F457-4072-B457-5477B10B3A6E}"/>
    <cellStyle name="20% - Énfasis4 49 4" xfId="35633" xr:uid="{00876DF5-3751-49F9-B734-4B82CE229FA6}"/>
    <cellStyle name="20% - Énfasis4 49 5" xfId="41492" xr:uid="{F3AD0409-B7FB-45BE-8703-3861EDBA940D}"/>
    <cellStyle name="20% - Énfasis4 5" xfId="3919" xr:uid="{DFE4BE55-D403-4C0F-8221-B838B8C88E07}"/>
    <cellStyle name="20% - Énfasis4 5 10" xfId="35911" xr:uid="{8AA9E3BA-1502-43C8-ACB6-D13B7F0A95F5}"/>
    <cellStyle name="20% - Énfasis4 5 2" xfId="4113" xr:uid="{10DC61F8-9569-4540-95C9-EC7197389D3C}"/>
    <cellStyle name="20% - Énfasis4 5 2 2" xfId="4591" xr:uid="{50F388F5-2152-4F7E-AA9B-36A72795F224}"/>
    <cellStyle name="20% - Énfasis4 5 2 2 2" xfId="5559" xr:uid="{97AB9355-1B28-40B1-AA5A-074BE84A9AAE}"/>
    <cellStyle name="20% - Énfasis4 5 2 2 2 2" xfId="8426" xr:uid="{A14C4858-5FF3-43AC-A891-A17E9EB94921}"/>
    <cellStyle name="20% - Énfasis4 5 2 2 2 2 2" xfId="22801" xr:uid="{795672D1-29BC-4E97-BB22-05C7D0DFF6E1}"/>
    <cellStyle name="20% - Énfasis4 5 2 2 2 2 3" xfId="28659" xr:uid="{CA376999-D685-4F93-B338-749115C85CE1}"/>
    <cellStyle name="20% - Énfasis4 5 2 2 2 2 4" xfId="34541" xr:uid="{D1051407-7D17-49C0-BA7D-334B899EBD66}"/>
    <cellStyle name="20% - Énfasis4 5 2 2 2 2 5" xfId="40405" xr:uid="{B7F8778C-53BC-4C0D-8769-CEA549A0991F}"/>
    <cellStyle name="20% - Énfasis4 5 2 2 2 3" xfId="20019" xr:uid="{BBEFDE92-A55D-4BBE-BC30-7EF914C2D0E4}"/>
    <cellStyle name="20% - Énfasis4 5 2 2 2 4" xfId="25810" xr:uid="{98F45785-994A-4AFD-B0E9-8415BB02759E}"/>
    <cellStyle name="20% - Énfasis4 5 2 2 2 5" xfId="31684" xr:uid="{251A3E55-AEC0-4E6C-A475-A11150E34602}"/>
    <cellStyle name="20% - Énfasis4 5 2 2 2 6" xfId="37554" xr:uid="{E3FDBD9A-D70E-458E-9FB3-D4C5EBAF44BC}"/>
    <cellStyle name="20% - Énfasis4 5 2 2 3" xfId="7454" xr:uid="{28EF3F33-7438-425F-9501-92B4D2EBA98E}"/>
    <cellStyle name="20% - Énfasis4 5 2 2 3 2" xfId="21856" xr:uid="{F660D4C2-0232-45D9-80A8-D4E5F4991B88}"/>
    <cellStyle name="20% - Énfasis4 5 2 2 3 3" xfId="27688" xr:uid="{80ECC1E8-38E8-48CC-A145-FBD4E46F7AB8}"/>
    <cellStyle name="20% - Énfasis4 5 2 2 3 4" xfId="33570" xr:uid="{C948ABB7-8407-4D8F-A743-DB9106EBAB6A}"/>
    <cellStyle name="20% - Énfasis4 5 2 2 3 5" xfId="39434" xr:uid="{1945A4C9-406A-4D3B-8C16-F916DAFDD908}"/>
    <cellStyle name="20% - Énfasis4 5 2 2 4" xfId="19086" xr:uid="{7FD87044-3B1D-47D7-9B19-127F53DC9A01}"/>
    <cellStyle name="20% - Énfasis4 5 2 2 5" xfId="24839" xr:uid="{E611B356-B0A9-4C43-BA33-D4927CF36E6C}"/>
    <cellStyle name="20% - Énfasis4 5 2 2 6" xfId="30716" xr:uid="{FF2CF318-DC63-4FC1-9ECF-D6B7D191E0C9}"/>
    <cellStyle name="20% - Énfasis4 5 2 2 7" xfId="36597" xr:uid="{97CBDF3D-088E-4999-9AD3-AFAA82C68FCC}"/>
    <cellStyle name="20% - Énfasis4 5 2 3" xfId="5074" xr:uid="{6C00BEC1-2AB2-4666-9C52-2B202712063A}"/>
    <cellStyle name="20% - Énfasis4 5 2 3 2" xfId="7941" xr:uid="{11DD2597-7948-4C1C-8C07-B6F821ABEA10}"/>
    <cellStyle name="20% - Énfasis4 5 2 3 2 2" xfId="22326" xr:uid="{4BA710CA-EF88-44A2-BFAF-3C7FC9109ED7}"/>
    <cellStyle name="20% - Énfasis4 5 2 3 2 3" xfId="28174" xr:uid="{8C8B4DF3-D100-41CD-A355-2C346FF4EF91}"/>
    <cellStyle name="20% - Énfasis4 5 2 3 2 4" xfId="34056" xr:uid="{E7EAEB52-4DAB-4AFF-AC81-EFF19267C894}"/>
    <cellStyle name="20% - Énfasis4 5 2 3 2 5" xfId="39920" xr:uid="{99A9D0EF-AC88-4B4C-B39E-6826BFB64119}"/>
    <cellStyle name="20% - Énfasis4 5 2 3 3" xfId="19551" xr:uid="{376B5B7F-6736-4FCC-9DE2-BAF0E0CEED17}"/>
    <cellStyle name="20% - Énfasis4 5 2 3 4" xfId="25325" xr:uid="{CF94E801-C2D4-4049-95E3-A9E42033F912}"/>
    <cellStyle name="20% - Énfasis4 5 2 3 5" xfId="31199" xr:uid="{16BA524A-7F76-40F8-AB42-CC1D3E68EB81}"/>
    <cellStyle name="20% - Énfasis4 5 2 3 6" xfId="37077" xr:uid="{20EDA41B-78E3-4F9F-A150-7EA0C3703837}"/>
    <cellStyle name="20% - Énfasis4 5 2 4" xfId="6969" xr:uid="{694BDAE5-964C-4D98-9D72-C254E201D33C}"/>
    <cellStyle name="20% - Énfasis4 5 2 4 2" xfId="21388" xr:uid="{2163F3E1-43E3-4E03-B74F-51ECC9C6E947}"/>
    <cellStyle name="20% - Énfasis4 5 2 4 3" xfId="27207" xr:uid="{916B5658-568B-4335-B2CD-B7EBD2B07FA3}"/>
    <cellStyle name="20% - Énfasis4 5 2 4 4" xfId="33085" xr:uid="{42E6D628-F056-4E7F-833F-26A7BFC04FFB}"/>
    <cellStyle name="20% - Énfasis4 5 2 4 5" xfId="38949" xr:uid="{23E47D02-7241-43FB-95C4-82ABD1581914}"/>
    <cellStyle name="20% - Énfasis4 5 2 5" xfId="18642" xr:uid="{89ECB5CF-9D77-4A04-8620-BCD9DEC85793}"/>
    <cellStyle name="20% - Énfasis4 5 2 6" xfId="24356" xr:uid="{91EC84C7-F669-44C2-BC2D-616129BB5C5F}"/>
    <cellStyle name="20% - Énfasis4 5 2 7" xfId="30234" xr:uid="{97794159-D8BD-45D0-BDC9-3D82507BC49B}"/>
    <cellStyle name="20% - Énfasis4 5 2 8" xfId="36113" xr:uid="{9824AAAF-742F-4B4C-B96A-933E593512D4}"/>
    <cellStyle name="20% - Énfasis4 5 3" xfId="4397" xr:uid="{2F1FAF5A-7620-4781-BAEC-6C017D643120}"/>
    <cellStyle name="20% - Énfasis4 5 3 2" xfId="5363" xr:uid="{D2CFAAC6-A530-498B-92A9-4147E0F0ED0F}"/>
    <cellStyle name="20% - Énfasis4 5 3 2 2" xfId="8230" xr:uid="{9AA15172-0919-4952-B6F3-F2DF715443BD}"/>
    <cellStyle name="20% - Énfasis4 5 3 2 2 2" xfId="22606" xr:uid="{79F5C6BB-93B2-48D6-A859-63D6265F29EC}"/>
    <cellStyle name="20% - Énfasis4 5 3 2 2 3" xfId="28463" xr:uid="{1120A7BF-E554-45BC-94F9-A2A940213A6F}"/>
    <cellStyle name="20% - Énfasis4 5 3 2 2 4" xfId="34345" xr:uid="{66107D0E-A588-49FB-B443-27ADC5E8E4DD}"/>
    <cellStyle name="20% - Énfasis4 5 3 2 2 5" xfId="40209" xr:uid="{86E11FA0-DE7E-4BAF-887E-C96822AD24AE}"/>
    <cellStyle name="20% - Énfasis4 5 3 2 3" xfId="19830" xr:uid="{729B6114-4BE6-42FA-8C2A-E732FE20B563}"/>
    <cellStyle name="20% - Énfasis4 5 3 2 4" xfId="25614" xr:uid="{3EF482EC-640B-45EA-95F6-C7AD58D4DBDD}"/>
    <cellStyle name="20% - Énfasis4 5 3 2 5" xfId="31488" xr:uid="{E2E6621E-BF15-4BF6-9C89-CB3546C8AFB9}"/>
    <cellStyle name="20% - Énfasis4 5 3 2 6" xfId="37359" xr:uid="{A2E6033F-A64F-4BEE-8CFC-8A7294605E51}"/>
    <cellStyle name="20% - Énfasis4 5 3 3" xfId="7258" xr:uid="{F34A7AFC-7253-4466-8AD9-D86AFDD8E379}"/>
    <cellStyle name="20% - Énfasis4 5 3 3 2" xfId="21665" xr:uid="{1A1D5E42-8C11-45B2-A337-A8E84977DAE6}"/>
    <cellStyle name="20% - Énfasis4 5 3 3 3" xfId="27492" xr:uid="{9BF39C3E-2B96-4DEE-9214-C43B949D2D37}"/>
    <cellStyle name="20% - Énfasis4 5 3 3 4" xfId="33374" xr:uid="{19C5FEB4-CC3D-4999-8F0A-6619EC588D4F}"/>
    <cellStyle name="20% - Énfasis4 5 3 3 5" xfId="39238" xr:uid="{F2D2FC12-BBB3-4D9D-92FD-35E1764FE6A5}"/>
    <cellStyle name="20% - Énfasis4 5 3 4" xfId="18899" xr:uid="{17C9F164-D434-440C-BEF3-A92EB331283A}"/>
    <cellStyle name="20% - Énfasis4 5 3 5" xfId="24643" xr:uid="{829FDE2A-8664-46C2-8149-AC15B0639F1F}"/>
    <cellStyle name="20% - Énfasis4 5 3 6" xfId="30522" xr:uid="{1451121C-D858-47B2-B25D-D094F4F6CA95}"/>
    <cellStyle name="20% - Énfasis4 5 3 7" xfId="36402" xr:uid="{01AFDB25-0AD3-4528-923B-72FB00353138}"/>
    <cellStyle name="20% - Énfasis4 5 4" xfId="4878" xr:uid="{DE561F65-9F7A-4563-918A-ED3F83191C5A}"/>
    <cellStyle name="20% - Énfasis4 5 4 2" xfId="7745" xr:uid="{AA57DB82-898A-43F1-A5E0-4C9D4E2BD1AD}"/>
    <cellStyle name="20% - Énfasis4 5 4 2 2" xfId="22135" xr:uid="{31A00DBA-3122-4E71-978D-B4F2E4555CDA}"/>
    <cellStyle name="20% - Énfasis4 5 4 2 3" xfId="27978" xr:uid="{EDB06CA3-4B22-4A8E-906D-F15D141F8980}"/>
    <cellStyle name="20% - Énfasis4 5 4 2 4" xfId="33860" xr:uid="{DECE57A1-F8D7-44D3-9A93-737EA42C9AD0}"/>
    <cellStyle name="20% - Énfasis4 5 4 2 5" xfId="39724" xr:uid="{C8555179-8966-4FF0-95D0-0B627798419A}"/>
    <cellStyle name="20% - Énfasis4 5 4 3" xfId="19361" xr:uid="{FE45FF39-0A3C-46DF-985B-EAAAAA356BB1}"/>
    <cellStyle name="20% - Énfasis4 5 4 4" xfId="25129" xr:uid="{539C68C0-6A79-4840-9754-C05D296B9ADD}"/>
    <cellStyle name="20% - Énfasis4 5 4 5" xfId="31003" xr:uid="{86195FE0-D59D-4BF8-AB84-209601F1C061}"/>
    <cellStyle name="20% - Énfasis4 5 4 6" xfId="36882" xr:uid="{5D6D6E1D-2CBC-4BC3-97B1-0397B84DA84D}"/>
    <cellStyle name="20% - Énfasis4 5 5" xfId="5888" xr:uid="{01688847-5955-4417-AEAA-75BBCE5469C2}"/>
    <cellStyle name="20% - Énfasis4 5 5 2" xfId="8757" xr:uid="{97B32A44-6A15-4976-B7AF-FDE7EEAA3FA9}"/>
    <cellStyle name="20% - Énfasis4 5 5 2 2" xfId="23125" xr:uid="{5C35C145-ADDF-41DD-99E0-0A3CF1FD9ACA}"/>
    <cellStyle name="20% - Énfasis4 5 5 2 3" xfId="28989" xr:uid="{A4305633-8DEF-42BA-AEC0-3AF1ECA61A59}"/>
    <cellStyle name="20% - Énfasis4 5 5 2 4" xfId="34871" xr:uid="{EC1C899D-9D5B-4B9B-9E0B-729E3AB83E99}"/>
    <cellStyle name="20% - Énfasis4 5 5 2 5" xfId="40735" xr:uid="{7222ECCD-6725-4139-BF8D-EAA658133653}"/>
    <cellStyle name="20% - Énfasis4 5 5 3" xfId="20339" xr:uid="{D61FDC17-A53E-4935-AA38-7D4F7586D5FA}"/>
    <cellStyle name="20% - Énfasis4 5 5 4" xfId="26139" xr:uid="{1396F35F-2146-46C6-B02C-AD77AE0BBA40}"/>
    <cellStyle name="20% - Énfasis4 5 5 5" xfId="32014" xr:uid="{879AD612-9448-480B-855B-0ACCEF61494B}"/>
    <cellStyle name="20% - Énfasis4 5 5 6" xfId="37880" xr:uid="{FA15F80D-AFAE-4D39-BD0D-ECECFA4D06B3}"/>
    <cellStyle name="20% - Énfasis4 5 6" xfId="6774" xr:uid="{BD7A5907-19FB-4E32-9045-68BC71574564}"/>
    <cellStyle name="20% - Énfasis4 5 6 2" xfId="21198" xr:uid="{9CFD2B14-1D61-425D-B04C-5C9AF2CD6EB7}"/>
    <cellStyle name="20% - Énfasis4 5 6 3" xfId="27013" xr:uid="{4D769C11-A64D-4E54-B00A-14B4B9E2A0A4}"/>
    <cellStyle name="20% - Énfasis4 5 6 4" xfId="32889" xr:uid="{AF64E429-6D0E-401E-8FA9-77CE7C59CE9E}"/>
    <cellStyle name="20% - Énfasis4 5 6 5" xfId="38753" xr:uid="{EB3E3B19-9D8C-49E1-AFB8-398C97728240}"/>
    <cellStyle name="20% - Énfasis4 5 7" xfId="18444" xr:uid="{C82C3CE6-866A-4D57-9054-A0A367D7543F}"/>
    <cellStyle name="20% - Énfasis4 5 8" xfId="24152" xr:uid="{861E9300-E93A-48B7-B7B6-FEE6E0C93394}"/>
    <cellStyle name="20% - Énfasis4 5 9" xfId="30030" xr:uid="{28ACA62F-05F3-40BC-98CD-8D1CF4C6AC29}"/>
    <cellStyle name="20% - Énfasis4 50" xfId="9539" xr:uid="{C49898F6-96B4-4C60-9B8D-94900222A84F}"/>
    <cellStyle name="20% - Énfasis4 50 2" xfId="23901" xr:uid="{8583776B-B660-493D-A6E0-9DE729708118}"/>
    <cellStyle name="20% - Énfasis4 50 3" xfId="29771" xr:uid="{C39A0FAB-0A94-4C3B-BD3B-A60CDC4D8F3D}"/>
    <cellStyle name="20% - Énfasis4 50 4" xfId="35653" xr:uid="{D318BE94-3E56-492C-BAA3-851F67259554}"/>
    <cellStyle name="20% - Énfasis4 50 5" xfId="41512" xr:uid="{30F8661C-9E9F-40F2-A898-6445A7240585}"/>
    <cellStyle name="20% - Énfasis4 51" xfId="9565" xr:uid="{04C40E33-7BB3-4526-994B-B41FA292D6E4}"/>
    <cellStyle name="20% - Énfasis4 51 2" xfId="23927" xr:uid="{2B812904-1892-413A-993C-BD8241278B2D}"/>
    <cellStyle name="20% - Énfasis4 51 3" xfId="29797" xr:uid="{E8ECECDA-B1F9-42F7-8B75-D6635A25D7F4}"/>
    <cellStyle name="20% - Énfasis4 51 4" xfId="35679" xr:uid="{7C9B42BB-020A-4D28-B122-6B62DE292852}"/>
    <cellStyle name="20% - Énfasis4 51 5" xfId="41538" xr:uid="{F1F40A7B-7821-4421-95E3-186742C64ECD}"/>
    <cellStyle name="20% - Énfasis4 52" xfId="15767" xr:uid="{E1105CFF-9398-488C-8685-A9D1DB541491}"/>
    <cellStyle name="20% - Énfasis4 52 2" xfId="23987" xr:uid="{BE167167-8399-456F-8857-C482B74FCC37}"/>
    <cellStyle name="20% - Énfasis4 52 3" xfId="29859" xr:uid="{58E20B08-107F-4233-A74C-5F5B69BD0E30}"/>
    <cellStyle name="20% - Énfasis4 52 4" xfId="35741" xr:uid="{1FE5ADD5-7B91-40DB-9507-E1B5F61D4B84}"/>
    <cellStyle name="20% - Énfasis4 52 5" xfId="41600" xr:uid="{85C18001-6EEE-4FA9-BECB-59BDE7F00057}"/>
    <cellStyle name="20% - Énfasis4 53" xfId="15792" xr:uid="{3619F7EF-556E-408A-8B06-E16B1D2A47E2}"/>
    <cellStyle name="20% - Énfasis4 53 2" xfId="24009" xr:uid="{88B7A0DE-9227-46FE-9D7F-0E465045F45E}"/>
    <cellStyle name="20% - Énfasis4 53 3" xfId="29884" xr:uid="{1EFC0D73-C6FD-42A4-B979-6687A7D109D6}"/>
    <cellStyle name="20% - Énfasis4 53 4" xfId="35765" xr:uid="{63EBB29F-4607-410D-A334-ED9A4849C805}"/>
    <cellStyle name="20% - Énfasis4 53 5" xfId="41625" xr:uid="{C067E6DD-DBFD-4DCF-BCB2-E5612B8A97FC}"/>
    <cellStyle name="20% - Énfasis4 54" xfId="15826" xr:uid="{D3B28DCD-F378-42F8-9C38-D761D26361A7}"/>
    <cellStyle name="20% - Énfasis4 55" xfId="18301" xr:uid="{D6A0670F-ADEB-4CBD-8215-4ED4EF116E90}"/>
    <cellStyle name="20% - Énfasis4 56" xfId="18324" xr:uid="{66C271AB-25AD-4ED7-8881-441BE746910D}"/>
    <cellStyle name="20% - Énfasis4 57" xfId="24036" xr:uid="{99D79BF1-ECE3-4634-BA16-32FD8C4B8F76}"/>
    <cellStyle name="20% - Énfasis4 58" xfId="29914" xr:uid="{F31E7E70-584B-4192-9DB6-863C16DC0954}"/>
    <cellStyle name="20% - Énfasis4 59" xfId="35795" xr:uid="{75D738F9-4644-4F18-82D2-3D4092A8FA07}"/>
    <cellStyle name="20% - Énfasis4 6" xfId="3943" xr:uid="{C545DD96-CE86-4F04-86ED-08C344102170}"/>
    <cellStyle name="20% - Énfasis4 6 10" xfId="35934" xr:uid="{590D9702-7EE5-4908-B1B2-407CA9FB132C}"/>
    <cellStyle name="20% - Énfasis4 6 2" xfId="4135" xr:uid="{9400BA3F-E966-49C1-ACC4-B05E1290B373}"/>
    <cellStyle name="20% - Énfasis4 6 2 2" xfId="4613" xr:uid="{E4688E11-CD08-4C50-ABAC-3A8BF36C001D}"/>
    <cellStyle name="20% - Énfasis4 6 2 2 2" xfId="5581" xr:uid="{E416A6FD-D822-4907-9F01-1C58E60446A3}"/>
    <cellStyle name="20% - Énfasis4 6 2 2 2 2" xfId="8448" xr:uid="{7218F9D9-CD64-4EF8-8441-3346A54D0490}"/>
    <cellStyle name="20% - Énfasis4 6 2 2 2 2 2" xfId="22823" xr:uid="{07EAA009-CD9D-4ABE-AF6A-5E302A863755}"/>
    <cellStyle name="20% - Énfasis4 6 2 2 2 2 3" xfId="28681" xr:uid="{18A2E7D7-40DD-4D16-96E0-6FFC4BA70651}"/>
    <cellStyle name="20% - Énfasis4 6 2 2 2 2 4" xfId="34563" xr:uid="{348107AE-A4EB-4C43-9BE9-1711D89EEFF1}"/>
    <cellStyle name="20% - Énfasis4 6 2 2 2 2 5" xfId="40427" xr:uid="{AE1DD92D-5A89-46C6-8E0C-2341CA4FC884}"/>
    <cellStyle name="20% - Énfasis4 6 2 2 2 3" xfId="20041" xr:uid="{E6300E7A-093A-412E-87D0-D9DC31A5F6CA}"/>
    <cellStyle name="20% - Énfasis4 6 2 2 2 4" xfId="25832" xr:uid="{C984F121-BEA9-48E9-BF93-A615CE15819E}"/>
    <cellStyle name="20% - Énfasis4 6 2 2 2 5" xfId="31706" xr:uid="{9AA05C3B-206C-4E61-87CB-149ED38BD7B9}"/>
    <cellStyle name="20% - Énfasis4 6 2 2 2 6" xfId="37576" xr:uid="{91795C0A-7972-4F66-80F1-494FBC66ACF6}"/>
    <cellStyle name="20% - Énfasis4 6 2 2 3" xfId="7476" xr:uid="{B06DAAD1-AC53-464E-97B8-AFE96A96421F}"/>
    <cellStyle name="20% - Énfasis4 6 2 2 3 2" xfId="21878" xr:uid="{520AF201-58CF-496A-8293-C14927AE04C9}"/>
    <cellStyle name="20% - Énfasis4 6 2 2 3 3" xfId="27710" xr:uid="{CCCD50B0-C0B8-490B-8507-EAC3D28DD370}"/>
    <cellStyle name="20% - Énfasis4 6 2 2 3 4" xfId="33592" xr:uid="{9335F43A-F6B3-45C4-AAFE-C6B3AB246120}"/>
    <cellStyle name="20% - Énfasis4 6 2 2 3 5" xfId="39456" xr:uid="{0BC9E6DA-328D-4F7C-BBE5-49AD99210DF2}"/>
    <cellStyle name="20% - Énfasis4 6 2 2 4" xfId="19108" xr:uid="{DB121A39-8273-43CA-84A3-9A755D15390B}"/>
    <cellStyle name="20% - Énfasis4 6 2 2 5" xfId="24861" xr:uid="{4B20C92F-B819-4E1F-B1A8-D91D8451DECD}"/>
    <cellStyle name="20% - Énfasis4 6 2 2 6" xfId="30738" xr:uid="{EBEB9523-ABD9-4887-B006-B3F8CDD5EA55}"/>
    <cellStyle name="20% - Énfasis4 6 2 2 7" xfId="36619" xr:uid="{2BC77DA0-9434-43CF-8157-F3006A0DBF19}"/>
    <cellStyle name="20% - Énfasis4 6 2 3" xfId="5096" xr:uid="{8865D254-20FA-4311-933C-EA51A0DD8AFA}"/>
    <cellStyle name="20% - Énfasis4 6 2 3 2" xfId="7963" xr:uid="{4CC396ED-E316-47EB-AE64-4C1AF40B1211}"/>
    <cellStyle name="20% - Énfasis4 6 2 3 2 2" xfId="22348" xr:uid="{33129AFE-3DD1-4926-83D1-C7A4FE1EB81F}"/>
    <cellStyle name="20% - Énfasis4 6 2 3 2 3" xfId="28196" xr:uid="{A30A369A-0558-4FFC-B180-C05BA14DAF0E}"/>
    <cellStyle name="20% - Énfasis4 6 2 3 2 4" xfId="34078" xr:uid="{62B625E2-BCDF-49DA-B838-90B2D1897B2E}"/>
    <cellStyle name="20% - Énfasis4 6 2 3 2 5" xfId="39942" xr:uid="{2443631E-50BF-4CB3-9852-AFC74430F608}"/>
    <cellStyle name="20% - Énfasis4 6 2 3 3" xfId="19573" xr:uid="{BCAE1C7F-4D97-4B74-9AFC-E311AF467190}"/>
    <cellStyle name="20% - Énfasis4 6 2 3 4" xfId="25347" xr:uid="{C3E2D645-E620-4499-85D9-D979C4675AF2}"/>
    <cellStyle name="20% - Énfasis4 6 2 3 5" xfId="31221" xr:uid="{D3C1FA47-E280-4C65-B726-B9C29262F61B}"/>
    <cellStyle name="20% - Énfasis4 6 2 3 6" xfId="37099" xr:uid="{8CD58465-292B-446B-B730-5A94F89E4B96}"/>
    <cellStyle name="20% - Énfasis4 6 2 4" xfId="6991" xr:uid="{B384C459-DA79-4B6F-89AC-D6682EAF60C2}"/>
    <cellStyle name="20% - Énfasis4 6 2 4 2" xfId="21410" xr:uid="{6CF1707E-ACF5-4F9B-826D-D626F2FE3B88}"/>
    <cellStyle name="20% - Énfasis4 6 2 4 3" xfId="27229" xr:uid="{EB80E511-6720-4499-9A72-DC21CBD24CAC}"/>
    <cellStyle name="20% - Énfasis4 6 2 4 4" xfId="33107" xr:uid="{9A3C5A82-F2AF-4837-B6E8-EE36E2DC1A5D}"/>
    <cellStyle name="20% - Énfasis4 6 2 4 5" xfId="38971" xr:uid="{10D4726C-A4EE-4EF3-9332-A7A578A7E1BB}"/>
    <cellStyle name="20% - Énfasis4 6 2 5" xfId="18664" xr:uid="{0E85F7BA-342F-484F-8B16-3D6B1E87408D}"/>
    <cellStyle name="20% - Énfasis4 6 2 6" xfId="24378" xr:uid="{7CFB96A4-421A-45D2-B70B-7A459BD45127}"/>
    <cellStyle name="20% - Énfasis4 6 2 7" xfId="30256" xr:uid="{A68A7F62-E026-4378-BFA0-85326C7AF705}"/>
    <cellStyle name="20% - Énfasis4 6 2 8" xfId="36135" xr:uid="{6B17178E-3E57-48F0-9DC8-5B6FC0BEF06A}"/>
    <cellStyle name="20% - Énfasis4 6 3" xfId="4419" xr:uid="{875201A9-57BB-414D-B271-5654FDDB8669}"/>
    <cellStyle name="20% - Énfasis4 6 3 2" xfId="5385" xr:uid="{4EC7B1A2-D4ED-492B-AC01-240ED5D35BAE}"/>
    <cellStyle name="20% - Énfasis4 6 3 2 2" xfId="8252" xr:uid="{08D5BBC6-CAA5-4B0A-B756-303B99809382}"/>
    <cellStyle name="20% - Énfasis4 6 3 2 2 2" xfId="22628" xr:uid="{75793D8F-6355-4AB8-BCAC-21E99C7C7F3B}"/>
    <cellStyle name="20% - Énfasis4 6 3 2 2 3" xfId="28485" xr:uid="{D161DCAF-DEDE-4598-83FE-F48A80155022}"/>
    <cellStyle name="20% - Énfasis4 6 3 2 2 4" xfId="34367" xr:uid="{ADDABF0C-7D2D-4E3C-951E-676C9F50F9C3}"/>
    <cellStyle name="20% - Énfasis4 6 3 2 2 5" xfId="40231" xr:uid="{B5FFAB5B-5EE4-4F6E-9E4E-9156065A56FF}"/>
    <cellStyle name="20% - Énfasis4 6 3 2 3" xfId="19852" xr:uid="{8E73248C-F4C2-4E22-83C9-11D38F3BF54B}"/>
    <cellStyle name="20% - Énfasis4 6 3 2 4" xfId="25636" xr:uid="{6ACD5052-0203-4CBF-AD85-FA0D2D9B38E9}"/>
    <cellStyle name="20% - Énfasis4 6 3 2 5" xfId="31510" xr:uid="{9FDECA06-48B8-4CA1-98D6-5B1E49642D31}"/>
    <cellStyle name="20% - Énfasis4 6 3 2 6" xfId="37381" xr:uid="{CBD79B18-46EF-4453-8EF0-E3363A07ED56}"/>
    <cellStyle name="20% - Énfasis4 6 3 3" xfId="7280" xr:uid="{ADA99C53-F165-4784-9BF2-ECFFBD076FB6}"/>
    <cellStyle name="20% - Énfasis4 6 3 3 2" xfId="21687" xr:uid="{C17F1D6C-41A9-413F-9591-EF56C901C5DA}"/>
    <cellStyle name="20% - Énfasis4 6 3 3 3" xfId="27514" xr:uid="{27F7DB2F-7118-4039-8266-A0FC49D420BB}"/>
    <cellStyle name="20% - Énfasis4 6 3 3 4" xfId="33396" xr:uid="{D5830A07-71B3-4A7A-97B7-9400985F30EB}"/>
    <cellStyle name="20% - Énfasis4 6 3 3 5" xfId="39260" xr:uid="{A7C23C7C-2242-471C-9835-C866B7646775}"/>
    <cellStyle name="20% - Énfasis4 6 3 4" xfId="18921" xr:uid="{CCC43C5A-67AE-4186-BF30-A5223EE2F452}"/>
    <cellStyle name="20% - Énfasis4 6 3 5" xfId="24665" xr:uid="{C7F8FAF7-B824-4E11-8D6A-1FA079E1BBC1}"/>
    <cellStyle name="20% - Énfasis4 6 3 6" xfId="30544" xr:uid="{F735CEEB-1AA6-4629-A532-C947EEAB3876}"/>
    <cellStyle name="20% - Énfasis4 6 3 7" xfId="36424" xr:uid="{AA39A36D-7600-42AC-A261-CCF2B36BEAAC}"/>
    <cellStyle name="20% - Énfasis4 6 4" xfId="4900" xr:uid="{D790696D-E59C-4671-8D3E-B98DEFF081DA}"/>
    <cellStyle name="20% - Énfasis4 6 4 2" xfId="7767" xr:uid="{2DC6DD03-DC83-4EEB-A590-5A9E92735960}"/>
    <cellStyle name="20% - Énfasis4 6 4 2 2" xfId="22157" xr:uid="{727F4AC8-A740-4342-A3EA-0167EC036B88}"/>
    <cellStyle name="20% - Énfasis4 6 4 2 3" xfId="28000" xr:uid="{ABC616C5-FBDE-4DA5-8080-C682075C9A82}"/>
    <cellStyle name="20% - Énfasis4 6 4 2 4" xfId="33882" xr:uid="{27CFD178-FE37-4C0F-A84B-64BF7A0205D4}"/>
    <cellStyle name="20% - Énfasis4 6 4 2 5" xfId="39746" xr:uid="{764052EF-8612-43E7-9676-BE6875E48898}"/>
    <cellStyle name="20% - Énfasis4 6 4 3" xfId="19383" xr:uid="{DF924EBC-8961-4DDD-AA20-36205E9E6626}"/>
    <cellStyle name="20% - Énfasis4 6 4 4" xfId="25151" xr:uid="{A6DBD6A5-9A4B-4114-8B04-A53F5305268C}"/>
    <cellStyle name="20% - Énfasis4 6 4 5" xfId="31025" xr:uid="{FD762729-7F65-409C-A144-4CF07998D0F5}"/>
    <cellStyle name="20% - Énfasis4 6 4 6" xfId="36904" xr:uid="{4257CA0A-D3FF-4FBB-9F75-3C48CDE45189}"/>
    <cellStyle name="20% - Énfasis4 6 5" xfId="5910" xr:uid="{108DAF9B-043E-4784-B236-50C9178F42F1}"/>
    <cellStyle name="20% - Énfasis4 6 5 2" xfId="8779" xr:uid="{AD97849C-A190-4039-9371-4F4F417BFDCD}"/>
    <cellStyle name="20% - Énfasis4 6 5 2 2" xfId="23147" xr:uid="{41EC1A6C-D6CB-4003-96AB-587D2484E8BA}"/>
    <cellStyle name="20% - Énfasis4 6 5 2 3" xfId="29011" xr:uid="{3319C444-4B03-4576-ABA7-EDB0E0E8D11B}"/>
    <cellStyle name="20% - Énfasis4 6 5 2 4" xfId="34893" xr:uid="{03776603-9822-45DF-9F8F-30D64D4F4DD2}"/>
    <cellStyle name="20% - Énfasis4 6 5 2 5" xfId="40757" xr:uid="{D009CE87-74CB-4E42-97C8-753EFE1D3118}"/>
    <cellStyle name="20% - Énfasis4 6 5 3" xfId="20361" xr:uid="{5C7F2F72-08F4-4F51-AF94-06DFFFFEE1BB}"/>
    <cellStyle name="20% - Énfasis4 6 5 4" xfId="26161" xr:uid="{A95C0659-E214-4553-ADAA-FBB4C9804E65}"/>
    <cellStyle name="20% - Énfasis4 6 5 5" xfId="32036" xr:uid="{2EF4BAFF-7322-4ABB-8D00-6E636A7A8208}"/>
    <cellStyle name="20% - Énfasis4 6 5 6" xfId="37902" xr:uid="{052B76F1-4587-4CD4-9E59-557E69175D80}"/>
    <cellStyle name="20% - Énfasis4 6 6" xfId="6796" xr:uid="{8133F12A-2309-41AC-AE7D-D086A98D43D1}"/>
    <cellStyle name="20% - Énfasis4 6 6 2" xfId="21220" xr:uid="{611E95F5-656F-4E0B-AE0D-3C4D2D4AD620}"/>
    <cellStyle name="20% - Énfasis4 6 6 3" xfId="27035" xr:uid="{DD7C0786-E4C9-4A5D-B3F1-C627F5DA49F1}"/>
    <cellStyle name="20% - Énfasis4 6 6 4" xfId="32911" xr:uid="{26CE5F99-B298-4E4D-A500-5E0DD9D06BDE}"/>
    <cellStyle name="20% - Énfasis4 6 6 5" xfId="38775" xr:uid="{7A2560D2-807B-41AC-8AF0-3468EE421482}"/>
    <cellStyle name="20% - Énfasis4 6 7" xfId="18467" xr:uid="{C4918990-64B9-418D-B8E1-823EF67ACA2B}"/>
    <cellStyle name="20% - Énfasis4 6 8" xfId="24175" xr:uid="{C0A63E8D-95DA-42C8-A023-1234BF4CC5B5}"/>
    <cellStyle name="20% - Énfasis4 6 9" xfId="30053" xr:uid="{8B331C84-2EDE-4C23-9432-5A0D2744DCCA}"/>
    <cellStyle name="20% - Énfasis4 7" xfId="3967" xr:uid="{44668718-5709-4C1E-875D-8DADE4AC64D0}"/>
    <cellStyle name="20% - Énfasis4 7 10" xfId="35959" xr:uid="{FC7BBE9B-3D76-4716-8B66-9300B7D87EEC}"/>
    <cellStyle name="20% - Énfasis4 7 2" xfId="4159" xr:uid="{44ADDB95-A74D-4F65-882C-D68105EBCC8A}"/>
    <cellStyle name="20% - Énfasis4 7 2 2" xfId="4637" xr:uid="{616DA4F1-9CC0-4932-8D88-27088CF6FCB3}"/>
    <cellStyle name="20% - Énfasis4 7 2 2 2" xfId="5605" xr:uid="{2DB2F640-0F13-490F-8299-6EBD3BB7A904}"/>
    <cellStyle name="20% - Énfasis4 7 2 2 2 2" xfId="8472" xr:uid="{A8694110-E4E6-4A0E-8354-45BC974CA24B}"/>
    <cellStyle name="20% - Énfasis4 7 2 2 2 2 2" xfId="22847" xr:uid="{45EF809F-0231-4B03-8E49-B1A8B7E0B810}"/>
    <cellStyle name="20% - Énfasis4 7 2 2 2 2 3" xfId="28705" xr:uid="{360AF807-690E-49E9-9556-2D8899B19353}"/>
    <cellStyle name="20% - Énfasis4 7 2 2 2 2 4" xfId="34587" xr:uid="{962318A0-81A9-4EBB-B8CF-41037A04E3BC}"/>
    <cellStyle name="20% - Énfasis4 7 2 2 2 2 5" xfId="40451" xr:uid="{9B45B696-0832-4FEF-8EE8-7913C0B13C8A}"/>
    <cellStyle name="20% - Énfasis4 7 2 2 2 3" xfId="20064" xr:uid="{A3A12A6A-B91B-4C1B-BC3B-13A907F2F18C}"/>
    <cellStyle name="20% - Énfasis4 7 2 2 2 4" xfId="25856" xr:uid="{51F34C16-92F9-40BD-9F63-8A274085E3B7}"/>
    <cellStyle name="20% - Énfasis4 7 2 2 2 5" xfId="31730" xr:uid="{C3C93764-6881-4C09-9E3A-25541C14B850}"/>
    <cellStyle name="20% - Énfasis4 7 2 2 2 6" xfId="37600" xr:uid="{B300D039-1B5F-440F-8C5C-46EE5F7ECB8A}"/>
    <cellStyle name="20% - Énfasis4 7 2 2 3" xfId="7500" xr:uid="{D368E1BA-3853-43C4-88DD-00DAF913A075}"/>
    <cellStyle name="20% - Énfasis4 7 2 2 3 2" xfId="21901" xr:uid="{47EB7B7D-E762-4403-A882-3CBEEA14CF9D}"/>
    <cellStyle name="20% - Énfasis4 7 2 2 3 3" xfId="27734" xr:uid="{A496AEC5-2604-4D15-9F8D-F4B12543D90B}"/>
    <cellStyle name="20% - Énfasis4 7 2 2 3 4" xfId="33616" xr:uid="{CB42AA20-0907-4751-92C2-D45F52181C17}"/>
    <cellStyle name="20% - Énfasis4 7 2 2 3 5" xfId="39480" xr:uid="{739E448F-4789-4A18-A840-2239104BFA8B}"/>
    <cellStyle name="20% - Énfasis4 7 2 2 4" xfId="19131" xr:uid="{C029CACE-8858-4E94-88E4-79A2DA32BAF9}"/>
    <cellStyle name="20% - Énfasis4 7 2 2 5" xfId="24885" xr:uid="{9896C45A-5429-4B89-8BAC-2E7C36E4D4F9}"/>
    <cellStyle name="20% - Énfasis4 7 2 2 6" xfId="30761" xr:uid="{B1C995A7-B8D8-4487-BC45-461C6DE539FB}"/>
    <cellStyle name="20% - Énfasis4 7 2 2 7" xfId="36643" xr:uid="{CF916D15-30EB-4D61-A7F0-0FCCDACF1062}"/>
    <cellStyle name="20% - Énfasis4 7 2 3" xfId="5120" xr:uid="{7EAFEAD6-30D5-4CE8-B147-B3235918C48E}"/>
    <cellStyle name="20% - Énfasis4 7 2 3 2" xfId="7987" xr:uid="{5C89F264-8BF2-4DE1-A99E-8607707C48AC}"/>
    <cellStyle name="20% - Énfasis4 7 2 3 2 2" xfId="22372" xr:uid="{87A0043C-3C85-4B73-95FA-D797B0C27170}"/>
    <cellStyle name="20% - Énfasis4 7 2 3 2 3" xfId="28220" xr:uid="{CDAF7A95-7B08-4D57-A5E2-86246ADD95A4}"/>
    <cellStyle name="20% - Énfasis4 7 2 3 2 4" xfId="34102" xr:uid="{FF6CBCD1-9FF2-4280-B28C-C386CB9ACA24}"/>
    <cellStyle name="20% - Énfasis4 7 2 3 2 5" xfId="39966" xr:uid="{DF254C0C-B467-4255-865B-9B3F0ABBFA45}"/>
    <cellStyle name="20% - Énfasis4 7 2 3 3" xfId="19595" xr:uid="{B163FDEF-C9AA-4F09-A5C1-4A3E7E67E255}"/>
    <cellStyle name="20% - Énfasis4 7 2 3 4" xfId="25371" xr:uid="{46A57E01-7695-4710-A7CD-45CFD968636C}"/>
    <cellStyle name="20% - Énfasis4 7 2 3 5" xfId="31245" xr:uid="{C0B38DA2-5B02-423C-8E94-F302BBA3CAE9}"/>
    <cellStyle name="20% - Énfasis4 7 2 3 6" xfId="37123" xr:uid="{91931A59-64E3-4343-92DD-4DACC50AD3D5}"/>
    <cellStyle name="20% - Énfasis4 7 2 4" xfId="7015" xr:uid="{95B0D42B-E306-4EAD-9016-511E40219815}"/>
    <cellStyle name="20% - Énfasis4 7 2 4 2" xfId="21432" xr:uid="{1FDB1B8E-E6B9-44CA-8328-DA5E864145F1}"/>
    <cellStyle name="20% - Énfasis4 7 2 4 3" xfId="27253" xr:uid="{1186A6D4-5F74-4F5F-A154-8F222A4E4227}"/>
    <cellStyle name="20% - Énfasis4 7 2 4 4" xfId="33131" xr:uid="{09510E57-66FD-4D1A-B253-903AA0860AC7}"/>
    <cellStyle name="20% - Énfasis4 7 2 4 5" xfId="38995" xr:uid="{21862217-5F12-4B78-939B-F9782A362C1E}"/>
    <cellStyle name="20% - Énfasis4 7 2 5" xfId="18687" xr:uid="{14AE2C52-C1A8-4635-B49D-293C8ECFEDF5}"/>
    <cellStyle name="20% - Énfasis4 7 2 6" xfId="24402" xr:uid="{7FB4FE83-9EDF-4F66-A227-6D219363C743}"/>
    <cellStyle name="20% - Énfasis4 7 2 7" xfId="30279" xr:uid="{6E7401A8-E9BB-46B6-8795-23C1CE5C7952}"/>
    <cellStyle name="20% - Énfasis4 7 2 8" xfId="36159" xr:uid="{AC7BFDF7-9A8A-41FE-88E7-5C90058D519B}"/>
    <cellStyle name="20% - Énfasis4 7 3" xfId="4442" xr:uid="{38D33D10-B56C-4918-8153-D04D666CE85D}"/>
    <cellStyle name="20% - Énfasis4 7 3 2" xfId="5409" xr:uid="{D54F9DED-26E9-4995-AFC1-1035181DEF47}"/>
    <cellStyle name="20% - Énfasis4 7 3 2 2" xfId="8276" xr:uid="{2CDE5CF2-8766-4021-9F27-686DBFA23A52}"/>
    <cellStyle name="20% - Énfasis4 7 3 2 2 2" xfId="22652" xr:uid="{829A05BD-2D48-4E90-BCDD-D868ADCF0F2E}"/>
    <cellStyle name="20% - Énfasis4 7 3 2 2 3" xfId="28509" xr:uid="{E05EC0AC-2DE6-40FF-B002-57FB2399BD69}"/>
    <cellStyle name="20% - Énfasis4 7 3 2 2 4" xfId="34391" xr:uid="{FF4CFF9F-9ABD-439E-BF38-75C49A11C4E9}"/>
    <cellStyle name="20% - Énfasis4 7 3 2 2 5" xfId="40255" xr:uid="{4F9B4A49-53BD-4DB6-8553-6F6692381A84}"/>
    <cellStyle name="20% - Énfasis4 7 3 2 3" xfId="19874" xr:uid="{112FDD82-01DA-431E-9C34-1C0FDC5D1332}"/>
    <cellStyle name="20% - Énfasis4 7 3 2 4" xfId="25660" xr:uid="{04F6488C-ECAC-4D5B-A45C-03A5A6838017}"/>
    <cellStyle name="20% - Énfasis4 7 3 2 5" xfId="31534" xr:uid="{399CB7B9-BEEF-46D2-855D-4AA2C3A31F3E}"/>
    <cellStyle name="20% - Énfasis4 7 3 2 6" xfId="37405" xr:uid="{A7EB39CE-9F4C-4BFE-9EB8-2EAE8D433D76}"/>
    <cellStyle name="20% - Énfasis4 7 3 3" xfId="7304" xr:uid="{77A22257-C445-426A-92AF-ACD891F35001}"/>
    <cellStyle name="20% - Énfasis4 7 3 3 2" xfId="21709" xr:uid="{7E678B6B-1F46-476C-8D2C-94B5BE656341}"/>
    <cellStyle name="20% - Énfasis4 7 3 3 3" xfId="27538" xr:uid="{8C7DD4D9-3F3E-4D1D-939C-C24BD79F4FEA}"/>
    <cellStyle name="20% - Énfasis4 7 3 3 4" xfId="33420" xr:uid="{5E323839-995E-40EE-9A08-746B44C79BFF}"/>
    <cellStyle name="20% - Énfasis4 7 3 3 5" xfId="39284" xr:uid="{E293FF8D-3B24-4EAB-B481-B6DC9F8321F1}"/>
    <cellStyle name="20% - Énfasis4 7 3 4" xfId="18945" xr:uid="{683663C6-AFDE-4F37-88A3-F8C8DF21772E}"/>
    <cellStyle name="20% - Énfasis4 7 3 5" xfId="24689" xr:uid="{6A560461-FC9C-4B8B-9F87-EFAFC903B22C}"/>
    <cellStyle name="20% - Énfasis4 7 3 6" xfId="30567" xr:uid="{36AF3172-F3F2-4819-A596-65A6D4DA379F}"/>
    <cellStyle name="20% - Énfasis4 7 3 7" xfId="36448" xr:uid="{F9F78F3B-06FE-4B8E-AEE6-BDF2F74182B0}"/>
    <cellStyle name="20% - Énfasis4 7 4" xfId="4924" xr:uid="{FCAAE58D-CE9F-4FAC-9C4C-1F0AFC30D33F}"/>
    <cellStyle name="20% - Énfasis4 7 4 2" xfId="7791" xr:uid="{4C86086B-1AEF-40BD-B110-84D4333BA054}"/>
    <cellStyle name="20% - Énfasis4 7 4 2 2" xfId="22179" xr:uid="{F2AB17CC-9D07-4476-BBF2-D3E0D1679063}"/>
    <cellStyle name="20% - Énfasis4 7 4 2 3" xfId="28024" xr:uid="{AAF5CB4B-27A0-4B43-A531-E8E6484626C6}"/>
    <cellStyle name="20% - Énfasis4 7 4 2 4" xfId="33906" xr:uid="{C7372E1C-80E6-48D7-95E5-4861E493BD43}"/>
    <cellStyle name="20% - Énfasis4 7 4 2 5" xfId="39770" xr:uid="{8B5A8ED9-CAEE-4357-AA0A-8145ED17A647}"/>
    <cellStyle name="20% - Énfasis4 7 4 3" xfId="19406" xr:uid="{5A707C59-AFC2-48B7-B233-30F1F55A39B3}"/>
    <cellStyle name="20% - Énfasis4 7 4 4" xfId="25175" xr:uid="{E037E407-60B1-4369-B6D6-D33AFB744969}"/>
    <cellStyle name="20% - Énfasis4 7 4 5" xfId="31049" xr:uid="{60737461-7DD8-4167-8C5F-3FBF737EBD7E}"/>
    <cellStyle name="20% - Énfasis4 7 4 6" xfId="36928" xr:uid="{FBB35C3D-DB00-477E-9008-F6BC5C03F656}"/>
    <cellStyle name="20% - Énfasis4 7 5" xfId="5934" xr:uid="{A2C2ECBD-73F5-441A-9F2D-CE0E685055E6}"/>
    <cellStyle name="20% - Énfasis4 7 5 2" xfId="8803" xr:uid="{E9C8F278-A66E-4160-A24F-1564506AA1D9}"/>
    <cellStyle name="20% - Énfasis4 7 5 2 2" xfId="23170" xr:uid="{61CAFA9A-C2B7-4385-8450-2C5B9C8EFEFD}"/>
    <cellStyle name="20% - Énfasis4 7 5 2 3" xfId="29035" xr:uid="{02D8ECB5-EA83-4386-A12B-3D9BB49A7701}"/>
    <cellStyle name="20% - Énfasis4 7 5 2 4" xfId="34917" xr:uid="{589498E3-23CC-4772-9ED9-6DA6F32F1FFC}"/>
    <cellStyle name="20% - Énfasis4 7 5 2 5" xfId="40781" xr:uid="{8AE54611-63E5-4983-BE80-80A75D105FCB}"/>
    <cellStyle name="20% - Énfasis4 7 5 3" xfId="20384" xr:uid="{989F038D-1506-4D34-A090-8F73F5180359}"/>
    <cellStyle name="20% - Énfasis4 7 5 4" xfId="26185" xr:uid="{C6FF3C4D-6606-4431-9004-2DE14123743B}"/>
    <cellStyle name="20% - Énfasis4 7 5 5" xfId="32060" xr:uid="{C4475A55-D0F9-49FF-99EE-CDFAE658016D}"/>
    <cellStyle name="20% - Énfasis4 7 5 6" xfId="37926" xr:uid="{A3318026-EEA3-4AB8-AEB7-4E63247E68F9}"/>
    <cellStyle name="20% - Énfasis4 7 6" xfId="6820" xr:uid="{DBE4CDF9-6C4A-4586-BE32-B84FDAA761F0}"/>
    <cellStyle name="20% - Énfasis4 7 6 2" xfId="21243" xr:uid="{6D8AC8AD-34AA-477A-BA91-CBF4A40E2120}"/>
    <cellStyle name="20% - Énfasis4 7 6 3" xfId="27059" xr:uid="{C2BCC10F-9ADF-4198-8F99-54E7622D1CFE}"/>
    <cellStyle name="20% - Énfasis4 7 6 4" xfId="32935" xr:uid="{543DA354-0C22-4F59-A277-EEE9E9EA8577}"/>
    <cellStyle name="20% - Énfasis4 7 6 5" xfId="38799" xr:uid="{30163D1E-FA47-4147-9C93-FAFD232FAD85}"/>
    <cellStyle name="20% - Énfasis4 7 7" xfId="18493" xr:uid="{81E1013C-68F1-4950-9014-47A298DFB6F6}"/>
    <cellStyle name="20% - Énfasis4 7 8" xfId="24201" xr:uid="{C0C37F0B-1208-487F-A1AE-BC1E7C760335}"/>
    <cellStyle name="20% - Énfasis4 7 9" xfId="30079" xr:uid="{5C132006-49F7-48B0-AE14-FBAA0263C585}"/>
    <cellStyle name="20% - Énfasis4 8" xfId="3993" xr:uid="{18108EB3-D923-4AE4-B929-E16AA5635701}"/>
    <cellStyle name="20% - Énfasis4 8 10" xfId="35987" xr:uid="{FC633F2D-E331-4EB6-AABE-AE94A7F13218}"/>
    <cellStyle name="20% - Énfasis4 8 2" xfId="4185" xr:uid="{CE335F98-8052-49C5-A16E-8FE2D715C63C}"/>
    <cellStyle name="20% - Énfasis4 8 2 2" xfId="4663" xr:uid="{2AE0D4EA-E510-4E28-BF3D-D46772A0BE26}"/>
    <cellStyle name="20% - Énfasis4 8 2 2 2" xfId="5631" xr:uid="{DC8F207A-A2C3-46C8-9AEF-27D4E1BDC739}"/>
    <cellStyle name="20% - Énfasis4 8 2 2 2 2" xfId="8498" xr:uid="{C2A6B1EA-C43E-41E7-81F6-98FBF0BDFA4F}"/>
    <cellStyle name="20% - Énfasis4 8 2 2 2 2 2" xfId="22872" xr:uid="{1C8631A5-D411-43FE-B6F0-73DBBE4A41C2}"/>
    <cellStyle name="20% - Énfasis4 8 2 2 2 2 3" xfId="28731" xr:uid="{2D29EC54-8F02-4597-8BDE-C3669F8F45FD}"/>
    <cellStyle name="20% - Énfasis4 8 2 2 2 2 4" xfId="34613" xr:uid="{82294209-4E00-4259-BB5A-8E1F99CBACDC}"/>
    <cellStyle name="20% - Énfasis4 8 2 2 2 2 5" xfId="40477" xr:uid="{C2EF5D85-642D-4B79-8A70-344C453FFDEE}"/>
    <cellStyle name="20% - Énfasis4 8 2 2 2 3" xfId="20090" xr:uid="{EB137500-A0EA-431B-987F-B3B4CFF4BFA3}"/>
    <cellStyle name="20% - Énfasis4 8 2 2 2 4" xfId="25882" xr:uid="{5C960CB4-5B74-49D4-9B3A-D33C05347B64}"/>
    <cellStyle name="20% - Énfasis4 8 2 2 2 5" xfId="31756" xr:uid="{5F23C17A-31E8-4A93-AE4E-EA5DF8989159}"/>
    <cellStyle name="20% - Énfasis4 8 2 2 2 6" xfId="37625" xr:uid="{472738D1-3ED1-4494-8828-710103FE9D6B}"/>
    <cellStyle name="20% - Énfasis4 8 2 2 3" xfId="7526" xr:uid="{FD6A2B7F-77F2-4A2A-8C76-4880074A1A56}"/>
    <cellStyle name="20% - Énfasis4 8 2 2 3 2" xfId="21926" xr:uid="{8157FC93-1BBA-4BDA-AE30-C3CC10BAF79D}"/>
    <cellStyle name="20% - Énfasis4 8 2 2 3 3" xfId="27760" xr:uid="{E65815CF-7A3E-4D99-8E09-EFE02B0F8222}"/>
    <cellStyle name="20% - Énfasis4 8 2 2 3 4" xfId="33642" xr:uid="{B9EFF21D-1A86-4CAE-A958-50BA7EAA9C79}"/>
    <cellStyle name="20% - Énfasis4 8 2 2 3 5" xfId="39506" xr:uid="{BDFECAA0-C2EF-444E-BFF6-32CDB5961F70}"/>
    <cellStyle name="20% - Énfasis4 8 2 2 4" xfId="19155" xr:uid="{ED04082E-3DE8-4F61-A006-E67C7F9013AB}"/>
    <cellStyle name="20% - Énfasis4 8 2 2 5" xfId="24911" xr:uid="{427E3586-7F55-4B88-BF58-17DBCEB0C9D8}"/>
    <cellStyle name="20% - Énfasis4 8 2 2 6" xfId="30787" xr:uid="{FEEFADE1-BA9A-4D29-9776-D4A42EFA7148}"/>
    <cellStyle name="20% - Énfasis4 8 2 2 7" xfId="36668" xr:uid="{8785C39F-8389-460B-BC92-8DCA72CD9602}"/>
    <cellStyle name="20% - Énfasis4 8 2 3" xfId="5146" xr:uid="{11003368-B2ED-466A-BB1E-800074661977}"/>
    <cellStyle name="20% - Énfasis4 8 2 3 2" xfId="8013" xr:uid="{3BF9A21C-51D0-42C2-91B8-E15FBDE3AF0C}"/>
    <cellStyle name="20% - Énfasis4 8 2 3 2 2" xfId="22397" xr:uid="{FCE27F5C-94E2-4BB4-A1BB-039CFDF72730}"/>
    <cellStyle name="20% - Énfasis4 8 2 3 2 3" xfId="28246" xr:uid="{F4269332-C0EF-4DAA-8AF9-60C4CFEC9B58}"/>
    <cellStyle name="20% - Énfasis4 8 2 3 2 4" xfId="34128" xr:uid="{105701DA-738B-4604-BED7-589B86716A42}"/>
    <cellStyle name="20% - Énfasis4 8 2 3 2 5" xfId="39992" xr:uid="{D5C2B32B-B95A-4C83-B992-9C76D480211C}"/>
    <cellStyle name="20% - Énfasis4 8 2 3 3" xfId="19620" xr:uid="{77D73BB5-2BFF-40B8-B6E6-27C975FE96AC}"/>
    <cellStyle name="20% - Énfasis4 8 2 3 4" xfId="25397" xr:uid="{6CD27FBA-5FFD-45BA-AD63-C20A11C674C2}"/>
    <cellStyle name="20% - Énfasis4 8 2 3 5" xfId="31271" xr:uid="{E2F86471-7DBD-4766-B38D-1C635F1CB558}"/>
    <cellStyle name="20% - Énfasis4 8 2 3 6" xfId="37148" xr:uid="{3FCEC449-E63B-48F2-AB90-DD24302381FB}"/>
    <cellStyle name="20% - Énfasis4 8 2 4" xfId="7041" xr:uid="{FEB08F20-C456-4B7D-9A20-334CFA4BB8A3}"/>
    <cellStyle name="20% - Énfasis4 8 2 4 2" xfId="21457" xr:uid="{C8C63E97-8FD3-439D-853E-C347270CF9FE}"/>
    <cellStyle name="20% - Énfasis4 8 2 4 3" xfId="27278" xr:uid="{B86E3205-E5FE-4FF3-AD33-717307866828}"/>
    <cellStyle name="20% - Énfasis4 8 2 4 4" xfId="33157" xr:uid="{21A67F51-9486-4FFC-AE3E-3E35BF599564}"/>
    <cellStyle name="20% - Énfasis4 8 2 4 5" xfId="39021" xr:uid="{B64B970A-72AE-422E-B0FE-C309F16A4121}"/>
    <cellStyle name="20% - Énfasis4 8 2 5" xfId="18712" xr:uid="{580A4A7F-7AF2-494E-A9DB-4597F3DECE56}"/>
    <cellStyle name="20% - Énfasis4 8 2 6" xfId="24428" xr:uid="{CE20D9A8-883F-49EA-BF63-091D96F74584}"/>
    <cellStyle name="20% - Énfasis4 8 2 7" xfId="30305" xr:uid="{A8178BBE-658F-4D5C-BF11-68C71A539655}"/>
    <cellStyle name="20% - Énfasis4 8 2 8" xfId="36185" xr:uid="{4A37E7F9-4B48-4C57-988D-8923B0A427A9}"/>
    <cellStyle name="20% - Énfasis4 8 3" xfId="4467" xr:uid="{05E1B8CA-3F81-4AA5-8F3A-447770C665E5}"/>
    <cellStyle name="20% - Énfasis4 8 3 2" xfId="5435" xr:uid="{C9F8EAEB-E991-4EBA-9BFE-F3579C9959AF}"/>
    <cellStyle name="20% - Énfasis4 8 3 2 2" xfId="8302" xr:uid="{2F550C56-0684-4C77-ADD5-BCF0FC33C2BD}"/>
    <cellStyle name="20% - Énfasis4 8 3 2 2 2" xfId="22678" xr:uid="{F7F8B815-1571-4C52-844D-C308166CA204}"/>
    <cellStyle name="20% - Énfasis4 8 3 2 2 3" xfId="28535" xr:uid="{E4984E81-C90C-433E-A4DA-8F21147F0CBF}"/>
    <cellStyle name="20% - Énfasis4 8 3 2 2 4" xfId="34417" xr:uid="{BFE596AC-F871-434E-A8FD-A0C4AC52C896}"/>
    <cellStyle name="20% - Énfasis4 8 3 2 2 5" xfId="40281" xr:uid="{92236AE5-026F-4444-BBE4-4A5515BF4348}"/>
    <cellStyle name="20% - Énfasis4 8 3 2 3" xfId="19899" xr:uid="{001FA356-1EE9-4E7F-A564-493913F72E74}"/>
    <cellStyle name="20% - Énfasis4 8 3 2 4" xfId="25686" xr:uid="{2E9F8E40-C9E0-494C-8244-8B6BDAC3879C}"/>
    <cellStyle name="20% - Énfasis4 8 3 2 5" xfId="31560" xr:uid="{DBE68F69-8B6B-4349-87E4-418459E51CBF}"/>
    <cellStyle name="20% - Énfasis4 8 3 2 6" xfId="37431" xr:uid="{24F8FC1C-1845-462B-BF12-93B019E47C66}"/>
    <cellStyle name="20% - Énfasis4 8 3 3" xfId="7330" xr:uid="{908CDF47-155F-4484-BBC7-642E197FACDB}"/>
    <cellStyle name="20% - Énfasis4 8 3 3 2" xfId="21734" xr:uid="{0FE4D4DD-A5A9-42F1-AF86-D7CB3B5AED4B}"/>
    <cellStyle name="20% - Énfasis4 8 3 3 3" xfId="27564" xr:uid="{575F0971-0C78-45C6-8A03-952BAC6A9DF3}"/>
    <cellStyle name="20% - Énfasis4 8 3 3 4" xfId="33446" xr:uid="{B47B358D-BFBE-4352-AD54-385D8FF4559F}"/>
    <cellStyle name="20% - Énfasis4 8 3 3 5" xfId="39310" xr:uid="{FD4DA034-859A-47CB-95AF-42E8FE2819D2}"/>
    <cellStyle name="20% - Énfasis4 8 3 4" xfId="18971" xr:uid="{30C7DCE1-935B-43FC-A038-1F4342857C0E}"/>
    <cellStyle name="20% - Énfasis4 8 3 5" xfId="24715" xr:uid="{C0EB1B65-EA98-43F1-944C-37DDCB60E3FF}"/>
    <cellStyle name="20% - Énfasis4 8 3 6" xfId="30593" xr:uid="{10D87B50-AB2C-46A2-9967-9128C50C931B}"/>
    <cellStyle name="20% - Énfasis4 8 3 7" xfId="36474" xr:uid="{7BE04B88-E9DE-4D72-9995-CE2662F8A044}"/>
    <cellStyle name="20% - Énfasis4 8 4" xfId="4950" xr:uid="{0D8F9544-EBD6-499C-9474-2A2C9B4D7A38}"/>
    <cellStyle name="20% - Énfasis4 8 4 2" xfId="7817" xr:uid="{1E918AED-332C-41AA-B993-6C1BB8EEEEF4}"/>
    <cellStyle name="20% - Énfasis4 8 4 2 2" xfId="22204" xr:uid="{FA08DDD6-D434-4E85-9784-216A28E56161}"/>
    <cellStyle name="20% - Énfasis4 8 4 2 3" xfId="28050" xr:uid="{3F761526-44E6-40B7-AE1C-2174D484D9CE}"/>
    <cellStyle name="20% - Énfasis4 8 4 2 4" xfId="33932" xr:uid="{7B830879-0BF1-4C10-96B7-A59331419D51}"/>
    <cellStyle name="20% - Énfasis4 8 4 2 5" xfId="39796" xr:uid="{1EEF56CC-F5F4-4A71-8883-BA941F71C2DB}"/>
    <cellStyle name="20% - Énfasis4 8 4 3" xfId="19432" xr:uid="{ED6B020F-7E86-46BA-A8A3-CA9EB88E5671}"/>
    <cellStyle name="20% - Énfasis4 8 4 4" xfId="25201" xr:uid="{4ECC2EAA-7D02-463F-9E12-C6D1B989DA03}"/>
    <cellStyle name="20% - Énfasis4 8 4 5" xfId="31075" xr:uid="{66B068CB-5EDF-49EE-8DB3-741532B92AE6}"/>
    <cellStyle name="20% - Énfasis4 8 4 6" xfId="36954" xr:uid="{45032BAD-E176-4D2D-BBCF-8CFFC2C22FDE}"/>
    <cellStyle name="20% - Énfasis4 8 5" xfId="5960" xr:uid="{D459EDF1-F3EF-4EE9-A627-9DB8E698D818}"/>
    <cellStyle name="20% - Énfasis4 8 5 2" xfId="8829" xr:uid="{352B8324-FFB4-45E0-AAAD-1AA95AC35E4B}"/>
    <cellStyle name="20% - Énfasis4 8 5 2 2" xfId="23194" xr:uid="{D3669A2A-8E6A-47A5-ADC7-E308F8048C28}"/>
    <cellStyle name="20% - Énfasis4 8 5 2 3" xfId="29061" xr:uid="{7C4C22DB-378A-4F29-A611-9544AAB75B18}"/>
    <cellStyle name="20% - Énfasis4 8 5 2 4" xfId="34943" xr:uid="{9403108E-98B0-4A66-824C-0043A548C64F}"/>
    <cellStyle name="20% - Énfasis4 8 5 2 5" xfId="40807" xr:uid="{AC7B67AA-F1B2-47F9-8DED-A46A3DEB41D9}"/>
    <cellStyle name="20% - Énfasis4 8 5 3" xfId="20410" xr:uid="{6649F289-C316-4F8C-991F-F80A055E8685}"/>
    <cellStyle name="20% - Énfasis4 8 5 4" xfId="26211" xr:uid="{95F224F1-C557-4351-8B1F-92A0475C77AC}"/>
    <cellStyle name="20% - Énfasis4 8 5 5" xfId="32086" xr:uid="{DC7FE8AF-6BBA-44EC-ABD8-9B73B434238D}"/>
    <cellStyle name="20% - Énfasis4 8 5 6" xfId="37951" xr:uid="{56DDCEEC-78F0-4210-B4CB-44DD498923F3}"/>
    <cellStyle name="20% - Énfasis4 8 6" xfId="6846" xr:uid="{76C29F57-6021-4490-AB3A-B3729D52A082}"/>
    <cellStyle name="20% - Énfasis4 8 6 2" xfId="21269" xr:uid="{80E94C63-6C43-428D-B386-1041F52324CA}"/>
    <cellStyle name="20% - Énfasis4 8 6 3" xfId="27084" xr:uid="{CD3C67E9-4CBE-472D-9430-9516AB574284}"/>
    <cellStyle name="20% - Énfasis4 8 6 4" xfId="32961" xr:uid="{06C8BEB1-27D6-4777-A569-10C0C6C1753D}"/>
    <cellStyle name="20% - Énfasis4 8 6 5" xfId="38825" xr:uid="{E179D4C0-E4FA-4CDD-ACFC-73E2F85FE6F7}"/>
    <cellStyle name="20% - Énfasis4 8 7" xfId="18520" xr:uid="{EEB770AD-1ACA-4138-8A43-834CBC2DA872}"/>
    <cellStyle name="20% - Énfasis4 8 8" xfId="24229" xr:uid="{1E950EB2-DE99-42CE-84DF-37CA99C85683}"/>
    <cellStyle name="20% - Énfasis4 8 9" xfId="30107" xr:uid="{89C4865A-8E59-4C27-AFC9-E4B1142EE234}"/>
    <cellStyle name="20% - Énfasis4 9" xfId="4017" xr:uid="{C9955268-8F46-4352-92C1-9B513D150BCD}"/>
    <cellStyle name="20% - Énfasis4 9 2" xfId="4488" xr:uid="{1DDE4546-2079-4B6D-9AF8-616EB0B4033D}"/>
    <cellStyle name="20% - Énfasis4 9 2 2" xfId="5456" xr:uid="{16419FEF-5824-4CED-9A1B-4465617F6BDF}"/>
    <cellStyle name="20% - Énfasis4 9 2 2 2" xfId="8323" xr:uid="{1D6ED762-1468-48DE-8A0A-F17C1AA9D407}"/>
    <cellStyle name="20% - Énfasis4 9 2 2 2 2" xfId="22699" xr:uid="{89F44C3E-6AE2-40A6-B485-25CED65CFE76}"/>
    <cellStyle name="20% - Énfasis4 9 2 2 2 3" xfId="28556" xr:uid="{EA906068-87FC-44B5-B6B3-0C9A78296F0C}"/>
    <cellStyle name="20% - Énfasis4 9 2 2 2 4" xfId="34438" xr:uid="{5E59EBD0-CF6C-486A-B08B-44F6769CBC63}"/>
    <cellStyle name="20% - Énfasis4 9 2 2 2 5" xfId="40302" xr:uid="{70EF5886-270A-4065-A449-17E7C36FD050}"/>
    <cellStyle name="20% - Énfasis4 9 2 2 3" xfId="19919" xr:uid="{5D6A4952-84EE-4FD9-9A7B-ED8C4E1FAECD}"/>
    <cellStyle name="20% - Énfasis4 9 2 2 4" xfId="25707" xr:uid="{E1FACD6A-5A78-44B6-93DD-75AF222E9F97}"/>
    <cellStyle name="20% - Énfasis4 9 2 2 5" xfId="31581" xr:uid="{37A1DE83-937B-4FFF-9AE0-D4A4D9232968}"/>
    <cellStyle name="20% - Énfasis4 9 2 2 6" xfId="37452" xr:uid="{0BAB7481-B3A3-4FCF-AB3F-D35B150973DE}"/>
    <cellStyle name="20% - Énfasis4 9 2 3" xfId="7351" xr:uid="{6F08FE66-7CEF-4B68-8E30-1FE00F538F79}"/>
    <cellStyle name="20% - Énfasis4 9 2 3 2" xfId="21754" xr:uid="{A2C64F41-4662-45AE-B3F4-D169914934F8}"/>
    <cellStyle name="20% - Énfasis4 9 2 3 3" xfId="27585" xr:uid="{2B1C9684-6BA6-452B-B40D-A0F0CDD05C33}"/>
    <cellStyle name="20% - Énfasis4 9 2 3 4" xfId="33467" xr:uid="{E124E53E-CE6A-48CE-93B0-3F23E8AC51F9}"/>
    <cellStyle name="20% - Énfasis4 9 2 3 5" xfId="39331" xr:uid="{133B628D-729A-4DF1-9DE6-A64F9EF64ADE}"/>
    <cellStyle name="20% - Énfasis4 9 2 4" xfId="18992" xr:uid="{D9B77E68-106F-4A9F-A0CB-C01C66D48A6F}"/>
    <cellStyle name="20% - Énfasis4 9 2 5" xfId="24736" xr:uid="{E9E3AA5D-A2DC-4050-853F-4F33520B31ED}"/>
    <cellStyle name="20% - Énfasis4 9 2 6" xfId="30613" xr:uid="{1F366832-2027-431D-BB16-F95B390717D3}"/>
    <cellStyle name="20% - Énfasis4 9 2 7" xfId="36495" xr:uid="{D9F6D4AB-A736-4E6D-8223-513054598819}"/>
    <cellStyle name="20% - Énfasis4 9 3" xfId="4971" xr:uid="{3529DFEF-1645-4924-9E25-35709410ECC7}"/>
    <cellStyle name="20% - Énfasis4 9 3 2" xfId="7838" xr:uid="{BCD1A460-A322-43E7-A1C8-F8DF8FCF40B5}"/>
    <cellStyle name="20% - Énfasis4 9 3 2 2" xfId="22224" xr:uid="{697A24B9-957F-423B-A297-3B03073C9FC1}"/>
    <cellStyle name="20% - Énfasis4 9 3 2 3" xfId="28071" xr:uid="{D7914985-15C9-4A3B-B9AB-3A0B6EC20D61}"/>
    <cellStyle name="20% - Énfasis4 9 3 2 4" xfId="33953" xr:uid="{F5F8C4BB-5097-4AA6-BF38-BD765BD03261}"/>
    <cellStyle name="20% - Énfasis4 9 3 2 5" xfId="39817" xr:uid="{64C41E92-91F5-4C29-B863-3D3B4C2641EA}"/>
    <cellStyle name="20% - Énfasis4 9 3 3" xfId="19452" xr:uid="{9ECCDBCF-21AD-42E4-B5A6-4DE28E635C20}"/>
    <cellStyle name="20% - Énfasis4 9 3 4" xfId="25222" xr:uid="{97664293-ACCD-4156-980F-661E23060F09}"/>
    <cellStyle name="20% - Énfasis4 9 3 5" xfId="31096" xr:uid="{7D579721-7E96-49C7-B4F7-F46ADE52AA36}"/>
    <cellStyle name="20% - Énfasis4 9 3 6" xfId="36975" xr:uid="{C27EDE1D-0ED3-43B7-A4BA-987D9C580442}"/>
    <cellStyle name="20% - Énfasis4 9 4" xfId="6867" xr:uid="{66363A44-C4DE-482A-9768-2EDE07CD3066}"/>
    <cellStyle name="20% - Énfasis4 9 4 2" xfId="21289" xr:uid="{166563C7-9B68-4680-99D8-F5119E443DBA}"/>
    <cellStyle name="20% - Énfasis4 9 4 3" xfId="27105" xr:uid="{81763287-844C-4EA2-AB52-5824A15268AC}"/>
    <cellStyle name="20% - Énfasis4 9 4 4" xfId="32982" xr:uid="{1174E688-BF46-4D93-8230-7BDCDE5DBC57}"/>
    <cellStyle name="20% - Énfasis4 9 4 5" xfId="38846" xr:uid="{7532CAF3-35E2-4046-955A-D9AB538B118C}"/>
    <cellStyle name="20% - Énfasis4 9 5" xfId="18543" xr:uid="{61DC4A5D-1177-4ED9-A0E4-FECA1A3DAF43}"/>
    <cellStyle name="20% - Énfasis4 9 6" xfId="24253" xr:uid="{D38A3E36-C21F-48FC-B281-E0AE457FFBA1}"/>
    <cellStyle name="20% - Énfasis4 9 7" xfId="30131" xr:uid="{69F93980-0950-47E0-8A14-8E019375A349}"/>
    <cellStyle name="20% - Énfasis4 9 8" xfId="36010" xr:uid="{2DACFFAF-3C67-4DFC-990B-D57BB477660A}"/>
    <cellStyle name="20% - Énfasis5" xfId="35" builtinId="46" customBuiltin="1"/>
    <cellStyle name="20% - Énfasis5 10" xfId="4212" xr:uid="{09153089-CA16-4862-955B-E2AF107A4BA1}"/>
    <cellStyle name="20% - Énfasis5 10 2" xfId="4690" xr:uid="{9312C74F-8F00-4515-A327-F22002865C1F}"/>
    <cellStyle name="20% - Énfasis5 10 2 2" xfId="5658" xr:uid="{FE369B87-CA1F-41E0-8E01-5331E718E9EA}"/>
    <cellStyle name="20% - Énfasis5 10 2 2 2" xfId="8526" xr:uid="{49B2A1C3-40DF-4F4F-8495-07A3D169CD51}"/>
    <cellStyle name="20% - Énfasis5 10 2 2 2 2" xfId="22900" xr:uid="{A9993CFE-D6EE-4BB6-951B-5A21D704DBE7}"/>
    <cellStyle name="20% - Énfasis5 10 2 2 2 3" xfId="28759" xr:uid="{D64E3D64-1B7C-4BCD-9589-24839A9B5498}"/>
    <cellStyle name="20% - Énfasis5 10 2 2 2 4" xfId="34641" xr:uid="{37251812-99C5-45DB-94A5-BDF75098117C}"/>
    <cellStyle name="20% - Énfasis5 10 2 2 2 5" xfId="40505" xr:uid="{47D467B6-D1EB-4DF3-A287-0ACAAA9B7BDA}"/>
    <cellStyle name="20% - Énfasis5 10 2 2 3" xfId="20117" xr:uid="{320D7453-F06F-41C7-B839-8D4DE2CC41AC}"/>
    <cellStyle name="20% - Énfasis5 10 2 2 4" xfId="25909" xr:uid="{BF836052-3F54-4806-92D2-154A5A465C66}"/>
    <cellStyle name="20% - Énfasis5 10 2 2 5" xfId="31784" xr:uid="{6C7C92FF-3E1F-4CC9-A20D-EE83D2B00740}"/>
    <cellStyle name="20% - Énfasis5 10 2 2 6" xfId="37653" xr:uid="{57A7FE93-453F-4D06-B612-7D09D9830644}"/>
    <cellStyle name="20% - Énfasis5 10 2 3" xfId="7554" xr:uid="{6FF7A463-10BC-41D8-BCE6-CA50CCA1676A}"/>
    <cellStyle name="20% - Énfasis5 10 2 3 2" xfId="21952" xr:uid="{31379D9A-AF07-417C-8DEC-28F6B10A32FA}"/>
    <cellStyle name="20% - Énfasis5 10 2 3 3" xfId="27788" xr:uid="{53374318-E0E0-4228-BC1A-051E1A5321DB}"/>
    <cellStyle name="20% - Énfasis5 10 2 3 4" xfId="33670" xr:uid="{5C85F249-284D-42A1-88B4-AFD028F23985}"/>
    <cellStyle name="20% - Énfasis5 10 2 3 5" xfId="39534" xr:uid="{03DDBDCF-0E37-4946-9B76-9601AB59E477}"/>
    <cellStyle name="20% - Énfasis5 10 2 4" xfId="19183" xr:uid="{4A656488-3F16-4A15-B24F-2E7316CF7A07}"/>
    <cellStyle name="20% - Énfasis5 10 2 5" xfId="24939" xr:uid="{59034C10-ED4B-469C-BDAD-CA32ABBACCB0}"/>
    <cellStyle name="20% - Énfasis5 10 2 6" xfId="30814" xr:uid="{495D8D51-8CE9-4C5A-AA92-A550BCF6B0D0}"/>
    <cellStyle name="20% - Énfasis5 10 2 7" xfId="36696" xr:uid="{07F42BE7-1C06-47CB-86E4-74018CB43E9D}"/>
    <cellStyle name="20% - Énfasis5 10 3" xfId="5174" xr:uid="{1C5B8EBF-33EF-4FD5-9C24-C1E004E7E40A}"/>
    <cellStyle name="20% - Énfasis5 10 3 2" xfId="8041" xr:uid="{1B7AAF02-785E-427F-B466-72AB29C17766}"/>
    <cellStyle name="20% - Énfasis5 10 3 2 2" xfId="22424" xr:uid="{B5471829-8864-47E8-94AE-E76DD5199249}"/>
    <cellStyle name="20% - Énfasis5 10 3 2 3" xfId="28274" xr:uid="{D3DED4EF-1063-4155-87F1-2EBCBB15A07A}"/>
    <cellStyle name="20% - Énfasis5 10 3 2 4" xfId="34156" xr:uid="{40CF7C56-006F-4437-83D5-7E122738591A}"/>
    <cellStyle name="20% - Énfasis5 10 3 2 5" xfId="40020" xr:uid="{6B50811A-D787-42D7-BB32-05C1757DEE4F}"/>
    <cellStyle name="20% - Énfasis5 10 3 3" xfId="19647" xr:uid="{06D6C001-A562-4F4B-9462-EFBC6DD71FF8}"/>
    <cellStyle name="20% - Énfasis5 10 3 4" xfId="25425" xr:uid="{94EAA56A-2009-442A-ABDE-0A94B9C1FA14}"/>
    <cellStyle name="20% - Énfasis5 10 3 5" xfId="31299" xr:uid="{23105C7D-1309-4343-9A26-503629DCFF3F}"/>
    <cellStyle name="20% - Énfasis5 10 3 6" xfId="37176" xr:uid="{5C480DDC-E66E-436F-9A20-1466184DA1F3}"/>
    <cellStyle name="20% - Énfasis5 10 4" xfId="7069" xr:uid="{1CA48A0B-86C3-4220-8487-4A0625EF46FD}"/>
    <cellStyle name="20% - Énfasis5 10 4 2" xfId="21484" xr:uid="{7878EFF3-ACDB-453B-B233-2F765CA9D75D}"/>
    <cellStyle name="20% - Énfasis5 10 4 3" xfId="27306" xr:uid="{48B8A6D4-D85C-470F-9D29-9BCF3E070B97}"/>
    <cellStyle name="20% - Énfasis5 10 4 4" xfId="33185" xr:uid="{22344372-9F05-47C5-90A9-DC498FB5787B}"/>
    <cellStyle name="20% - Énfasis5 10 4 5" xfId="39049" xr:uid="{674820D5-7BA2-456B-816A-6B7A68A4EE3E}"/>
    <cellStyle name="20% - Énfasis5 10 5" xfId="18740" xr:uid="{CA795C34-F728-4251-A727-CE358A958D3C}"/>
    <cellStyle name="20% - Énfasis5 10 6" xfId="24456" xr:uid="{CDF2E717-120F-4713-9023-4C2798198190}"/>
    <cellStyle name="20% - Énfasis5 10 7" xfId="30332" xr:uid="{48D100E7-A352-4FDC-9ED4-A5ABD771071A}"/>
    <cellStyle name="20% - Énfasis5 10 8" xfId="36213" xr:uid="{6BFC9ECF-5476-4D83-B0BB-30FECCACAC07}"/>
    <cellStyle name="20% - Énfasis5 11" xfId="4248" xr:uid="{7953550D-B052-45DA-B843-A4EE22DD738C}"/>
    <cellStyle name="20% - Énfasis5 11 2" xfId="4727" xr:uid="{A3BDAFA4-799C-4498-9615-001F659A9803}"/>
    <cellStyle name="20% - Énfasis5 11 2 2" xfId="5695" xr:uid="{3D65ECFB-3FE3-4D25-B9A0-6D026A89743F}"/>
    <cellStyle name="20% - Énfasis5 11 2 2 2" xfId="8563" xr:uid="{2D2976DA-7899-41DE-B61A-7463A3E6697D}"/>
    <cellStyle name="20% - Énfasis5 11 2 2 2 2" xfId="22935" xr:uid="{1403FD2F-4DE9-4D8E-ABB0-DEA71AAA08F8}"/>
    <cellStyle name="20% - Énfasis5 11 2 2 2 3" xfId="28796" xr:uid="{7565EE3C-EAD8-4DE2-850F-373B8CF1EE18}"/>
    <cellStyle name="20% - Énfasis5 11 2 2 2 4" xfId="34678" xr:uid="{B57CCDA0-13DF-4839-AD26-52CDD1B337D9}"/>
    <cellStyle name="20% - Énfasis5 11 2 2 2 5" xfId="40542" xr:uid="{C8D2C4A2-436B-4893-9BE1-DC1ADA9B3BDF}"/>
    <cellStyle name="20% - Énfasis5 11 2 2 3" xfId="20152" xr:uid="{42EB90DC-FA91-4222-A155-7EECD90C91CF}"/>
    <cellStyle name="20% - Énfasis5 11 2 2 4" xfId="25946" xr:uid="{CF71475B-A83C-4D4D-B686-7EA4CE96468C}"/>
    <cellStyle name="20% - Énfasis5 11 2 2 5" xfId="31821" xr:uid="{406B05C9-8F78-4829-BDAB-1653862420F5}"/>
    <cellStyle name="20% - Énfasis5 11 2 2 6" xfId="37688" xr:uid="{0E1D7A40-0E85-42DD-8E0E-4288534C2380}"/>
    <cellStyle name="20% - Énfasis5 11 2 3" xfId="7591" xr:uid="{B5998092-A4DC-4230-BED1-CDADF5FFE0E4}"/>
    <cellStyle name="20% - Énfasis5 11 2 3 2" xfId="21985" xr:uid="{820CD724-5A94-4398-BE37-060CF74EA655}"/>
    <cellStyle name="20% - Énfasis5 11 2 3 3" xfId="27825" xr:uid="{D3FA7541-8403-4C38-8B76-D7CE41204AB6}"/>
    <cellStyle name="20% - Énfasis5 11 2 3 4" xfId="33707" xr:uid="{B1A52D01-D298-4987-A523-FF092EC0ED76}"/>
    <cellStyle name="20% - Énfasis5 11 2 3 5" xfId="39571" xr:uid="{CAB3C449-CB43-437A-A215-1BBC425F1068}"/>
    <cellStyle name="20% - Énfasis5 11 2 4" xfId="19217" xr:uid="{FBC6EAB9-6B15-46E9-B691-550810D15DFE}"/>
    <cellStyle name="20% - Énfasis5 11 2 5" xfId="24976" xr:uid="{C4E5A888-7D71-4659-B355-A437DC298C87}"/>
    <cellStyle name="20% - Énfasis5 11 2 6" xfId="30850" xr:uid="{AAEBDC20-C820-4862-A926-C0BA6A2327A8}"/>
    <cellStyle name="20% - Énfasis5 11 2 7" xfId="36731" xr:uid="{1E7963CB-1F50-45B5-84A1-F1941CED2029}"/>
    <cellStyle name="20% - Énfasis5 11 3" xfId="5211" xr:uid="{250643D2-DF7D-4ECD-A2B0-3895307BB4F3}"/>
    <cellStyle name="20% - Énfasis5 11 3 2" xfId="8078" xr:uid="{19EA941D-3722-47F3-88FE-525BB1DC5E30}"/>
    <cellStyle name="20% - Énfasis5 11 3 2 2" xfId="22456" xr:uid="{9895CF36-7C63-4CCF-80AB-AAEBFC936642}"/>
    <cellStyle name="20% - Énfasis5 11 3 2 3" xfId="28311" xr:uid="{0522642D-89E2-4685-98D4-C41D2401C63B}"/>
    <cellStyle name="20% - Énfasis5 11 3 2 4" xfId="34193" xr:uid="{CA5C002D-11CD-4B3E-B231-387220361C8B}"/>
    <cellStyle name="20% - Énfasis5 11 3 2 5" xfId="40057" xr:uid="{51D391EA-28FC-4E13-81C0-D5897A11C068}"/>
    <cellStyle name="20% - Énfasis5 11 3 3" xfId="19682" xr:uid="{7BBBB211-FACE-4D3D-80F0-FB86698EC539}"/>
    <cellStyle name="20% - Énfasis5 11 3 4" xfId="25462" xr:uid="{D32F7F76-4131-4157-9E81-0104AE59A692}"/>
    <cellStyle name="20% - Énfasis5 11 3 5" xfId="31336" xr:uid="{2984AF72-29FB-4AE2-B6AB-81D7C392F544}"/>
    <cellStyle name="20% - Énfasis5 11 3 6" xfId="37209" xr:uid="{236F7A96-7F8C-417A-8416-4CA228956D28}"/>
    <cellStyle name="20% - Énfasis5 11 4" xfId="7106" xr:uid="{D282AF42-E65F-4C8B-8A1D-6F10A0A7E249}"/>
    <cellStyle name="20% - Énfasis5 11 4 2" xfId="21518" xr:uid="{82820560-18EC-4C3D-91FB-84D08F79FA9F}"/>
    <cellStyle name="20% - Énfasis5 11 4 3" xfId="27341" xr:uid="{810BD38A-B226-4E53-940B-19ABDD6374A6}"/>
    <cellStyle name="20% - Énfasis5 11 4 4" xfId="33222" xr:uid="{5BC99F72-B3AD-466A-A034-FBD8D594F8A5}"/>
    <cellStyle name="20% - Énfasis5 11 4 5" xfId="39086" xr:uid="{5ACDDE9B-6D20-461E-BEA1-DBF26E15913D}"/>
    <cellStyle name="20% - Énfasis5 11 5" xfId="18769" xr:uid="{FC9DAA94-B8AA-4E17-836B-CCC003DC3DAE}"/>
    <cellStyle name="20% - Énfasis5 11 6" xfId="24491" xr:uid="{602ED09D-6352-4BD6-B43B-5E4B1EC9CC86}"/>
    <cellStyle name="20% - Énfasis5 11 7" xfId="30369" xr:uid="{0BC809A7-45AC-41B0-B5C9-F632B220AE67}"/>
    <cellStyle name="20% - Énfasis5 11 8" xfId="36250" xr:uid="{E25BB3E1-D245-455B-B2D1-2E5B1891A546}"/>
    <cellStyle name="20% - Énfasis5 12" xfId="4297" xr:uid="{AC602E56-951B-4D56-B405-866CF37EBFB1}"/>
    <cellStyle name="20% - Énfasis5 12 2" xfId="5263" xr:uid="{7B51FF6B-7764-405A-838E-1379497DDE87}"/>
    <cellStyle name="20% - Énfasis5 12 2 2" xfId="8130" xr:uid="{4738409D-B7F6-4188-A3AA-26D4BB61E0A5}"/>
    <cellStyle name="20% - Énfasis5 12 2 2 2" xfId="22507" xr:uid="{D534DBC9-9EA6-48A7-9BB9-1FEA8862ECA0}"/>
    <cellStyle name="20% - Énfasis5 12 2 2 3" xfId="28363" xr:uid="{78346114-3917-4C20-8021-B869BBA3E3E6}"/>
    <cellStyle name="20% - Énfasis5 12 2 2 4" xfId="34245" xr:uid="{C260541E-B145-4C81-938C-7B4CF126D483}"/>
    <cellStyle name="20% - Énfasis5 12 2 2 5" xfId="40109" xr:uid="{89ED9F38-7FC4-4905-8B2F-95B7CF74781D}"/>
    <cellStyle name="20% - Énfasis5 12 2 3" xfId="19733" xr:uid="{0B08CC0A-B9B2-490D-9737-DB88724A6559}"/>
    <cellStyle name="20% - Énfasis5 12 2 4" xfId="25514" xr:uid="{A49B7ABF-9283-4A1C-82AC-FA14D6196A8A}"/>
    <cellStyle name="20% - Énfasis5 12 2 5" xfId="31388" xr:uid="{CCBA8F81-396B-45E6-8F85-3748977B9A1C}"/>
    <cellStyle name="20% - Énfasis5 12 2 6" xfId="37260" xr:uid="{D12225E2-AB80-47D4-AFFF-FB7AA794EA5B}"/>
    <cellStyle name="20% - Énfasis5 12 3" xfId="7158" xr:uid="{4FC78C40-C185-4F74-B075-0CA78F5774C3}"/>
    <cellStyle name="20% - Énfasis5 12 3 2" xfId="21569" xr:uid="{DC579238-D0BD-4E2F-9D31-F60C835EAA83}"/>
    <cellStyle name="20% - Énfasis5 12 3 3" xfId="27392" xr:uid="{4CD0770D-C115-45B3-8557-6C8C2519A40C}"/>
    <cellStyle name="20% - Énfasis5 12 3 4" xfId="33274" xr:uid="{F9A2623F-359C-426B-9582-8EFDF8A5F09C}"/>
    <cellStyle name="20% - Énfasis5 12 3 5" xfId="39138" xr:uid="{D4BB8298-2E82-485C-9825-76A78AF17427}"/>
    <cellStyle name="20% - Énfasis5 12 4" xfId="18805" xr:uid="{73337716-7428-4FDA-817F-43D5E77D1CCA}"/>
    <cellStyle name="20% - Énfasis5 12 5" xfId="24543" xr:uid="{2E354BEC-C849-4258-B841-62E1402097A1}"/>
    <cellStyle name="20% - Énfasis5 12 6" xfId="30422" xr:uid="{B2CADFEB-76D1-45FE-8B1F-6EC421197414}"/>
    <cellStyle name="20% - Énfasis5 12 7" xfId="36303" xr:uid="{7578A10E-2F4D-4D2D-A860-6CD8268970E1}"/>
    <cellStyle name="20% - Énfasis5 13" xfId="4782" xr:uid="{9B0CBC53-EC58-4AED-A386-6C5288DA1D64}"/>
    <cellStyle name="20% - Énfasis5 13 2" xfId="7645" xr:uid="{A0AC3ECB-EA2A-47C8-AD1A-1B849F38C589}"/>
    <cellStyle name="20% - Énfasis5 13 2 2" xfId="22038" xr:uid="{261CC6DF-863A-452F-9058-D98167B462D1}"/>
    <cellStyle name="20% - Énfasis5 13 2 3" xfId="27879" xr:uid="{5959DD5B-EDE2-4685-8759-B22B645446CB}"/>
    <cellStyle name="20% - Énfasis5 13 2 4" xfId="33761" xr:uid="{5609572D-3AF3-4537-AC71-502780FD734F}"/>
    <cellStyle name="20% - Énfasis5 13 2 5" xfId="39625" xr:uid="{6532C086-0C89-4B99-95FF-2D303EE8FA23}"/>
    <cellStyle name="20% - Énfasis5 13 3" xfId="19264" xr:uid="{2E353DCD-1B72-4386-AB0B-B9F52C6CEDE9}"/>
    <cellStyle name="20% - Énfasis5 13 4" xfId="25030" xr:uid="{32B67FC6-FD08-476E-8599-DA21D8EF9CEE}"/>
    <cellStyle name="20% - Énfasis5 13 5" xfId="30904" xr:uid="{3764DEDD-5EBF-46D1-97E8-CC91F2BF4BE5}"/>
    <cellStyle name="20% - Énfasis5 13 6" xfId="36784" xr:uid="{3DFABC8C-0EFF-44DC-9BA7-CEC9E22EE45F}"/>
    <cellStyle name="20% - Énfasis5 14" xfId="5748" xr:uid="{18668FC3-323E-4F15-BFF9-6FFAB1889F85}"/>
    <cellStyle name="20% - Énfasis5 14 2" xfId="8617" xr:uid="{511F6264-112D-4351-A72C-7E3E05D32A6C}"/>
    <cellStyle name="20% - Énfasis5 14 2 2" xfId="22988" xr:uid="{37585776-D8EC-4D15-A452-F05FE7437A96}"/>
    <cellStyle name="20% - Énfasis5 14 2 3" xfId="28850" xr:uid="{5FB4FD2D-CE11-4FAC-93A7-15EC13A66EAF}"/>
    <cellStyle name="20% - Énfasis5 14 2 4" xfId="34732" xr:uid="{587DC8BC-B3AC-4F88-A0A8-1FA2BC320C87}"/>
    <cellStyle name="20% - Énfasis5 14 2 5" xfId="40596" xr:uid="{154D5E36-D53F-4BE6-A79F-5C52AD8E5A14}"/>
    <cellStyle name="20% - Énfasis5 14 3" xfId="20206" xr:uid="{2F102141-65E2-4386-9DD6-745EE55C87EB}"/>
    <cellStyle name="20% - Énfasis5 14 4" xfId="26000" xr:uid="{039914D3-1F04-4DF8-9D41-E1629B9162D1}"/>
    <cellStyle name="20% - Énfasis5 14 5" xfId="31875" xr:uid="{2F598CF2-FDA5-4FDB-A444-ADFDF0EBA347}"/>
    <cellStyle name="20% - Énfasis5 14 6" xfId="37741" xr:uid="{4BA1BFCC-FEB5-4ADE-9C52-C3D549CBF714}"/>
    <cellStyle name="20% - Énfasis5 15" xfId="5768" xr:uid="{FB56C5E1-3B73-4C88-8646-105D68881267}"/>
    <cellStyle name="20% - Énfasis5 15 2" xfId="8637" xr:uid="{65BA22DE-6F56-42D8-BBA0-73B2F430CD39}"/>
    <cellStyle name="20% - Énfasis5 15 2 2" xfId="23008" xr:uid="{2D125A7E-C6F6-45A5-92A4-E83A55BCF630}"/>
    <cellStyle name="20% - Énfasis5 15 2 3" xfId="28870" xr:uid="{7859E35B-7567-4B10-8B0A-0310B41558B5}"/>
    <cellStyle name="20% - Énfasis5 15 2 4" xfId="34752" xr:uid="{EAC0ABBB-EDB4-4A83-9CF6-6CAAA8E38260}"/>
    <cellStyle name="20% - Énfasis5 15 2 5" xfId="40616" xr:uid="{9B7657D1-49E1-4D8A-A01A-522BCA4F2406}"/>
    <cellStyle name="20% - Énfasis5 15 3" xfId="20225" xr:uid="{03DFA46A-DDBD-4D8E-9D16-DAFF81EBE646}"/>
    <cellStyle name="20% - Énfasis5 15 4" xfId="26020" xr:uid="{21A8DE0B-96D2-4E47-A318-4779661F8A4C}"/>
    <cellStyle name="20% - Énfasis5 15 5" xfId="31895" xr:uid="{513B3140-EE9D-4E50-9A86-479FC863467C}"/>
    <cellStyle name="20% - Énfasis5 15 6" xfId="37761" xr:uid="{B72495F4-6CF6-419F-A291-E61BB7EF651D}"/>
    <cellStyle name="20% - Énfasis5 16" xfId="5788" xr:uid="{48F674F4-58A3-40F0-8CB7-C82E1AB32898}"/>
    <cellStyle name="20% - Énfasis5 16 2" xfId="8657" xr:uid="{421E0F8C-4C61-4F90-8A3E-61D8E7784338}"/>
    <cellStyle name="20% - Énfasis5 16 2 2" xfId="23028" xr:uid="{15F6E7ED-87D4-40ED-9B6D-482AA97DBC46}"/>
    <cellStyle name="20% - Énfasis5 16 2 3" xfId="28890" xr:uid="{383FB668-32A2-408C-A1A9-248DE9FEB33C}"/>
    <cellStyle name="20% - Énfasis5 16 2 4" xfId="34772" xr:uid="{EA34D88D-9597-45BB-BE8C-79CE2F33488E}"/>
    <cellStyle name="20% - Énfasis5 16 2 5" xfId="40636" xr:uid="{29683533-79DE-4004-9E1B-D028B7FA324D}"/>
    <cellStyle name="20% - Énfasis5 16 3" xfId="20243" xr:uid="{E31688B1-B500-4409-9F78-B5F48B731EBB}"/>
    <cellStyle name="20% - Énfasis5 16 4" xfId="26040" xr:uid="{1B388DF4-C0C0-425C-9ED2-CA1916AF9FE2}"/>
    <cellStyle name="20% - Énfasis5 16 5" xfId="31915" xr:uid="{469A191A-1A70-4155-B181-D6B83F9E9255}"/>
    <cellStyle name="20% - Énfasis5 16 6" xfId="37781" xr:uid="{B12E24BE-F003-4515-9340-2BF632B17FB2}"/>
    <cellStyle name="20% - Énfasis5 17" xfId="5987" xr:uid="{C0DF39AA-CE25-4F5D-9179-B08174B175A4}"/>
    <cellStyle name="20% - Énfasis5 17 2" xfId="8856" xr:uid="{AFFBFC6D-C18F-46D7-A8A8-994073A0ED0C}"/>
    <cellStyle name="20% - Énfasis5 17 2 2" xfId="23220" xr:uid="{BB7E8F9A-6F24-4DCB-8E40-979636B8B7A2}"/>
    <cellStyle name="20% - Énfasis5 17 2 3" xfId="29087" xr:uid="{02BE21C3-981F-49BE-A7A5-4723DE2F1604}"/>
    <cellStyle name="20% - Énfasis5 17 2 4" xfId="34969" xr:uid="{04A33453-CD50-4434-B62B-186E4E47CB41}"/>
    <cellStyle name="20% - Énfasis5 17 2 5" xfId="40833" xr:uid="{8FEE484B-9BD8-48B0-B86A-C18B9F197007}"/>
    <cellStyle name="20% - Énfasis5 17 3" xfId="20435" xr:uid="{20B611F9-49CC-4DD7-8EA4-72EB3FA2C79A}"/>
    <cellStyle name="20% - Énfasis5 17 4" xfId="26237" xr:uid="{1520E5CB-BB93-48A6-A96E-DE3509F2D70D}"/>
    <cellStyle name="20% - Énfasis5 17 5" xfId="32112" xr:uid="{A707C584-D70C-4F86-A6CE-F882CC5E7524}"/>
    <cellStyle name="20% - Énfasis5 17 6" xfId="37977" xr:uid="{CD296A9D-FE92-4D06-A264-7A6D2B1B874C}"/>
    <cellStyle name="20% - Énfasis5 18" xfId="6007" xr:uid="{93DAF8A5-029A-4AC0-A636-69FDDEC95E4D}"/>
    <cellStyle name="20% - Énfasis5 18 2" xfId="8876" xr:uid="{0F2FA158-3319-4594-ABB3-F1CF1B6713CC}"/>
    <cellStyle name="20% - Énfasis5 18 2 2" xfId="23240" xr:uid="{41F1B381-840A-4D2E-9173-C257663E9CC8}"/>
    <cellStyle name="20% - Énfasis5 18 2 3" xfId="29107" xr:uid="{36F22F94-2AA3-4E02-B8C8-ACC37FC1F760}"/>
    <cellStyle name="20% - Énfasis5 18 2 4" xfId="34989" xr:uid="{C13773FE-8160-42E8-AD9C-BCFB637C9582}"/>
    <cellStyle name="20% - Énfasis5 18 2 5" xfId="40853" xr:uid="{1CC46775-4BB7-4036-883E-6C0ECC3C7AF8}"/>
    <cellStyle name="20% - Énfasis5 18 3" xfId="20455" xr:uid="{A6093F9A-7A74-4997-9BF1-B68A199B2A61}"/>
    <cellStyle name="20% - Énfasis5 18 4" xfId="26257" xr:uid="{974532AF-57CD-4FDF-8A4A-94A4365CAF2C}"/>
    <cellStyle name="20% - Énfasis5 18 5" xfId="32132" xr:uid="{BAFE1B13-9E9B-4D5F-A4C4-EDC0EC387966}"/>
    <cellStyle name="20% - Énfasis5 18 6" xfId="37997" xr:uid="{119EAFF2-3E1B-48B9-935A-98148E91C39C}"/>
    <cellStyle name="20% - Énfasis5 19" xfId="6027" xr:uid="{EDA09A5B-873E-400A-8FE6-0ADD073B9903}"/>
    <cellStyle name="20% - Énfasis5 19 2" xfId="8896" xr:uid="{28FF800D-CCC4-45D2-9FEF-1DA2CF0C24DB}"/>
    <cellStyle name="20% - Énfasis5 19 2 2" xfId="23260" xr:uid="{11DC8794-A7F6-4F63-B768-8036A4884B53}"/>
    <cellStyle name="20% - Énfasis5 19 2 3" xfId="29127" xr:uid="{E0716EB7-9ED2-4C52-8FC7-40A47550F709}"/>
    <cellStyle name="20% - Énfasis5 19 2 4" xfId="35009" xr:uid="{BF4CCCDD-09FE-4727-9358-1723F466A10E}"/>
    <cellStyle name="20% - Énfasis5 19 2 5" xfId="40873" xr:uid="{A694532D-591E-4E22-B771-308BAA6B7216}"/>
    <cellStyle name="20% - Énfasis5 19 3" xfId="20475" xr:uid="{A36D58D9-D52C-4CE7-B051-20B3CF2B7276}"/>
    <cellStyle name="20% - Énfasis5 19 4" xfId="26277" xr:uid="{73292E2E-DAF7-47C5-A8F9-BA6415B8CC89}"/>
    <cellStyle name="20% - Énfasis5 19 5" xfId="32152" xr:uid="{37C3CC95-C4A1-4BFE-BCEA-95660BE557B0}"/>
    <cellStyle name="20% - Énfasis5 19 6" xfId="38017" xr:uid="{3EACA51A-D866-4979-954F-69F607C69DA6}"/>
    <cellStyle name="20% - Énfasis5 2" xfId="3848" xr:uid="{7B05BF77-4A03-4C58-B9FD-6B428FA700E8}"/>
    <cellStyle name="20% - Énfasis5 2 10" xfId="35832" xr:uid="{C59F93AF-0795-4ECD-907A-74C445BCF3A8}"/>
    <cellStyle name="20% - Énfasis5 2 2" xfId="4047" xr:uid="{9CBC0F62-EB00-426C-AEEB-D0D88C1FA6C3}"/>
    <cellStyle name="20% - Énfasis5 2 2 2" xfId="4521" xr:uid="{62B49C7F-CB6B-4B80-89AB-9DC63DF23E11}"/>
    <cellStyle name="20% - Énfasis5 2 2 2 2" xfId="5489" xr:uid="{CE7087E2-C41D-443F-BC07-F043BF10834A}"/>
    <cellStyle name="20% - Énfasis5 2 2 2 2 2" xfId="8356" xr:uid="{D77A2B78-99B1-4BE5-A833-8F947BB70468}"/>
    <cellStyle name="20% - Énfasis5 2 2 2 2 2 2" xfId="22731" xr:uid="{9A603670-8C5F-442B-80E9-1ABA58A6574E}"/>
    <cellStyle name="20% - Énfasis5 2 2 2 2 2 3" xfId="28589" xr:uid="{6B8A8F78-FA0E-4923-A5AF-E7DFFA6CB919}"/>
    <cellStyle name="20% - Énfasis5 2 2 2 2 2 4" xfId="34471" xr:uid="{7C9C3F50-5238-45E3-9752-CD6D46A4E81D}"/>
    <cellStyle name="20% - Énfasis5 2 2 2 2 2 5" xfId="40335" xr:uid="{81CC3021-4ECD-46D4-ABD4-7251D0A01194}"/>
    <cellStyle name="20% - Énfasis5 2 2 2 2 3" xfId="19950" xr:uid="{C35A8991-A849-404B-B146-82C2A61A6591}"/>
    <cellStyle name="20% - Énfasis5 2 2 2 2 4" xfId="25740" xr:uid="{AA479085-EB1C-4EEE-BA26-F12D9BC69A31}"/>
    <cellStyle name="20% - Énfasis5 2 2 2 2 5" xfId="31614" xr:uid="{C04CA59B-AC9D-4C2C-8284-83B66C732A08}"/>
    <cellStyle name="20% - Énfasis5 2 2 2 2 6" xfId="37484" xr:uid="{4444FAC0-6087-4ACA-90A3-2306284B70BE}"/>
    <cellStyle name="20% - Énfasis5 2 2 2 3" xfId="7384" xr:uid="{3245ED13-A188-4F8F-B1A8-9CA13C8B42DC}"/>
    <cellStyle name="20% - Énfasis5 2 2 2 3 2" xfId="21786" xr:uid="{436D4057-61CE-4CC1-B030-4E1BBA9962BA}"/>
    <cellStyle name="20% - Énfasis5 2 2 2 3 3" xfId="27618" xr:uid="{10A4331E-EA95-4106-A47B-ED8AF2C02770}"/>
    <cellStyle name="20% - Énfasis5 2 2 2 3 4" xfId="33500" xr:uid="{57CC0699-A55A-4542-85B6-9CCAD8736F77}"/>
    <cellStyle name="20% - Énfasis5 2 2 2 3 5" xfId="39364" xr:uid="{7DE9F19C-460A-4DF6-9C5B-4B7CE4E8374E}"/>
    <cellStyle name="20% - Énfasis5 2 2 2 4" xfId="19020" xr:uid="{A66BAD8D-167C-4EDD-AB7C-98FBBEE8A7AD}"/>
    <cellStyle name="20% - Énfasis5 2 2 2 5" xfId="24769" xr:uid="{AFB17CE2-1A1D-4136-B303-69C832D438E2}"/>
    <cellStyle name="20% - Énfasis5 2 2 2 6" xfId="30646" xr:uid="{CEA6E5A0-5F6C-435C-91F4-DC5411948ADA}"/>
    <cellStyle name="20% - Énfasis5 2 2 2 7" xfId="36527" xr:uid="{D0787A70-39F6-4EA0-B9A1-3BEA6E239F0B}"/>
    <cellStyle name="20% - Énfasis5 2 2 3" xfId="5004" xr:uid="{DA07FCD5-776A-4FE5-9366-34264C29C9FB}"/>
    <cellStyle name="20% - Énfasis5 2 2 3 2" xfId="7871" xr:uid="{4FF336BE-B425-409E-9C5C-0A77C3CFF0DC}"/>
    <cellStyle name="20% - Énfasis5 2 2 3 2 2" xfId="22256" xr:uid="{E4B12E2A-4382-44D9-81F9-0B59289731FB}"/>
    <cellStyle name="20% - Énfasis5 2 2 3 2 3" xfId="28104" xr:uid="{5848DF98-84FE-49C9-A982-2684B506D5B6}"/>
    <cellStyle name="20% - Énfasis5 2 2 3 2 4" xfId="33986" xr:uid="{AB44C1EE-5CA1-49EC-A821-971CB5DB7AE7}"/>
    <cellStyle name="20% - Énfasis5 2 2 3 2 5" xfId="39850" xr:uid="{B8EE1EE9-3EBA-4ECF-B485-8FCAC3D35651}"/>
    <cellStyle name="20% - Énfasis5 2 2 3 3" xfId="19483" xr:uid="{AE2F4FF7-59C3-4C54-9793-0F381E8C4BF3}"/>
    <cellStyle name="20% - Énfasis5 2 2 3 4" xfId="25255" xr:uid="{EFADF91C-CD9F-41C6-8447-233F2EF0F176}"/>
    <cellStyle name="20% - Énfasis5 2 2 3 5" xfId="31129" xr:uid="{ED921712-805C-412A-880D-1C2951212896}"/>
    <cellStyle name="20% - Énfasis5 2 2 3 6" xfId="37007" xr:uid="{4D47FD55-0848-4FE6-91A4-CAA0B4965628}"/>
    <cellStyle name="20% - Énfasis5 2 2 4" xfId="6899" xr:uid="{638B9B05-4F63-4E98-AB54-4215C13598F2}"/>
    <cellStyle name="20% - Énfasis5 2 2 4 2" xfId="21320" xr:uid="{2CF8D720-3C0A-495A-9B43-A48715676564}"/>
    <cellStyle name="20% - Énfasis5 2 2 4 3" xfId="27137" xr:uid="{058CF40E-E644-442A-8DC5-EF905280DDD4}"/>
    <cellStyle name="20% - Énfasis5 2 2 4 4" xfId="33015" xr:uid="{35ECE76B-E60B-4CAA-A27E-58D4A056CAB2}"/>
    <cellStyle name="20% - Énfasis5 2 2 4 5" xfId="38879" xr:uid="{36ED9B60-BAFB-4BFA-BBCC-A80345A300F0}"/>
    <cellStyle name="20% - Énfasis5 2 2 5" xfId="18574" xr:uid="{EA0E6FC7-B3F2-41D5-9D0D-31E7B3210D88}"/>
    <cellStyle name="20% - Énfasis5 2 2 6" xfId="24286" xr:uid="{832C645C-AB5C-486C-8840-1F60DABF44CA}"/>
    <cellStyle name="20% - Énfasis5 2 2 7" xfId="30164" xr:uid="{3EB84492-217C-41F4-8BDB-398892F50003}"/>
    <cellStyle name="20% - Énfasis5 2 2 8" xfId="36043" xr:uid="{5B45158B-51CF-425D-8D72-5D51005D2AA3}"/>
    <cellStyle name="20% - Énfasis5 2 3" xfId="4327" xr:uid="{7769A0AC-5164-4069-BB51-C2AD6D63BD23}"/>
    <cellStyle name="20% - Énfasis5 2 3 2" xfId="5293" xr:uid="{549184ED-963B-48BB-83D9-6DB56197B86A}"/>
    <cellStyle name="20% - Énfasis5 2 3 2 2" xfId="8160" xr:uid="{CEB64F84-68EC-4F93-A1EE-25A854E92E03}"/>
    <cellStyle name="20% - Énfasis5 2 3 2 2 2" xfId="22536" xr:uid="{EE3024F0-3A42-429F-AD65-C221BCE40549}"/>
    <cellStyle name="20% - Énfasis5 2 3 2 2 3" xfId="28393" xr:uid="{102C8C0C-8A1C-4440-8C70-086E4C1E92D3}"/>
    <cellStyle name="20% - Énfasis5 2 3 2 2 4" xfId="34275" xr:uid="{8884C122-AE98-44B3-92AF-61983BC6EF68}"/>
    <cellStyle name="20% - Énfasis5 2 3 2 2 5" xfId="40139" xr:uid="{07196526-3AAF-414D-98A5-0375B944DE83}"/>
    <cellStyle name="20% - Énfasis5 2 3 2 3" xfId="19761" xr:uid="{48487D7F-8EE7-4ACD-8E63-E2602F4576D8}"/>
    <cellStyle name="20% - Énfasis5 2 3 2 4" xfId="25544" xr:uid="{B7C1CA27-8D5C-401B-BEB9-EC7598DD1885}"/>
    <cellStyle name="20% - Énfasis5 2 3 2 5" xfId="31418" xr:uid="{81059ABB-CB22-40A5-ADE8-E5E40DD0ECD3}"/>
    <cellStyle name="20% - Énfasis5 2 3 2 6" xfId="37289" xr:uid="{DADE1CEC-128D-4095-AAF5-1085C4E2F323}"/>
    <cellStyle name="20% - Énfasis5 2 3 3" xfId="7188" xr:uid="{D4D3839B-EE2D-4E8C-A961-57A4B845C441}"/>
    <cellStyle name="20% - Énfasis5 2 3 3 2" xfId="21595" xr:uid="{67416734-8CC5-44FA-98A2-3A586FD34706}"/>
    <cellStyle name="20% - Énfasis5 2 3 3 3" xfId="27422" xr:uid="{26811596-CC92-4E54-8939-9914E4B6EB31}"/>
    <cellStyle name="20% - Énfasis5 2 3 3 4" xfId="33304" xr:uid="{003AC7C0-3355-4DC8-B894-06B6F66BF946}"/>
    <cellStyle name="20% - Énfasis5 2 3 3 5" xfId="39168" xr:uid="{498CD97A-498A-4CEE-9274-17E716F45853}"/>
    <cellStyle name="20% - Énfasis5 2 3 4" xfId="18832" xr:uid="{D8655A1D-0CD7-4E04-9C27-1B5A74BC036F}"/>
    <cellStyle name="20% - Énfasis5 2 3 5" xfId="24573" xr:uid="{F13552E6-B851-4C91-A199-7721135583B3}"/>
    <cellStyle name="20% - Énfasis5 2 3 6" xfId="30452" xr:uid="{9E14B722-9337-4DCB-99F9-B2AA1BC8FE67}"/>
    <cellStyle name="20% - Énfasis5 2 3 7" xfId="36332" xr:uid="{CBC313C0-5283-4188-8113-7202B31E39E1}"/>
    <cellStyle name="20% - Énfasis5 2 4" xfId="4812" xr:uid="{96C5A94C-8218-4DE5-9FA1-5848137404AD}"/>
    <cellStyle name="20% - Énfasis5 2 4 2" xfId="7675" xr:uid="{0B49F4BA-86A8-49C3-A233-6C1AE57BAE0A}"/>
    <cellStyle name="20% - Énfasis5 2 4 2 2" xfId="22066" xr:uid="{2B8250A5-7E81-4B8D-8562-73EA507071AF}"/>
    <cellStyle name="20% - Énfasis5 2 4 2 3" xfId="27908" xr:uid="{A484B8EC-C96C-4E39-9F17-220AD8C227E1}"/>
    <cellStyle name="20% - Énfasis5 2 4 2 4" xfId="33790" xr:uid="{B32FDEAF-A058-4AC9-8985-1F3C2FF20722}"/>
    <cellStyle name="20% - Énfasis5 2 4 2 5" xfId="39654" xr:uid="{8384EAC7-F3EB-469F-A4D6-013F3AFC76F5}"/>
    <cellStyle name="20% - Énfasis5 2 4 3" xfId="19291" xr:uid="{74343448-DB65-43CF-AE9F-3DA32EA98389}"/>
    <cellStyle name="20% - Énfasis5 2 4 4" xfId="25059" xr:uid="{C5BB54F9-AD42-4C79-9E83-7FBA80755131}"/>
    <cellStyle name="20% - Énfasis5 2 4 5" xfId="30933" xr:uid="{88063383-5308-43D8-9586-A2A11592E874}"/>
    <cellStyle name="20% - Énfasis5 2 4 6" xfId="36812" xr:uid="{813D0F81-F291-415D-8538-8F4970FFFE36}"/>
    <cellStyle name="20% - Énfasis5 2 5" xfId="5818" xr:uid="{5302BC59-83CD-4DC8-8527-A46846A32993}"/>
    <cellStyle name="20% - Énfasis5 2 5 2" xfId="8687" xr:uid="{5382FE61-718F-49D0-AA21-BD448A385E5C}"/>
    <cellStyle name="20% - Énfasis5 2 5 2 2" xfId="23055" xr:uid="{58ACF206-0DBD-47D5-A9DE-F0DC68D3C4F4}"/>
    <cellStyle name="20% - Énfasis5 2 5 2 3" xfId="28919" xr:uid="{77DC46DD-44E6-4B3E-A517-89CFC3550A92}"/>
    <cellStyle name="20% - Énfasis5 2 5 2 4" xfId="34801" xr:uid="{F01D466A-7A66-45A5-AA2F-2417372E1FA7}"/>
    <cellStyle name="20% - Énfasis5 2 5 2 5" xfId="40665" xr:uid="{FE35A455-317F-48E3-8CF0-1AC2C9499AAB}"/>
    <cellStyle name="20% - Énfasis5 2 5 3" xfId="20270" xr:uid="{4C56DE48-4475-4E27-99B4-99CE8361DCD9}"/>
    <cellStyle name="20% - Énfasis5 2 5 4" xfId="26069" xr:uid="{B651FCBC-55B8-4C30-B9B2-C2DAB574543E}"/>
    <cellStyle name="20% - Énfasis5 2 5 5" xfId="31944" xr:uid="{6FDF6D9D-14FE-4439-AED2-0D063B714D5F}"/>
    <cellStyle name="20% - Énfasis5 2 5 6" xfId="37810" xr:uid="{476E68EA-D3FB-4714-9574-89D30E99AF21}"/>
    <cellStyle name="20% - Énfasis5 2 6" xfId="6704" xr:uid="{873A8FEC-C18B-4145-A5DF-C625F7E94224}"/>
    <cellStyle name="20% - Énfasis5 2 6 2" xfId="21131" xr:uid="{678AD428-BFAB-4834-8CE5-E75B8A4AFF96}"/>
    <cellStyle name="20% - Énfasis5 2 6 3" xfId="26943" xr:uid="{9359E38C-2B4C-4F58-8281-9794C2949182}"/>
    <cellStyle name="20% - Énfasis5 2 6 4" xfId="32819" xr:uid="{560C3B31-4F61-4D56-8444-BC0701F34F98}"/>
    <cellStyle name="20% - Énfasis5 2 6 5" xfId="38683" xr:uid="{0393BB8E-9D58-41B6-A671-74D16EADE99F}"/>
    <cellStyle name="20% - Énfasis5 2 7" xfId="18365" xr:uid="{20289E58-022F-4953-8698-E4CE3A0B403B}"/>
    <cellStyle name="20% - Énfasis5 2 8" xfId="24073" xr:uid="{28539750-E856-4382-9338-5118D92B0078}"/>
    <cellStyle name="20% - Énfasis5 2 9" xfId="29951" xr:uid="{CEF35744-1FE5-4722-904E-2112B4135DEC}"/>
    <cellStyle name="20% - Énfasis5 20" xfId="6047" xr:uid="{EBE3C32E-647D-43FD-9F1B-67A2B018EF84}"/>
    <cellStyle name="20% - Énfasis5 20 2" xfId="8916" xr:uid="{478CFD4F-654E-49CC-BAC2-F45E39197D3E}"/>
    <cellStyle name="20% - Énfasis5 20 2 2" xfId="23280" xr:uid="{5B38D3EC-8386-4C99-802F-30C7325A6BD7}"/>
    <cellStyle name="20% - Énfasis5 20 2 3" xfId="29147" xr:uid="{CE59EEB8-0AC7-4474-9734-CD4FC4BEA79D}"/>
    <cellStyle name="20% - Énfasis5 20 2 4" xfId="35029" xr:uid="{B1C9BABB-9E41-4CC6-9186-0B4170D653DC}"/>
    <cellStyle name="20% - Énfasis5 20 2 5" xfId="40893" xr:uid="{9216A22B-F126-4CFE-94D9-758213AC0C01}"/>
    <cellStyle name="20% - Énfasis5 20 3" xfId="20495" xr:uid="{C8F8022A-4C35-40C4-9D91-B7E548FF6985}"/>
    <cellStyle name="20% - Énfasis5 20 4" xfId="26297" xr:uid="{6D0CA764-2936-40AB-A11B-6BDE11F0A079}"/>
    <cellStyle name="20% - Énfasis5 20 5" xfId="32172" xr:uid="{DF8C477A-A5EE-4B71-BBFB-912A4F1F62F6}"/>
    <cellStyle name="20% - Énfasis5 20 6" xfId="38037" xr:uid="{BE649678-168C-4D46-8792-C3561B269EB2}"/>
    <cellStyle name="20% - Énfasis5 21" xfId="6067" xr:uid="{191DAAA3-5829-48AF-802C-9237D01B03BE}"/>
    <cellStyle name="20% - Énfasis5 21 2" xfId="8936" xr:uid="{F765A862-CD35-44F1-910F-2935C25AB313}"/>
    <cellStyle name="20% - Énfasis5 21 2 2" xfId="23300" xr:uid="{B72F4A3E-A202-49BB-B990-7B982DC4F250}"/>
    <cellStyle name="20% - Énfasis5 21 2 3" xfId="29167" xr:uid="{1ED64804-F6F5-4428-B5FB-CD7C0935D0F3}"/>
    <cellStyle name="20% - Énfasis5 21 2 4" xfId="35049" xr:uid="{B1D61F4E-C8C1-4F21-A98C-54D5A64EF22C}"/>
    <cellStyle name="20% - Énfasis5 21 2 5" xfId="40913" xr:uid="{921717AA-CF01-4F91-8165-018BD08BA1FB}"/>
    <cellStyle name="20% - Énfasis5 21 3" xfId="20515" xr:uid="{E87D43CC-B1A7-4FB7-9839-DD4FFD552D1A}"/>
    <cellStyle name="20% - Énfasis5 21 4" xfId="26317" xr:uid="{07D1175F-A19A-4DA1-8868-01CB7A3AB602}"/>
    <cellStyle name="20% - Énfasis5 21 5" xfId="32192" xr:uid="{95574E60-D426-4065-A182-972413E97568}"/>
    <cellStyle name="20% - Énfasis5 21 6" xfId="38057" xr:uid="{587E7D30-7678-4DB0-A472-45852A1E513E}"/>
    <cellStyle name="20% - Énfasis5 22" xfId="6087" xr:uid="{325436CD-459D-4440-A5F1-1B06B14C6523}"/>
    <cellStyle name="20% - Énfasis5 22 2" xfId="8956" xr:uid="{C6940E2D-9365-452C-BBB9-372C488E676D}"/>
    <cellStyle name="20% - Énfasis5 22 2 2" xfId="23320" xr:uid="{192F4753-BD47-4B30-A523-EE526A66044A}"/>
    <cellStyle name="20% - Énfasis5 22 2 3" xfId="29187" xr:uid="{28413385-0EA9-463B-B3E5-53A720C43D65}"/>
    <cellStyle name="20% - Énfasis5 22 2 4" xfId="35069" xr:uid="{C2E32E84-FB8C-4C33-A230-24124EB9A9A1}"/>
    <cellStyle name="20% - Énfasis5 22 2 5" xfId="40933" xr:uid="{BA79C199-CA63-49F0-AB4D-CD48A689C0E6}"/>
    <cellStyle name="20% - Énfasis5 22 3" xfId="20535" xr:uid="{4FC1F157-D988-415F-A3DB-546EAFA83E2F}"/>
    <cellStyle name="20% - Énfasis5 22 4" xfId="26337" xr:uid="{88D91085-3B2A-4C66-9C05-F98FFD99B99C}"/>
    <cellStyle name="20% - Énfasis5 22 5" xfId="32212" xr:uid="{BA368645-C49A-4D78-8FF0-DE69789F56F3}"/>
    <cellStyle name="20% - Énfasis5 22 6" xfId="38077" xr:uid="{8C188564-4FEA-4DF5-9B25-DAB4DE21C393}"/>
    <cellStyle name="20% - Énfasis5 23" xfId="6107" xr:uid="{A52DFB79-A153-4782-815A-F959B9DEEFC1}"/>
    <cellStyle name="20% - Énfasis5 23 2" xfId="8976" xr:uid="{BC988C2E-E75A-4F78-9243-2BF3CAB5C603}"/>
    <cellStyle name="20% - Énfasis5 23 2 2" xfId="23340" xr:uid="{77B48BC1-2049-49AF-A3E0-6D2646D1BCF2}"/>
    <cellStyle name="20% - Énfasis5 23 2 3" xfId="29207" xr:uid="{2588BD89-A218-4932-BD86-833CE79C4C5A}"/>
    <cellStyle name="20% - Énfasis5 23 2 4" xfId="35089" xr:uid="{59BAA3A6-1023-4EEF-BA9F-6FB4DE8E7CF9}"/>
    <cellStyle name="20% - Énfasis5 23 2 5" xfId="40953" xr:uid="{8A67545C-2223-49B5-AB28-2D703D826CAE}"/>
    <cellStyle name="20% - Énfasis5 23 3" xfId="20555" xr:uid="{815D488B-E945-43B5-AD98-7EE72EE2D6A6}"/>
    <cellStyle name="20% - Énfasis5 23 4" xfId="26357" xr:uid="{79865974-9946-4FBF-AA4A-18AC9105E94B}"/>
    <cellStyle name="20% - Énfasis5 23 5" xfId="32232" xr:uid="{E9745DBB-95B9-4D1B-BD0C-1B1ACC702289}"/>
    <cellStyle name="20% - Énfasis5 23 6" xfId="38097" xr:uid="{66A9F5E8-DAB4-4CC2-9207-657B443CF883}"/>
    <cellStyle name="20% - Énfasis5 24" xfId="6127" xr:uid="{7D6A2112-77BB-4146-978C-8C365F28D836}"/>
    <cellStyle name="20% - Énfasis5 24 2" xfId="8996" xr:uid="{A1D7C6E5-F6FA-4A81-82EF-F0E65FFCA627}"/>
    <cellStyle name="20% - Énfasis5 24 2 2" xfId="23360" xr:uid="{DD15DDBA-81B0-4CBF-A3B7-3E1093629927}"/>
    <cellStyle name="20% - Énfasis5 24 2 3" xfId="29227" xr:uid="{DBCE9739-2CAF-4A61-90CF-BD8955DD55D1}"/>
    <cellStyle name="20% - Énfasis5 24 2 4" xfId="35109" xr:uid="{06EECC4F-BC5A-4F7B-B435-C5C1F60D74C9}"/>
    <cellStyle name="20% - Énfasis5 24 2 5" xfId="40973" xr:uid="{A8214B76-CE4C-4F0D-A1B2-F665AEE36DC3}"/>
    <cellStyle name="20% - Énfasis5 24 3" xfId="20575" xr:uid="{AF45D677-A975-4803-8844-317B45344A2C}"/>
    <cellStyle name="20% - Énfasis5 24 4" xfId="26377" xr:uid="{8A751BA2-A02B-4D7C-BA37-EBAA76B63347}"/>
    <cellStyle name="20% - Énfasis5 24 5" xfId="32252" xr:uid="{8642C688-2BB0-4CA4-8DE8-08124A30DE16}"/>
    <cellStyle name="20% - Énfasis5 24 6" xfId="38117" xr:uid="{CD558FC0-52AE-407F-814E-57E8BED25BCC}"/>
    <cellStyle name="20% - Énfasis5 25" xfId="6147" xr:uid="{006EAC54-8AF8-46C5-85FF-A3A8B6688B2A}"/>
    <cellStyle name="20% - Énfasis5 25 2" xfId="9016" xr:uid="{50134BD4-CBC9-46E8-8EB2-AFBFCEDF4DC9}"/>
    <cellStyle name="20% - Énfasis5 25 2 2" xfId="23380" xr:uid="{D5B7C53C-80F4-4735-98D8-62656F5C30D0}"/>
    <cellStyle name="20% - Énfasis5 25 2 3" xfId="29247" xr:uid="{D03DAC83-191B-4296-83EB-AE2870D4AC50}"/>
    <cellStyle name="20% - Énfasis5 25 2 4" xfId="35129" xr:uid="{57062CD2-EE5B-4A59-9064-39616BF8FF20}"/>
    <cellStyle name="20% - Énfasis5 25 2 5" xfId="40992" xr:uid="{5E0834C7-8181-409E-AA21-1C2F71B317C4}"/>
    <cellStyle name="20% - Énfasis5 25 3" xfId="20595" xr:uid="{E5249C52-5D87-43DF-AAE8-E91280DC854E}"/>
    <cellStyle name="20% - Énfasis5 25 4" xfId="26397" xr:uid="{8E393BCF-205C-408A-9911-C846D1FC3B18}"/>
    <cellStyle name="20% - Énfasis5 25 5" xfId="32272" xr:uid="{216A462C-F70F-4644-A879-6BEEF4B7AA8C}"/>
    <cellStyle name="20% - Énfasis5 25 6" xfId="38137" xr:uid="{F93CFAA7-E1B1-45E7-86F6-72B01FC34ED9}"/>
    <cellStyle name="20% - Énfasis5 26" xfId="6167" xr:uid="{DCC57087-ECFE-451C-8A93-790D2BCC807A}"/>
    <cellStyle name="20% - Énfasis5 26 2" xfId="9036" xr:uid="{91FB7E16-3A8C-4BFB-B3A1-FBFF7B9EE6B2}"/>
    <cellStyle name="20% - Énfasis5 26 2 2" xfId="23400" xr:uid="{0DD85A70-B5C6-4229-9895-799A1E849FE9}"/>
    <cellStyle name="20% - Énfasis5 26 2 3" xfId="29267" xr:uid="{A3505B62-C603-4E10-96AC-EE1925B979C6}"/>
    <cellStyle name="20% - Énfasis5 26 2 4" xfId="35149" xr:uid="{86D79814-206E-4AB4-9C32-C968409462D6}"/>
    <cellStyle name="20% - Énfasis5 26 2 5" xfId="41011" xr:uid="{32BCA7FA-72D5-487C-A0F2-45BDE4182C1B}"/>
    <cellStyle name="20% - Énfasis5 26 3" xfId="20615" xr:uid="{EF110579-570F-46F6-A129-D0ADBEE8772F}"/>
    <cellStyle name="20% - Énfasis5 26 4" xfId="26417" xr:uid="{FDA2886C-C441-4CAF-AA3B-12BE7D5BDCA0}"/>
    <cellStyle name="20% - Énfasis5 26 5" xfId="32292" xr:uid="{95DCB7D3-2583-4571-A13A-1D1DC5B4779F}"/>
    <cellStyle name="20% - Énfasis5 26 6" xfId="38157" xr:uid="{A74B1C13-AE57-483F-B3FE-1A885FDB358D}"/>
    <cellStyle name="20% - Énfasis5 27" xfId="6187" xr:uid="{116564C3-30A0-43DF-A579-4879F9B32061}"/>
    <cellStyle name="20% - Énfasis5 27 2" xfId="9056" xr:uid="{894B155A-2189-4220-9E29-B0D081430AC0}"/>
    <cellStyle name="20% - Énfasis5 27 2 2" xfId="23420" xr:uid="{A627512E-EFD3-49AE-A60C-9497DBEEB4A1}"/>
    <cellStyle name="20% - Énfasis5 27 2 3" xfId="29287" xr:uid="{44A80841-837F-42C8-8BB1-09CD21DB42BD}"/>
    <cellStyle name="20% - Énfasis5 27 2 4" xfId="35169" xr:uid="{2DF41AD7-B29D-480B-AA14-384177DAB4C9}"/>
    <cellStyle name="20% - Énfasis5 27 2 5" xfId="41031" xr:uid="{4A195357-ED46-424A-B417-DF687A2D15BC}"/>
    <cellStyle name="20% - Énfasis5 27 3" xfId="20635" xr:uid="{4EB65B70-70F7-4A35-B4FE-28D0AF43610D}"/>
    <cellStyle name="20% - Énfasis5 27 4" xfId="26437" xr:uid="{FBE18631-9C0F-46FE-8D3C-A944BF861A4B}"/>
    <cellStyle name="20% - Énfasis5 27 5" xfId="32312" xr:uid="{7623D628-9DD4-421F-A327-0BB70C7C4384}"/>
    <cellStyle name="20% - Énfasis5 27 6" xfId="38177" xr:uid="{29EB746B-C05B-4494-B1E4-6A0B28B57455}"/>
    <cellStyle name="20% - Énfasis5 28" xfId="6209" xr:uid="{524E9245-E7D4-479D-A7C0-DF51754DDE4B}"/>
    <cellStyle name="20% - Énfasis5 28 2" xfId="9078" xr:uid="{151BD70F-A247-41AD-AEA1-8C79249F2936}"/>
    <cellStyle name="20% - Énfasis5 28 2 2" xfId="23442" xr:uid="{64863724-4D3B-4D85-84BC-F0A51F96863D}"/>
    <cellStyle name="20% - Énfasis5 28 2 3" xfId="29309" xr:uid="{754596B3-6D91-4E45-8AED-CC0AD62A3B57}"/>
    <cellStyle name="20% - Énfasis5 28 2 4" xfId="35191" xr:uid="{C66FCC96-CDBF-417C-AF7E-8553FC42538F}"/>
    <cellStyle name="20% - Énfasis5 28 2 5" xfId="41052" xr:uid="{FDF765FA-354A-40C2-B3C6-F64BF621C3C2}"/>
    <cellStyle name="20% - Énfasis5 28 3" xfId="20657" xr:uid="{5DBF2641-37D1-47C3-90BE-D1BBCE2E8E15}"/>
    <cellStyle name="20% - Énfasis5 28 4" xfId="26459" xr:uid="{AEA16494-32DB-4A40-A960-1D669ED78222}"/>
    <cellStyle name="20% - Énfasis5 28 5" xfId="32334" xr:uid="{23773208-00A1-4E42-978C-94E6AF51382F}"/>
    <cellStyle name="20% - Énfasis5 28 6" xfId="38199" xr:uid="{BF807964-8C19-4E92-9297-C7812B36F189}"/>
    <cellStyle name="20% - Énfasis5 29" xfId="6246" xr:uid="{7435D0FB-E701-4722-BE0B-7FDEDC2A711A}"/>
    <cellStyle name="20% - Énfasis5 29 2" xfId="9115" xr:uid="{B58339ED-921F-4AAE-AEBC-16EC9E1D7844}"/>
    <cellStyle name="20% - Énfasis5 29 2 2" xfId="23479" xr:uid="{BD192016-C9D7-4962-AAF8-F8D64DC6314B}"/>
    <cellStyle name="20% - Énfasis5 29 2 3" xfId="29346" xr:uid="{0D92F2D3-F547-48E3-82B1-F661BE5DB8D6}"/>
    <cellStyle name="20% - Énfasis5 29 2 4" xfId="35228" xr:uid="{DAB4E74E-0330-4533-B843-DB38935E20FB}"/>
    <cellStyle name="20% - Énfasis5 29 2 5" xfId="41088" xr:uid="{00FB9E12-1B5C-487C-9865-4DF1D8AE9427}"/>
    <cellStyle name="20% - Énfasis5 29 3" xfId="20687" xr:uid="{0B2FFC74-5A86-4750-86AF-491138E401EB}"/>
    <cellStyle name="20% - Énfasis5 29 4" xfId="26496" xr:uid="{4B603877-AEDD-4932-A3B4-EB56599E4221}"/>
    <cellStyle name="20% - Énfasis5 29 5" xfId="32371" xr:uid="{37F3B5CA-E654-4485-8AB6-ADEC6C17F70A}"/>
    <cellStyle name="20% - Énfasis5 29 6" xfId="38236" xr:uid="{E6F4D3E7-6B97-4AE8-93A3-29EA2CB38A1A}"/>
    <cellStyle name="20% - Énfasis5 3" xfId="3869" xr:uid="{F171A7B9-9C1B-4A07-A6E3-ED1E8179459D}"/>
    <cellStyle name="20% - Énfasis5 3 10" xfId="35859" xr:uid="{95155E72-ECFB-4C73-8EC5-431941334DB0}"/>
    <cellStyle name="20% - Énfasis5 3 2" xfId="4068" xr:uid="{13D6B13E-CBAE-4167-BA9E-55853427ACC2}"/>
    <cellStyle name="20% - Énfasis5 3 2 2" xfId="4546" xr:uid="{34DF169E-9F3F-43CF-824C-96C63088F716}"/>
    <cellStyle name="20% - Énfasis5 3 2 2 2" xfId="5514" xr:uid="{F425C379-CC79-444A-9E3A-2614882DD057}"/>
    <cellStyle name="20% - Énfasis5 3 2 2 2 2" xfId="8381" xr:uid="{77998A3A-6FF5-4960-BD06-263DDF8B212C}"/>
    <cellStyle name="20% - Énfasis5 3 2 2 2 2 2" xfId="22756" xr:uid="{BF471532-37A1-49D2-8751-739DBA89E40A}"/>
    <cellStyle name="20% - Énfasis5 3 2 2 2 2 3" xfId="28614" xr:uid="{C54A5FA5-B154-4493-9F47-D5634CDA1534}"/>
    <cellStyle name="20% - Énfasis5 3 2 2 2 2 4" xfId="34496" xr:uid="{0244CAE0-F3DA-4E72-A3DE-1EFE31293A27}"/>
    <cellStyle name="20% - Énfasis5 3 2 2 2 2 5" xfId="40360" xr:uid="{8A912527-C189-4354-9294-362557209465}"/>
    <cellStyle name="20% - Énfasis5 3 2 2 2 3" xfId="19974" xr:uid="{BE7E5B69-7448-4E4C-9A26-857CDCCF10A3}"/>
    <cellStyle name="20% - Énfasis5 3 2 2 2 4" xfId="25765" xr:uid="{6B95B55E-DDB8-4419-87B7-B06450696E8D}"/>
    <cellStyle name="20% - Énfasis5 3 2 2 2 5" xfId="31639" xr:uid="{FC9C2705-E533-4C79-AD6D-7627C61F515F}"/>
    <cellStyle name="20% - Énfasis5 3 2 2 2 6" xfId="37509" xr:uid="{5BD0DABD-49E2-4795-A138-F6D2197C5E12}"/>
    <cellStyle name="20% - Énfasis5 3 2 2 3" xfId="7409" xr:uid="{08BA763C-6118-440C-AA5E-58B3D33043E7}"/>
    <cellStyle name="20% - Énfasis5 3 2 2 3 2" xfId="21811" xr:uid="{767A491D-B104-4650-8546-9990DF62C952}"/>
    <cellStyle name="20% - Énfasis5 3 2 2 3 3" xfId="27643" xr:uid="{303B20E7-F216-409E-A81E-0E421B8C1A81}"/>
    <cellStyle name="20% - Énfasis5 3 2 2 3 4" xfId="33525" xr:uid="{F6CA9F16-B0C3-4B62-B7D1-3FE0E0EF491E}"/>
    <cellStyle name="20% - Énfasis5 3 2 2 3 5" xfId="39389" xr:uid="{AB9953CE-41F1-41C5-821F-DC76076EE953}"/>
    <cellStyle name="20% - Énfasis5 3 2 2 4" xfId="19042" xr:uid="{7C0B55A0-90CD-43EC-8497-FFD13DB11298}"/>
    <cellStyle name="20% - Énfasis5 3 2 2 5" xfId="24794" xr:uid="{FF342F6B-358D-4BFF-99B7-8094E9531552}"/>
    <cellStyle name="20% - Énfasis5 3 2 2 6" xfId="30671" xr:uid="{3ED77255-5A63-41EC-83D7-4231C3F11572}"/>
    <cellStyle name="20% - Énfasis5 3 2 2 7" xfId="36552" xr:uid="{3EBDEDCB-1C23-4C85-A3B8-BFF268FB95CE}"/>
    <cellStyle name="20% - Énfasis5 3 2 3" xfId="5029" xr:uid="{A539D067-41B4-4566-ADEC-565F326CF041}"/>
    <cellStyle name="20% - Énfasis5 3 2 3 2" xfId="7896" xr:uid="{2119E73E-0CE7-4023-9856-BD958D658603}"/>
    <cellStyle name="20% - Énfasis5 3 2 3 2 2" xfId="22281" xr:uid="{42DD728E-97A1-4BE2-8646-7C5B4E103B61}"/>
    <cellStyle name="20% - Énfasis5 3 2 3 2 3" xfId="28129" xr:uid="{F47AFF0B-2B68-4259-AC2B-3FD189B5E038}"/>
    <cellStyle name="20% - Énfasis5 3 2 3 2 4" xfId="34011" xr:uid="{8732425F-F48B-4836-82DB-5E44C4647FBE}"/>
    <cellStyle name="20% - Énfasis5 3 2 3 2 5" xfId="39875" xr:uid="{0E8E2381-63C8-44B0-BD14-F6ED81AFE0D6}"/>
    <cellStyle name="20% - Énfasis5 3 2 3 3" xfId="19507" xr:uid="{B0D31660-F743-4A33-87B2-9CE8C19EAA79}"/>
    <cellStyle name="20% - Énfasis5 3 2 3 4" xfId="25280" xr:uid="{902A97DA-081C-4FA5-874E-1F43A1B7B7AD}"/>
    <cellStyle name="20% - Énfasis5 3 2 3 5" xfId="31154" xr:uid="{401C63CA-ED66-4AB1-AD78-D71BEE3CDA9F}"/>
    <cellStyle name="20% - Énfasis5 3 2 3 6" xfId="37032" xr:uid="{86887E1D-0157-4861-82E6-126315ED50D7}"/>
    <cellStyle name="20% - Énfasis5 3 2 4" xfId="6924" xr:uid="{ADB513E1-5171-4307-860D-B5F5D91CB5EA}"/>
    <cellStyle name="20% - Énfasis5 3 2 4 2" xfId="21344" xr:uid="{15BEE66A-412B-4CB3-9496-4ECE9536008E}"/>
    <cellStyle name="20% - Énfasis5 3 2 4 3" xfId="27162" xr:uid="{3424728C-3412-41F2-B0BE-4C9D0392E015}"/>
    <cellStyle name="20% - Énfasis5 3 2 4 4" xfId="33040" xr:uid="{D5658729-F8BC-434A-836F-6D8D89F9C35B}"/>
    <cellStyle name="20% - Énfasis5 3 2 4 5" xfId="38904" xr:uid="{C3559D5A-B631-4246-BD5E-65216B0AC43C}"/>
    <cellStyle name="20% - Énfasis5 3 2 5" xfId="18599" xr:uid="{6DB0720A-3A10-4970-8A0E-72957FBF958A}"/>
    <cellStyle name="20% - Énfasis5 3 2 6" xfId="24311" xr:uid="{84B70560-FC6A-4101-A7AD-1912A48DE676}"/>
    <cellStyle name="20% - Énfasis5 3 2 7" xfId="30189" xr:uid="{2D96C562-32F4-42A1-8BFF-97061C5CF2EB}"/>
    <cellStyle name="20% - Énfasis5 3 2 8" xfId="36068" xr:uid="{22661907-071D-44FE-B989-D8F3CCF0BAD7}"/>
    <cellStyle name="20% - Énfasis5 3 3" xfId="4352" xr:uid="{5CCD1513-39E4-46AD-B963-690B9BE17A5C}"/>
    <cellStyle name="20% - Énfasis5 3 3 2" xfId="5318" xr:uid="{65C024BC-C80F-4D95-9BCC-CD34E4E9038D}"/>
    <cellStyle name="20% - Énfasis5 3 3 2 2" xfId="8185" xr:uid="{4CD07A0B-57EE-4FDF-B54F-845ADA7B90AA}"/>
    <cellStyle name="20% - Énfasis5 3 3 2 2 2" xfId="22561" xr:uid="{4E31AFDA-909E-48D7-BC75-CA535643317B}"/>
    <cellStyle name="20% - Énfasis5 3 3 2 2 3" xfId="28418" xr:uid="{019059A3-2F96-4630-BEAA-99CFB7470594}"/>
    <cellStyle name="20% - Énfasis5 3 3 2 2 4" xfId="34300" xr:uid="{B9D35214-B1FC-4520-B94E-8A3D77AF2E23}"/>
    <cellStyle name="20% - Énfasis5 3 3 2 2 5" xfId="40164" xr:uid="{5D442AAC-CC4E-48CD-946D-15946E515DBC}"/>
    <cellStyle name="20% - Énfasis5 3 3 2 3" xfId="19786" xr:uid="{BB5ECC25-804D-4F9F-9DF5-63E54890C27E}"/>
    <cellStyle name="20% - Énfasis5 3 3 2 4" xfId="25569" xr:uid="{6A17C1F9-4869-4594-9D76-2B49DC73CDA1}"/>
    <cellStyle name="20% - Énfasis5 3 3 2 5" xfId="31443" xr:uid="{67ECABA6-75A1-4D14-B261-E1F29C400910}"/>
    <cellStyle name="20% - Énfasis5 3 3 2 6" xfId="37314" xr:uid="{00D57DB2-0005-4F94-AB76-1DF52E78D85F}"/>
    <cellStyle name="20% - Énfasis5 3 3 3" xfId="7213" xr:uid="{8E6B3EE4-A1EB-4428-8F00-B1EBB8281663}"/>
    <cellStyle name="20% - Énfasis5 3 3 3 2" xfId="21620" xr:uid="{79BA17A9-0752-4985-AB93-514A79185A60}"/>
    <cellStyle name="20% - Énfasis5 3 3 3 3" xfId="27447" xr:uid="{77E3B187-9431-489F-85A1-7723A8DDED0D}"/>
    <cellStyle name="20% - Énfasis5 3 3 3 4" xfId="33329" xr:uid="{4A21C82B-EB7D-45B6-B513-D55131212BC1}"/>
    <cellStyle name="20% - Énfasis5 3 3 3 5" xfId="39193" xr:uid="{F4AA4FEF-2222-4BCE-BCBA-ADB753499C15}"/>
    <cellStyle name="20% - Énfasis5 3 3 4" xfId="18857" xr:uid="{9D831DCD-9A96-4751-9913-08EDA1A1EF63}"/>
    <cellStyle name="20% - Énfasis5 3 3 5" xfId="24598" xr:uid="{B1985560-89D6-495A-AA15-A4B5FFF18326}"/>
    <cellStyle name="20% - Énfasis5 3 3 6" xfId="30477" xr:uid="{EC95DB60-53B0-4251-8D04-FF1E5559E31B}"/>
    <cellStyle name="20% - Énfasis5 3 3 7" xfId="36357" xr:uid="{3A1EC9FE-3E75-4BD6-9A66-E713A49431FF}"/>
    <cellStyle name="20% - Énfasis5 3 4" xfId="4834" xr:uid="{AA17A74D-4584-4DA7-8F89-C8E225FE3B8A}"/>
    <cellStyle name="20% - Énfasis5 3 4 2" xfId="7700" xr:uid="{B8BBCE36-B4D1-4619-997E-0A5FE5FA8603}"/>
    <cellStyle name="20% - Énfasis5 3 4 2 2" xfId="22090" xr:uid="{D716AC72-8E46-4700-B2CA-9A3B4D5EE3CB}"/>
    <cellStyle name="20% - Énfasis5 3 4 2 3" xfId="27933" xr:uid="{E9D32C7F-9D17-45EC-8C6B-333F4DAD3B36}"/>
    <cellStyle name="20% - Énfasis5 3 4 2 4" xfId="33815" xr:uid="{2AAB18A4-88AF-4720-B980-DF52B3DEA025}"/>
    <cellStyle name="20% - Énfasis5 3 4 2 5" xfId="39679" xr:uid="{B8404823-D2DF-4D90-9437-D72A91B30762}"/>
    <cellStyle name="20% - Énfasis5 3 4 3" xfId="19316" xr:uid="{211D5740-82C2-49EF-8A44-1519B3345B90}"/>
    <cellStyle name="20% - Énfasis5 3 4 4" xfId="25084" xr:uid="{20D87D33-0BB8-4BB5-9B02-F2B090001435}"/>
    <cellStyle name="20% - Énfasis5 3 4 5" xfId="30958" xr:uid="{AC89F175-DCB6-4D9F-BFBA-D7892093AABD}"/>
    <cellStyle name="20% - Énfasis5 3 4 6" xfId="36837" xr:uid="{F9405003-1DC8-4BB5-AC4F-E0AA4CB665FB}"/>
    <cellStyle name="20% - Énfasis5 3 5" xfId="5843" xr:uid="{0AA96E00-C88A-448E-AFF7-F84E5348B97F}"/>
    <cellStyle name="20% - Énfasis5 3 5 2" xfId="8712" xr:uid="{CCD660B4-B77B-4014-882C-781AE67F7AEB}"/>
    <cellStyle name="20% - Énfasis5 3 5 2 2" xfId="23080" xr:uid="{F71E627A-E331-4007-A3E4-0B4D7F70EEDA}"/>
    <cellStyle name="20% - Énfasis5 3 5 2 3" xfId="28944" xr:uid="{A12B8E9E-1561-48A4-9EAD-7E4BF99554F3}"/>
    <cellStyle name="20% - Énfasis5 3 5 2 4" xfId="34826" xr:uid="{A63A7C6E-A6D0-4398-B83F-85CD8451BC5F}"/>
    <cellStyle name="20% - Énfasis5 3 5 2 5" xfId="40690" xr:uid="{FAA3E1E7-576F-4228-8454-B1A2F946BDEF}"/>
    <cellStyle name="20% - Énfasis5 3 5 3" xfId="20295" xr:uid="{C310860D-5A6B-4F97-BFBD-091B92FC730C}"/>
    <cellStyle name="20% - Énfasis5 3 5 4" xfId="26094" xr:uid="{6AE4A0C7-B837-4C37-9AD3-EDD021FCBEFE}"/>
    <cellStyle name="20% - Énfasis5 3 5 5" xfId="31969" xr:uid="{4FA2D199-AD2A-48E6-BAEF-6022A8711722}"/>
    <cellStyle name="20% - Énfasis5 3 5 6" xfId="37835" xr:uid="{9811CAD5-7E23-4801-BEDC-B195697394A2}"/>
    <cellStyle name="20% - Énfasis5 3 6" xfId="6729" xr:uid="{5DA58A04-165A-43A6-B115-6E2E1D00A618}"/>
    <cellStyle name="20% - Énfasis5 3 6 2" xfId="21153" xr:uid="{6E039A36-AC99-4682-BCB0-3268DFF5D928}"/>
    <cellStyle name="20% - Énfasis5 3 6 3" xfId="26968" xr:uid="{C5CFAB21-EAF8-46DF-8405-822862523464}"/>
    <cellStyle name="20% - Énfasis5 3 6 4" xfId="32844" xr:uid="{491EABFC-81AE-4761-AFBA-31C075B4E844}"/>
    <cellStyle name="20% - Énfasis5 3 6 5" xfId="38708" xr:uid="{4FA9CFC2-EDD8-4B3D-8CDC-E12D1924EB7C}"/>
    <cellStyle name="20% - Énfasis5 3 7" xfId="18391" xr:uid="{02C580DF-22EE-4E5D-89FD-4FCB3CA2C8B6}"/>
    <cellStyle name="20% - Énfasis5 3 8" xfId="24100" xr:uid="{77D11969-18FD-4A60-B11E-BA8E6D02A4D0}"/>
    <cellStyle name="20% - Énfasis5 3 9" xfId="29978" xr:uid="{FDCCD2F7-EE20-492D-95D6-8C2A763A35DD}"/>
    <cellStyle name="20% - Énfasis5 30" xfId="6266" xr:uid="{14670328-381D-409C-9577-2D4D15E5B1E2}"/>
    <cellStyle name="20% - Énfasis5 30 2" xfId="9135" xr:uid="{5E710AAD-793E-46E8-B444-4FB803E1F511}"/>
    <cellStyle name="20% - Énfasis5 30 2 2" xfId="23499" xr:uid="{1B858005-42B9-45DC-8B5C-EFEA44994134}"/>
    <cellStyle name="20% - Énfasis5 30 2 3" xfId="29366" xr:uid="{93AB0042-9AD9-445C-AB7F-FD48EEB3C3C1}"/>
    <cellStyle name="20% - Énfasis5 30 2 4" xfId="35248" xr:uid="{DB89A41C-E605-465A-B915-C7F83E0E828F}"/>
    <cellStyle name="20% - Énfasis5 30 2 5" xfId="41107" xr:uid="{7962FB2E-E717-41DE-BC0F-69A4AAD7350D}"/>
    <cellStyle name="20% - Énfasis5 30 3" xfId="20707" xr:uid="{94F444C0-6737-43D7-8C8B-F4FC7972F339}"/>
    <cellStyle name="20% - Énfasis5 30 4" xfId="26516" xr:uid="{7C6EAD03-14A7-440F-B3B8-65EC7862B202}"/>
    <cellStyle name="20% - Énfasis5 30 5" xfId="32391" xr:uid="{43ADCE7B-5D8C-4985-B668-B8744FF04F34}"/>
    <cellStyle name="20% - Énfasis5 30 6" xfId="38256" xr:uid="{1265E6C1-244A-4544-B777-CF361F37D2EF}"/>
    <cellStyle name="20% - Énfasis5 31" xfId="6286" xr:uid="{02A95C64-88D2-4585-952B-4E848B0E5268}"/>
    <cellStyle name="20% - Énfasis5 31 2" xfId="9155" xr:uid="{45BFAA09-8798-4901-80D4-5A17F9A3B743}"/>
    <cellStyle name="20% - Énfasis5 31 2 2" xfId="23519" xr:uid="{2085B831-833D-4514-9793-9DD36F1B91DF}"/>
    <cellStyle name="20% - Énfasis5 31 2 3" xfId="29386" xr:uid="{E8140DB7-7BF7-451C-98A7-4806D4CE2564}"/>
    <cellStyle name="20% - Énfasis5 31 2 4" xfId="35268" xr:uid="{924F1874-0B72-437B-AA35-ADEE37056059}"/>
    <cellStyle name="20% - Énfasis5 31 2 5" xfId="41127" xr:uid="{32301F2C-B954-44FD-A926-808F3D1537EF}"/>
    <cellStyle name="20% - Énfasis5 31 3" xfId="20727" xr:uid="{861D69C1-5190-425E-9477-82E38A058E59}"/>
    <cellStyle name="20% - Énfasis5 31 4" xfId="26536" xr:uid="{7EA7B7AC-903B-490D-8B3A-95943DDCC443}"/>
    <cellStyle name="20% - Énfasis5 31 5" xfId="32411" xr:uid="{982D3D44-7DE6-4BC7-B63C-80453930AF9C}"/>
    <cellStyle name="20% - Énfasis5 31 6" xfId="38276" xr:uid="{DAF41575-A9A6-47BC-AB4A-FF48F55E130B}"/>
    <cellStyle name="20% - Énfasis5 32" xfId="6310" xr:uid="{E2898EEE-B9B8-4410-9854-599CA3A17A2A}"/>
    <cellStyle name="20% - Énfasis5 32 2" xfId="9178" xr:uid="{BA32B9BF-AEB6-4D03-A7C2-0A006461F37D}"/>
    <cellStyle name="20% - Énfasis5 32 2 2" xfId="23542" xr:uid="{2EC8A938-FEA2-4DF3-8CAA-C87E532EDFFA}"/>
    <cellStyle name="20% - Énfasis5 32 2 3" xfId="29409" xr:uid="{6FAA56BB-5292-48B4-BDFD-91961A1C06B5}"/>
    <cellStyle name="20% - Énfasis5 32 2 4" xfId="35291" xr:uid="{013F8843-198E-4EEC-A45C-045D501CCD95}"/>
    <cellStyle name="20% - Énfasis5 32 2 5" xfId="41150" xr:uid="{04EF5FB6-05A4-46D9-9ACB-84993E2FF8A2}"/>
    <cellStyle name="20% - Énfasis5 32 3" xfId="20751" xr:uid="{E6BF825D-C2D8-40C1-89BF-01BC0DA80CA8}"/>
    <cellStyle name="20% - Énfasis5 32 4" xfId="26560" xr:uid="{01F4535F-31C9-44E8-9DBF-8BD3B59AFD97}"/>
    <cellStyle name="20% - Énfasis5 32 5" xfId="32435" xr:uid="{BFEE7895-6565-4648-815A-2561B8017ED7}"/>
    <cellStyle name="20% - Énfasis5 32 6" xfId="38300" xr:uid="{05EDA148-5EA1-4EEE-8B95-3C4E0AE050A9}"/>
    <cellStyle name="20% - Énfasis5 33" xfId="6342" xr:uid="{6F9AEC1B-5898-4E81-8935-0E95BD3A89C5}"/>
    <cellStyle name="20% - Énfasis5 33 2" xfId="9207" xr:uid="{C59655B4-FAD5-4AD1-B241-48D9BF78B4A3}"/>
    <cellStyle name="20% - Énfasis5 33 2 2" xfId="23570" xr:uid="{8EDBFAFA-BDC7-4C97-8F14-DB101A7E115D}"/>
    <cellStyle name="20% - Énfasis5 33 2 3" xfId="29438" xr:uid="{F185DC6C-99AE-40BE-8717-E87458E166E4}"/>
    <cellStyle name="20% - Énfasis5 33 2 4" xfId="35320" xr:uid="{45A4AA17-0B53-4ABC-8EE5-784F2329C24A}"/>
    <cellStyle name="20% - Énfasis5 33 2 5" xfId="41179" xr:uid="{B643489E-61BC-40A3-9B80-3C75FA0AFCF5}"/>
    <cellStyle name="20% - Énfasis5 33 3" xfId="20783" xr:uid="{952BC02D-9033-49CE-9149-3DBB1F1CE4FF}"/>
    <cellStyle name="20% - Énfasis5 33 4" xfId="26592" xr:uid="{18BCE6C6-EC84-452A-B363-53F2985D9B66}"/>
    <cellStyle name="20% - Énfasis5 33 5" xfId="32467" xr:uid="{69261558-36AD-425E-839F-7D60942D97DB}"/>
    <cellStyle name="20% - Énfasis5 33 6" xfId="38331" xr:uid="{161B6C0B-6E62-4418-80D9-2FB833427C5E}"/>
    <cellStyle name="20% - Énfasis5 34" xfId="6362" xr:uid="{05739457-01FE-4290-B874-DE9F45232BD3}"/>
    <cellStyle name="20% - Énfasis5 34 2" xfId="9227" xr:uid="{8A8277C8-D63A-420C-BABA-483A5FBC3504}"/>
    <cellStyle name="20% - Énfasis5 34 2 2" xfId="23590" xr:uid="{22B227E7-247D-4028-9C58-7A74343C911A}"/>
    <cellStyle name="20% - Énfasis5 34 2 3" xfId="29458" xr:uid="{9787FAF1-981D-49BB-B940-C2081526379A}"/>
    <cellStyle name="20% - Énfasis5 34 2 4" xfId="35340" xr:uid="{CCC625AC-240C-4BAD-88D2-DB979021831D}"/>
    <cellStyle name="20% - Énfasis5 34 2 5" xfId="41199" xr:uid="{043DDA46-EB92-4D61-894E-F5D4A7AFF7EB}"/>
    <cellStyle name="20% - Énfasis5 34 3" xfId="20803" xr:uid="{BD8561D5-5765-4537-B94E-7B0D572D48A7}"/>
    <cellStyle name="20% - Énfasis5 34 4" xfId="26612" xr:uid="{4A2218FC-2701-41BB-89B0-D4CD6917C233}"/>
    <cellStyle name="20% - Énfasis5 34 5" xfId="32487" xr:uid="{E72ADEE4-C57A-44E0-8E4E-239BB752209C}"/>
    <cellStyle name="20% - Énfasis5 34 6" xfId="38351" xr:uid="{368ABDFB-55EB-42C7-BF45-2BBCD81AE582}"/>
    <cellStyle name="20% - Énfasis5 35" xfId="6382" xr:uid="{F17D8967-A8D6-43D1-86FE-018A0C802B33}"/>
    <cellStyle name="20% - Énfasis5 35 2" xfId="9247" xr:uid="{7C336D77-392A-4B01-B33A-378108863332}"/>
    <cellStyle name="20% - Énfasis5 35 2 2" xfId="23610" xr:uid="{D501C838-B97F-4558-BD6D-4DEA114A2133}"/>
    <cellStyle name="20% - Énfasis5 35 2 3" xfId="29478" xr:uid="{D1988584-D689-46A0-9CEC-37ECB4664F68}"/>
    <cellStyle name="20% - Énfasis5 35 2 4" xfId="35360" xr:uid="{DC4AA660-6222-4ED9-977E-10F5CDBB41E1}"/>
    <cellStyle name="20% - Énfasis5 35 2 5" xfId="41219" xr:uid="{E9D12740-8059-4E14-BB28-7F54141CB2F7}"/>
    <cellStyle name="20% - Énfasis5 35 3" xfId="20823" xr:uid="{CFF8A297-84B5-445C-AE36-ACA922A6AAAC}"/>
    <cellStyle name="20% - Énfasis5 35 4" xfId="26632" xr:uid="{19BA15E5-FDFD-4663-BA13-6831F1B3481D}"/>
    <cellStyle name="20% - Énfasis5 35 5" xfId="32507" xr:uid="{D1F9AB0C-B126-4DBB-B211-73ACDD14420A}"/>
    <cellStyle name="20% - Énfasis5 35 6" xfId="38371" xr:uid="{5957E02D-3F56-4DCF-B758-B1F3E4841C5D}"/>
    <cellStyle name="20% - Énfasis5 36" xfId="6403" xr:uid="{FD438B56-85DB-4E75-8B21-AFB9A6F038F3}"/>
    <cellStyle name="20% - Énfasis5 36 2" xfId="9268" xr:uid="{64407F63-95D3-4200-9C8D-006989ABE33E}"/>
    <cellStyle name="20% - Énfasis5 36 2 2" xfId="23631" xr:uid="{1D22A39F-995C-4438-ABDA-01765296FF3B}"/>
    <cellStyle name="20% - Énfasis5 36 2 3" xfId="29499" xr:uid="{58DB7232-7EB0-4E7A-B28C-A1464175B21C}"/>
    <cellStyle name="20% - Énfasis5 36 2 4" xfId="35381" xr:uid="{C4638E4A-0A78-4452-A56E-4CA1D203EFEB}"/>
    <cellStyle name="20% - Énfasis5 36 2 5" xfId="41240" xr:uid="{64DD580C-1784-4A9F-AEAD-9153B05D5913}"/>
    <cellStyle name="20% - Énfasis5 36 3" xfId="20844" xr:uid="{C86B74A5-3E6F-4DCC-9257-9D4CB44338B4}"/>
    <cellStyle name="20% - Énfasis5 36 4" xfId="26653" xr:uid="{C23D3B9B-E14B-4B44-958C-115A67BFB993}"/>
    <cellStyle name="20% - Énfasis5 36 5" xfId="32528" xr:uid="{4731FDC2-C89C-4F2C-8A2A-4E63E93CB09F}"/>
    <cellStyle name="20% - Énfasis5 36 6" xfId="38392" xr:uid="{E115715F-3FE9-4AB2-9F7B-6A6EE49169C6}"/>
    <cellStyle name="20% - Énfasis5 37" xfId="6432" xr:uid="{F64EAB34-A00B-4719-A9CC-28A8C76E713A}"/>
    <cellStyle name="20% - Énfasis5 37 2" xfId="9294" xr:uid="{78D47070-757D-45F2-9C18-0E5F0240616C}"/>
    <cellStyle name="20% - Énfasis5 37 2 2" xfId="23657" xr:uid="{90793A48-66B4-47DD-83E9-DED8EB825266}"/>
    <cellStyle name="20% - Énfasis5 37 2 3" xfId="29525" xr:uid="{B1D3B04C-7040-42F5-887E-779BCEE5E95B}"/>
    <cellStyle name="20% - Énfasis5 37 2 4" xfId="35407" xr:uid="{BE06B7BB-BF0A-4037-B9E7-317BB4E32EE7}"/>
    <cellStyle name="20% - Énfasis5 37 2 5" xfId="41266" xr:uid="{467339E8-FAE3-4D9C-A63C-9F185747D1F4}"/>
    <cellStyle name="20% - Énfasis5 37 3" xfId="20873" xr:uid="{01D933F8-377A-459D-934B-8C379516D6B1}"/>
    <cellStyle name="20% - Énfasis5 37 4" xfId="26682" xr:uid="{76B18C9F-B619-44BD-A44B-E543F77A988B}"/>
    <cellStyle name="20% - Énfasis5 37 5" xfId="32557" xr:uid="{8396243C-43DD-4757-9648-4935061F9465}"/>
    <cellStyle name="20% - Énfasis5 37 6" xfId="38421" xr:uid="{95830918-A714-4481-907A-1C011267B5A8}"/>
    <cellStyle name="20% - Énfasis5 38" xfId="6466" xr:uid="{0110C9FC-25B3-407A-829B-C3FC546651D9}"/>
    <cellStyle name="20% - Énfasis5 38 2" xfId="9326" xr:uid="{3FF0F29E-D4E6-4D9F-8FE0-2579B07452D1}"/>
    <cellStyle name="20% - Énfasis5 38 2 2" xfId="23689" xr:uid="{4E82F353-3C11-46A6-9814-FB93D4148473}"/>
    <cellStyle name="20% - Énfasis5 38 2 3" xfId="29557" xr:uid="{A9E55F5A-10CD-4980-8903-FAB73FE942BD}"/>
    <cellStyle name="20% - Énfasis5 38 2 4" xfId="35439" xr:uid="{5DA749D6-93FF-42FA-87F7-47B2F57A19E1}"/>
    <cellStyle name="20% - Énfasis5 38 2 5" xfId="41298" xr:uid="{C68BD4F6-99D2-40D2-8883-8F83EB902C56}"/>
    <cellStyle name="20% - Énfasis5 38 3" xfId="20904" xr:uid="{F66B25D5-3B2B-4770-AFB0-B80E5CFC8BCF}"/>
    <cellStyle name="20% - Énfasis5 38 4" xfId="26715" xr:uid="{D91A2B15-F6BA-43D2-8AFE-A27C547CE244}"/>
    <cellStyle name="20% - Énfasis5 38 5" xfId="32590" xr:uid="{C6BCCC75-1B63-4A54-859E-1161ADEF5475}"/>
    <cellStyle name="20% - Énfasis5 38 6" xfId="38454" xr:uid="{2E5FAE7C-A793-4E50-B289-74A797A771B7}"/>
    <cellStyle name="20% - Énfasis5 39" xfId="6486" xr:uid="{3A3B6AD4-7EC2-41F1-A0B3-5EA946529969}"/>
    <cellStyle name="20% - Énfasis5 39 2" xfId="9346" xr:uid="{538C2167-E221-43CE-BBE9-887689663691}"/>
    <cellStyle name="20% - Énfasis5 39 2 2" xfId="23709" xr:uid="{FCC7A75A-4928-4D20-9A63-82004AEC7D34}"/>
    <cellStyle name="20% - Énfasis5 39 2 3" xfId="29577" xr:uid="{95C55684-2E05-49AB-B236-CED4F38D5DD7}"/>
    <cellStyle name="20% - Énfasis5 39 2 4" xfId="35459" xr:uid="{28FB3567-9C29-4AFB-82F6-C084CE11E58A}"/>
    <cellStyle name="20% - Énfasis5 39 2 5" xfId="41318" xr:uid="{3AABD57F-7684-476A-9514-85E66D117037}"/>
    <cellStyle name="20% - Énfasis5 39 3" xfId="20924" xr:uid="{04D0EE05-E643-44BA-92CD-725BC83F3BF6}"/>
    <cellStyle name="20% - Énfasis5 39 4" xfId="26735" xr:uid="{45BC71F7-E556-4764-A3F1-BADF50FA15B7}"/>
    <cellStyle name="20% - Énfasis5 39 5" xfId="32610" xr:uid="{37FC3AAC-63B8-48A5-8D9E-5069287587C6}"/>
    <cellStyle name="20% - Énfasis5 39 6" xfId="38474" xr:uid="{133F9DA9-FC72-4262-970D-25E751364BD6}"/>
    <cellStyle name="20% - Énfasis5 4" xfId="3896" xr:uid="{354F0CF6-96CD-4C4C-94D8-5090D997C640}"/>
    <cellStyle name="20% - Énfasis5 4 10" xfId="35888" xr:uid="{71073161-23EC-4175-BA0D-22A1A916EDD5}"/>
    <cellStyle name="20% - Énfasis5 4 2" xfId="4093" xr:uid="{828FAED6-E908-4A0D-8272-31A65DB08849}"/>
    <cellStyle name="20% - Énfasis5 4 2 2" xfId="4571" xr:uid="{06F692A7-AB13-4884-AD0A-A11F2896EC0A}"/>
    <cellStyle name="20% - Énfasis5 4 2 2 2" xfId="5539" xr:uid="{1765AE77-3330-4BB7-95EB-34740A247D28}"/>
    <cellStyle name="20% - Énfasis5 4 2 2 2 2" xfId="8406" xr:uid="{82B8764F-BE4E-44CA-AEB5-4BA65465726C}"/>
    <cellStyle name="20% - Énfasis5 4 2 2 2 2 2" xfId="22781" xr:uid="{6E43AD35-D712-4D15-90C7-E001F94FCD8C}"/>
    <cellStyle name="20% - Énfasis5 4 2 2 2 2 3" xfId="28639" xr:uid="{3B2D545A-E9DB-4576-9E6B-D7E9229F087F}"/>
    <cellStyle name="20% - Énfasis5 4 2 2 2 2 4" xfId="34521" xr:uid="{38F1A465-516A-4B02-98BD-4F4066D417A4}"/>
    <cellStyle name="20% - Énfasis5 4 2 2 2 2 5" xfId="40385" xr:uid="{1C0019F0-9CE1-4DD4-B614-CFB6CC6B313A}"/>
    <cellStyle name="20% - Énfasis5 4 2 2 2 3" xfId="19999" xr:uid="{D30506BB-E0F2-4350-9C35-3249FFDF9A5B}"/>
    <cellStyle name="20% - Énfasis5 4 2 2 2 4" xfId="25790" xr:uid="{4A3F1676-563A-41AD-B853-EE35B54A1A0A}"/>
    <cellStyle name="20% - Énfasis5 4 2 2 2 5" xfId="31664" xr:uid="{C04C15DF-5619-4A8A-B133-A57792B1D2C4}"/>
    <cellStyle name="20% - Énfasis5 4 2 2 2 6" xfId="37534" xr:uid="{DE9885D5-0F72-4785-8533-6AF0F62235E8}"/>
    <cellStyle name="20% - Énfasis5 4 2 2 3" xfId="7434" xr:uid="{F2F5047B-8A21-4011-8EA3-B191ED7B6BBE}"/>
    <cellStyle name="20% - Énfasis5 4 2 2 3 2" xfId="21836" xr:uid="{977B8B90-35EF-4C99-9791-F3E591DDF137}"/>
    <cellStyle name="20% - Énfasis5 4 2 2 3 3" xfId="27668" xr:uid="{D6BC107E-C369-43FD-AF0E-B34539A04518}"/>
    <cellStyle name="20% - Énfasis5 4 2 2 3 4" xfId="33550" xr:uid="{AF2D7844-FFDC-4B39-A998-01492966F9FF}"/>
    <cellStyle name="20% - Énfasis5 4 2 2 3 5" xfId="39414" xr:uid="{45D62FD9-AA6C-4F99-B886-631F91726FE0}"/>
    <cellStyle name="20% - Énfasis5 4 2 2 4" xfId="19067" xr:uid="{0BC5F4B0-2CCC-433C-AE6E-3EF82F40D9C2}"/>
    <cellStyle name="20% - Énfasis5 4 2 2 5" xfId="24819" xr:uid="{F8F44683-BB31-467D-888F-85856DB6779A}"/>
    <cellStyle name="20% - Énfasis5 4 2 2 6" xfId="30696" xr:uid="{48874F44-2661-4A98-B320-1FD714DC139D}"/>
    <cellStyle name="20% - Énfasis5 4 2 2 7" xfId="36577" xr:uid="{5A31FE5E-5C24-4C97-BAD3-19A8F4AFFE47}"/>
    <cellStyle name="20% - Énfasis5 4 2 3" xfId="5054" xr:uid="{7321B5DE-892E-4F23-A5EF-6D1BE6180363}"/>
    <cellStyle name="20% - Énfasis5 4 2 3 2" xfId="7921" xr:uid="{7BD23B29-F2BD-40D6-AD0B-DE5C30EFEB56}"/>
    <cellStyle name="20% - Énfasis5 4 2 3 2 2" xfId="22306" xr:uid="{93FFDC71-75E3-43A6-9757-9B98DF0DCF54}"/>
    <cellStyle name="20% - Énfasis5 4 2 3 2 3" xfId="28154" xr:uid="{12000426-BB37-4BED-AEC9-3EBAFBF948C4}"/>
    <cellStyle name="20% - Énfasis5 4 2 3 2 4" xfId="34036" xr:uid="{8C8387D7-8E99-488A-8AE3-C32DEF443D2B}"/>
    <cellStyle name="20% - Énfasis5 4 2 3 2 5" xfId="39900" xr:uid="{6874FA8D-5BE7-44CA-8201-12BF4AF1878A}"/>
    <cellStyle name="20% - Énfasis5 4 2 3 3" xfId="19531" xr:uid="{1F3BD1D1-12E9-42F7-A59A-51CE562130D8}"/>
    <cellStyle name="20% - Énfasis5 4 2 3 4" xfId="25305" xr:uid="{DEF1F014-92A0-4943-8B8F-A8D3BFC88A2E}"/>
    <cellStyle name="20% - Énfasis5 4 2 3 5" xfId="31179" xr:uid="{86B0CE5B-168F-45C7-B88A-AFAB41F2899C}"/>
    <cellStyle name="20% - Énfasis5 4 2 3 6" xfId="37057" xr:uid="{E776A8FC-3DB1-4ECE-B668-47CAC55CE533}"/>
    <cellStyle name="20% - Énfasis5 4 2 4" xfId="6949" xr:uid="{FDB8868C-7FDD-4DFD-94B6-C1D5CBA837FF}"/>
    <cellStyle name="20% - Énfasis5 4 2 4 2" xfId="21369" xr:uid="{CFE579A5-DF8F-4B0C-A063-D1AEE39EAA3B}"/>
    <cellStyle name="20% - Énfasis5 4 2 4 3" xfId="27187" xr:uid="{6687415C-F6A4-435B-9884-20C51D3549DA}"/>
    <cellStyle name="20% - Énfasis5 4 2 4 4" xfId="33065" xr:uid="{A775F89D-EAA4-41D3-9E19-EED2AD2E565C}"/>
    <cellStyle name="20% - Énfasis5 4 2 4 5" xfId="38929" xr:uid="{DC8A049C-0991-4ADC-94B5-B9FD87B29B80}"/>
    <cellStyle name="20% - Énfasis5 4 2 5" xfId="18623" xr:uid="{3E6B3B78-F711-4064-B072-1B0B024D023C}"/>
    <cellStyle name="20% - Énfasis5 4 2 6" xfId="24336" xr:uid="{9BCD80A3-1818-479C-8EAA-A727B4E5BB5D}"/>
    <cellStyle name="20% - Énfasis5 4 2 7" xfId="30214" xr:uid="{F9324C18-24E6-4454-9938-CDEEDBDA6A1A}"/>
    <cellStyle name="20% - Énfasis5 4 2 8" xfId="36093" xr:uid="{8A3D7D67-A117-4FD2-ACFB-352D34A1C4A1}"/>
    <cellStyle name="20% - Énfasis5 4 3" xfId="4377" xr:uid="{BC69E673-D67D-4DD3-B99C-084ADF54CCC9}"/>
    <cellStyle name="20% - Énfasis5 4 3 2" xfId="5343" xr:uid="{E031687F-A461-4AF5-B744-0E873753233F}"/>
    <cellStyle name="20% - Énfasis5 4 3 2 2" xfId="8210" xr:uid="{903652F3-58D5-4CA6-8618-35940320F14E}"/>
    <cellStyle name="20% - Énfasis5 4 3 2 2 2" xfId="22586" xr:uid="{B0CDEF0E-745E-418E-B086-7EEE95A65B9D}"/>
    <cellStyle name="20% - Énfasis5 4 3 2 2 3" xfId="28443" xr:uid="{430715CD-68B1-478B-B181-30E326308E17}"/>
    <cellStyle name="20% - Énfasis5 4 3 2 2 4" xfId="34325" xr:uid="{1BFE6812-8FF4-4871-B8F2-2C2DE8E195A0}"/>
    <cellStyle name="20% - Énfasis5 4 3 2 2 5" xfId="40189" xr:uid="{397D11A1-4D0A-43DE-A525-98E929FABDA2}"/>
    <cellStyle name="20% - Énfasis5 4 3 2 3" xfId="19810" xr:uid="{01F754E9-E133-4855-B8CE-C68AEA38AB13}"/>
    <cellStyle name="20% - Énfasis5 4 3 2 4" xfId="25594" xr:uid="{90AFD34D-2CCE-488E-BE65-4BCF257AEE67}"/>
    <cellStyle name="20% - Énfasis5 4 3 2 5" xfId="31468" xr:uid="{EC210F43-4FEB-437E-927C-EF35DA663146}"/>
    <cellStyle name="20% - Énfasis5 4 3 2 6" xfId="37339" xr:uid="{F09F068F-175C-4F7B-A9BE-FFE828B058DF}"/>
    <cellStyle name="20% - Énfasis5 4 3 3" xfId="7238" xr:uid="{95DC2A94-4DC9-4932-AB2E-CC5753391806}"/>
    <cellStyle name="20% - Énfasis5 4 3 3 2" xfId="21645" xr:uid="{AB3D322C-92B7-4B4F-B681-748C5EF5472D}"/>
    <cellStyle name="20% - Énfasis5 4 3 3 3" xfId="27472" xr:uid="{3EFE77B3-2B9D-441D-853F-D649B337A1FA}"/>
    <cellStyle name="20% - Énfasis5 4 3 3 4" xfId="33354" xr:uid="{3CB56018-3D3A-49E2-9F0C-95309226222D}"/>
    <cellStyle name="20% - Énfasis5 4 3 3 5" xfId="39218" xr:uid="{77EFB0F2-B67B-4611-A91F-72B13ABF179B}"/>
    <cellStyle name="20% - Énfasis5 4 3 4" xfId="18880" xr:uid="{39DB33A1-6BDE-4DCE-BF2D-42505BE1D67F}"/>
    <cellStyle name="20% - Énfasis5 4 3 5" xfId="24623" xr:uid="{F2B270E0-25A6-4436-B9CC-DBEAF45A6014}"/>
    <cellStyle name="20% - Énfasis5 4 3 6" xfId="30502" xr:uid="{719CAA03-63E9-44C1-B16D-79D085909727}"/>
    <cellStyle name="20% - Énfasis5 4 3 7" xfId="36382" xr:uid="{7D9D2ABD-CB5F-451D-B104-617CBB0B06B6}"/>
    <cellStyle name="20% - Énfasis5 4 4" xfId="4859" xr:uid="{77FE8746-EDDE-4FE8-813A-2AA441B28ED8}"/>
    <cellStyle name="20% - Énfasis5 4 4 2" xfId="7725" xr:uid="{4290769B-C6AD-4DE9-9C1F-2E965457CFEF}"/>
    <cellStyle name="20% - Énfasis5 4 4 2 2" xfId="22115" xr:uid="{A73FF908-61DE-4F3C-A5A4-3E358EB1C19D}"/>
    <cellStyle name="20% - Énfasis5 4 4 2 3" xfId="27958" xr:uid="{14971D9C-5C8E-49E6-B07E-5CBADCB3CDF0}"/>
    <cellStyle name="20% - Énfasis5 4 4 2 4" xfId="33840" xr:uid="{207AEAFC-4EA0-481B-B894-F05EC8FE8687}"/>
    <cellStyle name="20% - Énfasis5 4 4 2 5" xfId="39704" xr:uid="{A962E731-2D5A-4C3D-83BA-7DB5973AAB6F}"/>
    <cellStyle name="20% - Énfasis5 4 4 3" xfId="19341" xr:uid="{60C6F25B-9E45-4505-82C6-85181746F42D}"/>
    <cellStyle name="20% - Énfasis5 4 4 4" xfId="25109" xr:uid="{13C8A350-9A98-471C-BD86-20D3ADA4B591}"/>
    <cellStyle name="20% - Énfasis5 4 4 5" xfId="30983" xr:uid="{982B53D3-376F-4BA9-9BCA-7F2048E6B1B0}"/>
    <cellStyle name="20% - Énfasis5 4 4 6" xfId="36862" xr:uid="{14C9FE9D-03D7-4CFD-993A-004CC77073D6}"/>
    <cellStyle name="20% - Énfasis5 4 5" xfId="5868" xr:uid="{664A0095-D1E2-4AC1-BCC7-0F9AC77E9E50}"/>
    <cellStyle name="20% - Énfasis5 4 5 2" xfId="8737" xr:uid="{152660A1-138A-43C7-971F-127B99021E66}"/>
    <cellStyle name="20% - Énfasis5 4 5 2 2" xfId="23105" xr:uid="{2FF1CE67-1D68-4CCB-8575-D00D71465013}"/>
    <cellStyle name="20% - Énfasis5 4 5 2 3" xfId="28969" xr:uid="{699BB4B1-686B-474B-BF15-DE2B5089E0A0}"/>
    <cellStyle name="20% - Énfasis5 4 5 2 4" xfId="34851" xr:uid="{28485CFF-BAFD-48D1-87E2-379661EEC118}"/>
    <cellStyle name="20% - Énfasis5 4 5 2 5" xfId="40715" xr:uid="{CD45D30A-57A7-440D-924C-DB75453004DB}"/>
    <cellStyle name="20% - Énfasis5 4 5 3" xfId="20320" xr:uid="{FD941B97-E9DF-49A8-AB1F-2F61D3666169}"/>
    <cellStyle name="20% - Énfasis5 4 5 4" xfId="26119" xr:uid="{CDE25C09-2348-44BA-BDE2-4EBBB6D8AF6B}"/>
    <cellStyle name="20% - Énfasis5 4 5 5" xfId="31994" xr:uid="{767C5D0A-A87D-4F19-AFF6-AE9331550CAB}"/>
    <cellStyle name="20% - Énfasis5 4 5 6" xfId="37860" xr:uid="{EF7E998A-D4A4-469A-B377-1FBD54F5F9E7}"/>
    <cellStyle name="20% - Énfasis5 4 6" xfId="6754" xr:uid="{A15ED1C6-ED92-4463-9964-B5D408268B35}"/>
    <cellStyle name="20% - Énfasis5 4 6 2" xfId="21178" xr:uid="{42EE15A8-CECA-4843-A5BE-5671FA5A5C82}"/>
    <cellStyle name="20% - Énfasis5 4 6 3" xfId="26993" xr:uid="{0A2883C8-9EA5-4422-92A2-02A76CF4842C}"/>
    <cellStyle name="20% - Énfasis5 4 6 4" xfId="32869" xr:uid="{C1A47ADE-A281-495D-8417-86A29EB81098}"/>
    <cellStyle name="20% - Énfasis5 4 6 5" xfId="38733" xr:uid="{A278DF9A-BEC2-4038-8275-201E970F6C07}"/>
    <cellStyle name="20% - Énfasis5 4 7" xfId="18420" xr:uid="{DB0F2BC9-3DB4-4096-974E-7FB8277DCA0B}"/>
    <cellStyle name="20% - Énfasis5 4 8" xfId="24129" xr:uid="{B5A7412F-DA22-4424-989F-88C37B6A8C46}"/>
    <cellStyle name="20% - Énfasis5 4 9" xfId="30007" xr:uid="{7F781874-3BE7-4B47-8BA9-6D62518FB9A5}"/>
    <cellStyle name="20% - Énfasis5 40" xfId="6506" xr:uid="{15B76B60-7F0A-4311-A79C-79F5D0124C65}"/>
    <cellStyle name="20% - Énfasis5 40 2" xfId="9366" xr:uid="{7895A4AC-B726-43FA-B2B0-A94776759C92}"/>
    <cellStyle name="20% - Énfasis5 40 2 2" xfId="23729" xr:uid="{843A05F3-4AC5-4D5B-8945-B37E6F5EDEBA}"/>
    <cellStyle name="20% - Énfasis5 40 2 3" xfId="29597" xr:uid="{7E834EF3-5752-454B-A7B1-F536B5187D9D}"/>
    <cellStyle name="20% - Énfasis5 40 2 4" xfId="35479" xr:uid="{1AA385C9-35A5-4BAC-AF54-1B2CD2125D36}"/>
    <cellStyle name="20% - Énfasis5 40 2 5" xfId="41338" xr:uid="{D1C09FD3-BA3D-4646-8B5B-E6319F30515D}"/>
    <cellStyle name="20% - Énfasis5 40 3" xfId="20944" xr:uid="{652A0AAA-6F30-420B-996F-EF242577D09E}"/>
    <cellStyle name="20% - Énfasis5 40 4" xfId="26755" xr:uid="{D2E94B97-3F53-48EF-8473-C6DB12F0ED46}"/>
    <cellStyle name="20% - Énfasis5 40 5" xfId="32630" xr:uid="{D1436CEB-A9DA-4CB1-A888-A04121AE9E45}"/>
    <cellStyle name="20% - Énfasis5 40 6" xfId="38494" xr:uid="{4B6CDFA6-4109-4873-9DC5-5B6D01CB702B}"/>
    <cellStyle name="20% - Énfasis5 41" xfId="6526" xr:uid="{0248E5D7-08ED-4AC0-9E17-2BFAE6CF339C}"/>
    <cellStyle name="20% - Énfasis5 41 2" xfId="9386" xr:uid="{031C69F2-295D-46AF-8E8A-16C655722060}"/>
    <cellStyle name="20% - Énfasis5 41 2 2" xfId="23749" xr:uid="{57EF81BD-0A2D-4C3C-BC13-D591723756E6}"/>
    <cellStyle name="20% - Énfasis5 41 2 3" xfId="29617" xr:uid="{ACCAFAF8-E464-48C3-BEDD-FD4142687AD0}"/>
    <cellStyle name="20% - Énfasis5 41 2 4" xfId="35499" xr:uid="{1CC444C5-6749-4C1C-B42B-11561BBF1FD9}"/>
    <cellStyle name="20% - Énfasis5 41 2 5" xfId="41358" xr:uid="{1BFE3101-1FB1-4A57-875C-FBD75BD51636}"/>
    <cellStyle name="20% - Énfasis5 41 3" xfId="20964" xr:uid="{00D00546-7E25-47A6-95AE-994141F84FBB}"/>
    <cellStyle name="20% - Énfasis5 41 4" xfId="26775" xr:uid="{B76AC87D-885F-462F-88C0-85D1F4635B18}"/>
    <cellStyle name="20% - Énfasis5 41 5" xfId="32650" xr:uid="{EA6A8913-3CD2-40AB-85B7-E7470BAC7919}"/>
    <cellStyle name="20% - Énfasis5 41 6" xfId="38514" xr:uid="{CE085C37-6262-4D7E-BEEB-A494FF04CAD6}"/>
    <cellStyle name="20% - Énfasis5 42" xfId="6546" xr:uid="{D3CFD030-9F70-4D8B-97E0-1173F2A93A38}"/>
    <cellStyle name="20% - Énfasis5 42 2" xfId="9406" xr:uid="{AE11BCBD-C3F3-4608-99BE-EF0A737254EA}"/>
    <cellStyle name="20% - Énfasis5 42 2 2" xfId="23769" xr:uid="{A7A9513C-23E7-41EB-9214-D9AF3D94F60E}"/>
    <cellStyle name="20% - Énfasis5 42 2 3" xfId="29637" xr:uid="{CBA5A081-7F6C-4B49-8792-A1896766096B}"/>
    <cellStyle name="20% - Énfasis5 42 2 4" xfId="35519" xr:uid="{B3A865E6-AE02-4113-A32B-28AE12CDC6DE}"/>
    <cellStyle name="20% - Énfasis5 42 2 5" xfId="41378" xr:uid="{BFBFD17E-A5D9-4331-9E45-51BD1F5B336A}"/>
    <cellStyle name="20% - Énfasis5 42 3" xfId="20984" xr:uid="{0E9023E6-138E-433F-A93F-CC6D264A74C0}"/>
    <cellStyle name="20% - Énfasis5 42 4" xfId="26795" xr:uid="{500011C5-2631-41F2-8AB4-2D0C1140BD65}"/>
    <cellStyle name="20% - Énfasis5 42 5" xfId="32670" xr:uid="{2D1F676F-22F7-45F0-B806-9C2B8DF9AD55}"/>
    <cellStyle name="20% - Énfasis5 42 6" xfId="38534" xr:uid="{15C13CEB-2496-4729-9965-E7A511C0E3F8}"/>
    <cellStyle name="20% - Énfasis5 43" xfId="6567" xr:uid="{E3CB2C8D-FDC9-4416-B5EE-9DB4301FE696}"/>
    <cellStyle name="20% - Énfasis5 43 2" xfId="9428" xr:uid="{4CC971CE-07A2-4FD2-9903-BE890659EB91}"/>
    <cellStyle name="20% - Énfasis5 43 2 2" xfId="23791" xr:uid="{F811EB82-6942-45E7-8BA3-D1E7927B6304}"/>
    <cellStyle name="20% - Énfasis5 43 2 3" xfId="29659" xr:uid="{5EB969E0-F63B-443F-9C15-7ED100CC3A8E}"/>
    <cellStyle name="20% - Énfasis5 43 2 4" xfId="35541" xr:uid="{225ACA7A-F103-4812-AC7C-37E5A25FC9B8}"/>
    <cellStyle name="20% - Énfasis5 43 2 5" xfId="41400" xr:uid="{50339849-4655-4EF7-A367-6E6573056292}"/>
    <cellStyle name="20% - Énfasis5 43 3" xfId="21006" xr:uid="{EDB20246-704A-43A8-BA46-F7AC5446D5F2}"/>
    <cellStyle name="20% - Énfasis5 43 4" xfId="26817" xr:uid="{949143C3-63A3-4253-A34E-93401C0E69B5}"/>
    <cellStyle name="20% - Énfasis5 43 5" xfId="32692" xr:uid="{0D1C87CD-8027-4D29-A070-8B499F9CBB9E}"/>
    <cellStyle name="20% - Énfasis5 43 6" xfId="38556" xr:uid="{B19BC74B-E684-4410-8000-07481C08542A}"/>
    <cellStyle name="20% - Énfasis5 44" xfId="6597" xr:uid="{EC2837DB-C8DD-48FD-A8E9-E448CB2470C8}"/>
    <cellStyle name="20% - Énfasis5 44 2" xfId="9457" xr:uid="{5DA76E27-F7DE-4F57-8612-4FB4BCA3D951}"/>
    <cellStyle name="20% - Énfasis5 44 2 2" xfId="23819" xr:uid="{A4F4782F-0BA9-482A-B8DE-FEBB8C8D3585}"/>
    <cellStyle name="20% - Énfasis5 44 2 3" xfId="29688" xr:uid="{1CF875D3-EF8D-49CD-AE5D-933C54E1B32A}"/>
    <cellStyle name="20% - Énfasis5 44 2 4" xfId="35570" xr:uid="{71AB5325-D249-49EB-8BEE-5F16DE62E3D9}"/>
    <cellStyle name="20% - Énfasis5 44 2 5" xfId="41429" xr:uid="{952D23CA-8C3A-433D-946F-02487954FC36}"/>
    <cellStyle name="20% - Énfasis5 44 3" xfId="21035" xr:uid="{D27FE5B4-B51A-4CC7-A837-3D0D91241089}"/>
    <cellStyle name="20% - Énfasis5 44 4" xfId="26846" xr:uid="{06B588A2-A4B1-46C7-9802-FF2659750210}"/>
    <cellStyle name="20% - Énfasis5 44 5" xfId="32721" xr:uid="{471DD336-A14A-44BB-B219-1E9CB22B610D}"/>
    <cellStyle name="20% - Énfasis5 44 6" xfId="38585" xr:uid="{C7980D79-52A8-4534-939F-9566A7A49DCB}"/>
    <cellStyle name="20% - Énfasis5 45" xfId="6622" xr:uid="{848F9934-EAF9-46BB-A1EC-727740BAE788}"/>
    <cellStyle name="20% - Énfasis5 45 2" xfId="9482" xr:uid="{E63896BB-0796-4E7F-B912-7ACA393DFA83}"/>
    <cellStyle name="20% - Énfasis5 45 2 2" xfId="23844" xr:uid="{9C042FC2-B274-47F7-BCF6-B375DE19C881}"/>
    <cellStyle name="20% - Énfasis5 45 2 3" xfId="29713" xr:uid="{5F35288C-7015-47DF-97F8-17C2CF55D972}"/>
    <cellStyle name="20% - Énfasis5 45 2 4" xfId="35595" xr:uid="{D0650262-9134-4613-BB60-97463FF5FDDA}"/>
    <cellStyle name="20% - Énfasis5 45 2 5" xfId="41454" xr:uid="{E84E77E0-C786-4ADF-B174-1A558753AAFF}"/>
    <cellStyle name="20% - Énfasis5 45 3" xfId="21059" xr:uid="{F6ECEDB1-F685-4637-A941-9E1469CEC1D9}"/>
    <cellStyle name="20% - Énfasis5 45 4" xfId="26871" xr:uid="{0068FAA2-8FFD-4901-BCED-4206B2BA4055}"/>
    <cellStyle name="20% - Énfasis5 45 5" xfId="32746" xr:uid="{82744297-AA9D-414F-A1CF-A64F6C98E73F}"/>
    <cellStyle name="20% - Énfasis5 45 6" xfId="38610" xr:uid="{81041A67-45A1-45A7-A161-09B7A40CF695}"/>
    <cellStyle name="20% - Énfasis5 46" xfId="6644" xr:uid="{2B585963-B251-4957-A2D7-A943BA188C28}"/>
    <cellStyle name="20% - Énfasis5 46 2" xfId="21081" xr:uid="{68150F35-57F7-4AF3-A197-8A4ED673CC62}"/>
    <cellStyle name="20% - Énfasis5 46 3" xfId="26893" xr:uid="{21A93881-A5ED-4245-9B9D-E96D7B10F38C}"/>
    <cellStyle name="20% - Énfasis5 46 4" xfId="32768" xr:uid="{5067F105-4B37-4624-BD5D-59D828875214}"/>
    <cellStyle name="20% - Énfasis5 46 5" xfId="38632" xr:uid="{F23B2E15-D2E1-4FF6-AD29-D5E700B8DFDC}"/>
    <cellStyle name="20% - Énfasis5 47" xfId="6674" xr:uid="{1256F2AC-D127-4CE7-986A-83188EF7550F}"/>
    <cellStyle name="20% - Énfasis5 47 2" xfId="21103" xr:uid="{75283262-8B5E-44FB-B736-4826595CFD3D}"/>
    <cellStyle name="20% - Énfasis5 47 3" xfId="26915" xr:uid="{BBC26B69-820C-4B46-96F2-6955507068C6}"/>
    <cellStyle name="20% - Énfasis5 47 4" xfId="32790" xr:uid="{5B3075EF-1247-494A-BDAF-3ADEE6D6FBE4}"/>
    <cellStyle name="20% - Énfasis5 47 5" xfId="38654" xr:uid="{51BF5EF0-41C0-46BA-9782-56ADDB8B634E}"/>
    <cellStyle name="20% - Énfasis5 48" xfId="9492" xr:uid="{716AF0D9-E030-4723-8393-144B4C1C12FE}"/>
    <cellStyle name="20% - Énfasis5 48 2" xfId="23854" xr:uid="{45FBD2E3-7B64-4277-BF6E-F690B3C51A4C}"/>
    <cellStyle name="20% - Énfasis5 48 3" xfId="29723" xr:uid="{7250A3EA-E19C-4777-B46B-E468EC61BBB8}"/>
    <cellStyle name="20% - Énfasis5 48 4" xfId="35605" xr:uid="{F29BBFB6-256E-4EC6-93F2-56133782964C}"/>
    <cellStyle name="20% - Énfasis5 48 5" xfId="41464" xr:uid="{2181700C-AD3E-4254-875A-F9420A2EB6AC}"/>
    <cellStyle name="20% - Énfasis5 49" xfId="9523" xr:uid="{6B17B983-ACDF-4162-9888-ABCF9802886B}"/>
    <cellStyle name="20% - Énfasis5 49 2" xfId="23884" xr:uid="{94BBFEE0-E0B3-4A35-B0E7-1E9957948442}"/>
    <cellStyle name="20% - Énfasis5 49 3" xfId="29754" xr:uid="{2FEE0CAE-2C81-4098-9B3E-F2B9D06A24FE}"/>
    <cellStyle name="20% - Énfasis5 49 4" xfId="35636" xr:uid="{4CF17497-6B88-426D-A69D-1B85547FCCCD}"/>
    <cellStyle name="20% - Énfasis5 49 5" xfId="41495" xr:uid="{8F762C60-B60E-48EC-9B36-9EED1BB9E2DC}"/>
    <cellStyle name="20% - Énfasis5 5" xfId="3922" xr:uid="{8787B203-87C6-4E83-8696-406635E00BE2}"/>
    <cellStyle name="20% - Énfasis5 5 10" xfId="35914" xr:uid="{7C609FB3-B3BB-4471-B139-F5221F647C43}"/>
    <cellStyle name="20% - Énfasis5 5 2" xfId="4116" xr:uid="{EE1C6CC4-0C07-4AC1-907A-EBB2BB231D65}"/>
    <cellStyle name="20% - Énfasis5 5 2 2" xfId="4594" xr:uid="{A8F30B9C-1069-4458-AE9D-C91521556DC7}"/>
    <cellStyle name="20% - Énfasis5 5 2 2 2" xfId="5562" xr:uid="{F2A7BE0C-F5AF-45A3-88EC-8857F2488B8A}"/>
    <cellStyle name="20% - Énfasis5 5 2 2 2 2" xfId="8429" xr:uid="{7338029A-3160-4E40-9689-9F5FF120CB59}"/>
    <cellStyle name="20% - Énfasis5 5 2 2 2 2 2" xfId="22804" xr:uid="{5F7B04AB-5146-4B02-9F24-5D0D2670993A}"/>
    <cellStyle name="20% - Énfasis5 5 2 2 2 2 3" xfId="28662" xr:uid="{ADBBC015-291A-4F13-9665-126DD7E6994E}"/>
    <cellStyle name="20% - Énfasis5 5 2 2 2 2 4" xfId="34544" xr:uid="{FBFA6D0E-762F-4740-A6BF-6D037DFA4499}"/>
    <cellStyle name="20% - Énfasis5 5 2 2 2 2 5" xfId="40408" xr:uid="{10D6EEF6-7638-484D-83CD-AD6F44218356}"/>
    <cellStyle name="20% - Énfasis5 5 2 2 2 3" xfId="20022" xr:uid="{4B877555-EF6F-4E7D-B20C-342C935BC8FB}"/>
    <cellStyle name="20% - Énfasis5 5 2 2 2 4" xfId="25813" xr:uid="{BB1E1DC9-230F-4E71-86CE-C0707B4D3321}"/>
    <cellStyle name="20% - Énfasis5 5 2 2 2 5" xfId="31687" xr:uid="{069FBF89-DFBB-4200-ACDF-EC05DE287E93}"/>
    <cellStyle name="20% - Énfasis5 5 2 2 2 6" xfId="37557" xr:uid="{F0517432-2218-4D1E-8D95-4F32C9E67109}"/>
    <cellStyle name="20% - Énfasis5 5 2 2 3" xfId="7457" xr:uid="{7FAA1BCE-692A-4CBC-9454-BBFDDCD1F559}"/>
    <cellStyle name="20% - Énfasis5 5 2 2 3 2" xfId="21859" xr:uid="{893F3372-D504-4437-A5A5-831160997624}"/>
    <cellStyle name="20% - Énfasis5 5 2 2 3 3" xfId="27691" xr:uid="{0B625E38-AF54-44BA-8906-44F325C775DE}"/>
    <cellStyle name="20% - Énfasis5 5 2 2 3 4" xfId="33573" xr:uid="{57C884F8-E8FF-43EF-9D1F-EC2B8D484723}"/>
    <cellStyle name="20% - Énfasis5 5 2 2 3 5" xfId="39437" xr:uid="{D4F6A97B-F61D-43D5-80B5-836B3EED472F}"/>
    <cellStyle name="20% - Énfasis5 5 2 2 4" xfId="19089" xr:uid="{B35A9B98-A81A-4936-B909-46FDE3094C12}"/>
    <cellStyle name="20% - Énfasis5 5 2 2 5" xfId="24842" xr:uid="{BCCD0A2A-4927-4445-92BB-1D2C8EBA8B8F}"/>
    <cellStyle name="20% - Énfasis5 5 2 2 6" xfId="30719" xr:uid="{F9BEC314-08DF-4873-AFC5-64D5AE8FC25A}"/>
    <cellStyle name="20% - Énfasis5 5 2 2 7" xfId="36600" xr:uid="{42152D25-0957-417E-B172-DB39CCA2F82D}"/>
    <cellStyle name="20% - Énfasis5 5 2 3" xfId="5077" xr:uid="{9126870F-81F6-4820-B5E3-B50291836791}"/>
    <cellStyle name="20% - Énfasis5 5 2 3 2" xfId="7944" xr:uid="{0CA00F05-BBD2-4F12-A9EA-F670F683A60E}"/>
    <cellStyle name="20% - Énfasis5 5 2 3 2 2" xfId="22329" xr:uid="{5DFBAC09-2641-4F8B-BAF9-2EA7250F25EB}"/>
    <cellStyle name="20% - Énfasis5 5 2 3 2 3" xfId="28177" xr:uid="{83BB7CC7-F90E-4968-B476-02013815801B}"/>
    <cellStyle name="20% - Énfasis5 5 2 3 2 4" xfId="34059" xr:uid="{038CBCD7-148B-41E5-94B4-C252DCBC5114}"/>
    <cellStyle name="20% - Énfasis5 5 2 3 2 5" xfId="39923" xr:uid="{75AF5AD0-8A65-4D75-8DA9-D0A1010BB34F}"/>
    <cellStyle name="20% - Énfasis5 5 2 3 3" xfId="19554" xr:uid="{9530A292-B4BC-4623-A33E-022727DDBA3F}"/>
    <cellStyle name="20% - Énfasis5 5 2 3 4" xfId="25328" xr:uid="{03A77656-68D0-443A-AC6C-A5EC39450A1C}"/>
    <cellStyle name="20% - Énfasis5 5 2 3 5" xfId="31202" xr:uid="{F65DCD7E-D516-4E7A-AC7E-B2D525514F53}"/>
    <cellStyle name="20% - Énfasis5 5 2 3 6" xfId="37080" xr:uid="{98DE8F60-296F-435A-8B83-8A4F07639A9F}"/>
    <cellStyle name="20% - Énfasis5 5 2 4" xfId="6972" xr:uid="{AB73F360-3C22-4D28-B435-B9E1A0968A8C}"/>
    <cellStyle name="20% - Énfasis5 5 2 4 2" xfId="21391" xr:uid="{FA50C8DF-02F4-4D6A-A33B-2BDDA6F94A98}"/>
    <cellStyle name="20% - Énfasis5 5 2 4 3" xfId="27210" xr:uid="{0416F88B-38F3-452F-9F26-CC9232866935}"/>
    <cellStyle name="20% - Énfasis5 5 2 4 4" xfId="33088" xr:uid="{80B8C6F0-8A44-48F9-BDA6-3A8A580AF935}"/>
    <cellStyle name="20% - Énfasis5 5 2 4 5" xfId="38952" xr:uid="{15E120A5-8291-4034-B19D-058FFC1DB35E}"/>
    <cellStyle name="20% - Énfasis5 5 2 5" xfId="18645" xr:uid="{2A2ECE46-26A7-4386-8B10-9BDA77FD495D}"/>
    <cellStyle name="20% - Énfasis5 5 2 6" xfId="24359" xr:uid="{92622162-C3A7-409A-A4A6-3A3A1E99802B}"/>
    <cellStyle name="20% - Énfasis5 5 2 7" xfId="30237" xr:uid="{C75DA88F-CC4C-4D30-B25B-1E50ADBDD9D4}"/>
    <cellStyle name="20% - Énfasis5 5 2 8" xfId="36116" xr:uid="{6CC93AB5-DF48-4EA4-ADA4-2C2A7F816E01}"/>
    <cellStyle name="20% - Énfasis5 5 3" xfId="4400" xr:uid="{59DBCBB3-FDB3-4FE0-8C1B-CDB7FBD15B91}"/>
    <cellStyle name="20% - Énfasis5 5 3 2" xfId="5366" xr:uid="{801217C6-17EE-4E48-B616-628483756AA0}"/>
    <cellStyle name="20% - Énfasis5 5 3 2 2" xfId="8233" xr:uid="{0C2AE227-42E5-4DE2-9C4F-A9636F096669}"/>
    <cellStyle name="20% - Énfasis5 5 3 2 2 2" xfId="22609" xr:uid="{131A4979-D856-413A-85FD-FAE4154FE9AC}"/>
    <cellStyle name="20% - Énfasis5 5 3 2 2 3" xfId="28466" xr:uid="{01F77C47-CA89-49D2-8C34-7E4A99F53D9E}"/>
    <cellStyle name="20% - Énfasis5 5 3 2 2 4" xfId="34348" xr:uid="{FAAA112C-50D5-4477-8722-81BDA511FA8D}"/>
    <cellStyle name="20% - Énfasis5 5 3 2 2 5" xfId="40212" xr:uid="{0C68855E-413C-434D-9B50-CB8174BDBFB8}"/>
    <cellStyle name="20% - Énfasis5 5 3 2 3" xfId="19833" xr:uid="{56C50152-2BC6-43BD-9290-CBEE4006D3E7}"/>
    <cellStyle name="20% - Énfasis5 5 3 2 4" xfId="25617" xr:uid="{14F3C2F4-B5DF-4630-A937-7D447A815A81}"/>
    <cellStyle name="20% - Énfasis5 5 3 2 5" xfId="31491" xr:uid="{4B0FA980-998C-4114-A2E1-9DC7472E719D}"/>
    <cellStyle name="20% - Énfasis5 5 3 2 6" xfId="37362" xr:uid="{0D50260A-76AC-4C33-A50C-A6BB004706D2}"/>
    <cellStyle name="20% - Énfasis5 5 3 3" xfId="7261" xr:uid="{62719808-5847-4559-A943-0E727464F27E}"/>
    <cellStyle name="20% - Énfasis5 5 3 3 2" xfId="21668" xr:uid="{F5B901AB-CF5A-4D88-A60D-90CC8AE8CBC7}"/>
    <cellStyle name="20% - Énfasis5 5 3 3 3" xfId="27495" xr:uid="{03B8E947-06E2-4D21-9432-CBA6A74779D9}"/>
    <cellStyle name="20% - Énfasis5 5 3 3 4" xfId="33377" xr:uid="{6D88E90D-96A1-49F3-8310-94C863678AF7}"/>
    <cellStyle name="20% - Énfasis5 5 3 3 5" xfId="39241" xr:uid="{FCD66C91-3C78-4453-8408-434FA7DCEB64}"/>
    <cellStyle name="20% - Énfasis5 5 3 4" xfId="18902" xr:uid="{6B2D40F7-0D7C-4155-BBE9-DAD081F045A4}"/>
    <cellStyle name="20% - Énfasis5 5 3 5" xfId="24646" xr:uid="{5BCC74DB-3A18-42A0-8142-CF3B2A4FEBFF}"/>
    <cellStyle name="20% - Énfasis5 5 3 6" xfId="30525" xr:uid="{F19EEB91-B22D-4F1B-8A32-EAB293105FC5}"/>
    <cellStyle name="20% - Énfasis5 5 3 7" xfId="36405" xr:uid="{3444287A-4E3D-45BF-8E4B-0CF101F86CEB}"/>
    <cellStyle name="20% - Énfasis5 5 4" xfId="4881" xr:uid="{7AB81535-EE3B-4C21-B231-D3DF566E6628}"/>
    <cellStyle name="20% - Énfasis5 5 4 2" xfId="7748" xr:uid="{113D29DF-8F77-4B00-8AD6-86B2A1ED2EC9}"/>
    <cellStyle name="20% - Énfasis5 5 4 2 2" xfId="22138" xr:uid="{885043A1-A2BC-4B2C-A1EF-64A59A3CD310}"/>
    <cellStyle name="20% - Énfasis5 5 4 2 3" xfId="27981" xr:uid="{53B05DDF-0E02-4489-B149-3AD9382381BB}"/>
    <cellStyle name="20% - Énfasis5 5 4 2 4" xfId="33863" xr:uid="{7D7973D7-4912-4423-BC80-D07D77C47A3E}"/>
    <cellStyle name="20% - Énfasis5 5 4 2 5" xfId="39727" xr:uid="{5BFFD1E1-E49F-47DA-B8B5-61B3233FC488}"/>
    <cellStyle name="20% - Énfasis5 5 4 3" xfId="19364" xr:uid="{1D62CD97-4950-43CD-9501-AC48D61A606D}"/>
    <cellStyle name="20% - Énfasis5 5 4 4" xfId="25132" xr:uid="{E1F00B6C-9263-4EE7-A8F2-4390C1ADA38C}"/>
    <cellStyle name="20% - Énfasis5 5 4 5" xfId="31006" xr:uid="{684D94CE-D69C-4B0F-B7BF-9DC7AD51F3F2}"/>
    <cellStyle name="20% - Énfasis5 5 4 6" xfId="36885" xr:uid="{BC49445E-CCFD-43BD-9CDE-CA8AFD6E1611}"/>
    <cellStyle name="20% - Énfasis5 5 5" xfId="5891" xr:uid="{FDB67EB9-28BF-4D90-BB87-86F72E5A4EEE}"/>
    <cellStyle name="20% - Énfasis5 5 5 2" xfId="8760" xr:uid="{7860FD75-6EFF-431B-BF75-BB514265C36D}"/>
    <cellStyle name="20% - Énfasis5 5 5 2 2" xfId="23128" xr:uid="{9A902B23-ED91-4985-9B9C-DDB505A76AF8}"/>
    <cellStyle name="20% - Énfasis5 5 5 2 3" xfId="28992" xr:uid="{188B4B59-D1FC-410C-8DB5-B91217BDF86B}"/>
    <cellStyle name="20% - Énfasis5 5 5 2 4" xfId="34874" xr:uid="{C1B8D5BF-4F18-4975-BB76-8306EA3BDD7A}"/>
    <cellStyle name="20% - Énfasis5 5 5 2 5" xfId="40738" xr:uid="{B4CF00E0-5C4C-4494-B221-646B8D10E7E5}"/>
    <cellStyle name="20% - Énfasis5 5 5 3" xfId="20342" xr:uid="{377B6877-713B-4041-B824-5725015336E7}"/>
    <cellStyle name="20% - Énfasis5 5 5 4" xfId="26142" xr:uid="{6041899E-4B6F-461B-B832-B588EB132E7B}"/>
    <cellStyle name="20% - Énfasis5 5 5 5" xfId="32017" xr:uid="{BB2D72A7-493E-4615-9F64-BD54C0E34987}"/>
    <cellStyle name="20% - Énfasis5 5 5 6" xfId="37883" xr:uid="{B70FD109-967B-48F8-A8DB-3137EF39CDB2}"/>
    <cellStyle name="20% - Énfasis5 5 6" xfId="6777" xr:uid="{39B99E3D-EDA3-4B8E-B481-138C2D5719CB}"/>
    <cellStyle name="20% - Énfasis5 5 6 2" xfId="21201" xr:uid="{BC04C0AB-118D-4257-8662-AB4C47B9E180}"/>
    <cellStyle name="20% - Énfasis5 5 6 3" xfId="27016" xr:uid="{F80A5352-A6AA-436C-8CB3-1DB6CE34032F}"/>
    <cellStyle name="20% - Énfasis5 5 6 4" xfId="32892" xr:uid="{FFC0FFBF-97F7-4035-A8D0-F3BB9B774C8E}"/>
    <cellStyle name="20% - Énfasis5 5 6 5" xfId="38756" xr:uid="{32A069DF-0D36-42E9-B28A-18DC8275F8E7}"/>
    <cellStyle name="20% - Énfasis5 5 7" xfId="18447" xr:uid="{696242BF-DFC9-49AF-900C-A78D590A380E}"/>
    <cellStyle name="20% - Énfasis5 5 8" xfId="24155" xr:uid="{6FC4F352-3AE1-45C4-A811-88CAFCCCC1D5}"/>
    <cellStyle name="20% - Énfasis5 5 9" xfId="30033" xr:uid="{9CFA7653-BE05-4C29-9F3B-44D84714C968}"/>
    <cellStyle name="20% - Énfasis5 50" xfId="9542" xr:uid="{B18C1297-F33F-48C8-BFF2-C6BE344FFDCA}"/>
    <cellStyle name="20% - Énfasis5 50 2" xfId="23904" xr:uid="{DC7D1E1A-1680-46BB-B09B-7722515F21F6}"/>
    <cellStyle name="20% - Énfasis5 50 3" xfId="29774" xr:uid="{AB3D409B-E737-4747-BC23-44A7D319107D}"/>
    <cellStyle name="20% - Énfasis5 50 4" xfId="35656" xr:uid="{12EE9BA2-1814-4031-B615-216367B5424F}"/>
    <cellStyle name="20% - Énfasis5 50 5" xfId="41515" xr:uid="{5B9C5A0F-7195-49BD-B229-90B5A122DAA7}"/>
    <cellStyle name="20% - Énfasis5 51" xfId="9568" xr:uid="{311144CE-54CD-4EF5-B32D-5AC164D72627}"/>
    <cellStyle name="20% - Énfasis5 51 2" xfId="23930" xr:uid="{607E563F-53DF-4A6A-97AC-790746225A9F}"/>
    <cellStyle name="20% - Énfasis5 51 3" xfId="29800" xr:uid="{29189FE3-907F-4886-9443-11CF0161038A}"/>
    <cellStyle name="20% - Énfasis5 51 4" xfId="35682" xr:uid="{01F72CAB-0E7B-41E1-9894-D8C400A059D4}"/>
    <cellStyle name="20% - Énfasis5 51 5" xfId="41541" xr:uid="{0FD2F0DA-29E4-4265-AD24-790E33AF33DB}"/>
    <cellStyle name="20% - Énfasis5 52" xfId="15770" xr:uid="{BB30E61F-A192-46F6-948D-800C369DA692}"/>
    <cellStyle name="20% - Énfasis5 52 2" xfId="23990" xr:uid="{32E31BB0-0A6A-4BFE-B77E-6AFB72542F11}"/>
    <cellStyle name="20% - Énfasis5 52 3" xfId="29862" xr:uid="{3796F071-4644-44E8-A0E2-0A100763D776}"/>
    <cellStyle name="20% - Énfasis5 52 4" xfId="35744" xr:uid="{A69CEADC-B76A-4FE6-8BB6-6DA89C6747A8}"/>
    <cellStyle name="20% - Énfasis5 52 5" xfId="41603" xr:uid="{A0D812FD-6150-4D6E-9D9D-D91A9B82714B}"/>
    <cellStyle name="20% - Énfasis5 53" xfId="15795" xr:uid="{B8BA992A-1551-43B2-9496-F5F2731CC039}"/>
    <cellStyle name="20% - Énfasis5 53 2" xfId="24012" xr:uid="{91F537FE-009A-4CD7-B0C7-C2ADD8F59331}"/>
    <cellStyle name="20% - Énfasis5 53 3" xfId="29887" xr:uid="{FDF79CB1-C6DC-4FF5-A858-436DC9B121D2}"/>
    <cellStyle name="20% - Énfasis5 53 4" xfId="35768" xr:uid="{FC1CDC06-BB7D-4D21-900F-B9453FCC5898}"/>
    <cellStyle name="20% - Énfasis5 53 5" xfId="41628" xr:uid="{C94C335A-E224-4C2E-81BE-383D780A348B}"/>
    <cellStyle name="20% - Énfasis5 54" xfId="15829" xr:uid="{179EF607-ADCF-42DC-929E-85CC7EE55724}"/>
    <cellStyle name="20% - Énfasis5 55" xfId="18304" xr:uid="{E3344BC7-7FB3-49BF-AB0A-07E928F19E94}"/>
    <cellStyle name="20% - Énfasis5 56" xfId="18327" xr:uid="{B014C8FA-8C36-4ABA-A504-886E1F2B25CB}"/>
    <cellStyle name="20% - Énfasis5 57" xfId="24039" xr:uid="{C6ED609F-BE39-41DD-B5F9-83DD297B8B69}"/>
    <cellStyle name="20% - Énfasis5 58" xfId="29917" xr:uid="{EA60CA63-C921-4882-B792-559F510CA024}"/>
    <cellStyle name="20% - Énfasis5 59" xfId="35798" xr:uid="{71EFC3F8-51B5-4B15-A104-017A09471E02}"/>
    <cellStyle name="20% - Énfasis5 6" xfId="3946" xr:uid="{3B3BBB86-086B-43D1-B2BA-31FEDF14F478}"/>
    <cellStyle name="20% - Énfasis5 6 10" xfId="35937" xr:uid="{FDB6B2F4-0C62-42A2-A6A2-A45E7DD7D5D1}"/>
    <cellStyle name="20% - Énfasis5 6 2" xfId="4138" xr:uid="{A5F204A0-9BE9-4AE3-8E94-6A5757ED2FE0}"/>
    <cellStyle name="20% - Énfasis5 6 2 2" xfId="4616" xr:uid="{6C6EBDEC-AAC4-4CE0-A2F1-DCA906F27DC0}"/>
    <cellStyle name="20% - Énfasis5 6 2 2 2" xfId="5584" xr:uid="{0FE53702-28B2-48CB-871D-203C40E4E38C}"/>
    <cellStyle name="20% - Énfasis5 6 2 2 2 2" xfId="8451" xr:uid="{7F0E68FA-4A20-4819-BE9D-608D5421E50D}"/>
    <cellStyle name="20% - Énfasis5 6 2 2 2 2 2" xfId="22826" xr:uid="{B3E8557E-E362-4EE4-8E62-363148B0B781}"/>
    <cellStyle name="20% - Énfasis5 6 2 2 2 2 3" xfId="28684" xr:uid="{9C5A25D0-E435-4186-BD31-9C7705D03B54}"/>
    <cellStyle name="20% - Énfasis5 6 2 2 2 2 4" xfId="34566" xr:uid="{A25D3F31-FFDE-457A-B304-B4EDFB422540}"/>
    <cellStyle name="20% - Énfasis5 6 2 2 2 2 5" xfId="40430" xr:uid="{EEE3D72A-623F-4D4C-810E-C402768A205F}"/>
    <cellStyle name="20% - Énfasis5 6 2 2 2 3" xfId="20044" xr:uid="{958F0D47-A2A4-49F1-92A4-80D70206325A}"/>
    <cellStyle name="20% - Énfasis5 6 2 2 2 4" xfId="25835" xr:uid="{442C156E-1232-40A2-B566-DFF19010ADA9}"/>
    <cellStyle name="20% - Énfasis5 6 2 2 2 5" xfId="31709" xr:uid="{E3E5BC1C-C199-47B1-B332-A1C19F698B7D}"/>
    <cellStyle name="20% - Énfasis5 6 2 2 2 6" xfId="37579" xr:uid="{8FF69CD3-60EC-4439-9D39-22A28C8F29CA}"/>
    <cellStyle name="20% - Énfasis5 6 2 2 3" xfId="7479" xr:uid="{EE59F5D9-3EA0-40BF-B082-C0ED39D341BB}"/>
    <cellStyle name="20% - Énfasis5 6 2 2 3 2" xfId="21881" xr:uid="{59BF85D3-B847-44B7-A794-A2C2943A5496}"/>
    <cellStyle name="20% - Énfasis5 6 2 2 3 3" xfId="27713" xr:uid="{F8EBAA72-A253-4DA1-A090-F26AB8BBF6C5}"/>
    <cellStyle name="20% - Énfasis5 6 2 2 3 4" xfId="33595" xr:uid="{AB45D3CF-C44E-4CE0-BC31-7C3441757160}"/>
    <cellStyle name="20% - Énfasis5 6 2 2 3 5" xfId="39459" xr:uid="{FB72DE37-5D75-4E8B-8885-B2C4779A7033}"/>
    <cellStyle name="20% - Énfasis5 6 2 2 4" xfId="19111" xr:uid="{7E69098A-D189-4C2C-B55F-EF82C1925C81}"/>
    <cellStyle name="20% - Énfasis5 6 2 2 5" xfId="24864" xr:uid="{CCBB3690-F7B6-47D3-8949-690FDBF8E968}"/>
    <cellStyle name="20% - Énfasis5 6 2 2 6" xfId="30741" xr:uid="{6667D16B-8D2B-4ABF-9423-1E9568611B90}"/>
    <cellStyle name="20% - Énfasis5 6 2 2 7" xfId="36622" xr:uid="{93BEA28D-CA13-481E-B95F-0F86E0FE332F}"/>
    <cellStyle name="20% - Énfasis5 6 2 3" xfId="5099" xr:uid="{86EC2DD4-9CF3-45D5-B575-A05FA6E1B143}"/>
    <cellStyle name="20% - Énfasis5 6 2 3 2" xfId="7966" xr:uid="{17A5892D-A485-4AED-89CB-995D403C4C92}"/>
    <cellStyle name="20% - Énfasis5 6 2 3 2 2" xfId="22351" xr:uid="{51C97A1D-6294-4F99-85C1-FED09244DDE2}"/>
    <cellStyle name="20% - Énfasis5 6 2 3 2 3" xfId="28199" xr:uid="{BEEDC040-E670-4B5B-885F-CCD71D12FD8A}"/>
    <cellStyle name="20% - Énfasis5 6 2 3 2 4" xfId="34081" xr:uid="{E1993550-0CA2-41F6-B035-B1B9D0266EB9}"/>
    <cellStyle name="20% - Énfasis5 6 2 3 2 5" xfId="39945" xr:uid="{BDF47C78-879E-41FF-9363-177127694070}"/>
    <cellStyle name="20% - Énfasis5 6 2 3 3" xfId="19576" xr:uid="{9F6C7B54-DD76-476E-8FCA-9010E572356F}"/>
    <cellStyle name="20% - Énfasis5 6 2 3 4" xfId="25350" xr:uid="{EE80AD1C-F47D-49F4-9915-9DBBD0C2E60C}"/>
    <cellStyle name="20% - Énfasis5 6 2 3 5" xfId="31224" xr:uid="{53072BD2-7E17-4B49-B4B1-55B3E7695521}"/>
    <cellStyle name="20% - Énfasis5 6 2 3 6" xfId="37102" xr:uid="{0E589972-6961-43AC-8646-002A9FF48685}"/>
    <cellStyle name="20% - Énfasis5 6 2 4" xfId="6994" xr:uid="{0ADF48FB-AD93-4D3B-ADCB-776A6BC1AD6E}"/>
    <cellStyle name="20% - Énfasis5 6 2 4 2" xfId="21413" xr:uid="{9BF636EF-377C-4D64-A1E2-D06C8611251E}"/>
    <cellStyle name="20% - Énfasis5 6 2 4 3" xfId="27232" xr:uid="{A3178AAB-B045-47D0-B342-BA04774F9AD0}"/>
    <cellStyle name="20% - Énfasis5 6 2 4 4" xfId="33110" xr:uid="{7F929317-8B5D-4C23-A97B-E665705DAFDA}"/>
    <cellStyle name="20% - Énfasis5 6 2 4 5" xfId="38974" xr:uid="{8F00BBBF-76FF-466B-BBA6-6A2DF0FAA3AE}"/>
    <cellStyle name="20% - Énfasis5 6 2 5" xfId="18667" xr:uid="{9D21D942-E208-46B6-9DD7-68D5A0B9E088}"/>
    <cellStyle name="20% - Énfasis5 6 2 6" xfId="24381" xr:uid="{880775EE-4D66-4D5F-991D-12D99074D5B9}"/>
    <cellStyle name="20% - Énfasis5 6 2 7" xfId="30259" xr:uid="{C25D9B5C-AA7B-4DD7-BDC9-21AFC1EFA93E}"/>
    <cellStyle name="20% - Énfasis5 6 2 8" xfId="36138" xr:uid="{412FA050-1E35-49E3-A8BA-C00BC4EE2257}"/>
    <cellStyle name="20% - Énfasis5 6 3" xfId="4422" xr:uid="{D7E6D347-31BA-4E46-9ED8-681ACEDC0C93}"/>
    <cellStyle name="20% - Énfasis5 6 3 2" xfId="5388" xr:uid="{4AE03852-6395-4267-93C5-FBEB54E15597}"/>
    <cellStyle name="20% - Énfasis5 6 3 2 2" xfId="8255" xr:uid="{492122AA-9795-4977-AEA9-E4EF743A481A}"/>
    <cellStyle name="20% - Énfasis5 6 3 2 2 2" xfId="22631" xr:uid="{7029C44A-87C5-4F9D-9E04-C9E464F9E5B0}"/>
    <cellStyle name="20% - Énfasis5 6 3 2 2 3" xfId="28488" xr:uid="{E796AFA6-6764-41B6-A6A8-F7134AFCC4BE}"/>
    <cellStyle name="20% - Énfasis5 6 3 2 2 4" xfId="34370" xr:uid="{849AB849-D744-440D-89AE-D5AD364F5C69}"/>
    <cellStyle name="20% - Énfasis5 6 3 2 2 5" xfId="40234" xr:uid="{8B48BB1D-5ED4-475D-AABF-07E19271139A}"/>
    <cellStyle name="20% - Énfasis5 6 3 2 3" xfId="19855" xr:uid="{6BCAAB4A-2112-4147-9187-0AF4B2A2D28E}"/>
    <cellStyle name="20% - Énfasis5 6 3 2 4" xfId="25639" xr:uid="{32A8FA91-0DB9-4B8B-99D7-EFC7CF630CA3}"/>
    <cellStyle name="20% - Énfasis5 6 3 2 5" xfId="31513" xr:uid="{145CCB45-DC1C-4A09-BA76-6388A703159D}"/>
    <cellStyle name="20% - Énfasis5 6 3 2 6" xfId="37384" xr:uid="{63D4DAC8-54D3-4F64-9134-307597FFFD52}"/>
    <cellStyle name="20% - Énfasis5 6 3 3" xfId="7283" xr:uid="{7A2068F6-8D08-4A62-A67D-36D806F09EE8}"/>
    <cellStyle name="20% - Énfasis5 6 3 3 2" xfId="21690" xr:uid="{682D5800-5A66-4460-9A9D-165A21697700}"/>
    <cellStyle name="20% - Énfasis5 6 3 3 3" xfId="27517" xr:uid="{AB51FE61-F080-49E4-9175-BD9214FC42B6}"/>
    <cellStyle name="20% - Énfasis5 6 3 3 4" xfId="33399" xr:uid="{2DA5E0A7-0097-41B0-AE77-E23CE90B9BC2}"/>
    <cellStyle name="20% - Énfasis5 6 3 3 5" xfId="39263" xr:uid="{010F5E17-0CC6-4F80-910B-07FD3F3757CB}"/>
    <cellStyle name="20% - Énfasis5 6 3 4" xfId="18924" xr:uid="{9959AEE0-5658-44D3-A045-635EF8723C6B}"/>
    <cellStyle name="20% - Énfasis5 6 3 5" xfId="24668" xr:uid="{2AA78435-3B4F-4003-B8D4-1AC9D620B16E}"/>
    <cellStyle name="20% - Énfasis5 6 3 6" xfId="30547" xr:uid="{D6237940-E629-4133-BEF0-F62E68CC93DE}"/>
    <cellStyle name="20% - Énfasis5 6 3 7" xfId="36427" xr:uid="{1E5D0149-115A-45DF-95DF-D343EE306134}"/>
    <cellStyle name="20% - Énfasis5 6 4" xfId="4903" xr:uid="{5EDE1578-9CFE-4134-865A-833749CB4D18}"/>
    <cellStyle name="20% - Énfasis5 6 4 2" xfId="7770" xr:uid="{0731B73B-EE2E-4AAA-AADF-E334F59C98BF}"/>
    <cellStyle name="20% - Énfasis5 6 4 2 2" xfId="22160" xr:uid="{493FB7E9-0CAA-47E5-942D-254276F91A89}"/>
    <cellStyle name="20% - Énfasis5 6 4 2 3" xfId="28003" xr:uid="{D8F2AEA0-1E08-45BA-B95E-64DA88749302}"/>
    <cellStyle name="20% - Énfasis5 6 4 2 4" xfId="33885" xr:uid="{680F360C-72E5-433A-AB4B-40056A0B49E4}"/>
    <cellStyle name="20% - Énfasis5 6 4 2 5" xfId="39749" xr:uid="{11E26D46-169C-4C02-B41E-AA8B668D9D75}"/>
    <cellStyle name="20% - Énfasis5 6 4 3" xfId="19386" xr:uid="{F731F329-DF5F-45B0-8C08-E0A7F0D40CDD}"/>
    <cellStyle name="20% - Énfasis5 6 4 4" xfId="25154" xr:uid="{3CB97E2E-E91D-445C-99F5-546710D3D36C}"/>
    <cellStyle name="20% - Énfasis5 6 4 5" xfId="31028" xr:uid="{1DA7CDD1-52A5-4055-AA5B-E7EC3D8CAF12}"/>
    <cellStyle name="20% - Énfasis5 6 4 6" xfId="36907" xr:uid="{F4C8226E-CE8F-448E-8AA1-E67DA2702E92}"/>
    <cellStyle name="20% - Énfasis5 6 5" xfId="5913" xr:uid="{3CED34E5-7A6B-40AC-BF45-896A558D981C}"/>
    <cellStyle name="20% - Énfasis5 6 5 2" xfId="8782" xr:uid="{DCB5ADED-3AC1-483F-BC5E-3043B9ED2ED5}"/>
    <cellStyle name="20% - Énfasis5 6 5 2 2" xfId="23150" xr:uid="{FF7F6457-A6BE-4742-A232-82051B3DB04F}"/>
    <cellStyle name="20% - Énfasis5 6 5 2 3" xfId="29014" xr:uid="{CA53525D-F98D-45B5-BEAF-760F2DD686DE}"/>
    <cellStyle name="20% - Énfasis5 6 5 2 4" xfId="34896" xr:uid="{9CF78BE3-52C5-4FC8-A5C0-3A9FB2587207}"/>
    <cellStyle name="20% - Énfasis5 6 5 2 5" xfId="40760" xr:uid="{760E33A5-E0A4-4FE9-A0DF-048B69673476}"/>
    <cellStyle name="20% - Énfasis5 6 5 3" xfId="20364" xr:uid="{B404BD92-AB96-4C4E-9AC6-6EE5B38A85F2}"/>
    <cellStyle name="20% - Énfasis5 6 5 4" xfId="26164" xr:uid="{3E8E1A30-8BD3-4D7C-80D6-50172A98EA4A}"/>
    <cellStyle name="20% - Énfasis5 6 5 5" xfId="32039" xr:uid="{F88AEB2A-61EF-42C7-8DAA-8C93C5B039BE}"/>
    <cellStyle name="20% - Énfasis5 6 5 6" xfId="37905" xr:uid="{DBEE22BD-7A14-45BA-96A2-266CB3DD44FA}"/>
    <cellStyle name="20% - Énfasis5 6 6" xfId="6799" xr:uid="{B831D799-F57E-4FBF-ACF5-640C2D9AE7AC}"/>
    <cellStyle name="20% - Énfasis5 6 6 2" xfId="21223" xr:uid="{A3621063-3823-4B29-92CE-5DD4DAF3D7CF}"/>
    <cellStyle name="20% - Énfasis5 6 6 3" xfId="27038" xr:uid="{EC5A7EAF-19E1-48AE-A1D5-A043BF9A2CB3}"/>
    <cellStyle name="20% - Énfasis5 6 6 4" xfId="32914" xr:uid="{61F403A7-B394-452F-8ED9-4E125E935837}"/>
    <cellStyle name="20% - Énfasis5 6 6 5" xfId="38778" xr:uid="{51179903-9FEB-490D-A6BB-9A4A37D70030}"/>
    <cellStyle name="20% - Énfasis5 6 7" xfId="18470" xr:uid="{6D8FAE26-9660-4A14-B017-46A8D11D8AB0}"/>
    <cellStyle name="20% - Énfasis5 6 8" xfId="24178" xr:uid="{CECECCBA-9F4B-4BF8-814A-F861832EF189}"/>
    <cellStyle name="20% - Énfasis5 6 9" xfId="30056" xr:uid="{2976D2B8-1CB2-4779-86C5-3A14020EAC12}"/>
    <cellStyle name="20% - Énfasis5 7" xfId="3970" xr:uid="{B09366AF-8210-4199-811A-1E86AAAB9C1E}"/>
    <cellStyle name="20% - Énfasis5 7 10" xfId="35962" xr:uid="{027E0920-E32C-45E6-A3F6-7BF6E0F3A0BE}"/>
    <cellStyle name="20% - Énfasis5 7 2" xfId="4162" xr:uid="{1EA60B1D-DC8A-49A6-8D38-03053F32E29C}"/>
    <cellStyle name="20% - Énfasis5 7 2 2" xfId="4640" xr:uid="{E115DC47-9F94-418F-B541-F9D269BE851F}"/>
    <cellStyle name="20% - Énfasis5 7 2 2 2" xfId="5608" xr:uid="{549DC72D-F0E7-4D9F-A541-B2D288447027}"/>
    <cellStyle name="20% - Énfasis5 7 2 2 2 2" xfId="8475" xr:uid="{E55A7AFE-A683-4567-9E6A-0DD65DACD698}"/>
    <cellStyle name="20% - Énfasis5 7 2 2 2 2 2" xfId="22850" xr:uid="{B09C37AA-136D-4554-8E79-1A16D1D0D0A5}"/>
    <cellStyle name="20% - Énfasis5 7 2 2 2 2 3" xfId="28708" xr:uid="{EF08CA6C-6B23-4A10-9D39-5DE5863A8973}"/>
    <cellStyle name="20% - Énfasis5 7 2 2 2 2 4" xfId="34590" xr:uid="{696DED04-13E7-41C3-8235-F768969429DC}"/>
    <cellStyle name="20% - Énfasis5 7 2 2 2 2 5" xfId="40454" xr:uid="{CB71F0DF-2FAC-474B-AA50-DF000FC9F3CA}"/>
    <cellStyle name="20% - Énfasis5 7 2 2 2 3" xfId="20067" xr:uid="{9CAFBD71-54D3-4BF1-BB48-498173A86248}"/>
    <cellStyle name="20% - Énfasis5 7 2 2 2 4" xfId="25859" xr:uid="{C132D6AF-2659-48CB-A54E-E3623C45B403}"/>
    <cellStyle name="20% - Énfasis5 7 2 2 2 5" xfId="31733" xr:uid="{80FE2FB0-451D-41AC-875B-7A3D5EB5242F}"/>
    <cellStyle name="20% - Énfasis5 7 2 2 2 6" xfId="37603" xr:uid="{84A5CB15-4A42-4D84-9388-0A1E9D63801C}"/>
    <cellStyle name="20% - Énfasis5 7 2 2 3" xfId="7503" xr:uid="{5F46457C-6D55-4134-8796-B53A3A68EBBD}"/>
    <cellStyle name="20% - Énfasis5 7 2 2 3 2" xfId="21904" xr:uid="{FAF0AE2C-1256-45D8-B9EE-F8906FC74A49}"/>
    <cellStyle name="20% - Énfasis5 7 2 2 3 3" xfId="27737" xr:uid="{1BA7E4AB-7B7E-4D4A-ABA6-2DE7124DA579}"/>
    <cellStyle name="20% - Énfasis5 7 2 2 3 4" xfId="33619" xr:uid="{CAE55473-AD31-4A76-ACAF-341B50A89586}"/>
    <cellStyle name="20% - Énfasis5 7 2 2 3 5" xfId="39483" xr:uid="{8B6FED70-5587-4087-924D-C4B9DD34AB21}"/>
    <cellStyle name="20% - Énfasis5 7 2 2 4" xfId="19134" xr:uid="{8D074151-0370-4849-8C9E-FDBF7B8F210A}"/>
    <cellStyle name="20% - Énfasis5 7 2 2 5" xfId="24888" xr:uid="{8E8C3082-1A47-48BA-B8C2-64953A3264E7}"/>
    <cellStyle name="20% - Énfasis5 7 2 2 6" xfId="30764" xr:uid="{2322BA4C-1C14-4135-B284-AD1D4F560372}"/>
    <cellStyle name="20% - Énfasis5 7 2 2 7" xfId="36646" xr:uid="{07161A6A-BDD6-4EF0-94BB-9D1877E3A427}"/>
    <cellStyle name="20% - Énfasis5 7 2 3" xfId="5123" xr:uid="{F92846D8-8F0D-4363-94B6-E3CAC0A5CF80}"/>
    <cellStyle name="20% - Énfasis5 7 2 3 2" xfId="7990" xr:uid="{AD3589F8-530B-4D44-AD9E-2D60256E1BA7}"/>
    <cellStyle name="20% - Énfasis5 7 2 3 2 2" xfId="22375" xr:uid="{99119B8B-8A49-4594-9AD7-AE43B3BD4A65}"/>
    <cellStyle name="20% - Énfasis5 7 2 3 2 3" xfId="28223" xr:uid="{E1C4BB61-C2C3-4B83-90AF-7AD45A4AAFA8}"/>
    <cellStyle name="20% - Énfasis5 7 2 3 2 4" xfId="34105" xr:uid="{29B4BBCE-AE78-4288-91B1-4759FCB45ECC}"/>
    <cellStyle name="20% - Énfasis5 7 2 3 2 5" xfId="39969" xr:uid="{F79B888D-2B03-4A44-A69C-4DDAC3D011DB}"/>
    <cellStyle name="20% - Énfasis5 7 2 3 3" xfId="19598" xr:uid="{4E67B6FB-974E-45EA-86D4-37D0B02E20DE}"/>
    <cellStyle name="20% - Énfasis5 7 2 3 4" xfId="25374" xr:uid="{9DAC5A03-773E-4980-B981-FB89C497B9C0}"/>
    <cellStyle name="20% - Énfasis5 7 2 3 5" xfId="31248" xr:uid="{7F093B57-788B-4D18-B9A2-76A4B579C909}"/>
    <cellStyle name="20% - Énfasis5 7 2 3 6" xfId="37126" xr:uid="{89483700-34D7-4711-BBF7-9309D110A109}"/>
    <cellStyle name="20% - Énfasis5 7 2 4" xfId="7018" xr:uid="{516B6750-A342-4AB7-A74D-A77F51951231}"/>
    <cellStyle name="20% - Énfasis5 7 2 4 2" xfId="21435" xr:uid="{FEAC0AD5-C3A0-41CA-A79B-E8B1BA9D5D2A}"/>
    <cellStyle name="20% - Énfasis5 7 2 4 3" xfId="27256" xr:uid="{3CEC17DD-B186-4BA0-AC83-5F5B9DD891D6}"/>
    <cellStyle name="20% - Énfasis5 7 2 4 4" xfId="33134" xr:uid="{641C9134-854E-4340-8136-DAE47875EB3F}"/>
    <cellStyle name="20% - Énfasis5 7 2 4 5" xfId="38998" xr:uid="{B3C85CB4-2E42-4D5A-ADDD-A6CCF3C4983F}"/>
    <cellStyle name="20% - Énfasis5 7 2 5" xfId="18690" xr:uid="{517A2869-1636-4DDE-BC22-1C99D03B6AB6}"/>
    <cellStyle name="20% - Énfasis5 7 2 6" xfId="24405" xr:uid="{2008F78E-4504-4D2F-8FFF-5DEBCAEDF51D}"/>
    <cellStyle name="20% - Énfasis5 7 2 7" xfId="30282" xr:uid="{E2F822A5-34A4-4AB5-9887-F724F75375C5}"/>
    <cellStyle name="20% - Énfasis5 7 2 8" xfId="36162" xr:uid="{116112F8-AEF7-44C7-A83A-7730190F2697}"/>
    <cellStyle name="20% - Énfasis5 7 3" xfId="4445" xr:uid="{01A8CDD4-7794-458D-BBDD-76913DDED65B}"/>
    <cellStyle name="20% - Énfasis5 7 3 2" xfId="5412" xr:uid="{D61C73EB-4F10-49D7-B0B1-7BB899734E83}"/>
    <cellStyle name="20% - Énfasis5 7 3 2 2" xfId="8279" xr:uid="{B222B8A2-B821-4834-A2E5-F0AE3E52158A}"/>
    <cellStyle name="20% - Énfasis5 7 3 2 2 2" xfId="22655" xr:uid="{730F66D0-2B54-40E8-A936-3F3AFA44BABA}"/>
    <cellStyle name="20% - Énfasis5 7 3 2 2 3" xfId="28512" xr:uid="{19A977C9-5B49-4476-A36A-8B76F9346F57}"/>
    <cellStyle name="20% - Énfasis5 7 3 2 2 4" xfId="34394" xr:uid="{0198FFFF-D0CE-4534-A8FE-B98D18DD4A24}"/>
    <cellStyle name="20% - Énfasis5 7 3 2 2 5" xfId="40258" xr:uid="{AEAA7333-D2C9-4957-BED5-2E23B89E5801}"/>
    <cellStyle name="20% - Énfasis5 7 3 2 3" xfId="19877" xr:uid="{270D0F74-21E3-49D0-9079-FFE0B2D238C5}"/>
    <cellStyle name="20% - Énfasis5 7 3 2 4" xfId="25663" xr:uid="{3E7BC415-C8B5-47BC-9ECB-B5C7C79F5469}"/>
    <cellStyle name="20% - Énfasis5 7 3 2 5" xfId="31537" xr:uid="{EB3F8E6B-01F6-4521-9486-7ED528932764}"/>
    <cellStyle name="20% - Énfasis5 7 3 2 6" xfId="37408" xr:uid="{2B0CE308-D714-4F07-AA65-41DC72FB1813}"/>
    <cellStyle name="20% - Énfasis5 7 3 3" xfId="7307" xr:uid="{B5175737-91E6-43C1-BF02-195F5908BFBF}"/>
    <cellStyle name="20% - Énfasis5 7 3 3 2" xfId="21712" xr:uid="{DCE0E909-801C-4FC4-BD1E-78D4AC99AA05}"/>
    <cellStyle name="20% - Énfasis5 7 3 3 3" xfId="27541" xr:uid="{B924DDCD-8BF5-4CD6-8D63-71974CB09315}"/>
    <cellStyle name="20% - Énfasis5 7 3 3 4" xfId="33423" xr:uid="{B5AEAE2D-22CA-4C4A-AB8F-090EFACB681A}"/>
    <cellStyle name="20% - Énfasis5 7 3 3 5" xfId="39287" xr:uid="{FC97A16A-C6CE-484D-8607-14A5A107D0F7}"/>
    <cellStyle name="20% - Énfasis5 7 3 4" xfId="18948" xr:uid="{6D400AA3-C2D1-4EB7-BCF4-BA5D6D40AF09}"/>
    <cellStyle name="20% - Énfasis5 7 3 5" xfId="24692" xr:uid="{2ABD4823-0AAD-4051-B3D5-22D6D5A32069}"/>
    <cellStyle name="20% - Énfasis5 7 3 6" xfId="30570" xr:uid="{682895D2-7E32-4852-843A-AF1BCDAD51A2}"/>
    <cellStyle name="20% - Énfasis5 7 3 7" xfId="36451" xr:uid="{CC28CA0E-FF15-48B1-949C-580C193851F2}"/>
    <cellStyle name="20% - Énfasis5 7 4" xfId="4927" xr:uid="{C73DB694-086B-4032-8B64-A9011A740255}"/>
    <cellStyle name="20% - Énfasis5 7 4 2" xfId="7794" xr:uid="{136D354D-AE64-4A30-982B-C1C4822DAD5C}"/>
    <cellStyle name="20% - Énfasis5 7 4 2 2" xfId="22182" xr:uid="{7F96D3C4-9141-47D6-A821-4F81C8A466FC}"/>
    <cellStyle name="20% - Énfasis5 7 4 2 3" xfId="28027" xr:uid="{AA4BAF48-C9B0-4F39-93B9-6B7DD0E1C725}"/>
    <cellStyle name="20% - Énfasis5 7 4 2 4" xfId="33909" xr:uid="{554959C3-4B9D-468F-8F3F-8E0328F0D5B1}"/>
    <cellStyle name="20% - Énfasis5 7 4 2 5" xfId="39773" xr:uid="{FEF85E97-AF42-448F-9628-20EDC7EA73B9}"/>
    <cellStyle name="20% - Énfasis5 7 4 3" xfId="19409" xr:uid="{2DD532B5-E488-4E1B-9ADF-D7F6F8D661E2}"/>
    <cellStyle name="20% - Énfasis5 7 4 4" xfId="25178" xr:uid="{5ACB6550-9801-46A1-B53F-A49A945B3D8E}"/>
    <cellStyle name="20% - Énfasis5 7 4 5" xfId="31052" xr:uid="{89D1A8B0-FDDD-4F87-927A-7C4080FA2347}"/>
    <cellStyle name="20% - Énfasis5 7 4 6" xfId="36931" xr:uid="{4F300708-FC0E-4B79-8CB6-BB697620FC64}"/>
    <cellStyle name="20% - Énfasis5 7 5" xfId="5937" xr:uid="{D2BFC3AE-65E9-4EE3-8EE9-2D827B6CF74F}"/>
    <cellStyle name="20% - Énfasis5 7 5 2" xfId="8806" xr:uid="{4D1C0FF1-6F66-4E94-8AD3-323751EE9C67}"/>
    <cellStyle name="20% - Énfasis5 7 5 2 2" xfId="23173" xr:uid="{98E52124-BF52-437C-BE27-21AD6C4C20D5}"/>
    <cellStyle name="20% - Énfasis5 7 5 2 3" xfId="29038" xr:uid="{147717FB-85C3-4726-A686-0C5D4D6363C0}"/>
    <cellStyle name="20% - Énfasis5 7 5 2 4" xfId="34920" xr:uid="{9234DE3F-E92F-41A4-9B0A-DC46E7356D3D}"/>
    <cellStyle name="20% - Énfasis5 7 5 2 5" xfId="40784" xr:uid="{6ADDF33B-0CFB-4944-9058-6FD505B2D260}"/>
    <cellStyle name="20% - Énfasis5 7 5 3" xfId="20387" xr:uid="{C5A1F693-90CF-4B58-A562-5ECAB2916B4B}"/>
    <cellStyle name="20% - Énfasis5 7 5 4" xfId="26188" xr:uid="{919EBA1A-DF03-42DB-B9BE-44BE4FBC63E8}"/>
    <cellStyle name="20% - Énfasis5 7 5 5" xfId="32063" xr:uid="{71F44F83-C8B2-4816-92F6-DC4CC1F50DBE}"/>
    <cellStyle name="20% - Énfasis5 7 5 6" xfId="37929" xr:uid="{798CC9AD-A546-4DFB-AB35-B08D3DD5C334}"/>
    <cellStyle name="20% - Énfasis5 7 6" xfId="6823" xr:uid="{F5E90D47-55E7-4216-8372-A92FA084144C}"/>
    <cellStyle name="20% - Énfasis5 7 6 2" xfId="21246" xr:uid="{535E63F8-9580-4E22-980B-8DFE1D35EC8B}"/>
    <cellStyle name="20% - Énfasis5 7 6 3" xfId="27062" xr:uid="{2A0EB05F-DD7D-487A-8A0A-028BB05920D6}"/>
    <cellStyle name="20% - Énfasis5 7 6 4" xfId="32938" xr:uid="{8C4DAAC0-BC22-41F6-89DB-06D3E33643EC}"/>
    <cellStyle name="20% - Énfasis5 7 6 5" xfId="38802" xr:uid="{D2C35D0F-68F8-4A00-B212-9C74725CAC22}"/>
    <cellStyle name="20% - Énfasis5 7 7" xfId="18496" xr:uid="{CFD62748-014B-4A48-A2B3-D129E62737C8}"/>
    <cellStyle name="20% - Énfasis5 7 8" xfId="24204" xr:uid="{A834A692-22C4-4A0E-85BB-EDC3E2D5D7BE}"/>
    <cellStyle name="20% - Énfasis5 7 9" xfId="30082" xr:uid="{E89682B1-FDFE-4882-9404-234D19C987FF}"/>
    <cellStyle name="20% - Énfasis5 8" xfId="3996" xr:uid="{E1025F09-AD05-448C-9160-A1FF1D3291A8}"/>
    <cellStyle name="20% - Énfasis5 8 10" xfId="35990" xr:uid="{D950D1EE-6F3E-4210-BC54-1D1412FFB177}"/>
    <cellStyle name="20% - Énfasis5 8 2" xfId="4188" xr:uid="{B3EC7BCC-F187-40F9-BE55-B5BF0FB81535}"/>
    <cellStyle name="20% - Énfasis5 8 2 2" xfId="4666" xr:uid="{E4310EA3-0637-4E9F-A91F-2FFA92046938}"/>
    <cellStyle name="20% - Énfasis5 8 2 2 2" xfId="5634" xr:uid="{0C6CF10A-EAEB-41B1-BC6F-4F3B4D968B8E}"/>
    <cellStyle name="20% - Énfasis5 8 2 2 2 2" xfId="8501" xr:uid="{656248B3-FDC8-4BBA-8B02-B3D422EA6E7F}"/>
    <cellStyle name="20% - Énfasis5 8 2 2 2 2 2" xfId="22875" xr:uid="{60ACF7D8-8209-423C-A6FD-F9B40F96AB39}"/>
    <cellStyle name="20% - Énfasis5 8 2 2 2 2 3" xfId="28734" xr:uid="{F5286B61-587A-40FD-8D22-54C7D3FB73A0}"/>
    <cellStyle name="20% - Énfasis5 8 2 2 2 2 4" xfId="34616" xr:uid="{DDF27944-AC36-4139-963B-B5FAEEBDBB47}"/>
    <cellStyle name="20% - Énfasis5 8 2 2 2 2 5" xfId="40480" xr:uid="{0DC96200-72E9-4EFB-A5E2-1247933CC1FB}"/>
    <cellStyle name="20% - Énfasis5 8 2 2 2 3" xfId="20093" xr:uid="{9635ADF9-CE68-4CDE-A7E4-59F8C6FBA72F}"/>
    <cellStyle name="20% - Énfasis5 8 2 2 2 4" xfId="25885" xr:uid="{385876E8-BAFE-4464-888A-40B7CEE27E4B}"/>
    <cellStyle name="20% - Énfasis5 8 2 2 2 5" xfId="31759" xr:uid="{BB939437-1173-40FA-8395-8876347DC164}"/>
    <cellStyle name="20% - Énfasis5 8 2 2 2 6" xfId="37628" xr:uid="{BA89FA29-C8B5-4B60-B771-C4A8024D337E}"/>
    <cellStyle name="20% - Énfasis5 8 2 2 3" xfId="7529" xr:uid="{9ACF2C2A-2F2E-4F92-9F28-5C813764B62B}"/>
    <cellStyle name="20% - Énfasis5 8 2 2 3 2" xfId="21929" xr:uid="{9A9C9507-CDF6-431C-8C2B-6424B43BE18E}"/>
    <cellStyle name="20% - Énfasis5 8 2 2 3 3" xfId="27763" xr:uid="{7831C341-D3BE-4B5A-A2C1-9AED698247B9}"/>
    <cellStyle name="20% - Énfasis5 8 2 2 3 4" xfId="33645" xr:uid="{FD32A3C4-5850-4180-96D7-106AF0374845}"/>
    <cellStyle name="20% - Énfasis5 8 2 2 3 5" xfId="39509" xr:uid="{AF6DAFBD-293B-4AC8-BFEF-7D3339315D9C}"/>
    <cellStyle name="20% - Énfasis5 8 2 2 4" xfId="19158" xr:uid="{CAF3EE17-7495-4C80-B4AD-BD5F03EDFA56}"/>
    <cellStyle name="20% - Énfasis5 8 2 2 5" xfId="24914" xr:uid="{82C6EC41-34DC-4C51-93A7-6786626A2DC1}"/>
    <cellStyle name="20% - Énfasis5 8 2 2 6" xfId="30790" xr:uid="{32CA7632-6A0D-4F3F-84E7-1B068689F6AC}"/>
    <cellStyle name="20% - Énfasis5 8 2 2 7" xfId="36671" xr:uid="{1980941C-DC4E-4043-AB6C-6804260C6010}"/>
    <cellStyle name="20% - Énfasis5 8 2 3" xfId="5149" xr:uid="{BE6815F5-ABF8-48DF-8797-39FD982FC3E3}"/>
    <cellStyle name="20% - Énfasis5 8 2 3 2" xfId="8016" xr:uid="{3FB429C0-7AFB-409B-A072-7420E140294D}"/>
    <cellStyle name="20% - Énfasis5 8 2 3 2 2" xfId="22400" xr:uid="{FB38051A-73B3-4ABB-9BA9-80C6E0E1873C}"/>
    <cellStyle name="20% - Énfasis5 8 2 3 2 3" xfId="28249" xr:uid="{AEDBC61E-4CBE-4AE8-B2D8-8CEB978ED094}"/>
    <cellStyle name="20% - Énfasis5 8 2 3 2 4" xfId="34131" xr:uid="{03525FB7-00EB-44BE-B1AE-09CDBE2BE1D2}"/>
    <cellStyle name="20% - Énfasis5 8 2 3 2 5" xfId="39995" xr:uid="{1C0EB69D-FC26-4915-B246-CBCCB29362DB}"/>
    <cellStyle name="20% - Énfasis5 8 2 3 3" xfId="19623" xr:uid="{0E22FE56-95E8-4709-B786-0AAEEC2980DF}"/>
    <cellStyle name="20% - Énfasis5 8 2 3 4" xfId="25400" xr:uid="{21762992-9D27-4DE6-9282-854B3A795B48}"/>
    <cellStyle name="20% - Énfasis5 8 2 3 5" xfId="31274" xr:uid="{4B79A689-C0E2-4280-8F18-7F022CB311F9}"/>
    <cellStyle name="20% - Énfasis5 8 2 3 6" xfId="37151" xr:uid="{340F342E-73C1-4842-B3F4-C8C3F453546C}"/>
    <cellStyle name="20% - Énfasis5 8 2 4" xfId="7044" xr:uid="{6A2F70B8-3802-4392-9494-F47458E2DB9D}"/>
    <cellStyle name="20% - Énfasis5 8 2 4 2" xfId="21460" xr:uid="{A78CD30B-A289-46BA-91EE-6F2ACEBED46A}"/>
    <cellStyle name="20% - Énfasis5 8 2 4 3" xfId="27281" xr:uid="{85351FF4-4046-4FA7-8F42-D3E88E482FE8}"/>
    <cellStyle name="20% - Énfasis5 8 2 4 4" xfId="33160" xr:uid="{E97B43E6-301E-4F97-82DF-DF88A2F01B38}"/>
    <cellStyle name="20% - Énfasis5 8 2 4 5" xfId="39024" xr:uid="{5BB61F74-9A3B-48F5-96D7-6E3C813F75C5}"/>
    <cellStyle name="20% - Énfasis5 8 2 5" xfId="18715" xr:uid="{BE4AB41B-347E-4635-8FD7-804281E6437A}"/>
    <cellStyle name="20% - Énfasis5 8 2 6" xfId="24431" xr:uid="{54AE0C6E-5E65-45BC-8D60-EDBC95BE3D80}"/>
    <cellStyle name="20% - Énfasis5 8 2 7" xfId="30308" xr:uid="{B04A25CA-CB17-445A-B972-9F77B2A9FB9C}"/>
    <cellStyle name="20% - Énfasis5 8 2 8" xfId="36188" xr:uid="{230434BC-305C-4D52-8CC1-8B15C3DC6430}"/>
    <cellStyle name="20% - Énfasis5 8 3" xfId="4470" xr:uid="{4A4643D3-CA9B-4511-A144-EA80DD880A3A}"/>
    <cellStyle name="20% - Énfasis5 8 3 2" xfId="5438" xr:uid="{B513E59E-817E-4CB1-A6E9-836C2D519660}"/>
    <cellStyle name="20% - Énfasis5 8 3 2 2" xfId="8305" xr:uid="{2D4AC156-C944-439E-95A8-3A8853FD6422}"/>
    <cellStyle name="20% - Énfasis5 8 3 2 2 2" xfId="22681" xr:uid="{9CC57BF6-19E3-4E16-B214-269A67134EA0}"/>
    <cellStyle name="20% - Énfasis5 8 3 2 2 3" xfId="28538" xr:uid="{40F1D165-6532-4AAB-86B0-71532A8BD9F5}"/>
    <cellStyle name="20% - Énfasis5 8 3 2 2 4" xfId="34420" xr:uid="{05EEFE21-DDEA-45C9-89F7-D06CD314C378}"/>
    <cellStyle name="20% - Énfasis5 8 3 2 2 5" xfId="40284" xr:uid="{A9996104-2D1A-4F45-8EB0-9DDC54BEA7E2}"/>
    <cellStyle name="20% - Énfasis5 8 3 2 3" xfId="19902" xr:uid="{8383EF45-3601-4BA7-BFBF-4EE43D01FA2E}"/>
    <cellStyle name="20% - Énfasis5 8 3 2 4" xfId="25689" xr:uid="{05FCD10B-1425-4174-B6BD-85964A3C7634}"/>
    <cellStyle name="20% - Énfasis5 8 3 2 5" xfId="31563" xr:uid="{23BBE1A6-95D0-47B3-ADEF-0EBA80B49DDA}"/>
    <cellStyle name="20% - Énfasis5 8 3 2 6" xfId="37434" xr:uid="{4A8796AE-BDE1-465E-A285-3A047CA55372}"/>
    <cellStyle name="20% - Énfasis5 8 3 3" xfId="7333" xr:uid="{A1584DE7-82C8-4430-8A2B-0979E4CD24C3}"/>
    <cellStyle name="20% - Énfasis5 8 3 3 2" xfId="21737" xr:uid="{7AC66D06-8D82-4E17-B492-2911F289B4F9}"/>
    <cellStyle name="20% - Énfasis5 8 3 3 3" xfId="27567" xr:uid="{7DEF6CAA-07D6-4617-88E8-C3EF92791C37}"/>
    <cellStyle name="20% - Énfasis5 8 3 3 4" xfId="33449" xr:uid="{1257FDDF-04B9-4753-BE4C-E4F9DF03AFA3}"/>
    <cellStyle name="20% - Énfasis5 8 3 3 5" xfId="39313" xr:uid="{F2CFFB80-9417-41BD-8CBA-F6CD2F078EAC}"/>
    <cellStyle name="20% - Énfasis5 8 3 4" xfId="18974" xr:uid="{206D791C-562E-45D8-B791-0B1F931D30BD}"/>
    <cellStyle name="20% - Énfasis5 8 3 5" xfId="24718" xr:uid="{556FBEAD-C78B-4CB1-9BFE-A6A70E7D98E4}"/>
    <cellStyle name="20% - Énfasis5 8 3 6" xfId="30596" xr:uid="{807F7C2D-516E-44D3-8EF3-2F3BFB3F870D}"/>
    <cellStyle name="20% - Énfasis5 8 3 7" xfId="36477" xr:uid="{9D2DBD08-503B-4194-B67B-776F6DA661AF}"/>
    <cellStyle name="20% - Énfasis5 8 4" xfId="4953" xr:uid="{0C450B15-38F7-4E30-92EA-6C102991D6B8}"/>
    <cellStyle name="20% - Énfasis5 8 4 2" xfId="7820" xr:uid="{D35E8526-4620-4C2D-A360-B063DC2CD424}"/>
    <cellStyle name="20% - Énfasis5 8 4 2 2" xfId="22207" xr:uid="{B7C0F378-6409-4220-B66A-6451CBD8960B}"/>
    <cellStyle name="20% - Énfasis5 8 4 2 3" xfId="28053" xr:uid="{62A0066F-1109-4430-9D03-6C5AE4F183F0}"/>
    <cellStyle name="20% - Énfasis5 8 4 2 4" xfId="33935" xr:uid="{88E16E3D-ACBA-4F9C-9A9B-887D82E2C232}"/>
    <cellStyle name="20% - Énfasis5 8 4 2 5" xfId="39799" xr:uid="{C36BD758-EB3B-4727-9A7C-2E2F1B875A9C}"/>
    <cellStyle name="20% - Énfasis5 8 4 3" xfId="19435" xr:uid="{983D7D06-F733-49AD-8D4A-C05685DE725B}"/>
    <cellStyle name="20% - Énfasis5 8 4 4" xfId="25204" xr:uid="{023027FB-D1D3-4EC9-B572-42AD2B45ADB9}"/>
    <cellStyle name="20% - Énfasis5 8 4 5" xfId="31078" xr:uid="{F4E38C1A-7E48-49A4-A56E-46547CEEB13B}"/>
    <cellStyle name="20% - Énfasis5 8 4 6" xfId="36957" xr:uid="{95783718-EA5C-44BE-8ECA-410F0E32FFA4}"/>
    <cellStyle name="20% - Énfasis5 8 5" xfId="5963" xr:uid="{90CFCB7D-2478-4455-9D9A-D26A25264431}"/>
    <cellStyle name="20% - Énfasis5 8 5 2" xfId="8832" xr:uid="{E59892C3-F668-4510-8854-ECFDDD090A0E}"/>
    <cellStyle name="20% - Énfasis5 8 5 2 2" xfId="23197" xr:uid="{24F82571-32C6-4819-9ABB-FDAC7552B32E}"/>
    <cellStyle name="20% - Énfasis5 8 5 2 3" xfId="29064" xr:uid="{78B982E1-7673-47B7-85D6-F8372A8F9A71}"/>
    <cellStyle name="20% - Énfasis5 8 5 2 4" xfId="34946" xr:uid="{A71810A4-A996-4899-ABCB-474B549FAB1E}"/>
    <cellStyle name="20% - Énfasis5 8 5 2 5" xfId="40810" xr:uid="{A48C4727-223A-4DBF-8A34-C7F7EE9DF8C3}"/>
    <cellStyle name="20% - Énfasis5 8 5 3" xfId="20413" xr:uid="{5CE30782-FE8C-40FC-83FD-9026B5EAC08A}"/>
    <cellStyle name="20% - Énfasis5 8 5 4" xfId="26214" xr:uid="{1FCB7813-72E5-4C03-A77E-BCE6ECAC3F59}"/>
    <cellStyle name="20% - Énfasis5 8 5 5" xfId="32089" xr:uid="{014518B4-1728-4783-8C0D-811E90A96F20}"/>
    <cellStyle name="20% - Énfasis5 8 5 6" xfId="37954" xr:uid="{2A2FA70F-B230-4149-ABEE-F41E03AE577E}"/>
    <cellStyle name="20% - Énfasis5 8 6" xfId="6849" xr:uid="{538140FA-F28B-43CE-98EC-FBC8B0DA286E}"/>
    <cellStyle name="20% - Énfasis5 8 6 2" xfId="21272" xr:uid="{434B3536-9C31-4EAD-82A0-C7F94755B2A6}"/>
    <cellStyle name="20% - Énfasis5 8 6 3" xfId="27087" xr:uid="{8BA43E48-34B4-4412-86BB-8D7E3F91F9D5}"/>
    <cellStyle name="20% - Énfasis5 8 6 4" xfId="32964" xr:uid="{168F33A0-3AF6-45E4-AA4F-7B9EA129810B}"/>
    <cellStyle name="20% - Énfasis5 8 6 5" xfId="38828" xr:uid="{89820206-96AA-436B-A528-F1F052A99C17}"/>
    <cellStyle name="20% - Énfasis5 8 7" xfId="18523" xr:uid="{7BD7B01A-BA71-4F7F-8A86-766DD2BB8824}"/>
    <cellStyle name="20% - Énfasis5 8 8" xfId="24232" xr:uid="{C54551C9-CE3E-4605-AA89-1C6D52AB364F}"/>
    <cellStyle name="20% - Énfasis5 8 9" xfId="30110" xr:uid="{0E5D73AF-AE62-434E-9AA9-A3826A904A8B}"/>
    <cellStyle name="20% - Énfasis5 9" xfId="4020" xr:uid="{20C581C5-B3F6-4028-A79D-6051374C8154}"/>
    <cellStyle name="20% - Énfasis5 9 2" xfId="4491" xr:uid="{809CAEDB-9C79-4AA0-991E-27B41FE9D6E1}"/>
    <cellStyle name="20% - Énfasis5 9 2 2" xfId="5459" xr:uid="{7D0BE05B-2F4B-4AA3-AB56-6928CF687DFE}"/>
    <cellStyle name="20% - Énfasis5 9 2 2 2" xfId="8326" xr:uid="{BE300FFD-A444-4332-867C-0C2058394FAD}"/>
    <cellStyle name="20% - Énfasis5 9 2 2 2 2" xfId="22702" xr:uid="{C91D1B07-A5B5-49EE-BAB5-31CA75561FE1}"/>
    <cellStyle name="20% - Énfasis5 9 2 2 2 3" xfId="28559" xr:uid="{C91C0CB4-0726-445F-B025-C81AB36D7C5A}"/>
    <cellStyle name="20% - Énfasis5 9 2 2 2 4" xfId="34441" xr:uid="{6FB3D388-740F-4213-81AE-9ECA3D39A226}"/>
    <cellStyle name="20% - Énfasis5 9 2 2 2 5" xfId="40305" xr:uid="{640925AE-B2AE-404C-B725-9EDB6D332DB4}"/>
    <cellStyle name="20% - Énfasis5 9 2 2 3" xfId="19922" xr:uid="{FC31AC07-CC6D-49A2-9B4B-5DE720F7EF4C}"/>
    <cellStyle name="20% - Énfasis5 9 2 2 4" xfId="25710" xr:uid="{3DCA6146-D83E-41B4-90FC-B8B4A29AA36C}"/>
    <cellStyle name="20% - Énfasis5 9 2 2 5" xfId="31584" xr:uid="{A700AA5D-6A47-4280-93D2-14C41871D6E8}"/>
    <cellStyle name="20% - Énfasis5 9 2 2 6" xfId="37455" xr:uid="{6C2C31C0-4ECA-4841-9EEE-DC42178CF123}"/>
    <cellStyle name="20% - Énfasis5 9 2 3" xfId="7354" xr:uid="{19BCED19-044D-4E11-AE01-DA0B4B871ED8}"/>
    <cellStyle name="20% - Énfasis5 9 2 3 2" xfId="21757" xr:uid="{F8189751-A856-4EAF-B180-915AD1EED978}"/>
    <cellStyle name="20% - Énfasis5 9 2 3 3" xfId="27588" xr:uid="{07062943-23AE-4C2A-A752-5EBBA098D38B}"/>
    <cellStyle name="20% - Énfasis5 9 2 3 4" xfId="33470" xr:uid="{5B54C29D-592D-41A0-8FE6-7354FC323085}"/>
    <cellStyle name="20% - Énfasis5 9 2 3 5" xfId="39334" xr:uid="{6C3838E4-C0D1-4078-A22D-187524257F6C}"/>
    <cellStyle name="20% - Énfasis5 9 2 4" xfId="18995" xr:uid="{4E6C0971-1756-4F94-959F-5FE7E538D9B8}"/>
    <cellStyle name="20% - Énfasis5 9 2 5" xfId="24739" xr:uid="{38D990B2-57ED-4F37-9024-F9C49584A792}"/>
    <cellStyle name="20% - Énfasis5 9 2 6" xfId="30616" xr:uid="{84D3C30A-B097-419A-A2B1-2BA29EED1847}"/>
    <cellStyle name="20% - Énfasis5 9 2 7" xfId="36498" xr:uid="{185F68E4-720B-431E-B8AD-935F2B931ED5}"/>
    <cellStyle name="20% - Énfasis5 9 3" xfId="4974" xr:uid="{5370914F-58C8-4A80-BFD4-80D9AE839829}"/>
    <cellStyle name="20% - Énfasis5 9 3 2" xfId="7841" xr:uid="{4D01EFE9-050F-4083-A8C3-4FFF00540B99}"/>
    <cellStyle name="20% - Énfasis5 9 3 2 2" xfId="22227" xr:uid="{EF8DA02B-EFC9-4813-9552-0713AA7E08BB}"/>
    <cellStyle name="20% - Énfasis5 9 3 2 3" xfId="28074" xr:uid="{8FDEEED3-9E18-495D-ADAA-6AA513EF101D}"/>
    <cellStyle name="20% - Énfasis5 9 3 2 4" xfId="33956" xr:uid="{EAD9166A-9B69-4AA0-B13E-757D8BA50AE8}"/>
    <cellStyle name="20% - Énfasis5 9 3 2 5" xfId="39820" xr:uid="{C5F31CA9-9CB1-4DCB-8D10-F29A112BCCF9}"/>
    <cellStyle name="20% - Énfasis5 9 3 3" xfId="19455" xr:uid="{9DEC64B8-D807-49E6-98AD-FEF5111D4AE7}"/>
    <cellStyle name="20% - Énfasis5 9 3 4" xfId="25225" xr:uid="{14311954-8A08-41AC-BEBE-B187047C8603}"/>
    <cellStyle name="20% - Énfasis5 9 3 5" xfId="31099" xr:uid="{F6A0B8C0-95B3-4DC2-8ED3-8289AB8A5028}"/>
    <cellStyle name="20% - Énfasis5 9 3 6" xfId="36978" xr:uid="{F79C2583-CCAC-4185-AF36-0815EC8DBCB3}"/>
    <cellStyle name="20% - Énfasis5 9 4" xfId="6870" xr:uid="{357E16FF-7382-4E40-83CB-978FADF3E710}"/>
    <cellStyle name="20% - Énfasis5 9 4 2" xfId="21292" xr:uid="{B4ABE81B-743D-4794-A8C3-AD38D8DAE395}"/>
    <cellStyle name="20% - Énfasis5 9 4 3" xfId="27108" xr:uid="{21E7C159-B18E-45F6-B5D9-F97E1E655FD7}"/>
    <cellStyle name="20% - Énfasis5 9 4 4" xfId="32985" xr:uid="{C53938B0-A87B-4B06-98A8-747245D832D3}"/>
    <cellStyle name="20% - Énfasis5 9 4 5" xfId="38849" xr:uid="{FB6A5C4A-C230-4BED-8B50-FE3DEF5CBBF8}"/>
    <cellStyle name="20% - Énfasis5 9 5" xfId="18546" xr:uid="{6FFCB54B-CF9D-47A2-A9D9-16613B3B6C8C}"/>
    <cellStyle name="20% - Énfasis5 9 6" xfId="24256" xr:uid="{A32F8553-9175-41A3-BF90-E8E44B4A32DA}"/>
    <cellStyle name="20% - Énfasis5 9 7" xfId="30134" xr:uid="{5BB07EBE-3CA7-4E45-AD80-889458544A88}"/>
    <cellStyle name="20% - Énfasis5 9 8" xfId="36013" xr:uid="{FE0A6147-27D3-4453-8ACB-C0C2F79EA422}"/>
    <cellStyle name="20% - Énfasis6" xfId="39" builtinId="50" customBuiltin="1"/>
    <cellStyle name="20% - Énfasis6 10" xfId="4215" xr:uid="{73C2802F-0460-43ED-857D-812C2D2DB7B8}"/>
    <cellStyle name="20% - Énfasis6 10 2" xfId="4693" xr:uid="{FB7FDE14-55ED-4AA8-9823-E969E58DC84F}"/>
    <cellStyle name="20% - Énfasis6 10 2 2" xfId="5661" xr:uid="{D84D01DB-085B-43F8-BB31-7C952CEC579F}"/>
    <cellStyle name="20% - Énfasis6 10 2 2 2" xfId="8529" xr:uid="{0E6D4F14-0EB1-4581-87B6-CD9188CD4F23}"/>
    <cellStyle name="20% - Énfasis6 10 2 2 2 2" xfId="22903" xr:uid="{917E412B-E2F4-436C-BACE-2A6734F7C349}"/>
    <cellStyle name="20% - Énfasis6 10 2 2 2 3" xfId="28762" xr:uid="{06CC9E8B-389B-49E7-B9D9-C59D6CC4BB88}"/>
    <cellStyle name="20% - Énfasis6 10 2 2 2 4" xfId="34644" xr:uid="{93F70674-DD28-4E09-9122-D1BC8D1C80C9}"/>
    <cellStyle name="20% - Énfasis6 10 2 2 2 5" xfId="40508" xr:uid="{F7FEAAA4-B4D8-4AD7-8276-A9313C50CD92}"/>
    <cellStyle name="20% - Énfasis6 10 2 2 3" xfId="20120" xr:uid="{5B3F1E44-0B97-4CFE-8117-A05F5FD2C2A2}"/>
    <cellStyle name="20% - Énfasis6 10 2 2 4" xfId="25912" xr:uid="{14029609-E0D3-449C-81C9-C53660D295E3}"/>
    <cellStyle name="20% - Énfasis6 10 2 2 5" xfId="31787" xr:uid="{BAF4DD4C-8043-46AC-B99B-3EDD2AA53504}"/>
    <cellStyle name="20% - Énfasis6 10 2 2 6" xfId="37656" xr:uid="{A8B704F6-C44F-4595-8454-13BA7E1CE293}"/>
    <cellStyle name="20% - Énfasis6 10 2 3" xfId="7557" xr:uid="{A99085F4-1D8F-4C75-B9EA-44DFDABB3EF0}"/>
    <cellStyle name="20% - Énfasis6 10 2 3 2" xfId="21955" xr:uid="{9FED6F97-514F-4BD3-ABAC-C419D52E77BE}"/>
    <cellStyle name="20% - Énfasis6 10 2 3 3" xfId="27791" xr:uid="{FD718EFE-1352-485A-AF09-43D16C54F28E}"/>
    <cellStyle name="20% - Énfasis6 10 2 3 4" xfId="33673" xr:uid="{209E2FD5-4B2C-4509-B8EF-2B19D41DC3D8}"/>
    <cellStyle name="20% - Énfasis6 10 2 3 5" xfId="39537" xr:uid="{5C898248-3B4B-4532-8611-F5A28707EA3A}"/>
    <cellStyle name="20% - Énfasis6 10 2 4" xfId="19186" xr:uid="{2D909D47-F8A1-4A1B-8204-9B3FCFD0B418}"/>
    <cellStyle name="20% - Énfasis6 10 2 5" xfId="24942" xr:uid="{223494DF-76EA-4435-BFAC-AA0FE11E3658}"/>
    <cellStyle name="20% - Énfasis6 10 2 6" xfId="30817" xr:uid="{5E5932EC-03E2-41FC-A116-2CC6B0DD31FC}"/>
    <cellStyle name="20% - Énfasis6 10 2 7" xfId="36699" xr:uid="{FE386D67-F776-44A1-806F-F68D9B254D27}"/>
    <cellStyle name="20% - Énfasis6 10 3" xfId="5177" xr:uid="{C2730D0D-A25D-45F5-91EC-574087E9D8B7}"/>
    <cellStyle name="20% - Énfasis6 10 3 2" xfId="8044" xr:uid="{55A55A53-5B41-4AB6-B4BF-B75523C75B8C}"/>
    <cellStyle name="20% - Énfasis6 10 3 2 2" xfId="22427" xr:uid="{ABC17791-DF9E-4C9B-B6E6-D9C1E8BD110A}"/>
    <cellStyle name="20% - Énfasis6 10 3 2 3" xfId="28277" xr:uid="{71DEB90A-5D88-4FF9-AD51-D73E6A40897A}"/>
    <cellStyle name="20% - Énfasis6 10 3 2 4" xfId="34159" xr:uid="{6E3EF22A-BD3E-42DB-875F-0C2072D98DB1}"/>
    <cellStyle name="20% - Énfasis6 10 3 2 5" xfId="40023" xr:uid="{7E16E876-E1A9-4BFF-B1A1-897F80E93E6A}"/>
    <cellStyle name="20% - Énfasis6 10 3 3" xfId="19650" xr:uid="{3EEBA76A-923E-4D1F-B32C-DB3CDE8AC5E4}"/>
    <cellStyle name="20% - Énfasis6 10 3 4" xfId="25428" xr:uid="{54B9C6F0-A057-4BF3-81B9-ACF27FF6B116}"/>
    <cellStyle name="20% - Énfasis6 10 3 5" xfId="31302" xr:uid="{3E31325E-031E-47B4-AC6C-6E42BF148EF5}"/>
    <cellStyle name="20% - Énfasis6 10 3 6" xfId="37179" xr:uid="{310EEC5B-9ADA-4676-94EE-14828ACE1038}"/>
    <cellStyle name="20% - Énfasis6 10 4" xfId="7072" xr:uid="{C463A33A-E8C0-4975-9F73-2A2E0139C95D}"/>
    <cellStyle name="20% - Énfasis6 10 4 2" xfId="21487" xr:uid="{5F560F27-04D4-48E4-8749-786030B4D7E7}"/>
    <cellStyle name="20% - Énfasis6 10 4 3" xfId="27309" xr:uid="{776FBFDA-6AD3-4EA4-BD87-9B8EFF5D2268}"/>
    <cellStyle name="20% - Énfasis6 10 4 4" xfId="33188" xr:uid="{EB3CD48D-7C25-49AF-9D6A-82099E273159}"/>
    <cellStyle name="20% - Énfasis6 10 4 5" xfId="39052" xr:uid="{BEC4C345-D62D-4DD2-8A88-AC43AB3C30A1}"/>
    <cellStyle name="20% - Énfasis6 10 5" xfId="18743" xr:uid="{EC518C86-9834-4CFB-B75F-7A3173FF4973}"/>
    <cellStyle name="20% - Énfasis6 10 6" xfId="24459" xr:uid="{C6DFF324-69A0-4D16-8B19-7022170A71E7}"/>
    <cellStyle name="20% - Énfasis6 10 7" xfId="30335" xr:uid="{49E29ECA-24BA-47CA-B8BA-996A33019555}"/>
    <cellStyle name="20% - Énfasis6 10 8" xfId="36216" xr:uid="{69938E18-7BEA-44AD-9270-5C715F2A0C25}"/>
    <cellStyle name="20% - Énfasis6 11" xfId="4251" xr:uid="{6F0EF9C4-B992-4B62-B9F0-3B98E1B0CA9C}"/>
    <cellStyle name="20% - Énfasis6 11 2" xfId="4730" xr:uid="{40D929ED-3B94-4819-A7E0-8D4399FFB63C}"/>
    <cellStyle name="20% - Énfasis6 11 2 2" xfId="5698" xr:uid="{82A6D220-6749-49B5-A708-B6EC0D32D7C3}"/>
    <cellStyle name="20% - Énfasis6 11 2 2 2" xfId="8566" xr:uid="{AC2F7B18-3081-4662-9801-35F0C254A214}"/>
    <cellStyle name="20% - Énfasis6 11 2 2 2 2" xfId="22938" xr:uid="{09A85095-22B0-4F0B-9B89-68010441746D}"/>
    <cellStyle name="20% - Énfasis6 11 2 2 2 3" xfId="28799" xr:uid="{1405BBAC-E148-4433-BE3E-DD9F951784C0}"/>
    <cellStyle name="20% - Énfasis6 11 2 2 2 4" xfId="34681" xr:uid="{25593151-DAA9-4394-B73D-78857212B68F}"/>
    <cellStyle name="20% - Énfasis6 11 2 2 2 5" xfId="40545" xr:uid="{34760C4A-850B-4897-BA94-F88BF3F9669A}"/>
    <cellStyle name="20% - Énfasis6 11 2 2 3" xfId="20155" xr:uid="{2006BB06-8691-4711-9708-830F815560D5}"/>
    <cellStyle name="20% - Énfasis6 11 2 2 4" xfId="25949" xr:uid="{FFE78B00-4D9A-4ED5-864B-D0156FBB6177}"/>
    <cellStyle name="20% - Énfasis6 11 2 2 5" xfId="31824" xr:uid="{63409A23-A9AE-47B0-9A23-00D9F8005112}"/>
    <cellStyle name="20% - Énfasis6 11 2 2 6" xfId="37691" xr:uid="{36C9748C-8D78-44A9-BA1E-95D0121B3055}"/>
    <cellStyle name="20% - Énfasis6 11 2 3" xfId="7594" xr:uid="{56C9DE4E-646F-424D-937C-F91B80CAACBF}"/>
    <cellStyle name="20% - Énfasis6 11 2 3 2" xfId="21988" xr:uid="{0F56B9D3-2E82-456D-B88B-FB852ECC55EC}"/>
    <cellStyle name="20% - Énfasis6 11 2 3 3" xfId="27828" xr:uid="{7322616B-7AC9-443C-AE28-ABA0239B24E3}"/>
    <cellStyle name="20% - Énfasis6 11 2 3 4" xfId="33710" xr:uid="{C20EBFF1-A9F7-44E9-818E-1A76573F1C14}"/>
    <cellStyle name="20% - Énfasis6 11 2 3 5" xfId="39574" xr:uid="{940CF787-6FEE-455F-B8BC-42DE5A315575}"/>
    <cellStyle name="20% - Énfasis6 11 2 4" xfId="19220" xr:uid="{B892AE7D-0252-4D88-97E4-8DCA21265C6E}"/>
    <cellStyle name="20% - Énfasis6 11 2 5" xfId="24979" xr:uid="{ABF60216-4940-4177-BDEC-1E8C6E87163B}"/>
    <cellStyle name="20% - Énfasis6 11 2 6" xfId="30853" xr:uid="{C443ABB5-7810-4C9B-9090-3062DB02718B}"/>
    <cellStyle name="20% - Énfasis6 11 2 7" xfId="36734" xr:uid="{F69D4B94-C492-4B90-8201-91EFC35B1E4B}"/>
    <cellStyle name="20% - Énfasis6 11 3" xfId="5214" xr:uid="{CCC1D129-C654-4F39-AB32-EADFE38D464D}"/>
    <cellStyle name="20% - Énfasis6 11 3 2" xfId="8081" xr:uid="{03CAEEC4-17A1-4609-AB52-629A38C7FBBA}"/>
    <cellStyle name="20% - Énfasis6 11 3 2 2" xfId="22459" xr:uid="{9E261B4F-0EF9-49E1-84B1-49972E6401BE}"/>
    <cellStyle name="20% - Énfasis6 11 3 2 3" xfId="28314" xr:uid="{60FA7720-7B1D-47C4-838F-F7FDC443FA2A}"/>
    <cellStyle name="20% - Énfasis6 11 3 2 4" xfId="34196" xr:uid="{B9C8E915-F900-4265-8B65-461E3170D881}"/>
    <cellStyle name="20% - Énfasis6 11 3 2 5" xfId="40060" xr:uid="{C513C374-7507-4224-8792-2A247AFBE7ED}"/>
    <cellStyle name="20% - Énfasis6 11 3 3" xfId="19685" xr:uid="{5267002E-48B2-42E1-BD76-2A91677AEDB3}"/>
    <cellStyle name="20% - Énfasis6 11 3 4" xfId="25465" xr:uid="{FB5BE74C-579F-4752-8E2B-B59E3BB3CCF3}"/>
    <cellStyle name="20% - Énfasis6 11 3 5" xfId="31339" xr:uid="{29DF62F1-1371-47F4-B3DE-4BE1CDE165BA}"/>
    <cellStyle name="20% - Énfasis6 11 3 6" xfId="37212" xr:uid="{1D92291F-6B24-4DC4-A607-0BB48726B8E5}"/>
    <cellStyle name="20% - Énfasis6 11 4" xfId="7109" xr:uid="{1D2CF176-E25F-4720-82EA-876E0592B022}"/>
    <cellStyle name="20% - Énfasis6 11 4 2" xfId="21521" xr:uid="{BF717D19-D01D-4C2B-8620-810F3FC92AA0}"/>
    <cellStyle name="20% - Énfasis6 11 4 3" xfId="27344" xr:uid="{508FFB52-FBD0-4AE1-ADF5-B5428BDAA7E4}"/>
    <cellStyle name="20% - Énfasis6 11 4 4" xfId="33225" xr:uid="{9BA9FA11-4E2C-4B56-9B49-22D5BDE71078}"/>
    <cellStyle name="20% - Énfasis6 11 4 5" xfId="39089" xr:uid="{DF48E191-951D-4254-A10E-6FB4C0934387}"/>
    <cellStyle name="20% - Énfasis6 11 5" xfId="18772" xr:uid="{98C2D0DF-5D9C-4ACE-BB7C-80A2192DD38D}"/>
    <cellStyle name="20% - Énfasis6 11 6" xfId="24494" xr:uid="{9A486A57-A6CE-4083-A01B-9F05CE856F9B}"/>
    <cellStyle name="20% - Énfasis6 11 7" xfId="30372" xr:uid="{811FDCE4-1607-4E3C-8C76-296065A6F038}"/>
    <cellStyle name="20% - Énfasis6 11 8" xfId="36253" xr:uid="{CF0019C0-709A-49A9-A232-532C2799BD31}"/>
    <cellStyle name="20% - Énfasis6 12" xfId="4300" xr:uid="{3B854CC9-A885-4D9D-A51C-0CDC8A7CD8CA}"/>
    <cellStyle name="20% - Énfasis6 12 2" xfId="5266" xr:uid="{1A0C3F9F-E99D-4EAE-AB03-BD2E86F74512}"/>
    <cellStyle name="20% - Énfasis6 12 2 2" xfId="8133" xr:uid="{EA1D78BF-4E2E-4AC0-A2D0-A3C1EFE5DC72}"/>
    <cellStyle name="20% - Énfasis6 12 2 2 2" xfId="22510" xr:uid="{58808E09-96C0-4926-AB5B-FB30E6B4B8CD}"/>
    <cellStyle name="20% - Énfasis6 12 2 2 3" xfId="28366" xr:uid="{A0B5EAD6-609E-4A08-94B7-95C6A2B0BCEF}"/>
    <cellStyle name="20% - Énfasis6 12 2 2 4" xfId="34248" xr:uid="{D0419E6E-C1DA-4A37-93E7-20375CB77554}"/>
    <cellStyle name="20% - Énfasis6 12 2 2 5" xfId="40112" xr:uid="{CA8D5491-77CB-48B2-A351-8EBB17D656E9}"/>
    <cellStyle name="20% - Énfasis6 12 2 3" xfId="19736" xr:uid="{0567B837-9EBB-4B98-BA09-5BDB0F11BA60}"/>
    <cellStyle name="20% - Énfasis6 12 2 4" xfId="25517" xr:uid="{B7498C7D-AD33-4266-A521-3857243226DC}"/>
    <cellStyle name="20% - Énfasis6 12 2 5" xfId="31391" xr:uid="{7E9CE301-C804-42B7-95E6-63357113D140}"/>
    <cellStyle name="20% - Énfasis6 12 2 6" xfId="37263" xr:uid="{00C30555-B656-451C-8B3B-EB2A7DECA760}"/>
    <cellStyle name="20% - Énfasis6 12 3" xfId="7161" xr:uid="{46CCBE1D-03B1-48E2-8960-64D31A982804}"/>
    <cellStyle name="20% - Énfasis6 12 3 2" xfId="21572" xr:uid="{9E72B9A3-2FB4-430D-932A-20FD102EE84A}"/>
    <cellStyle name="20% - Énfasis6 12 3 3" xfId="27395" xr:uid="{D742DD51-C836-41FB-AF5A-D654B5A11EFD}"/>
    <cellStyle name="20% - Énfasis6 12 3 4" xfId="33277" xr:uid="{930DF436-D922-499D-8EB2-5BA6AE4CB339}"/>
    <cellStyle name="20% - Énfasis6 12 3 5" xfId="39141" xr:uid="{CCD201BB-4F6C-4ADF-9774-C8D3AADFE35F}"/>
    <cellStyle name="20% - Énfasis6 12 4" xfId="18808" xr:uid="{29D10EB0-4F35-4EAE-947F-4B53B16085C9}"/>
    <cellStyle name="20% - Énfasis6 12 5" xfId="24546" xr:uid="{7B2720CF-BD02-4201-ADCB-A82D5EFCD39C}"/>
    <cellStyle name="20% - Énfasis6 12 6" xfId="30425" xr:uid="{857F5851-4488-4D60-AFA4-4B811ED302EF}"/>
    <cellStyle name="20% - Énfasis6 12 7" xfId="36306" xr:uid="{4467EC78-03ED-4033-977C-80C51B402202}"/>
    <cellStyle name="20% - Énfasis6 13" xfId="4785" xr:uid="{EE963FDC-AE1C-4FD9-B202-184BCF9505A4}"/>
    <cellStyle name="20% - Énfasis6 13 2" xfId="7648" xr:uid="{8908394E-24BD-4B80-A257-14BA2EEF0406}"/>
    <cellStyle name="20% - Énfasis6 13 2 2" xfId="22041" xr:uid="{2997F4AE-532E-4F16-AD0D-6EDFCAE642CE}"/>
    <cellStyle name="20% - Énfasis6 13 2 3" xfId="27882" xr:uid="{D99CF908-5CF3-4C4B-A45E-76853D1DFF8A}"/>
    <cellStyle name="20% - Énfasis6 13 2 4" xfId="33764" xr:uid="{96403735-149D-42EF-AF4B-62F97735C939}"/>
    <cellStyle name="20% - Énfasis6 13 2 5" xfId="39628" xr:uid="{26B4A701-15B7-4F0D-A14C-8681AF4E817B}"/>
    <cellStyle name="20% - Énfasis6 13 3" xfId="19267" xr:uid="{4955CD90-ED2B-432A-B09C-8A4737C2BDAB}"/>
    <cellStyle name="20% - Énfasis6 13 4" xfId="25033" xr:uid="{D212B92F-E20B-4AF8-AB47-34CD20DB45DE}"/>
    <cellStyle name="20% - Énfasis6 13 5" xfId="30907" xr:uid="{1B63CBC4-55BC-4FE4-B55E-959B26F66BDC}"/>
    <cellStyle name="20% - Énfasis6 13 6" xfId="36787" xr:uid="{83AF13E0-F35A-4F02-8446-299C7BF29FB0}"/>
    <cellStyle name="20% - Énfasis6 14" xfId="5751" xr:uid="{C4DAD700-806C-4CBB-A9F2-A3A6CD386706}"/>
    <cellStyle name="20% - Énfasis6 14 2" xfId="8620" xr:uid="{64E27057-C2A7-4D52-91E6-01EEA141F898}"/>
    <cellStyle name="20% - Énfasis6 14 2 2" xfId="22991" xr:uid="{7D04E654-CBD4-4480-AD5E-B095C3F9952A}"/>
    <cellStyle name="20% - Énfasis6 14 2 3" xfId="28853" xr:uid="{DE8F6726-AF8C-4C70-BFC7-E9F1E8C1CFE3}"/>
    <cellStyle name="20% - Énfasis6 14 2 4" xfId="34735" xr:uid="{17BDE917-49CF-4910-94D2-CBAF3AF6015E}"/>
    <cellStyle name="20% - Énfasis6 14 2 5" xfId="40599" xr:uid="{CB8DB828-2CCC-4736-8B7D-32F4DE2CC1DF}"/>
    <cellStyle name="20% - Énfasis6 14 3" xfId="20209" xr:uid="{195DB72D-3746-49AE-B1E0-7BD1CA16A6E8}"/>
    <cellStyle name="20% - Énfasis6 14 4" xfId="26003" xr:uid="{24F81398-B7EE-452E-B56C-6B0CDCAAD855}"/>
    <cellStyle name="20% - Énfasis6 14 5" xfId="31878" xr:uid="{BC5A5258-8EC2-40CD-8E9D-9F620EB2DA4B}"/>
    <cellStyle name="20% - Énfasis6 14 6" xfId="37744" xr:uid="{FD2924BC-F317-4015-A906-E333EF2AE8BB}"/>
    <cellStyle name="20% - Énfasis6 15" xfId="5771" xr:uid="{E3D8D50B-54E6-40A6-9F6C-9B7AE2728E92}"/>
    <cellStyle name="20% - Énfasis6 15 2" xfId="8640" xr:uid="{7EA95715-8EF8-4B5F-94FB-B0BFC7D261F8}"/>
    <cellStyle name="20% - Énfasis6 15 2 2" xfId="23011" xr:uid="{02E881FC-F76A-4440-816F-E0B669C9B838}"/>
    <cellStyle name="20% - Énfasis6 15 2 3" xfId="28873" xr:uid="{AA1ADF62-3D11-4065-A051-6FB1B7E6DA52}"/>
    <cellStyle name="20% - Énfasis6 15 2 4" xfId="34755" xr:uid="{50DBB5E3-AF28-4137-AE58-EA8461D8BB3B}"/>
    <cellStyle name="20% - Énfasis6 15 2 5" xfId="40619" xr:uid="{6AB2A14D-9764-41D4-8C7C-ED2F73DC4590}"/>
    <cellStyle name="20% - Énfasis6 15 3" xfId="20228" xr:uid="{B8D08412-5AF9-4656-A3E8-31437B603BCB}"/>
    <cellStyle name="20% - Énfasis6 15 4" xfId="26023" xr:uid="{B790001A-E517-46F6-80A7-B55C37E78FC7}"/>
    <cellStyle name="20% - Énfasis6 15 5" xfId="31898" xr:uid="{89092F0D-C86B-48A0-A544-E5BFACD3AAAA}"/>
    <cellStyle name="20% - Énfasis6 15 6" xfId="37764" xr:uid="{4F612433-8605-4398-818E-833232C06727}"/>
    <cellStyle name="20% - Énfasis6 16" xfId="5791" xr:uid="{7481C365-2F18-4EF7-BC51-EBDC1E4073B0}"/>
    <cellStyle name="20% - Énfasis6 16 2" xfId="8660" xr:uid="{B1F67D16-EC9F-4918-B494-38BF86ADF232}"/>
    <cellStyle name="20% - Énfasis6 16 2 2" xfId="23031" xr:uid="{A4491E34-8062-435A-AA06-41B52A14412C}"/>
    <cellStyle name="20% - Énfasis6 16 2 3" xfId="28893" xr:uid="{6ECF27F4-E103-4B85-AF49-D5125572F39A}"/>
    <cellStyle name="20% - Énfasis6 16 2 4" xfId="34775" xr:uid="{8410D090-72FB-4940-B8B1-AB46F3F5DA65}"/>
    <cellStyle name="20% - Énfasis6 16 2 5" xfId="40639" xr:uid="{C603D782-F0CA-40E5-9AD9-7D94A4C612D8}"/>
    <cellStyle name="20% - Énfasis6 16 3" xfId="20246" xr:uid="{4F74AFC6-54C3-40BD-AFE2-25F1B3F1F373}"/>
    <cellStyle name="20% - Énfasis6 16 4" xfId="26043" xr:uid="{E4F0A873-2619-4FF3-935E-40C5C820F89C}"/>
    <cellStyle name="20% - Énfasis6 16 5" xfId="31918" xr:uid="{A639D3DC-5F6B-48A9-8FBC-E4E3826D0E24}"/>
    <cellStyle name="20% - Énfasis6 16 6" xfId="37784" xr:uid="{2A2AAD23-E46E-4FED-94A3-41D473D37414}"/>
    <cellStyle name="20% - Énfasis6 17" xfId="5990" xr:uid="{D8642184-683B-44B0-9200-58EC59050043}"/>
    <cellStyle name="20% - Énfasis6 17 2" xfId="8859" xr:uid="{B5770FE5-F2E8-4DCA-BCC0-413569C31C44}"/>
    <cellStyle name="20% - Énfasis6 17 2 2" xfId="23223" xr:uid="{F9E0123C-8FA5-4B1D-BF00-DE06D46523DA}"/>
    <cellStyle name="20% - Énfasis6 17 2 3" xfId="29090" xr:uid="{2B254263-3AAB-42C3-A2D3-C7A9225DC6A6}"/>
    <cellStyle name="20% - Énfasis6 17 2 4" xfId="34972" xr:uid="{2474B0B4-2AFB-40F5-B52E-F81D3BE3DA0A}"/>
    <cellStyle name="20% - Énfasis6 17 2 5" xfId="40836" xr:uid="{164E6539-652B-40B9-A784-4CC58E3ABEA1}"/>
    <cellStyle name="20% - Énfasis6 17 3" xfId="20438" xr:uid="{1EDE9EC6-5E3F-4223-AF8B-9828707F03DD}"/>
    <cellStyle name="20% - Énfasis6 17 4" xfId="26240" xr:uid="{12263740-6026-4565-8268-52842DBCC77D}"/>
    <cellStyle name="20% - Énfasis6 17 5" xfId="32115" xr:uid="{19194963-9B99-4209-8490-8B2B8F03B968}"/>
    <cellStyle name="20% - Énfasis6 17 6" xfId="37980" xr:uid="{C9012035-D685-4A69-B3A5-73FDA25099AE}"/>
    <cellStyle name="20% - Énfasis6 18" xfId="6010" xr:uid="{9FAE2FE3-CECE-4BD1-A623-E4334FAAAB82}"/>
    <cellStyle name="20% - Énfasis6 18 2" xfId="8879" xr:uid="{8A6A72DD-45CE-4672-B86C-1F8084E83570}"/>
    <cellStyle name="20% - Énfasis6 18 2 2" xfId="23243" xr:uid="{963AA0EE-5C14-457C-83C5-92F7DBB6A150}"/>
    <cellStyle name="20% - Énfasis6 18 2 3" xfId="29110" xr:uid="{9710F609-61D9-467F-B980-57713C20C071}"/>
    <cellStyle name="20% - Énfasis6 18 2 4" xfId="34992" xr:uid="{0B420A1F-D5B4-4F05-98F6-F03346EAB660}"/>
    <cellStyle name="20% - Énfasis6 18 2 5" xfId="40856" xr:uid="{506E2CCF-E506-48A3-A9FE-F7836ED774E9}"/>
    <cellStyle name="20% - Énfasis6 18 3" xfId="20458" xr:uid="{32EBBCB9-56B2-4772-9F0F-A8B20D5183DF}"/>
    <cellStyle name="20% - Énfasis6 18 4" xfId="26260" xr:uid="{4C8B28A6-AF91-487B-A3B7-C5BE30717477}"/>
    <cellStyle name="20% - Énfasis6 18 5" xfId="32135" xr:uid="{E19CD263-7984-40D4-B3E3-6240660B7A01}"/>
    <cellStyle name="20% - Énfasis6 18 6" xfId="38000" xr:uid="{BEED01C5-4B76-430D-B3BB-9346DB83578A}"/>
    <cellStyle name="20% - Énfasis6 19" xfId="6030" xr:uid="{2C58424D-4122-42DD-9D72-EF62A41E8DC2}"/>
    <cellStyle name="20% - Énfasis6 19 2" xfId="8899" xr:uid="{D34DAA73-E54C-49C8-86EA-B0FCAD39E1F3}"/>
    <cellStyle name="20% - Énfasis6 19 2 2" xfId="23263" xr:uid="{56C0D7CC-8B44-4116-A885-319A03F22B0C}"/>
    <cellStyle name="20% - Énfasis6 19 2 3" xfId="29130" xr:uid="{B3BD3600-5F35-436E-AC13-35C04411692B}"/>
    <cellStyle name="20% - Énfasis6 19 2 4" xfId="35012" xr:uid="{D57F1417-D3E6-4B32-87A2-C8AA4A955601}"/>
    <cellStyle name="20% - Énfasis6 19 2 5" xfId="40876" xr:uid="{5549047B-34F3-4168-A7C3-DF1906A17BE3}"/>
    <cellStyle name="20% - Énfasis6 19 3" xfId="20478" xr:uid="{000D836A-5806-4478-8BED-9D970E396BF4}"/>
    <cellStyle name="20% - Énfasis6 19 4" xfId="26280" xr:uid="{72E5DD15-8B77-4C71-B467-9D1CE65483BD}"/>
    <cellStyle name="20% - Énfasis6 19 5" xfId="32155" xr:uid="{9F705AAE-468B-4760-85DC-18BDFEBA8997}"/>
    <cellStyle name="20% - Énfasis6 19 6" xfId="38020" xr:uid="{5BC9A8BB-27EB-4479-B15E-A628344D053D}"/>
    <cellStyle name="20% - Énfasis6 2" xfId="3850" xr:uid="{C05166A6-226F-43AF-BD4E-DD7A39A4DE54}"/>
    <cellStyle name="20% - Énfasis6 2 10" xfId="35835" xr:uid="{B0DDAD1A-45A7-4F13-9D66-2FE035ECB762}"/>
    <cellStyle name="20% - Énfasis6 2 2" xfId="4050" xr:uid="{6E2F7223-31F9-49F6-9CFB-48435B661E46}"/>
    <cellStyle name="20% - Énfasis6 2 2 2" xfId="4524" xr:uid="{0D3BE699-218E-4B1B-B834-5C5166A8C357}"/>
    <cellStyle name="20% - Énfasis6 2 2 2 2" xfId="5492" xr:uid="{756E85AE-54D2-4B02-BD8F-473D288130F1}"/>
    <cellStyle name="20% - Énfasis6 2 2 2 2 2" xfId="8359" xr:uid="{B6B58CC8-9211-49F1-9B76-72532B62C7EC}"/>
    <cellStyle name="20% - Énfasis6 2 2 2 2 2 2" xfId="22734" xr:uid="{A7402D3D-507B-4DFA-BBE7-7C19825B6AE6}"/>
    <cellStyle name="20% - Énfasis6 2 2 2 2 2 3" xfId="28592" xr:uid="{53B8077C-E88C-436B-84FE-14212A6A03A4}"/>
    <cellStyle name="20% - Énfasis6 2 2 2 2 2 4" xfId="34474" xr:uid="{8CC48216-66FE-48CD-B887-E22E24C30142}"/>
    <cellStyle name="20% - Énfasis6 2 2 2 2 2 5" xfId="40338" xr:uid="{DA3D62D9-D8E9-45AA-9DDB-79C73431AE41}"/>
    <cellStyle name="20% - Énfasis6 2 2 2 2 3" xfId="19953" xr:uid="{05674B2E-0205-40C5-A0FD-96FB5A3C0E19}"/>
    <cellStyle name="20% - Énfasis6 2 2 2 2 4" xfId="25743" xr:uid="{3F0FB581-6C6C-46D7-AC43-5C9727960156}"/>
    <cellStyle name="20% - Énfasis6 2 2 2 2 5" xfId="31617" xr:uid="{FA89356F-FBE6-4C60-B06C-BBC90B24EE73}"/>
    <cellStyle name="20% - Énfasis6 2 2 2 2 6" xfId="37487" xr:uid="{D8680759-2DEC-4E70-832A-16FB8F2A8C38}"/>
    <cellStyle name="20% - Énfasis6 2 2 2 3" xfId="7387" xr:uid="{051FC261-AF4B-4B76-BABE-AD554DA2C6FC}"/>
    <cellStyle name="20% - Énfasis6 2 2 2 3 2" xfId="21789" xr:uid="{899F463D-62FE-466B-83C1-548C1F81C240}"/>
    <cellStyle name="20% - Énfasis6 2 2 2 3 3" xfId="27621" xr:uid="{6F1555CE-ED6A-4F2C-8738-AE14AEEF3A17}"/>
    <cellStyle name="20% - Énfasis6 2 2 2 3 4" xfId="33503" xr:uid="{0A97FCA2-1463-4E2C-923D-C2C240FE143A}"/>
    <cellStyle name="20% - Énfasis6 2 2 2 3 5" xfId="39367" xr:uid="{B5BF8B52-699B-4CD9-8878-64084E73D62D}"/>
    <cellStyle name="20% - Énfasis6 2 2 2 4" xfId="19023" xr:uid="{BA68515C-13D9-4F25-978E-ADC1802C9939}"/>
    <cellStyle name="20% - Énfasis6 2 2 2 5" xfId="24772" xr:uid="{E42E65D0-8341-48F9-B264-4FF7286F9E99}"/>
    <cellStyle name="20% - Énfasis6 2 2 2 6" xfId="30649" xr:uid="{EE27F733-8EA7-4346-88D0-AD9A9E98A621}"/>
    <cellStyle name="20% - Énfasis6 2 2 2 7" xfId="36530" xr:uid="{E5F2F093-EC64-4FE6-AC7C-A8C8E5974EF4}"/>
    <cellStyle name="20% - Énfasis6 2 2 3" xfId="5007" xr:uid="{8866F9E6-2FFE-4421-B9AE-AED4F6450097}"/>
    <cellStyle name="20% - Énfasis6 2 2 3 2" xfId="7874" xr:uid="{F30EABA8-040A-4630-AB4B-8912AE63366B}"/>
    <cellStyle name="20% - Énfasis6 2 2 3 2 2" xfId="22259" xr:uid="{8246E2F0-0985-4D12-9C8B-E7549DBBD9D9}"/>
    <cellStyle name="20% - Énfasis6 2 2 3 2 3" xfId="28107" xr:uid="{7A4388B2-3508-4A20-855F-0A4BDB75CDD5}"/>
    <cellStyle name="20% - Énfasis6 2 2 3 2 4" xfId="33989" xr:uid="{FFDB6B5D-A2C8-495D-97B1-0D66FF89EA87}"/>
    <cellStyle name="20% - Énfasis6 2 2 3 2 5" xfId="39853" xr:uid="{D4E797E6-B5BE-48FE-A482-6AE67E91E3DB}"/>
    <cellStyle name="20% - Énfasis6 2 2 3 3" xfId="19486" xr:uid="{4ACC7AF9-5694-4ACF-BD89-1BD3263B3B29}"/>
    <cellStyle name="20% - Énfasis6 2 2 3 4" xfId="25258" xr:uid="{82435B0E-3523-4DD4-857A-43118E2AEDA3}"/>
    <cellStyle name="20% - Énfasis6 2 2 3 5" xfId="31132" xr:uid="{A77AB19D-8BA9-406B-91EF-E2031449AEF9}"/>
    <cellStyle name="20% - Énfasis6 2 2 3 6" xfId="37010" xr:uid="{B678A215-83D9-47D5-BCC7-0F7C49224F73}"/>
    <cellStyle name="20% - Énfasis6 2 2 4" xfId="6902" xr:uid="{F38342E4-0062-4199-8274-D04D04751F2C}"/>
    <cellStyle name="20% - Énfasis6 2 2 4 2" xfId="21323" xr:uid="{9589612C-5244-40A4-984F-D1469DC86057}"/>
    <cellStyle name="20% - Énfasis6 2 2 4 3" xfId="27140" xr:uid="{FCF623A7-0489-4381-B24A-8A6D7F50CF77}"/>
    <cellStyle name="20% - Énfasis6 2 2 4 4" xfId="33018" xr:uid="{0FC8DEF7-5A17-4468-B52D-67513C5E2A6B}"/>
    <cellStyle name="20% - Énfasis6 2 2 4 5" xfId="38882" xr:uid="{72497314-CAEC-4AD2-BF74-8F4B6722C25E}"/>
    <cellStyle name="20% - Énfasis6 2 2 5" xfId="18577" xr:uid="{7F83FA32-0077-4560-9699-5A59263BF39E}"/>
    <cellStyle name="20% - Énfasis6 2 2 6" xfId="24289" xr:uid="{247C44B2-3D1A-42CC-A752-763BC88C185C}"/>
    <cellStyle name="20% - Énfasis6 2 2 7" xfId="30167" xr:uid="{01A3BBA6-58FA-48AF-8529-B0FD0BAD72C7}"/>
    <cellStyle name="20% - Énfasis6 2 2 8" xfId="36046" xr:uid="{3BA6D669-9B0A-4F85-AF46-8842EB2A85FE}"/>
    <cellStyle name="20% - Énfasis6 2 3" xfId="4330" xr:uid="{C331F426-414A-4B51-811E-F1544DFE6071}"/>
    <cellStyle name="20% - Énfasis6 2 3 2" xfId="5296" xr:uid="{DD3AB453-2140-491B-B6D1-1F4F7792A54C}"/>
    <cellStyle name="20% - Énfasis6 2 3 2 2" xfId="8163" xr:uid="{CD37ADBE-D78C-4D1E-8810-74192B75DF70}"/>
    <cellStyle name="20% - Énfasis6 2 3 2 2 2" xfId="22539" xr:uid="{095118D0-4879-4781-8038-FB716A43EBE7}"/>
    <cellStyle name="20% - Énfasis6 2 3 2 2 3" xfId="28396" xr:uid="{D98EDB91-97B6-43BB-83B6-019A05C5132F}"/>
    <cellStyle name="20% - Énfasis6 2 3 2 2 4" xfId="34278" xr:uid="{E0B7E870-D479-4E16-B446-1E66547C9F63}"/>
    <cellStyle name="20% - Énfasis6 2 3 2 2 5" xfId="40142" xr:uid="{6EA5C8ED-06D9-4702-8AA3-930AC206BABB}"/>
    <cellStyle name="20% - Énfasis6 2 3 2 3" xfId="19764" xr:uid="{F60C15CE-EE45-44B0-8098-E327916FF84E}"/>
    <cellStyle name="20% - Énfasis6 2 3 2 4" xfId="25547" xr:uid="{69AEF138-4068-48E8-99CD-5ABD9EB41999}"/>
    <cellStyle name="20% - Énfasis6 2 3 2 5" xfId="31421" xr:uid="{CECE8B6A-F681-4D89-AB44-3345419519F8}"/>
    <cellStyle name="20% - Énfasis6 2 3 2 6" xfId="37292" xr:uid="{027C29D5-9647-417A-BA6E-E5C823DC2AFF}"/>
    <cellStyle name="20% - Énfasis6 2 3 3" xfId="7191" xr:uid="{3C49733D-4F13-4CE7-80F9-6F4DE2839272}"/>
    <cellStyle name="20% - Énfasis6 2 3 3 2" xfId="21598" xr:uid="{43BC214A-8085-4CDB-9E4D-92638AC5A82C}"/>
    <cellStyle name="20% - Énfasis6 2 3 3 3" xfId="27425" xr:uid="{83BA4477-414C-4D61-89B3-6DDB03BABCBA}"/>
    <cellStyle name="20% - Énfasis6 2 3 3 4" xfId="33307" xr:uid="{EC35B117-5DE6-4BAF-937F-8EBFA94F6DFF}"/>
    <cellStyle name="20% - Énfasis6 2 3 3 5" xfId="39171" xr:uid="{0CB1BA96-F9F6-44EF-BC1A-E00D2C3FA924}"/>
    <cellStyle name="20% - Énfasis6 2 3 4" xfId="18835" xr:uid="{F9947B48-942C-47A5-8F91-98DEB33B87F1}"/>
    <cellStyle name="20% - Énfasis6 2 3 5" xfId="24576" xr:uid="{02FC021F-FBF9-4359-8B35-C9F1A1D20937}"/>
    <cellStyle name="20% - Énfasis6 2 3 6" xfId="30455" xr:uid="{55C1AFC5-3E40-4641-8BF3-F287DEF23F2B}"/>
    <cellStyle name="20% - Énfasis6 2 3 7" xfId="36335" xr:uid="{FD7377A3-4D92-4C21-8B58-BA06B5919EEB}"/>
    <cellStyle name="20% - Énfasis6 2 4" xfId="4815" xr:uid="{768F986E-1928-4CA0-81BD-EBCFA006554C}"/>
    <cellStyle name="20% - Énfasis6 2 4 2" xfId="7678" xr:uid="{0B5DF037-845B-44C0-84C1-C5BD44D6BAD1}"/>
    <cellStyle name="20% - Énfasis6 2 4 2 2" xfId="22069" xr:uid="{BBBF5EEB-F484-4E9A-9918-C3EF9E1D6739}"/>
    <cellStyle name="20% - Énfasis6 2 4 2 3" xfId="27911" xr:uid="{895C4E01-3A18-41D6-97A2-2C363CFC6FE7}"/>
    <cellStyle name="20% - Énfasis6 2 4 2 4" xfId="33793" xr:uid="{0D33B22C-0D0A-4111-B9BB-C887F9BE3296}"/>
    <cellStyle name="20% - Énfasis6 2 4 2 5" xfId="39657" xr:uid="{74F08D90-B293-45EF-AA5D-ABC95F032478}"/>
    <cellStyle name="20% - Énfasis6 2 4 3" xfId="19294" xr:uid="{16358D51-2330-4AA5-9A8C-49980462F0F8}"/>
    <cellStyle name="20% - Énfasis6 2 4 4" xfId="25062" xr:uid="{8BCB420A-768D-4EEE-9480-5031CD54B8B6}"/>
    <cellStyle name="20% - Énfasis6 2 4 5" xfId="30936" xr:uid="{CD562A4E-901F-401D-9FD2-547A2547B1D7}"/>
    <cellStyle name="20% - Énfasis6 2 4 6" xfId="36815" xr:uid="{5CE581B8-3E72-41F1-A70D-41E3D7F158E1}"/>
    <cellStyle name="20% - Énfasis6 2 5" xfId="5821" xr:uid="{3AFC01D8-41AB-41E5-9848-95E73DEAE8A5}"/>
    <cellStyle name="20% - Énfasis6 2 5 2" xfId="8690" xr:uid="{CBCF765D-D8BD-40B5-9628-EB2BC0EA47DC}"/>
    <cellStyle name="20% - Énfasis6 2 5 2 2" xfId="23058" xr:uid="{95039F55-A635-4937-9580-B65133635328}"/>
    <cellStyle name="20% - Énfasis6 2 5 2 3" xfId="28922" xr:uid="{B57620C8-D0C5-4A15-80C8-A1E7D09083D0}"/>
    <cellStyle name="20% - Énfasis6 2 5 2 4" xfId="34804" xr:uid="{A4A34141-FD6B-43FE-9292-42B6EA09EA49}"/>
    <cellStyle name="20% - Énfasis6 2 5 2 5" xfId="40668" xr:uid="{61EB4D2B-AB0D-4359-885B-F82E2493C6E8}"/>
    <cellStyle name="20% - Énfasis6 2 5 3" xfId="20273" xr:uid="{4AD2BF3C-1E38-4C27-874D-8C9A8641D98D}"/>
    <cellStyle name="20% - Énfasis6 2 5 4" xfId="26072" xr:uid="{0B30B2F7-7A13-4773-AAB0-DBE636A08E27}"/>
    <cellStyle name="20% - Énfasis6 2 5 5" xfId="31947" xr:uid="{D11D847D-253A-4FC0-9275-2592F7CFDB3A}"/>
    <cellStyle name="20% - Énfasis6 2 5 6" xfId="37813" xr:uid="{4313BABD-BB0D-4B35-9621-91A203AD5D9D}"/>
    <cellStyle name="20% - Énfasis6 2 6" xfId="6707" xr:uid="{43264B94-0FFF-41C4-8D1A-CEB2773C0D9D}"/>
    <cellStyle name="20% - Énfasis6 2 6 2" xfId="21134" xr:uid="{E94115A7-E7BB-43C0-87D6-97FC5E5C292E}"/>
    <cellStyle name="20% - Énfasis6 2 6 3" xfId="26946" xr:uid="{1DF9F087-5F18-4978-817D-87382B3826C7}"/>
    <cellStyle name="20% - Énfasis6 2 6 4" xfId="32822" xr:uid="{8BDAFE42-5A02-4E30-AF01-0C5951F5B298}"/>
    <cellStyle name="20% - Énfasis6 2 6 5" xfId="38686" xr:uid="{D4E578DF-9361-4880-8439-F965DF901A97}"/>
    <cellStyle name="20% - Énfasis6 2 7" xfId="18368" xr:uid="{4407D0AF-965B-4C6C-92E5-0985250AE642}"/>
    <cellStyle name="20% - Énfasis6 2 8" xfId="24076" xr:uid="{EE45B0DA-18B3-4790-8B2E-4D4BAFF8CB07}"/>
    <cellStyle name="20% - Énfasis6 2 9" xfId="29954" xr:uid="{36C49963-43FE-4E9C-B80B-BA9773256CD0}"/>
    <cellStyle name="20% - Énfasis6 20" xfId="6050" xr:uid="{2EC10C41-BFE4-4085-B4F4-464AF90310B7}"/>
    <cellStyle name="20% - Énfasis6 20 2" xfId="8919" xr:uid="{5E1A779C-E519-4569-A721-F3131266E237}"/>
    <cellStyle name="20% - Énfasis6 20 2 2" xfId="23283" xr:uid="{6C1D8D37-55FD-4305-A5E8-E903549A920B}"/>
    <cellStyle name="20% - Énfasis6 20 2 3" xfId="29150" xr:uid="{D789F41C-30FF-411C-9E94-B099BD2D4991}"/>
    <cellStyle name="20% - Énfasis6 20 2 4" xfId="35032" xr:uid="{F5503619-93DE-44C9-B19D-3DEDE62E9A35}"/>
    <cellStyle name="20% - Énfasis6 20 2 5" xfId="40896" xr:uid="{9F1CC095-80F9-4560-96CB-731197A72198}"/>
    <cellStyle name="20% - Énfasis6 20 3" xfId="20498" xr:uid="{10ACD505-B9D6-42C2-B22E-48642F003725}"/>
    <cellStyle name="20% - Énfasis6 20 4" xfId="26300" xr:uid="{C04A318E-4CBB-4849-8A2D-A6A2007E9FDE}"/>
    <cellStyle name="20% - Énfasis6 20 5" xfId="32175" xr:uid="{2A40F499-64C8-404A-B1BD-78881499FD06}"/>
    <cellStyle name="20% - Énfasis6 20 6" xfId="38040" xr:uid="{C399645A-CFBA-44BD-AA85-84C1D47FD9B3}"/>
    <cellStyle name="20% - Énfasis6 21" xfId="6070" xr:uid="{FE212252-C6DC-4D51-97B1-9684259E6F97}"/>
    <cellStyle name="20% - Énfasis6 21 2" xfId="8939" xr:uid="{4176F1E0-C4CB-4A5D-A59E-A274FF7B9D7A}"/>
    <cellStyle name="20% - Énfasis6 21 2 2" xfId="23303" xr:uid="{FED1F79F-C079-4708-8A87-CD3FB7A0C7B3}"/>
    <cellStyle name="20% - Énfasis6 21 2 3" xfId="29170" xr:uid="{2969A199-2E2B-43DA-A9B7-E59BA018177E}"/>
    <cellStyle name="20% - Énfasis6 21 2 4" xfId="35052" xr:uid="{C2B900A8-15D6-42BF-BB4A-8618EE4C1091}"/>
    <cellStyle name="20% - Énfasis6 21 2 5" xfId="40916" xr:uid="{8E5401CC-7098-4A50-885D-BB0CF6E6C568}"/>
    <cellStyle name="20% - Énfasis6 21 3" xfId="20518" xr:uid="{D610ABF4-EEFD-4A2E-A512-389C669ED22F}"/>
    <cellStyle name="20% - Énfasis6 21 4" xfId="26320" xr:uid="{130D8873-BD7C-4673-8D01-B9121D3587E3}"/>
    <cellStyle name="20% - Énfasis6 21 5" xfId="32195" xr:uid="{2C1899E3-CD9A-4598-A2F0-63382D4E9E50}"/>
    <cellStyle name="20% - Énfasis6 21 6" xfId="38060" xr:uid="{37DCF634-47B9-4475-914C-D2695AD697F1}"/>
    <cellStyle name="20% - Énfasis6 22" xfId="6090" xr:uid="{E7B8F39A-132B-4F1F-9BB6-6E5B6A3DF7CF}"/>
    <cellStyle name="20% - Énfasis6 22 2" xfId="8959" xr:uid="{DE1BCE39-1F00-4D19-B92F-532325715941}"/>
    <cellStyle name="20% - Énfasis6 22 2 2" xfId="23323" xr:uid="{888EB91F-1CDC-4CBF-ABD0-BF119A79A2C3}"/>
    <cellStyle name="20% - Énfasis6 22 2 3" xfId="29190" xr:uid="{FD3006DA-974A-46A3-93F1-41CFEF1F1B70}"/>
    <cellStyle name="20% - Énfasis6 22 2 4" xfId="35072" xr:uid="{0C3EF425-6748-4F54-B4AA-109CA169880D}"/>
    <cellStyle name="20% - Énfasis6 22 2 5" xfId="40936" xr:uid="{8A906B1C-984E-436A-8788-ADB959717475}"/>
    <cellStyle name="20% - Énfasis6 22 3" xfId="20538" xr:uid="{7B293DA4-D2D7-4535-8C0A-77EF6256A143}"/>
    <cellStyle name="20% - Énfasis6 22 4" xfId="26340" xr:uid="{235963D5-2732-46A5-9835-27187B0FFF98}"/>
    <cellStyle name="20% - Énfasis6 22 5" xfId="32215" xr:uid="{63ADA562-F58B-4096-97A9-F70D75FCEEE6}"/>
    <cellStyle name="20% - Énfasis6 22 6" xfId="38080" xr:uid="{D205C803-7FF5-495A-BFDF-29C2CD2A6B70}"/>
    <cellStyle name="20% - Énfasis6 23" xfId="6110" xr:uid="{07E0B2E9-CA08-4D1A-A157-91237B99B0DA}"/>
    <cellStyle name="20% - Énfasis6 23 2" xfId="8979" xr:uid="{8D7AE052-0BA0-4785-8ECD-5CCA8A4645C3}"/>
    <cellStyle name="20% - Énfasis6 23 2 2" xfId="23343" xr:uid="{5A738F78-96A0-471B-A395-4806D2F9675B}"/>
    <cellStyle name="20% - Énfasis6 23 2 3" xfId="29210" xr:uid="{A67475D2-ACB8-4F10-8B58-B82EED917801}"/>
    <cellStyle name="20% - Énfasis6 23 2 4" xfId="35092" xr:uid="{4D0C0A07-034F-469F-917F-517FEDF91C43}"/>
    <cellStyle name="20% - Énfasis6 23 2 5" xfId="40956" xr:uid="{22B8E07D-5C7D-4BE2-B532-2FF809533106}"/>
    <cellStyle name="20% - Énfasis6 23 3" xfId="20558" xr:uid="{40C6433C-4E97-4969-9395-B74A7D98341C}"/>
    <cellStyle name="20% - Énfasis6 23 4" xfId="26360" xr:uid="{8D22DADF-DC11-4FFC-B9FE-9D182AC32C75}"/>
    <cellStyle name="20% - Énfasis6 23 5" xfId="32235" xr:uid="{8B3FEFC4-65A0-4129-82E2-EE3E6FC14FE9}"/>
    <cellStyle name="20% - Énfasis6 23 6" xfId="38100" xr:uid="{3A5B0989-5B2A-4953-BC77-FC427E587496}"/>
    <cellStyle name="20% - Énfasis6 24" xfId="6130" xr:uid="{1CF80B02-EE77-4C7F-A08D-59741F5D5CB5}"/>
    <cellStyle name="20% - Énfasis6 24 2" xfId="8999" xr:uid="{A94A576B-24B8-4B2E-9ED8-64D782BFEA59}"/>
    <cellStyle name="20% - Énfasis6 24 2 2" xfId="23363" xr:uid="{696EB2B3-0954-4D5E-BF3D-401EE3162F39}"/>
    <cellStyle name="20% - Énfasis6 24 2 3" xfId="29230" xr:uid="{C0D8BB1F-976F-493A-9872-6FE96388F4DE}"/>
    <cellStyle name="20% - Énfasis6 24 2 4" xfId="35112" xr:uid="{9255D174-A56E-4317-AB8C-60732E776971}"/>
    <cellStyle name="20% - Énfasis6 24 2 5" xfId="40976" xr:uid="{B1717951-BA81-4A15-AC3A-4EDA4DF58723}"/>
    <cellStyle name="20% - Énfasis6 24 3" xfId="20578" xr:uid="{EA880D15-FFCD-4481-8939-B71F3BA7A185}"/>
    <cellStyle name="20% - Énfasis6 24 4" xfId="26380" xr:uid="{AA8F0B55-6392-4DA6-8EF4-37A8449EE28A}"/>
    <cellStyle name="20% - Énfasis6 24 5" xfId="32255" xr:uid="{44A29FD2-B1F7-43E8-A4EF-CE8D2B1C3642}"/>
    <cellStyle name="20% - Énfasis6 24 6" xfId="38120" xr:uid="{ACFD2ACF-5DE1-487D-BA60-46E10965686B}"/>
    <cellStyle name="20% - Énfasis6 25" xfId="6150" xr:uid="{C189C182-0671-4CC5-A652-C4E66BFCC20E}"/>
    <cellStyle name="20% - Énfasis6 25 2" xfId="9019" xr:uid="{4D650324-8F04-42C2-8999-3133BFB55563}"/>
    <cellStyle name="20% - Énfasis6 25 2 2" xfId="23383" xr:uid="{2F07A171-E4E8-424C-AF70-B93A548A0921}"/>
    <cellStyle name="20% - Énfasis6 25 2 3" xfId="29250" xr:uid="{FE3F1637-1D8E-4ACD-AB56-416547D68AE2}"/>
    <cellStyle name="20% - Énfasis6 25 2 4" xfId="35132" xr:uid="{C026C60B-CCEC-4700-99E1-A14ACD1C4F62}"/>
    <cellStyle name="20% - Énfasis6 25 2 5" xfId="40995" xr:uid="{64CE2E79-CDA7-4B94-9E12-D43196F0F2D3}"/>
    <cellStyle name="20% - Énfasis6 25 3" xfId="20598" xr:uid="{DC392B5E-B629-47B0-B972-25373695F4A1}"/>
    <cellStyle name="20% - Énfasis6 25 4" xfId="26400" xr:uid="{DF59F3D9-C036-46FA-BB89-6E3F8A490F8D}"/>
    <cellStyle name="20% - Énfasis6 25 5" xfId="32275" xr:uid="{6385EBAD-55D0-467C-9802-4AC3B1C4C6C6}"/>
    <cellStyle name="20% - Énfasis6 25 6" xfId="38140" xr:uid="{68CDA0C4-50E8-4478-A46D-C919D597F0AB}"/>
    <cellStyle name="20% - Énfasis6 26" xfId="6170" xr:uid="{6E968850-ED80-47F3-BA00-8DFCC5740398}"/>
    <cellStyle name="20% - Énfasis6 26 2" xfId="9039" xr:uid="{19D832D0-17D8-4581-B126-6B00ED7CFCCF}"/>
    <cellStyle name="20% - Énfasis6 26 2 2" xfId="23403" xr:uid="{E61EF1C0-62FA-4701-AB31-B45A982AA31A}"/>
    <cellStyle name="20% - Énfasis6 26 2 3" xfId="29270" xr:uid="{78A14E7B-5CCD-4E76-9639-007B05D80884}"/>
    <cellStyle name="20% - Énfasis6 26 2 4" xfId="35152" xr:uid="{6F906E1D-D03C-4B8C-8C7F-12000EEA7816}"/>
    <cellStyle name="20% - Énfasis6 26 2 5" xfId="41014" xr:uid="{4D92456F-D0FA-4FFD-A44E-F03E573C293C}"/>
    <cellStyle name="20% - Énfasis6 26 3" xfId="20618" xr:uid="{D613D824-9946-47D8-A880-B93BD1065800}"/>
    <cellStyle name="20% - Énfasis6 26 4" xfId="26420" xr:uid="{6A82D7D4-279E-4B5E-B1A3-4F616C12F87A}"/>
    <cellStyle name="20% - Énfasis6 26 5" xfId="32295" xr:uid="{B87A0BAC-179F-4829-8958-F40343348D8E}"/>
    <cellStyle name="20% - Énfasis6 26 6" xfId="38160" xr:uid="{397109C2-8F21-4875-B33C-5668EEE14674}"/>
    <cellStyle name="20% - Énfasis6 27" xfId="6190" xr:uid="{7DF713FA-86B4-4C95-8FF7-B1643E7FE8FC}"/>
    <cellStyle name="20% - Énfasis6 27 2" xfId="9059" xr:uid="{A776E66E-4319-42FB-ACA0-E5FA8D15555B}"/>
    <cellStyle name="20% - Énfasis6 27 2 2" xfId="23423" xr:uid="{0C76F94A-3F03-4A12-BF98-12F9A16A39C2}"/>
    <cellStyle name="20% - Énfasis6 27 2 3" xfId="29290" xr:uid="{6C62F4CF-1877-4785-A852-BD3960D940C5}"/>
    <cellStyle name="20% - Énfasis6 27 2 4" xfId="35172" xr:uid="{C3C0CD96-C7FB-4456-9C08-CC1C4F85E901}"/>
    <cellStyle name="20% - Énfasis6 27 2 5" xfId="41034" xr:uid="{94688CC6-422A-4E8D-8CEB-E32238429E83}"/>
    <cellStyle name="20% - Énfasis6 27 3" xfId="20638" xr:uid="{D05B69B6-2B76-4858-97E6-BCBA8B62692C}"/>
    <cellStyle name="20% - Énfasis6 27 4" xfId="26440" xr:uid="{83815C13-E121-40CF-B233-DA41B8E6EC84}"/>
    <cellStyle name="20% - Énfasis6 27 5" xfId="32315" xr:uid="{2BC531AB-06C0-4270-9797-2174994A9DF1}"/>
    <cellStyle name="20% - Énfasis6 27 6" xfId="38180" xr:uid="{56404C28-AD6D-4C58-9A08-8ED3912E1CB3}"/>
    <cellStyle name="20% - Énfasis6 28" xfId="6212" xr:uid="{962EA1B9-E7DF-4D60-B05F-6DE23496D9A8}"/>
    <cellStyle name="20% - Énfasis6 28 2" xfId="9081" xr:uid="{CF04ECF9-E551-4377-9D13-460E1761C517}"/>
    <cellStyle name="20% - Énfasis6 28 2 2" xfId="23445" xr:uid="{148DB78C-B2BF-4E8C-9B6A-A9A982A65C91}"/>
    <cellStyle name="20% - Énfasis6 28 2 3" xfId="29312" xr:uid="{BAAAA3CB-2F6D-4B1E-A54E-FD483F02EE20}"/>
    <cellStyle name="20% - Énfasis6 28 2 4" xfId="35194" xr:uid="{9428492D-518F-4B53-92E9-09323FE7116E}"/>
    <cellStyle name="20% - Énfasis6 28 2 5" xfId="41055" xr:uid="{D0A27397-4A10-45E2-8D4B-EC10F17CD57D}"/>
    <cellStyle name="20% - Énfasis6 28 3" xfId="20660" xr:uid="{AC7AEB9E-AFB2-4D38-9241-AE51D0E2FBD8}"/>
    <cellStyle name="20% - Énfasis6 28 4" xfId="26462" xr:uid="{D50FA2D6-4FD0-4600-A104-344D2C378CD5}"/>
    <cellStyle name="20% - Énfasis6 28 5" xfId="32337" xr:uid="{1D58CFCC-1D6E-4F03-80EC-0B43346E25AB}"/>
    <cellStyle name="20% - Énfasis6 28 6" xfId="38202" xr:uid="{85C637E5-BD09-4AB5-A045-A2543DB4B0D8}"/>
    <cellStyle name="20% - Énfasis6 29" xfId="6249" xr:uid="{59C1B4E2-4892-4328-868D-F9B2C140B796}"/>
    <cellStyle name="20% - Énfasis6 29 2" xfId="9118" xr:uid="{513983BC-95BD-492B-9A56-0BC06479006D}"/>
    <cellStyle name="20% - Énfasis6 29 2 2" xfId="23482" xr:uid="{58846098-6DD3-4109-B1B0-035127084466}"/>
    <cellStyle name="20% - Énfasis6 29 2 3" xfId="29349" xr:uid="{B0C31248-6A9E-4DD8-BEB9-EF330B960417}"/>
    <cellStyle name="20% - Énfasis6 29 2 4" xfId="35231" xr:uid="{95EC5259-1079-46E6-B6D5-D25B8EBFFC97}"/>
    <cellStyle name="20% - Énfasis6 29 2 5" xfId="41091" xr:uid="{428A1CEB-9650-41DA-941F-3FA735F762DB}"/>
    <cellStyle name="20% - Énfasis6 29 3" xfId="20690" xr:uid="{7281F289-5504-4431-B1E7-D17B9E615C2A}"/>
    <cellStyle name="20% - Énfasis6 29 4" xfId="26499" xr:uid="{B98A9024-B35C-4004-9175-38BE5D0CFBEB}"/>
    <cellStyle name="20% - Énfasis6 29 5" xfId="32374" xr:uid="{CC6157DB-95CE-44B0-B630-48155E1123C6}"/>
    <cellStyle name="20% - Énfasis6 29 6" xfId="38239" xr:uid="{1BE7FAE4-2645-4204-9065-A532EDF70C1F}"/>
    <cellStyle name="20% - Énfasis6 3" xfId="3872" xr:uid="{EF003174-8FA0-47E8-894F-56136ADA5E90}"/>
    <cellStyle name="20% - Énfasis6 3 10" xfId="35862" xr:uid="{D8EDB520-C4A0-4C31-83C5-F5FC142E0F37}"/>
    <cellStyle name="20% - Énfasis6 3 2" xfId="4071" xr:uid="{2426BA90-12EF-4CDE-A3AC-892B9B9FE518}"/>
    <cellStyle name="20% - Énfasis6 3 2 2" xfId="4549" xr:uid="{D32A98B1-CC6F-4CDE-93ED-D2F285136CF7}"/>
    <cellStyle name="20% - Énfasis6 3 2 2 2" xfId="5517" xr:uid="{DF0EB6C6-CBCF-41A7-9981-C1360FFFFBE6}"/>
    <cellStyle name="20% - Énfasis6 3 2 2 2 2" xfId="8384" xr:uid="{6B15D595-A0A1-4023-9B4B-6BAF3C61AEEE}"/>
    <cellStyle name="20% - Énfasis6 3 2 2 2 2 2" xfId="22759" xr:uid="{8A5F0E95-DE94-4B85-A285-E974259A9F94}"/>
    <cellStyle name="20% - Énfasis6 3 2 2 2 2 3" xfId="28617" xr:uid="{E57DF188-D819-4285-96C3-D2D53E697425}"/>
    <cellStyle name="20% - Énfasis6 3 2 2 2 2 4" xfId="34499" xr:uid="{3C5C39AD-0FE1-4957-A04D-FE06079BA731}"/>
    <cellStyle name="20% - Énfasis6 3 2 2 2 2 5" xfId="40363" xr:uid="{21FEEAD9-1A3F-4058-A8E2-D0137FB72290}"/>
    <cellStyle name="20% - Énfasis6 3 2 2 2 3" xfId="19977" xr:uid="{54F1810F-C088-4A4C-8FEE-A3A5FC80D57C}"/>
    <cellStyle name="20% - Énfasis6 3 2 2 2 4" xfId="25768" xr:uid="{F2331165-EC21-4656-BD34-686DA2986094}"/>
    <cellStyle name="20% - Énfasis6 3 2 2 2 5" xfId="31642" xr:uid="{6E1A2571-7D7E-4DD9-BC1F-7B2BBF6BEB92}"/>
    <cellStyle name="20% - Énfasis6 3 2 2 2 6" xfId="37512" xr:uid="{650898F2-87F7-4289-A084-7965080EB548}"/>
    <cellStyle name="20% - Énfasis6 3 2 2 3" xfId="7412" xr:uid="{7CB57F4F-23ED-4B9C-9D6A-6AFBAB38D7EC}"/>
    <cellStyle name="20% - Énfasis6 3 2 2 3 2" xfId="21814" xr:uid="{D32117B6-3D56-455E-845D-6447BB14D1F1}"/>
    <cellStyle name="20% - Énfasis6 3 2 2 3 3" xfId="27646" xr:uid="{EACB2ACE-289E-49DA-B556-47F2EA9987AD}"/>
    <cellStyle name="20% - Énfasis6 3 2 2 3 4" xfId="33528" xr:uid="{332B32D7-926C-412F-BCBA-48AA8A18326F}"/>
    <cellStyle name="20% - Énfasis6 3 2 2 3 5" xfId="39392" xr:uid="{BBBB406B-BAE6-42D4-B79F-A408C4D329BD}"/>
    <cellStyle name="20% - Énfasis6 3 2 2 4" xfId="19045" xr:uid="{4DEAC6EF-B851-489E-93A7-384DE6CFCCF8}"/>
    <cellStyle name="20% - Énfasis6 3 2 2 5" xfId="24797" xr:uid="{A62AE00F-79C7-48D1-ACA4-47C0F13A70CA}"/>
    <cellStyle name="20% - Énfasis6 3 2 2 6" xfId="30674" xr:uid="{4545FE59-A32E-4AAD-843D-71A0CD155149}"/>
    <cellStyle name="20% - Énfasis6 3 2 2 7" xfId="36555" xr:uid="{971DBE1C-F6F4-475E-9CA8-F373C209F694}"/>
    <cellStyle name="20% - Énfasis6 3 2 3" xfId="5032" xr:uid="{C24F2FD0-53D7-46B3-974B-A1A0A03E4453}"/>
    <cellStyle name="20% - Énfasis6 3 2 3 2" xfId="7899" xr:uid="{30C5DF5E-4EA3-4313-AE97-DBF35080D8D8}"/>
    <cellStyle name="20% - Énfasis6 3 2 3 2 2" xfId="22284" xr:uid="{79702854-9E62-4E79-BF72-BDCE2A551CDC}"/>
    <cellStyle name="20% - Énfasis6 3 2 3 2 3" xfId="28132" xr:uid="{61CD03E9-04E5-4816-B833-24BC955B3F68}"/>
    <cellStyle name="20% - Énfasis6 3 2 3 2 4" xfId="34014" xr:uid="{C5327240-5571-421B-9258-EDAE5CA5999D}"/>
    <cellStyle name="20% - Énfasis6 3 2 3 2 5" xfId="39878" xr:uid="{72D878C6-1A1D-42A4-9DC9-228C4DD92A19}"/>
    <cellStyle name="20% - Énfasis6 3 2 3 3" xfId="19510" xr:uid="{433E5ED7-8200-49B3-BFD3-652FF2F3B11D}"/>
    <cellStyle name="20% - Énfasis6 3 2 3 4" xfId="25283" xr:uid="{DEB45417-2F30-470F-A614-D98D5D7C071A}"/>
    <cellStyle name="20% - Énfasis6 3 2 3 5" xfId="31157" xr:uid="{8786731E-1A9A-486A-8A75-AA073035B2E7}"/>
    <cellStyle name="20% - Énfasis6 3 2 3 6" xfId="37035" xr:uid="{0C6B031C-EDE1-4C5F-B3A5-DB55BAE63D44}"/>
    <cellStyle name="20% - Énfasis6 3 2 4" xfId="6927" xr:uid="{22624CF7-7EB3-430E-A36A-3496608C2936}"/>
    <cellStyle name="20% - Énfasis6 3 2 4 2" xfId="21347" xr:uid="{6F157167-BC58-4067-8685-5C82B5420E24}"/>
    <cellStyle name="20% - Énfasis6 3 2 4 3" xfId="27165" xr:uid="{B0212B4B-00A5-4A1E-9F28-C6CA66968E1C}"/>
    <cellStyle name="20% - Énfasis6 3 2 4 4" xfId="33043" xr:uid="{81CE9A43-DDD0-4CCF-8EB8-9B0CD2BE46F8}"/>
    <cellStyle name="20% - Énfasis6 3 2 4 5" xfId="38907" xr:uid="{D4F811E8-C1CD-416F-8217-DA1E03F88280}"/>
    <cellStyle name="20% - Énfasis6 3 2 5" xfId="18602" xr:uid="{80D84A86-8203-4568-96C3-143922505D7D}"/>
    <cellStyle name="20% - Énfasis6 3 2 6" xfId="24314" xr:uid="{B15E3D6B-70B3-4148-A778-7845474991D2}"/>
    <cellStyle name="20% - Énfasis6 3 2 7" xfId="30192" xr:uid="{C2A04F1C-8EAA-453F-8BEA-410199DF43F3}"/>
    <cellStyle name="20% - Énfasis6 3 2 8" xfId="36071" xr:uid="{31155C41-3F88-48F5-9370-D6AD05CA525D}"/>
    <cellStyle name="20% - Énfasis6 3 3" xfId="4355" xr:uid="{ACEA2420-CCA1-41E4-9CB2-65E0C7A4F364}"/>
    <cellStyle name="20% - Énfasis6 3 3 2" xfId="5321" xr:uid="{C52F17D6-B38A-43C8-9265-FFC8CDA1BEDB}"/>
    <cellStyle name="20% - Énfasis6 3 3 2 2" xfId="8188" xr:uid="{FCAE28F2-64DE-449F-93BA-E8EAEE7E86DA}"/>
    <cellStyle name="20% - Énfasis6 3 3 2 2 2" xfId="22564" xr:uid="{A337A67C-E9C9-4017-8D99-F1908608E7FD}"/>
    <cellStyle name="20% - Énfasis6 3 3 2 2 3" xfId="28421" xr:uid="{70C7EC1E-D341-4C03-817E-FFE67B7291E6}"/>
    <cellStyle name="20% - Énfasis6 3 3 2 2 4" xfId="34303" xr:uid="{BBD6B803-7078-4DC4-BF09-99FFAA7F6BDB}"/>
    <cellStyle name="20% - Énfasis6 3 3 2 2 5" xfId="40167" xr:uid="{50285CC6-F2B5-4B6D-9644-D8C5B9E23CE8}"/>
    <cellStyle name="20% - Énfasis6 3 3 2 3" xfId="19789" xr:uid="{F175E70A-0A54-4D44-91B2-1BCAEBB07DA4}"/>
    <cellStyle name="20% - Énfasis6 3 3 2 4" xfId="25572" xr:uid="{402EFBEC-8556-4A99-8462-36E043CEFF68}"/>
    <cellStyle name="20% - Énfasis6 3 3 2 5" xfId="31446" xr:uid="{2948D6F4-4503-4519-9C4C-088F8FBBB881}"/>
    <cellStyle name="20% - Énfasis6 3 3 2 6" xfId="37317" xr:uid="{69CF1E53-0C48-4A03-96A7-3807930BC2B2}"/>
    <cellStyle name="20% - Énfasis6 3 3 3" xfId="7216" xr:uid="{D6F08D63-CC02-40A9-B365-AAB2010B4865}"/>
    <cellStyle name="20% - Énfasis6 3 3 3 2" xfId="21623" xr:uid="{8AD65D44-BFDF-45C1-956C-45617BE2A498}"/>
    <cellStyle name="20% - Énfasis6 3 3 3 3" xfId="27450" xr:uid="{AF0CED58-AFA8-4828-8E56-14AE84B8804B}"/>
    <cellStyle name="20% - Énfasis6 3 3 3 4" xfId="33332" xr:uid="{5461A8CF-4A9F-4652-93EA-2899C0E8D099}"/>
    <cellStyle name="20% - Énfasis6 3 3 3 5" xfId="39196" xr:uid="{70F88B5E-C9F9-49BD-8CFB-B0A4032C6A26}"/>
    <cellStyle name="20% - Énfasis6 3 3 4" xfId="18860" xr:uid="{AA78AB73-C939-4E05-B5B2-E7FE9487760E}"/>
    <cellStyle name="20% - Énfasis6 3 3 5" xfId="24601" xr:uid="{02E0B90A-8578-4FDF-9E4B-4491C9D0BAF8}"/>
    <cellStyle name="20% - Énfasis6 3 3 6" xfId="30480" xr:uid="{F93CFE58-00F1-4841-AEFF-CABE4B18DB68}"/>
    <cellStyle name="20% - Énfasis6 3 3 7" xfId="36360" xr:uid="{F4A37A90-DD44-4BFE-BCDC-001C55838BB6}"/>
    <cellStyle name="20% - Énfasis6 3 4" xfId="4837" xr:uid="{815AFD9B-7522-4784-AE34-B0824D55CBBE}"/>
    <cellStyle name="20% - Énfasis6 3 4 2" xfId="7703" xr:uid="{C0FDE473-99AF-49A2-B471-11F95CA6DD4B}"/>
    <cellStyle name="20% - Énfasis6 3 4 2 2" xfId="22093" xr:uid="{DCDFD279-07AF-4D08-9ECE-CE634601107B}"/>
    <cellStyle name="20% - Énfasis6 3 4 2 3" xfId="27936" xr:uid="{95E53C74-FEF4-4668-89C0-CFC0CA2B8B02}"/>
    <cellStyle name="20% - Énfasis6 3 4 2 4" xfId="33818" xr:uid="{6D887B5D-4EE3-49EC-9557-DEDE0090113E}"/>
    <cellStyle name="20% - Énfasis6 3 4 2 5" xfId="39682" xr:uid="{D8211419-F0B9-493B-B260-B204F6A00136}"/>
    <cellStyle name="20% - Énfasis6 3 4 3" xfId="19319" xr:uid="{9066CCDF-287A-43D3-8F9B-8141B3DE37D2}"/>
    <cellStyle name="20% - Énfasis6 3 4 4" xfId="25087" xr:uid="{1A3E4BAF-8361-457F-9425-C2B7450A35C9}"/>
    <cellStyle name="20% - Énfasis6 3 4 5" xfId="30961" xr:uid="{1C5F1E63-68BB-4AC7-A968-1F4A6C4D279E}"/>
    <cellStyle name="20% - Énfasis6 3 4 6" xfId="36840" xr:uid="{1AE9FE6A-D11F-4853-8E8E-2A2EB6D08AF5}"/>
    <cellStyle name="20% - Énfasis6 3 5" xfId="5846" xr:uid="{AAD08709-D3D4-4E13-8A4D-1DDA583161C6}"/>
    <cellStyle name="20% - Énfasis6 3 5 2" xfId="8715" xr:uid="{E434EDCC-9658-4AFC-9505-BA620308A7AE}"/>
    <cellStyle name="20% - Énfasis6 3 5 2 2" xfId="23083" xr:uid="{97D0A189-2CFA-4458-997B-17B4F8FF2203}"/>
    <cellStyle name="20% - Énfasis6 3 5 2 3" xfId="28947" xr:uid="{064ECDEA-6588-4956-B33B-CFEB9A00B219}"/>
    <cellStyle name="20% - Énfasis6 3 5 2 4" xfId="34829" xr:uid="{837B29B2-8B23-4D15-AA6F-0BF1486CFB3E}"/>
    <cellStyle name="20% - Énfasis6 3 5 2 5" xfId="40693" xr:uid="{19C4E166-0171-4B69-9E77-F9B0A6C8CA2B}"/>
    <cellStyle name="20% - Énfasis6 3 5 3" xfId="20298" xr:uid="{595D6A64-3DEE-45EC-8630-33CB15394387}"/>
    <cellStyle name="20% - Énfasis6 3 5 4" xfId="26097" xr:uid="{3F4CFFD0-9DA7-491F-B42F-FF96D080B632}"/>
    <cellStyle name="20% - Énfasis6 3 5 5" xfId="31972" xr:uid="{23918429-1B41-463B-89E7-393FFC403C0C}"/>
    <cellStyle name="20% - Énfasis6 3 5 6" xfId="37838" xr:uid="{054B32A4-EE0D-45D9-A820-291EDA557FAA}"/>
    <cellStyle name="20% - Énfasis6 3 6" xfId="6732" xr:uid="{E72BF363-0D86-4B36-BB79-C015509597E1}"/>
    <cellStyle name="20% - Énfasis6 3 6 2" xfId="21156" xr:uid="{A70ED147-9E21-4C4E-B637-DEE84372EAE8}"/>
    <cellStyle name="20% - Énfasis6 3 6 3" xfId="26971" xr:uid="{295225D3-BDD1-4405-81D0-3728A5378BE1}"/>
    <cellStyle name="20% - Énfasis6 3 6 4" xfId="32847" xr:uid="{CF90DDAC-1CC5-4DC5-9F07-154B6308449F}"/>
    <cellStyle name="20% - Énfasis6 3 6 5" xfId="38711" xr:uid="{380DDB50-C153-49D7-B088-92FBF189E312}"/>
    <cellStyle name="20% - Énfasis6 3 7" xfId="18394" xr:uid="{DEFAD7B1-5E2B-4EDC-83D6-A3992F28B40F}"/>
    <cellStyle name="20% - Énfasis6 3 8" xfId="24103" xr:uid="{E9AF800E-EEAD-45BF-8C52-7682890FF272}"/>
    <cellStyle name="20% - Énfasis6 3 9" xfId="29981" xr:uid="{FA5B763C-AF64-4BAD-B5DF-B63D012D94A4}"/>
    <cellStyle name="20% - Énfasis6 30" xfId="6269" xr:uid="{E29799DC-3575-43D1-B3DF-F258A058BEAB}"/>
    <cellStyle name="20% - Énfasis6 30 2" xfId="9138" xr:uid="{F9271CA1-0199-40E6-B32D-9E8E7B321916}"/>
    <cellStyle name="20% - Énfasis6 30 2 2" xfId="23502" xr:uid="{198090D2-E8BD-4BCC-8D34-4D1B7CEE94A6}"/>
    <cellStyle name="20% - Énfasis6 30 2 3" xfId="29369" xr:uid="{FD58231C-28FB-406F-8C23-19BDAF08085D}"/>
    <cellStyle name="20% - Énfasis6 30 2 4" xfId="35251" xr:uid="{79F3B400-A318-41C8-ADBC-1D75B49DA506}"/>
    <cellStyle name="20% - Énfasis6 30 2 5" xfId="41110" xr:uid="{C486FC6C-357B-4E54-953D-6B2F93731964}"/>
    <cellStyle name="20% - Énfasis6 30 3" xfId="20710" xr:uid="{FA33675E-6F9B-4B53-937F-95A09BFE0BF6}"/>
    <cellStyle name="20% - Énfasis6 30 4" xfId="26519" xr:uid="{E16E7E04-9509-48F9-9FBD-CE90235B69A5}"/>
    <cellStyle name="20% - Énfasis6 30 5" xfId="32394" xr:uid="{E51620B5-5F82-4BA6-8885-7137719FF281}"/>
    <cellStyle name="20% - Énfasis6 30 6" xfId="38259" xr:uid="{97D7BF46-023F-48E8-9DE1-F062C6160B1D}"/>
    <cellStyle name="20% - Énfasis6 31" xfId="6289" xr:uid="{64AB6B71-EA8E-41FA-9162-5690F86A2087}"/>
    <cellStyle name="20% - Énfasis6 31 2" xfId="9158" xr:uid="{C4D89371-8C3F-41FF-AAA0-77E9F322B609}"/>
    <cellStyle name="20% - Énfasis6 31 2 2" xfId="23522" xr:uid="{610D465D-192A-4F8C-9D4B-E61DCC8904F5}"/>
    <cellStyle name="20% - Énfasis6 31 2 3" xfId="29389" xr:uid="{EB732712-C0AD-42CD-A1DB-DDF678BC6048}"/>
    <cellStyle name="20% - Énfasis6 31 2 4" xfId="35271" xr:uid="{6F4E1D4B-97B9-4751-AA1B-2509C4217FE6}"/>
    <cellStyle name="20% - Énfasis6 31 2 5" xfId="41130" xr:uid="{09718587-09C0-407D-83C4-346E652E5905}"/>
    <cellStyle name="20% - Énfasis6 31 3" xfId="20730" xr:uid="{7874E212-4E6D-4A59-811E-79218B547F9B}"/>
    <cellStyle name="20% - Énfasis6 31 4" xfId="26539" xr:uid="{B5D1E6AB-3FD0-4F6B-97E5-7A545DAD01AB}"/>
    <cellStyle name="20% - Énfasis6 31 5" xfId="32414" xr:uid="{C67AA6CA-7984-4FF7-8F72-CA3AF3B4E841}"/>
    <cellStyle name="20% - Énfasis6 31 6" xfId="38279" xr:uid="{A918726E-CCF6-4CE5-8723-EA7CFDD400C8}"/>
    <cellStyle name="20% - Énfasis6 32" xfId="6313" xr:uid="{246E6F8C-9038-4E81-8BD0-17CA7793AD7A}"/>
    <cellStyle name="20% - Énfasis6 32 2" xfId="9181" xr:uid="{6423F81E-2AA3-4B9D-8E7F-82E567FCF285}"/>
    <cellStyle name="20% - Énfasis6 32 2 2" xfId="23545" xr:uid="{0D43D58C-7FF5-43D3-B418-E33B2AC8EDA6}"/>
    <cellStyle name="20% - Énfasis6 32 2 3" xfId="29412" xr:uid="{901A533F-D1A9-447C-84D9-A0F787253263}"/>
    <cellStyle name="20% - Énfasis6 32 2 4" xfId="35294" xr:uid="{BE4D6E0E-144E-4450-A7B1-16B5B7E193AC}"/>
    <cellStyle name="20% - Énfasis6 32 2 5" xfId="41153" xr:uid="{CE8574A1-F015-4FC8-9B17-CED4F2BA6B2E}"/>
    <cellStyle name="20% - Énfasis6 32 3" xfId="20754" xr:uid="{73D129C0-1DDC-4B5E-996F-D8C8CB599011}"/>
    <cellStyle name="20% - Énfasis6 32 4" xfId="26563" xr:uid="{2B0F0818-5928-4D98-8B34-FC0FBA1410DD}"/>
    <cellStyle name="20% - Énfasis6 32 5" xfId="32438" xr:uid="{AFF1CF93-0C95-46DC-8731-1DA21C7E9EBD}"/>
    <cellStyle name="20% - Énfasis6 32 6" xfId="38303" xr:uid="{81C0B3D3-F525-41AF-9418-C0189B99D74C}"/>
    <cellStyle name="20% - Énfasis6 33" xfId="6345" xr:uid="{E722BE8E-EF79-47F2-BF98-D12C62563903}"/>
    <cellStyle name="20% - Énfasis6 33 2" xfId="9210" xr:uid="{5EF4401B-E81C-48A0-9C38-604D73DA1399}"/>
    <cellStyle name="20% - Énfasis6 33 2 2" xfId="23573" xr:uid="{673FE8A4-7168-459C-A149-7AB24F43B380}"/>
    <cellStyle name="20% - Énfasis6 33 2 3" xfId="29441" xr:uid="{744FF159-CCBB-49FB-883F-6BAA89F652AB}"/>
    <cellStyle name="20% - Énfasis6 33 2 4" xfId="35323" xr:uid="{664501B2-68F3-4B1B-B1B4-51621537F332}"/>
    <cellStyle name="20% - Énfasis6 33 2 5" xfId="41182" xr:uid="{28609A61-012B-42A7-A7B9-6C79AD1CB935}"/>
    <cellStyle name="20% - Énfasis6 33 3" xfId="20786" xr:uid="{114BA71F-5FFA-4037-817B-22BC21DDA336}"/>
    <cellStyle name="20% - Énfasis6 33 4" xfId="26595" xr:uid="{1C9DEFA6-261A-40F8-A585-05B0A73DE938}"/>
    <cellStyle name="20% - Énfasis6 33 5" xfId="32470" xr:uid="{FDDA5D25-BD9B-46AE-9162-7BC27A03512D}"/>
    <cellStyle name="20% - Énfasis6 33 6" xfId="38334" xr:uid="{78FC2593-F330-4A49-B684-8385691EACB1}"/>
    <cellStyle name="20% - Énfasis6 34" xfId="6365" xr:uid="{3713C589-768A-4E39-8136-5B5025C784B9}"/>
    <cellStyle name="20% - Énfasis6 34 2" xfId="9230" xr:uid="{1A1FAA28-DF1D-495A-A555-C067355A7057}"/>
    <cellStyle name="20% - Énfasis6 34 2 2" xfId="23593" xr:uid="{E4885ADA-E118-4FD2-A033-28174D06D816}"/>
    <cellStyle name="20% - Énfasis6 34 2 3" xfId="29461" xr:uid="{6AD5F72D-3A3E-4C06-8D00-C8601CCAA974}"/>
    <cellStyle name="20% - Énfasis6 34 2 4" xfId="35343" xr:uid="{CF5F64AD-E460-422D-948B-252933DD3DA3}"/>
    <cellStyle name="20% - Énfasis6 34 2 5" xfId="41202" xr:uid="{70F44DA9-0FA9-40D4-89EC-DFE9B557975A}"/>
    <cellStyle name="20% - Énfasis6 34 3" xfId="20806" xr:uid="{7C6788AF-F1B3-4794-A408-DA59D81DF5A6}"/>
    <cellStyle name="20% - Énfasis6 34 4" xfId="26615" xr:uid="{2F5F9393-6FB4-4638-A39E-FB2D9E0CA620}"/>
    <cellStyle name="20% - Énfasis6 34 5" xfId="32490" xr:uid="{F5275AE0-92B6-49B0-8497-E5ECAE03A966}"/>
    <cellStyle name="20% - Énfasis6 34 6" xfId="38354" xr:uid="{23640689-20F1-4F9F-BFC3-88E20635EB6A}"/>
    <cellStyle name="20% - Énfasis6 35" xfId="6385" xr:uid="{75ECCDE3-2E11-447A-9636-B0D4924AAE0C}"/>
    <cellStyle name="20% - Énfasis6 35 2" xfId="9250" xr:uid="{CF214AD4-D83A-449F-B813-89E2AE12DFF0}"/>
    <cellStyle name="20% - Énfasis6 35 2 2" xfId="23613" xr:uid="{A8279E66-1218-4957-B813-58B0CEF80A4E}"/>
    <cellStyle name="20% - Énfasis6 35 2 3" xfId="29481" xr:uid="{3EE4DA22-E0D0-4FED-9225-3312D41A68F2}"/>
    <cellStyle name="20% - Énfasis6 35 2 4" xfId="35363" xr:uid="{F6C74794-B4B4-4C82-8FB0-0AA7190FAB3D}"/>
    <cellStyle name="20% - Énfasis6 35 2 5" xfId="41222" xr:uid="{27940A53-01A6-4038-AE0B-03B46534726D}"/>
    <cellStyle name="20% - Énfasis6 35 3" xfId="20826" xr:uid="{B9C88609-F1A2-486B-9EEF-80659115B1D2}"/>
    <cellStyle name="20% - Énfasis6 35 4" xfId="26635" xr:uid="{A1AEC285-0231-4544-89BD-4A7BD2C4C86B}"/>
    <cellStyle name="20% - Énfasis6 35 5" xfId="32510" xr:uid="{F52305EB-EC91-47B1-9541-F76F15FC82D2}"/>
    <cellStyle name="20% - Énfasis6 35 6" xfId="38374" xr:uid="{FA6779FD-9908-4AA2-9A8D-80DE2AF173B6}"/>
    <cellStyle name="20% - Énfasis6 36" xfId="6406" xr:uid="{08CBEA80-5D95-478B-817C-B7BCCF8C40DE}"/>
    <cellStyle name="20% - Énfasis6 36 2" xfId="9271" xr:uid="{8FC06F23-9272-4A05-BCDD-0BD59878940D}"/>
    <cellStyle name="20% - Énfasis6 36 2 2" xfId="23634" xr:uid="{730B871D-AE52-4DED-AB26-99674AC54606}"/>
    <cellStyle name="20% - Énfasis6 36 2 3" xfId="29502" xr:uid="{1FF4AD80-213A-4007-8EBC-66A876CFF310}"/>
    <cellStyle name="20% - Énfasis6 36 2 4" xfId="35384" xr:uid="{2AD20F25-C7CE-4C99-A138-9ACA027B438C}"/>
    <cellStyle name="20% - Énfasis6 36 2 5" xfId="41243" xr:uid="{17FBC0D0-E6F8-479E-BE94-D841E3B88195}"/>
    <cellStyle name="20% - Énfasis6 36 3" xfId="20847" xr:uid="{48105BD9-9030-4298-BD3D-8107A5B8EC42}"/>
    <cellStyle name="20% - Énfasis6 36 4" xfId="26656" xr:uid="{7B7E0387-4807-4845-834E-E849D3FB15CF}"/>
    <cellStyle name="20% - Énfasis6 36 5" xfId="32531" xr:uid="{D175EBCD-63C6-4D37-B6C0-32B6C06DC83C}"/>
    <cellStyle name="20% - Énfasis6 36 6" xfId="38395" xr:uid="{81AC5649-4167-49BE-BA19-2029F1FBE385}"/>
    <cellStyle name="20% - Énfasis6 37" xfId="6435" xr:uid="{B16A5DFE-2A39-4547-A3FC-3DA878E2E6A2}"/>
    <cellStyle name="20% - Énfasis6 37 2" xfId="9297" xr:uid="{74819B83-1D81-4219-BC42-BEF20F727099}"/>
    <cellStyle name="20% - Énfasis6 37 2 2" xfId="23660" xr:uid="{5A065AB6-2C0E-4A9D-8250-C8F27A1D795C}"/>
    <cellStyle name="20% - Énfasis6 37 2 3" xfId="29528" xr:uid="{31AD7DF4-5B08-444B-BBE1-B0DEE430821C}"/>
    <cellStyle name="20% - Énfasis6 37 2 4" xfId="35410" xr:uid="{9154BAC5-4DC7-41EF-AFBB-64B1E1EF2D18}"/>
    <cellStyle name="20% - Énfasis6 37 2 5" xfId="41269" xr:uid="{BF119DEC-EE7F-4606-805B-DFDB3F1AB0F2}"/>
    <cellStyle name="20% - Énfasis6 37 3" xfId="20876" xr:uid="{B896BFD9-29E3-4E7E-8671-6B2EBAFF3628}"/>
    <cellStyle name="20% - Énfasis6 37 4" xfId="26685" xr:uid="{C0458A1A-965D-4193-89CB-E5955E2A29F4}"/>
    <cellStyle name="20% - Énfasis6 37 5" xfId="32560" xr:uid="{2DC42394-5CF1-4088-97A6-E73FB9A239A7}"/>
    <cellStyle name="20% - Énfasis6 37 6" xfId="38424" xr:uid="{D32A25D8-3F33-4EA3-8EAD-D7CB08984005}"/>
    <cellStyle name="20% - Énfasis6 38" xfId="6469" xr:uid="{4166A878-16A9-4ED2-966C-C66B871B42E5}"/>
    <cellStyle name="20% - Énfasis6 38 2" xfId="9329" xr:uid="{B8D12EE8-D916-433C-A130-3DA9DFEA6539}"/>
    <cellStyle name="20% - Énfasis6 38 2 2" xfId="23692" xr:uid="{5E14EE07-33CA-4473-B8C9-13893E4F4D7F}"/>
    <cellStyle name="20% - Énfasis6 38 2 3" xfId="29560" xr:uid="{D36D3A26-AA72-4924-9AC7-D07E9288D205}"/>
    <cellStyle name="20% - Énfasis6 38 2 4" xfId="35442" xr:uid="{5731F08E-9EAF-4A90-84B8-A67893A48253}"/>
    <cellStyle name="20% - Énfasis6 38 2 5" xfId="41301" xr:uid="{3BCC871D-8D0A-4719-A3D3-A274C0C4073B}"/>
    <cellStyle name="20% - Énfasis6 38 3" xfId="20907" xr:uid="{0683A45A-B217-4D53-B171-E26F4281FD25}"/>
    <cellStyle name="20% - Énfasis6 38 4" xfId="26718" xr:uid="{8146B844-D134-4164-87EB-F0C9D56A362A}"/>
    <cellStyle name="20% - Énfasis6 38 5" xfId="32593" xr:uid="{FE1BD3F5-6F13-4C97-BC79-247C66376415}"/>
    <cellStyle name="20% - Énfasis6 38 6" xfId="38457" xr:uid="{19784F1F-B26E-4886-843C-FFDE47AE7A34}"/>
    <cellStyle name="20% - Énfasis6 39" xfId="6489" xr:uid="{4B66BB07-9E51-47C5-A84A-04B8F0581423}"/>
    <cellStyle name="20% - Énfasis6 39 2" xfId="9349" xr:uid="{BACCAC90-8E65-4D62-AEE8-A73B08159F09}"/>
    <cellStyle name="20% - Énfasis6 39 2 2" xfId="23712" xr:uid="{5A8CA63E-2C31-46DD-B2FC-93BBBC63AF09}"/>
    <cellStyle name="20% - Énfasis6 39 2 3" xfId="29580" xr:uid="{0F87DEE0-D809-4B7F-98B1-C5D81A670FE1}"/>
    <cellStyle name="20% - Énfasis6 39 2 4" xfId="35462" xr:uid="{968C26A0-0093-4A23-B363-04035765B811}"/>
    <cellStyle name="20% - Énfasis6 39 2 5" xfId="41321" xr:uid="{5EB0AE8E-5E9D-481D-BBED-4C70CF8D2339}"/>
    <cellStyle name="20% - Énfasis6 39 3" xfId="20927" xr:uid="{037307DE-C522-4C25-AEE7-C666BA93F66C}"/>
    <cellStyle name="20% - Énfasis6 39 4" xfId="26738" xr:uid="{4EA81E32-48DE-4A5B-AD31-191F1949589C}"/>
    <cellStyle name="20% - Énfasis6 39 5" xfId="32613" xr:uid="{612719AD-5B0D-44DC-9356-9A869E7C81BF}"/>
    <cellStyle name="20% - Énfasis6 39 6" xfId="38477" xr:uid="{1D23E6C4-17DA-4CEC-AB5E-D1F949933F9E}"/>
    <cellStyle name="20% - Énfasis6 4" xfId="3899" xr:uid="{1E02CA3F-7E1D-4599-9978-5002E3ED069C}"/>
    <cellStyle name="20% - Énfasis6 4 10" xfId="35891" xr:uid="{0704C4D6-D64B-426A-BD72-C11570449FBB}"/>
    <cellStyle name="20% - Énfasis6 4 2" xfId="4096" xr:uid="{11BB9E2A-7561-468B-84D3-83004C7C97BC}"/>
    <cellStyle name="20% - Énfasis6 4 2 2" xfId="4574" xr:uid="{F404FC35-CCFC-4D85-8E68-8B0B258ED14F}"/>
    <cellStyle name="20% - Énfasis6 4 2 2 2" xfId="5542" xr:uid="{21F49406-922F-45F7-9AB2-29162BC4B621}"/>
    <cellStyle name="20% - Énfasis6 4 2 2 2 2" xfId="8409" xr:uid="{721FBA4F-0904-45CE-AB1C-21954FC34970}"/>
    <cellStyle name="20% - Énfasis6 4 2 2 2 2 2" xfId="22784" xr:uid="{3C41E32B-7412-4E06-8C5F-874A4B97FB2D}"/>
    <cellStyle name="20% - Énfasis6 4 2 2 2 2 3" xfId="28642" xr:uid="{4B7136E2-8F5B-4D42-BD90-37D29A9EAE15}"/>
    <cellStyle name="20% - Énfasis6 4 2 2 2 2 4" xfId="34524" xr:uid="{631DC7DD-11EE-420E-8662-45292E6FA73F}"/>
    <cellStyle name="20% - Énfasis6 4 2 2 2 2 5" xfId="40388" xr:uid="{9AF29453-F622-4874-B0C4-32EE3225BD11}"/>
    <cellStyle name="20% - Énfasis6 4 2 2 2 3" xfId="20002" xr:uid="{FAFDCFE7-30CF-47DD-B3A9-19E9493E9B54}"/>
    <cellStyle name="20% - Énfasis6 4 2 2 2 4" xfId="25793" xr:uid="{D6B4A7DB-637A-41E7-800B-337211F2B196}"/>
    <cellStyle name="20% - Énfasis6 4 2 2 2 5" xfId="31667" xr:uid="{9364E7B5-6F53-434B-A5F8-E078508826D1}"/>
    <cellStyle name="20% - Énfasis6 4 2 2 2 6" xfId="37537" xr:uid="{5752CD8D-8ACE-4708-B2A9-CF045C5C0368}"/>
    <cellStyle name="20% - Énfasis6 4 2 2 3" xfId="7437" xr:uid="{691DE592-2FAD-408A-A985-0C8E2B0C2541}"/>
    <cellStyle name="20% - Énfasis6 4 2 2 3 2" xfId="21839" xr:uid="{C9C7E3C2-1F52-4C33-9639-6B3ECA5DBE89}"/>
    <cellStyle name="20% - Énfasis6 4 2 2 3 3" xfId="27671" xr:uid="{46B4EE1A-ED47-45AE-A7D6-CF572BA45847}"/>
    <cellStyle name="20% - Énfasis6 4 2 2 3 4" xfId="33553" xr:uid="{C204D48D-8AB5-4319-AD6C-10261186B400}"/>
    <cellStyle name="20% - Énfasis6 4 2 2 3 5" xfId="39417" xr:uid="{CA471EE7-9217-4EA0-BB85-FFF04EA4CCDF}"/>
    <cellStyle name="20% - Énfasis6 4 2 2 4" xfId="19070" xr:uid="{41407881-B916-4652-AF4A-E497AA5C0850}"/>
    <cellStyle name="20% - Énfasis6 4 2 2 5" xfId="24822" xr:uid="{B1299665-B058-4D02-82C8-22E2C1A4E5E5}"/>
    <cellStyle name="20% - Énfasis6 4 2 2 6" xfId="30699" xr:uid="{FD181060-61AA-4579-B0A3-EC7E63ACECB0}"/>
    <cellStyle name="20% - Énfasis6 4 2 2 7" xfId="36580" xr:uid="{3E30D420-E1FF-46A2-AAA9-D123EB5A8033}"/>
    <cellStyle name="20% - Énfasis6 4 2 3" xfId="5057" xr:uid="{F3A922CD-B34C-415E-AAF0-4E5FDEF106E5}"/>
    <cellStyle name="20% - Énfasis6 4 2 3 2" xfId="7924" xr:uid="{02E745F0-A9AB-4FEF-A31C-EA179617C84B}"/>
    <cellStyle name="20% - Énfasis6 4 2 3 2 2" xfId="22309" xr:uid="{B0653A94-7C75-40E6-B3EB-81F37D7B088A}"/>
    <cellStyle name="20% - Énfasis6 4 2 3 2 3" xfId="28157" xr:uid="{2752329E-A7FA-4E34-981E-7AD3F363D7F6}"/>
    <cellStyle name="20% - Énfasis6 4 2 3 2 4" xfId="34039" xr:uid="{89AC1FF6-D4F2-4A47-8DD2-609826BDB73E}"/>
    <cellStyle name="20% - Énfasis6 4 2 3 2 5" xfId="39903" xr:uid="{5020716E-1EB6-4A63-BBFC-69ADD2028014}"/>
    <cellStyle name="20% - Énfasis6 4 2 3 3" xfId="19534" xr:uid="{E5F71E0A-2536-4D11-9DF0-2EF013D2468B}"/>
    <cellStyle name="20% - Énfasis6 4 2 3 4" xfId="25308" xr:uid="{0C974BC3-76D3-4D9D-A199-1254C8410C06}"/>
    <cellStyle name="20% - Énfasis6 4 2 3 5" xfId="31182" xr:uid="{E4AAE009-7134-4BF2-B6BD-BC81F99993E5}"/>
    <cellStyle name="20% - Énfasis6 4 2 3 6" xfId="37060" xr:uid="{06A64026-B223-4FEB-8C15-D565712C50F3}"/>
    <cellStyle name="20% - Énfasis6 4 2 4" xfId="6952" xr:uid="{FBD68D11-279D-4CCB-B053-9D6425D9522C}"/>
    <cellStyle name="20% - Énfasis6 4 2 4 2" xfId="21372" xr:uid="{4CF0AF58-8AB9-4BAB-B331-D74C97B5FCFD}"/>
    <cellStyle name="20% - Énfasis6 4 2 4 3" xfId="27190" xr:uid="{DF5E3AEB-277B-495D-BE21-5D958ADC73B9}"/>
    <cellStyle name="20% - Énfasis6 4 2 4 4" xfId="33068" xr:uid="{F7E313C3-352D-4873-B301-2BF08EC8ADE7}"/>
    <cellStyle name="20% - Énfasis6 4 2 4 5" xfId="38932" xr:uid="{B7EF00DC-0FAD-4B1D-9413-BF08C7B311A5}"/>
    <cellStyle name="20% - Énfasis6 4 2 5" xfId="18626" xr:uid="{6F10B791-63AE-4B0B-B228-ABD270DFF50E}"/>
    <cellStyle name="20% - Énfasis6 4 2 6" xfId="24339" xr:uid="{95D2FC42-7675-45AC-B149-E8723BC80654}"/>
    <cellStyle name="20% - Énfasis6 4 2 7" xfId="30217" xr:uid="{18C05EF5-D5C2-4BE0-8C93-DAB8D0685473}"/>
    <cellStyle name="20% - Énfasis6 4 2 8" xfId="36096" xr:uid="{76522FF4-A425-4D47-B621-5C202AAACD9A}"/>
    <cellStyle name="20% - Énfasis6 4 3" xfId="4380" xr:uid="{90CC3404-88A1-4E5F-A218-EFBF3F1C0FEB}"/>
    <cellStyle name="20% - Énfasis6 4 3 2" xfId="5346" xr:uid="{C669ADAE-BB51-49FC-AEA5-17684DDC2411}"/>
    <cellStyle name="20% - Énfasis6 4 3 2 2" xfId="8213" xr:uid="{FC3ED49D-8468-4B0E-9B4F-E3E72417CB6A}"/>
    <cellStyle name="20% - Énfasis6 4 3 2 2 2" xfId="22589" xr:uid="{E6184F30-6B9E-4C73-80C2-E0237294AD17}"/>
    <cellStyle name="20% - Énfasis6 4 3 2 2 3" xfId="28446" xr:uid="{1751A773-B594-43A8-A5BF-9917A34CD9E2}"/>
    <cellStyle name="20% - Énfasis6 4 3 2 2 4" xfId="34328" xr:uid="{C4DC1B07-1293-4FAB-9A77-4931F7AA46F6}"/>
    <cellStyle name="20% - Énfasis6 4 3 2 2 5" xfId="40192" xr:uid="{9B415018-7E7B-45C5-9B59-39AD9FD7DA51}"/>
    <cellStyle name="20% - Énfasis6 4 3 2 3" xfId="19813" xr:uid="{BF289D5E-67F0-426A-8DCD-55072BD40951}"/>
    <cellStyle name="20% - Énfasis6 4 3 2 4" xfId="25597" xr:uid="{74240482-0252-4C95-937D-053873FF0884}"/>
    <cellStyle name="20% - Énfasis6 4 3 2 5" xfId="31471" xr:uid="{BDE739D8-8961-40F4-AEBF-621C256BCFEC}"/>
    <cellStyle name="20% - Énfasis6 4 3 2 6" xfId="37342" xr:uid="{AD1544E1-EEA3-417C-B070-A63FE5D541DA}"/>
    <cellStyle name="20% - Énfasis6 4 3 3" xfId="7241" xr:uid="{5548E73F-6EE6-4413-807F-4E53E23647C7}"/>
    <cellStyle name="20% - Énfasis6 4 3 3 2" xfId="21648" xr:uid="{040E1664-2DC5-434F-BF12-EF071E0F9133}"/>
    <cellStyle name="20% - Énfasis6 4 3 3 3" xfId="27475" xr:uid="{C0687DCE-83AD-44C4-B064-736EB99D2D21}"/>
    <cellStyle name="20% - Énfasis6 4 3 3 4" xfId="33357" xr:uid="{26387FE6-33C6-4E32-8D26-A5E5CE7579D5}"/>
    <cellStyle name="20% - Énfasis6 4 3 3 5" xfId="39221" xr:uid="{A05B4F27-2C12-4890-A68C-FC6C6033DF80}"/>
    <cellStyle name="20% - Énfasis6 4 3 4" xfId="18883" xr:uid="{377ABEE9-DAC8-4E1B-AF31-52F5ACE8DBD9}"/>
    <cellStyle name="20% - Énfasis6 4 3 5" xfId="24626" xr:uid="{076F1C53-409C-43A6-BF72-99809B0130D6}"/>
    <cellStyle name="20% - Énfasis6 4 3 6" xfId="30505" xr:uid="{6B2B75AA-616A-4BFA-A252-4547E4C998F2}"/>
    <cellStyle name="20% - Énfasis6 4 3 7" xfId="36385" xr:uid="{8147C008-FC8E-4B68-A33B-633F0C17925F}"/>
    <cellStyle name="20% - Énfasis6 4 4" xfId="4862" xr:uid="{96B2E6D3-E1F0-4B87-A451-C5E4789946F3}"/>
    <cellStyle name="20% - Énfasis6 4 4 2" xfId="7728" xr:uid="{EFEB790C-14C9-40A9-8C48-A7A5C768ABA4}"/>
    <cellStyle name="20% - Énfasis6 4 4 2 2" xfId="22118" xr:uid="{288E2FA4-176D-47E4-89D5-3C5ED7216350}"/>
    <cellStyle name="20% - Énfasis6 4 4 2 3" xfId="27961" xr:uid="{2F5CE0C5-C16C-4087-ACE0-CA087F239C16}"/>
    <cellStyle name="20% - Énfasis6 4 4 2 4" xfId="33843" xr:uid="{CF7ADEF6-238C-4AD5-B563-812BACE2AE9E}"/>
    <cellStyle name="20% - Énfasis6 4 4 2 5" xfId="39707" xr:uid="{0BB16158-6830-4632-86AA-9E2AB16169E3}"/>
    <cellStyle name="20% - Énfasis6 4 4 3" xfId="19344" xr:uid="{AD163675-4743-4422-8678-1888268A361C}"/>
    <cellStyle name="20% - Énfasis6 4 4 4" xfId="25112" xr:uid="{775AA98E-F3EB-4682-B87D-2BF8871AC711}"/>
    <cellStyle name="20% - Énfasis6 4 4 5" xfId="30986" xr:uid="{2DFC6ADC-4ED9-450C-9284-88DCDBB7077D}"/>
    <cellStyle name="20% - Énfasis6 4 4 6" xfId="36865" xr:uid="{6CC2D890-0055-4243-9A41-6F8222BA3CC8}"/>
    <cellStyle name="20% - Énfasis6 4 5" xfId="5871" xr:uid="{25C34F91-367B-4CFE-92A8-8AEA1AE19505}"/>
    <cellStyle name="20% - Énfasis6 4 5 2" xfId="8740" xr:uid="{C6CBBCFB-37AB-43A3-93DB-9027EE142E94}"/>
    <cellStyle name="20% - Énfasis6 4 5 2 2" xfId="23108" xr:uid="{1E706E5B-EEC3-49FC-8562-4DDF79743AF2}"/>
    <cellStyle name="20% - Énfasis6 4 5 2 3" xfId="28972" xr:uid="{02FE1158-3A7C-4781-91C9-E09B20E4DD65}"/>
    <cellStyle name="20% - Énfasis6 4 5 2 4" xfId="34854" xr:uid="{AA5478F2-A56A-4B14-BA67-DD7610F01BAD}"/>
    <cellStyle name="20% - Énfasis6 4 5 2 5" xfId="40718" xr:uid="{00A67A7E-D9DE-4DE3-9F84-4A131E09693D}"/>
    <cellStyle name="20% - Énfasis6 4 5 3" xfId="20323" xr:uid="{D6FB46F1-3EAA-4E68-B1D9-375876A18C20}"/>
    <cellStyle name="20% - Énfasis6 4 5 4" xfId="26122" xr:uid="{8FAB52B7-CACB-4A91-BCF5-BB776169E28A}"/>
    <cellStyle name="20% - Énfasis6 4 5 5" xfId="31997" xr:uid="{CDA9E3FE-4482-4D11-AF41-41A2A7A83238}"/>
    <cellStyle name="20% - Énfasis6 4 5 6" xfId="37863" xr:uid="{11BB2EDE-FDCD-46A5-8229-51E7BA38A068}"/>
    <cellStyle name="20% - Énfasis6 4 6" xfId="6757" xr:uid="{A3B753CF-4666-4436-89A5-1EB10B19AB00}"/>
    <cellStyle name="20% - Énfasis6 4 6 2" xfId="21181" xr:uid="{855AFF04-C44E-4641-BD81-9242E74E11CE}"/>
    <cellStyle name="20% - Énfasis6 4 6 3" xfId="26996" xr:uid="{EF420652-44E8-484B-98C1-B6E065459849}"/>
    <cellStyle name="20% - Énfasis6 4 6 4" xfId="32872" xr:uid="{6A68E445-E2D8-446B-86F0-BA64FF9202C6}"/>
    <cellStyle name="20% - Énfasis6 4 6 5" xfId="38736" xr:uid="{013C0321-C50D-44B8-8B33-93E125715698}"/>
    <cellStyle name="20% - Énfasis6 4 7" xfId="18423" xr:uid="{50F335AE-CC38-42D2-913A-2954122BEB39}"/>
    <cellStyle name="20% - Énfasis6 4 8" xfId="24132" xr:uid="{E73B495A-E983-43F6-90B9-45A9AAFFA1F0}"/>
    <cellStyle name="20% - Énfasis6 4 9" xfId="30010" xr:uid="{76CAF199-73A5-48B0-A4C7-CDE9EA4D6615}"/>
    <cellStyle name="20% - Énfasis6 40" xfId="6509" xr:uid="{BD3B3766-7AF1-4D60-910B-2471B7E5E7C3}"/>
    <cellStyle name="20% - Énfasis6 40 2" xfId="9369" xr:uid="{9F815C51-9F03-483C-8CDA-E5ADA2A27A27}"/>
    <cellStyle name="20% - Énfasis6 40 2 2" xfId="23732" xr:uid="{0FA220EA-3A9A-4FCA-8DF8-306EBCBD7302}"/>
    <cellStyle name="20% - Énfasis6 40 2 3" xfId="29600" xr:uid="{2EC9EF7B-010F-48E4-A9C2-E5092D3699FA}"/>
    <cellStyle name="20% - Énfasis6 40 2 4" xfId="35482" xr:uid="{32F623E2-1787-4714-AC97-C1995E0ED066}"/>
    <cellStyle name="20% - Énfasis6 40 2 5" xfId="41341" xr:uid="{6C66F8B3-8983-4A28-BBE3-596F2903EC72}"/>
    <cellStyle name="20% - Énfasis6 40 3" xfId="20947" xr:uid="{4F734A3A-19EE-4868-A434-39F8FF9BA1EF}"/>
    <cellStyle name="20% - Énfasis6 40 4" xfId="26758" xr:uid="{41C41569-4E5F-438E-ABD9-754ECFF0879A}"/>
    <cellStyle name="20% - Énfasis6 40 5" xfId="32633" xr:uid="{08C0C999-52EC-44A4-A2D4-BB9712039B6E}"/>
    <cellStyle name="20% - Énfasis6 40 6" xfId="38497" xr:uid="{385684A0-AB31-4CD9-957D-90D6C361561B}"/>
    <cellStyle name="20% - Énfasis6 41" xfId="6529" xr:uid="{7D5FDFE9-E14A-4EED-98F3-FDDDB90E4EF2}"/>
    <cellStyle name="20% - Énfasis6 41 2" xfId="9389" xr:uid="{888510D1-A3FE-449A-BC4D-6A9DC2F813C3}"/>
    <cellStyle name="20% - Énfasis6 41 2 2" xfId="23752" xr:uid="{CBD3EF8E-6F66-4AAC-9F53-D7B1E5C88BA7}"/>
    <cellStyle name="20% - Énfasis6 41 2 3" xfId="29620" xr:uid="{614A55F5-8067-4FAF-96FA-E9D7E7FC6D35}"/>
    <cellStyle name="20% - Énfasis6 41 2 4" xfId="35502" xr:uid="{E53230F3-E691-40D8-BDFD-4EDC1D046C90}"/>
    <cellStyle name="20% - Énfasis6 41 2 5" xfId="41361" xr:uid="{A47FBC39-4747-4AC1-8C4A-EA0861CCDF39}"/>
    <cellStyle name="20% - Énfasis6 41 3" xfId="20967" xr:uid="{31022E13-45E8-4634-80E3-6ABC7D3D7CEF}"/>
    <cellStyle name="20% - Énfasis6 41 4" xfId="26778" xr:uid="{08BB035E-7BCF-4574-B881-BF3425A738E0}"/>
    <cellStyle name="20% - Énfasis6 41 5" xfId="32653" xr:uid="{E27CC33B-DC3E-45F4-8DB0-3192A38F8076}"/>
    <cellStyle name="20% - Énfasis6 41 6" xfId="38517" xr:uid="{33B702EA-5FA0-473A-A949-64E3065FA664}"/>
    <cellStyle name="20% - Énfasis6 42" xfId="6549" xr:uid="{90EA0207-FA25-4381-8DB9-D6761FC2C1B6}"/>
    <cellStyle name="20% - Énfasis6 42 2" xfId="9409" xr:uid="{5BDAB989-C849-418F-847C-589878056466}"/>
    <cellStyle name="20% - Énfasis6 42 2 2" xfId="23772" xr:uid="{CF97D306-F9E0-4BF1-882D-2850166E5105}"/>
    <cellStyle name="20% - Énfasis6 42 2 3" xfId="29640" xr:uid="{7E3D752B-780B-4E3B-B019-AF99C4E6888B}"/>
    <cellStyle name="20% - Énfasis6 42 2 4" xfId="35522" xr:uid="{DCCD5D15-23D7-4015-AC5D-C79761645A3D}"/>
    <cellStyle name="20% - Énfasis6 42 2 5" xfId="41381" xr:uid="{EC32941B-B736-4159-8FD9-F76BA971D8E0}"/>
    <cellStyle name="20% - Énfasis6 42 3" xfId="20987" xr:uid="{5B0F1AAC-1236-4124-934C-CF1EAFD13723}"/>
    <cellStyle name="20% - Énfasis6 42 4" xfId="26798" xr:uid="{E3AC31EB-EC1D-4FFC-B71F-4BE66113C15F}"/>
    <cellStyle name="20% - Énfasis6 42 5" xfId="32673" xr:uid="{416F8C67-0DA9-4DD2-AC86-4898D5344870}"/>
    <cellStyle name="20% - Énfasis6 42 6" xfId="38537" xr:uid="{18EBDA2C-8F78-4DFD-9C26-5B5F419F8C6C}"/>
    <cellStyle name="20% - Énfasis6 43" xfId="6570" xr:uid="{524C1106-FA03-4996-86F4-88FEF1E6B80B}"/>
    <cellStyle name="20% - Énfasis6 43 2" xfId="9431" xr:uid="{4497C672-6B3C-4042-BCC1-1E9521E19616}"/>
    <cellStyle name="20% - Énfasis6 43 2 2" xfId="23794" xr:uid="{3D1EEE4C-72FD-4C4D-B342-2A1CCFE4193D}"/>
    <cellStyle name="20% - Énfasis6 43 2 3" xfId="29662" xr:uid="{F7B5908C-32B6-446D-8657-F6B714697E71}"/>
    <cellStyle name="20% - Énfasis6 43 2 4" xfId="35544" xr:uid="{D7DA34A3-2BF9-4C85-AEF6-50041CFBC623}"/>
    <cellStyle name="20% - Énfasis6 43 2 5" xfId="41403" xr:uid="{AA4F297B-34A2-430B-8122-CC98AF9C7204}"/>
    <cellStyle name="20% - Énfasis6 43 3" xfId="21009" xr:uid="{E9EB344D-CD79-4D2A-97E3-7FEAFF89957A}"/>
    <cellStyle name="20% - Énfasis6 43 4" xfId="26820" xr:uid="{DBE992F4-8E3F-49E3-B8DA-E90D44FC4E87}"/>
    <cellStyle name="20% - Énfasis6 43 5" xfId="32695" xr:uid="{3359E1C9-4A74-4033-943A-2320EFB297D2}"/>
    <cellStyle name="20% - Énfasis6 43 6" xfId="38559" xr:uid="{38E0749B-D534-42EE-BB20-3009D6EE9D4E}"/>
    <cellStyle name="20% - Énfasis6 44" xfId="6600" xr:uid="{E6F690B5-CED4-4BE6-975D-926F98603241}"/>
    <cellStyle name="20% - Énfasis6 44 2" xfId="9460" xr:uid="{8B9B722A-3967-4A53-8B21-CE48189DE1A0}"/>
    <cellStyle name="20% - Énfasis6 44 2 2" xfId="23822" xr:uid="{15171497-19D2-4261-AA12-37350E82BB52}"/>
    <cellStyle name="20% - Énfasis6 44 2 3" xfId="29691" xr:uid="{6A862502-A2A7-4D3C-A196-DE135D8EBA99}"/>
    <cellStyle name="20% - Énfasis6 44 2 4" xfId="35573" xr:uid="{3BC9922B-5A36-49BB-912A-100325B47F24}"/>
    <cellStyle name="20% - Énfasis6 44 2 5" xfId="41432" xr:uid="{532C1465-AEC6-4BD0-9775-ABD192AE9D44}"/>
    <cellStyle name="20% - Énfasis6 44 3" xfId="21038" xr:uid="{DEDEE088-4107-4DB3-B810-0871929A4D9A}"/>
    <cellStyle name="20% - Énfasis6 44 4" xfId="26849" xr:uid="{FBF177C1-4886-4822-9204-73C95F6AF812}"/>
    <cellStyle name="20% - Énfasis6 44 5" xfId="32724" xr:uid="{7FCFD6D7-F6CF-4F39-B512-FF9702EFBF73}"/>
    <cellStyle name="20% - Énfasis6 44 6" xfId="38588" xr:uid="{E6978634-802C-4277-A25E-ED5002F79CC3}"/>
    <cellStyle name="20% - Énfasis6 45" xfId="6625" xr:uid="{C7A46BF6-5728-4260-94FB-8B7927522CF3}"/>
    <cellStyle name="20% - Énfasis6 45 2" xfId="9485" xr:uid="{F80507B6-2229-4DB4-BDDC-AE427AD8AEC1}"/>
    <cellStyle name="20% - Énfasis6 45 2 2" xfId="23847" xr:uid="{2E9E6F26-417C-4A9C-AC9D-E3B7EB28EFC2}"/>
    <cellStyle name="20% - Énfasis6 45 2 3" xfId="29716" xr:uid="{9076B1F8-3B62-4D41-8616-B2DB28680447}"/>
    <cellStyle name="20% - Énfasis6 45 2 4" xfId="35598" xr:uid="{9AFF8ACB-473A-4579-9D34-F397CCC49B1B}"/>
    <cellStyle name="20% - Énfasis6 45 2 5" xfId="41457" xr:uid="{19BDF6CF-23DF-417C-8AC6-2F8A669C0267}"/>
    <cellStyle name="20% - Énfasis6 45 3" xfId="21062" xr:uid="{E00A21BB-DD0A-4B7A-9B3A-58BBAF6B0081}"/>
    <cellStyle name="20% - Énfasis6 45 4" xfId="26874" xr:uid="{F4E7FFF6-ACF3-4BD9-B4C8-61CACFEC0265}"/>
    <cellStyle name="20% - Énfasis6 45 5" xfId="32749" xr:uid="{3B8F2D16-C2BF-4939-B862-F578B1B83D94}"/>
    <cellStyle name="20% - Énfasis6 45 6" xfId="38613" xr:uid="{206FAF8C-EACE-403B-BE8F-8CF471164368}"/>
    <cellStyle name="20% - Énfasis6 46" xfId="6647" xr:uid="{D0875D47-4C3D-4C73-BA62-37CF66CF1651}"/>
    <cellStyle name="20% - Énfasis6 46 2" xfId="21084" xr:uid="{91CE616B-435E-4394-B271-F73C8F913D26}"/>
    <cellStyle name="20% - Énfasis6 46 3" xfId="26896" xr:uid="{3ACEDDF8-BB1E-425B-AAF2-175C72A8A5AC}"/>
    <cellStyle name="20% - Énfasis6 46 4" xfId="32771" xr:uid="{7C5A3F71-533F-4048-AD95-AEF53FE3B7BF}"/>
    <cellStyle name="20% - Énfasis6 46 5" xfId="38635" xr:uid="{E807BB79-5A6B-4BF5-87C3-7A1268368C52}"/>
    <cellStyle name="20% - Énfasis6 47" xfId="6677" xr:uid="{7FD14274-41A3-4D6A-BCD2-21081221FAB9}"/>
    <cellStyle name="20% - Énfasis6 47 2" xfId="21106" xr:uid="{ADB711C2-7AF2-4C8B-92A9-7C09A1C50357}"/>
    <cellStyle name="20% - Énfasis6 47 3" xfId="26918" xr:uid="{7FDEDB2C-B8DB-4987-BCCA-16A6013F9FDC}"/>
    <cellStyle name="20% - Énfasis6 47 4" xfId="32793" xr:uid="{9AC1802E-25CD-47F9-9187-28D5F6F42638}"/>
    <cellStyle name="20% - Énfasis6 47 5" xfId="38657" xr:uid="{83E0FB26-77E3-4A4A-94E6-C7C70C5B9900}"/>
    <cellStyle name="20% - Énfasis6 48" xfId="9493" xr:uid="{D6DA6305-AA0E-403A-AB93-4764697867B0}"/>
    <cellStyle name="20% - Énfasis6 48 2" xfId="23855" xr:uid="{06D7ED4B-69BC-405D-9FB9-8FB4E293EA43}"/>
    <cellStyle name="20% - Énfasis6 48 3" xfId="29724" xr:uid="{50C17094-D1BB-4E06-A91B-82C8056BF2DF}"/>
    <cellStyle name="20% - Énfasis6 48 4" xfId="35606" xr:uid="{12C86DDA-1091-41DA-B2A8-7E910305988B}"/>
    <cellStyle name="20% - Énfasis6 48 5" xfId="41465" xr:uid="{3335757A-B4B8-44F3-8C41-DF5E1518FFAF}"/>
    <cellStyle name="20% - Énfasis6 49" xfId="9526" xr:uid="{D7602071-1010-4DAB-8043-17899C6F8376}"/>
    <cellStyle name="20% - Énfasis6 49 2" xfId="23887" xr:uid="{2200D782-9893-4799-8A0A-C130A544EB22}"/>
    <cellStyle name="20% - Énfasis6 49 3" xfId="29757" xr:uid="{D6B8485F-A01F-4124-AF22-7496CF26051D}"/>
    <cellStyle name="20% - Énfasis6 49 4" xfId="35639" xr:uid="{DACCD654-13FE-42A0-8CFF-8126BC6E5D8B}"/>
    <cellStyle name="20% - Énfasis6 49 5" xfId="41498" xr:uid="{7637EE9C-E06B-4610-A929-50B3434C5532}"/>
    <cellStyle name="20% - Énfasis6 5" xfId="3925" xr:uid="{29D6A5D5-5E42-482C-B571-12BDBB3323AB}"/>
    <cellStyle name="20% - Énfasis6 5 10" xfId="35917" xr:uid="{88FF989F-F1D3-4110-B24A-7B8B5157F468}"/>
    <cellStyle name="20% - Énfasis6 5 2" xfId="4119" xr:uid="{65B64C47-81DC-40B3-BFE7-638E0BE1343A}"/>
    <cellStyle name="20% - Énfasis6 5 2 2" xfId="4597" xr:uid="{BAA54C84-292B-4190-B5E6-BE48635DA2EA}"/>
    <cellStyle name="20% - Énfasis6 5 2 2 2" xfId="5565" xr:uid="{21775CC5-DB9D-4AB3-89A7-FB04F6E5EB99}"/>
    <cellStyle name="20% - Énfasis6 5 2 2 2 2" xfId="8432" xr:uid="{22BA1D94-B28B-4483-A903-DBF59B76FE04}"/>
    <cellStyle name="20% - Énfasis6 5 2 2 2 2 2" xfId="22807" xr:uid="{01A5F7BA-DCCD-48EE-90FE-5D6D61DDBDB5}"/>
    <cellStyle name="20% - Énfasis6 5 2 2 2 2 3" xfId="28665" xr:uid="{29056D80-2698-4CEA-8229-5FD799237D03}"/>
    <cellStyle name="20% - Énfasis6 5 2 2 2 2 4" xfId="34547" xr:uid="{12C84EE0-96B4-44A2-B8EB-C1603CEF9C6A}"/>
    <cellStyle name="20% - Énfasis6 5 2 2 2 2 5" xfId="40411" xr:uid="{B2083B41-50F3-45FB-A8B7-6AB102150F1E}"/>
    <cellStyle name="20% - Énfasis6 5 2 2 2 3" xfId="20025" xr:uid="{5029F09D-E524-4985-B773-3E61A3B2B789}"/>
    <cellStyle name="20% - Énfasis6 5 2 2 2 4" xfId="25816" xr:uid="{7785F0BF-9622-4041-B8EE-FE4BDD13C656}"/>
    <cellStyle name="20% - Énfasis6 5 2 2 2 5" xfId="31690" xr:uid="{B71D4234-16F4-494A-AEA4-E50326C6283F}"/>
    <cellStyle name="20% - Énfasis6 5 2 2 2 6" xfId="37560" xr:uid="{B65B1580-6A00-48D7-AE03-C19D8473D719}"/>
    <cellStyle name="20% - Énfasis6 5 2 2 3" xfId="7460" xr:uid="{84CC024F-55A8-4420-A9BE-05339DC58A87}"/>
    <cellStyle name="20% - Énfasis6 5 2 2 3 2" xfId="21862" xr:uid="{43DAA3B4-A707-497C-A068-3D7403FB52AB}"/>
    <cellStyle name="20% - Énfasis6 5 2 2 3 3" xfId="27694" xr:uid="{E86B2452-B149-443F-B78F-946BB1FE690C}"/>
    <cellStyle name="20% - Énfasis6 5 2 2 3 4" xfId="33576" xr:uid="{44BE07EE-1E60-418D-8698-0E7FB7B0FA69}"/>
    <cellStyle name="20% - Énfasis6 5 2 2 3 5" xfId="39440" xr:uid="{BF5813E5-3958-46D8-9F52-E7F514125612}"/>
    <cellStyle name="20% - Énfasis6 5 2 2 4" xfId="19092" xr:uid="{8705A667-7DE1-4CBB-A13B-7A90DB7A8A99}"/>
    <cellStyle name="20% - Énfasis6 5 2 2 5" xfId="24845" xr:uid="{E9720C95-2E57-4916-848B-D50035A50042}"/>
    <cellStyle name="20% - Énfasis6 5 2 2 6" xfId="30722" xr:uid="{54C03096-2B7C-4A0C-86D9-081DF6E26373}"/>
    <cellStyle name="20% - Énfasis6 5 2 2 7" xfId="36603" xr:uid="{964559D7-D5E3-4CB2-AFC3-A6D4A18DA418}"/>
    <cellStyle name="20% - Énfasis6 5 2 3" xfId="5080" xr:uid="{D6DB1C7A-7FAB-496A-8986-DA719DE56246}"/>
    <cellStyle name="20% - Énfasis6 5 2 3 2" xfId="7947" xr:uid="{7DAA4708-64AC-4304-A94E-2F62B7DF0E1B}"/>
    <cellStyle name="20% - Énfasis6 5 2 3 2 2" xfId="22332" xr:uid="{8BDAA70C-A30D-4919-8909-E2131F68C2F3}"/>
    <cellStyle name="20% - Énfasis6 5 2 3 2 3" xfId="28180" xr:uid="{B558BA95-36A7-4432-9731-6995DB41451B}"/>
    <cellStyle name="20% - Énfasis6 5 2 3 2 4" xfId="34062" xr:uid="{03596D8A-6BE8-4A6D-95C7-CF8205EDF67F}"/>
    <cellStyle name="20% - Énfasis6 5 2 3 2 5" xfId="39926" xr:uid="{C7FA50B9-1B4C-4898-84C5-5E3612010BFC}"/>
    <cellStyle name="20% - Énfasis6 5 2 3 3" xfId="19557" xr:uid="{45BAAD5B-38AF-4F99-A4A5-7E9B696E4B8B}"/>
    <cellStyle name="20% - Énfasis6 5 2 3 4" xfId="25331" xr:uid="{2B679581-14D8-44DA-85FE-AE76ED938660}"/>
    <cellStyle name="20% - Énfasis6 5 2 3 5" xfId="31205" xr:uid="{7679B8C4-6911-4777-8DA2-B4F7B2F9A883}"/>
    <cellStyle name="20% - Énfasis6 5 2 3 6" xfId="37083" xr:uid="{105636E6-17FE-4D45-9160-3955B226C88A}"/>
    <cellStyle name="20% - Énfasis6 5 2 4" xfId="6975" xr:uid="{513554A3-6C3E-48A7-A3F7-2EF2C3B85CBD}"/>
    <cellStyle name="20% - Énfasis6 5 2 4 2" xfId="21394" xr:uid="{AC37B316-83F3-4853-9097-A9E8D7A4A18E}"/>
    <cellStyle name="20% - Énfasis6 5 2 4 3" xfId="27213" xr:uid="{F5F634AD-FC71-440B-AAA4-4A199E36FE96}"/>
    <cellStyle name="20% - Énfasis6 5 2 4 4" xfId="33091" xr:uid="{CEAD9374-FD4C-42A5-A0A3-F62BA3F29291}"/>
    <cellStyle name="20% - Énfasis6 5 2 4 5" xfId="38955" xr:uid="{13612DA1-84FF-4D5E-B0AF-F5ECCEAAE0D7}"/>
    <cellStyle name="20% - Énfasis6 5 2 5" xfId="18648" xr:uid="{607C5FAC-1008-49B9-A38C-C641C1E028E9}"/>
    <cellStyle name="20% - Énfasis6 5 2 6" xfId="24362" xr:uid="{5FF0A201-31B3-4636-8277-E5CBC837AFD9}"/>
    <cellStyle name="20% - Énfasis6 5 2 7" xfId="30240" xr:uid="{18DAA01C-7437-48E1-8ABE-ACC7A4A242D1}"/>
    <cellStyle name="20% - Énfasis6 5 2 8" xfId="36119" xr:uid="{3C14E7C7-20FF-4843-8788-30D1D77BEBF0}"/>
    <cellStyle name="20% - Énfasis6 5 3" xfId="4403" xr:uid="{89852C1E-EACB-4476-A7BC-3863BD736382}"/>
    <cellStyle name="20% - Énfasis6 5 3 2" xfId="5369" xr:uid="{AA541712-7A44-48F2-B92B-B23F363DDEEE}"/>
    <cellStyle name="20% - Énfasis6 5 3 2 2" xfId="8236" xr:uid="{A0148BC8-423A-41C4-9988-5CE66915AF64}"/>
    <cellStyle name="20% - Énfasis6 5 3 2 2 2" xfId="22612" xr:uid="{884EEF72-DB3F-43A0-8059-276C2513A930}"/>
    <cellStyle name="20% - Énfasis6 5 3 2 2 3" xfId="28469" xr:uid="{B5715992-2176-45E8-92CC-CB608D92D167}"/>
    <cellStyle name="20% - Énfasis6 5 3 2 2 4" xfId="34351" xr:uid="{1606B85D-4303-4ADD-93CB-7EB983ABFDD8}"/>
    <cellStyle name="20% - Énfasis6 5 3 2 2 5" xfId="40215" xr:uid="{11A9520D-6190-4DB4-BD7D-65BE397E111B}"/>
    <cellStyle name="20% - Énfasis6 5 3 2 3" xfId="19836" xr:uid="{4CFE6FD3-330F-4BAE-BFDF-73154F533F76}"/>
    <cellStyle name="20% - Énfasis6 5 3 2 4" xfId="25620" xr:uid="{A6775D94-D418-4367-BC3D-0D42C8AB812C}"/>
    <cellStyle name="20% - Énfasis6 5 3 2 5" xfId="31494" xr:uid="{E4445FFA-A1B1-4A4B-B409-78F7F685A1EF}"/>
    <cellStyle name="20% - Énfasis6 5 3 2 6" xfId="37365" xr:uid="{C9D32D91-4BF0-4EC0-BCA8-0B985CADC042}"/>
    <cellStyle name="20% - Énfasis6 5 3 3" xfId="7264" xr:uid="{955B5382-9EEA-4699-BAB3-451945D45800}"/>
    <cellStyle name="20% - Énfasis6 5 3 3 2" xfId="21671" xr:uid="{FDE23EF8-C4A7-4C7F-A75B-CB387BAF7317}"/>
    <cellStyle name="20% - Énfasis6 5 3 3 3" xfId="27498" xr:uid="{AD5BFF32-73DA-4573-AD01-CCF051F17DBD}"/>
    <cellStyle name="20% - Énfasis6 5 3 3 4" xfId="33380" xr:uid="{A9F7BF7F-CD49-4684-8F28-78C81A607A90}"/>
    <cellStyle name="20% - Énfasis6 5 3 3 5" xfId="39244" xr:uid="{565E3E2D-D591-4E50-9D18-9EEEA617335B}"/>
    <cellStyle name="20% - Énfasis6 5 3 4" xfId="18905" xr:uid="{4BE9DF17-E27A-4C0D-B89E-A4F4368FED7E}"/>
    <cellStyle name="20% - Énfasis6 5 3 5" xfId="24649" xr:uid="{E6391195-DA84-47D6-BB43-18477A0EFA4D}"/>
    <cellStyle name="20% - Énfasis6 5 3 6" xfId="30528" xr:uid="{287BF058-1F6B-4C38-BC10-E305A4666FDC}"/>
    <cellStyle name="20% - Énfasis6 5 3 7" xfId="36408" xr:uid="{B347E5D9-372C-4712-B9E4-E3F2D89BA839}"/>
    <cellStyle name="20% - Énfasis6 5 4" xfId="4884" xr:uid="{771B1C5D-884E-4558-8C5F-F708B9F0C405}"/>
    <cellStyle name="20% - Énfasis6 5 4 2" xfId="7751" xr:uid="{599D29C6-0C61-4581-899E-B9A19F296468}"/>
    <cellStyle name="20% - Énfasis6 5 4 2 2" xfId="22141" xr:uid="{14AA29D8-C3E5-438E-9B59-C7A02DB9ACE0}"/>
    <cellStyle name="20% - Énfasis6 5 4 2 3" xfId="27984" xr:uid="{8392CE00-FA69-4273-B9CB-1F3974107649}"/>
    <cellStyle name="20% - Énfasis6 5 4 2 4" xfId="33866" xr:uid="{A46C99B6-A975-4D65-9C10-F71807374567}"/>
    <cellStyle name="20% - Énfasis6 5 4 2 5" xfId="39730" xr:uid="{8D864CDA-5118-4A17-A16A-B0E03CA36475}"/>
    <cellStyle name="20% - Énfasis6 5 4 3" xfId="19367" xr:uid="{3961AB41-EC68-4E39-9898-A941E934CB5B}"/>
    <cellStyle name="20% - Énfasis6 5 4 4" xfId="25135" xr:uid="{B15759F3-6B96-4B9D-AA93-8B682357C946}"/>
    <cellStyle name="20% - Énfasis6 5 4 5" xfId="31009" xr:uid="{F20DEEA8-7774-47BE-BE47-B9AA9538CD2F}"/>
    <cellStyle name="20% - Énfasis6 5 4 6" xfId="36888" xr:uid="{A9A89025-7083-451D-92CA-D50E0FEA7481}"/>
    <cellStyle name="20% - Énfasis6 5 5" xfId="5894" xr:uid="{86704C5F-3EAD-4FB7-9042-A65006BA6476}"/>
    <cellStyle name="20% - Énfasis6 5 5 2" xfId="8763" xr:uid="{F8017835-0EA3-43CF-8870-5F00E4C025A3}"/>
    <cellStyle name="20% - Énfasis6 5 5 2 2" xfId="23131" xr:uid="{A6B5619B-BA45-4437-9255-9D1B2300C67A}"/>
    <cellStyle name="20% - Énfasis6 5 5 2 3" xfId="28995" xr:uid="{2DD99058-32E7-4A53-89ED-AB1917BA49DB}"/>
    <cellStyle name="20% - Énfasis6 5 5 2 4" xfId="34877" xr:uid="{4623C15D-564A-41CE-8C65-9386398A370C}"/>
    <cellStyle name="20% - Énfasis6 5 5 2 5" xfId="40741" xr:uid="{CC733019-C3BD-4547-9F79-E7A1C6FADAD2}"/>
    <cellStyle name="20% - Énfasis6 5 5 3" xfId="20345" xr:uid="{7ED0F8D7-A0BB-4E4C-BB03-95D4B0A81791}"/>
    <cellStyle name="20% - Énfasis6 5 5 4" xfId="26145" xr:uid="{0B9DBCDE-62E7-4FC8-B0D3-E79F6EE4E75C}"/>
    <cellStyle name="20% - Énfasis6 5 5 5" xfId="32020" xr:uid="{27CA5940-9CE6-4F81-BB85-F762AE138A7F}"/>
    <cellStyle name="20% - Énfasis6 5 5 6" xfId="37886" xr:uid="{5DC673E2-26DB-4193-B79A-FEC24665FA50}"/>
    <cellStyle name="20% - Énfasis6 5 6" xfId="6780" xr:uid="{5739CE8A-3D15-43C2-8CE2-CE9FB50CC1EE}"/>
    <cellStyle name="20% - Énfasis6 5 6 2" xfId="21204" xr:uid="{31F70AF3-C4DA-4275-A34C-6985BC61D1DF}"/>
    <cellStyle name="20% - Énfasis6 5 6 3" xfId="27019" xr:uid="{B2FAB977-58C3-462F-A4F8-DF7BE917C49F}"/>
    <cellStyle name="20% - Énfasis6 5 6 4" xfId="32895" xr:uid="{D925291B-0402-48A6-AF90-B6BA0181D063}"/>
    <cellStyle name="20% - Énfasis6 5 6 5" xfId="38759" xr:uid="{22F08265-74CA-47CF-A46A-BFDB122751B1}"/>
    <cellStyle name="20% - Énfasis6 5 7" xfId="18450" xr:uid="{A755398C-BE83-4544-AD03-96D5E4A6CFD9}"/>
    <cellStyle name="20% - Énfasis6 5 8" xfId="24158" xr:uid="{508A844F-39AB-4ECF-A31B-EFDCAEEEF573}"/>
    <cellStyle name="20% - Énfasis6 5 9" xfId="30036" xr:uid="{DC4BAD30-B8BA-4B32-B65F-5A3AA32B34D4}"/>
    <cellStyle name="20% - Énfasis6 50" xfId="9545" xr:uid="{0F089776-4375-40C3-BCE6-650753E0878C}"/>
    <cellStyle name="20% - Énfasis6 50 2" xfId="23907" xr:uid="{C4D42850-1C05-471A-87B5-F7EEFE443894}"/>
    <cellStyle name="20% - Énfasis6 50 3" xfId="29777" xr:uid="{851190BC-FD60-479F-8389-7CB4CD1F4CA4}"/>
    <cellStyle name="20% - Énfasis6 50 4" xfId="35659" xr:uid="{DCAE782B-B1B1-4F82-A4EB-AD4BBB277BE1}"/>
    <cellStyle name="20% - Énfasis6 50 5" xfId="41518" xr:uid="{D1B30B31-AD69-47AA-A3FF-7D2E90450577}"/>
    <cellStyle name="20% - Énfasis6 51" xfId="9572" xr:uid="{D9DFD35A-6FA4-4CFD-B00B-2D67BBCF802A}"/>
    <cellStyle name="20% - Énfasis6 51 2" xfId="23934" xr:uid="{DD283F95-3AF9-4BFE-A710-E73B4EBE497C}"/>
    <cellStyle name="20% - Énfasis6 51 3" xfId="29804" xr:uid="{E6D26D7E-6C53-4982-A3B5-491238076CCE}"/>
    <cellStyle name="20% - Énfasis6 51 4" xfId="35686" xr:uid="{F11E0854-23D7-4508-9672-658CF80E176A}"/>
    <cellStyle name="20% - Énfasis6 51 5" xfId="41545" xr:uid="{315285FA-D46C-4123-BE7F-4744904C6E28}"/>
    <cellStyle name="20% - Énfasis6 52" xfId="15773" xr:uid="{627AB2DD-ED75-40B4-AB66-A7840C3E6A67}"/>
    <cellStyle name="20% - Énfasis6 52 2" xfId="23993" xr:uid="{2160E0FD-0DF9-484E-AA6A-4D121C170DC9}"/>
    <cellStyle name="20% - Énfasis6 52 3" xfId="29865" xr:uid="{DB8890EC-F093-4E38-B392-283CD4EFFF4B}"/>
    <cellStyle name="20% - Énfasis6 52 4" xfId="35747" xr:uid="{6E2C5F29-3E1C-40E9-83A5-C9CC91C77CEB}"/>
    <cellStyle name="20% - Énfasis6 52 5" xfId="41606" xr:uid="{48B322A6-1A70-4530-A3EF-C649B6B895F6}"/>
    <cellStyle name="20% - Énfasis6 53" xfId="15798" xr:uid="{C6779CFD-749B-4312-AB1E-4D68C50D24CD}"/>
    <cellStyle name="20% - Énfasis6 53 2" xfId="24015" xr:uid="{82138F13-81D2-4FF0-A331-B2A65B0EE1CD}"/>
    <cellStyle name="20% - Énfasis6 53 3" xfId="29890" xr:uid="{9A2EEDEF-EDFB-4D8B-972E-A92C278F58B9}"/>
    <cellStyle name="20% - Énfasis6 53 4" xfId="35771" xr:uid="{3D542F47-496E-4B6F-9CA4-A8CF751918B2}"/>
    <cellStyle name="20% - Énfasis6 53 5" xfId="41631" xr:uid="{E22BD6BE-3E23-45D9-BB88-1C04B56787F2}"/>
    <cellStyle name="20% - Énfasis6 54" xfId="15832" xr:uid="{59A68459-56F8-4D3C-A302-F438EDED3BE7}"/>
    <cellStyle name="20% - Énfasis6 55" xfId="18307" xr:uid="{D8DB1ACF-753A-4B62-B297-B42D0FEFB460}"/>
    <cellStyle name="20% - Énfasis6 56" xfId="18330" xr:uid="{E4C72AC4-7BD5-45B3-923B-26F538D9AEFA}"/>
    <cellStyle name="20% - Énfasis6 57" xfId="24042" xr:uid="{624AE1E3-BDDB-4330-B8A5-D74119A5D254}"/>
    <cellStyle name="20% - Énfasis6 58" xfId="29920" xr:uid="{F901A619-2C06-4C87-9AB8-27316DB5B38B}"/>
    <cellStyle name="20% - Énfasis6 59" xfId="35801" xr:uid="{ADB7A807-7940-433E-8BD0-3249538B476E}"/>
    <cellStyle name="20% - Énfasis6 6" xfId="3949" xr:uid="{66763B8B-EFAB-4085-BFF5-A94B05EF0435}"/>
    <cellStyle name="20% - Énfasis6 6 10" xfId="35940" xr:uid="{CDD47086-764D-4EB5-A6E8-85D9585BA655}"/>
    <cellStyle name="20% - Énfasis6 6 2" xfId="4141" xr:uid="{B87CA4DE-AC9B-4B82-984E-0AD927BA9412}"/>
    <cellStyle name="20% - Énfasis6 6 2 2" xfId="4619" xr:uid="{2CFFE5C4-D1CC-4776-9DFD-40B412AAE86B}"/>
    <cellStyle name="20% - Énfasis6 6 2 2 2" xfId="5587" xr:uid="{262241FE-CDCC-4373-AD3D-96B87371A84F}"/>
    <cellStyle name="20% - Énfasis6 6 2 2 2 2" xfId="8454" xr:uid="{E7CA8026-E86D-4C47-990F-4299CB060D2C}"/>
    <cellStyle name="20% - Énfasis6 6 2 2 2 2 2" xfId="22829" xr:uid="{CEBA9E5B-DBDB-4405-BB15-7E59187F42BC}"/>
    <cellStyle name="20% - Énfasis6 6 2 2 2 2 3" xfId="28687" xr:uid="{91B1C7C7-4E9D-47EB-874E-F096BD3623AE}"/>
    <cellStyle name="20% - Énfasis6 6 2 2 2 2 4" xfId="34569" xr:uid="{FA6862D6-25AF-4114-8AB7-EB0B5E9DBC41}"/>
    <cellStyle name="20% - Énfasis6 6 2 2 2 2 5" xfId="40433" xr:uid="{99E2D790-047E-4C88-9DA5-07BB643051FA}"/>
    <cellStyle name="20% - Énfasis6 6 2 2 2 3" xfId="20047" xr:uid="{312607D2-3656-4A11-9E3C-5A397C238C82}"/>
    <cellStyle name="20% - Énfasis6 6 2 2 2 4" xfId="25838" xr:uid="{BC69181F-04C1-4CEF-9061-B49F0D5E0E3A}"/>
    <cellStyle name="20% - Énfasis6 6 2 2 2 5" xfId="31712" xr:uid="{AB0494AB-925A-4F82-A79F-F4A0F91075D9}"/>
    <cellStyle name="20% - Énfasis6 6 2 2 2 6" xfId="37582" xr:uid="{9F29551B-E5E7-4E7C-9F8A-5F3DB0EB0599}"/>
    <cellStyle name="20% - Énfasis6 6 2 2 3" xfId="7482" xr:uid="{A9B7DADF-15A1-486F-8636-0C24777C46DE}"/>
    <cellStyle name="20% - Énfasis6 6 2 2 3 2" xfId="21884" xr:uid="{BA0994FC-64E0-4244-BB97-E2A3CF201B38}"/>
    <cellStyle name="20% - Énfasis6 6 2 2 3 3" xfId="27716" xr:uid="{08EC4B18-B562-4ADE-AF9E-749E74A84AA1}"/>
    <cellStyle name="20% - Énfasis6 6 2 2 3 4" xfId="33598" xr:uid="{99C5FDD9-CF91-4F5A-BCC0-A5BC2372E882}"/>
    <cellStyle name="20% - Énfasis6 6 2 2 3 5" xfId="39462" xr:uid="{8E4C6204-ED63-4573-8C7C-258D146B690B}"/>
    <cellStyle name="20% - Énfasis6 6 2 2 4" xfId="19114" xr:uid="{3DA9BC09-382A-49E7-B6BC-3B2EDC5903E0}"/>
    <cellStyle name="20% - Énfasis6 6 2 2 5" xfId="24867" xr:uid="{00A1C289-1DBB-4834-A781-AAA7D58A2C7F}"/>
    <cellStyle name="20% - Énfasis6 6 2 2 6" xfId="30744" xr:uid="{73B9AAD8-692E-4B33-BEAB-F4299197EF26}"/>
    <cellStyle name="20% - Énfasis6 6 2 2 7" xfId="36625" xr:uid="{C113C41D-DB3C-4DFC-B4BC-7D2419B8B3DC}"/>
    <cellStyle name="20% - Énfasis6 6 2 3" xfId="5102" xr:uid="{920BACD7-19EE-4EE4-AA9A-DED353E890C9}"/>
    <cellStyle name="20% - Énfasis6 6 2 3 2" xfId="7969" xr:uid="{56530A13-78FA-4432-B91E-968215BD803E}"/>
    <cellStyle name="20% - Énfasis6 6 2 3 2 2" xfId="22354" xr:uid="{7685F945-19B3-443F-B5C3-A2D2FA485E63}"/>
    <cellStyle name="20% - Énfasis6 6 2 3 2 3" xfId="28202" xr:uid="{CB69EF12-13AE-4A8B-B800-DCFCEE236893}"/>
    <cellStyle name="20% - Énfasis6 6 2 3 2 4" xfId="34084" xr:uid="{7EE4779F-E0EE-4047-9CDC-53EEFA3F9A8D}"/>
    <cellStyle name="20% - Énfasis6 6 2 3 2 5" xfId="39948" xr:uid="{275AF39E-1547-41A0-BE56-94F43B1D9B19}"/>
    <cellStyle name="20% - Énfasis6 6 2 3 3" xfId="19579" xr:uid="{BD28B265-30B3-40F3-8C96-A4EDC12B188B}"/>
    <cellStyle name="20% - Énfasis6 6 2 3 4" xfId="25353" xr:uid="{B20083D7-3A86-403A-BDA8-7F5753CBF77D}"/>
    <cellStyle name="20% - Énfasis6 6 2 3 5" xfId="31227" xr:uid="{88437CAA-C885-4C64-9BA7-92F8392B54B9}"/>
    <cellStyle name="20% - Énfasis6 6 2 3 6" xfId="37105" xr:uid="{0A06D69A-7854-46AD-8C33-3EB4D0FF146E}"/>
    <cellStyle name="20% - Énfasis6 6 2 4" xfId="6997" xr:uid="{A3428136-EBA2-45D6-8DDA-8B615194421A}"/>
    <cellStyle name="20% - Énfasis6 6 2 4 2" xfId="21416" xr:uid="{18493AA3-4C11-469B-9D9B-58CD5584C234}"/>
    <cellStyle name="20% - Énfasis6 6 2 4 3" xfId="27235" xr:uid="{2113E4DD-1D5E-48F9-B063-468C2AE8C8C7}"/>
    <cellStyle name="20% - Énfasis6 6 2 4 4" xfId="33113" xr:uid="{BC176A6C-AE20-4C9C-9990-ACC33A36E79E}"/>
    <cellStyle name="20% - Énfasis6 6 2 4 5" xfId="38977" xr:uid="{F695CEF1-811D-43EE-9F19-7D057EC18C8D}"/>
    <cellStyle name="20% - Énfasis6 6 2 5" xfId="18670" xr:uid="{4632CE37-6756-4E64-9AA9-5C40C22B4F45}"/>
    <cellStyle name="20% - Énfasis6 6 2 6" xfId="24384" xr:uid="{D809E33C-99EB-4551-963C-882BD017659E}"/>
    <cellStyle name="20% - Énfasis6 6 2 7" xfId="30262" xr:uid="{BEF4FCE9-8DFD-4C3E-952E-F012B22AAA59}"/>
    <cellStyle name="20% - Énfasis6 6 2 8" xfId="36141" xr:uid="{472A69E2-1B8A-48CF-8A1A-5FCA77C4834D}"/>
    <cellStyle name="20% - Énfasis6 6 3" xfId="4425" xr:uid="{2F375C57-9331-4B43-83F7-6FC97B69A09A}"/>
    <cellStyle name="20% - Énfasis6 6 3 2" xfId="5391" xr:uid="{2C602D4C-53F4-461C-A1E3-33B39C34BBBB}"/>
    <cellStyle name="20% - Énfasis6 6 3 2 2" xfId="8258" xr:uid="{1FF4F4B7-A16B-426B-8ADC-55DB09775534}"/>
    <cellStyle name="20% - Énfasis6 6 3 2 2 2" xfId="22634" xr:uid="{594C703A-5FE8-42FA-BDC5-9F7156F034BD}"/>
    <cellStyle name="20% - Énfasis6 6 3 2 2 3" xfId="28491" xr:uid="{A6BCCA72-FFD8-453C-9E35-A3410A8AF8D2}"/>
    <cellStyle name="20% - Énfasis6 6 3 2 2 4" xfId="34373" xr:uid="{B846B47E-E622-4736-A096-ABEE43DB86C0}"/>
    <cellStyle name="20% - Énfasis6 6 3 2 2 5" xfId="40237" xr:uid="{CB051479-B2E3-4FC9-B732-12EF5ECF7701}"/>
    <cellStyle name="20% - Énfasis6 6 3 2 3" xfId="19858" xr:uid="{AF1AC13B-3EBC-41B4-8CBA-60DE8AF0840C}"/>
    <cellStyle name="20% - Énfasis6 6 3 2 4" xfId="25642" xr:uid="{4DF6398C-022A-4832-92EA-FF9225863DF4}"/>
    <cellStyle name="20% - Énfasis6 6 3 2 5" xfId="31516" xr:uid="{17667546-730D-405C-BE84-B3C2342E1C53}"/>
    <cellStyle name="20% - Énfasis6 6 3 2 6" xfId="37387" xr:uid="{3B38BDD9-8A1E-41DA-AF17-04ECA0EF0A5E}"/>
    <cellStyle name="20% - Énfasis6 6 3 3" xfId="7286" xr:uid="{A1181D4F-F3F1-4C20-81D4-AF95254C21A4}"/>
    <cellStyle name="20% - Énfasis6 6 3 3 2" xfId="21693" xr:uid="{0753E382-D631-4AC7-B2CF-B8AC54395DCB}"/>
    <cellStyle name="20% - Énfasis6 6 3 3 3" xfId="27520" xr:uid="{32853BF6-E4D9-4DD6-BE92-968C33DE2442}"/>
    <cellStyle name="20% - Énfasis6 6 3 3 4" xfId="33402" xr:uid="{31E566D3-E87B-414E-8B6E-11C89DE445D8}"/>
    <cellStyle name="20% - Énfasis6 6 3 3 5" xfId="39266" xr:uid="{635E9967-5309-4557-A8F4-4A32472E4F5A}"/>
    <cellStyle name="20% - Énfasis6 6 3 4" xfId="18927" xr:uid="{488FB54F-F2B4-4299-8C04-24F0CCA33867}"/>
    <cellStyle name="20% - Énfasis6 6 3 5" xfId="24671" xr:uid="{D73BE67C-9AF8-42E0-946B-76DE95621455}"/>
    <cellStyle name="20% - Énfasis6 6 3 6" xfId="30550" xr:uid="{FFD027C0-3058-4570-89B5-DE10521BC056}"/>
    <cellStyle name="20% - Énfasis6 6 3 7" xfId="36430" xr:uid="{FB53D68F-F909-4E98-A7C6-6A7CEB1F31B4}"/>
    <cellStyle name="20% - Énfasis6 6 4" xfId="4906" xr:uid="{B4778435-CFF4-4BA0-9E80-71A62BD6BD08}"/>
    <cellStyle name="20% - Énfasis6 6 4 2" xfId="7773" xr:uid="{937D0BCB-131A-448E-8B61-7CC38315C3B0}"/>
    <cellStyle name="20% - Énfasis6 6 4 2 2" xfId="22163" xr:uid="{AF3A8C0B-B54A-420A-9428-E81C7388CE45}"/>
    <cellStyle name="20% - Énfasis6 6 4 2 3" xfId="28006" xr:uid="{26963826-7C2E-4FF2-9302-D2B6B567B682}"/>
    <cellStyle name="20% - Énfasis6 6 4 2 4" xfId="33888" xr:uid="{1FB29819-69EE-4663-AE29-D2D2133A125D}"/>
    <cellStyle name="20% - Énfasis6 6 4 2 5" xfId="39752" xr:uid="{9D25F9DD-E870-433D-98BD-43DD67D1EAF5}"/>
    <cellStyle name="20% - Énfasis6 6 4 3" xfId="19389" xr:uid="{DC0E25F6-FB5B-4229-8EEB-E1A7CC065D98}"/>
    <cellStyle name="20% - Énfasis6 6 4 4" xfId="25157" xr:uid="{93577670-6FFB-4BD7-845A-6EF3E936E09A}"/>
    <cellStyle name="20% - Énfasis6 6 4 5" xfId="31031" xr:uid="{C880EEB3-03FE-4555-BC24-369328F9041A}"/>
    <cellStyle name="20% - Énfasis6 6 4 6" xfId="36910" xr:uid="{68F215FA-0B91-4F8D-9F40-F15B9CC6F789}"/>
    <cellStyle name="20% - Énfasis6 6 5" xfId="5916" xr:uid="{99585E88-9633-49FF-B783-DE096CBDBBF2}"/>
    <cellStyle name="20% - Énfasis6 6 5 2" xfId="8785" xr:uid="{A32772BB-EF66-45D7-8B40-F1CFBBE4DA68}"/>
    <cellStyle name="20% - Énfasis6 6 5 2 2" xfId="23153" xr:uid="{8421351B-0F07-4EA7-8F22-BAC8F70E0C72}"/>
    <cellStyle name="20% - Énfasis6 6 5 2 3" xfId="29017" xr:uid="{3FB822F0-9E5A-4429-96DC-D6E1ED589877}"/>
    <cellStyle name="20% - Énfasis6 6 5 2 4" xfId="34899" xr:uid="{F67A04BD-EBA8-4FD6-A25F-5135FBE626A7}"/>
    <cellStyle name="20% - Énfasis6 6 5 2 5" xfId="40763" xr:uid="{78108070-1139-4A9A-9A8F-7507E9120B13}"/>
    <cellStyle name="20% - Énfasis6 6 5 3" xfId="20367" xr:uid="{04275897-4BEF-4567-ACE2-C2CE0FB6AA23}"/>
    <cellStyle name="20% - Énfasis6 6 5 4" xfId="26167" xr:uid="{20B5008F-9A08-4FE0-A97A-D240586EE83D}"/>
    <cellStyle name="20% - Énfasis6 6 5 5" xfId="32042" xr:uid="{F3DE6264-30CA-45D8-9CEF-E2CBCACF6BEA}"/>
    <cellStyle name="20% - Énfasis6 6 5 6" xfId="37908" xr:uid="{26A9E370-A22C-4E7A-B20C-BEDB49335825}"/>
    <cellStyle name="20% - Énfasis6 6 6" xfId="6802" xr:uid="{B17675FD-FC31-4599-B196-D9987CEA583F}"/>
    <cellStyle name="20% - Énfasis6 6 6 2" xfId="21226" xr:uid="{3B624717-79EA-4093-B45A-CBFD962591EF}"/>
    <cellStyle name="20% - Énfasis6 6 6 3" xfId="27041" xr:uid="{C7F57D24-4E75-46A6-B29C-56B6D5A224DE}"/>
    <cellStyle name="20% - Énfasis6 6 6 4" xfId="32917" xr:uid="{92EB8F98-294C-464C-824A-976293BEDE37}"/>
    <cellStyle name="20% - Énfasis6 6 6 5" xfId="38781" xr:uid="{87988FEB-31A5-4619-902C-45C815AFBBD7}"/>
    <cellStyle name="20% - Énfasis6 6 7" xfId="18473" xr:uid="{4A03388F-7CE3-4771-9EDD-D5AB79897863}"/>
    <cellStyle name="20% - Énfasis6 6 8" xfId="24181" xr:uid="{8D6B4E58-F9F4-4F86-B9FC-472199F13459}"/>
    <cellStyle name="20% - Énfasis6 6 9" xfId="30059" xr:uid="{DF9DEE8E-9C4C-47CD-B6D6-E1189FE88863}"/>
    <cellStyle name="20% - Énfasis6 7" xfId="3973" xr:uid="{D5EB5A38-C5DE-4D3A-8209-57C3B56912EB}"/>
    <cellStyle name="20% - Énfasis6 7 10" xfId="35965" xr:uid="{47CBC46C-7813-4DBA-B6FC-B2F02C6F51D6}"/>
    <cellStyle name="20% - Énfasis6 7 2" xfId="4165" xr:uid="{9286D0E7-5149-4BA6-9C18-CE106D29BDE7}"/>
    <cellStyle name="20% - Énfasis6 7 2 2" xfId="4643" xr:uid="{9F9D2CD1-E3A9-40A3-B47A-444B605DC38C}"/>
    <cellStyle name="20% - Énfasis6 7 2 2 2" xfId="5611" xr:uid="{65B76049-C788-4CE1-BA5C-FF1D01DE3444}"/>
    <cellStyle name="20% - Énfasis6 7 2 2 2 2" xfId="8478" xr:uid="{D619E806-CDC2-41F5-9A20-7B07D38AC8F5}"/>
    <cellStyle name="20% - Énfasis6 7 2 2 2 2 2" xfId="22853" xr:uid="{57B35A23-5207-48C8-AA19-4D5718A4FE94}"/>
    <cellStyle name="20% - Énfasis6 7 2 2 2 2 3" xfId="28711" xr:uid="{816AF262-BEBC-4E2E-A95F-6391D92124F4}"/>
    <cellStyle name="20% - Énfasis6 7 2 2 2 2 4" xfId="34593" xr:uid="{F4B8A81B-7458-473A-AFD0-6DDE405C1360}"/>
    <cellStyle name="20% - Énfasis6 7 2 2 2 2 5" xfId="40457" xr:uid="{F3EC5F25-D3B8-4FD5-ABCE-7676ACD42226}"/>
    <cellStyle name="20% - Énfasis6 7 2 2 2 3" xfId="20070" xr:uid="{B99D4315-875A-4BDF-AD63-6DB93B5A6644}"/>
    <cellStyle name="20% - Énfasis6 7 2 2 2 4" xfId="25862" xr:uid="{D1304D02-B221-4793-809B-7D489170B343}"/>
    <cellStyle name="20% - Énfasis6 7 2 2 2 5" xfId="31736" xr:uid="{77C3CF2D-D996-40BE-9DF7-E9A5FBF0E78B}"/>
    <cellStyle name="20% - Énfasis6 7 2 2 2 6" xfId="37606" xr:uid="{9F2FB73A-0F1D-415A-B489-4A4034E4D9DB}"/>
    <cellStyle name="20% - Énfasis6 7 2 2 3" xfId="7506" xr:uid="{8A151FC9-87FC-4B7D-A14A-9C5C4D631BC7}"/>
    <cellStyle name="20% - Énfasis6 7 2 2 3 2" xfId="21907" xr:uid="{B9BC6B43-C796-4819-BFDB-17C74F3F4F37}"/>
    <cellStyle name="20% - Énfasis6 7 2 2 3 3" xfId="27740" xr:uid="{D19EA8C0-3A4B-4792-B401-67D84EA73F44}"/>
    <cellStyle name="20% - Énfasis6 7 2 2 3 4" xfId="33622" xr:uid="{5E5FE9A1-D9D0-4264-8B21-7F6027F2CD06}"/>
    <cellStyle name="20% - Énfasis6 7 2 2 3 5" xfId="39486" xr:uid="{E76268D1-DD05-4BD5-84FE-DC5262C6FFED}"/>
    <cellStyle name="20% - Énfasis6 7 2 2 4" xfId="19137" xr:uid="{8430F130-1208-4467-B713-A1E2AA6D1DC4}"/>
    <cellStyle name="20% - Énfasis6 7 2 2 5" xfId="24891" xr:uid="{306D0ABE-5263-4F8D-B2D5-F805A0A2ACC4}"/>
    <cellStyle name="20% - Énfasis6 7 2 2 6" xfId="30767" xr:uid="{676B8210-B914-4459-8871-5A46531042E9}"/>
    <cellStyle name="20% - Énfasis6 7 2 2 7" xfId="36649" xr:uid="{DB6FF01B-1528-4DFA-92DF-AABF9F83E8D2}"/>
    <cellStyle name="20% - Énfasis6 7 2 3" xfId="5126" xr:uid="{2ACCD20F-4395-45EF-AC25-003B433FAD9F}"/>
    <cellStyle name="20% - Énfasis6 7 2 3 2" xfId="7993" xr:uid="{77217058-5FE9-43D2-90BA-6AD780E80989}"/>
    <cellStyle name="20% - Énfasis6 7 2 3 2 2" xfId="22378" xr:uid="{19BE31F3-9627-43B8-B23C-29CF6B901179}"/>
    <cellStyle name="20% - Énfasis6 7 2 3 2 3" xfId="28226" xr:uid="{04116DE1-B0D1-4334-BEC7-0EC94BAF628D}"/>
    <cellStyle name="20% - Énfasis6 7 2 3 2 4" xfId="34108" xr:uid="{C6FAAD6A-E444-4FFF-ACC4-B75963D1EF9B}"/>
    <cellStyle name="20% - Énfasis6 7 2 3 2 5" xfId="39972" xr:uid="{D1D147EA-914A-429D-81AF-1C47C602A6FC}"/>
    <cellStyle name="20% - Énfasis6 7 2 3 3" xfId="19601" xr:uid="{58DEC477-7516-40C6-92F9-14FDB4BD149A}"/>
    <cellStyle name="20% - Énfasis6 7 2 3 4" xfId="25377" xr:uid="{BAF85F57-2ED0-4EA7-B5FF-4B18C4039EFC}"/>
    <cellStyle name="20% - Énfasis6 7 2 3 5" xfId="31251" xr:uid="{C8E5BEA3-3F8A-4545-AD28-BACC2A1D2B52}"/>
    <cellStyle name="20% - Énfasis6 7 2 3 6" xfId="37129" xr:uid="{BC2C352C-0041-4A81-B37F-9F0E6F402233}"/>
    <cellStyle name="20% - Énfasis6 7 2 4" xfId="7021" xr:uid="{16DB51F4-71F6-4476-8D57-CAE0A4B0BAC3}"/>
    <cellStyle name="20% - Énfasis6 7 2 4 2" xfId="21438" xr:uid="{153F29F4-45FE-41DA-9605-83D75275ECB8}"/>
    <cellStyle name="20% - Énfasis6 7 2 4 3" xfId="27259" xr:uid="{3A615B11-7485-4875-81D9-AEC3C91C53FB}"/>
    <cellStyle name="20% - Énfasis6 7 2 4 4" xfId="33137" xr:uid="{390D7CB2-6B25-4333-8131-6BBA8EAF716C}"/>
    <cellStyle name="20% - Énfasis6 7 2 4 5" xfId="39001" xr:uid="{45102B92-56B6-490F-BBDE-16595C8A5768}"/>
    <cellStyle name="20% - Énfasis6 7 2 5" xfId="18693" xr:uid="{1355225B-2A6E-42EB-97E2-1DEB3FB3627B}"/>
    <cellStyle name="20% - Énfasis6 7 2 6" xfId="24408" xr:uid="{F682CE39-40E3-4FEB-909E-7F5BD5F0F24F}"/>
    <cellStyle name="20% - Énfasis6 7 2 7" xfId="30285" xr:uid="{8B2EA201-5E09-4F41-B82A-EA801A5D028B}"/>
    <cellStyle name="20% - Énfasis6 7 2 8" xfId="36165" xr:uid="{B40F7A56-A3AB-4C92-9571-8F8905508ABF}"/>
    <cellStyle name="20% - Énfasis6 7 3" xfId="4448" xr:uid="{B959EC74-5051-4EAF-B12A-4A14B3D1A730}"/>
    <cellStyle name="20% - Énfasis6 7 3 2" xfId="5415" xr:uid="{B3AAB461-C932-48BD-A6F1-6081D3F78130}"/>
    <cellStyle name="20% - Énfasis6 7 3 2 2" xfId="8282" xr:uid="{8B9BDD2B-7043-4210-8A63-990613C2B997}"/>
    <cellStyle name="20% - Énfasis6 7 3 2 2 2" xfId="22658" xr:uid="{99D2640C-705A-4494-AD17-C63360204DB5}"/>
    <cellStyle name="20% - Énfasis6 7 3 2 2 3" xfId="28515" xr:uid="{32445A47-F8A0-42F2-9311-850CBCD895EF}"/>
    <cellStyle name="20% - Énfasis6 7 3 2 2 4" xfId="34397" xr:uid="{0C5D090B-E8A5-4E24-A0EF-B3158311C338}"/>
    <cellStyle name="20% - Énfasis6 7 3 2 2 5" xfId="40261" xr:uid="{8C4E39A8-31DD-4279-B128-5F838A21DE62}"/>
    <cellStyle name="20% - Énfasis6 7 3 2 3" xfId="19880" xr:uid="{A0DBDD6E-3CE4-4930-9B7B-9C69D4978A98}"/>
    <cellStyle name="20% - Énfasis6 7 3 2 4" xfId="25666" xr:uid="{753CC210-EFC0-4691-8C48-E03D37B7529C}"/>
    <cellStyle name="20% - Énfasis6 7 3 2 5" xfId="31540" xr:uid="{0083DA75-51E9-49B9-843A-4B975C4F846F}"/>
    <cellStyle name="20% - Énfasis6 7 3 2 6" xfId="37411" xr:uid="{430FFC7B-A5E9-4C00-AC57-355734D25282}"/>
    <cellStyle name="20% - Énfasis6 7 3 3" xfId="7310" xr:uid="{B1ECF57F-EB37-4772-AE3E-7F2AA939023F}"/>
    <cellStyle name="20% - Énfasis6 7 3 3 2" xfId="21715" xr:uid="{3680E7D1-8E12-4845-A237-D91DA0B29440}"/>
    <cellStyle name="20% - Énfasis6 7 3 3 3" xfId="27544" xr:uid="{B43A7BF8-5E91-4CCF-8286-ECAF3C2D30C9}"/>
    <cellStyle name="20% - Énfasis6 7 3 3 4" xfId="33426" xr:uid="{36C7A1C7-C37D-4622-8981-97485140BB98}"/>
    <cellStyle name="20% - Énfasis6 7 3 3 5" xfId="39290" xr:uid="{3A0911E5-73DD-469A-B25D-7D72A5D6FB44}"/>
    <cellStyle name="20% - Énfasis6 7 3 4" xfId="18951" xr:uid="{AF9B1230-BBB3-4C12-86F6-62F141CBA76B}"/>
    <cellStyle name="20% - Énfasis6 7 3 5" xfId="24695" xr:uid="{DFEEA3D0-9713-45F7-AD4A-5F4843D82E53}"/>
    <cellStyle name="20% - Énfasis6 7 3 6" xfId="30573" xr:uid="{DD49D5F9-6C66-4C09-9916-81C2C1339E1C}"/>
    <cellStyle name="20% - Énfasis6 7 3 7" xfId="36454" xr:uid="{D9AA3295-2EA8-45E9-8C0E-79DDDB7A7EAA}"/>
    <cellStyle name="20% - Énfasis6 7 4" xfId="4930" xr:uid="{0B25176B-7A74-461F-A339-7ECD25CCE69C}"/>
    <cellStyle name="20% - Énfasis6 7 4 2" xfId="7797" xr:uid="{E0701F48-E149-49BA-A8C6-A46BCF58549B}"/>
    <cellStyle name="20% - Énfasis6 7 4 2 2" xfId="22185" xr:uid="{28B68396-A18F-41E5-A54B-0AFDD8E2017E}"/>
    <cellStyle name="20% - Énfasis6 7 4 2 3" xfId="28030" xr:uid="{DCDEFBA1-6189-42A4-A57E-592421EBD703}"/>
    <cellStyle name="20% - Énfasis6 7 4 2 4" xfId="33912" xr:uid="{6AF106DC-F04D-4D9F-B456-9F5BA5F06421}"/>
    <cellStyle name="20% - Énfasis6 7 4 2 5" xfId="39776" xr:uid="{5C7B314C-CEF9-4442-B6CD-E6A095FE1E4C}"/>
    <cellStyle name="20% - Énfasis6 7 4 3" xfId="19412" xr:uid="{255E8B49-AA50-45E3-A16B-008EC9C31ED0}"/>
    <cellStyle name="20% - Énfasis6 7 4 4" xfId="25181" xr:uid="{D11F2272-4A31-47E1-A1EB-FCF1F4CB052E}"/>
    <cellStyle name="20% - Énfasis6 7 4 5" xfId="31055" xr:uid="{104821EA-C2A4-4C6F-B065-FCA90101C3F4}"/>
    <cellStyle name="20% - Énfasis6 7 4 6" xfId="36934" xr:uid="{9B6061E3-C6E8-43F3-A4F9-78686B3203FE}"/>
    <cellStyle name="20% - Énfasis6 7 5" xfId="5940" xr:uid="{4426502A-EAD5-4258-A11A-50B970984857}"/>
    <cellStyle name="20% - Énfasis6 7 5 2" xfId="8809" xr:uid="{140152BC-6B79-489F-A030-2B447A31E137}"/>
    <cellStyle name="20% - Énfasis6 7 5 2 2" xfId="23176" xr:uid="{ECD866D5-6781-49F0-ABCE-C7E183D3D8CB}"/>
    <cellStyle name="20% - Énfasis6 7 5 2 3" xfId="29041" xr:uid="{7BE05B0B-74DB-449D-A5E6-3FDF8D1A1139}"/>
    <cellStyle name="20% - Énfasis6 7 5 2 4" xfId="34923" xr:uid="{51793F21-BD12-428A-9007-630C1BF42392}"/>
    <cellStyle name="20% - Énfasis6 7 5 2 5" xfId="40787" xr:uid="{A83A7A3F-8F63-47FB-9A78-CDFB6519D33A}"/>
    <cellStyle name="20% - Énfasis6 7 5 3" xfId="20390" xr:uid="{0E540EA1-FCC3-4739-B4B6-20FC01793574}"/>
    <cellStyle name="20% - Énfasis6 7 5 4" xfId="26191" xr:uid="{692C5BE4-F69E-4C04-BA9A-5FBEA77D359A}"/>
    <cellStyle name="20% - Énfasis6 7 5 5" xfId="32066" xr:uid="{CAAA53F8-E5A0-4C51-93B7-492698C5AF1A}"/>
    <cellStyle name="20% - Énfasis6 7 5 6" xfId="37932" xr:uid="{DEB30645-47A1-4651-809F-FA34FEF7CF3C}"/>
    <cellStyle name="20% - Énfasis6 7 6" xfId="6826" xr:uid="{07E8EACE-4889-45C9-BF30-3206AD36A680}"/>
    <cellStyle name="20% - Énfasis6 7 6 2" xfId="21249" xr:uid="{521B2F78-20EA-40A4-9C22-26334A733292}"/>
    <cellStyle name="20% - Énfasis6 7 6 3" xfId="27065" xr:uid="{3D474AD9-1973-4AB2-B5E9-8B7F74EC403B}"/>
    <cellStyle name="20% - Énfasis6 7 6 4" xfId="32941" xr:uid="{2E71A9E6-D1B1-402D-91FA-90B4CB5D0502}"/>
    <cellStyle name="20% - Énfasis6 7 6 5" xfId="38805" xr:uid="{F8C2FC48-A7E8-430B-9750-24083888CEE6}"/>
    <cellStyle name="20% - Énfasis6 7 7" xfId="18499" xr:uid="{B09B450E-7D2C-437F-AC04-CA1841D1B250}"/>
    <cellStyle name="20% - Énfasis6 7 8" xfId="24207" xr:uid="{5350F248-94D6-47E3-AC10-C3CF15056DC9}"/>
    <cellStyle name="20% - Énfasis6 7 9" xfId="30085" xr:uid="{A14B896B-8C24-4691-8816-5C11B8E79D08}"/>
    <cellStyle name="20% - Énfasis6 8" xfId="3999" xr:uid="{40C53468-699C-406D-94DE-82DD4270CC1D}"/>
    <cellStyle name="20% - Énfasis6 8 10" xfId="35993" xr:uid="{CBFA8A6A-679C-4CC9-9239-095C22348C30}"/>
    <cellStyle name="20% - Énfasis6 8 2" xfId="4191" xr:uid="{1F0975B5-A563-4871-A06E-A4652B5479F0}"/>
    <cellStyle name="20% - Énfasis6 8 2 2" xfId="4669" xr:uid="{BB1D0BD7-6108-4E90-91AE-0E438CB1D7BD}"/>
    <cellStyle name="20% - Énfasis6 8 2 2 2" xfId="5637" xr:uid="{CE8C1578-B74C-4079-BAC5-7BC2AD3C6278}"/>
    <cellStyle name="20% - Énfasis6 8 2 2 2 2" xfId="8504" xr:uid="{EADF3414-2748-437A-AE43-68B5C01F78FE}"/>
    <cellStyle name="20% - Énfasis6 8 2 2 2 2 2" xfId="22878" xr:uid="{837CF8A5-A428-47FD-BF68-E81CC32D67DD}"/>
    <cellStyle name="20% - Énfasis6 8 2 2 2 2 3" xfId="28737" xr:uid="{AA5F7CD4-27E8-40A9-90CF-90FE9FC78CD6}"/>
    <cellStyle name="20% - Énfasis6 8 2 2 2 2 4" xfId="34619" xr:uid="{92DB0F47-A819-412A-A647-103BDF922A11}"/>
    <cellStyle name="20% - Énfasis6 8 2 2 2 2 5" xfId="40483" xr:uid="{590DE065-5BE8-4B37-9E09-50EC7F3E5CA3}"/>
    <cellStyle name="20% - Énfasis6 8 2 2 2 3" xfId="20096" xr:uid="{B012F676-F0FD-4EF5-B01E-1D791D44A0F5}"/>
    <cellStyle name="20% - Énfasis6 8 2 2 2 4" xfId="25888" xr:uid="{2A38CCB9-E4CF-4F2B-9F08-88059DD2434F}"/>
    <cellStyle name="20% - Énfasis6 8 2 2 2 5" xfId="31762" xr:uid="{7E10A69F-A5BD-4B75-8AC3-EE9F97E0D073}"/>
    <cellStyle name="20% - Énfasis6 8 2 2 2 6" xfId="37631" xr:uid="{64514FCE-C024-4426-B2E6-2039A6F27DB5}"/>
    <cellStyle name="20% - Énfasis6 8 2 2 3" xfId="7532" xr:uid="{43791313-1FF2-4063-8162-E6E32287F5B2}"/>
    <cellStyle name="20% - Énfasis6 8 2 2 3 2" xfId="21932" xr:uid="{D9375D43-EEA2-4607-9DBB-6A5325A96141}"/>
    <cellStyle name="20% - Énfasis6 8 2 2 3 3" xfId="27766" xr:uid="{A5BEBF39-AC9B-4215-97B3-88EE273F79BA}"/>
    <cellStyle name="20% - Énfasis6 8 2 2 3 4" xfId="33648" xr:uid="{CB603DA8-5187-48B9-8105-6F1054B5F2FD}"/>
    <cellStyle name="20% - Énfasis6 8 2 2 3 5" xfId="39512" xr:uid="{46A76332-154A-40F6-A5F5-86DEF2595FB8}"/>
    <cellStyle name="20% - Énfasis6 8 2 2 4" xfId="19161" xr:uid="{CEF92AD5-B0B9-41BF-AC08-FA96A4E05953}"/>
    <cellStyle name="20% - Énfasis6 8 2 2 5" xfId="24917" xr:uid="{6E7D53E8-4453-4F1E-A28B-C0E8B57BE9F9}"/>
    <cellStyle name="20% - Énfasis6 8 2 2 6" xfId="30793" xr:uid="{DBA4A200-703D-4835-9BA3-06761FA9B93B}"/>
    <cellStyle name="20% - Énfasis6 8 2 2 7" xfId="36674" xr:uid="{05565658-825D-4836-9EAE-C9083794998E}"/>
    <cellStyle name="20% - Énfasis6 8 2 3" xfId="5152" xr:uid="{CE83D6FD-C243-4BC3-8AC3-97BBB2AC35F9}"/>
    <cellStyle name="20% - Énfasis6 8 2 3 2" xfId="8019" xr:uid="{E44D0A77-5500-4755-9E79-6FB3B981FE16}"/>
    <cellStyle name="20% - Énfasis6 8 2 3 2 2" xfId="22403" xr:uid="{1AD5831A-6798-4629-A330-51F11B3C3669}"/>
    <cellStyle name="20% - Énfasis6 8 2 3 2 3" xfId="28252" xr:uid="{16A12BF2-70B9-4B78-A2BF-DDF1F7C3769F}"/>
    <cellStyle name="20% - Énfasis6 8 2 3 2 4" xfId="34134" xr:uid="{FFEB0DED-82AF-4BFB-9B68-3C65F0542236}"/>
    <cellStyle name="20% - Énfasis6 8 2 3 2 5" xfId="39998" xr:uid="{91428D5E-41A7-4D64-BD3A-C95CFC34A2C7}"/>
    <cellStyle name="20% - Énfasis6 8 2 3 3" xfId="19626" xr:uid="{30FEA8DC-DE3C-4228-8A17-9D905411E923}"/>
    <cellStyle name="20% - Énfasis6 8 2 3 4" xfId="25403" xr:uid="{2F465FFC-E140-449E-9B14-EA44785ACC88}"/>
    <cellStyle name="20% - Énfasis6 8 2 3 5" xfId="31277" xr:uid="{8EA5F99D-CA3E-49E5-A3E9-50798DC57444}"/>
    <cellStyle name="20% - Énfasis6 8 2 3 6" xfId="37154" xr:uid="{A142FD0B-458B-402B-BEDA-1753725C8FE7}"/>
    <cellStyle name="20% - Énfasis6 8 2 4" xfId="7047" xr:uid="{D3A79688-B72D-4FDE-BB8E-00923E5889BC}"/>
    <cellStyle name="20% - Énfasis6 8 2 4 2" xfId="21463" xr:uid="{6A73906A-1642-4D36-8177-B005BC52C119}"/>
    <cellStyle name="20% - Énfasis6 8 2 4 3" xfId="27284" xr:uid="{54C0C32B-CCA7-4699-A3CF-BF12921BB842}"/>
    <cellStyle name="20% - Énfasis6 8 2 4 4" xfId="33163" xr:uid="{9E0E4544-DB8C-4504-BC86-325EE3945396}"/>
    <cellStyle name="20% - Énfasis6 8 2 4 5" xfId="39027" xr:uid="{8971309C-0E85-4A9F-96B1-7E6EB83A932C}"/>
    <cellStyle name="20% - Énfasis6 8 2 5" xfId="18718" xr:uid="{FC181BE6-CB2A-47A6-B577-2A019C96673C}"/>
    <cellStyle name="20% - Énfasis6 8 2 6" xfId="24434" xr:uid="{4362AC1D-9488-46BD-A7FC-5CBCE376B5B6}"/>
    <cellStyle name="20% - Énfasis6 8 2 7" xfId="30311" xr:uid="{F688353D-68B7-4321-AF70-9FB046D4168F}"/>
    <cellStyle name="20% - Énfasis6 8 2 8" xfId="36191" xr:uid="{D3E7FEC9-4765-4BEC-A255-303FBDF85752}"/>
    <cellStyle name="20% - Énfasis6 8 3" xfId="4473" xr:uid="{E511C4FB-269D-4DE6-9A5B-BD51A7F35886}"/>
    <cellStyle name="20% - Énfasis6 8 3 2" xfId="5441" xr:uid="{8117F2D5-E789-492F-ADF2-278E57AEFC8D}"/>
    <cellStyle name="20% - Énfasis6 8 3 2 2" xfId="8308" xr:uid="{420E2CB6-B37F-4DED-8BFE-60CBAD7ECDE3}"/>
    <cellStyle name="20% - Énfasis6 8 3 2 2 2" xfId="22684" xr:uid="{8D866BCB-054D-4678-A9BF-17B6C9FF3C99}"/>
    <cellStyle name="20% - Énfasis6 8 3 2 2 3" xfId="28541" xr:uid="{59774641-3F8C-42C4-AEE1-343081FE70A1}"/>
    <cellStyle name="20% - Énfasis6 8 3 2 2 4" xfId="34423" xr:uid="{D4D34227-5450-456D-A5F7-8EDB73344041}"/>
    <cellStyle name="20% - Énfasis6 8 3 2 2 5" xfId="40287" xr:uid="{EB7F9BA6-342A-4BC5-A7D0-C0D470DF071F}"/>
    <cellStyle name="20% - Énfasis6 8 3 2 3" xfId="19905" xr:uid="{8715A2E3-2E86-4688-9F35-D466880D75AE}"/>
    <cellStyle name="20% - Énfasis6 8 3 2 4" xfId="25692" xr:uid="{BBBD6C99-7EE6-42DC-9EA6-5D0D770BC0A9}"/>
    <cellStyle name="20% - Énfasis6 8 3 2 5" xfId="31566" xr:uid="{ABAC0A25-C1A8-4EB0-A793-54DA0E7CA1FE}"/>
    <cellStyle name="20% - Énfasis6 8 3 2 6" xfId="37437" xr:uid="{6BF65FD5-DEE7-4705-9C1C-4019ADA26791}"/>
    <cellStyle name="20% - Énfasis6 8 3 3" xfId="7336" xr:uid="{0B29CE9E-05E3-481F-AB74-5D7FA95BF542}"/>
    <cellStyle name="20% - Énfasis6 8 3 3 2" xfId="21740" xr:uid="{3BC26721-2CE4-47A6-A3DD-01D91C11C29E}"/>
    <cellStyle name="20% - Énfasis6 8 3 3 3" xfId="27570" xr:uid="{A6CEB0BF-38BB-4633-B558-3384DF935448}"/>
    <cellStyle name="20% - Énfasis6 8 3 3 4" xfId="33452" xr:uid="{3923BE9C-CD85-4195-8EC8-45FED2E7608A}"/>
    <cellStyle name="20% - Énfasis6 8 3 3 5" xfId="39316" xr:uid="{F987B89F-598B-46C3-9F73-08BEABCEDA4E}"/>
    <cellStyle name="20% - Énfasis6 8 3 4" xfId="18977" xr:uid="{6A8763E0-72BC-477E-ABEE-B722D5EFBFB0}"/>
    <cellStyle name="20% - Énfasis6 8 3 5" xfId="24721" xr:uid="{A49866D6-A619-43B4-8143-5255E9A7359E}"/>
    <cellStyle name="20% - Énfasis6 8 3 6" xfId="30599" xr:uid="{AB5A6540-B61B-441C-86FC-7B02749C756E}"/>
    <cellStyle name="20% - Énfasis6 8 3 7" xfId="36480" xr:uid="{46CA4CE0-E351-448E-A8D0-9C44DEE6E700}"/>
    <cellStyle name="20% - Énfasis6 8 4" xfId="4956" xr:uid="{4F4196DE-6C46-47F9-84D4-A83213578DF8}"/>
    <cellStyle name="20% - Énfasis6 8 4 2" xfId="7823" xr:uid="{FD3E6A8B-8309-4262-9259-34BD287402B7}"/>
    <cellStyle name="20% - Énfasis6 8 4 2 2" xfId="22210" xr:uid="{36BF2DB7-C163-4DFB-950A-E8F1AC4CA485}"/>
    <cellStyle name="20% - Énfasis6 8 4 2 3" xfId="28056" xr:uid="{0026B3A2-57C9-4F41-BAD9-A7EDFC1048A1}"/>
    <cellStyle name="20% - Énfasis6 8 4 2 4" xfId="33938" xr:uid="{1747A1F3-CF29-458F-ABCC-FBFB7BA3BEB8}"/>
    <cellStyle name="20% - Énfasis6 8 4 2 5" xfId="39802" xr:uid="{AA398C61-268A-45BA-B3B2-13547CA3AA4B}"/>
    <cellStyle name="20% - Énfasis6 8 4 3" xfId="19438" xr:uid="{E344CD69-70F5-49E8-81D0-79CD5FB96CEE}"/>
    <cellStyle name="20% - Énfasis6 8 4 4" xfId="25207" xr:uid="{FE6E6B46-3B28-46B4-9988-15B66000856E}"/>
    <cellStyle name="20% - Énfasis6 8 4 5" xfId="31081" xr:uid="{9C5CA6E1-79B8-4E69-A47C-797174F4790F}"/>
    <cellStyle name="20% - Énfasis6 8 4 6" xfId="36960" xr:uid="{6D5F6DD0-E19E-465C-A9D2-02E1BD718D90}"/>
    <cellStyle name="20% - Énfasis6 8 5" xfId="5966" xr:uid="{88E4FA61-C910-47DD-B0A1-76DDFC0359A6}"/>
    <cellStyle name="20% - Énfasis6 8 5 2" xfId="8835" xr:uid="{4DCB7F8D-C280-4394-ADD4-FB582C0CA2A9}"/>
    <cellStyle name="20% - Énfasis6 8 5 2 2" xfId="23200" xr:uid="{76952494-1AA3-4982-AA21-5ACB9C537447}"/>
    <cellStyle name="20% - Énfasis6 8 5 2 3" xfId="29067" xr:uid="{B317F059-AE72-4496-B546-866BBCC705E9}"/>
    <cellStyle name="20% - Énfasis6 8 5 2 4" xfId="34949" xr:uid="{87D28A50-F3C7-4F02-94E6-6814A7695540}"/>
    <cellStyle name="20% - Énfasis6 8 5 2 5" xfId="40813" xr:uid="{655A2FC5-0150-4587-A7E9-0A07C8B10EC0}"/>
    <cellStyle name="20% - Énfasis6 8 5 3" xfId="20416" xr:uid="{9B707515-412F-4E3D-ADBD-6D32D5553E12}"/>
    <cellStyle name="20% - Énfasis6 8 5 4" xfId="26217" xr:uid="{F31D8E8D-6F04-4CD0-971F-B61C3C0CFBC8}"/>
    <cellStyle name="20% - Énfasis6 8 5 5" xfId="32092" xr:uid="{32013E32-C1A8-4932-BB85-0FBF92006D43}"/>
    <cellStyle name="20% - Énfasis6 8 5 6" xfId="37957" xr:uid="{CFC50DE6-14CC-4AE5-8B99-A24D9CE83E22}"/>
    <cellStyle name="20% - Énfasis6 8 6" xfId="6852" xr:uid="{5AE49AC2-626F-4992-B0AE-72274CE5A492}"/>
    <cellStyle name="20% - Énfasis6 8 6 2" xfId="21275" xr:uid="{D6D12A57-95CC-42DD-B7E6-6188B4165775}"/>
    <cellStyle name="20% - Énfasis6 8 6 3" xfId="27090" xr:uid="{5EAA745E-76B3-44FB-82ED-7F56282CF014}"/>
    <cellStyle name="20% - Énfasis6 8 6 4" xfId="32967" xr:uid="{3AA542FF-EBE4-4466-9B74-925BB513AA00}"/>
    <cellStyle name="20% - Énfasis6 8 6 5" xfId="38831" xr:uid="{2986BC06-2174-4FBE-9CDF-5DC0C8BD1683}"/>
    <cellStyle name="20% - Énfasis6 8 7" xfId="18526" xr:uid="{FD4441F0-6517-4FD0-B891-DF76D98156D7}"/>
    <cellStyle name="20% - Énfasis6 8 8" xfId="24235" xr:uid="{95F43919-D01D-40CF-AD9E-DD3FB7E687C3}"/>
    <cellStyle name="20% - Énfasis6 8 9" xfId="30113" xr:uid="{E1812F32-5BD1-4FAF-A670-9EF958FE3A08}"/>
    <cellStyle name="20% - Énfasis6 9" xfId="4023" xr:uid="{5E0CFB54-6E0F-4C9D-B9F3-C905ED39505E}"/>
    <cellStyle name="20% - Énfasis6 9 2" xfId="4494" xr:uid="{48D09A21-C26C-4AFE-AA5E-B446C6ECA81E}"/>
    <cellStyle name="20% - Énfasis6 9 2 2" xfId="5462" xr:uid="{BE85DD9F-74EC-4281-BF8C-88B9D54BDCB3}"/>
    <cellStyle name="20% - Énfasis6 9 2 2 2" xfId="8329" xr:uid="{F5D5A08A-3838-40A8-AFB8-E4EB020F3A9E}"/>
    <cellStyle name="20% - Énfasis6 9 2 2 2 2" xfId="22705" xr:uid="{9AAE9D55-391C-4734-A081-56FAD4A001BB}"/>
    <cellStyle name="20% - Énfasis6 9 2 2 2 3" xfId="28562" xr:uid="{0DB6A25A-4A73-499B-B372-FFFBF9BFC03C}"/>
    <cellStyle name="20% - Énfasis6 9 2 2 2 4" xfId="34444" xr:uid="{D9C4665A-9DC6-4C45-9311-1A52CC5AD006}"/>
    <cellStyle name="20% - Énfasis6 9 2 2 2 5" xfId="40308" xr:uid="{9DB0B7B6-A847-4A47-80D1-A6CD54AD7F1E}"/>
    <cellStyle name="20% - Énfasis6 9 2 2 3" xfId="19925" xr:uid="{96530BFD-D269-46BF-94C6-319527A7B457}"/>
    <cellStyle name="20% - Énfasis6 9 2 2 4" xfId="25713" xr:uid="{33903D52-5FCB-45B9-AB4D-432E06E0E7DA}"/>
    <cellStyle name="20% - Énfasis6 9 2 2 5" xfId="31587" xr:uid="{539446B0-1B0B-41F5-BE2F-4BCD6EFF8FAC}"/>
    <cellStyle name="20% - Énfasis6 9 2 2 6" xfId="37458" xr:uid="{751937B6-998B-447E-8CD3-DEBAB89E346A}"/>
    <cellStyle name="20% - Énfasis6 9 2 3" xfId="7357" xr:uid="{B57D59DE-F6AF-402B-A9B5-08BD813C1038}"/>
    <cellStyle name="20% - Énfasis6 9 2 3 2" xfId="21760" xr:uid="{AE6442D3-95EE-42FF-A7D4-687394F9A577}"/>
    <cellStyle name="20% - Énfasis6 9 2 3 3" xfId="27591" xr:uid="{8EBEE1FE-AE6D-4FBA-A09F-75DB8B786591}"/>
    <cellStyle name="20% - Énfasis6 9 2 3 4" xfId="33473" xr:uid="{8C85FE8E-DD81-4B63-ADA8-C0405CDCF844}"/>
    <cellStyle name="20% - Énfasis6 9 2 3 5" xfId="39337" xr:uid="{4DA68102-0CA6-49BB-A620-55C97806B7A5}"/>
    <cellStyle name="20% - Énfasis6 9 2 4" xfId="18998" xr:uid="{A6031DEA-560E-4D13-B421-CC47DC96CE3D}"/>
    <cellStyle name="20% - Énfasis6 9 2 5" xfId="24742" xr:uid="{ECC01115-05E3-4726-A732-C49322EE5041}"/>
    <cellStyle name="20% - Énfasis6 9 2 6" xfId="30619" xr:uid="{FBC3F73C-E4C6-42A5-A858-085DB7B3369D}"/>
    <cellStyle name="20% - Énfasis6 9 2 7" xfId="36501" xr:uid="{4C467B27-C59A-475F-A73B-660B827F06D7}"/>
    <cellStyle name="20% - Énfasis6 9 3" xfId="4977" xr:uid="{4618730D-AA05-40BC-97A6-7F0BF6090A0B}"/>
    <cellStyle name="20% - Énfasis6 9 3 2" xfId="7844" xr:uid="{98714227-B233-45C0-ACCD-F53124505524}"/>
    <cellStyle name="20% - Énfasis6 9 3 2 2" xfId="22230" xr:uid="{7293CC6E-8B7D-4E09-8D7E-1B6F7FCF723B}"/>
    <cellStyle name="20% - Énfasis6 9 3 2 3" xfId="28077" xr:uid="{5CC00D71-2B24-4364-B351-16B93B1C9585}"/>
    <cellStyle name="20% - Énfasis6 9 3 2 4" xfId="33959" xr:uid="{8B5547C7-2F09-4675-8D23-F3F181031CEC}"/>
    <cellStyle name="20% - Énfasis6 9 3 2 5" xfId="39823" xr:uid="{44E944C6-60C5-4E17-BF0F-30319A68F805}"/>
    <cellStyle name="20% - Énfasis6 9 3 3" xfId="19458" xr:uid="{10A85E0C-681A-48A2-A821-A5658D188531}"/>
    <cellStyle name="20% - Énfasis6 9 3 4" xfId="25228" xr:uid="{AEB300AE-29AB-4FCE-86C7-736EE1FBF5FE}"/>
    <cellStyle name="20% - Énfasis6 9 3 5" xfId="31102" xr:uid="{A8E98ECD-F44E-4C97-B5C9-684C37EC87AB}"/>
    <cellStyle name="20% - Énfasis6 9 3 6" xfId="36981" xr:uid="{D4D98B36-9310-41F7-AD42-AB03E33B2ED1}"/>
    <cellStyle name="20% - Énfasis6 9 4" xfId="6873" xr:uid="{F999F4EA-2D5B-47CE-898C-9FAF34C3EAA1}"/>
    <cellStyle name="20% - Énfasis6 9 4 2" xfId="21295" xr:uid="{19FFE6AE-4C28-4E96-95A1-5293B230EEEB}"/>
    <cellStyle name="20% - Énfasis6 9 4 3" xfId="27111" xr:uid="{87FE496B-DA7C-4C9B-8A54-705B7CFDAB04}"/>
    <cellStyle name="20% - Énfasis6 9 4 4" xfId="32988" xr:uid="{C28A3A0B-BFC4-463C-BED0-F9670AC6FD78}"/>
    <cellStyle name="20% - Énfasis6 9 4 5" xfId="38852" xr:uid="{DD0DB51D-FE28-4C24-928E-33B1B561AED5}"/>
    <cellStyle name="20% - Énfasis6 9 5" xfId="18549" xr:uid="{A5182885-F84F-45DD-9E5C-1DF50E927D13}"/>
    <cellStyle name="20% - Énfasis6 9 6" xfId="24259" xr:uid="{7F7D85D3-4DD3-4DCF-AA11-1AB5686E0404}"/>
    <cellStyle name="20% - Énfasis6 9 7" xfId="30137" xr:uid="{9795E148-D1FF-433A-B929-D36DF55167AB}"/>
    <cellStyle name="20% - Énfasis6 9 8" xfId="36016" xr:uid="{142B95D7-772D-4697-AE8D-1F54409ED9DA}"/>
    <cellStyle name="40% - Énfasis1" xfId="20" builtinId="31" customBuiltin="1"/>
    <cellStyle name="40% - Énfasis1 10" xfId="4201" xr:uid="{038DD9A8-DACD-4F7C-84BB-BB672DA6CF1B}"/>
    <cellStyle name="40% - Énfasis1 10 2" xfId="4679" xr:uid="{E7114631-0B86-4D55-8648-20382E196AA2}"/>
    <cellStyle name="40% - Énfasis1 10 2 2" xfId="5647" xr:uid="{65179394-D694-4981-8CCC-938FBCDF0603}"/>
    <cellStyle name="40% - Énfasis1 10 2 2 2" xfId="8515" xr:uid="{3F86BDDB-0B22-40C8-82E3-E0FF07192208}"/>
    <cellStyle name="40% - Énfasis1 10 2 2 2 2" xfId="22889" xr:uid="{76F2F10F-51EC-4E5B-8248-97AE1A6AAC65}"/>
    <cellStyle name="40% - Énfasis1 10 2 2 2 3" xfId="28748" xr:uid="{69500285-B3CE-4B10-8788-907362DFF24E}"/>
    <cellStyle name="40% - Énfasis1 10 2 2 2 4" xfId="34630" xr:uid="{B703701C-5DE2-4DBA-9A8A-C0E939A5ACC5}"/>
    <cellStyle name="40% - Énfasis1 10 2 2 2 5" xfId="40494" xr:uid="{73A801B0-FC2E-439C-A3A9-16E8FB3A7CE9}"/>
    <cellStyle name="40% - Énfasis1 10 2 2 3" xfId="20106" xr:uid="{963F8052-D99B-497E-9AF3-E952F87A49CE}"/>
    <cellStyle name="40% - Énfasis1 10 2 2 4" xfId="25898" xr:uid="{F7197B18-1DA0-411B-B493-973D7A3673BC}"/>
    <cellStyle name="40% - Énfasis1 10 2 2 5" xfId="31773" xr:uid="{94D08DFB-D169-4419-965D-45C4823B0E1C}"/>
    <cellStyle name="40% - Énfasis1 10 2 2 6" xfId="37642" xr:uid="{4F4517E8-7C7C-4302-B310-0345754D5FF8}"/>
    <cellStyle name="40% - Énfasis1 10 2 3" xfId="7543" xr:uid="{12D0650B-8007-4734-AA72-5028C81AF4A6}"/>
    <cellStyle name="40% - Énfasis1 10 2 3 2" xfId="21941" xr:uid="{93ABD4AE-116C-4154-A36B-B32CCEEB2D33}"/>
    <cellStyle name="40% - Énfasis1 10 2 3 3" xfId="27777" xr:uid="{263DCB08-A87A-4DC2-A9B0-6521BC05D229}"/>
    <cellStyle name="40% - Énfasis1 10 2 3 4" xfId="33659" xr:uid="{22E620D7-9C4B-414B-A971-2A6643B13A52}"/>
    <cellStyle name="40% - Énfasis1 10 2 3 5" xfId="39523" xr:uid="{D66CB622-6446-4BC5-A00D-102379FB3028}"/>
    <cellStyle name="40% - Énfasis1 10 2 4" xfId="19172" xr:uid="{F23F6CEB-6BBF-4339-8FF0-E56DA50D6EFF}"/>
    <cellStyle name="40% - Énfasis1 10 2 5" xfId="24928" xr:uid="{779661C4-8B46-426A-AC36-9ACE4D405525}"/>
    <cellStyle name="40% - Énfasis1 10 2 6" xfId="30803" xr:uid="{C9690ECB-2FE4-4537-BC7F-B49251D40DCC}"/>
    <cellStyle name="40% - Énfasis1 10 2 7" xfId="36685" xr:uid="{3C11009A-04DD-4BCE-BA4D-442324273997}"/>
    <cellStyle name="40% - Énfasis1 10 3" xfId="5163" xr:uid="{E38B609D-A04A-44BF-95DE-E1B178B9F46B}"/>
    <cellStyle name="40% - Énfasis1 10 3 2" xfId="8030" xr:uid="{4EB2D91F-3DC6-4F7A-98FC-86AC322AA038}"/>
    <cellStyle name="40% - Énfasis1 10 3 2 2" xfId="22413" xr:uid="{4E1C6250-00F9-4E96-A7F2-09ECCD223DF9}"/>
    <cellStyle name="40% - Énfasis1 10 3 2 3" xfId="28263" xr:uid="{DB5B145B-EA61-4D9D-989D-B1366AD2A89B}"/>
    <cellStyle name="40% - Énfasis1 10 3 2 4" xfId="34145" xr:uid="{16A4577E-126E-43D2-80ED-109BA8B5F063}"/>
    <cellStyle name="40% - Énfasis1 10 3 2 5" xfId="40009" xr:uid="{C122D29A-9450-44B6-95C3-B3757A34567C}"/>
    <cellStyle name="40% - Énfasis1 10 3 3" xfId="19636" xr:uid="{C6C593A8-35BF-4B0C-ADAD-B17CFDFF60F3}"/>
    <cellStyle name="40% - Énfasis1 10 3 4" xfId="25414" xr:uid="{C8F0230A-4A28-4BB7-BF6F-051FD70184A1}"/>
    <cellStyle name="40% - Énfasis1 10 3 5" xfId="31288" xr:uid="{F0CB6EE6-0EF2-48D5-A11C-3AB29007D6B4}"/>
    <cellStyle name="40% - Énfasis1 10 3 6" xfId="37165" xr:uid="{AD1F07DA-E61D-4654-8046-3F3F64209472}"/>
    <cellStyle name="40% - Énfasis1 10 4" xfId="7058" xr:uid="{62D8489E-4CBF-43E8-9BC0-E7353E7B7498}"/>
    <cellStyle name="40% - Énfasis1 10 4 2" xfId="21473" xr:uid="{42AD5B0A-7714-486A-8AF4-BCBC2C1D1441}"/>
    <cellStyle name="40% - Énfasis1 10 4 3" xfId="27295" xr:uid="{496D9E03-F20E-4508-A63A-AAB443438E68}"/>
    <cellStyle name="40% - Énfasis1 10 4 4" xfId="33174" xr:uid="{3D63DDDD-6083-4678-8A9C-D057C43B0EC2}"/>
    <cellStyle name="40% - Énfasis1 10 4 5" xfId="39038" xr:uid="{C31676D0-63B0-4841-A5F1-A46B95F56414}"/>
    <cellStyle name="40% - Énfasis1 10 5" xfId="18729" xr:uid="{9C7A7976-BA98-4F60-9338-9D4E6B9BCE88}"/>
    <cellStyle name="40% - Énfasis1 10 6" xfId="24445" xr:uid="{85F85835-15E5-49B7-AF64-9100830E82A3}"/>
    <cellStyle name="40% - Énfasis1 10 7" xfId="30321" xr:uid="{C55BE711-87B8-4AC9-B720-28E6AE83D4F7}"/>
    <cellStyle name="40% - Énfasis1 10 8" xfId="36202" xr:uid="{ECB87A1E-4BE3-4392-93E1-EE943F04BD3C}"/>
    <cellStyle name="40% - Énfasis1 11" xfId="4236" xr:uid="{B9881F32-CF76-4FD0-A959-B1E03E92E267}"/>
    <cellStyle name="40% - Énfasis1 11 2" xfId="4715" xr:uid="{B5520B4D-9EC0-483B-AC47-5796251A3031}"/>
    <cellStyle name="40% - Énfasis1 11 2 2" xfId="5683" xr:uid="{299EEC09-F920-45C9-95D7-514B9A0D57CA}"/>
    <cellStyle name="40% - Énfasis1 11 2 2 2" xfId="8551" xr:uid="{BD2A9A2F-ECB2-4975-9EDD-D51AADFD2151}"/>
    <cellStyle name="40% - Énfasis1 11 2 2 2 2" xfId="22923" xr:uid="{F4721740-2F66-444D-95D1-DF8FBC4A1F7C}"/>
    <cellStyle name="40% - Énfasis1 11 2 2 2 3" xfId="28784" xr:uid="{7B89EB2B-8D32-431F-82CF-5C4F0F75AB46}"/>
    <cellStyle name="40% - Énfasis1 11 2 2 2 4" xfId="34666" xr:uid="{70DD8CF8-A086-4B8A-9BF2-C2A60D2688FD}"/>
    <cellStyle name="40% - Énfasis1 11 2 2 2 5" xfId="40530" xr:uid="{69377A5B-BD82-4C57-9DD4-7AF846567EEA}"/>
    <cellStyle name="40% - Énfasis1 11 2 2 3" xfId="20140" xr:uid="{0249D788-C69D-433A-AB15-055EA2F09EDB}"/>
    <cellStyle name="40% - Énfasis1 11 2 2 4" xfId="25934" xr:uid="{FA1A6969-71C3-458F-955B-C0D5D4B13677}"/>
    <cellStyle name="40% - Énfasis1 11 2 2 5" xfId="31809" xr:uid="{049E4203-BA59-41F3-93E0-3F10C4F16598}"/>
    <cellStyle name="40% - Énfasis1 11 2 2 6" xfId="37676" xr:uid="{AAEDF7AF-1255-44C2-8A5A-C9CFB74FB640}"/>
    <cellStyle name="40% - Énfasis1 11 2 3" xfId="7579" xr:uid="{018E1D56-C24C-4CBB-A19A-061A596056B4}"/>
    <cellStyle name="40% - Énfasis1 11 2 3 2" xfId="21973" xr:uid="{D96535E2-CBC8-486E-971A-010C706F8B69}"/>
    <cellStyle name="40% - Énfasis1 11 2 3 3" xfId="27813" xr:uid="{73123B86-4DA5-4846-9A94-9506DE74F2FD}"/>
    <cellStyle name="40% - Énfasis1 11 2 3 4" xfId="33695" xr:uid="{6E2D72BA-E0BA-496C-95A9-E6A12DECD553}"/>
    <cellStyle name="40% - Énfasis1 11 2 3 5" xfId="39559" xr:uid="{FDAAB36B-0E51-4418-969A-43356DE859D9}"/>
    <cellStyle name="40% - Énfasis1 11 2 4" xfId="19205" xr:uid="{1AA58CBE-C33B-4F35-8C2E-01E397E4A318}"/>
    <cellStyle name="40% - Énfasis1 11 2 5" xfId="24964" xr:uid="{3789C02E-6762-4A97-97F0-17C1809EED69}"/>
    <cellStyle name="40% - Énfasis1 11 2 6" xfId="30838" xr:uid="{804E4ADA-9007-4491-9A36-5D406DAE35F3}"/>
    <cellStyle name="40% - Énfasis1 11 2 7" xfId="36719" xr:uid="{1A12A4A3-CC93-43B0-B7D9-32130A9D17D4}"/>
    <cellStyle name="40% - Énfasis1 11 3" xfId="5199" xr:uid="{65111BDB-06C6-4B1C-8D61-E157A3559217}"/>
    <cellStyle name="40% - Énfasis1 11 3 2" xfId="8066" xr:uid="{AA9D40B2-B4CA-4284-9191-D90AC1B44240}"/>
    <cellStyle name="40% - Énfasis1 11 3 2 2" xfId="22444" xr:uid="{DFF95A0E-6800-4038-9CB3-938CC672C6D3}"/>
    <cellStyle name="40% - Énfasis1 11 3 2 3" xfId="28299" xr:uid="{B12E9FC9-37EB-480B-A552-1ECD1AD16283}"/>
    <cellStyle name="40% - Énfasis1 11 3 2 4" xfId="34181" xr:uid="{5B29F757-2E7E-4217-95FC-1E1EC04F0DAD}"/>
    <cellStyle name="40% - Énfasis1 11 3 2 5" xfId="40045" xr:uid="{4416BBDB-A97F-49F2-A1B2-7135542CCA60}"/>
    <cellStyle name="40% - Énfasis1 11 3 3" xfId="19670" xr:uid="{0640F933-296E-4B8E-A0E4-FBF6190CB5B9}"/>
    <cellStyle name="40% - Énfasis1 11 3 4" xfId="25450" xr:uid="{DD941346-A8ED-489A-9E2B-AA1B6C3341DF}"/>
    <cellStyle name="40% - Énfasis1 11 3 5" xfId="31324" xr:uid="{71A8E951-E2F8-4B06-8FF1-4BAA1073912F}"/>
    <cellStyle name="40% - Énfasis1 11 3 6" xfId="37197" xr:uid="{3E809C0C-214B-4696-A827-FDF799734FD4}"/>
    <cellStyle name="40% - Énfasis1 11 4" xfId="7094" xr:uid="{ED071786-F831-44C1-A6EE-A1A3E35F4B59}"/>
    <cellStyle name="40% - Énfasis1 11 4 2" xfId="21506" xr:uid="{96651908-E08E-4F7B-8D89-6CF789FCE665}"/>
    <cellStyle name="40% - Énfasis1 11 4 3" xfId="27329" xr:uid="{9D6CA159-486C-4F83-B63E-3F205F9ABD51}"/>
    <cellStyle name="40% - Énfasis1 11 4 4" xfId="33210" xr:uid="{38D49DDC-C86B-4921-BC0B-24C5D9F8C05E}"/>
    <cellStyle name="40% - Énfasis1 11 4 5" xfId="39074" xr:uid="{5AB8E136-AA50-423A-91CB-12BB89FC294B}"/>
    <cellStyle name="40% - Énfasis1 11 5" xfId="18758" xr:uid="{6F322C55-4464-474F-A8E6-F54895ABE074}"/>
    <cellStyle name="40% - Énfasis1 11 6" xfId="24479" xr:uid="{F4F7244C-FE32-48D3-BF1E-6B0D0C8FB640}"/>
    <cellStyle name="40% - Énfasis1 11 7" xfId="30357" xr:uid="{142E2706-8078-4CA5-97C5-E3485674D02E}"/>
    <cellStyle name="40% - Énfasis1 11 8" xfId="36238" xr:uid="{FA9D6D05-4566-4837-B8B3-687E1B7BBCD4}"/>
    <cellStyle name="40% - Énfasis1 12" xfId="4286" xr:uid="{8F6F9FCA-FD9D-4D13-A2F0-75F06F7133BC}"/>
    <cellStyle name="40% - Énfasis1 12 2" xfId="5252" xr:uid="{D221F9B4-D4D7-4F53-92BC-9B48781427C4}"/>
    <cellStyle name="40% - Énfasis1 12 2 2" xfId="8119" xr:uid="{B2126E42-C35A-4E8A-9A2B-CDA8E9726B21}"/>
    <cellStyle name="40% - Énfasis1 12 2 2 2" xfId="22496" xr:uid="{C5E79C19-FD14-42ED-8DDB-BB3B9165D060}"/>
    <cellStyle name="40% - Énfasis1 12 2 2 3" xfId="28352" xr:uid="{143B4E79-EC10-4E1B-995B-AF1C6FF56F9D}"/>
    <cellStyle name="40% - Énfasis1 12 2 2 4" xfId="34234" xr:uid="{C3A7E40B-58C6-4E9F-9859-3AE502789E26}"/>
    <cellStyle name="40% - Énfasis1 12 2 2 5" xfId="40098" xr:uid="{371ABB31-8A8A-494C-AEBD-F8495BB5AD32}"/>
    <cellStyle name="40% - Énfasis1 12 2 3" xfId="19722" xr:uid="{9EAFA2BB-D036-41FB-9508-07D90FFAAEC9}"/>
    <cellStyle name="40% - Énfasis1 12 2 4" xfId="25503" xr:uid="{2C070B36-DC58-4BCE-AFBF-28E36601456C}"/>
    <cellStyle name="40% - Énfasis1 12 2 5" xfId="31377" xr:uid="{712B6BDC-650C-4FE1-826D-97CE5918A17D}"/>
    <cellStyle name="40% - Énfasis1 12 2 6" xfId="37249" xr:uid="{EC5BA4C7-DD48-4320-8BD6-1CA77CD8F175}"/>
    <cellStyle name="40% - Énfasis1 12 3" xfId="7147" xr:uid="{083D55C7-8E54-478A-9A91-906B50E3A592}"/>
    <cellStyle name="40% - Énfasis1 12 3 2" xfId="21558" xr:uid="{9EBE3563-D366-4240-9257-BCA475632208}"/>
    <cellStyle name="40% - Énfasis1 12 3 3" xfId="27381" xr:uid="{C3B10905-488E-4D65-AAAE-9E0BA5B8ACD9}"/>
    <cellStyle name="40% - Énfasis1 12 3 4" xfId="33263" xr:uid="{44ADDE55-11AE-424F-B11F-1BCFEA923D13}"/>
    <cellStyle name="40% - Énfasis1 12 3 5" xfId="39127" xr:uid="{7208F8FB-11D8-4B6B-95C9-F094E1F98553}"/>
    <cellStyle name="40% - Énfasis1 12 4" xfId="18794" xr:uid="{40571EAB-7C7F-4C56-8DE6-2EA5D4DB9220}"/>
    <cellStyle name="40% - Énfasis1 12 5" xfId="24532" xr:uid="{90313F1B-0D2E-49FA-83E9-4D482F8E3FA8}"/>
    <cellStyle name="40% - Énfasis1 12 6" xfId="30411" xr:uid="{1825F877-47A7-4913-AD1D-4785F9462A5D}"/>
    <cellStyle name="40% - Énfasis1 12 7" xfId="36292" xr:uid="{E9543593-E5A6-48A3-ACAE-305E8094ECEF}"/>
    <cellStyle name="40% - Énfasis1 13" xfId="4771" xr:uid="{7E315DF4-93BB-4FC0-850A-367425DB3565}"/>
    <cellStyle name="40% - Énfasis1 13 2" xfId="7634" xr:uid="{B222C672-24B2-485E-86DC-7AA0E391E306}"/>
    <cellStyle name="40% - Énfasis1 13 2 2" xfId="22027" xr:uid="{DDF3E02E-6E59-42EB-919D-1592D009F16C}"/>
    <cellStyle name="40% - Énfasis1 13 2 3" xfId="27868" xr:uid="{A6A34E49-7FC9-49DD-AEB2-710410E8B60D}"/>
    <cellStyle name="40% - Énfasis1 13 2 4" xfId="33750" xr:uid="{07059261-D7DB-402D-B384-6C0C56BA0B37}"/>
    <cellStyle name="40% - Énfasis1 13 2 5" xfId="39614" xr:uid="{BCDCAA36-BFD9-4B25-A284-18F607F74719}"/>
    <cellStyle name="40% - Énfasis1 13 3" xfId="19253" xr:uid="{098A4025-C9A9-4AE3-9EE3-AC7A382AA265}"/>
    <cellStyle name="40% - Énfasis1 13 4" xfId="25019" xr:uid="{899A4222-1476-4D1C-826B-6D145467EC25}"/>
    <cellStyle name="40% - Énfasis1 13 5" xfId="30893" xr:uid="{294A0481-6E7F-490D-842E-9390AD24B619}"/>
    <cellStyle name="40% - Énfasis1 13 6" xfId="36773" xr:uid="{8E9307A5-F9C9-4327-A7A9-532327B8DF7E}"/>
    <cellStyle name="40% - Énfasis1 14" xfId="5737" xr:uid="{C1A44317-D2C3-4114-88DA-7B69C520B1AF}"/>
    <cellStyle name="40% - Énfasis1 14 2" xfId="8606" xr:uid="{CC5B21F8-D41A-4902-87CC-22E29E86F497}"/>
    <cellStyle name="40% - Énfasis1 14 2 2" xfId="22977" xr:uid="{A36F9F5A-636D-4750-B122-E81B71A20A92}"/>
    <cellStyle name="40% - Énfasis1 14 2 3" xfId="28839" xr:uid="{06E1B4C8-4285-450D-AFAB-4ED68B9AF1A7}"/>
    <cellStyle name="40% - Énfasis1 14 2 4" xfId="34721" xr:uid="{F8266D3C-E406-45D4-9888-B51744E9FA36}"/>
    <cellStyle name="40% - Énfasis1 14 2 5" xfId="40585" xr:uid="{13032A92-3A0A-4197-B05B-104FD48AE30B}"/>
    <cellStyle name="40% - Énfasis1 14 3" xfId="20195" xr:uid="{1ECC027F-FE7C-418B-AC58-1287855A2661}"/>
    <cellStyle name="40% - Énfasis1 14 4" xfId="25989" xr:uid="{8EB39FD0-DEB5-4E94-8496-5221092F7B0F}"/>
    <cellStyle name="40% - Énfasis1 14 5" xfId="31864" xr:uid="{05F62F9F-5E51-4061-A1DF-C452F0CE6FDD}"/>
    <cellStyle name="40% - Énfasis1 14 6" xfId="37730" xr:uid="{CA742D65-3612-4C03-AB82-5C20DD52988B}"/>
    <cellStyle name="40% - Énfasis1 15" xfId="5757" xr:uid="{6A7E7E7B-CFD8-4E02-80C4-DAFAED9A48CC}"/>
    <cellStyle name="40% - Énfasis1 15 2" xfId="8626" xr:uid="{4EFFB260-743E-47C8-9CE9-B3819B711D5D}"/>
    <cellStyle name="40% - Énfasis1 15 2 2" xfId="22997" xr:uid="{0F920C18-7E82-4A80-B3AA-6D385B9301EA}"/>
    <cellStyle name="40% - Énfasis1 15 2 3" xfId="28859" xr:uid="{FBDB7B86-8FB2-477C-9FF2-8B1907D920BD}"/>
    <cellStyle name="40% - Énfasis1 15 2 4" xfId="34741" xr:uid="{6CDB430A-0BBA-49BE-95E4-C48CCF725E57}"/>
    <cellStyle name="40% - Énfasis1 15 2 5" xfId="40605" xr:uid="{BA350445-8319-45AA-8A5D-863A497B83B0}"/>
    <cellStyle name="40% - Énfasis1 15 3" xfId="20214" xr:uid="{273B4E76-C585-4159-AB6C-6063A5F2C4EA}"/>
    <cellStyle name="40% - Énfasis1 15 4" xfId="26009" xr:uid="{4713EB04-1633-489A-B014-05D7A58599C3}"/>
    <cellStyle name="40% - Énfasis1 15 5" xfId="31884" xr:uid="{1EA21ED3-80CA-485B-A717-96EC0E4A7BE3}"/>
    <cellStyle name="40% - Énfasis1 15 6" xfId="37750" xr:uid="{C22E0153-5D6C-4E71-8B04-839953A20E48}"/>
    <cellStyle name="40% - Énfasis1 16" xfId="5777" xr:uid="{C700A0C8-F967-43FA-BF30-1C505F884D34}"/>
    <cellStyle name="40% - Énfasis1 16 2" xfId="8646" xr:uid="{6DE9590E-3951-4F08-955E-0717C720C3E9}"/>
    <cellStyle name="40% - Énfasis1 16 2 2" xfId="23017" xr:uid="{8888A1C4-6EA1-410C-9BCB-F89EA4DAB142}"/>
    <cellStyle name="40% - Énfasis1 16 2 3" xfId="28879" xr:uid="{800431BC-A839-401E-9BBF-A215B6E123BB}"/>
    <cellStyle name="40% - Énfasis1 16 2 4" xfId="34761" xr:uid="{B9C2139A-049B-4EA8-8398-3BD3633F4EC6}"/>
    <cellStyle name="40% - Énfasis1 16 2 5" xfId="40625" xr:uid="{90A60BFC-6C91-4C9D-BDC0-9D6DEFED7B9F}"/>
    <cellStyle name="40% - Énfasis1 16 3" xfId="20232" xr:uid="{5D7D5E5B-B424-4B87-82BF-1E83F6AA2098}"/>
    <cellStyle name="40% - Énfasis1 16 4" xfId="26029" xr:uid="{186E6421-3E8D-4CC2-840E-F8381025250B}"/>
    <cellStyle name="40% - Énfasis1 16 5" xfId="31904" xr:uid="{E257527D-A2C2-46C8-8990-8B6AD73CC803}"/>
    <cellStyle name="40% - Énfasis1 16 6" xfId="37770" xr:uid="{6702D850-2B48-4AC2-845D-0FF410144B22}"/>
    <cellStyle name="40% - Énfasis1 17" xfId="5976" xr:uid="{13CF88FD-28EC-4484-A16F-313EA71A8FA4}"/>
    <cellStyle name="40% - Énfasis1 17 2" xfId="8845" xr:uid="{96DB5E39-68CD-4E83-810E-ADBAD2B1B8EC}"/>
    <cellStyle name="40% - Énfasis1 17 2 2" xfId="23209" xr:uid="{C061BB36-6C8A-4FCD-B4D4-32C08000B201}"/>
    <cellStyle name="40% - Énfasis1 17 2 3" xfId="29076" xr:uid="{C22ADC35-9494-4DDF-9588-9A3BE5F76B65}"/>
    <cellStyle name="40% - Énfasis1 17 2 4" xfId="34958" xr:uid="{42FE0323-D697-49A0-93A1-BBDFD3DC4B91}"/>
    <cellStyle name="40% - Énfasis1 17 2 5" xfId="40822" xr:uid="{545A9341-F5E1-438B-B0C3-877B616A83B8}"/>
    <cellStyle name="40% - Énfasis1 17 3" xfId="20424" xr:uid="{A47F81EC-B9C9-4A06-B90C-4E1FFADF9425}"/>
    <cellStyle name="40% - Énfasis1 17 4" xfId="26226" xr:uid="{A1947CB5-FEAE-41F9-965E-36C2362DC2B8}"/>
    <cellStyle name="40% - Énfasis1 17 5" xfId="32101" xr:uid="{80FA2E2F-C61C-4DB4-B936-034D3428BE73}"/>
    <cellStyle name="40% - Énfasis1 17 6" xfId="37966" xr:uid="{BCB6B6E0-BF98-4BB9-AB3B-CBD4DDB3773B}"/>
    <cellStyle name="40% - Énfasis1 18" xfId="5996" xr:uid="{6FC59BB7-00B5-4A77-AAED-45221878BEBC}"/>
    <cellStyle name="40% - Énfasis1 18 2" xfId="8865" xr:uid="{26CAA4DE-A4DE-4718-A177-004478F2572C}"/>
    <cellStyle name="40% - Énfasis1 18 2 2" xfId="23229" xr:uid="{92EB93B8-1A4E-4583-AF93-4038899A8182}"/>
    <cellStyle name="40% - Énfasis1 18 2 3" xfId="29096" xr:uid="{F08CF240-A220-4487-B70C-2A1DDB129573}"/>
    <cellStyle name="40% - Énfasis1 18 2 4" xfId="34978" xr:uid="{EA9E39B3-B4D7-4BC3-AC91-4D45457466F5}"/>
    <cellStyle name="40% - Énfasis1 18 2 5" xfId="40842" xr:uid="{3183F4C6-00FA-4E1A-8716-98A1A060980A}"/>
    <cellStyle name="40% - Énfasis1 18 3" xfId="20444" xr:uid="{CADBB546-D4DA-4DC5-9879-07E5D3F960E8}"/>
    <cellStyle name="40% - Énfasis1 18 4" xfId="26246" xr:uid="{825D6CAC-4580-452C-905D-4EF1E11BF250}"/>
    <cellStyle name="40% - Énfasis1 18 5" xfId="32121" xr:uid="{2A44497E-C719-4AB6-9EB7-A2996B248F95}"/>
    <cellStyle name="40% - Énfasis1 18 6" xfId="37986" xr:uid="{B5F91B3D-F08B-45C5-9B04-48D7731944DD}"/>
    <cellStyle name="40% - Énfasis1 19" xfId="6016" xr:uid="{0D59A834-F703-4A0A-BF33-446C3CD8FF7B}"/>
    <cellStyle name="40% - Énfasis1 19 2" xfId="8885" xr:uid="{23FC4BF8-23E7-46CF-9B0F-1977F53C97ED}"/>
    <cellStyle name="40% - Énfasis1 19 2 2" xfId="23249" xr:uid="{7002F9F9-A6ED-4E06-AC0E-D0FCB1B5EC18}"/>
    <cellStyle name="40% - Énfasis1 19 2 3" xfId="29116" xr:uid="{C9ED7285-9071-433F-B0C6-B1E53693B676}"/>
    <cellStyle name="40% - Énfasis1 19 2 4" xfId="34998" xr:uid="{47B55EE4-2733-4392-AF32-1BAB14140C55}"/>
    <cellStyle name="40% - Énfasis1 19 2 5" xfId="40862" xr:uid="{79FCE6D7-93BA-42EB-82A6-EA052AE20A5D}"/>
    <cellStyle name="40% - Énfasis1 19 3" xfId="20464" xr:uid="{DA8EC904-6C23-4D7C-89BA-EF457CAA3789}"/>
    <cellStyle name="40% - Énfasis1 19 4" xfId="26266" xr:uid="{CDBD2A0B-96D8-405A-B419-696C3C26CBBE}"/>
    <cellStyle name="40% - Énfasis1 19 5" xfId="32141" xr:uid="{25749AAC-ACB6-40B7-82E9-A7D9FFF7378C}"/>
    <cellStyle name="40% - Énfasis1 19 6" xfId="38006" xr:uid="{322633F6-67A6-4A8D-A499-147E15BF218C}"/>
    <cellStyle name="40% - Énfasis1 2" xfId="3841" xr:uid="{6A78A26B-DC60-4751-B676-D87C47CA90E7}"/>
    <cellStyle name="40% - Énfasis1 2 10" xfId="35821" xr:uid="{00C94551-5DB4-4A23-8C1E-5B47A109F302}"/>
    <cellStyle name="40% - Énfasis1 2 2" xfId="4036" xr:uid="{258607E7-1DFB-4221-B644-BE6C59C1C970}"/>
    <cellStyle name="40% - Énfasis1 2 2 2" xfId="4510" xr:uid="{101C4DAD-9D6F-4E61-9B6A-72BB9CA79A2F}"/>
    <cellStyle name="40% - Énfasis1 2 2 2 2" xfId="5478" xr:uid="{22F4781F-2AAC-4576-B339-2754E110661C}"/>
    <cellStyle name="40% - Énfasis1 2 2 2 2 2" xfId="8345" xr:uid="{B780C795-5CBB-424E-93F8-EA3D3C48A465}"/>
    <cellStyle name="40% - Énfasis1 2 2 2 2 2 2" xfId="22720" xr:uid="{1953BA68-7C7A-42A0-A1F2-9C6DF4FEA8C6}"/>
    <cellStyle name="40% - Énfasis1 2 2 2 2 2 3" xfId="28578" xr:uid="{48BF0C93-B144-49F8-A13F-33B0F3D1E8D8}"/>
    <cellStyle name="40% - Énfasis1 2 2 2 2 2 4" xfId="34460" xr:uid="{C8D8F8BA-844C-4A81-B8B6-4488893BBCFB}"/>
    <cellStyle name="40% - Énfasis1 2 2 2 2 2 5" xfId="40324" xr:uid="{6DF4DB0D-903E-417B-BE79-6CA649A4E84B}"/>
    <cellStyle name="40% - Énfasis1 2 2 2 2 3" xfId="19939" xr:uid="{8C662239-F9F2-48FD-98A6-9229DB7CB589}"/>
    <cellStyle name="40% - Énfasis1 2 2 2 2 4" xfId="25729" xr:uid="{1ED965D9-0B46-4FA1-A16C-087AC6532AAE}"/>
    <cellStyle name="40% - Énfasis1 2 2 2 2 5" xfId="31603" xr:uid="{DD2E7460-0788-45F7-80CF-C70774611E40}"/>
    <cellStyle name="40% - Énfasis1 2 2 2 2 6" xfId="37473" xr:uid="{85B33531-E3DA-45F7-99ED-646680F2B80C}"/>
    <cellStyle name="40% - Énfasis1 2 2 2 3" xfId="7373" xr:uid="{0BB74319-65E9-47A5-B1CA-788AA9A66261}"/>
    <cellStyle name="40% - Énfasis1 2 2 2 3 2" xfId="21775" xr:uid="{B1CC2E93-6E87-4AA4-9DB7-B62889671AA7}"/>
    <cellStyle name="40% - Énfasis1 2 2 2 3 3" xfId="27607" xr:uid="{92FD0D5F-C947-4C8C-9470-FA359FC4A23C}"/>
    <cellStyle name="40% - Énfasis1 2 2 2 3 4" xfId="33489" xr:uid="{F6C9F1CE-0B51-420B-8E30-1ED3738ECBE7}"/>
    <cellStyle name="40% - Énfasis1 2 2 2 3 5" xfId="39353" xr:uid="{8BB51872-7D45-46E9-A4C9-CB6BED278805}"/>
    <cellStyle name="40% - Énfasis1 2 2 2 4" xfId="19009" xr:uid="{C60FE43C-60D7-4DB0-AC6A-F8DE97A67381}"/>
    <cellStyle name="40% - Énfasis1 2 2 2 5" xfId="24758" xr:uid="{13725E1F-5E42-4FF7-9EA1-1FC086B94CF2}"/>
    <cellStyle name="40% - Énfasis1 2 2 2 6" xfId="30635" xr:uid="{959A9E72-1ADC-4D8B-B59E-C459A7FB6D06}"/>
    <cellStyle name="40% - Énfasis1 2 2 2 7" xfId="36516" xr:uid="{8CF819F1-7680-4C50-AE9C-607C63AC38E2}"/>
    <cellStyle name="40% - Énfasis1 2 2 3" xfId="4993" xr:uid="{C22339E6-23F3-435E-B0CA-2259C0CDA1CC}"/>
    <cellStyle name="40% - Énfasis1 2 2 3 2" xfId="7860" xr:uid="{C8A013E0-E3EC-450D-BE02-9A0AFBC2418B}"/>
    <cellStyle name="40% - Énfasis1 2 2 3 2 2" xfId="22245" xr:uid="{C1EA2A47-EEA3-4D2B-8D20-B3C825C63532}"/>
    <cellStyle name="40% - Énfasis1 2 2 3 2 3" xfId="28093" xr:uid="{F8EB74D0-47A1-4FD0-8004-3C9D668A6046}"/>
    <cellStyle name="40% - Énfasis1 2 2 3 2 4" xfId="33975" xr:uid="{74A6D9CD-4488-42AF-BDE6-03836376316D}"/>
    <cellStyle name="40% - Énfasis1 2 2 3 2 5" xfId="39839" xr:uid="{9D6297B9-4694-4433-BE39-646E1D1A0809}"/>
    <cellStyle name="40% - Énfasis1 2 2 3 3" xfId="19472" xr:uid="{19A338B5-2379-4D68-B735-1E258A702EA9}"/>
    <cellStyle name="40% - Énfasis1 2 2 3 4" xfId="25244" xr:uid="{C89BC508-DDF8-44F9-BE47-E2ED2D9709A6}"/>
    <cellStyle name="40% - Énfasis1 2 2 3 5" xfId="31118" xr:uid="{514ABB45-4EB6-44A9-84F7-4F122240D79D}"/>
    <cellStyle name="40% - Énfasis1 2 2 3 6" xfId="36996" xr:uid="{A39FF17D-B5E8-42E7-B54B-6D6E94F0FAEA}"/>
    <cellStyle name="40% - Énfasis1 2 2 4" xfId="6888" xr:uid="{1C7EDB85-79C0-40B0-8E4D-8B2593281385}"/>
    <cellStyle name="40% - Énfasis1 2 2 4 2" xfId="21309" xr:uid="{B734C7FD-CFFF-406B-BC75-F33C407691AF}"/>
    <cellStyle name="40% - Énfasis1 2 2 4 3" xfId="27126" xr:uid="{0C149FC4-8234-4B75-9D37-E3A9D20BCC0A}"/>
    <cellStyle name="40% - Énfasis1 2 2 4 4" xfId="33004" xr:uid="{9C6217F7-DDD6-4A5A-85C9-87B539D753F0}"/>
    <cellStyle name="40% - Énfasis1 2 2 4 5" xfId="38868" xr:uid="{C76F10ED-A647-4F3B-ABCA-C750C9591DD7}"/>
    <cellStyle name="40% - Énfasis1 2 2 5" xfId="18563" xr:uid="{DC3AA31F-93CB-407A-9373-F21BA37925A6}"/>
    <cellStyle name="40% - Énfasis1 2 2 6" xfId="24275" xr:uid="{BF60FC02-7D9F-4180-A8A9-B44B29754D0A}"/>
    <cellStyle name="40% - Énfasis1 2 2 7" xfId="30153" xr:uid="{B90D436A-AFF6-4D11-A8DB-517E44A07489}"/>
    <cellStyle name="40% - Énfasis1 2 2 8" xfId="36032" xr:uid="{674AA2F5-AA1C-4250-AB6A-94D7E57D7FE8}"/>
    <cellStyle name="40% - Énfasis1 2 3" xfId="4316" xr:uid="{2F59D8E9-381D-462C-A4FC-775DB5438BB7}"/>
    <cellStyle name="40% - Énfasis1 2 3 2" xfId="5282" xr:uid="{6426E38A-7493-48D5-A467-928244C371C9}"/>
    <cellStyle name="40% - Énfasis1 2 3 2 2" xfId="8149" xr:uid="{BD4D7BF2-8840-40A1-BA02-8FBF7684CDA7}"/>
    <cellStyle name="40% - Énfasis1 2 3 2 2 2" xfId="22525" xr:uid="{83679E09-8533-481D-B700-2FD5C8D29E28}"/>
    <cellStyle name="40% - Énfasis1 2 3 2 2 3" xfId="28382" xr:uid="{0F03327D-4502-45E6-9EA3-308AA1D3716A}"/>
    <cellStyle name="40% - Énfasis1 2 3 2 2 4" xfId="34264" xr:uid="{B6288061-C97B-4F32-BC08-3D150E4E5E56}"/>
    <cellStyle name="40% - Énfasis1 2 3 2 2 5" xfId="40128" xr:uid="{839245EE-0274-4C67-AB87-A9E36088885B}"/>
    <cellStyle name="40% - Énfasis1 2 3 2 3" xfId="19750" xr:uid="{25FC8372-1DB6-4195-BA93-23215CFCD8C2}"/>
    <cellStyle name="40% - Énfasis1 2 3 2 4" xfId="25533" xr:uid="{16A24BA0-26AD-410C-9D3B-C2EEBAEC13EB}"/>
    <cellStyle name="40% - Énfasis1 2 3 2 5" xfId="31407" xr:uid="{F1E0C739-4055-4F1D-B578-CCEDB10994F0}"/>
    <cellStyle name="40% - Énfasis1 2 3 2 6" xfId="37278" xr:uid="{CC6D71CD-1A45-4E18-9405-4F08C9C56707}"/>
    <cellStyle name="40% - Énfasis1 2 3 3" xfId="7177" xr:uid="{52DAC0B3-3F2B-4F39-9798-7CB096710B80}"/>
    <cellStyle name="40% - Énfasis1 2 3 3 2" xfId="21584" xr:uid="{A6A34B71-6968-4AD4-A109-4542A78A9380}"/>
    <cellStyle name="40% - Énfasis1 2 3 3 3" xfId="27411" xr:uid="{C4243F60-5434-40EE-9CF9-A46532F06662}"/>
    <cellStyle name="40% - Énfasis1 2 3 3 4" xfId="33293" xr:uid="{10015F23-005C-4BCC-97F0-6E64D65B0970}"/>
    <cellStyle name="40% - Énfasis1 2 3 3 5" xfId="39157" xr:uid="{839CD0C8-2112-4C9E-BA5C-0794D4B16E8F}"/>
    <cellStyle name="40% - Énfasis1 2 3 4" xfId="18821" xr:uid="{569AAA29-0784-40A1-9889-DF30985A167B}"/>
    <cellStyle name="40% - Énfasis1 2 3 5" xfId="24562" xr:uid="{7501E336-5A59-4DBC-AC88-569DE0ACF704}"/>
    <cellStyle name="40% - Énfasis1 2 3 6" xfId="30441" xr:uid="{457343E2-4D0B-42C0-A29F-6F8CD7E7E69D}"/>
    <cellStyle name="40% - Énfasis1 2 3 7" xfId="36321" xr:uid="{9B112D4A-FA0F-408D-A7C8-0A6235547670}"/>
    <cellStyle name="40% - Énfasis1 2 4" xfId="4801" xr:uid="{5722E026-07FB-4F8E-BBDC-B7AF135D5EF0}"/>
    <cellStyle name="40% - Énfasis1 2 4 2" xfId="7664" xr:uid="{FA86A5A0-6764-48DB-A1D0-1F0BAD4829F9}"/>
    <cellStyle name="40% - Énfasis1 2 4 2 2" xfId="22055" xr:uid="{AA1042BB-EF2E-47D3-BAAC-04F1D2825697}"/>
    <cellStyle name="40% - Énfasis1 2 4 2 3" xfId="27897" xr:uid="{DF3A7E27-05BB-4A4D-9E7E-F16A65C001AC}"/>
    <cellStyle name="40% - Énfasis1 2 4 2 4" xfId="33779" xr:uid="{B3A1C67A-15D3-4BD1-999C-249BB30B3F14}"/>
    <cellStyle name="40% - Énfasis1 2 4 2 5" xfId="39643" xr:uid="{3064EB02-76CA-4EDC-BDD1-49BCEC82BB14}"/>
    <cellStyle name="40% - Énfasis1 2 4 3" xfId="19280" xr:uid="{11990B6C-6394-4B39-A130-DE378A103F5A}"/>
    <cellStyle name="40% - Énfasis1 2 4 4" xfId="25048" xr:uid="{895ED699-7389-4506-8F48-9C25BEF25420}"/>
    <cellStyle name="40% - Énfasis1 2 4 5" xfId="30922" xr:uid="{37D414DA-927E-4CEA-A4AF-19A86C77B458}"/>
    <cellStyle name="40% - Énfasis1 2 4 6" xfId="36801" xr:uid="{704DEA46-8BB2-425E-BA8A-0D0EE395EF03}"/>
    <cellStyle name="40% - Énfasis1 2 5" xfId="5807" xr:uid="{40C5C29C-C186-42CC-819F-E2F8803085F6}"/>
    <cellStyle name="40% - Énfasis1 2 5 2" xfId="8676" xr:uid="{8B0259FF-1752-4AD1-BF6B-57026D054497}"/>
    <cellStyle name="40% - Énfasis1 2 5 2 2" xfId="23044" xr:uid="{5D9FF207-A36D-4852-A3C8-21EE4E48C785}"/>
    <cellStyle name="40% - Énfasis1 2 5 2 3" xfId="28908" xr:uid="{9C3F9A20-8936-4AD0-89DA-1F50230BB7FB}"/>
    <cellStyle name="40% - Énfasis1 2 5 2 4" xfId="34790" xr:uid="{53D449CA-3116-4552-95E2-49B5E1DB60F8}"/>
    <cellStyle name="40% - Énfasis1 2 5 2 5" xfId="40654" xr:uid="{C3153505-B2C4-42A2-A649-9D1775210376}"/>
    <cellStyle name="40% - Énfasis1 2 5 3" xfId="20259" xr:uid="{D6F28445-20E1-45CF-A8C2-D2FD9AB23573}"/>
    <cellStyle name="40% - Énfasis1 2 5 4" xfId="26058" xr:uid="{88923491-11C3-47B8-BB5A-25D78109A878}"/>
    <cellStyle name="40% - Énfasis1 2 5 5" xfId="31933" xr:uid="{B0B67249-7A4E-460C-8061-C04F406137E0}"/>
    <cellStyle name="40% - Énfasis1 2 5 6" xfId="37799" xr:uid="{F430B0AB-7815-4B71-BDCD-78EBDD124F13}"/>
    <cellStyle name="40% - Énfasis1 2 6" xfId="6693" xr:uid="{D9C5832B-9E45-4340-A54F-6EF8B04B7E90}"/>
    <cellStyle name="40% - Énfasis1 2 6 2" xfId="21120" xr:uid="{3D2DAC68-4B7A-420A-A111-C66594ECC8E2}"/>
    <cellStyle name="40% - Énfasis1 2 6 3" xfId="26932" xr:uid="{2DF6C405-BA53-44DF-AE8D-2A564B475F47}"/>
    <cellStyle name="40% - Énfasis1 2 6 4" xfId="32808" xr:uid="{7A3E79A7-1346-4EF7-9D33-0745ADF72345}"/>
    <cellStyle name="40% - Énfasis1 2 6 5" xfId="38672" xr:uid="{B490436B-7993-4F65-A784-80324B672CB1}"/>
    <cellStyle name="40% - Énfasis1 2 7" xfId="18354" xr:uid="{B655076D-26AB-49D1-9CF5-9935DCB06245}"/>
    <cellStyle name="40% - Énfasis1 2 8" xfId="24062" xr:uid="{DDA9910E-80DB-437F-8DBA-0025052C3FE1}"/>
    <cellStyle name="40% - Énfasis1 2 9" xfId="29940" xr:uid="{6DC58571-4D78-4460-BD61-6373647B814C}"/>
    <cellStyle name="40% - Énfasis1 20" xfId="6036" xr:uid="{81C770E1-7288-4CD1-A523-DC529C896033}"/>
    <cellStyle name="40% - Énfasis1 20 2" xfId="8905" xr:uid="{A126FCC1-F0F4-40DE-844E-DC071F5BC842}"/>
    <cellStyle name="40% - Énfasis1 20 2 2" xfId="23269" xr:uid="{0A9C29CE-DE5F-440F-B511-3059C945BBAC}"/>
    <cellStyle name="40% - Énfasis1 20 2 3" xfId="29136" xr:uid="{B0E11778-7943-47D6-931D-084D1843E801}"/>
    <cellStyle name="40% - Énfasis1 20 2 4" xfId="35018" xr:uid="{0288097F-9C55-45AE-9694-01DA9B59C2E5}"/>
    <cellStyle name="40% - Énfasis1 20 2 5" xfId="40882" xr:uid="{3A8E00D3-E1F8-40FB-99B5-9B61EAFB3E24}"/>
    <cellStyle name="40% - Énfasis1 20 3" xfId="20484" xr:uid="{529434C4-7293-4BB3-9D25-114F05358E63}"/>
    <cellStyle name="40% - Énfasis1 20 4" xfId="26286" xr:uid="{E73EEDBC-C9EE-41CA-9DA0-607977359052}"/>
    <cellStyle name="40% - Énfasis1 20 5" xfId="32161" xr:uid="{38210FF6-625E-42D2-AD2D-739039F06516}"/>
    <cellStyle name="40% - Énfasis1 20 6" xfId="38026" xr:uid="{F503C2F9-BADD-4897-819D-64F430E68270}"/>
    <cellStyle name="40% - Énfasis1 21" xfId="6056" xr:uid="{AAF6E5D0-43B9-455E-8151-B121EB3F9EF0}"/>
    <cellStyle name="40% - Énfasis1 21 2" xfId="8925" xr:uid="{10DFE7C6-624F-40BB-8319-24F317097514}"/>
    <cellStyle name="40% - Énfasis1 21 2 2" xfId="23289" xr:uid="{7E23AF16-3F9E-49BE-9828-572E5F949242}"/>
    <cellStyle name="40% - Énfasis1 21 2 3" xfId="29156" xr:uid="{7129EB36-0B4E-40E0-B23F-D237C00ACCB5}"/>
    <cellStyle name="40% - Énfasis1 21 2 4" xfId="35038" xr:uid="{EAFCA3AC-D80C-41E1-904D-989EEFBE7521}"/>
    <cellStyle name="40% - Énfasis1 21 2 5" xfId="40902" xr:uid="{BACAA9BF-5038-4BA2-ABC7-4F810CDE1C60}"/>
    <cellStyle name="40% - Énfasis1 21 3" xfId="20504" xr:uid="{9E2C4D1D-6727-4F12-BCD4-40FFE0D11323}"/>
    <cellStyle name="40% - Énfasis1 21 4" xfId="26306" xr:uid="{815BCC90-6DF0-4824-A742-16CA0FCE46C9}"/>
    <cellStyle name="40% - Énfasis1 21 5" xfId="32181" xr:uid="{4FC3DCF9-A5DB-4234-A884-4D65D1FB74F9}"/>
    <cellStyle name="40% - Énfasis1 21 6" xfId="38046" xr:uid="{0DC7E008-B2A5-47D8-9574-32DC9F3F93CA}"/>
    <cellStyle name="40% - Énfasis1 22" xfId="6076" xr:uid="{E76A09F2-A125-48F7-9C6A-CC5B4CBC85A4}"/>
    <cellStyle name="40% - Énfasis1 22 2" xfId="8945" xr:uid="{261B2847-7937-47A1-905E-E2B7D6EC9F07}"/>
    <cellStyle name="40% - Énfasis1 22 2 2" xfId="23309" xr:uid="{94251A4B-265C-43B2-B2B6-7FB771D3CF88}"/>
    <cellStyle name="40% - Énfasis1 22 2 3" xfId="29176" xr:uid="{3EEB5CC7-AE15-471C-ACCD-532FA5CEB413}"/>
    <cellStyle name="40% - Énfasis1 22 2 4" xfId="35058" xr:uid="{365CD146-E4BC-4C9A-86BD-3F895EC19408}"/>
    <cellStyle name="40% - Énfasis1 22 2 5" xfId="40922" xr:uid="{25D3DB40-7603-4A70-A032-70CA3C69CFC7}"/>
    <cellStyle name="40% - Énfasis1 22 3" xfId="20524" xr:uid="{E55055A0-D97D-46FC-BC21-7B0A3FE74B50}"/>
    <cellStyle name="40% - Énfasis1 22 4" xfId="26326" xr:uid="{0A607359-3F06-455B-940D-093A261F48FA}"/>
    <cellStyle name="40% - Énfasis1 22 5" xfId="32201" xr:uid="{70C5565B-0E40-4C00-B830-76F9C0789220}"/>
    <cellStyle name="40% - Énfasis1 22 6" xfId="38066" xr:uid="{C17BC27B-4AF2-48FE-A34F-6C3112553C2F}"/>
    <cellStyle name="40% - Énfasis1 23" xfId="6096" xr:uid="{5654D333-D5C7-47F7-9182-61DA9DBA6693}"/>
    <cellStyle name="40% - Énfasis1 23 2" xfId="8965" xr:uid="{F0E1CD49-3C26-417B-8164-9B92EFEA887C}"/>
    <cellStyle name="40% - Énfasis1 23 2 2" xfId="23329" xr:uid="{AA32FD46-44DD-4C51-8773-85044B88866C}"/>
    <cellStyle name="40% - Énfasis1 23 2 3" xfId="29196" xr:uid="{2ECA83C7-5843-484E-9033-407B5DCD8240}"/>
    <cellStyle name="40% - Énfasis1 23 2 4" xfId="35078" xr:uid="{BA1AE854-1331-4EFD-869F-B779C14DACB1}"/>
    <cellStyle name="40% - Énfasis1 23 2 5" xfId="40942" xr:uid="{773432DB-325F-4655-A53F-5A867DC6325B}"/>
    <cellStyle name="40% - Énfasis1 23 3" xfId="20544" xr:uid="{9321C11E-EEEE-4AE2-9550-E0F81ACF8C21}"/>
    <cellStyle name="40% - Énfasis1 23 4" xfId="26346" xr:uid="{8DCE97D9-44F8-457A-9B56-136EA40E3F74}"/>
    <cellStyle name="40% - Énfasis1 23 5" xfId="32221" xr:uid="{18BC512C-1EBD-4DCA-817C-30A0B20ECBAB}"/>
    <cellStyle name="40% - Énfasis1 23 6" xfId="38086" xr:uid="{D7DE1EBE-9403-4730-8B42-E154894FDDD5}"/>
    <cellStyle name="40% - Énfasis1 24" xfId="6116" xr:uid="{B88F6603-9A32-40A9-9DB7-613A471A6F28}"/>
    <cellStyle name="40% - Énfasis1 24 2" xfId="8985" xr:uid="{092C1A5D-F2BB-4AC3-9337-81F596E5124D}"/>
    <cellStyle name="40% - Énfasis1 24 2 2" xfId="23349" xr:uid="{5455F943-6351-4406-934E-11329DCB4539}"/>
    <cellStyle name="40% - Énfasis1 24 2 3" xfId="29216" xr:uid="{AB207968-6082-4AF2-817F-FAAA0BB5E292}"/>
    <cellStyle name="40% - Énfasis1 24 2 4" xfId="35098" xr:uid="{01B1EF46-C2E8-4DBA-8D95-5B227F704E69}"/>
    <cellStyle name="40% - Énfasis1 24 2 5" xfId="40962" xr:uid="{EAC251D5-D70D-4DD7-9144-C1E9334A5400}"/>
    <cellStyle name="40% - Énfasis1 24 3" xfId="20564" xr:uid="{A11907A0-C910-4B1B-8185-36DE4DA72ACD}"/>
    <cellStyle name="40% - Énfasis1 24 4" xfId="26366" xr:uid="{58E899C8-AA5B-4B5D-97BA-73F2C519E022}"/>
    <cellStyle name="40% - Énfasis1 24 5" xfId="32241" xr:uid="{31CA1AAF-C46F-4AE1-AD87-48BD544C9A4E}"/>
    <cellStyle name="40% - Énfasis1 24 6" xfId="38106" xr:uid="{FC8DF7AD-4550-4121-A5E9-ADAD1C9A0DE7}"/>
    <cellStyle name="40% - Énfasis1 25" xfId="6136" xr:uid="{DC9C572C-4A1C-4650-BA03-4AB8BA73E303}"/>
    <cellStyle name="40% - Énfasis1 25 2" xfId="9005" xr:uid="{80C52A14-88DB-47F1-A098-A229F2F95362}"/>
    <cellStyle name="40% - Énfasis1 25 2 2" xfId="23369" xr:uid="{CD18AE32-FA1D-4AB4-B81C-5D892C631E5F}"/>
    <cellStyle name="40% - Énfasis1 25 2 3" xfId="29236" xr:uid="{6B8DF7D8-DE46-4641-AF13-37EEFC578F23}"/>
    <cellStyle name="40% - Énfasis1 25 2 4" xfId="35118" xr:uid="{CEA72519-567F-4119-B196-733A7FAE9F87}"/>
    <cellStyle name="40% - Énfasis1 25 2 5" xfId="40981" xr:uid="{9DB48B0F-FF21-4B24-90CD-FD2A0DED97A7}"/>
    <cellStyle name="40% - Énfasis1 25 3" xfId="20584" xr:uid="{B30427E3-46B5-42EA-A8F4-853ADFE713BD}"/>
    <cellStyle name="40% - Énfasis1 25 4" xfId="26386" xr:uid="{1E32E59B-00B2-47A3-89FB-66BA98FDD23C}"/>
    <cellStyle name="40% - Énfasis1 25 5" xfId="32261" xr:uid="{ED322E1C-CD1C-4849-94EE-C66241C60EA4}"/>
    <cellStyle name="40% - Énfasis1 25 6" xfId="38126" xr:uid="{31D6DFE6-8B61-4EBC-B095-4837AF5A4A20}"/>
    <cellStyle name="40% - Énfasis1 26" xfId="6156" xr:uid="{5031F527-C251-4E07-98E8-3C837E8F7D51}"/>
    <cellStyle name="40% - Énfasis1 26 2" xfId="9025" xr:uid="{4292501D-C46D-4BFC-B675-2AF5F6BED999}"/>
    <cellStyle name="40% - Énfasis1 26 2 2" xfId="23389" xr:uid="{A53A609D-DCCE-4D2E-A4E8-816F494852B6}"/>
    <cellStyle name="40% - Énfasis1 26 2 3" xfId="29256" xr:uid="{6BF58B58-432B-4965-AE01-66DF8B41D7D8}"/>
    <cellStyle name="40% - Énfasis1 26 2 4" xfId="35138" xr:uid="{443582C8-B3C2-4863-A8DE-BFACB905F8C3}"/>
    <cellStyle name="40% - Énfasis1 26 2 5" xfId="41000" xr:uid="{DDB15CAF-31B9-4007-8787-ED5F2074B44F}"/>
    <cellStyle name="40% - Énfasis1 26 3" xfId="20604" xr:uid="{06951586-A083-4211-948E-30FFC9FAB21A}"/>
    <cellStyle name="40% - Énfasis1 26 4" xfId="26406" xr:uid="{CD16B14D-8199-4A68-AF7F-2124FC54DC0D}"/>
    <cellStyle name="40% - Énfasis1 26 5" xfId="32281" xr:uid="{E4536F7A-0CF7-4C78-A2B3-5EE332718355}"/>
    <cellStyle name="40% - Énfasis1 26 6" xfId="38146" xr:uid="{5F5272AE-84C5-4633-92B9-A343F507C47C}"/>
    <cellStyle name="40% - Énfasis1 27" xfId="6176" xr:uid="{FD244837-E999-4CD8-86EF-4275AE286479}"/>
    <cellStyle name="40% - Énfasis1 27 2" xfId="9045" xr:uid="{E062574E-D4DD-48CB-B0AC-DB36B780FA3B}"/>
    <cellStyle name="40% - Énfasis1 27 2 2" xfId="23409" xr:uid="{2D831B6E-027B-4450-964A-05D96873F39D}"/>
    <cellStyle name="40% - Énfasis1 27 2 3" xfId="29276" xr:uid="{B4E420FD-6E85-430D-936F-1D50B62F87F2}"/>
    <cellStyle name="40% - Énfasis1 27 2 4" xfId="35158" xr:uid="{9AEF802E-A910-403D-B2CB-E90ACA5F3D78}"/>
    <cellStyle name="40% - Énfasis1 27 2 5" xfId="41020" xr:uid="{CB4408F5-555E-409D-AAFE-DAB3F96F8F24}"/>
    <cellStyle name="40% - Énfasis1 27 3" xfId="20624" xr:uid="{499212E7-A13D-4908-83E8-1B5FAFDDCEF1}"/>
    <cellStyle name="40% - Énfasis1 27 4" xfId="26426" xr:uid="{4C08C7B1-9441-4946-BCBF-F5571CDBBD8E}"/>
    <cellStyle name="40% - Énfasis1 27 5" xfId="32301" xr:uid="{3080CDB8-E03B-4B25-BCDE-206C25AA668D}"/>
    <cellStyle name="40% - Énfasis1 27 6" xfId="38166" xr:uid="{2C8F9339-D2D8-4486-AE2D-E593803FD5D0}"/>
    <cellStyle name="40% - Énfasis1 28" xfId="6198" xr:uid="{4BA5E421-8B32-4C24-B094-CB3CD0F32E42}"/>
    <cellStyle name="40% - Énfasis1 28 2" xfId="9067" xr:uid="{272EB349-8DC4-4AD5-A794-BCFAC0D8C9F8}"/>
    <cellStyle name="40% - Énfasis1 28 2 2" xfId="23431" xr:uid="{AF07C9E6-C1DD-4E80-A266-ACCA485BFACF}"/>
    <cellStyle name="40% - Énfasis1 28 2 3" xfId="29298" xr:uid="{97E1F762-D94B-4A2D-8B66-879732ADC215}"/>
    <cellStyle name="40% - Énfasis1 28 2 4" xfId="35180" xr:uid="{AFBF858C-7E7A-410D-85F0-CD2988E244C4}"/>
    <cellStyle name="40% - Énfasis1 28 2 5" xfId="41041" xr:uid="{F06774F8-0472-4DF3-91CE-03AC832D79F9}"/>
    <cellStyle name="40% - Énfasis1 28 3" xfId="20646" xr:uid="{8B975F3C-1949-4E32-A9F8-26A55FC78EBE}"/>
    <cellStyle name="40% - Énfasis1 28 4" xfId="26448" xr:uid="{D647F856-49E4-4BD9-80E2-D280903A56D6}"/>
    <cellStyle name="40% - Énfasis1 28 5" xfId="32323" xr:uid="{32C477F3-4EF4-43B5-8B40-9FB797AB0E25}"/>
    <cellStyle name="40% - Énfasis1 28 6" xfId="38188" xr:uid="{FEA4C9AB-3169-49F8-9311-1DC3BA523257}"/>
    <cellStyle name="40% - Énfasis1 29" xfId="6235" xr:uid="{1FE1B3A2-4143-4DDB-9685-A04906C6A5DA}"/>
    <cellStyle name="40% - Énfasis1 29 2" xfId="9104" xr:uid="{0CE48A5D-2ABD-42E9-BF5F-48E99245AA9A}"/>
    <cellStyle name="40% - Énfasis1 29 2 2" xfId="23468" xr:uid="{B0B7F4ED-78B6-4B12-B8CD-D1DAB4F91A42}"/>
    <cellStyle name="40% - Énfasis1 29 2 3" xfId="29335" xr:uid="{247F504E-93F9-4CA8-8308-6B08E5512BE1}"/>
    <cellStyle name="40% - Énfasis1 29 2 4" xfId="35217" xr:uid="{1FE01509-2CCE-4B2F-9563-7994CD191023}"/>
    <cellStyle name="40% - Énfasis1 29 2 5" xfId="41077" xr:uid="{5557C7B6-65BA-4BD6-8479-B099D72D1335}"/>
    <cellStyle name="40% - Énfasis1 29 3" xfId="20676" xr:uid="{A1245A00-F1F6-411A-9F14-F80E15E37188}"/>
    <cellStyle name="40% - Énfasis1 29 4" xfId="26485" xr:uid="{4D80C26D-3E6F-4B0C-B66E-ADB578D9BE80}"/>
    <cellStyle name="40% - Énfasis1 29 5" xfId="32360" xr:uid="{D14D971D-816D-440F-B5F7-CD84CDBF8295}"/>
    <cellStyle name="40% - Énfasis1 29 6" xfId="38225" xr:uid="{7E8BC075-0C7F-4928-80C2-6915309BCB3F}"/>
    <cellStyle name="40% - Énfasis1 3" xfId="3858" xr:uid="{364E7010-E2A2-4CCD-9AC2-995814A7FF0B}"/>
    <cellStyle name="40% - Énfasis1 3 10" xfId="35848" xr:uid="{E738F524-7173-49CD-ADAF-C5CA3E1B95B0}"/>
    <cellStyle name="40% - Énfasis1 3 2" xfId="4057" xr:uid="{84DA5E6F-EC6E-4BAD-82B9-437C08FCF728}"/>
    <cellStyle name="40% - Énfasis1 3 2 2" xfId="4535" xr:uid="{48BBAF89-4428-4F46-B08D-31D15AC937DA}"/>
    <cellStyle name="40% - Énfasis1 3 2 2 2" xfId="5503" xr:uid="{7896A3EE-634A-482D-AB89-30088F0847DD}"/>
    <cellStyle name="40% - Énfasis1 3 2 2 2 2" xfId="8370" xr:uid="{1C028662-315A-4E15-AF3A-49DE5BAE6F52}"/>
    <cellStyle name="40% - Énfasis1 3 2 2 2 2 2" xfId="22745" xr:uid="{C384C3A4-DA2C-4241-B8A7-265076282C69}"/>
    <cellStyle name="40% - Énfasis1 3 2 2 2 2 3" xfId="28603" xr:uid="{2D76D0D9-2CEC-40F4-8326-F5971BF3CE69}"/>
    <cellStyle name="40% - Énfasis1 3 2 2 2 2 4" xfId="34485" xr:uid="{CEEE7AB3-3828-4D2A-98EC-9512B968A92F}"/>
    <cellStyle name="40% - Énfasis1 3 2 2 2 2 5" xfId="40349" xr:uid="{D33BC607-4B97-4C5E-BEC0-40C8E574B709}"/>
    <cellStyle name="40% - Énfasis1 3 2 2 2 3" xfId="19963" xr:uid="{CA7F2A75-9635-43A8-BE9B-3A1A504F2CF0}"/>
    <cellStyle name="40% - Énfasis1 3 2 2 2 4" xfId="25754" xr:uid="{E02A8A20-96C8-4BB2-8BB4-304D133DA90A}"/>
    <cellStyle name="40% - Énfasis1 3 2 2 2 5" xfId="31628" xr:uid="{EEDA0571-DC73-4C2B-8C8E-8091107C01F7}"/>
    <cellStyle name="40% - Énfasis1 3 2 2 2 6" xfId="37498" xr:uid="{FEFB5799-66F5-4575-BF63-4E3E47C93EF5}"/>
    <cellStyle name="40% - Énfasis1 3 2 2 3" xfId="7398" xr:uid="{FB417D2E-3359-4D15-92B9-CCA949BE05DF}"/>
    <cellStyle name="40% - Énfasis1 3 2 2 3 2" xfId="21800" xr:uid="{1851C0EA-3EE6-45D9-8AC4-43F8E062CA48}"/>
    <cellStyle name="40% - Énfasis1 3 2 2 3 3" xfId="27632" xr:uid="{A28C514F-26AC-444D-AE53-DA50C1F04268}"/>
    <cellStyle name="40% - Énfasis1 3 2 2 3 4" xfId="33514" xr:uid="{561D478B-05EE-4E97-BD73-A4655C3B49B3}"/>
    <cellStyle name="40% - Énfasis1 3 2 2 3 5" xfId="39378" xr:uid="{F4C985BE-7094-4994-A5E4-AB64171C367E}"/>
    <cellStyle name="40% - Énfasis1 3 2 2 4" xfId="19031" xr:uid="{17017D1A-6692-42E9-ADF8-690EAE6CF786}"/>
    <cellStyle name="40% - Énfasis1 3 2 2 5" xfId="24783" xr:uid="{446610F7-E317-4361-B308-5440CA757FEC}"/>
    <cellStyle name="40% - Énfasis1 3 2 2 6" xfId="30660" xr:uid="{6A04F33F-4789-4DD8-AF2E-023A844ECD7D}"/>
    <cellStyle name="40% - Énfasis1 3 2 2 7" xfId="36541" xr:uid="{38FB7FFD-BF3E-478A-8BFC-3C97286827AD}"/>
    <cellStyle name="40% - Énfasis1 3 2 3" xfId="5018" xr:uid="{F72E4C7B-3784-4602-B2CD-37A4133CF151}"/>
    <cellStyle name="40% - Énfasis1 3 2 3 2" xfId="7885" xr:uid="{F9FC652A-2B78-462A-AE5E-99FE94777CC9}"/>
    <cellStyle name="40% - Énfasis1 3 2 3 2 2" xfId="22270" xr:uid="{774FA018-9975-4168-8702-9E4252C7657C}"/>
    <cellStyle name="40% - Énfasis1 3 2 3 2 3" xfId="28118" xr:uid="{15F3BBB1-A39D-4929-A168-4998934BBAD1}"/>
    <cellStyle name="40% - Énfasis1 3 2 3 2 4" xfId="34000" xr:uid="{C737778C-1AD9-4FB3-B89C-0EA36623C5D4}"/>
    <cellStyle name="40% - Énfasis1 3 2 3 2 5" xfId="39864" xr:uid="{05117BE5-6680-440F-BDA0-A6291C0CE71D}"/>
    <cellStyle name="40% - Énfasis1 3 2 3 3" xfId="19496" xr:uid="{8EDA9CB2-F33A-4684-844C-D50C3A862C3A}"/>
    <cellStyle name="40% - Énfasis1 3 2 3 4" xfId="25269" xr:uid="{A289E8FA-1DFC-4035-9276-B2115E83C4AD}"/>
    <cellStyle name="40% - Énfasis1 3 2 3 5" xfId="31143" xr:uid="{6AB5116F-53E8-412D-8B69-6FCBEA7C4FA4}"/>
    <cellStyle name="40% - Énfasis1 3 2 3 6" xfId="37021" xr:uid="{0F8C8580-5BCF-432C-A1F2-22EED9611773}"/>
    <cellStyle name="40% - Énfasis1 3 2 4" xfId="6913" xr:uid="{62681B51-F8DB-481F-BF98-B16DEB94B289}"/>
    <cellStyle name="40% - Énfasis1 3 2 4 2" xfId="21333" xr:uid="{372A0712-6154-44D9-86B5-0628836FC011}"/>
    <cellStyle name="40% - Énfasis1 3 2 4 3" xfId="27151" xr:uid="{979D8DA6-3197-4E5A-991A-B4EEAE6B2D92}"/>
    <cellStyle name="40% - Énfasis1 3 2 4 4" xfId="33029" xr:uid="{A0CD04DC-61E5-4E22-A764-920BE9F17210}"/>
    <cellStyle name="40% - Énfasis1 3 2 4 5" xfId="38893" xr:uid="{0D3220A5-47AC-4E45-ACC3-9C7ACBE89DB4}"/>
    <cellStyle name="40% - Énfasis1 3 2 5" xfId="18588" xr:uid="{17D0DC9D-E514-4DA9-8BC0-C10A77DC0A71}"/>
    <cellStyle name="40% - Énfasis1 3 2 6" xfId="24300" xr:uid="{B57374BA-8DA8-49AF-AA7D-02AEEFD388E6}"/>
    <cellStyle name="40% - Énfasis1 3 2 7" xfId="30178" xr:uid="{FD6241FA-E6D6-4B79-A05F-D56821086F56}"/>
    <cellStyle name="40% - Énfasis1 3 2 8" xfId="36057" xr:uid="{20BB081B-EA87-465B-9FBA-74126EBA30FD}"/>
    <cellStyle name="40% - Énfasis1 3 3" xfId="4341" xr:uid="{BF2D7309-5B75-4828-8617-2555434E0247}"/>
    <cellStyle name="40% - Énfasis1 3 3 2" xfId="5307" xr:uid="{A8562561-A2D5-4E3B-8877-59CC8B8A5CD8}"/>
    <cellStyle name="40% - Énfasis1 3 3 2 2" xfId="8174" xr:uid="{D5B4E4B5-5B20-47CE-B41A-7A20A5CE9E83}"/>
    <cellStyle name="40% - Énfasis1 3 3 2 2 2" xfId="22550" xr:uid="{A108E592-D7F5-474B-9256-B7ACED5E7075}"/>
    <cellStyle name="40% - Énfasis1 3 3 2 2 3" xfId="28407" xr:uid="{4BF6D069-E237-42BA-B12B-951A958E1382}"/>
    <cellStyle name="40% - Énfasis1 3 3 2 2 4" xfId="34289" xr:uid="{0088031F-BB4C-4954-9FCF-C917924E14A1}"/>
    <cellStyle name="40% - Énfasis1 3 3 2 2 5" xfId="40153" xr:uid="{138CC4B9-09A6-47E2-BBF0-0893DDC35565}"/>
    <cellStyle name="40% - Énfasis1 3 3 2 3" xfId="19775" xr:uid="{5955A1E3-0AB5-436D-B247-44A393AF184A}"/>
    <cellStyle name="40% - Énfasis1 3 3 2 4" xfId="25558" xr:uid="{B0B6D1D1-75F8-4E0B-96DF-BA2CEB15D5FD}"/>
    <cellStyle name="40% - Énfasis1 3 3 2 5" xfId="31432" xr:uid="{CFE7A10C-818A-4E03-890C-5BDB06FD26BC}"/>
    <cellStyle name="40% - Énfasis1 3 3 2 6" xfId="37303" xr:uid="{A0168E5D-1ACB-4DE8-8A21-91A30D1A8EEE}"/>
    <cellStyle name="40% - Énfasis1 3 3 3" xfId="7202" xr:uid="{E83E5AC6-C745-461D-A417-35B980D7FD07}"/>
    <cellStyle name="40% - Énfasis1 3 3 3 2" xfId="21609" xr:uid="{03FBC47B-6D4D-4574-89E8-F7DC5DF94164}"/>
    <cellStyle name="40% - Énfasis1 3 3 3 3" xfId="27436" xr:uid="{B6112977-FBD1-4A94-9A8F-5F0AEC6D8596}"/>
    <cellStyle name="40% - Énfasis1 3 3 3 4" xfId="33318" xr:uid="{CBC738FF-FB1E-4378-B59B-73C4004DDFE8}"/>
    <cellStyle name="40% - Énfasis1 3 3 3 5" xfId="39182" xr:uid="{DA18E131-AE4F-4287-A646-EFBCCD2ED4A6}"/>
    <cellStyle name="40% - Énfasis1 3 3 4" xfId="18846" xr:uid="{15BA72DC-9283-489A-A8F4-04AD141C4CA5}"/>
    <cellStyle name="40% - Énfasis1 3 3 5" xfId="24587" xr:uid="{EDBFCD3D-8826-4B77-943C-0D4126092A64}"/>
    <cellStyle name="40% - Énfasis1 3 3 6" xfId="30466" xr:uid="{B2B1B6A9-05E7-4C0C-A127-BBB326BDCD03}"/>
    <cellStyle name="40% - Énfasis1 3 3 7" xfId="36346" xr:uid="{84BE7F35-AB16-4042-8B54-50CF52492E9B}"/>
    <cellStyle name="40% - Énfasis1 3 4" xfId="4823" xr:uid="{7B5B3C70-B414-4E74-AA35-262CF8CB8C20}"/>
    <cellStyle name="40% - Énfasis1 3 4 2" xfId="7689" xr:uid="{7EDE937B-28A3-4CE7-ADC7-EBE45CE82718}"/>
    <cellStyle name="40% - Énfasis1 3 4 2 2" xfId="22079" xr:uid="{8CF92407-1235-4988-85D3-581BEA6F9B77}"/>
    <cellStyle name="40% - Énfasis1 3 4 2 3" xfId="27922" xr:uid="{C1D62A60-5233-45D2-BA55-0F46C322C5E0}"/>
    <cellStyle name="40% - Énfasis1 3 4 2 4" xfId="33804" xr:uid="{24EA4A52-8A62-495D-BB55-92CD30B3CB66}"/>
    <cellStyle name="40% - Énfasis1 3 4 2 5" xfId="39668" xr:uid="{7A524CC7-78A4-4583-82A8-D6DBFBAB8690}"/>
    <cellStyle name="40% - Énfasis1 3 4 3" xfId="19305" xr:uid="{CF0A4DC6-D4DE-42D2-A230-1FFAD6E8475D}"/>
    <cellStyle name="40% - Énfasis1 3 4 4" xfId="25073" xr:uid="{B4243945-1B47-4784-9E88-8CF3AB547BA3}"/>
    <cellStyle name="40% - Énfasis1 3 4 5" xfId="30947" xr:uid="{01F634F7-04DC-4D2B-B659-019F33509A46}"/>
    <cellStyle name="40% - Énfasis1 3 4 6" xfId="36826" xr:uid="{73B83C0A-A0A3-4780-98C3-BD6130360535}"/>
    <cellStyle name="40% - Énfasis1 3 5" xfId="5832" xr:uid="{60AEAEF5-4212-4EE6-8727-ABE9D0D10423}"/>
    <cellStyle name="40% - Énfasis1 3 5 2" xfId="8701" xr:uid="{6CCFFAB3-9F5C-4E06-A038-0411C25BDA92}"/>
    <cellStyle name="40% - Énfasis1 3 5 2 2" xfId="23069" xr:uid="{E5B65089-332C-4770-BFF4-63DD7F54DF5B}"/>
    <cellStyle name="40% - Énfasis1 3 5 2 3" xfId="28933" xr:uid="{1A683A34-B3E8-43EA-B0F6-1C7A718E22C4}"/>
    <cellStyle name="40% - Énfasis1 3 5 2 4" xfId="34815" xr:uid="{2F15A1EC-A850-4B78-8800-B27AE4017954}"/>
    <cellStyle name="40% - Énfasis1 3 5 2 5" xfId="40679" xr:uid="{86F0E8E4-8CA7-4B66-8978-A9F882BE6CE5}"/>
    <cellStyle name="40% - Énfasis1 3 5 3" xfId="20284" xr:uid="{D817FFD6-2A9D-43D7-8A2E-7F814C06CF23}"/>
    <cellStyle name="40% - Énfasis1 3 5 4" xfId="26083" xr:uid="{4D8B476E-7339-4AA3-B3AF-C26B16C3BA41}"/>
    <cellStyle name="40% - Énfasis1 3 5 5" xfId="31958" xr:uid="{E4A55F8E-CB9C-4462-8E61-1E1E9B91E875}"/>
    <cellStyle name="40% - Énfasis1 3 5 6" xfId="37824" xr:uid="{41B47D50-2AD8-49C4-BFCA-B44E90997697}"/>
    <cellStyle name="40% - Énfasis1 3 6" xfId="6718" xr:uid="{9664A528-6EE7-4B09-BA86-0FF0ADD23098}"/>
    <cellStyle name="40% - Énfasis1 3 6 2" xfId="21142" xr:uid="{EC142339-BBE8-472E-AA33-FF69C8FF926F}"/>
    <cellStyle name="40% - Énfasis1 3 6 3" xfId="26957" xr:uid="{ACA6AC2A-D4E7-4ACB-BA2A-86745CC9C767}"/>
    <cellStyle name="40% - Énfasis1 3 6 4" xfId="32833" xr:uid="{C7FDA981-FD6D-4301-8218-652B48DC8D54}"/>
    <cellStyle name="40% - Énfasis1 3 6 5" xfId="38697" xr:uid="{F0B53072-CC28-4586-BCEB-0475118CF41C}"/>
    <cellStyle name="40% - Énfasis1 3 7" xfId="18380" xr:uid="{5B2AB72F-8CE1-4854-8CC5-7986C76AE2BB}"/>
    <cellStyle name="40% - Énfasis1 3 8" xfId="24089" xr:uid="{14FBA13A-D370-4581-8E84-3B42DB5156C8}"/>
    <cellStyle name="40% - Énfasis1 3 9" xfId="29967" xr:uid="{C9DE7174-D9A3-4A3B-90FF-F17FB71B0E51}"/>
    <cellStyle name="40% - Énfasis1 30" xfId="6255" xr:uid="{B2DE5E5E-0F22-41FF-A23F-7C99967A9A70}"/>
    <cellStyle name="40% - Énfasis1 30 2" xfId="9124" xr:uid="{5A74E4CA-7F92-4492-894D-6D6CFA010E88}"/>
    <cellStyle name="40% - Énfasis1 30 2 2" xfId="23488" xr:uid="{B399A72F-2F54-421E-9752-5CC873FA8D65}"/>
    <cellStyle name="40% - Énfasis1 30 2 3" xfId="29355" xr:uid="{22D96427-C855-46D3-A21B-CE08FE1FB155}"/>
    <cellStyle name="40% - Énfasis1 30 2 4" xfId="35237" xr:uid="{7141194B-C621-419B-B078-8CEE888C47B0}"/>
    <cellStyle name="40% - Énfasis1 30 2 5" xfId="41096" xr:uid="{A392796D-3136-43EC-A39E-819DC32623AC}"/>
    <cellStyle name="40% - Énfasis1 30 3" xfId="20696" xr:uid="{0EB80C27-84C0-4BD4-AE1C-A1320492DA25}"/>
    <cellStyle name="40% - Énfasis1 30 4" xfId="26505" xr:uid="{AEA2EC74-59C5-4521-B532-D06552841953}"/>
    <cellStyle name="40% - Énfasis1 30 5" xfId="32380" xr:uid="{0AB52571-D844-44BF-B8B8-40084453EF3A}"/>
    <cellStyle name="40% - Énfasis1 30 6" xfId="38245" xr:uid="{55699F21-76E1-4B23-86B6-87228651572D}"/>
    <cellStyle name="40% - Énfasis1 31" xfId="6275" xr:uid="{91EA84DE-99B8-496D-8AF7-74BEDADC3338}"/>
    <cellStyle name="40% - Énfasis1 31 2" xfId="9144" xr:uid="{B428FCE4-C177-40D5-9A2D-1EE4F0D89B2C}"/>
    <cellStyle name="40% - Énfasis1 31 2 2" xfId="23508" xr:uid="{844F283B-2EE1-4982-878B-50E8F4CEE08D}"/>
    <cellStyle name="40% - Énfasis1 31 2 3" xfId="29375" xr:uid="{D6AF7581-E4FB-4688-BE64-EFD6C7BA66B3}"/>
    <cellStyle name="40% - Énfasis1 31 2 4" xfId="35257" xr:uid="{7FB0BEB7-A506-4FAC-AA47-3920B85F23E4}"/>
    <cellStyle name="40% - Énfasis1 31 2 5" xfId="41116" xr:uid="{37357E58-DB89-442B-826E-F965887199EA}"/>
    <cellStyle name="40% - Énfasis1 31 3" xfId="20716" xr:uid="{E9258DDC-FED6-4B7C-9F92-299AA314B215}"/>
    <cellStyle name="40% - Énfasis1 31 4" xfId="26525" xr:uid="{548EBB43-8F2F-4751-9451-9A7498FFBA6B}"/>
    <cellStyle name="40% - Énfasis1 31 5" xfId="32400" xr:uid="{F28DB853-FC7F-4A62-87E1-0B7E76BF6652}"/>
    <cellStyle name="40% - Énfasis1 31 6" xfId="38265" xr:uid="{0752C7A8-130C-4509-9436-635E709CA8A5}"/>
    <cellStyle name="40% - Énfasis1 32" xfId="6299" xr:uid="{8811A19C-BEFA-4ED6-B19F-A4B52D6C12F5}"/>
    <cellStyle name="40% - Énfasis1 32 2" xfId="9167" xr:uid="{16BEAC69-87E3-46EF-A102-CD3D00DEEEE1}"/>
    <cellStyle name="40% - Énfasis1 32 2 2" xfId="23531" xr:uid="{56D76509-3DDA-41FF-ADBB-CA4354B17F41}"/>
    <cellStyle name="40% - Énfasis1 32 2 3" xfId="29398" xr:uid="{A0B88DF9-049B-4B26-BFCE-F65FCBD3C762}"/>
    <cellStyle name="40% - Énfasis1 32 2 4" xfId="35280" xr:uid="{468ED991-D3EE-4F0B-B1D3-91DA59A103C1}"/>
    <cellStyle name="40% - Énfasis1 32 2 5" xfId="41139" xr:uid="{B5FDED68-F2A7-460D-841F-17D4FCA4188F}"/>
    <cellStyle name="40% - Énfasis1 32 3" xfId="20740" xr:uid="{5A064C47-E9FA-4E20-B3EF-464CE79F1945}"/>
    <cellStyle name="40% - Énfasis1 32 4" xfId="26549" xr:uid="{765C7059-3F1E-4A70-BB24-D5C40543B3F8}"/>
    <cellStyle name="40% - Énfasis1 32 5" xfId="32424" xr:uid="{24560F41-F62D-4A3B-AA2A-19FCA52FF899}"/>
    <cellStyle name="40% - Énfasis1 32 6" xfId="38289" xr:uid="{5F4C3582-5533-40EF-BDDA-10F08ACF0A3A}"/>
    <cellStyle name="40% - Énfasis1 33" xfId="6331" xr:uid="{D3241ECC-FB63-46DE-B7FB-29CEFBB08BEE}"/>
    <cellStyle name="40% - Énfasis1 33 2" xfId="9196" xr:uid="{491A2F74-21BE-4D0E-8B4B-8FFD4691AFB3}"/>
    <cellStyle name="40% - Énfasis1 33 2 2" xfId="23559" xr:uid="{3EF1ADD4-497A-415A-9A82-F9633A2D9014}"/>
    <cellStyle name="40% - Énfasis1 33 2 3" xfId="29427" xr:uid="{F65C704A-A138-47BA-BFFF-13A653B56C73}"/>
    <cellStyle name="40% - Énfasis1 33 2 4" xfId="35309" xr:uid="{F431ED57-8FDC-4947-9754-CC37DE3D5AF1}"/>
    <cellStyle name="40% - Énfasis1 33 2 5" xfId="41168" xr:uid="{D1D0F496-F99B-4579-99E8-3C5BF4518E5E}"/>
    <cellStyle name="40% - Énfasis1 33 3" xfId="20772" xr:uid="{33DC4AB9-8E15-4425-B4FA-E6E154D81BFA}"/>
    <cellStyle name="40% - Énfasis1 33 4" xfId="26581" xr:uid="{50CF19A3-3B22-4884-905D-14AD6B6A366D}"/>
    <cellStyle name="40% - Énfasis1 33 5" xfId="32456" xr:uid="{144287F0-AC50-481C-88FB-4E9FFF8CF7B1}"/>
    <cellStyle name="40% - Énfasis1 33 6" xfId="38320" xr:uid="{ABC6F1D2-A460-4040-957B-C38B58080F03}"/>
    <cellStyle name="40% - Énfasis1 34" xfId="6351" xr:uid="{391EE4D5-3845-4374-B459-44D517433FB1}"/>
    <cellStyle name="40% - Énfasis1 34 2" xfId="9216" xr:uid="{63B29755-0573-43A5-AB23-B0CD7FBA5284}"/>
    <cellStyle name="40% - Énfasis1 34 2 2" xfId="23579" xr:uid="{8D954685-5D8C-4CFD-AC33-298967E39B4C}"/>
    <cellStyle name="40% - Énfasis1 34 2 3" xfId="29447" xr:uid="{0CFD269E-F7F0-4592-A919-63DD22C5FE11}"/>
    <cellStyle name="40% - Énfasis1 34 2 4" xfId="35329" xr:uid="{2C701E1B-A243-4780-87CC-578E3E08D192}"/>
    <cellStyle name="40% - Énfasis1 34 2 5" xfId="41188" xr:uid="{1744A2D2-8BE8-4127-8D47-34886789C4DA}"/>
    <cellStyle name="40% - Énfasis1 34 3" xfId="20792" xr:uid="{14EF735C-9850-499C-8DBE-E1D74345F625}"/>
    <cellStyle name="40% - Énfasis1 34 4" xfId="26601" xr:uid="{19DBF960-A077-4EE3-8BD0-27E2D67A0FDC}"/>
    <cellStyle name="40% - Énfasis1 34 5" xfId="32476" xr:uid="{C487CA12-CE22-4DFB-A9A2-4BDFCBF3A229}"/>
    <cellStyle name="40% - Énfasis1 34 6" xfId="38340" xr:uid="{51E35E69-B912-46C8-9FF5-1A8724F0F01C}"/>
    <cellStyle name="40% - Énfasis1 35" xfId="6371" xr:uid="{047102EE-CA01-42E0-905E-2958D4DEE8B8}"/>
    <cellStyle name="40% - Énfasis1 35 2" xfId="9236" xr:uid="{172D18CB-FB1C-42F5-9ACF-D1D1FEEE934D}"/>
    <cellStyle name="40% - Énfasis1 35 2 2" xfId="23599" xr:uid="{F4BE661D-981A-49E0-9C75-A1199D0A53E1}"/>
    <cellStyle name="40% - Énfasis1 35 2 3" xfId="29467" xr:uid="{E3357A3E-46E7-4DEF-AED4-A2CF07D1911B}"/>
    <cellStyle name="40% - Énfasis1 35 2 4" xfId="35349" xr:uid="{AEFE3426-7E68-4839-8D8B-C9CB2E9AB974}"/>
    <cellStyle name="40% - Énfasis1 35 2 5" xfId="41208" xr:uid="{615A6748-808B-47EA-955D-B0070C28E6E0}"/>
    <cellStyle name="40% - Énfasis1 35 3" xfId="20812" xr:uid="{CDB0BFDE-0D8B-4F9D-AD37-5AFEE12B2DEB}"/>
    <cellStyle name="40% - Énfasis1 35 4" xfId="26621" xr:uid="{BA2A4395-5E6A-4AB2-911A-1F7C16D8195E}"/>
    <cellStyle name="40% - Énfasis1 35 5" xfId="32496" xr:uid="{97B97E9D-0A87-4B53-BBE6-E61CB34058BB}"/>
    <cellStyle name="40% - Énfasis1 35 6" xfId="38360" xr:uid="{7E53512A-951D-43DA-A833-00415A797BDB}"/>
    <cellStyle name="40% - Énfasis1 36" xfId="6392" xr:uid="{FC497130-5A2A-4B90-A3AC-13D10B124919}"/>
    <cellStyle name="40% - Énfasis1 36 2" xfId="9257" xr:uid="{754EFECA-A364-476E-A75E-CCE7E91589E6}"/>
    <cellStyle name="40% - Énfasis1 36 2 2" xfId="23620" xr:uid="{E799AE17-3283-4792-AD26-4EA50115BDFA}"/>
    <cellStyle name="40% - Énfasis1 36 2 3" xfId="29488" xr:uid="{B8E13BB1-F345-4551-BD7D-FCF1F8E54F82}"/>
    <cellStyle name="40% - Énfasis1 36 2 4" xfId="35370" xr:uid="{75493930-FC7E-49EE-810A-ECF426E83729}"/>
    <cellStyle name="40% - Énfasis1 36 2 5" xfId="41229" xr:uid="{FC2EBBD2-0EA1-4647-9D80-D45913937992}"/>
    <cellStyle name="40% - Énfasis1 36 3" xfId="20833" xr:uid="{9835AA26-48DB-40CC-A982-9F6C0B72E2A8}"/>
    <cellStyle name="40% - Énfasis1 36 4" xfId="26642" xr:uid="{35F2B1E7-70FF-46E3-8594-6065B3D4C7AA}"/>
    <cellStyle name="40% - Énfasis1 36 5" xfId="32517" xr:uid="{76CDFC88-7ADE-48F1-9CA3-C17397D05210}"/>
    <cellStyle name="40% - Énfasis1 36 6" xfId="38381" xr:uid="{983E62D6-4803-4FE2-B81F-845D0BAEB1B8}"/>
    <cellStyle name="40% - Énfasis1 37" xfId="6421" xr:uid="{3B290A6A-FB86-4D55-9F3A-D4A764289C22}"/>
    <cellStyle name="40% - Énfasis1 37 2" xfId="9283" xr:uid="{30264971-E315-4AD4-9B85-C940FE53FCB9}"/>
    <cellStyle name="40% - Énfasis1 37 2 2" xfId="23646" xr:uid="{B215FE09-13B1-4339-86E7-0AA092377BA4}"/>
    <cellStyle name="40% - Énfasis1 37 2 3" xfId="29514" xr:uid="{D95C7090-28E9-47A3-8667-04BB87A05B1E}"/>
    <cellStyle name="40% - Énfasis1 37 2 4" xfId="35396" xr:uid="{B6DB7C74-7E1E-4555-9CF2-A1102009F15B}"/>
    <cellStyle name="40% - Énfasis1 37 2 5" xfId="41255" xr:uid="{BE691D9B-2E96-4EEE-8F7B-0E310DF97BD7}"/>
    <cellStyle name="40% - Énfasis1 37 3" xfId="20862" xr:uid="{7690F17D-D1AF-4502-BE0B-7D0FF3695D4E}"/>
    <cellStyle name="40% - Énfasis1 37 4" xfId="26671" xr:uid="{90619FAD-9BBC-4646-8DD4-918CB458B4C9}"/>
    <cellStyle name="40% - Énfasis1 37 5" xfId="32546" xr:uid="{4F0C985E-1190-4584-90EF-35F4780E7458}"/>
    <cellStyle name="40% - Énfasis1 37 6" xfId="38410" xr:uid="{74036F3D-318F-4B3A-B9BA-6173FE2E5738}"/>
    <cellStyle name="40% - Énfasis1 38" xfId="6455" xr:uid="{091370D9-C6D0-4384-87B5-99332A564DF4}"/>
    <cellStyle name="40% - Énfasis1 38 2" xfId="9315" xr:uid="{2C0A5314-F129-4CE8-8C61-346CFE09E321}"/>
    <cellStyle name="40% - Énfasis1 38 2 2" xfId="23678" xr:uid="{BDD8F7A6-82E9-4E67-AEC1-ECE9659139AE}"/>
    <cellStyle name="40% - Énfasis1 38 2 3" xfId="29546" xr:uid="{E0005C21-2E24-4656-93F5-E6B98918E679}"/>
    <cellStyle name="40% - Énfasis1 38 2 4" xfId="35428" xr:uid="{711C9A1A-C3FF-455D-865A-5FC71542BB7F}"/>
    <cellStyle name="40% - Énfasis1 38 2 5" xfId="41287" xr:uid="{56DBE727-3A5D-4983-B788-607E6311AF16}"/>
    <cellStyle name="40% - Énfasis1 38 3" xfId="20893" xr:uid="{253EBDBA-2F6F-4551-ABB7-47B7EE4EC9BC}"/>
    <cellStyle name="40% - Énfasis1 38 4" xfId="26704" xr:uid="{B132A395-41CF-4F5E-B423-38611345BE1F}"/>
    <cellStyle name="40% - Énfasis1 38 5" xfId="32579" xr:uid="{B3094858-9C6A-4533-B338-7B4B86C96A70}"/>
    <cellStyle name="40% - Énfasis1 38 6" xfId="38443" xr:uid="{3BF8A076-8D99-4562-9219-29FBA90B002A}"/>
    <cellStyle name="40% - Énfasis1 39" xfId="6475" xr:uid="{88019FC8-B4C0-4613-9298-659145029061}"/>
    <cellStyle name="40% - Énfasis1 39 2" xfId="9335" xr:uid="{9FDB22C4-4344-4904-8F69-CC5F353168D6}"/>
    <cellStyle name="40% - Énfasis1 39 2 2" xfId="23698" xr:uid="{E7ACBD28-09B7-4875-ACEE-0028031AF343}"/>
    <cellStyle name="40% - Énfasis1 39 2 3" xfId="29566" xr:uid="{3824415A-CBE9-4931-A9A3-0979B5F14E15}"/>
    <cellStyle name="40% - Énfasis1 39 2 4" xfId="35448" xr:uid="{8F0F04B2-8BCE-4780-BA08-7FDA8900FA43}"/>
    <cellStyle name="40% - Énfasis1 39 2 5" xfId="41307" xr:uid="{B121E286-6898-42C0-AF61-F5047876F14D}"/>
    <cellStyle name="40% - Énfasis1 39 3" xfId="20913" xr:uid="{55E46DCD-D808-4AFC-9E2B-270AFDE37D83}"/>
    <cellStyle name="40% - Énfasis1 39 4" xfId="26724" xr:uid="{33EBDAE1-61A4-4C2B-A92B-7C5E32CB7924}"/>
    <cellStyle name="40% - Énfasis1 39 5" xfId="32599" xr:uid="{CD41412C-DBF3-4796-AF80-6F63FA587DCD}"/>
    <cellStyle name="40% - Énfasis1 39 6" xfId="38463" xr:uid="{43949C3A-7A41-43B2-87FC-05CADC8EB4C9}"/>
    <cellStyle name="40% - Énfasis1 4" xfId="3885" xr:uid="{23ED7622-F52E-4941-B05B-F1F098B5FEBC}"/>
    <cellStyle name="40% - Énfasis1 4 10" xfId="35877" xr:uid="{2D4599D8-9B8C-4DD9-8B95-5BBF7842988B}"/>
    <cellStyle name="40% - Énfasis1 4 2" xfId="4082" xr:uid="{5094D302-44C0-497D-AF12-06B85B1A4EC2}"/>
    <cellStyle name="40% - Énfasis1 4 2 2" xfId="4560" xr:uid="{2842BCDE-239C-44E7-BBED-B763980CDA5B}"/>
    <cellStyle name="40% - Énfasis1 4 2 2 2" xfId="5528" xr:uid="{12DE34CC-6EE9-4DCE-8542-C95B3AA1375D}"/>
    <cellStyle name="40% - Énfasis1 4 2 2 2 2" xfId="8395" xr:uid="{78CC11EF-4BD2-40BD-A455-CF4ABE637AAA}"/>
    <cellStyle name="40% - Énfasis1 4 2 2 2 2 2" xfId="22770" xr:uid="{96F34E28-FD7E-4C92-AC46-7D734CBA2A46}"/>
    <cellStyle name="40% - Énfasis1 4 2 2 2 2 3" xfId="28628" xr:uid="{F3B4AC81-99CF-441F-A02A-220C8210C2E6}"/>
    <cellStyle name="40% - Énfasis1 4 2 2 2 2 4" xfId="34510" xr:uid="{81D28770-E141-4647-9ADA-F8158304C608}"/>
    <cellStyle name="40% - Énfasis1 4 2 2 2 2 5" xfId="40374" xr:uid="{8254D1BF-7AB8-4148-A9B1-D26D51F72FE3}"/>
    <cellStyle name="40% - Énfasis1 4 2 2 2 3" xfId="19988" xr:uid="{466FF189-1D45-4DB1-BC5E-EBEED924AFDB}"/>
    <cellStyle name="40% - Énfasis1 4 2 2 2 4" xfId="25779" xr:uid="{AA4B20E7-2EB0-4823-9002-7DA1E58C0113}"/>
    <cellStyle name="40% - Énfasis1 4 2 2 2 5" xfId="31653" xr:uid="{B4D24BD7-C6CE-45DE-A40B-C1ACADAF48D3}"/>
    <cellStyle name="40% - Énfasis1 4 2 2 2 6" xfId="37523" xr:uid="{F202FF31-663C-40A0-9FBF-BA765FE66DB4}"/>
    <cellStyle name="40% - Énfasis1 4 2 2 3" xfId="7423" xr:uid="{DE43767A-BA73-455D-8FA9-25DECC50DB65}"/>
    <cellStyle name="40% - Énfasis1 4 2 2 3 2" xfId="21825" xr:uid="{52945A09-6FD4-46C8-A553-D897C881BBCA}"/>
    <cellStyle name="40% - Énfasis1 4 2 2 3 3" xfId="27657" xr:uid="{A7BCA23F-7D00-46EB-8CDD-770E85FED549}"/>
    <cellStyle name="40% - Énfasis1 4 2 2 3 4" xfId="33539" xr:uid="{7C172B86-C129-48B7-846A-42295F3ACE4D}"/>
    <cellStyle name="40% - Énfasis1 4 2 2 3 5" xfId="39403" xr:uid="{1198EA02-9DD4-4F44-906E-38C56441A705}"/>
    <cellStyle name="40% - Énfasis1 4 2 2 4" xfId="19056" xr:uid="{D2BF93BB-C78D-4C5E-8D88-5B6E1EC82B4B}"/>
    <cellStyle name="40% - Énfasis1 4 2 2 5" xfId="24808" xr:uid="{92754F98-5FB1-44C7-B259-B0FE02BB6FA8}"/>
    <cellStyle name="40% - Énfasis1 4 2 2 6" xfId="30685" xr:uid="{FE18FDFD-0C2E-4D14-BFFA-2F255BFCB6F7}"/>
    <cellStyle name="40% - Énfasis1 4 2 2 7" xfId="36566" xr:uid="{5C5A0A22-5CE9-4773-AA3D-656EE0629839}"/>
    <cellStyle name="40% - Énfasis1 4 2 3" xfId="5043" xr:uid="{94850045-5DCC-4200-968B-8C0B1822E9DE}"/>
    <cellStyle name="40% - Énfasis1 4 2 3 2" xfId="7910" xr:uid="{363806BF-EE53-4715-8A32-A32ABDB224A7}"/>
    <cellStyle name="40% - Énfasis1 4 2 3 2 2" xfId="22295" xr:uid="{1187E784-FC3C-4956-B7D7-BDF3F1DA2BC4}"/>
    <cellStyle name="40% - Énfasis1 4 2 3 2 3" xfId="28143" xr:uid="{B3C00596-FEDE-41D8-9846-6AB597BC4B55}"/>
    <cellStyle name="40% - Énfasis1 4 2 3 2 4" xfId="34025" xr:uid="{B09F0BEF-30BC-4626-83ED-4284D9CA4046}"/>
    <cellStyle name="40% - Énfasis1 4 2 3 2 5" xfId="39889" xr:uid="{6AB718B6-6121-4B5C-8326-DC83DE991E80}"/>
    <cellStyle name="40% - Énfasis1 4 2 3 3" xfId="19520" xr:uid="{ACAFBE5F-9FC1-4AA6-8228-9B04C2980E13}"/>
    <cellStyle name="40% - Énfasis1 4 2 3 4" xfId="25294" xr:uid="{55A90B00-2D37-40C5-84DB-86A23ECF0E14}"/>
    <cellStyle name="40% - Énfasis1 4 2 3 5" xfId="31168" xr:uid="{B419E93D-78DD-4F50-B723-EFD68163E081}"/>
    <cellStyle name="40% - Énfasis1 4 2 3 6" xfId="37046" xr:uid="{DA8546F7-0B99-4991-890C-BED489BDE651}"/>
    <cellStyle name="40% - Énfasis1 4 2 4" xfId="6938" xr:uid="{F9E12FFC-8F29-456A-B301-42C5586A3DFE}"/>
    <cellStyle name="40% - Énfasis1 4 2 4 2" xfId="21358" xr:uid="{9CE40F1D-B074-4490-A0E0-FB82AD59F769}"/>
    <cellStyle name="40% - Énfasis1 4 2 4 3" xfId="27176" xr:uid="{A7E7391A-4A5D-4E4C-ADBF-DD6904C03345}"/>
    <cellStyle name="40% - Énfasis1 4 2 4 4" xfId="33054" xr:uid="{12028E35-8B6C-49F6-9AB1-FD37D238C246}"/>
    <cellStyle name="40% - Énfasis1 4 2 4 5" xfId="38918" xr:uid="{26E72165-C485-4310-AFAA-D482133E77DC}"/>
    <cellStyle name="40% - Énfasis1 4 2 5" xfId="18612" xr:uid="{E7A0E3C0-C189-49E0-8465-B10AFC8602FD}"/>
    <cellStyle name="40% - Énfasis1 4 2 6" xfId="24325" xr:uid="{2C3C9F14-D932-476F-846E-511682AE3721}"/>
    <cellStyle name="40% - Énfasis1 4 2 7" xfId="30203" xr:uid="{5B36987E-4291-4427-8541-573F2968E08E}"/>
    <cellStyle name="40% - Énfasis1 4 2 8" xfId="36082" xr:uid="{F889CB8C-7279-4B80-8DFA-E84595B500C9}"/>
    <cellStyle name="40% - Énfasis1 4 3" xfId="4366" xr:uid="{1938EE87-1398-4798-AFFC-8AD62C93CFA6}"/>
    <cellStyle name="40% - Énfasis1 4 3 2" xfId="5332" xr:uid="{24B0A8B9-0D65-4214-B1F9-EA83FCC47F63}"/>
    <cellStyle name="40% - Énfasis1 4 3 2 2" xfId="8199" xr:uid="{03B9385F-A329-4DAD-82AE-64A26D6F67B3}"/>
    <cellStyle name="40% - Énfasis1 4 3 2 2 2" xfId="22575" xr:uid="{CC313745-78FD-48C4-88F6-EA4CBE517F4C}"/>
    <cellStyle name="40% - Énfasis1 4 3 2 2 3" xfId="28432" xr:uid="{9FB10AC9-EB92-4890-B614-557FDF939328}"/>
    <cellStyle name="40% - Énfasis1 4 3 2 2 4" xfId="34314" xr:uid="{973FE1F3-22CE-4AE3-ACBB-C52499459F16}"/>
    <cellStyle name="40% - Énfasis1 4 3 2 2 5" xfId="40178" xr:uid="{BE29BEAB-9356-4FD5-9F66-7D27F3752FE1}"/>
    <cellStyle name="40% - Énfasis1 4 3 2 3" xfId="19799" xr:uid="{BB0DA7CC-5933-4B7B-8C27-742F14E0643B}"/>
    <cellStyle name="40% - Énfasis1 4 3 2 4" xfId="25583" xr:uid="{E5902B5A-F5A4-412A-9D6D-0BA5D2F58933}"/>
    <cellStyle name="40% - Énfasis1 4 3 2 5" xfId="31457" xr:uid="{5ED153EC-EDB3-4952-95BD-F5099816201C}"/>
    <cellStyle name="40% - Énfasis1 4 3 2 6" xfId="37328" xr:uid="{FBD815A1-C387-46F6-8061-3BEA508A9BE6}"/>
    <cellStyle name="40% - Énfasis1 4 3 3" xfId="7227" xr:uid="{2E543C24-ED84-44F6-980E-CAF69EF0E11B}"/>
    <cellStyle name="40% - Énfasis1 4 3 3 2" xfId="21634" xr:uid="{FC10C2B4-00EF-4514-AF11-309541CA986A}"/>
    <cellStyle name="40% - Énfasis1 4 3 3 3" xfId="27461" xr:uid="{E200DB7C-634D-4EED-AE46-BB4E97A556C5}"/>
    <cellStyle name="40% - Énfasis1 4 3 3 4" xfId="33343" xr:uid="{BAA1F17E-BD83-43EF-8BF1-75A56A1DA7A9}"/>
    <cellStyle name="40% - Énfasis1 4 3 3 5" xfId="39207" xr:uid="{3BDE91C3-F93C-466A-9953-96E7333CEC79}"/>
    <cellStyle name="40% - Énfasis1 4 3 4" xfId="18869" xr:uid="{4AC24FEE-0D22-46D3-9049-46E6E5F4EEF2}"/>
    <cellStyle name="40% - Énfasis1 4 3 5" xfId="24612" xr:uid="{CA8402E5-F97A-4D98-A276-7E846CB32752}"/>
    <cellStyle name="40% - Énfasis1 4 3 6" xfId="30491" xr:uid="{D6DD7010-A1C6-4A3A-B89E-F8DE97FF1250}"/>
    <cellStyle name="40% - Énfasis1 4 3 7" xfId="36371" xr:uid="{7AAEC006-9406-4E9A-8312-1A58AB9DFD46}"/>
    <cellStyle name="40% - Énfasis1 4 4" xfId="4848" xr:uid="{FE5BAB58-540E-4279-B53F-174986CCEA70}"/>
    <cellStyle name="40% - Énfasis1 4 4 2" xfId="7714" xr:uid="{C5ED4CC1-74A3-4FE8-9266-EC06736133C4}"/>
    <cellStyle name="40% - Énfasis1 4 4 2 2" xfId="22104" xr:uid="{3B26794D-E5E0-43DF-A43C-4CFAC403C635}"/>
    <cellStyle name="40% - Énfasis1 4 4 2 3" xfId="27947" xr:uid="{7AC755D9-33DC-4E6C-9369-CDBE82B5EF0B}"/>
    <cellStyle name="40% - Énfasis1 4 4 2 4" xfId="33829" xr:uid="{608EC90F-BDBD-4FC5-AE29-BCD26007FA12}"/>
    <cellStyle name="40% - Énfasis1 4 4 2 5" xfId="39693" xr:uid="{BEECD3A4-1C32-434A-8F4A-A4C4E203421E}"/>
    <cellStyle name="40% - Énfasis1 4 4 3" xfId="19330" xr:uid="{F69DA436-A4C4-4DC0-9C03-8FAA27B7FC6A}"/>
    <cellStyle name="40% - Énfasis1 4 4 4" xfId="25098" xr:uid="{C7101A65-E16A-4DA2-88D8-3DC15AE4C2C0}"/>
    <cellStyle name="40% - Énfasis1 4 4 5" xfId="30972" xr:uid="{9A582C9D-EB67-4108-842F-2569A49BBF05}"/>
    <cellStyle name="40% - Énfasis1 4 4 6" xfId="36851" xr:uid="{097EE6D3-DBDB-4073-BB8B-EA5891B7065F}"/>
    <cellStyle name="40% - Énfasis1 4 5" xfId="5857" xr:uid="{A47BAD49-3473-46DA-B5E4-29A7311A8E4D}"/>
    <cellStyle name="40% - Énfasis1 4 5 2" xfId="8726" xr:uid="{05BE0E32-1DDC-4A59-9E4A-E873E1FD038E}"/>
    <cellStyle name="40% - Énfasis1 4 5 2 2" xfId="23094" xr:uid="{350D4901-C401-4746-B286-B3760AE3B66E}"/>
    <cellStyle name="40% - Énfasis1 4 5 2 3" xfId="28958" xr:uid="{B9AA41A5-DE48-4B9F-9685-FA616E30719F}"/>
    <cellStyle name="40% - Énfasis1 4 5 2 4" xfId="34840" xr:uid="{053F18F6-005C-4476-988C-452BA715C79A}"/>
    <cellStyle name="40% - Énfasis1 4 5 2 5" xfId="40704" xr:uid="{1E25CAFB-CDD4-4C2F-B511-2B9ACDEDA9D1}"/>
    <cellStyle name="40% - Énfasis1 4 5 3" xfId="20309" xr:uid="{06F44FFE-EECE-42DE-B163-E09D83963C59}"/>
    <cellStyle name="40% - Énfasis1 4 5 4" xfId="26108" xr:uid="{072DD89F-FBA6-4FFB-8C73-11B39543600B}"/>
    <cellStyle name="40% - Énfasis1 4 5 5" xfId="31983" xr:uid="{9B54D380-7EAF-4D15-8131-C2983C638C66}"/>
    <cellStyle name="40% - Énfasis1 4 5 6" xfId="37849" xr:uid="{AAEB92BA-19EC-443A-873C-4448CA6CF90B}"/>
    <cellStyle name="40% - Énfasis1 4 6" xfId="6743" xr:uid="{FE29F212-F4A7-4B14-B40D-1C96E650ADCC}"/>
    <cellStyle name="40% - Énfasis1 4 6 2" xfId="21167" xr:uid="{A7C55093-079D-4974-8086-E55229451155}"/>
    <cellStyle name="40% - Énfasis1 4 6 3" xfId="26982" xr:uid="{B7044C21-89DD-4F49-AB62-57287A071D52}"/>
    <cellStyle name="40% - Énfasis1 4 6 4" xfId="32858" xr:uid="{CE9CFDE2-1016-4F7B-A211-191D6B006A43}"/>
    <cellStyle name="40% - Énfasis1 4 6 5" xfId="38722" xr:uid="{25185346-DAA5-4BE8-A5E1-FEF7931A3FD1}"/>
    <cellStyle name="40% - Énfasis1 4 7" xfId="18409" xr:uid="{9720601D-0B3F-4A8E-94DE-87E03E7D36CB}"/>
    <cellStyle name="40% - Énfasis1 4 8" xfId="24118" xr:uid="{6295E2D0-16DA-4A9E-A716-5A6702FB3929}"/>
    <cellStyle name="40% - Énfasis1 4 9" xfId="29996" xr:uid="{C73E2756-6233-47EC-A0D4-EC6D768CE565}"/>
    <cellStyle name="40% - Énfasis1 40" xfId="6495" xr:uid="{26F8A7CA-08B3-4F86-A2E5-727B99597685}"/>
    <cellStyle name="40% - Énfasis1 40 2" xfId="9355" xr:uid="{C14967A8-158C-4AE4-9342-80806A55A261}"/>
    <cellStyle name="40% - Énfasis1 40 2 2" xfId="23718" xr:uid="{97251B41-69A8-4251-9FAE-20DC6AD5BBE9}"/>
    <cellStyle name="40% - Énfasis1 40 2 3" xfId="29586" xr:uid="{5F279004-CE7D-4337-B5F5-73FFCF34DBA6}"/>
    <cellStyle name="40% - Énfasis1 40 2 4" xfId="35468" xr:uid="{EC3C3644-F0E2-4277-9E76-7CD30C4F132E}"/>
    <cellStyle name="40% - Énfasis1 40 2 5" xfId="41327" xr:uid="{5417C43C-6BAF-42D8-B603-4FB2108D521A}"/>
    <cellStyle name="40% - Énfasis1 40 3" xfId="20933" xr:uid="{64CEEE7E-221E-46ED-B1D4-590BE69F5C23}"/>
    <cellStyle name="40% - Énfasis1 40 4" xfId="26744" xr:uid="{5DD123B1-3197-415C-AA06-0A458C54ED3F}"/>
    <cellStyle name="40% - Énfasis1 40 5" xfId="32619" xr:uid="{B418FF46-271D-40DF-AAC2-F34A8008921A}"/>
    <cellStyle name="40% - Énfasis1 40 6" xfId="38483" xr:uid="{117B604F-F44B-42A0-AE27-F1FD3E1F32A8}"/>
    <cellStyle name="40% - Énfasis1 41" xfId="6515" xr:uid="{B1417130-5C56-4797-84A3-76D76BE80D2A}"/>
    <cellStyle name="40% - Énfasis1 41 2" xfId="9375" xr:uid="{2C020DBF-00F0-47F3-A798-7E6BA721CD00}"/>
    <cellStyle name="40% - Énfasis1 41 2 2" xfId="23738" xr:uid="{524BD940-37DB-4770-B450-5C68F66CD562}"/>
    <cellStyle name="40% - Énfasis1 41 2 3" xfId="29606" xr:uid="{BF32881D-E91B-48CC-8545-0B8B464ADDC8}"/>
    <cellStyle name="40% - Énfasis1 41 2 4" xfId="35488" xr:uid="{4433AC8F-CE5E-48A5-AA6F-2D2C0D31C65A}"/>
    <cellStyle name="40% - Énfasis1 41 2 5" xfId="41347" xr:uid="{606EE531-524A-4784-BF31-86A601EB390E}"/>
    <cellStyle name="40% - Énfasis1 41 3" xfId="20953" xr:uid="{FDD5F747-0AA1-441E-A339-C5405B58F432}"/>
    <cellStyle name="40% - Énfasis1 41 4" xfId="26764" xr:uid="{68C040A0-B798-4CC9-A5CD-5F80263A0886}"/>
    <cellStyle name="40% - Énfasis1 41 5" xfId="32639" xr:uid="{6524E280-F707-4045-8FA0-7D1B808970E9}"/>
    <cellStyle name="40% - Énfasis1 41 6" xfId="38503" xr:uid="{E8F305B4-AD72-4BED-99AA-D6BE546186D2}"/>
    <cellStyle name="40% - Énfasis1 42" xfId="6535" xr:uid="{F8D909C3-69E8-4B2C-9424-CDB7F5A14FEA}"/>
    <cellStyle name="40% - Énfasis1 42 2" xfId="9395" xr:uid="{EBD42D77-D872-4C28-896E-E9CA622C6888}"/>
    <cellStyle name="40% - Énfasis1 42 2 2" xfId="23758" xr:uid="{E55AC77A-58A8-497E-B8BE-7DC41F9D533E}"/>
    <cellStyle name="40% - Énfasis1 42 2 3" xfId="29626" xr:uid="{825B3367-199A-4D2A-9F40-C6D5A1420EE7}"/>
    <cellStyle name="40% - Énfasis1 42 2 4" xfId="35508" xr:uid="{75496F5B-885C-4A84-83DB-7FA134C8D78D}"/>
    <cellStyle name="40% - Énfasis1 42 2 5" xfId="41367" xr:uid="{2CCE3413-00FA-449A-A743-1C6790E4AC91}"/>
    <cellStyle name="40% - Énfasis1 42 3" xfId="20973" xr:uid="{B2780739-D04F-4B7F-A65C-B146745BEF87}"/>
    <cellStyle name="40% - Énfasis1 42 4" xfId="26784" xr:uid="{9ADA8C75-B34B-4E73-B7C7-FE3DE4EBA5B3}"/>
    <cellStyle name="40% - Énfasis1 42 5" xfId="32659" xr:uid="{F5FC93EE-3D70-45EF-8313-9247432C3FF9}"/>
    <cellStyle name="40% - Énfasis1 42 6" xfId="38523" xr:uid="{CC56FBE3-4785-40CE-9A63-F7376BA021D2}"/>
    <cellStyle name="40% - Énfasis1 43" xfId="6556" xr:uid="{572241AA-0F45-40CE-B8EA-DF5301AEDB36}"/>
    <cellStyle name="40% - Énfasis1 43 2" xfId="9417" xr:uid="{C16C4E6A-01B1-405C-876C-00AD156D3033}"/>
    <cellStyle name="40% - Énfasis1 43 2 2" xfId="23780" xr:uid="{58CCD430-A763-4C1A-A80C-2E777F8C24E0}"/>
    <cellStyle name="40% - Énfasis1 43 2 3" xfId="29648" xr:uid="{19799BBF-F26C-44FE-9E38-8D226BE33E60}"/>
    <cellStyle name="40% - Énfasis1 43 2 4" xfId="35530" xr:uid="{F6CC7F82-194F-476B-9CD1-37AD01D0B636}"/>
    <cellStyle name="40% - Énfasis1 43 2 5" xfId="41389" xr:uid="{5A62DBD1-6529-4976-A5B3-4514C38D1A30}"/>
    <cellStyle name="40% - Énfasis1 43 3" xfId="20995" xr:uid="{C998E237-5F0A-49D3-BABB-F99EFFBB1FCE}"/>
    <cellStyle name="40% - Énfasis1 43 4" xfId="26806" xr:uid="{D5EB2737-934D-4AA2-BE6D-A06A00A31F1E}"/>
    <cellStyle name="40% - Énfasis1 43 5" xfId="32681" xr:uid="{6E3FB6DC-6C27-4D7E-B6C1-8CC6227E2BBD}"/>
    <cellStyle name="40% - Énfasis1 43 6" xfId="38545" xr:uid="{431FC56A-A8A4-4D76-89EC-D21614C88D3B}"/>
    <cellStyle name="40% - Énfasis1 44" xfId="6586" xr:uid="{D6851A2F-7340-4FF0-8600-ABFF560A7C54}"/>
    <cellStyle name="40% - Énfasis1 44 2" xfId="9446" xr:uid="{61A8D37C-B0AF-4247-99FA-1180D154074F}"/>
    <cellStyle name="40% - Énfasis1 44 2 2" xfId="23808" xr:uid="{5BDC4C3E-A27E-4805-AA0D-DD75F3F71CB1}"/>
    <cellStyle name="40% - Énfasis1 44 2 3" xfId="29677" xr:uid="{82F7E50F-DA36-437D-9DE7-E682C1E4AE27}"/>
    <cellStyle name="40% - Énfasis1 44 2 4" xfId="35559" xr:uid="{99C907C7-427F-40BA-ABF3-93F11AF0866F}"/>
    <cellStyle name="40% - Énfasis1 44 2 5" xfId="41418" xr:uid="{CCCF24E5-11EC-44D2-818A-AF1791F864B0}"/>
    <cellStyle name="40% - Énfasis1 44 3" xfId="21024" xr:uid="{A66E5F45-E5C7-4F9E-B49D-022C2396450F}"/>
    <cellStyle name="40% - Énfasis1 44 4" xfId="26835" xr:uid="{0E13E33E-E845-40D9-BB99-299372B9FA8D}"/>
    <cellStyle name="40% - Énfasis1 44 5" xfId="32710" xr:uid="{EA4B9B59-F5F0-4AD6-BFAC-DDC555D48D96}"/>
    <cellStyle name="40% - Énfasis1 44 6" xfId="38574" xr:uid="{544E2FF8-6B51-4C08-A0C0-B6517732652A}"/>
    <cellStyle name="40% - Énfasis1 45" xfId="6611" xr:uid="{DE585674-EC18-46E5-9E21-6EF90C828136}"/>
    <cellStyle name="40% - Énfasis1 45 2" xfId="9471" xr:uid="{EC318F08-E967-49C5-9FAC-52EDB2233841}"/>
    <cellStyle name="40% - Énfasis1 45 2 2" xfId="23833" xr:uid="{630C3D0D-7E32-4BC9-B8F1-A9B15FFEC554}"/>
    <cellStyle name="40% - Énfasis1 45 2 3" xfId="29702" xr:uid="{F70B9A5E-7530-4448-8B01-419C33EAC7E1}"/>
    <cellStyle name="40% - Énfasis1 45 2 4" xfId="35584" xr:uid="{209A56AB-5D28-4E78-9388-A446F2186501}"/>
    <cellStyle name="40% - Énfasis1 45 2 5" xfId="41443" xr:uid="{113716BB-B32E-4FDE-AC65-D0DC77EAB6B7}"/>
    <cellStyle name="40% - Énfasis1 45 3" xfId="21048" xr:uid="{D0D154EC-4E07-46A3-8A0E-0D8F743453DD}"/>
    <cellStyle name="40% - Énfasis1 45 4" xfId="26860" xr:uid="{13EA3D05-DE65-4E98-8875-62BD6DADC485}"/>
    <cellStyle name="40% - Énfasis1 45 5" xfId="32735" xr:uid="{F62737FC-B944-49E2-8D35-759C76A364B5}"/>
    <cellStyle name="40% - Énfasis1 45 6" xfId="38599" xr:uid="{E0DBD3C2-415E-4B7E-8F6B-8AE0B0434DBA}"/>
    <cellStyle name="40% - Énfasis1 46" xfId="6633" xr:uid="{034C01D2-D715-442E-BF3F-C2204488E6D4}"/>
    <cellStyle name="40% - Énfasis1 46 2" xfId="21070" xr:uid="{7C5ABA67-2FDD-4680-97ED-AFFE780D7ACE}"/>
    <cellStyle name="40% - Énfasis1 46 3" xfId="26882" xr:uid="{C568FC34-750A-4F14-A776-B463012613B9}"/>
    <cellStyle name="40% - Énfasis1 46 4" xfId="32757" xr:uid="{53456106-FFBA-45B8-B5F9-1B419482A04A}"/>
    <cellStyle name="40% - Énfasis1 46 5" xfId="38621" xr:uid="{927355B6-6775-40F4-8709-3E6EF061D74E}"/>
    <cellStyle name="40% - Énfasis1 47" xfId="6663" xr:uid="{37C121C3-6EEC-42C6-A6A7-B17CC88ED236}"/>
    <cellStyle name="40% - Énfasis1 47 2" xfId="21092" xr:uid="{F0EDC0D2-F1C2-4ECA-B2A1-4D7612D704C9}"/>
    <cellStyle name="40% - Énfasis1 47 3" xfId="26904" xr:uid="{859BBC23-861E-4B76-AC2F-3433F07F1ED4}"/>
    <cellStyle name="40% - Énfasis1 47 4" xfId="32779" xr:uid="{7520AA05-62D9-479D-AEE3-59EBF65DAD16}"/>
    <cellStyle name="40% - Énfasis1 47 5" xfId="38643" xr:uid="{D1085564-B4F2-4DA2-AA44-183BA4A6A6FB}"/>
    <cellStyle name="40% - Énfasis1 48" xfId="9494" xr:uid="{EA7BE763-DCA5-4E43-9EC1-43897D0A7575}"/>
    <cellStyle name="40% - Énfasis1 48 2" xfId="23856" xr:uid="{ACC307E7-10CE-4013-A6E7-F35DB29512BA}"/>
    <cellStyle name="40% - Énfasis1 48 3" xfId="29725" xr:uid="{40DA165F-90BF-4E8B-8177-37A3DD098586}"/>
    <cellStyle name="40% - Énfasis1 48 4" xfId="35607" xr:uid="{0A01FED7-A38F-48CA-A785-A2784A64FEEC}"/>
    <cellStyle name="40% - Énfasis1 48 5" xfId="41466" xr:uid="{CA42D196-50A5-4A27-855A-FCBE5ADC8FEC}"/>
    <cellStyle name="40% - Énfasis1 49" xfId="9512" xr:uid="{41B7810F-9410-4EE4-BCC2-16C31B8D7ED5}"/>
    <cellStyle name="40% - Énfasis1 49 2" xfId="23873" xr:uid="{D3973E9E-1A35-4604-A77E-8C59DB9AF0EA}"/>
    <cellStyle name="40% - Énfasis1 49 3" xfId="29743" xr:uid="{E9FF2CB4-D78E-4031-878C-35D2B5391ECC}"/>
    <cellStyle name="40% - Énfasis1 49 4" xfId="35625" xr:uid="{7158A7F3-48C2-4E58-8871-17DD15947C33}"/>
    <cellStyle name="40% - Énfasis1 49 5" xfId="41484" xr:uid="{D90DF5B7-3702-4741-ABCC-9171A5224EB4}"/>
    <cellStyle name="40% - Énfasis1 5" xfId="3911" xr:uid="{E9797DF9-3A58-44A5-96EE-73CC111DB1B8}"/>
    <cellStyle name="40% - Énfasis1 5 10" xfId="35903" xr:uid="{07187D8B-15CD-4B07-802C-7EA935D48CE1}"/>
    <cellStyle name="40% - Énfasis1 5 2" xfId="4105" xr:uid="{F29BE32F-6E09-4ECE-84F4-39DA217E50E5}"/>
    <cellStyle name="40% - Énfasis1 5 2 2" xfId="4583" xr:uid="{B8E4FDCF-D716-41A9-9C5E-2EECED897B80}"/>
    <cellStyle name="40% - Énfasis1 5 2 2 2" xfId="5551" xr:uid="{397FBD7D-B5A5-4904-B8E4-07BFFD45534C}"/>
    <cellStyle name="40% - Énfasis1 5 2 2 2 2" xfId="8418" xr:uid="{D0CB7CE1-130E-42E8-9545-2E367131F0BC}"/>
    <cellStyle name="40% - Énfasis1 5 2 2 2 2 2" xfId="22793" xr:uid="{FE63A733-2C17-4494-AF67-EED23E7FA7AF}"/>
    <cellStyle name="40% - Énfasis1 5 2 2 2 2 3" xfId="28651" xr:uid="{4241CB5E-F9E4-4261-B563-CC71ACDE5302}"/>
    <cellStyle name="40% - Énfasis1 5 2 2 2 2 4" xfId="34533" xr:uid="{3D77D50A-A123-4680-B165-2E8CCCEB2B01}"/>
    <cellStyle name="40% - Énfasis1 5 2 2 2 2 5" xfId="40397" xr:uid="{9204227F-4FFB-4CE8-ADF5-3E63FDCD1495}"/>
    <cellStyle name="40% - Énfasis1 5 2 2 2 3" xfId="20011" xr:uid="{D04AA9A1-C39B-4D0C-94F3-70D6BE853676}"/>
    <cellStyle name="40% - Énfasis1 5 2 2 2 4" xfId="25802" xr:uid="{B0E271B9-A711-438E-938A-02D617A77DF2}"/>
    <cellStyle name="40% - Énfasis1 5 2 2 2 5" xfId="31676" xr:uid="{40937EF8-A068-4095-9C87-108D31125D71}"/>
    <cellStyle name="40% - Énfasis1 5 2 2 2 6" xfId="37546" xr:uid="{7B227B1D-43BE-4505-BA9F-0ACFF8886C19}"/>
    <cellStyle name="40% - Énfasis1 5 2 2 3" xfId="7446" xr:uid="{116B0510-0A5D-475E-8F2D-7FC89CCA59AD}"/>
    <cellStyle name="40% - Énfasis1 5 2 2 3 2" xfId="21848" xr:uid="{A3468E44-4ECF-43C6-84AB-752700986A3D}"/>
    <cellStyle name="40% - Énfasis1 5 2 2 3 3" xfId="27680" xr:uid="{CAD318EF-3A6C-418E-A14A-9F9D27C43D21}"/>
    <cellStyle name="40% - Énfasis1 5 2 2 3 4" xfId="33562" xr:uid="{B93B499C-84EE-4311-A794-438267BCB56F}"/>
    <cellStyle name="40% - Énfasis1 5 2 2 3 5" xfId="39426" xr:uid="{5B8F52E0-0376-4291-B2C7-79D8698614CB}"/>
    <cellStyle name="40% - Énfasis1 5 2 2 4" xfId="19078" xr:uid="{C947E366-1B99-44D1-968B-092357DECFE3}"/>
    <cellStyle name="40% - Énfasis1 5 2 2 5" xfId="24831" xr:uid="{3EC19ADF-EF66-41CB-87F5-C2441DAD51AD}"/>
    <cellStyle name="40% - Énfasis1 5 2 2 6" xfId="30708" xr:uid="{E5B42537-5648-44EC-A6A1-918FB5AB6C66}"/>
    <cellStyle name="40% - Énfasis1 5 2 2 7" xfId="36589" xr:uid="{A04BCB6B-0F12-43DD-B5C6-1E92A2811500}"/>
    <cellStyle name="40% - Énfasis1 5 2 3" xfId="5066" xr:uid="{4D0D00F5-3C8B-4A95-ACE4-98181A0FE781}"/>
    <cellStyle name="40% - Énfasis1 5 2 3 2" xfId="7933" xr:uid="{F02E0B8B-0F9F-45BE-A773-1C5747764757}"/>
    <cellStyle name="40% - Énfasis1 5 2 3 2 2" xfId="22318" xr:uid="{4A28866E-4C37-49D8-A240-33010EB765E3}"/>
    <cellStyle name="40% - Énfasis1 5 2 3 2 3" xfId="28166" xr:uid="{766BAE9B-2D31-495A-9EDF-0EFDFDC35C44}"/>
    <cellStyle name="40% - Énfasis1 5 2 3 2 4" xfId="34048" xr:uid="{89D438DA-50A8-4E68-ABA1-E358D077AF01}"/>
    <cellStyle name="40% - Énfasis1 5 2 3 2 5" xfId="39912" xr:uid="{90800FBE-B97F-478E-9A55-BD8426B880AB}"/>
    <cellStyle name="40% - Énfasis1 5 2 3 3" xfId="19543" xr:uid="{23D7C922-B1B3-4BD3-AB50-592773C0C5C9}"/>
    <cellStyle name="40% - Énfasis1 5 2 3 4" xfId="25317" xr:uid="{C63096CE-88AF-407C-8A86-A60BD199AE9B}"/>
    <cellStyle name="40% - Énfasis1 5 2 3 5" xfId="31191" xr:uid="{B8FD7BDC-AD62-4AA3-B706-7DBE2789D5F2}"/>
    <cellStyle name="40% - Énfasis1 5 2 3 6" xfId="37069" xr:uid="{021B4057-7CCF-484A-83EE-9989ABF2D01A}"/>
    <cellStyle name="40% - Énfasis1 5 2 4" xfId="6961" xr:uid="{28ACF955-8D29-4F93-A628-F39D00D21910}"/>
    <cellStyle name="40% - Énfasis1 5 2 4 2" xfId="21380" xr:uid="{032BB719-DE7C-49E4-8D70-353BC372A612}"/>
    <cellStyle name="40% - Énfasis1 5 2 4 3" xfId="27199" xr:uid="{BCC2D1AE-2EA4-446F-A637-49A92249F250}"/>
    <cellStyle name="40% - Énfasis1 5 2 4 4" xfId="33077" xr:uid="{EE2929E0-60D2-4891-8017-C9AA8181650D}"/>
    <cellStyle name="40% - Énfasis1 5 2 4 5" xfId="38941" xr:uid="{A20B49BD-A8ED-4610-AE73-F2E9B008DA60}"/>
    <cellStyle name="40% - Énfasis1 5 2 5" xfId="18634" xr:uid="{A95A1C7B-7FA7-4605-A96E-64DAC82FD960}"/>
    <cellStyle name="40% - Énfasis1 5 2 6" xfId="24348" xr:uid="{30B4CEF9-8F99-4CF5-A485-EFB708C577F4}"/>
    <cellStyle name="40% - Énfasis1 5 2 7" xfId="30226" xr:uid="{47907934-2165-47D3-8FC2-C86F604BFC13}"/>
    <cellStyle name="40% - Énfasis1 5 2 8" xfId="36105" xr:uid="{2943C146-AA45-43B1-AB8B-AF03B1464A04}"/>
    <cellStyle name="40% - Énfasis1 5 3" xfId="4389" xr:uid="{EDE1977F-63BA-47C5-A8DB-B220DD2B06A7}"/>
    <cellStyle name="40% - Énfasis1 5 3 2" xfId="5355" xr:uid="{CE0ED504-DA69-448E-A7AE-C2F4E44749C1}"/>
    <cellStyle name="40% - Énfasis1 5 3 2 2" xfId="8222" xr:uid="{0A000A22-BB60-4A8C-99E1-7EF6E0837934}"/>
    <cellStyle name="40% - Énfasis1 5 3 2 2 2" xfId="22598" xr:uid="{7ED2414D-78CB-4200-B3F9-6B5A0F4318FE}"/>
    <cellStyle name="40% - Énfasis1 5 3 2 2 3" xfId="28455" xr:uid="{B02ABF95-F41A-4017-9DCA-151A0F244932}"/>
    <cellStyle name="40% - Énfasis1 5 3 2 2 4" xfId="34337" xr:uid="{B833514A-B347-424E-994B-25DFB8CD4519}"/>
    <cellStyle name="40% - Énfasis1 5 3 2 2 5" xfId="40201" xr:uid="{65D29E8A-E816-4567-A8F9-7E1A8F47DCB2}"/>
    <cellStyle name="40% - Énfasis1 5 3 2 3" xfId="19822" xr:uid="{6C984026-EE2D-4FA4-B2E0-F9B694CB4FB2}"/>
    <cellStyle name="40% - Énfasis1 5 3 2 4" xfId="25606" xr:uid="{EBA6DDC9-4D7B-4A8E-AF36-B3C4A2270ABA}"/>
    <cellStyle name="40% - Énfasis1 5 3 2 5" xfId="31480" xr:uid="{9E0BEE52-351C-4C70-9DD7-DF5775212CB6}"/>
    <cellStyle name="40% - Énfasis1 5 3 2 6" xfId="37351" xr:uid="{E8B06ED1-36DC-4D2A-949B-23B20039959D}"/>
    <cellStyle name="40% - Énfasis1 5 3 3" xfId="7250" xr:uid="{F48CE432-545E-4BF5-A3A7-09811CB266C3}"/>
    <cellStyle name="40% - Énfasis1 5 3 3 2" xfId="21657" xr:uid="{3B1E598D-C1B9-4B1E-8B72-0623E501049A}"/>
    <cellStyle name="40% - Énfasis1 5 3 3 3" xfId="27484" xr:uid="{689B3F18-5EC0-4697-89AC-09833311E4FB}"/>
    <cellStyle name="40% - Énfasis1 5 3 3 4" xfId="33366" xr:uid="{70731649-7585-45F5-A78C-21E9F99CB01B}"/>
    <cellStyle name="40% - Énfasis1 5 3 3 5" xfId="39230" xr:uid="{335FF2E9-414E-49C5-A833-75538FFBFFAC}"/>
    <cellStyle name="40% - Énfasis1 5 3 4" xfId="18891" xr:uid="{72DD4C8D-9626-4BEA-AD82-FE214BC7BE38}"/>
    <cellStyle name="40% - Énfasis1 5 3 5" xfId="24635" xr:uid="{93F00B52-D486-4E58-A0BC-8C2A179B93B6}"/>
    <cellStyle name="40% - Énfasis1 5 3 6" xfId="30514" xr:uid="{FA972C8A-72FD-4F3F-A7C0-0E91D5D682C5}"/>
    <cellStyle name="40% - Énfasis1 5 3 7" xfId="36394" xr:uid="{F72EA9DA-1057-4E0F-B231-546F0B016D54}"/>
    <cellStyle name="40% - Énfasis1 5 4" xfId="4870" xr:uid="{2A9C6784-2C6D-4FF2-9C57-030460B9E73A}"/>
    <cellStyle name="40% - Énfasis1 5 4 2" xfId="7737" xr:uid="{C1987A81-8059-4EF7-A0D6-DAB2A32BDD06}"/>
    <cellStyle name="40% - Énfasis1 5 4 2 2" xfId="22127" xr:uid="{AE84B568-8F24-4EC6-974A-EFB56418D105}"/>
    <cellStyle name="40% - Énfasis1 5 4 2 3" xfId="27970" xr:uid="{7912D97E-AD07-4E92-A502-201BFE44B93C}"/>
    <cellStyle name="40% - Énfasis1 5 4 2 4" xfId="33852" xr:uid="{41959A18-B6BE-4BB6-8217-64EBA600D8F0}"/>
    <cellStyle name="40% - Énfasis1 5 4 2 5" xfId="39716" xr:uid="{68CC8D45-6E54-433B-B32F-E45C777CA61C}"/>
    <cellStyle name="40% - Énfasis1 5 4 3" xfId="19353" xr:uid="{CC1BC0D3-32CC-404B-929F-9020DED063CD}"/>
    <cellStyle name="40% - Énfasis1 5 4 4" xfId="25121" xr:uid="{F33CCA2A-5BEC-40F5-9531-6612E458D2F5}"/>
    <cellStyle name="40% - Énfasis1 5 4 5" xfId="30995" xr:uid="{D07FB7B8-145D-4CAC-92AE-E666D548DB8C}"/>
    <cellStyle name="40% - Énfasis1 5 4 6" xfId="36874" xr:uid="{E170DAB2-3373-4E7E-A89A-B29E23287B68}"/>
    <cellStyle name="40% - Énfasis1 5 5" xfId="5880" xr:uid="{51FFE0A2-3FE2-4840-9836-89603B8CF423}"/>
    <cellStyle name="40% - Énfasis1 5 5 2" xfId="8749" xr:uid="{A36D68BF-D3EF-4DDF-9716-C51317AA3944}"/>
    <cellStyle name="40% - Énfasis1 5 5 2 2" xfId="23117" xr:uid="{261FB3E2-7201-4117-AF1E-97DD8968DEF1}"/>
    <cellStyle name="40% - Énfasis1 5 5 2 3" xfId="28981" xr:uid="{42DAA8A2-DA42-4412-9266-E6C8035070BE}"/>
    <cellStyle name="40% - Énfasis1 5 5 2 4" xfId="34863" xr:uid="{CF063B8B-6905-4FB3-A9B0-9763E6DDA807}"/>
    <cellStyle name="40% - Énfasis1 5 5 2 5" xfId="40727" xr:uid="{A89CB342-3899-4AC8-B249-BA55CE22B62B}"/>
    <cellStyle name="40% - Énfasis1 5 5 3" xfId="20331" xr:uid="{0200C8CD-CAD6-4187-8AC2-2240B50A4CE8}"/>
    <cellStyle name="40% - Énfasis1 5 5 4" xfId="26131" xr:uid="{9E9C2B89-71F8-466A-B3D2-EFCCF88FD6BE}"/>
    <cellStyle name="40% - Énfasis1 5 5 5" xfId="32006" xr:uid="{5C0085A6-DD76-4265-AB30-B5EE62D4C9D8}"/>
    <cellStyle name="40% - Énfasis1 5 5 6" xfId="37872" xr:uid="{5882BC7B-880F-4DD5-AF56-E38E27F85F8C}"/>
    <cellStyle name="40% - Énfasis1 5 6" xfId="6766" xr:uid="{21F5EC62-A3E1-46A3-99B8-E062EDF86C56}"/>
    <cellStyle name="40% - Énfasis1 5 6 2" xfId="21190" xr:uid="{3E0D9308-56FD-4B56-8BEE-3205D9B24F7C}"/>
    <cellStyle name="40% - Énfasis1 5 6 3" xfId="27005" xr:uid="{BE485FE7-0ADE-4BDC-941C-D76F82269570}"/>
    <cellStyle name="40% - Énfasis1 5 6 4" xfId="32881" xr:uid="{735CCB63-366A-48D9-9BF1-8B8B75E7C410}"/>
    <cellStyle name="40% - Énfasis1 5 6 5" xfId="38745" xr:uid="{ADFB7227-BD13-45A7-9691-D0D6E2D7E6DC}"/>
    <cellStyle name="40% - Énfasis1 5 7" xfId="18436" xr:uid="{E8666663-E930-4582-A3B6-8D1FC80DF3FB}"/>
    <cellStyle name="40% - Énfasis1 5 8" xfId="24144" xr:uid="{220005BB-420B-40FA-8598-43ACFE5947D4}"/>
    <cellStyle name="40% - Énfasis1 5 9" xfId="30022" xr:uid="{5A679868-BC26-4E50-B655-05BCD446FE2B}"/>
    <cellStyle name="40% - Énfasis1 50" xfId="9531" xr:uid="{DC18E313-7ED5-4D78-B2DF-01696F63FB35}"/>
    <cellStyle name="40% - Énfasis1 50 2" xfId="23893" xr:uid="{14749194-36F7-4AA7-9155-CAB89F87432E}"/>
    <cellStyle name="40% - Énfasis1 50 3" xfId="29763" xr:uid="{3F7EA1C2-94DC-49E1-9AC1-83CE50484776}"/>
    <cellStyle name="40% - Énfasis1 50 4" xfId="35645" xr:uid="{55BADADE-69BE-4DFD-AF22-BC84416672EF}"/>
    <cellStyle name="40% - Énfasis1 50 5" xfId="41504" xr:uid="{441FF2E0-2A82-41AE-A2A6-026696A9B4C8}"/>
    <cellStyle name="40% - Énfasis1 51" xfId="9557" xr:uid="{4492B04B-2975-44B0-9BB9-D0C6903BA368}"/>
    <cellStyle name="40% - Énfasis1 51 2" xfId="23919" xr:uid="{6FD2C125-04F0-44C7-8D65-E00A0F55E299}"/>
    <cellStyle name="40% - Énfasis1 51 3" xfId="29789" xr:uid="{785C05A1-C608-4831-9C5B-208FDF0E2C66}"/>
    <cellStyle name="40% - Énfasis1 51 4" xfId="35671" xr:uid="{CC1C602D-03C5-40CE-B5A3-E042FA836406}"/>
    <cellStyle name="40% - Énfasis1 51 5" xfId="41530" xr:uid="{F5E0F28B-B037-4653-A9A9-AB72CF6EFB3F}"/>
    <cellStyle name="40% - Énfasis1 52" xfId="15759" xr:uid="{36C04A2D-BBDE-4ADA-BA6C-24BFA3676193}"/>
    <cellStyle name="40% - Énfasis1 52 2" xfId="23979" xr:uid="{6397CEFC-C6FD-4382-86CB-F6AAB1CCF7E4}"/>
    <cellStyle name="40% - Énfasis1 52 3" xfId="29851" xr:uid="{A1C9C89A-83F5-4287-9AD6-BED885B965DD}"/>
    <cellStyle name="40% - Énfasis1 52 4" xfId="35733" xr:uid="{812467A3-97B0-4DE5-83B0-A45C5D1DFEF9}"/>
    <cellStyle name="40% - Énfasis1 52 5" xfId="41592" xr:uid="{F35B4ACB-BE76-4BA3-9440-55EAB29CEE80}"/>
    <cellStyle name="40% - Énfasis1 53" xfId="15783" xr:uid="{967D844B-8F1E-4F65-AFAE-C0BAAA20EDFE}"/>
    <cellStyle name="40% - Énfasis1 53 2" xfId="24000" xr:uid="{95D2A1BF-9F96-456A-81D2-0D6489665A53}"/>
    <cellStyle name="40% - Énfasis1 53 3" xfId="29875" xr:uid="{F216818D-E48B-4CAE-9730-189DE882CE59}"/>
    <cellStyle name="40% - Énfasis1 53 4" xfId="35757" xr:uid="{9C8847BB-FA18-4C8D-B909-26D6A54594B4}"/>
    <cellStyle name="40% - Énfasis1 53 5" xfId="41616" xr:uid="{668D7751-C7F7-4494-BDE9-52E7A6541991}"/>
    <cellStyle name="40% - Énfasis1 54" xfId="15818" xr:uid="{893D7566-056B-4F3F-9764-B95432FAAB9A}"/>
    <cellStyle name="40% - Énfasis1 55" xfId="18293" xr:uid="{BC8B9CCA-05D6-4623-98BA-98F4583278E4}"/>
    <cellStyle name="40% - Énfasis1 56" xfId="18316" xr:uid="{8AE1D775-301D-49DD-B9D9-869D95608A09}"/>
    <cellStyle name="40% - Énfasis1 57" xfId="24028" xr:uid="{F968BD51-A18B-4B23-B16B-EE6FCB62E8D8}"/>
    <cellStyle name="40% - Énfasis1 58" xfId="29906" xr:uid="{8559942B-0F6A-4362-A05F-5F1320E0050C}"/>
    <cellStyle name="40% - Énfasis1 59" xfId="35787" xr:uid="{D12D7EBC-0A30-43C7-82DE-5B94501F9DB3}"/>
    <cellStyle name="40% - Énfasis1 6" xfId="3935" xr:uid="{3846E419-2530-478F-B706-3C7B56574C4A}"/>
    <cellStyle name="40% - Énfasis1 6 10" xfId="35926" xr:uid="{DD22E068-C695-4248-BCCF-3F5391C93E7D}"/>
    <cellStyle name="40% - Énfasis1 6 2" xfId="4127" xr:uid="{F5DD0144-4927-46FF-8B17-0ABDEF37429F}"/>
    <cellStyle name="40% - Énfasis1 6 2 2" xfId="4605" xr:uid="{3B5B2EA0-821E-4D15-B0FD-E816C0C5C19C}"/>
    <cellStyle name="40% - Énfasis1 6 2 2 2" xfId="5573" xr:uid="{48F8D10A-C376-42D3-80A8-A9D186F49A57}"/>
    <cellStyle name="40% - Énfasis1 6 2 2 2 2" xfId="8440" xr:uid="{5460207C-82B5-42FB-B272-E8F2BDF1B90D}"/>
    <cellStyle name="40% - Énfasis1 6 2 2 2 2 2" xfId="22815" xr:uid="{05D1161F-9047-438E-9B4E-98B15579D38C}"/>
    <cellStyle name="40% - Énfasis1 6 2 2 2 2 3" xfId="28673" xr:uid="{601A49DA-1C87-4403-B677-79B837F3FE79}"/>
    <cellStyle name="40% - Énfasis1 6 2 2 2 2 4" xfId="34555" xr:uid="{1CD4A658-D723-4BBA-8425-A872ED485AAB}"/>
    <cellStyle name="40% - Énfasis1 6 2 2 2 2 5" xfId="40419" xr:uid="{7033C4BE-41B2-41A8-A69E-FB6E0100C1C3}"/>
    <cellStyle name="40% - Énfasis1 6 2 2 2 3" xfId="20033" xr:uid="{1F0B50A0-CE73-4479-A216-26B0BA3C6094}"/>
    <cellStyle name="40% - Énfasis1 6 2 2 2 4" xfId="25824" xr:uid="{D3B93B0B-37B8-4E92-86E5-13E1C4DDDFC5}"/>
    <cellStyle name="40% - Énfasis1 6 2 2 2 5" xfId="31698" xr:uid="{B1C0DD8C-9B89-45FE-B14F-5CD7E475B756}"/>
    <cellStyle name="40% - Énfasis1 6 2 2 2 6" xfId="37568" xr:uid="{A9FFE107-8124-4989-BBB9-A15A2557591E}"/>
    <cellStyle name="40% - Énfasis1 6 2 2 3" xfId="7468" xr:uid="{6AD41CF4-3931-4D4B-8FAC-37B3A90E9E38}"/>
    <cellStyle name="40% - Énfasis1 6 2 2 3 2" xfId="21870" xr:uid="{0FD85690-0E04-4A1C-8348-F4E29D2AA25D}"/>
    <cellStyle name="40% - Énfasis1 6 2 2 3 3" xfId="27702" xr:uid="{3FD06A0E-C6DD-4C0B-A28B-0BC3097214C5}"/>
    <cellStyle name="40% - Énfasis1 6 2 2 3 4" xfId="33584" xr:uid="{C5F15939-3091-473E-982E-E25533787DEE}"/>
    <cellStyle name="40% - Énfasis1 6 2 2 3 5" xfId="39448" xr:uid="{1BAE002B-A681-4FCB-85C5-447FED99B199}"/>
    <cellStyle name="40% - Énfasis1 6 2 2 4" xfId="19100" xr:uid="{EC278CA6-F16C-41B4-9D34-E4E0344B244D}"/>
    <cellStyle name="40% - Énfasis1 6 2 2 5" xfId="24853" xr:uid="{096FD596-E20B-45FA-A992-8866B93876F4}"/>
    <cellStyle name="40% - Énfasis1 6 2 2 6" xfId="30730" xr:uid="{EDCE858A-EE25-4E8D-B3D4-A5C034F6AD7F}"/>
    <cellStyle name="40% - Énfasis1 6 2 2 7" xfId="36611" xr:uid="{15FCD303-A4A5-4589-9B16-9322B9C268E0}"/>
    <cellStyle name="40% - Énfasis1 6 2 3" xfId="5088" xr:uid="{8E524221-A9BB-4107-AC3F-B9CD490B9C2E}"/>
    <cellStyle name="40% - Énfasis1 6 2 3 2" xfId="7955" xr:uid="{F3DA41A0-8936-46EC-98A7-78F7B41C5374}"/>
    <cellStyle name="40% - Énfasis1 6 2 3 2 2" xfId="22340" xr:uid="{254B8ED4-EE6B-4A25-B47D-64FBACDB4A6A}"/>
    <cellStyle name="40% - Énfasis1 6 2 3 2 3" xfId="28188" xr:uid="{850D0326-F659-4623-8348-77E502EB54BE}"/>
    <cellStyle name="40% - Énfasis1 6 2 3 2 4" xfId="34070" xr:uid="{954DD43A-C5B3-4BD8-A582-A3C7CB8FB0CC}"/>
    <cellStyle name="40% - Énfasis1 6 2 3 2 5" xfId="39934" xr:uid="{B983C683-3A07-41A1-A685-FD9F5BD9B9B2}"/>
    <cellStyle name="40% - Énfasis1 6 2 3 3" xfId="19565" xr:uid="{C6EB0B71-F58F-4AD4-9C02-BA5F38AC5F74}"/>
    <cellStyle name="40% - Énfasis1 6 2 3 4" xfId="25339" xr:uid="{4850F64B-5300-4C03-9B79-B3FF8CC2B2D0}"/>
    <cellStyle name="40% - Énfasis1 6 2 3 5" xfId="31213" xr:uid="{9458B590-177F-4566-9329-2F880B264BD7}"/>
    <cellStyle name="40% - Énfasis1 6 2 3 6" xfId="37091" xr:uid="{6E43E5F1-8946-441A-A8E3-D55C0CD3AA0A}"/>
    <cellStyle name="40% - Énfasis1 6 2 4" xfId="6983" xr:uid="{F9D7B5E1-7CD0-45C6-AFF7-A6259A862275}"/>
    <cellStyle name="40% - Énfasis1 6 2 4 2" xfId="21402" xr:uid="{4FB60662-3DAD-48F8-96CB-1660A68D4580}"/>
    <cellStyle name="40% - Énfasis1 6 2 4 3" xfId="27221" xr:uid="{D85D47E0-AB18-4FE8-ABE7-0E509A23B309}"/>
    <cellStyle name="40% - Énfasis1 6 2 4 4" xfId="33099" xr:uid="{308F3F36-18C3-4DC6-A29F-7F64BEAA88CE}"/>
    <cellStyle name="40% - Énfasis1 6 2 4 5" xfId="38963" xr:uid="{85332289-FDF8-47F7-AB53-E061B9D912D4}"/>
    <cellStyle name="40% - Énfasis1 6 2 5" xfId="18656" xr:uid="{273A05A0-C995-43D5-BA00-3DFC9F695F87}"/>
    <cellStyle name="40% - Énfasis1 6 2 6" xfId="24370" xr:uid="{6319A38F-EE25-4FFE-BA02-47DA63A6C609}"/>
    <cellStyle name="40% - Énfasis1 6 2 7" xfId="30248" xr:uid="{5A2E82E4-0213-4A30-BF8E-6A0CE9D6C53A}"/>
    <cellStyle name="40% - Énfasis1 6 2 8" xfId="36127" xr:uid="{D73EC72E-8E6F-4C59-9190-C94342FBEB50}"/>
    <cellStyle name="40% - Énfasis1 6 3" xfId="4411" xr:uid="{C8BDA0FF-874D-4BBB-8600-57B896CBF055}"/>
    <cellStyle name="40% - Énfasis1 6 3 2" xfId="5377" xr:uid="{757258AF-E88E-4AD9-BA9E-452CABF7EB15}"/>
    <cellStyle name="40% - Énfasis1 6 3 2 2" xfId="8244" xr:uid="{8976AEFF-8207-452D-80FB-B144EF5FA4E3}"/>
    <cellStyle name="40% - Énfasis1 6 3 2 2 2" xfId="22620" xr:uid="{8893CFFA-71E9-4CAB-8C04-E1433D5949BA}"/>
    <cellStyle name="40% - Énfasis1 6 3 2 2 3" xfId="28477" xr:uid="{83C8B956-5055-4286-B54A-93002965F110}"/>
    <cellStyle name="40% - Énfasis1 6 3 2 2 4" xfId="34359" xr:uid="{2F5952C1-952F-4694-9DD9-2285C9C3E1F0}"/>
    <cellStyle name="40% - Énfasis1 6 3 2 2 5" xfId="40223" xr:uid="{94B59D93-A41C-4AB0-95B9-6F623229B453}"/>
    <cellStyle name="40% - Énfasis1 6 3 2 3" xfId="19844" xr:uid="{6C1151BE-4DB0-48EE-9212-AAB063CDD23B}"/>
    <cellStyle name="40% - Énfasis1 6 3 2 4" xfId="25628" xr:uid="{F5B3D739-2F0D-465E-A532-8D0646CF6716}"/>
    <cellStyle name="40% - Énfasis1 6 3 2 5" xfId="31502" xr:uid="{5F3915B5-626C-4D0E-B893-7F96134E4840}"/>
    <cellStyle name="40% - Énfasis1 6 3 2 6" xfId="37373" xr:uid="{F66E405C-1845-40A2-A0EE-2F5D03BCE0FA}"/>
    <cellStyle name="40% - Énfasis1 6 3 3" xfId="7272" xr:uid="{C7D612CA-CD5A-4CEF-9F85-D124C61B0F01}"/>
    <cellStyle name="40% - Énfasis1 6 3 3 2" xfId="21679" xr:uid="{C0A323ED-7647-4802-807B-7998BDB58901}"/>
    <cellStyle name="40% - Énfasis1 6 3 3 3" xfId="27506" xr:uid="{EB2BD159-20EC-4D3F-9BC9-966E0459E688}"/>
    <cellStyle name="40% - Énfasis1 6 3 3 4" xfId="33388" xr:uid="{BF56ADDB-5BB4-4980-ADD5-C3A0EBB112F2}"/>
    <cellStyle name="40% - Énfasis1 6 3 3 5" xfId="39252" xr:uid="{BCA4BF2E-0FA4-4869-9CCF-DA3129F3C78C}"/>
    <cellStyle name="40% - Énfasis1 6 3 4" xfId="18913" xr:uid="{925FE69E-8817-40C6-A49B-3E505D4080E8}"/>
    <cellStyle name="40% - Énfasis1 6 3 5" xfId="24657" xr:uid="{D882F260-DAE9-43A7-93F3-A92918258DA2}"/>
    <cellStyle name="40% - Énfasis1 6 3 6" xfId="30536" xr:uid="{D192BE3D-BCAD-45F8-8FE3-005E11C1DC9A}"/>
    <cellStyle name="40% - Énfasis1 6 3 7" xfId="36416" xr:uid="{4E4B086A-87CF-4528-B8C0-2E886900A942}"/>
    <cellStyle name="40% - Énfasis1 6 4" xfId="4892" xr:uid="{920EA8B9-B8B8-44C9-9802-43544CEB166A}"/>
    <cellStyle name="40% - Énfasis1 6 4 2" xfId="7759" xr:uid="{DC09D38B-A466-4C03-A5DF-A5748FEADAE0}"/>
    <cellStyle name="40% - Énfasis1 6 4 2 2" xfId="22149" xr:uid="{DA0A26C7-FAEB-4C6F-81AB-4C05601377B6}"/>
    <cellStyle name="40% - Énfasis1 6 4 2 3" xfId="27992" xr:uid="{FF9C9C31-3565-4077-802D-0B481115AEA2}"/>
    <cellStyle name="40% - Énfasis1 6 4 2 4" xfId="33874" xr:uid="{FC87C054-138E-4CE0-AF6D-048CD464456D}"/>
    <cellStyle name="40% - Énfasis1 6 4 2 5" xfId="39738" xr:uid="{2431976B-B4E0-488D-875F-AB2C4E2C67C0}"/>
    <cellStyle name="40% - Énfasis1 6 4 3" xfId="19375" xr:uid="{7296BB63-2256-4C1E-9728-D03F9CF03727}"/>
    <cellStyle name="40% - Énfasis1 6 4 4" xfId="25143" xr:uid="{AFBAADB8-8B9D-4514-B7AD-6E9C41C618B4}"/>
    <cellStyle name="40% - Énfasis1 6 4 5" xfId="31017" xr:uid="{6E1424B1-FA56-4DC7-ABA1-1DA2120961EF}"/>
    <cellStyle name="40% - Énfasis1 6 4 6" xfId="36896" xr:uid="{418A6992-9585-4F30-9A2C-378232B6244E}"/>
    <cellStyle name="40% - Énfasis1 6 5" xfId="5902" xr:uid="{BACA8ABE-C4E3-401A-BBB5-49A501D4E305}"/>
    <cellStyle name="40% - Énfasis1 6 5 2" xfId="8771" xr:uid="{22EA73D2-B035-448E-9572-F28214F271BA}"/>
    <cellStyle name="40% - Énfasis1 6 5 2 2" xfId="23139" xr:uid="{A22A98C9-2D85-49D9-811C-DDFBCB6A9FED}"/>
    <cellStyle name="40% - Énfasis1 6 5 2 3" xfId="29003" xr:uid="{A03AB0DF-2527-4D86-8064-95A5274BF5AD}"/>
    <cellStyle name="40% - Énfasis1 6 5 2 4" xfId="34885" xr:uid="{26AD58B9-1D61-4953-A65A-C7F73942D4A6}"/>
    <cellStyle name="40% - Énfasis1 6 5 2 5" xfId="40749" xr:uid="{709504B8-11BD-4504-A886-4C761CBD2576}"/>
    <cellStyle name="40% - Énfasis1 6 5 3" xfId="20353" xr:uid="{1BDD6C05-C137-4E32-80EC-D16746ADE523}"/>
    <cellStyle name="40% - Énfasis1 6 5 4" xfId="26153" xr:uid="{95CF8A32-0B49-4A58-8542-8B7513147D04}"/>
    <cellStyle name="40% - Énfasis1 6 5 5" xfId="32028" xr:uid="{132F62BB-F4BB-4B8B-92EA-9BF081C9B39A}"/>
    <cellStyle name="40% - Énfasis1 6 5 6" xfId="37894" xr:uid="{0EFAC1E3-302D-4EBD-B877-4E4210452BE9}"/>
    <cellStyle name="40% - Énfasis1 6 6" xfId="6788" xr:uid="{ED731142-AE5B-47BE-822A-86E8D98AE090}"/>
    <cellStyle name="40% - Énfasis1 6 6 2" xfId="21212" xr:uid="{FD214C75-1D62-4B09-BD84-FF73524527DB}"/>
    <cellStyle name="40% - Énfasis1 6 6 3" xfId="27027" xr:uid="{39B8C79E-077D-4CA7-A7E1-ACB9D3DA47CC}"/>
    <cellStyle name="40% - Énfasis1 6 6 4" xfId="32903" xr:uid="{BD788721-624B-4AD1-AD55-FFA51AC99132}"/>
    <cellStyle name="40% - Énfasis1 6 6 5" xfId="38767" xr:uid="{2BF1F627-9887-4072-9CD9-A3D137517742}"/>
    <cellStyle name="40% - Énfasis1 6 7" xfId="18459" xr:uid="{BBB1C0BF-E07B-495C-A6A4-D2308A5CB6EF}"/>
    <cellStyle name="40% - Énfasis1 6 8" xfId="24167" xr:uid="{E16E85D4-AADB-4F1E-A31A-53D332687A09}"/>
    <cellStyle name="40% - Énfasis1 6 9" xfId="30045" xr:uid="{3B07DF62-C472-4DE7-A099-FB76A26617DB}"/>
    <cellStyle name="40% - Énfasis1 7" xfId="3959" xr:uid="{3581573A-1BD7-4232-AEE5-171693ABBF23}"/>
    <cellStyle name="40% - Énfasis1 7 10" xfId="35951" xr:uid="{53C8CDC8-EF0E-4562-A092-8A823D1945C4}"/>
    <cellStyle name="40% - Énfasis1 7 2" xfId="4151" xr:uid="{45AE1CFF-D234-45EC-9D9E-3B13DA63E150}"/>
    <cellStyle name="40% - Énfasis1 7 2 2" xfId="4629" xr:uid="{3E7EDF1C-BD26-4FBB-A00F-957C297F9DC3}"/>
    <cellStyle name="40% - Énfasis1 7 2 2 2" xfId="5597" xr:uid="{15FBB66D-B1F6-46B2-AFD0-7885276E26BF}"/>
    <cellStyle name="40% - Énfasis1 7 2 2 2 2" xfId="8464" xr:uid="{60F32667-78AA-44E5-A52E-9F5D40B0E4FE}"/>
    <cellStyle name="40% - Énfasis1 7 2 2 2 2 2" xfId="22839" xr:uid="{D4747822-084C-467B-8168-157BAAF58400}"/>
    <cellStyle name="40% - Énfasis1 7 2 2 2 2 3" xfId="28697" xr:uid="{74D02CC6-8278-43D1-8990-0C878B282E43}"/>
    <cellStyle name="40% - Énfasis1 7 2 2 2 2 4" xfId="34579" xr:uid="{BAA3368F-7BB7-41A2-98DC-25BB7FD14270}"/>
    <cellStyle name="40% - Énfasis1 7 2 2 2 2 5" xfId="40443" xr:uid="{F7D391EE-75A9-4C7D-A1EF-4E480C2E3EA4}"/>
    <cellStyle name="40% - Énfasis1 7 2 2 2 3" xfId="20056" xr:uid="{B8EDA81C-8F3A-49AF-946C-354F2A4AA1E0}"/>
    <cellStyle name="40% - Énfasis1 7 2 2 2 4" xfId="25848" xr:uid="{5D908672-9A7F-41FC-A05A-2011AF9F841C}"/>
    <cellStyle name="40% - Énfasis1 7 2 2 2 5" xfId="31722" xr:uid="{BD7D8DB9-B50D-4C84-B7FB-1CE6814447C7}"/>
    <cellStyle name="40% - Énfasis1 7 2 2 2 6" xfId="37592" xr:uid="{D7240DF6-C85F-40AE-8ABF-09750B5E9708}"/>
    <cellStyle name="40% - Énfasis1 7 2 2 3" xfId="7492" xr:uid="{E82C791C-E083-4521-A5A9-0526C95DAFC0}"/>
    <cellStyle name="40% - Énfasis1 7 2 2 3 2" xfId="21893" xr:uid="{FD1DCD48-E8E2-4EA7-9463-874CB04F02B6}"/>
    <cellStyle name="40% - Énfasis1 7 2 2 3 3" xfId="27726" xr:uid="{7179644A-31CA-4224-BEF3-F89E863CA9D2}"/>
    <cellStyle name="40% - Énfasis1 7 2 2 3 4" xfId="33608" xr:uid="{D58D6D87-F6AE-466F-BA5F-04AE17FDFF17}"/>
    <cellStyle name="40% - Énfasis1 7 2 2 3 5" xfId="39472" xr:uid="{8E67A4E3-13B1-4EA9-855F-08057B9DCF75}"/>
    <cellStyle name="40% - Énfasis1 7 2 2 4" xfId="19123" xr:uid="{E2FD7B1A-C84A-4872-8D3F-5D8FEFAC41F8}"/>
    <cellStyle name="40% - Énfasis1 7 2 2 5" xfId="24877" xr:uid="{A26C5C9F-DD15-44EC-A8CB-2CB624C5604F}"/>
    <cellStyle name="40% - Énfasis1 7 2 2 6" xfId="30753" xr:uid="{7DE54DA8-6E70-4382-9B1A-44441C4827FB}"/>
    <cellStyle name="40% - Énfasis1 7 2 2 7" xfId="36635" xr:uid="{E4D791B2-6CB0-48E2-88A3-C94C17A77F9C}"/>
    <cellStyle name="40% - Énfasis1 7 2 3" xfId="5112" xr:uid="{3DF5F1B4-98DD-428B-A396-9DAF806AFA64}"/>
    <cellStyle name="40% - Énfasis1 7 2 3 2" xfId="7979" xr:uid="{591F93FC-CEC9-4759-B749-1D6E344D377D}"/>
    <cellStyle name="40% - Énfasis1 7 2 3 2 2" xfId="22364" xr:uid="{ABD3B109-9712-4380-BCB7-1CD6C161D949}"/>
    <cellStyle name="40% - Énfasis1 7 2 3 2 3" xfId="28212" xr:uid="{8803D400-2E1B-4E96-AFE2-4174456951CC}"/>
    <cellStyle name="40% - Énfasis1 7 2 3 2 4" xfId="34094" xr:uid="{7DB43A75-2BA1-4260-9A63-9F89EEEC9011}"/>
    <cellStyle name="40% - Énfasis1 7 2 3 2 5" xfId="39958" xr:uid="{1D3FE92E-511A-42FD-A8FA-8AB0B6FF24E6}"/>
    <cellStyle name="40% - Énfasis1 7 2 3 3" xfId="19587" xr:uid="{84BD0CE7-73F9-42B8-B31D-56454C218ADC}"/>
    <cellStyle name="40% - Énfasis1 7 2 3 4" xfId="25363" xr:uid="{FC2EF66C-2296-41D4-8F76-E8F522F12752}"/>
    <cellStyle name="40% - Énfasis1 7 2 3 5" xfId="31237" xr:uid="{C768AEB8-502D-4D5B-9827-3F530F557693}"/>
    <cellStyle name="40% - Énfasis1 7 2 3 6" xfId="37115" xr:uid="{4A468840-9D0A-4F9D-A841-2203DE2DC3F5}"/>
    <cellStyle name="40% - Énfasis1 7 2 4" xfId="7007" xr:uid="{4369DE50-99A6-4414-A589-70FF8B552119}"/>
    <cellStyle name="40% - Énfasis1 7 2 4 2" xfId="21424" xr:uid="{E2DE1CF1-12E5-4713-9B12-70D1CBB8BA9B}"/>
    <cellStyle name="40% - Énfasis1 7 2 4 3" xfId="27245" xr:uid="{6A430549-F8FD-4BD7-9EA4-2F1A7405A752}"/>
    <cellStyle name="40% - Énfasis1 7 2 4 4" xfId="33123" xr:uid="{B385B261-C050-432E-BF61-F970214E6A04}"/>
    <cellStyle name="40% - Énfasis1 7 2 4 5" xfId="38987" xr:uid="{BA610811-36E3-43E2-A44C-F695DE082F3A}"/>
    <cellStyle name="40% - Énfasis1 7 2 5" xfId="18679" xr:uid="{7E66B2AC-4208-44FB-A040-0CA970C4FB92}"/>
    <cellStyle name="40% - Énfasis1 7 2 6" xfId="24394" xr:uid="{1B7AFADC-CBC2-46F5-8F82-E9E38CDCBEE5}"/>
    <cellStyle name="40% - Énfasis1 7 2 7" xfId="30271" xr:uid="{9E63976B-8847-4A0E-95B4-CD151A487A3E}"/>
    <cellStyle name="40% - Énfasis1 7 2 8" xfId="36151" xr:uid="{5EAA40D6-1A89-4967-BCBB-26602B6B8167}"/>
    <cellStyle name="40% - Énfasis1 7 3" xfId="4434" xr:uid="{CB9CD5DC-C25A-4D47-A4E1-971CCBB5C311}"/>
    <cellStyle name="40% - Énfasis1 7 3 2" xfId="5401" xr:uid="{B86B50D0-6795-4F5E-BD07-88EA9EED1F6A}"/>
    <cellStyle name="40% - Énfasis1 7 3 2 2" xfId="8268" xr:uid="{7907BFA7-1ED4-41AE-9D61-BD1F00AF7131}"/>
    <cellStyle name="40% - Énfasis1 7 3 2 2 2" xfId="22644" xr:uid="{3B9D0725-6A3A-4893-A22F-922B0CA055F4}"/>
    <cellStyle name="40% - Énfasis1 7 3 2 2 3" xfId="28501" xr:uid="{2763780E-41A9-4E2F-8E63-8D2D7CD30884}"/>
    <cellStyle name="40% - Énfasis1 7 3 2 2 4" xfId="34383" xr:uid="{1676F16B-1717-4FFD-98DA-F8F1C4231C5F}"/>
    <cellStyle name="40% - Énfasis1 7 3 2 2 5" xfId="40247" xr:uid="{F42CC4B7-6073-4F63-8C31-05D123AD07D8}"/>
    <cellStyle name="40% - Énfasis1 7 3 2 3" xfId="19866" xr:uid="{AED6993B-BC88-4EFE-9F63-CFE2D08A6422}"/>
    <cellStyle name="40% - Énfasis1 7 3 2 4" xfId="25652" xr:uid="{261D51EE-719E-4D0C-9A47-719C414CBED6}"/>
    <cellStyle name="40% - Énfasis1 7 3 2 5" xfId="31526" xr:uid="{5390D390-205C-4E6D-AB29-37C276C13235}"/>
    <cellStyle name="40% - Énfasis1 7 3 2 6" xfId="37397" xr:uid="{E3FAECC8-BB8F-458F-9788-C93421ED4F3F}"/>
    <cellStyle name="40% - Énfasis1 7 3 3" xfId="7296" xr:uid="{4E04FF78-2F29-4101-ADE7-69A5D03C2F1C}"/>
    <cellStyle name="40% - Énfasis1 7 3 3 2" xfId="21701" xr:uid="{86AF9A4D-B27D-4517-B73B-1B3EDAF3F5C9}"/>
    <cellStyle name="40% - Énfasis1 7 3 3 3" xfId="27530" xr:uid="{EFCFA2F8-C239-492A-AA05-40BEE7218C49}"/>
    <cellStyle name="40% - Énfasis1 7 3 3 4" xfId="33412" xr:uid="{A6AA1693-986F-45ED-9A10-4CC20D6F29D3}"/>
    <cellStyle name="40% - Énfasis1 7 3 3 5" xfId="39276" xr:uid="{8F482D93-36B6-4956-8CA2-8484EDA17518}"/>
    <cellStyle name="40% - Énfasis1 7 3 4" xfId="18937" xr:uid="{F4A97BE5-9A4E-45EF-9177-FE663C7628D3}"/>
    <cellStyle name="40% - Énfasis1 7 3 5" xfId="24681" xr:uid="{5DB0A5D3-5688-496A-8FC6-5D56F46AFEC6}"/>
    <cellStyle name="40% - Énfasis1 7 3 6" xfId="30559" xr:uid="{84171EAD-CD94-40B8-A50D-4253481937A0}"/>
    <cellStyle name="40% - Énfasis1 7 3 7" xfId="36440" xr:uid="{546987A6-CAB1-4DF2-830C-75D7637D767F}"/>
    <cellStyle name="40% - Énfasis1 7 4" xfId="4916" xr:uid="{9E1B3280-C563-48C8-8AA2-87487605B42F}"/>
    <cellStyle name="40% - Énfasis1 7 4 2" xfId="7783" xr:uid="{3CFAB45B-E265-4D1B-BF4F-3196DD59EBAA}"/>
    <cellStyle name="40% - Énfasis1 7 4 2 2" xfId="22171" xr:uid="{95231BEE-DEC7-4962-B82B-D850082DDA99}"/>
    <cellStyle name="40% - Énfasis1 7 4 2 3" xfId="28016" xr:uid="{31D02193-08A5-4305-912D-78A204782AB2}"/>
    <cellStyle name="40% - Énfasis1 7 4 2 4" xfId="33898" xr:uid="{AE49B487-0815-4339-80B6-E990A47435CC}"/>
    <cellStyle name="40% - Énfasis1 7 4 2 5" xfId="39762" xr:uid="{F8A1ED2C-0B82-45BB-BFDC-960AB806480B}"/>
    <cellStyle name="40% - Énfasis1 7 4 3" xfId="19398" xr:uid="{665ABEE4-A507-4DEF-B472-16EE30F2CFDF}"/>
    <cellStyle name="40% - Énfasis1 7 4 4" xfId="25167" xr:uid="{D5176B57-6AA0-4602-A932-85CB6B746EDF}"/>
    <cellStyle name="40% - Énfasis1 7 4 5" xfId="31041" xr:uid="{167BA7F0-0165-477B-B07E-742A5B2F7BC6}"/>
    <cellStyle name="40% - Énfasis1 7 4 6" xfId="36920" xr:uid="{46CA65E3-20E2-434F-B396-A766457D3B0F}"/>
    <cellStyle name="40% - Énfasis1 7 5" xfId="5926" xr:uid="{A01BCF63-A037-4AF2-AAC3-E8CC76EC4034}"/>
    <cellStyle name="40% - Énfasis1 7 5 2" xfId="8795" xr:uid="{7AAD9C4C-BE5F-4CD9-95CA-35D7751F2FF9}"/>
    <cellStyle name="40% - Énfasis1 7 5 2 2" xfId="23162" xr:uid="{C1D78DBD-CF45-4089-B4D1-95D2131100DE}"/>
    <cellStyle name="40% - Énfasis1 7 5 2 3" xfId="29027" xr:uid="{8A36B927-7334-48B6-B8CE-E2108E41ACA1}"/>
    <cellStyle name="40% - Énfasis1 7 5 2 4" xfId="34909" xr:uid="{33DA675E-7DEA-4E28-B27F-32A9CF58E2C9}"/>
    <cellStyle name="40% - Énfasis1 7 5 2 5" xfId="40773" xr:uid="{939E1B76-3955-4CC4-8674-D36F72B9073A}"/>
    <cellStyle name="40% - Énfasis1 7 5 3" xfId="20376" xr:uid="{44E83EA6-3902-4A58-A273-530D6B2DAAEF}"/>
    <cellStyle name="40% - Énfasis1 7 5 4" xfId="26177" xr:uid="{B5AADCC4-BC0A-4AC4-B19C-99BDF1BAF296}"/>
    <cellStyle name="40% - Énfasis1 7 5 5" xfId="32052" xr:uid="{17ADDBB1-2C99-4533-B208-35AB8A9FA5D5}"/>
    <cellStyle name="40% - Énfasis1 7 5 6" xfId="37918" xr:uid="{54180027-D0F1-4FA9-A2E3-D09C5DA39647}"/>
    <cellStyle name="40% - Énfasis1 7 6" xfId="6812" xr:uid="{3017E434-4EEC-4BC6-87F1-D8C7A905269B}"/>
    <cellStyle name="40% - Énfasis1 7 6 2" xfId="21235" xr:uid="{ECC903D1-B8AD-448D-A87A-78A1137D1B9B}"/>
    <cellStyle name="40% - Énfasis1 7 6 3" xfId="27051" xr:uid="{C36C75B6-9200-4399-BB52-F1F9B6B06E2D}"/>
    <cellStyle name="40% - Énfasis1 7 6 4" xfId="32927" xr:uid="{28C98269-1027-48E3-890C-7E2E07A9C6BE}"/>
    <cellStyle name="40% - Énfasis1 7 6 5" xfId="38791" xr:uid="{B98E0632-1E31-4058-B42B-0E51E8A64972}"/>
    <cellStyle name="40% - Énfasis1 7 7" xfId="18485" xr:uid="{0FCC9420-FA31-4B95-9DC6-BFBEA030D6AA}"/>
    <cellStyle name="40% - Énfasis1 7 8" xfId="24193" xr:uid="{2A6DC3CC-C16C-405F-9EE6-7E83DDE46691}"/>
    <cellStyle name="40% - Énfasis1 7 9" xfId="30071" xr:uid="{ACA5FF7C-E35C-4AE4-9254-EACB43A63543}"/>
    <cellStyle name="40% - Énfasis1 8" xfId="3985" xr:uid="{74571E71-E6B4-4D11-A6CD-2F005E347079}"/>
    <cellStyle name="40% - Énfasis1 8 10" xfId="35979" xr:uid="{2671A550-45B9-4588-BA43-11147D96B953}"/>
    <cellStyle name="40% - Énfasis1 8 2" xfId="4177" xr:uid="{DE4F3F02-D031-4CCC-86E9-C108CA348352}"/>
    <cellStyle name="40% - Énfasis1 8 2 2" xfId="4655" xr:uid="{60AAD796-F37A-4BB6-8E3C-F22369C99FD3}"/>
    <cellStyle name="40% - Énfasis1 8 2 2 2" xfId="5623" xr:uid="{F89CF04E-38F8-4434-9671-1316988F26B3}"/>
    <cellStyle name="40% - Énfasis1 8 2 2 2 2" xfId="8490" xr:uid="{B68A9307-0FCE-411F-8646-92EE0CEC0F61}"/>
    <cellStyle name="40% - Énfasis1 8 2 2 2 2 2" xfId="22864" xr:uid="{48E2E7CE-2019-4C75-8197-9B81DAA114B4}"/>
    <cellStyle name="40% - Énfasis1 8 2 2 2 2 3" xfId="28723" xr:uid="{4271D830-27DC-4AEE-AF62-136E13FE9BEB}"/>
    <cellStyle name="40% - Énfasis1 8 2 2 2 2 4" xfId="34605" xr:uid="{37C890FF-8CDD-4D9B-B078-7E7111A4C938}"/>
    <cellStyle name="40% - Énfasis1 8 2 2 2 2 5" xfId="40469" xr:uid="{CE603741-0478-47B5-9980-B7CA45119151}"/>
    <cellStyle name="40% - Énfasis1 8 2 2 2 3" xfId="20082" xr:uid="{C52CEB3D-8695-41C3-AA79-A14CEA3C7A4B}"/>
    <cellStyle name="40% - Énfasis1 8 2 2 2 4" xfId="25874" xr:uid="{507C2338-A7DC-4ECD-82B6-6E6FDAA0F1C3}"/>
    <cellStyle name="40% - Énfasis1 8 2 2 2 5" xfId="31748" xr:uid="{00E0E3BC-0EE7-4F23-A296-9C74C1217DC0}"/>
    <cellStyle name="40% - Énfasis1 8 2 2 2 6" xfId="37617" xr:uid="{676B2593-C314-4671-907C-24CEB68E975D}"/>
    <cellStyle name="40% - Énfasis1 8 2 2 3" xfId="7518" xr:uid="{41E13B8B-9DA0-402F-843E-A125822413F3}"/>
    <cellStyle name="40% - Énfasis1 8 2 2 3 2" xfId="21918" xr:uid="{B1368DE4-AC98-4B43-B9AB-46236A61EBB9}"/>
    <cellStyle name="40% - Énfasis1 8 2 2 3 3" xfId="27752" xr:uid="{77F3B573-280A-4675-ADAD-9C1037A04815}"/>
    <cellStyle name="40% - Énfasis1 8 2 2 3 4" xfId="33634" xr:uid="{1E27534C-0746-4786-951A-DBF67298DBD2}"/>
    <cellStyle name="40% - Énfasis1 8 2 2 3 5" xfId="39498" xr:uid="{639E08FE-BF36-4C0F-BE46-EBE49ECECED1}"/>
    <cellStyle name="40% - Énfasis1 8 2 2 4" xfId="19147" xr:uid="{00C2DE10-6764-47E2-A327-B30B262F8E73}"/>
    <cellStyle name="40% - Énfasis1 8 2 2 5" xfId="24903" xr:uid="{32CA674E-544B-459F-9FEB-5A9A48CCEFAF}"/>
    <cellStyle name="40% - Énfasis1 8 2 2 6" xfId="30779" xr:uid="{C4B2E019-D705-4650-A992-8328D1AFECAE}"/>
    <cellStyle name="40% - Énfasis1 8 2 2 7" xfId="36660" xr:uid="{B38C2957-3DB1-49EC-9DBD-19F6AD9BB289}"/>
    <cellStyle name="40% - Énfasis1 8 2 3" xfId="5138" xr:uid="{FE77EFCA-8FED-4460-81D7-3DB96AF47A70}"/>
    <cellStyle name="40% - Énfasis1 8 2 3 2" xfId="8005" xr:uid="{F89B14E0-5D73-435F-8DA3-C499F95A0FCE}"/>
    <cellStyle name="40% - Énfasis1 8 2 3 2 2" xfId="22389" xr:uid="{9CF557FE-8680-4DE5-9AD1-2FB8BA684150}"/>
    <cellStyle name="40% - Énfasis1 8 2 3 2 3" xfId="28238" xr:uid="{6E5D45BD-0137-457D-853A-6B3939B4F863}"/>
    <cellStyle name="40% - Énfasis1 8 2 3 2 4" xfId="34120" xr:uid="{3C963C01-9B33-4956-9B0A-38A887CE864E}"/>
    <cellStyle name="40% - Énfasis1 8 2 3 2 5" xfId="39984" xr:uid="{152E6BDC-F66D-422C-8E76-567FFB886203}"/>
    <cellStyle name="40% - Énfasis1 8 2 3 3" xfId="19612" xr:uid="{347E931F-E39A-43E5-8C32-A1877E49F5E7}"/>
    <cellStyle name="40% - Énfasis1 8 2 3 4" xfId="25389" xr:uid="{A4600C14-26D3-46AB-BAB4-7505EA18B74A}"/>
    <cellStyle name="40% - Énfasis1 8 2 3 5" xfId="31263" xr:uid="{503193F9-B569-46F7-9BC5-36A1DBB19944}"/>
    <cellStyle name="40% - Énfasis1 8 2 3 6" xfId="37140" xr:uid="{869C56BC-D2B8-4A6B-B43D-BB73F2BF3D55}"/>
    <cellStyle name="40% - Énfasis1 8 2 4" xfId="7033" xr:uid="{E9C9F6AF-4E25-4B7E-9B8A-BDC2472FBD85}"/>
    <cellStyle name="40% - Énfasis1 8 2 4 2" xfId="21449" xr:uid="{0023BEE8-A1D3-4F2D-B464-91F521D5EF92}"/>
    <cellStyle name="40% - Énfasis1 8 2 4 3" xfId="27270" xr:uid="{5F7795EC-D635-4648-B00F-DC927664CCCB}"/>
    <cellStyle name="40% - Énfasis1 8 2 4 4" xfId="33149" xr:uid="{C701FD10-B7D9-4A71-9FF2-4D5E03FEE288}"/>
    <cellStyle name="40% - Énfasis1 8 2 4 5" xfId="39013" xr:uid="{0C798672-4355-4069-B956-37B88D9A4770}"/>
    <cellStyle name="40% - Énfasis1 8 2 5" xfId="18704" xr:uid="{FEABA07E-082F-48F6-9847-84AEFEE08354}"/>
    <cellStyle name="40% - Énfasis1 8 2 6" xfId="24420" xr:uid="{D4ED705A-0254-4254-A3F0-394F35D9D7FD}"/>
    <cellStyle name="40% - Énfasis1 8 2 7" xfId="30297" xr:uid="{A73D083D-7F52-4B8A-AC2C-7DD2D2188A72}"/>
    <cellStyle name="40% - Énfasis1 8 2 8" xfId="36177" xr:uid="{79DB4EAD-857C-45B8-9A5D-167A7BA7A4FA}"/>
    <cellStyle name="40% - Énfasis1 8 3" xfId="4459" xr:uid="{9F884920-2ED2-4B56-91A4-7019B9307DF3}"/>
    <cellStyle name="40% - Énfasis1 8 3 2" xfId="5427" xr:uid="{98ED6B73-FC20-416C-92BD-B28CE4C35594}"/>
    <cellStyle name="40% - Énfasis1 8 3 2 2" xfId="8294" xr:uid="{3FCADA8B-1449-46CB-AD53-5CABD780382C}"/>
    <cellStyle name="40% - Énfasis1 8 3 2 2 2" xfId="22670" xr:uid="{89A552D2-8F0F-4D40-AB7E-E14ECBF7D128}"/>
    <cellStyle name="40% - Énfasis1 8 3 2 2 3" xfId="28527" xr:uid="{F04C7ED2-066F-48FF-BB31-7CDA0F1C30CD}"/>
    <cellStyle name="40% - Énfasis1 8 3 2 2 4" xfId="34409" xr:uid="{28FC4C73-95C6-4FDB-A4F4-0773CFE6403C}"/>
    <cellStyle name="40% - Énfasis1 8 3 2 2 5" xfId="40273" xr:uid="{79EF0417-E690-4F7C-B8EC-1DDB6370680B}"/>
    <cellStyle name="40% - Énfasis1 8 3 2 3" xfId="19891" xr:uid="{71704BA7-9EF1-4B69-9182-7877CAB12F86}"/>
    <cellStyle name="40% - Énfasis1 8 3 2 4" xfId="25678" xr:uid="{22CD69EB-552E-4113-BE00-A1727D56958E}"/>
    <cellStyle name="40% - Énfasis1 8 3 2 5" xfId="31552" xr:uid="{DEAD4D68-C2BA-41D0-8CF4-5EBE1861103B}"/>
    <cellStyle name="40% - Énfasis1 8 3 2 6" xfId="37423" xr:uid="{10491B40-12DE-485E-91E7-9C8DA697D4D3}"/>
    <cellStyle name="40% - Énfasis1 8 3 3" xfId="7322" xr:uid="{3449EC58-1289-49E0-BA2B-B7D61BF61B28}"/>
    <cellStyle name="40% - Énfasis1 8 3 3 2" xfId="21726" xr:uid="{8F67FA03-9962-4C43-B81A-47FADC135C8F}"/>
    <cellStyle name="40% - Énfasis1 8 3 3 3" xfId="27556" xr:uid="{64110ED4-BCBB-48C3-B428-7151DDED6152}"/>
    <cellStyle name="40% - Énfasis1 8 3 3 4" xfId="33438" xr:uid="{E6413217-22E9-420A-8BB2-DE53E4CA308C}"/>
    <cellStyle name="40% - Énfasis1 8 3 3 5" xfId="39302" xr:uid="{C4F55112-ED22-4D98-877A-AA7FEA08F2B9}"/>
    <cellStyle name="40% - Énfasis1 8 3 4" xfId="18963" xr:uid="{2FDC42E2-65BC-4763-B88F-6B52F9F28E8A}"/>
    <cellStyle name="40% - Énfasis1 8 3 5" xfId="24707" xr:uid="{D6E8AB9A-B5A3-4510-9524-ED628D88797E}"/>
    <cellStyle name="40% - Énfasis1 8 3 6" xfId="30585" xr:uid="{4687DBD8-6E61-4495-9EDD-8F599838475E}"/>
    <cellStyle name="40% - Énfasis1 8 3 7" xfId="36466" xr:uid="{73D4D06C-6146-4561-8CDA-5A19CCE27BA6}"/>
    <cellStyle name="40% - Énfasis1 8 4" xfId="4942" xr:uid="{FE6EA3A0-52A8-428B-9E39-3DD5EF203279}"/>
    <cellStyle name="40% - Énfasis1 8 4 2" xfId="7809" xr:uid="{B21D245F-45D5-47C3-B94E-14153DEF2D27}"/>
    <cellStyle name="40% - Énfasis1 8 4 2 2" xfId="22196" xr:uid="{70F92C72-8A59-473C-83CC-793D37ED4667}"/>
    <cellStyle name="40% - Énfasis1 8 4 2 3" xfId="28042" xr:uid="{CE54042E-4982-4FA3-845E-E5C2796B746E}"/>
    <cellStyle name="40% - Énfasis1 8 4 2 4" xfId="33924" xr:uid="{5D8A3AD1-D0F1-488C-B600-F4CC32F0AAC8}"/>
    <cellStyle name="40% - Énfasis1 8 4 2 5" xfId="39788" xr:uid="{5A6B4F32-52ED-4D02-933F-0A5DD811917B}"/>
    <cellStyle name="40% - Énfasis1 8 4 3" xfId="19424" xr:uid="{EEC92389-C61C-46D7-A1CD-0D35326CAE6F}"/>
    <cellStyle name="40% - Énfasis1 8 4 4" xfId="25193" xr:uid="{E21AEB7F-BE56-4DB8-8C35-D5B6F09C8B59}"/>
    <cellStyle name="40% - Énfasis1 8 4 5" xfId="31067" xr:uid="{A8D0C8DA-900C-4C26-BA44-3263BCDF8EF5}"/>
    <cellStyle name="40% - Énfasis1 8 4 6" xfId="36946" xr:uid="{F2B5B33B-227D-4D7E-A814-1093C8B69DD0}"/>
    <cellStyle name="40% - Énfasis1 8 5" xfId="5952" xr:uid="{EDECF7B8-FAC9-4D17-9A14-8B3B9BEA2E23}"/>
    <cellStyle name="40% - Énfasis1 8 5 2" xfId="8821" xr:uid="{F049067A-F6ED-4BAD-9B1B-ABF7B6B3460C}"/>
    <cellStyle name="40% - Énfasis1 8 5 2 2" xfId="23186" xr:uid="{BBF3A631-CD64-4AD9-A915-5D08AC53EDEC}"/>
    <cellStyle name="40% - Énfasis1 8 5 2 3" xfId="29053" xr:uid="{663EE5A6-0465-4E74-8C95-C9E14D63F8D8}"/>
    <cellStyle name="40% - Énfasis1 8 5 2 4" xfId="34935" xr:uid="{0950A111-1248-4BDC-90A0-4B11A35915D1}"/>
    <cellStyle name="40% - Énfasis1 8 5 2 5" xfId="40799" xr:uid="{74B07D95-ED4A-4437-8759-DF9CAE340303}"/>
    <cellStyle name="40% - Énfasis1 8 5 3" xfId="20402" xr:uid="{939E48C6-8AAE-411B-B2C0-758F8267A7E5}"/>
    <cellStyle name="40% - Énfasis1 8 5 4" xfId="26203" xr:uid="{707CDB1A-849A-40CE-B115-F5BF494E9D9D}"/>
    <cellStyle name="40% - Énfasis1 8 5 5" xfId="32078" xr:uid="{F6221129-261D-4FB7-B0C8-EA533C77EA2E}"/>
    <cellStyle name="40% - Énfasis1 8 5 6" xfId="37943" xr:uid="{8063077E-7D37-4E08-B269-53DAE7F11C82}"/>
    <cellStyle name="40% - Énfasis1 8 6" xfId="6838" xr:uid="{BE884E15-7C99-4EF0-8BC7-6428FDCFD832}"/>
    <cellStyle name="40% - Énfasis1 8 6 2" xfId="21261" xr:uid="{9A93F99C-2068-4F3C-9627-216B849A9EE9}"/>
    <cellStyle name="40% - Énfasis1 8 6 3" xfId="27076" xr:uid="{9008F7F0-24D9-41A8-9F7F-83751D5773DF}"/>
    <cellStyle name="40% - Énfasis1 8 6 4" xfId="32953" xr:uid="{37033622-9ECE-453B-8C9B-5B1314A6E2AE}"/>
    <cellStyle name="40% - Énfasis1 8 6 5" xfId="38817" xr:uid="{A230DC41-9F36-4B0E-95E3-06A1BAB63B55}"/>
    <cellStyle name="40% - Énfasis1 8 7" xfId="18512" xr:uid="{201A2F22-219E-4851-A962-3E6B5872AA78}"/>
    <cellStyle name="40% - Énfasis1 8 8" xfId="24221" xr:uid="{FB4754FD-C06E-47ED-95DC-FC6FB82CB5F4}"/>
    <cellStyle name="40% - Énfasis1 8 9" xfId="30099" xr:uid="{C8674859-7D9D-40A5-8738-A46F2D9FC522}"/>
    <cellStyle name="40% - Énfasis1 9" xfId="4009" xr:uid="{71B2FA7A-6436-4235-BB7E-74974BC9E1F5}"/>
    <cellStyle name="40% - Énfasis1 9 2" xfId="4480" xr:uid="{D45B4C45-DF8E-4C29-A327-7A7531568D03}"/>
    <cellStyle name="40% - Énfasis1 9 2 2" xfId="5448" xr:uid="{6BEB4601-6576-483C-8AC6-A3D034011663}"/>
    <cellStyle name="40% - Énfasis1 9 2 2 2" xfId="8315" xr:uid="{0371F1E8-F258-4804-92F4-FD10259DE636}"/>
    <cellStyle name="40% - Énfasis1 9 2 2 2 2" xfId="22691" xr:uid="{3C645BBB-4C37-49C4-B57A-CE5117143B39}"/>
    <cellStyle name="40% - Énfasis1 9 2 2 2 3" xfId="28548" xr:uid="{749A5D12-B9BD-4B47-9E6A-658596DBAA5C}"/>
    <cellStyle name="40% - Énfasis1 9 2 2 2 4" xfId="34430" xr:uid="{DAF9BF3E-302E-4D3F-9B51-22AA6E094421}"/>
    <cellStyle name="40% - Énfasis1 9 2 2 2 5" xfId="40294" xr:uid="{5408D410-E978-4089-A088-B87547395392}"/>
    <cellStyle name="40% - Énfasis1 9 2 2 3" xfId="19911" xr:uid="{E09EF984-67BA-4C18-B0F6-15963D1F0C19}"/>
    <cellStyle name="40% - Énfasis1 9 2 2 4" xfId="25699" xr:uid="{D115F5F9-20CB-4A21-B63A-F11EFD8F6814}"/>
    <cellStyle name="40% - Énfasis1 9 2 2 5" xfId="31573" xr:uid="{F64F3089-1560-4457-8F58-180ADB517E12}"/>
    <cellStyle name="40% - Énfasis1 9 2 2 6" xfId="37444" xr:uid="{4C59E587-E8F4-4CBA-8BD4-F458550DC390}"/>
    <cellStyle name="40% - Énfasis1 9 2 3" xfId="7343" xr:uid="{16FD6400-6A11-4392-9DAE-6D43E352561A}"/>
    <cellStyle name="40% - Énfasis1 9 2 3 2" xfId="21746" xr:uid="{B4A0A001-8E19-403A-A379-F40A0C29A1C7}"/>
    <cellStyle name="40% - Énfasis1 9 2 3 3" xfId="27577" xr:uid="{461DF2FB-D008-4693-A78F-E08651FD6F6E}"/>
    <cellStyle name="40% - Énfasis1 9 2 3 4" xfId="33459" xr:uid="{1DD7A785-BF84-4799-86E0-D382774D9BDB}"/>
    <cellStyle name="40% - Énfasis1 9 2 3 5" xfId="39323" xr:uid="{DD5EA652-7019-4092-9D7C-CC8B6C141BC7}"/>
    <cellStyle name="40% - Énfasis1 9 2 4" xfId="18984" xr:uid="{5E408AA5-0C3F-49EE-8A6F-64BA2C93572B}"/>
    <cellStyle name="40% - Énfasis1 9 2 5" xfId="24728" xr:uid="{287AD5E3-C370-4ECA-A7F9-2BEAD7D3D390}"/>
    <cellStyle name="40% - Énfasis1 9 2 6" xfId="30605" xr:uid="{591370A9-A5C5-47E4-9302-25495D19D7B8}"/>
    <cellStyle name="40% - Énfasis1 9 2 7" xfId="36487" xr:uid="{8172FB05-B69E-442C-AC03-2D166F7EEECF}"/>
    <cellStyle name="40% - Énfasis1 9 3" xfId="4963" xr:uid="{89CB8656-9E52-48BF-A412-EDDC85AE4EA4}"/>
    <cellStyle name="40% - Énfasis1 9 3 2" xfId="7830" xr:uid="{85A1ECBA-53BD-4194-B770-2C215540EE8D}"/>
    <cellStyle name="40% - Énfasis1 9 3 2 2" xfId="22216" xr:uid="{14D7D42B-07AA-43AB-A9DA-C0AF3B5BD4D1}"/>
    <cellStyle name="40% - Énfasis1 9 3 2 3" xfId="28063" xr:uid="{64A07F5A-2F29-495E-8ECE-3CFE1E7D5DA6}"/>
    <cellStyle name="40% - Énfasis1 9 3 2 4" xfId="33945" xr:uid="{EDBACFB7-FE19-476B-9293-79089BDE53DE}"/>
    <cellStyle name="40% - Énfasis1 9 3 2 5" xfId="39809" xr:uid="{61BFEFF9-646A-4646-9B54-9F6239168378}"/>
    <cellStyle name="40% - Énfasis1 9 3 3" xfId="19444" xr:uid="{12F96EB2-4117-479B-8331-8E9C1AC9754E}"/>
    <cellStyle name="40% - Énfasis1 9 3 4" xfId="25214" xr:uid="{D2D783B9-9EE3-4F78-8929-9D972E74D7DA}"/>
    <cellStyle name="40% - Énfasis1 9 3 5" xfId="31088" xr:uid="{6162BDEF-C1D9-4430-9536-5F6CB2920EC3}"/>
    <cellStyle name="40% - Énfasis1 9 3 6" xfId="36967" xr:uid="{34CB8260-FEB8-40F0-B9C0-DFEAF8B0B3C1}"/>
    <cellStyle name="40% - Énfasis1 9 4" xfId="6859" xr:uid="{1F66D941-3AFC-44EB-A121-DE70D31BB060}"/>
    <cellStyle name="40% - Énfasis1 9 4 2" xfId="21281" xr:uid="{BF8DD205-A15E-4EDB-9271-FA898C65C7EA}"/>
    <cellStyle name="40% - Énfasis1 9 4 3" xfId="27097" xr:uid="{57417C4D-CC3F-4A9B-9271-CAE498F92D00}"/>
    <cellStyle name="40% - Énfasis1 9 4 4" xfId="32974" xr:uid="{1E7B0200-F81C-4A86-8A05-BAA39DB899CC}"/>
    <cellStyle name="40% - Énfasis1 9 4 5" xfId="38838" xr:uid="{FDF5E376-9C72-452F-A21A-A4EC8EACE7EE}"/>
    <cellStyle name="40% - Énfasis1 9 5" xfId="18535" xr:uid="{5854E0EB-9054-4F63-837B-30C95E2E661A}"/>
    <cellStyle name="40% - Énfasis1 9 6" xfId="24245" xr:uid="{B1280252-547C-4F6D-9B5A-1D3C814D7025}"/>
    <cellStyle name="40% - Énfasis1 9 7" xfId="30123" xr:uid="{F0DE1F23-0D72-494C-9ADE-D5A0F42AD0D2}"/>
    <cellStyle name="40% - Énfasis1 9 8" xfId="36002" xr:uid="{18FB3E23-E51D-4694-8CBD-E5206B1E7207}"/>
    <cellStyle name="40% - Énfasis2" xfId="24" builtinId="35" customBuiltin="1"/>
    <cellStyle name="40% - Énfasis2 10" xfId="4204" xr:uid="{42C9A1CD-B4B0-4938-BA72-E23D2503448A}"/>
    <cellStyle name="40% - Énfasis2 10 2" xfId="4682" xr:uid="{1462B2CE-22C5-44EB-90B6-8EE424EF2A66}"/>
    <cellStyle name="40% - Énfasis2 10 2 2" xfId="5650" xr:uid="{D5D1F698-B845-4F9E-B834-1BE1D716C1FD}"/>
    <cellStyle name="40% - Énfasis2 10 2 2 2" xfId="8518" xr:uid="{96DD016E-AE44-47D2-9A30-2DFC0173C386}"/>
    <cellStyle name="40% - Énfasis2 10 2 2 2 2" xfId="22892" xr:uid="{7B8EDE83-9B5A-4AF4-A49F-242746FC3714}"/>
    <cellStyle name="40% - Énfasis2 10 2 2 2 3" xfId="28751" xr:uid="{BCE7B353-B8DD-4CB4-86DA-2B6A0243B866}"/>
    <cellStyle name="40% - Énfasis2 10 2 2 2 4" xfId="34633" xr:uid="{A53891B1-3784-430B-BCB3-B6DB8CBABB7D}"/>
    <cellStyle name="40% - Énfasis2 10 2 2 2 5" xfId="40497" xr:uid="{4F723E58-64B0-46C1-831E-9E859BB63F87}"/>
    <cellStyle name="40% - Énfasis2 10 2 2 3" xfId="20109" xr:uid="{06353036-59D2-4C5C-91BC-C951A06C3AED}"/>
    <cellStyle name="40% - Énfasis2 10 2 2 4" xfId="25901" xr:uid="{4CEF100A-1F9E-41FE-9242-968BCF784E0E}"/>
    <cellStyle name="40% - Énfasis2 10 2 2 5" xfId="31776" xr:uid="{322131C5-D716-439B-909E-2260DFE88516}"/>
    <cellStyle name="40% - Énfasis2 10 2 2 6" xfId="37645" xr:uid="{5C77F089-2D7C-45CF-99E1-DD52C8A39A24}"/>
    <cellStyle name="40% - Énfasis2 10 2 3" xfId="7546" xr:uid="{49983C10-E9E1-4A20-8B99-7D73AA7638FF}"/>
    <cellStyle name="40% - Énfasis2 10 2 3 2" xfId="21944" xr:uid="{01429E06-BBDE-4BE9-83E4-F5577537089D}"/>
    <cellStyle name="40% - Énfasis2 10 2 3 3" xfId="27780" xr:uid="{1174590A-AA9D-4920-B350-FC1B78357918}"/>
    <cellStyle name="40% - Énfasis2 10 2 3 4" xfId="33662" xr:uid="{96D2EE0F-1EBE-46D8-935B-E1499D082847}"/>
    <cellStyle name="40% - Énfasis2 10 2 3 5" xfId="39526" xr:uid="{1C5EFFB5-70F4-4A94-B55F-90B0D605F159}"/>
    <cellStyle name="40% - Énfasis2 10 2 4" xfId="19175" xr:uid="{70ACE26D-A3D5-4C95-ABD8-4E823C1592AF}"/>
    <cellStyle name="40% - Énfasis2 10 2 5" xfId="24931" xr:uid="{4187EF65-B440-4DAB-84F2-F5CAB33D9B77}"/>
    <cellStyle name="40% - Énfasis2 10 2 6" xfId="30806" xr:uid="{4C6980B6-1F51-4F23-86FA-22390828B543}"/>
    <cellStyle name="40% - Énfasis2 10 2 7" xfId="36688" xr:uid="{9324551A-8A14-4B65-ADDB-4B34296663EF}"/>
    <cellStyle name="40% - Énfasis2 10 3" xfId="5166" xr:uid="{95D74055-52EC-4CE6-91D7-C6D33733F153}"/>
    <cellStyle name="40% - Énfasis2 10 3 2" xfId="8033" xr:uid="{916D4CBF-7381-4B52-ADB9-A6CA1D4BDBAB}"/>
    <cellStyle name="40% - Énfasis2 10 3 2 2" xfId="22416" xr:uid="{B65429D1-5354-42B9-A3BF-48B05A2ABAE2}"/>
    <cellStyle name="40% - Énfasis2 10 3 2 3" xfId="28266" xr:uid="{8F920EC8-B03D-4504-8079-6BDB8A4B1F8B}"/>
    <cellStyle name="40% - Énfasis2 10 3 2 4" xfId="34148" xr:uid="{BFC16D9A-5DBC-49F9-95F7-C0E6A5EC0075}"/>
    <cellStyle name="40% - Énfasis2 10 3 2 5" xfId="40012" xr:uid="{9CC788A4-F49D-421A-BD8A-98F3ED5F2806}"/>
    <cellStyle name="40% - Énfasis2 10 3 3" xfId="19639" xr:uid="{C9E39B30-327C-4C62-B97A-DF09CF9CC1FE}"/>
    <cellStyle name="40% - Énfasis2 10 3 4" xfId="25417" xr:uid="{57A78BF0-973C-4B9A-B06B-99108EFB0621}"/>
    <cellStyle name="40% - Énfasis2 10 3 5" xfId="31291" xr:uid="{E4B30D79-BD10-4681-9188-C67D5079BCF5}"/>
    <cellStyle name="40% - Énfasis2 10 3 6" xfId="37168" xr:uid="{441D2C5E-C6AD-4B6A-B014-F152A5F6D6A9}"/>
    <cellStyle name="40% - Énfasis2 10 4" xfId="7061" xr:uid="{827955DD-CA08-4E83-A7E8-CA0FD0612A3A}"/>
    <cellStyle name="40% - Énfasis2 10 4 2" xfId="21476" xr:uid="{C92CBE38-9683-48F1-9F7B-FA9BD011267F}"/>
    <cellStyle name="40% - Énfasis2 10 4 3" xfId="27298" xr:uid="{5B8E1F6E-F064-42DA-A628-CA3533E156FA}"/>
    <cellStyle name="40% - Énfasis2 10 4 4" xfId="33177" xr:uid="{C9F8E7B6-7EFD-4E11-80D4-307D478779FD}"/>
    <cellStyle name="40% - Énfasis2 10 4 5" xfId="39041" xr:uid="{6349D2B9-6D91-424E-AA08-CEDD8D3E5A12}"/>
    <cellStyle name="40% - Énfasis2 10 5" xfId="18732" xr:uid="{B8AD00BA-6D9A-4E8E-B296-3FFAA3B478C1}"/>
    <cellStyle name="40% - Énfasis2 10 6" xfId="24448" xr:uid="{6D5BAD23-E8D3-4789-AD58-F66A38774F0B}"/>
    <cellStyle name="40% - Énfasis2 10 7" xfId="30324" xr:uid="{7E66FC18-B939-4610-B883-D7EEDE2249C0}"/>
    <cellStyle name="40% - Énfasis2 10 8" xfId="36205" xr:uid="{DDBFFA25-7075-4A57-A060-48BB49F12B15}"/>
    <cellStyle name="40% - Énfasis2 11" xfId="4239" xr:uid="{9FB1617A-D6C7-4C6C-AC52-9DEAFFF9AA3A}"/>
    <cellStyle name="40% - Énfasis2 11 2" xfId="4718" xr:uid="{068067B0-EF8C-429E-A93F-5C08A1DF1DDF}"/>
    <cellStyle name="40% - Énfasis2 11 2 2" xfId="5686" xr:uid="{0B253F32-36E5-45F5-844D-8D2756519A33}"/>
    <cellStyle name="40% - Énfasis2 11 2 2 2" xfId="8554" xr:uid="{A03B31D4-1952-41C9-A507-0B3F3E265698}"/>
    <cellStyle name="40% - Énfasis2 11 2 2 2 2" xfId="22926" xr:uid="{A499A978-E889-4827-92B9-419EBBAFE888}"/>
    <cellStyle name="40% - Énfasis2 11 2 2 2 3" xfId="28787" xr:uid="{FA5775B3-554C-43B3-9D84-CFCCDA272892}"/>
    <cellStyle name="40% - Énfasis2 11 2 2 2 4" xfId="34669" xr:uid="{341BAC15-1575-4FBA-8B6D-5C934E8F5725}"/>
    <cellStyle name="40% - Énfasis2 11 2 2 2 5" xfId="40533" xr:uid="{3CE7AA47-A33C-4EBC-B05F-2E97348F4225}"/>
    <cellStyle name="40% - Énfasis2 11 2 2 3" xfId="20143" xr:uid="{78AA441C-C637-4654-B38A-6E6CFE77C87F}"/>
    <cellStyle name="40% - Énfasis2 11 2 2 4" xfId="25937" xr:uid="{9E92322E-CD51-4F07-84C1-3C0F242DF109}"/>
    <cellStyle name="40% - Énfasis2 11 2 2 5" xfId="31812" xr:uid="{8F7F2032-0355-4B7C-9AC0-ABEC3B27F9BA}"/>
    <cellStyle name="40% - Énfasis2 11 2 2 6" xfId="37679" xr:uid="{9ADEE151-92C2-429B-858E-95B80317C212}"/>
    <cellStyle name="40% - Énfasis2 11 2 3" xfId="7582" xr:uid="{7755DEEF-7F53-4343-AC70-5EC1F18712D7}"/>
    <cellStyle name="40% - Énfasis2 11 2 3 2" xfId="21976" xr:uid="{BE3A3B8B-8227-499B-AA28-5BB3253D0E69}"/>
    <cellStyle name="40% - Énfasis2 11 2 3 3" xfId="27816" xr:uid="{116DDC15-B39C-4128-B5AE-57F012B7EADF}"/>
    <cellStyle name="40% - Énfasis2 11 2 3 4" xfId="33698" xr:uid="{309716BD-85D5-4D16-828D-E28C6D740804}"/>
    <cellStyle name="40% - Énfasis2 11 2 3 5" xfId="39562" xr:uid="{B5F23BD1-319A-4EE6-BD40-000E596DF9DB}"/>
    <cellStyle name="40% - Énfasis2 11 2 4" xfId="19208" xr:uid="{41E504D4-482E-4700-9258-8AF386E3FE1C}"/>
    <cellStyle name="40% - Énfasis2 11 2 5" xfId="24967" xr:uid="{C8C8BBD6-C611-4E8E-9A9A-27B0956B372D}"/>
    <cellStyle name="40% - Énfasis2 11 2 6" xfId="30841" xr:uid="{D28CD4E1-1138-480F-83BB-7AF034433FE6}"/>
    <cellStyle name="40% - Énfasis2 11 2 7" xfId="36722" xr:uid="{BFD5C077-28B6-4395-951A-960FC922647C}"/>
    <cellStyle name="40% - Énfasis2 11 3" xfId="5202" xr:uid="{0C7779E9-9DF4-42B6-A170-09D5E14EB59B}"/>
    <cellStyle name="40% - Énfasis2 11 3 2" xfId="8069" xr:uid="{9202E7C2-4078-4E43-A8A8-3A98187DCCCF}"/>
    <cellStyle name="40% - Énfasis2 11 3 2 2" xfId="22447" xr:uid="{09E079F9-6464-496F-B758-1C270C3BA945}"/>
    <cellStyle name="40% - Énfasis2 11 3 2 3" xfId="28302" xr:uid="{B3B88796-2001-4E4B-BD77-EC62DAEBF20A}"/>
    <cellStyle name="40% - Énfasis2 11 3 2 4" xfId="34184" xr:uid="{50044AE5-08CD-49B6-85A1-6242527F9291}"/>
    <cellStyle name="40% - Énfasis2 11 3 2 5" xfId="40048" xr:uid="{F142218A-ABF7-45F1-AF8F-46C687897433}"/>
    <cellStyle name="40% - Énfasis2 11 3 3" xfId="19673" xr:uid="{F9974B31-E004-441F-BB17-20CE7888075B}"/>
    <cellStyle name="40% - Énfasis2 11 3 4" xfId="25453" xr:uid="{02178EBF-161D-428E-90F5-D1DECD9197D2}"/>
    <cellStyle name="40% - Énfasis2 11 3 5" xfId="31327" xr:uid="{3592D6F7-3863-4606-864E-EFC0DCC8D66B}"/>
    <cellStyle name="40% - Énfasis2 11 3 6" xfId="37200" xr:uid="{95CADC97-2E0F-41B3-8DBE-2B04D9D7193C}"/>
    <cellStyle name="40% - Énfasis2 11 4" xfId="7097" xr:uid="{0BF90264-E3C5-42C0-A0FE-5C1E85CAA245}"/>
    <cellStyle name="40% - Énfasis2 11 4 2" xfId="21509" xr:uid="{DB66FA34-97FF-4093-9126-738913A33645}"/>
    <cellStyle name="40% - Énfasis2 11 4 3" xfId="27332" xr:uid="{1B1EF8F9-C5FE-4507-A3D3-46612BDEEF94}"/>
    <cellStyle name="40% - Énfasis2 11 4 4" xfId="33213" xr:uid="{324772F5-531B-456D-BE39-A31784A1CF24}"/>
    <cellStyle name="40% - Énfasis2 11 4 5" xfId="39077" xr:uid="{FCA82E73-068A-4254-8E93-7776160DBA12}"/>
    <cellStyle name="40% - Énfasis2 11 5" xfId="18761" xr:uid="{36818733-99F9-44E0-9489-E846FE093BC8}"/>
    <cellStyle name="40% - Énfasis2 11 6" xfId="24482" xr:uid="{43F3AF0A-F80A-477E-B7B0-C2CD27543CA3}"/>
    <cellStyle name="40% - Énfasis2 11 7" xfId="30360" xr:uid="{179581C1-37FF-4B5D-B1C3-C24453AAE163}"/>
    <cellStyle name="40% - Énfasis2 11 8" xfId="36241" xr:uid="{23A3FCDA-1C33-44BE-A01C-CF666EA7CD3B}"/>
    <cellStyle name="40% - Énfasis2 12" xfId="4289" xr:uid="{4AD41E51-1D18-4D90-B58D-A4980DAA975E}"/>
    <cellStyle name="40% - Énfasis2 12 2" xfId="5255" xr:uid="{C68E7A25-EEFE-4B8D-A738-E5972BA0B287}"/>
    <cellStyle name="40% - Énfasis2 12 2 2" xfId="8122" xr:uid="{39AC0357-5AC7-4B9F-B1AC-DD9DA5F4B732}"/>
    <cellStyle name="40% - Énfasis2 12 2 2 2" xfId="22499" xr:uid="{13BAB76D-ACBF-4BB1-8BC6-3CADFF5C8E9D}"/>
    <cellStyle name="40% - Énfasis2 12 2 2 3" xfId="28355" xr:uid="{B4174534-972E-447D-AEA5-CF09C8BD34C4}"/>
    <cellStyle name="40% - Énfasis2 12 2 2 4" xfId="34237" xr:uid="{33BF92AD-52BB-45E8-8C9A-7384F0A7B442}"/>
    <cellStyle name="40% - Énfasis2 12 2 2 5" xfId="40101" xr:uid="{90B03AF8-6CB1-4E3D-B74D-0890B5FB61DF}"/>
    <cellStyle name="40% - Énfasis2 12 2 3" xfId="19725" xr:uid="{860A584A-8087-40C7-B7A3-6D40633FAD1C}"/>
    <cellStyle name="40% - Énfasis2 12 2 4" xfId="25506" xr:uid="{72E94BF7-F008-49E9-82FD-7CC243D74611}"/>
    <cellStyle name="40% - Énfasis2 12 2 5" xfId="31380" xr:uid="{C279DAF2-C8B5-4503-BFCE-A9B77E96EDD4}"/>
    <cellStyle name="40% - Énfasis2 12 2 6" xfId="37252" xr:uid="{94DAE9CB-C2F3-446F-92A2-33EBEE8B4D4F}"/>
    <cellStyle name="40% - Énfasis2 12 3" xfId="7150" xr:uid="{3AD763E3-45F1-437C-9072-21607B821B88}"/>
    <cellStyle name="40% - Énfasis2 12 3 2" xfId="21561" xr:uid="{9CAACBD0-853E-4E8D-8D0C-E8F0C840957C}"/>
    <cellStyle name="40% - Énfasis2 12 3 3" xfId="27384" xr:uid="{43871472-31FB-4904-A414-A2080EAC75C9}"/>
    <cellStyle name="40% - Énfasis2 12 3 4" xfId="33266" xr:uid="{9BD6F780-D321-4546-B788-D8CFE4CD3ED1}"/>
    <cellStyle name="40% - Énfasis2 12 3 5" xfId="39130" xr:uid="{A03FF1D2-A291-40C7-9BAC-CDE49AF809A0}"/>
    <cellStyle name="40% - Énfasis2 12 4" xfId="18797" xr:uid="{601F8F2B-1F2D-4C80-BAC5-1645EFB01186}"/>
    <cellStyle name="40% - Énfasis2 12 5" xfId="24535" xr:uid="{3E254DCD-CB03-43CC-907D-1F4705A121B5}"/>
    <cellStyle name="40% - Énfasis2 12 6" xfId="30414" xr:uid="{138FF0DC-A2A7-483C-8966-DF3D069AE0F6}"/>
    <cellStyle name="40% - Énfasis2 12 7" xfId="36295" xr:uid="{6CBDDF43-7369-4F33-A953-2EAF9064D440}"/>
    <cellStyle name="40% - Énfasis2 13" xfId="4774" xr:uid="{48FC7417-12CD-49AE-9A1A-69FED8AEE657}"/>
    <cellStyle name="40% - Énfasis2 13 2" xfId="7637" xr:uid="{35FCABD3-3CFD-49BC-BC7E-55FB77283F07}"/>
    <cellStyle name="40% - Énfasis2 13 2 2" xfId="22030" xr:uid="{A6322633-FBEA-4546-97B1-215886123026}"/>
    <cellStyle name="40% - Énfasis2 13 2 3" xfId="27871" xr:uid="{CC391327-C45C-41F2-969C-B755E4F5D185}"/>
    <cellStyle name="40% - Énfasis2 13 2 4" xfId="33753" xr:uid="{05FD0F5E-0AC2-493C-9425-BD2AEFCF3811}"/>
    <cellStyle name="40% - Énfasis2 13 2 5" xfId="39617" xr:uid="{C893D5C5-65B5-44D3-B269-9919906B3253}"/>
    <cellStyle name="40% - Énfasis2 13 3" xfId="19256" xr:uid="{9ED1DB7A-BDAE-4625-9E0E-121E0D7981E9}"/>
    <cellStyle name="40% - Énfasis2 13 4" xfId="25022" xr:uid="{9D536885-6795-4272-A813-6CF55F095014}"/>
    <cellStyle name="40% - Énfasis2 13 5" xfId="30896" xr:uid="{DC759E2F-1828-4AC8-9AFD-27C3FEDC0A6C}"/>
    <cellStyle name="40% - Énfasis2 13 6" xfId="36776" xr:uid="{6EFBFBC9-99AB-4B3D-A3B9-CAFF878D1809}"/>
    <cellStyle name="40% - Énfasis2 14" xfId="5740" xr:uid="{F23787E3-F169-4C96-BE2B-8CC34BCF34BA}"/>
    <cellStyle name="40% - Énfasis2 14 2" xfId="8609" xr:uid="{CF5A8689-7360-4EEC-B57D-C353FE2DCD1F}"/>
    <cellStyle name="40% - Énfasis2 14 2 2" xfId="22980" xr:uid="{5252C7F4-FC70-4D62-B117-6F4F7987B626}"/>
    <cellStyle name="40% - Énfasis2 14 2 3" xfId="28842" xr:uid="{875B01C8-DF17-4DEE-B786-4A0DE6C6AF0B}"/>
    <cellStyle name="40% - Énfasis2 14 2 4" xfId="34724" xr:uid="{B7581F38-8478-4C54-B572-865790A6CD55}"/>
    <cellStyle name="40% - Énfasis2 14 2 5" xfId="40588" xr:uid="{C3A70A1C-FE9A-4910-9B93-03245124C411}"/>
    <cellStyle name="40% - Énfasis2 14 3" xfId="20198" xr:uid="{304216AA-3779-49EA-8910-6B4508819CCE}"/>
    <cellStyle name="40% - Énfasis2 14 4" xfId="25992" xr:uid="{30DB0F7A-5767-42B0-8711-AECC54E4C262}"/>
    <cellStyle name="40% - Énfasis2 14 5" xfId="31867" xr:uid="{0CC90CA3-ADEE-4473-9A5C-2265E77A2783}"/>
    <cellStyle name="40% - Énfasis2 14 6" xfId="37733" xr:uid="{08372107-85EE-4E4E-992B-5F1491B9B08F}"/>
    <cellStyle name="40% - Énfasis2 15" xfId="5760" xr:uid="{F1DC8B64-43B2-4AB7-AB25-20DEE53EE7E0}"/>
    <cellStyle name="40% - Énfasis2 15 2" xfId="8629" xr:uid="{52A0186C-280B-4023-BC51-8828FA748571}"/>
    <cellStyle name="40% - Énfasis2 15 2 2" xfId="23000" xr:uid="{326BEDB9-B7CD-4A60-84EE-E3B7B0F904C7}"/>
    <cellStyle name="40% - Énfasis2 15 2 3" xfId="28862" xr:uid="{077F1DB9-811D-4AD2-937A-9CAE035D9F86}"/>
    <cellStyle name="40% - Énfasis2 15 2 4" xfId="34744" xr:uid="{41C0333E-BF38-489C-ACEF-73515A64DAB1}"/>
    <cellStyle name="40% - Énfasis2 15 2 5" xfId="40608" xr:uid="{CA09F4B0-C1A1-47D5-ACAE-3069BF73E9EC}"/>
    <cellStyle name="40% - Énfasis2 15 3" xfId="20217" xr:uid="{FCB88DE4-ED69-4330-BF41-1C06FEBB88EF}"/>
    <cellStyle name="40% - Énfasis2 15 4" xfId="26012" xr:uid="{12F01D94-13BB-44D9-890C-A8B7A70936EB}"/>
    <cellStyle name="40% - Énfasis2 15 5" xfId="31887" xr:uid="{D8506B73-31E3-4B68-B627-884B9F1865B4}"/>
    <cellStyle name="40% - Énfasis2 15 6" xfId="37753" xr:uid="{3550BD15-1ED1-4CCC-AB17-1075B1AB2FC3}"/>
    <cellStyle name="40% - Énfasis2 16" xfId="5780" xr:uid="{1C28E08A-F13D-4224-A440-0073200A4781}"/>
    <cellStyle name="40% - Énfasis2 16 2" xfId="8649" xr:uid="{716632E4-1DD8-43BF-9F2B-A8E161D4B083}"/>
    <cellStyle name="40% - Énfasis2 16 2 2" xfId="23020" xr:uid="{ED56D088-20CB-4B84-B5C1-674364A723D8}"/>
    <cellStyle name="40% - Énfasis2 16 2 3" xfId="28882" xr:uid="{EEF4A87B-264B-4309-B810-C3DB47782CC7}"/>
    <cellStyle name="40% - Énfasis2 16 2 4" xfId="34764" xr:uid="{EC1D2D37-457E-40D1-B4D0-BB060675C406}"/>
    <cellStyle name="40% - Énfasis2 16 2 5" xfId="40628" xr:uid="{E9AFC0B9-A87B-459B-B236-A68536620791}"/>
    <cellStyle name="40% - Énfasis2 16 3" xfId="20235" xr:uid="{BD419323-894A-44A3-A628-8256FC7600B0}"/>
    <cellStyle name="40% - Énfasis2 16 4" xfId="26032" xr:uid="{4BE7A432-4F43-4858-9422-F0B0DBA37998}"/>
    <cellStyle name="40% - Énfasis2 16 5" xfId="31907" xr:uid="{87938FDC-65AE-463F-82CC-0059D7BDC9BA}"/>
    <cellStyle name="40% - Énfasis2 16 6" xfId="37773" xr:uid="{5997D6B8-D57C-4327-AF0E-0C9B18830646}"/>
    <cellStyle name="40% - Énfasis2 17" xfId="5979" xr:uid="{1B00A44E-72DE-4E6A-9089-29B7E41F7AF2}"/>
    <cellStyle name="40% - Énfasis2 17 2" xfId="8848" xr:uid="{393262C9-B773-44BB-AB43-46D672795C1F}"/>
    <cellStyle name="40% - Énfasis2 17 2 2" xfId="23212" xr:uid="{F794E9F4-75F6-47B1-B83D-2580DB55AD17}"/>
    <cellStyle name="40% - Énfasis2 17 2 3" xfId="29079" xr:uid="{FDEB55D9-9A48-438F-94C2-00996FE2CC4B}"/>
    <cellStyle name="40% - Énfasis2 17 2 4" xfId="34961" xr:uid="{4AEA7B7C-3E6C-458D-AEDA-529998786436}"/>
    <cellStyle name="40% - Énfasis2 17 2 5" xfId="40825" xr:uid="{4EF50F3F-04DB-440F-B637-10FF80DB297E}"/>
    <cellStyle name="40% - Énfasis2 17 3" xfId="20427" xr:uid="{D452FE16-9A6D-4DD2-A8B5-A489AFBE8FFF}"/>
    <cellStyle name="40% - Énfasis2 17 4" xfId="26229" xr:uid="{CB68F986-025F-4E1B-957F-4320EEE520A5}"/>
    <cellStyle name="40% - Énfasis2 17 5" xfId="32104" xr:uid="{1AED7A49-D00D-4DCE-A399-30F1F015B60A}"/>
    <cellStyle name="40% - Énfasis2 17 6" xfId="37969" xr:uid="{3EAF4F2A-37E6-4712-8F5D-E5C2A1420551}"/>
    <cellStyle name="40% - Énfasis2 18" xfId="5999" xr:uid="{A9777C48-E132-4E2B-930D-F92E745BA0E7}"/>
    <cellStyle name="40% - Énfasis2 18 2" xfId="8868" xr:uid="{6F1C2762-436F-46E1-B02F-32CC5AC28DE4}"/>
    <cellStyle name="40% - Énfasis2 18 2 2" xfId="23232" xr:uid="{FC2D23D5-E01D-4FA8-A180-E4EF93FA7FDF}"/>
    <cellStyle name="40% - Énfasis2 18 2 3" xfId="29099" xr:uid="{F90CBA55-D14B-496A-A999-0D491D6F6CD8}"/>
    <cellStyle name="40% - Énfasis2 18 2 4" xfId="34981" xr:uid="{F56234E8-4876-44F3-95CD-322D5853424F}"/>
    <cellStyle name="40% - Énfasis2 18 2 5" xfId="40845" xr:uid="{A0AF0649-0B9F-452A-9000-0BF72733909E}"/>
    <cellStyle name="40% - Énfasis2 18 3" xfId="20447" xr:uid="{A8A867F2-9276-459E-A41D-8958B92B1DDB}"/>
    <cellStyle name="40% - Énfasis2 18 4" xfId="26249" xr:uid="{B642EC99-E577-4E88-835B-2D59656B0116}"/>
    <cellStyle name="40% - Énfasis2 18 5" xfId="32124" xr:uid="{5F30B31F-AC37-4501-9B20-8F15E1504532}"/>
    <cellStyle name="40% - Énfasis2 18 6" xfId="37989" xr:uid="{F939EE78-65F7-4F70-AAB2-7E56139F697D}"/>
    <cellStyle name="40% - Énfasis2 19" xfId="6019" xr:uid="{FDF45E28-71E4-4112-AC00-3FBA6B5D3A51}"/>
    <cellStyle name="40% - Énfasis2 19 2" xfId="8888" xr:uid="{9D69A81D-2624-475C-9FC5-C1178106DE58}"/>
    <cellStyle name="40% - Énfasis2 19 2 2" xfId="23252" xr:uid="{2BF07689-7FB3-4D75-A8CB-83F34DDFB8F2}"/>
    <cellStyle name="40% - Énfasis2 19 2 3" xfId="29119" xr:uid="{7860B661-AD2E-442D-BD27-AD8C95860413}"/>
    <cellStyle name="40% - Énfasis2 19 2 4" xfId="35001" xr:uid="{6288B09E-94C1-4704-88D0-571740B4D664}"/>
    <cellStyle name="40% - Énfasis2 19 2 5" xfId="40865" xr:uid="{23F4F5F3-3BA6-438E-ADB0-D6DA4C2C22AF}"/>
    <cellStyle name="40% - Énfasis2 19 3" xfId="20467" xr:uid="{225E7251-707A-4116-A22A-A721CCCF5F1C}"/>
    <cellStyle name="40% - Énfasis2 19 4" xfId="26269" xr:uid="{2B0233E5-EB4A-4FD9-89F7-99D98B25BD67}"/>
    <cellStyle name="40% - Énfasis2 19 5" xfId="32144" xr:uid="{4B60EB92-0FBF-4F58-BB4D-0FDF9DAB2627}"/>
    <cellStyle name="40% - Énfasis2 19 6" xfId="38009" xr:uid="{0E5FC0F5-F7E0-45DB-86E2-260CEEBB1E00}"/>
    <cellStyle name="40% - Énfasis2 2" xfId="3843" xr:uid="{CB698A0E-D93D-4C1E-90FB-52FD25A80F10}"/>
    <cellStyle name="40% - Énfasis2 2 10" xfId="35824" xr:uid="{B2020078-3B0D-4E6D-9D50-616CA36E8D5E}"/>
    <cellStyle name="40% - Énfasis2 2 2" xfId="4039" xr:uid="{3A4EAC78-94C7-4ABD-84C1-061B35F500D8}"/>
    <cellStyle name="40% - Énfasis2 2 2 2" xfId="4513" xr:uid="{A656F56A-13E9-440E-A431-EDD7E89FB24B}"/>
    <cellStyle name="40% - Énfasis2 2 2 2 2" xfId="5481" xr:uid="{CE5E4C1A-5E0D-42AF-BAAD-E2AFE766353F}"/>
    <cellStyle name="40% - Énfasis2 2 2 2 2 2" xfId="8348" xr:uid="{C58D151C-D8BF-4F03-BEC5-0C865E6B8933}"/>
    <cellStyle name="40% - Énfasis2 2 2 2 2 2 2" xfId="22723" xr:uid="{37A54800-1348-4A43-B518-8BB349B4A1B0}"/>
    <cellStyle name="40% - Énfasis2 2 2 2 2 2 3" xfId="28581" xr:uid="{7A4DF9E5-A191-48EC-AEAD-2332BCD4B5C4}"/>
    <cellStyle name="40% - Énfasis2 2 2 2 2 2 4" xfId="34463" xr:uid="{C6A30DA0-178F-4F69-BB9F-46E3FF514DA8}"/>
    <cellStyle name="40% - Énfasis2 2 2 2 2 2 5" xfId="40327" xr:uid="{1C44EB6B-441B-4684-81C1-3C0792E8A413}"/>
    <cellStyle name="40% - Énfasis2 2 2 2 2 3" xfId="19942" xr:uid="{FE8F91A1-AD60-4CEE-9FA4-781642C67CDE}"/>
    <cellStyle name="40% - Énfasis2 2 2 2 2 4" xfId="25732" xr:uid="{23CC386F-0548-4D7F-A7CB-0D2EE209143D}"/>
    <cellStyle name="40% - Énfasis2 2 2 2 2 5" xfId="31606" xr:uid="{70F5B6FF-2C2E-43F6-9A34-B0394848D181}"/>
    <cellStyle name="40% - Énfasis2 2 2 2 2 6" xfId="37476" xr:uid="{70157EB3-1E9F-431E-BFF6-AB0B70C9BB79}"/>
    <cellStyle name="40% - Énfasis2 2 2 2 3" xfId="7376" xr:uid="{BF307F00-0AC6-4166-B88A-92F2F329EBEA}"/>
    <cellStyle name="40% - Énfasis2 2 2 2 3 2" xfId="21778" xr:uid="{6FAF4E40-01A8-4164-AF0C-79E4187F16C3}"/>
    <cellStyle name="40% - Énfasis2 2 2 2 3 3" xfId="27610" xr:uid="{0C9840E8-80A2-4E1D-8351-A53B8C2FD671}"/>
    <cellStyle name="40% - Énfasis2 2 2 2 3 4" xfId="33492" xr:uid="{B4CAB2F6-911C-4018-B50F-D7E1E2DF1231}"/>
    <cellStyle name="40% - Énfasis2 2 2 2 3 5" xfId="39356" xr:uid="{8A6C1614-7F76-448C-ABD0-907BCC0BA5D9}"/>
    <cellStyle name="40% - Énfasis2 2 2 2 4" xfId="19012" xr:uid="{9093E988-4C3B-4DC5-9A51-4AC171A70598}"/>
    <cellStyle name="40% - Énfasis2 2 2 2 5" xfId="24761" xr:uid="{AC7E0AC5-7E6B-4FF3-BAAB-8F86C1CAE602}"/>
    <cellStyle name="40% - Énfasis2 2 2 2 6" xfId="30638" xr:uid="{EF391ED9-BAC6-4570-A662-06A7D3B51B9A}"/>
    <cellStyle name="40% - Énfasis2 2 2 2 7" xfId="36519" xr:uid="{D1BE01FD-E11F-4EC1-8493-7F6BA3BA817D}"/>
    <cellStyle name="40% - Énfasis2 2 2 3" xfId="4996" xr:uid="{FE9B7282-CA9B-43E6-A664-614FE717151E}"/>
    <cellStyle name="40% - Énfasis2 2 2 3 2" xfId="7863" xr:uid="{1F289C7C-85E9-4346-850B-15773E9FD797}"/>
    <cellStyle name="40% - Énfasis2 2 2 3 2 2" xfId="22248" xr:uid="{3D9E6030-BABC-4200-8CB7-DB98F290101A}"/>
    <cellStyle name="40% - Énfasis2 2 2 3 2 3" xfId="28096" xr:uid="{041C50FC-E2C8-4537-BD28-AA639E8320B6}"/>
    <cellStyle name="40% - Énfasis2 2 2 3 2 4" xfId="33978" xr:uid="{8E5E9CA4-8E4C-4651-84E7-7A73DB820464}"/>
    <cellStyle name="40% - Énfasis2 2 2 3 2 5" xfId="39842" xr:uid="{BBD7C478-0BE7-45A0-864C-241ABD829030}"/>
    <cellStyle name="40% - Énfasis2 2 2 3 3" xfId="19475" xr:uid="{37E73A7D-1C1D-43AA-8987-531AA59DFCBF}"/>
    <cellStyle name="40% - Énfasis2 2 2 3 4" xfId="25247" xr:uid="{2E62D5F2-9438-4124-A280-7BF1EF2C37E6}"/>
    <cellStyle name="40% - Énfasis2 2 2 3 5" xfId="31121" xr:uid="{F4B8CB9C-4B99-48E6-9BE3-417B170F0AF0}"/>
    <cellStyle name="40% - Énfasis2 2 2 3 6" xfId="36999" xr:uid="{F8947531-7DFF-4E13-8328-18F7D9DF25DF}"/>
    <cellStyle name="40% - Énfasis2 2 2 4" xfId="6891" xr:uid="{887E97B3-0A80-452C-AF3D-A62A9945BF69}"/>
    <cellStyle name="40% - Énfasis2 2 2 4 2" xfId="21312" xr:uid="{AE2C6B2C-0AEC-49F4-BD0B-35BDA664E463}"/>
    <cellStyle name="40% - Énfasis2 2 2 4 3" xfId="27129" xr:uid="{E678D551-9D86-47BC-8E47-E28BA5EBD22C}"/>
    <cellStyle name="40% - Énfasis2 2 2 4 4" xfId="33007" xr:uid="{C37EBBE8-17EF-478D-A820-996A66363342}"/>
    <cellStyle name="40% - Énfasis2 2 2 4 5" xfId="38871" xr:uid="{D4B2D8D2-8D83-46D1-BC3D-7E7780EFD9D2}"/>
    <cellStyle name="40% - Énfasis2 2 2 5" xfId="18566" xr:uid="{ADB395A7-DE60-4126-BB7A-EA5C8E2F9197}"/>
    <cellStyle name="40% - Énfasis2 2 2 6" xfId="24278" xr:uid="{B7DD8790-B591-4B94-8C00-E115D1D4EE01}"/>
    <cellStyle name="40% - Énfasis2 2 2 7" xfId="30156" xr:uid="{1151920E-B414-4FE0-93ED-8A0F433CAAC0}"/>
    <cellStyle name="40% - Énfasis2 2 2 8" xfId="36035" xr:uid="{2C1AF218-5D3A-43B8-BF29-219182DA8CE0}"/>
    <cellStyle name="40% - Énfasis2 2 3" xfId="4319" xr:uid="{266B39DD-9CC9-40AE-AE39-F7E06554F276}"/>
    <cellStyle name="40% - Énfasis2 2 3 2" xfId="5285" xr:uid="{EBF359AD-9DB2-4F8E-A20B-702CAAB25FAB}"/>
    <cellStyle name="40% - Énfasis2 2 3 2 2" xfId="8152" xr:uid="{98FD44F6-96DE-403C-B6D9-19A9647E74B2}"/>
    <cellStyle name="40% - Énfasis2 2 3 2 2 2" xfId="22528" xr:uid="{AE114441-77CA-4D02-B7AA-32C021D97538}"/>
    <cellStyle name="40% - Énfasis2 2 3 2 2 3" xfId="28385" xr:uid="{4A187CDF-5E66-41ED-A5D7-B2F7550F1938}"/>
    <cellStyle name="40% - Énfasis2 2 3 2 2 4" xfId="34267" xr:uid="{8DED5F43-8C6B-4163-AB64-F19DA323C8C5}"/>
    <cellStyle name="40% - Énfasis2 2 3 2 2 5" xfId="40131" xr:uid="{F91CAC46-0122-4D9A-8842-2773B1D4F680}"/>
    <cellStyle name="40% - Énfasis2 2 3 2 3" xfId="19753" xr:uid="{6E98B502-64D0-4150-A56B-632605805557}"/>
    <cellStyle name="40% - Énfasis2 2 3 2 4" xfId="25536" xr:uid="{BA1A0483-D668-42BB-B994-A082E0835E59}"/>
    <cellStyle name="40% - Énfasis2 2 3 2 5" xfId="31410" xr:uid="{3E498172-5D39-46FA-A41B-116924CF39DC}"/>
    <cellStyle name="40% - Énfasis2 2 3 2 6" xfId="37281" xr:uid="{DFE246FB-5C8E-4BBB-8F12-AC6174473802}"/>
    <cellStyle name="40% - Énfasis2 2 3 3" xfId="7180" xr:uid="{E5F99A80-C4F3-4C30-B510-C5F32F6C6F9C}"/>
    <cellStyle name="40% - Énfasis2 2 3 3 2" xfId="21587" xr:uid="{02C96FF1-0ADB-410E-A364-A7341C8E4393}"/>
    <cellStyle name="40% - Énfasis2 2 3 3 3" xfId="27414" xr:uid="{EB26F88C-7CF3-4E83-B39D-EF8B8D724069}"/>
    <cellStyle name="40% - Énfasis2 2 3 3 4" xfId="33296" xr:uid="{B59FE011-BCA8-40F4-8806-C3F209DB20DE}"/>
    <cellStyle name="40% - Énfasis2 2 3 3 5" xfId="39160" xr:uid="{CFA3773A-875C-443C-8657-BCFB4382E0B4}"/>
    <cellStyle name="40% - Énfasis2 2 3 4" xfId="18824" xr:uid="{60586A97-49B1-412F-AB13-59657EE8DD00}"/>
    <cellStyle name="40% - Énfasis2 2 3 5" xfId="24565" xr:uid="{78E946FF-76AB-4DB2-A060-CE7EC008E464}"/>
    <cellStyle name="40% - Énfasis2 2 3 6" xfId="30444" xr:uid="{5210C4AD-1835-4A60-B091-EE515838F1A0}"/>
    <cellStyle name="40% - Énfasis2 2 3 7" xfId="36324" xr:uid="{CAE86620-CB98-4B3E-87C2-2D26810E83EF}"/>
    <cellStyle name="40% - Énfasis2 2 4" xfId="4804" xr:uid="{35DC1A71-2152-460E-87BF-496997212544}"/>
    <cellStyle name="40% - Énfasis2 2 4 2" xfId="7667" xr:uid="{8F13EC07-96C3-4597-B8DF-10FD8028B2A0}"/>
    <cellStyle name="40% - Énfasis2 2 4 2 2" xfId="22058" xr:uid="{81A909DF-9D17-4AB1-ADF3-ADCF80D763C1}"/>
    <cellStyle name="40% - Énfasis2 2 4 2 3" xfId="27900" xr:uid="{6943BD03-8543-4211-9414-E978A20DDA97}"/>
    <cellStyle name="40% - Énfasis2 2 4 2 4" xfId="33782" xr:uid="{669DD0B8-586C-4479-9A49-A543DF2A9F89}"/>
    <cellStyle name="40% - Énfasis2 2 4 2 5" xfId="39646" xr:uid="{2830EBB4-FF26-4E08-AFC3-D078CDB40983}"/>
    <cellStyle name="40% - Énfasis2 2 4 3" xfId="19283" xr:uid="{DBF1C7CD-6617-44AA-83B1-60C1824CA017}"/>
    <cellStyle name="40% - Énfasis2 2 4 4" xfId="25051" xr:uid="{A92B1B3C-F72D-4B62-8997-AA987C8A7F6D}"/>
    <cellStyle name="40% - Énfasis2 2 4 5" xfId="30925" xr:uid="{4D7D52AC-4871-47C3-8122-856E74F05A1E}"/>
    <cellStyle name="40% - Énfasis2 2 4 6" xfId="36804" xr:uid="{AD7DA15B-1282-4B77-B9A3-B6F2661D59BA}"/>
    <cellStyle name="40% - Énfasis2 2 5" xfId="5810" xr:uid="{9034F5E2-E6D2-4B21-9347-C7D248C0D6BA}"/>
    <cellStyle name="40% - Énfasis2 2 5 2" xfId="8679" xr:uid="{8C259D14-B6F3-4CE3-9754-7B765296A4D0}"/>
    <cellStyle name="40% - Énfasis2 2 5 2 2" xfId="23047" xr:uid="{3DC4A203-54B5-4F40-B65C-ACC66935C757}"/>
    <cellStyle name="40% - Énfasis2 2 5 2 3" xfId="28911" xr:uid="{CA00BB76-59DC-4CE4-936C-7548DD9A46BF}"/>
    <cellStyle name="40% - Énfasis2 2 5 2 4" xfId="34793" xr:uid="{B2F68DD3-8BA6-48FD-9B14-953A3E83CFD6}"/>
    <cellStyle name="40% - Énfasis2 2 5 2 5" xfId="40657" xr:uid="{FB31393D-2F47-4D78-9982-74717A780268}"/>
    <cellStyle name="40% - Énfasis2 2 5 3" xfId="20262" xr:uid="{DFB7E65F-B777-4AE3-8C8A-C36FA1A277E6}"/>
    <cellStyle name="40% - Énfasis2 2 5 4" xfId="26061" xr:uid="{ED1EAB3E-39A2-4382-813E-FFE2E9694670}"/>
    <cellStyle name="40% - Énfasis2 2 5 5" xfId="31936" xr:uid="{BEC9546A-E948-4DCB-B80C-7750A5F4BE57}"/>
    <cellStyle name="40% - Énfasis2 2 5 6" xfId="37802" xr:uid="{155B3980-8E29-4472-A13B-6259121D37C5}"/>
    <cellStyle name="40% - Énfasis2 2 6" xfId="6696" xr:uid="{C6053A09-EC27-4AF5-B53C-EB8953B13CB3}"/>
    <cellStyle name="40% - Énfasis2 2 6 2" xfId="21123" xr:uid="{48C484DC-D88E-4DBF-978D-B64AC3B53EFD}"/>
    <cellStyle name="40% - Énfasis2 2 6 3" xfId="26935" xr:uid="{049D67AE-3D5B-4350-866D-EBD8F14C37D4}"/>
    <cellStyle name="40% - Énfasis2 2 6 4" xfId="32811" xr:uid="{AE373B94-840A-4420-8654-FE278AFDB12D}"/>
    <cellStyle name="40% - Énfasis2 2 6 5" xfId="38675" xr:uid="{BDEE3036-A926-4D70-BA42-976199EB44D7}"/>
    <cellStyle name="40% - Énfasis2 2 7" xfId="18357" xr:uid="{6CA38B2D-D46E-4E0C-8733-06974AAA3CC4}"/>
    <cellStyle name="40% - Énfasis2 2 8" xfId="24065" xr:uid="{A9AC7567-ED07-4C74-91B2-8AEE248D0CC2}"/>
    <cellStyle name="40% - Énfasis2 2 9" xfId="29943" xr:uid="{14967EBD-A6FB-48BB-ADEC-F730C0D1A9C0}"/>
    <cellStyle name="40% - Énfasis2 20" xfId="6039" xr:uid="{F9FBCD34-086E-4FA9-8C1E-F626926B078C}"/>
    <cellStyle name="40% - Énfasis2 20 2" xfId="8908" xr:uid="{1AABFBB4-0695-4E7F-8AFD-14C941FA73D6}"/>
    <cellStyle name="40% - Énfasis2 20 2 2" xfId="23272" xr:uid="{7FD65575-0119-472D-B88D-C565746DC08D}"/>
    <cellStyle name="40% - Énfasis2 20 2 3" xfId="29139" xr:uid="{9EEDD9D5-62FB-43C8-B9CF-A9FDDF21C3AB}"/>
    <cellStyle name="40% - Énfasis2 20 2 4" xfId="35021" xr:uid="{95AEE38E-FD3D-4ECE-9E5B-3EA1B9899501}"/>
    <cellStyle name="40% - Énfasis2 20 2 5" xfId="40885" xr:uid="{C3513FAF-DF48-4CB9-9D87-B2B7EADC5A43}"/>
    <cellStyle name="40% - Énfasis2 20 3" xfId="20487" xr:uid="{8CF8370A-D207-4753-94A6-E2B204286C23}"/>
    <cellStyle name="40% - Énfasis2 20 4" xfId="26289" xr:uid="{4C373BE8-DF09-4E05-A202-AC40E88017D9}"/>
    <cellStyle name="40% - Énfasis2 20 5" xfId="32164" xr:uid="{B3C48C4A-9D22-4EB9-AB71-2192971C0E89}"/>
    <cellStyle name="40% - Énfasis2 20 6" xfId="38029" xr:uid="{3C75D069-DC36-4C4E-A947-AB4CB087F727}"/>
    <cellStyle name="40% - Énfasis2 21" xfId="6059" xr:uid="{B27ED19B-929E-43BA-B5C2-58ECE9A5B5DF}"/>
    <cellStyle name="40% - Énfasis2 21 2" xfId="8928" xr:uid="{327E868F-EC84-49F5-BA59-71222E56257C}"/>
    <cellStyle name="40% - Énfasis2 21 2 2" xfId="23292" xr:uid="{8377FF98-35B8-4809-90AD-D74303523528}"/>
    <cellStyle name="40% - Énfasis2 21 2 3" xfId="29159" xr:uid="{E1238EBD-EF9F-4BC3-B0AC-084C8EBEEF6E}"/>
    <cellStyle name="40% - Énfasis2 21 2 4" xfId="35041" xr:uid="{80D879AD-5FE4-43D0-B6E6-A4881D0CFDEF}"/>
    <cellStyle name="40% - Énfasis2 21 2 5" xfId="40905" xr:uid="{32EB02B0-2DE0-4BBD-BF20-8FE5AAD67E92}"/>
    <cellStyle name="40% - Énfasis2 21 3" xfId="20507" xr:uid="{8C71B143-6BFB-41AD-8F9D-E7FDFA059076}"/>
    <cellStyle name="40% - Énfasis2 21 4" xfId="26309" xr:uid="{8CE77C24-2521-44EA-AF53-5428C1B2E21D}"/>
    <cellStyle name="40% - Énfasis2 21 5" xfId="32184" xr:uid="{49D769FA-21F0-4F5B-9FD5-83411D6B5812}"/>
    <cellStyle name="40% - Énfasis2 21 6" xfId="38049" xr:uid="{789A8E8D-AC2B-4A9C-927B-C0C385FBE03C}"/>
    <cellStyle name="40% - Énfasis2 22" xfId="6079" xr:uid="{1E6A66E0-4115-44D9-9DFF-109A759BCB7A}"/>
    <cellStyle name="40% - Énfasis2 22 2" xfId="8948" xr:uid="{96C5C2EE-344E-427A-9B6D-C3E3AA520950}"/>
    <cellStyle name="40% - Énfasis2 22 2 2" xfId="23312" xr:uid="{C5BAE86F-C504-4244-83CA-2943532982B8}"/>
    <cellStyle name="40% - Énfasis2 22 2 3" xfId="29179" xr:uid="{8203E0C0-598E-45FF-982B-E4E6A5B6D1CB}"/>
    <cellStyle name="40% - Énfasis2 22 2 4" xfId="35061" xr:uid="{B6D818B9-DE61-448D-9AD8-B7A2C142FD7E}"/>
    <cellStyle name="40% - Énfasis2 22 2 5" xfId="40925" xr:uid="{522854E6-793D-45B1-8813-A0E525BFB287}"/>
    <cellStyle name="40% - Énfasis2 22 3" xfId="20527" xr:uid="{92220527-77BC-4CEC-A049-AAD1BE2D24B1}"/>
    <cellStyle name="40% - Énfasis2 22 4" xfId="26329" xr:uid="{BF51AF25-1A13-4CE7-B9ED-D817AEC377A5}"/>
    <cellStyle name="40% - Énfasis2 22 5" xfId="32204" xr:uid="{B7565B3F-8AF8-4A36-AD8C-608DB066FC24}"/>
    <cellStyle name="40% - Énfasis2 22 6" xfId="38069" xr:uid="{9FAEA1EC-D47A-4A73-897B-F343CAE3F744}"/>
    <cellStyle name="40% - Énfasis2 23" xfId="6099" xr:uid="{A19FAB15-E076-4229-BCE3-890692D8FC89}"/>
    <cellStyle name="40% - Énfasis2 23 2" xfId="8968" xr:uid="{2519AEC5-9D0C-4283-894E-4704C6B5235F}"/>
    <cellStyle name="40% - Énfasis2 23 2 2" xfId="23332" xr:uid="{E329D12F-BEB0-4DF3-82D7-56EE973E8D12}"/>
    <cellStyle name="40% - Énfasis2 23 2 3" xfId="29199" xr:uid="{2732296F-F1DC-4E64-BFC9-85FC24A52B6E}"/>
    <cellStyle name="40% - Énfasis2 23 2 4" xfId="35081" xr:uid="{9FB108C1-6C94-48E5-915F-404BC6BA5CA6}"/>
    <cellStyle name="40% - Énfasis2 23 2 5" xfId="40945" xr:uid="{16A5054F-50D6-4B3C-B316-07374259EA93}"/>
    <cellStyle name="40% - Énfasis2 23 3" xfId="20547" xr:uid="{13ED5CAE-501A-414A-A4A0-F34154632F11}"/>
    <cellStyle name="40% - Énfasis2 23 4" xfId="26349" xr:uid="{4E768D6E-AA5A-4173-B083-05BFA5CCF215}"/>
    <cellStyle name="40% - Énfasis2 23 5" xfId="32224" xr:uid="{AC96038B-D37D-47B3-AD06-0AC22B5AAFB2}"/>
    <cellStyle name="40% - Énfasis2 23 6" xfId="38089" xr:uid="{5FE57593-7F49-405C-9FB3-6521DA52C1A8}"/>
    <cellStyle name="40% - Énfasis2 24" xfId="6119" xr:uid="{C770E655-DAD7-4CDF-A37A-E1125A63FA0C}"/>
    <cellStyle name="40% - Énfasis2 24 2" xfId="8988" xr:uid="{044935CE-C5F9-47B0-9D61-A28263959AFB}"/>
    <cellStyle name="40% - Énfasis2 24 2 2" xfId="23352" xr:uid="{ECA8C1FC-D201-4F81-B443-FDA2B4C84353}"/>
    <cellStyle name="40% - Énfasis2 24 2 3" xfId="29219" xr:uid="{C3F4E044-951A-499B-B7B7-7BF72A9E4470}"/>
    <cellStyle name="40% - Énfasis2 24 2 4" xfId="35101" xr:uid="{712DD95E-D597-4D8B-B4E6-388A4A4720C2}"/>
    <cellStyle name="40% - Énfasis2 24 2 5" xfId="40965" xr:uid="{A2476F28-AD7A-4BE4-A777-7331DD398FC3}"/>
    <cellStyle name="40% - Énfasis2 24 3" xfId="20567" xr:uid="{FA674143-7AB3-4A32-AE8D-F9420E896697}"/>
    <cellStyle name="40% - Énfasis2 24 4" xfId="26369" xr:uid="{23E53485-01B7-4084-95BB-680FA1364040}"/>
    <cellStyle name="40% - Énfasis2 24 5" xfId="32244" xr:uid="{AAE5C5BB-07ED-4879-9452-5A81ED4154A8}"/>
    <cellStyle name="40% - Énfasis2 24 6" xfId="38109" xr:uid="{019E875E-9201-4077-A8EF-1AEE61CBD695}"/>
    <cellStyle name="40% - Énfasis2 25" xfId="6139" xr:uid="{D2A731EC-030C-4870-8873-B70E3FEF1540}"/>
    <cellStyle name="40% - Énfasis2 25 2" xfId="9008" xr:uid="{D964A859-CB53-4567-BDF3-F9AB3109287E}"/>
    <cellStyle name="40% - Énfasis2 25 2 2" xfId="23372" xr:uid="{E073C126-9A14-4651-A3EF-3566A20BDD5C}"/>
    <cellStyle name="40% - Énfasis2 25 2 3" xfId="29239" xr:uid="{5609A704-6BB5-4074-A615-49DF8B796428}"/>
    <cellStyle name="40% - Énfasis2 25 2 4" xfId="35121" xr:uid="{BB06D784-42FE-491F-BDEA-EA707BCAD0BB}"/>
    <cellStyle name="40% - Énfasis2 25 2 5" xfId="40984" xr:uid="{2BF7D4E5-3B13-43A6-9BBE-AE45DCA54948}"/>
    <cellStyle name="40% - Énfasis2 25 3" xfId="20587" xr:uid="{92E0A5F2-1F00-4B38-A103-51F093450477}"/>
    <cellStyle name="40% - Énfasis2 25 4" xfId="26389" xr:uid="{C6D9785E-7CFF-40EF-8E0E-DBDCBA14748D}"/>
    <cellStyle name="40% - Énfasis2 25 5" xfId="32264" xr:uid="{FF4B2693-4E75-4E6D-9F13-7892BA376FDB}"/>
    <cellStyle name="40% - Énfasis2 25 6" xfId="38129" xr:uid="{37857A3C-7DAF-4700-A27F-8B24634796BE}"/>
    <cellStyle name="40% - Énfasis2 26" xfId="6159" xr:uid="{7DC42CED-2135-4A85-9BA3-850C5DBB5851}"/>
    <cellStyle name="40% - Énfasis2 26 2" xfId="9028" xr:uid="{3E549C25-4F70-4427-B830-864411158707}"/>
    <cellStyle name="40% - Énfasis2 26 2 2" xfId="23392" xr:uid="{2822C83E-F9A9-4518-983C-56641F17C536}"/>
    <cellStyle name="40% - Énfasis2 26 2 3" xfId="29259" xr:uid="{610D6533-0664-41A3-AB42-C465A58FE501}"/>
    <cellStyle name="40% - Énfasis2 26 2 4" xfId="35141" xr:uid="{850E3739-5541-4CE5-8E84-1A17069E3546}"/>
    <cellStyle name="40% - Énfasis2 26 2 5" xfId="41003" xr:uid="{9BDB3705-D48E-4210-B1F1-BDF985598318}"/>
    <cellStyle name="40% - Énfasis2 26 3" xfId="20607" xr:uid="{5D8D3C0C-CA4A-464D-8AC4-98CE38F077A2}"/>
    <cellStyle name="40% - Énfasis2 26 4" xfId="26409" xr:uid="{0793173A-F2FF-4A43-9A4E-2F3097A6AA67}"/>
    <cellStyle name="40% - Énfasis2 26 5" xfId="32284" xr:uid="{771F1122-14B9-419B-9BE0-A32E84CABB50}"/>
    <cellStyle name="40% - Énfasis2 26 6" xfId="38149" xr:uid="{366CB495-9AE3-489B-8927-86B4447A1762}"/>
    <cellStyle name="40% - Énfasis2 27" xfId="6179" xr:uid="{43C1B21A-AB83-40D9-84E0-C06CA7B11A5C}"/>
    <cellStyle name="40% - Énfasis2 27 2" xfId="9048" xr:uid="{07B1E378-E976-46F1-AEE7-F77C516443A4}"/>
    <cellStyle name="40% - Énfasis2 27 2 2" xfId="23412" xr:uid="{03B0786B-4604-42AB-AF67-85FAF66CD9AD}"/>
    <cellStyle name="40% - Énfasis2 27 2 3" xfId="29279" xr:uid="{6A4A7B47-509C-4A03-A2E6-02B8D2F4008A}"/>
    <cellStyle name="40% - Énfasis2 27 2 4" xfId="35161" xr:uid="{04D5CF7A-F001-4162-AE06-455181EE21B3}"/>
    <cellStyle name="40% - Énfasis2 27 2 5" xfId="41023" xr:uid="{7248B139-AA5B-4FBA-96C0-64B3856B106C}"/>
    <cellStyle name="40% - Énfasis2 27 3" xfId="20627" xr:uid="{8D741287-D640-49E3-A9CE-F827E75CEC16}"/>
    <cellStyle name="40% - Énfasis2 27 4" xfId="26429" xr:uid="{D3291F63-3D46-47A5-B000-004F1344B526}"/>
    <cellStyle name="40% - Énfasis2 27 5" xfId="32304" xr:uid="{D4128F31-BA9D-47D0-A39F-4EA23805EBD8}"/>
    <cellStyle name="40% - Énfasis2 27 6" xfId="38169" xr:uid="{BF6D68B5-9E2F-48F0-B35E-FCEB66827051}"/>
    <cellStyle name="40% - Énfasis2 28" xfId="6201" xr:uid="{60ED1EBD-0A26-456E-8735-DEF145EF216D}"/>
    <cellStyle name="40% - Énfasis2 28 2" xfId="9070" xr:uid="{42784DC9-144F-43AA-BB29-41B2350219F9}"/>
    <cellStyle name="40% - Énfasis2 28 2 2" xfId="23434" xr:uid="{FA4844AE-9BDD-4CA8-8ACD-2086727127BE}"/>
    <cellStyle name="40% - Énfasis2 28 2 3" xfId="29301" xr:uid="{776A625E-D33F-483E-A751-3423FA04AFD1}"/>
    <cellStyle name="40% - Énfasis2 28 2 4" xfId="35183" xr:uid="{34408B8E-15F6-4D19-9F9C-FE91F3BD089F}"/>
    <cellStyle name="40% - Énfasis2 28 2 5" xfId="41044" xr:uid="{3AC46124-F058-4A7E-9540-BB69423FA2EE}"/>
    <cellStyle name="40% - Énfasis2 28 3" xfId="20649" xr:uid="{84276652-98B2-413C-A442-79C029BB73DC}"/>
    <cellStyle name="40% - Énfasis2 28 4" xfId="26451" xr:uid="{2B74D49B-40C3-49B3-ABD7-635280F20F24}"/>
    <cellStyle name="40% - Énfasis2 28 5" xfId="32326" xr:uid="{A2C4B1A9-5B2D-472B-AD40-3BB74FD918F4}"/>
    <cellStyle name="40% - Énfasis2 28 6" xfId="38191" xr:uid="{EA630A63-5FDE-41C9-AF9C-8D700BD5B1A7}"/>
    <cellStyle name="40% - Énfasis2 29" xfId="6238" xr:uid="{3D4D6427-7B2F-4FE5-ACBC-DAF3D69E3A48}"/>
    <cellStyle name="40% - Énfasis2 29 2" xfId="9107" xr:uid="{2CAFE9AA-C835-4BC2-8AE8-4FD3F8E02FB9}"/>
    <cellStyle name="40% - Énfasis2 29 2 2" xfId="23471" xr:uid="{06362626-EB6B-461E-851A-9F1D0614ADCB}"/>
    <cellStyle name="40% - Énfasis2 29 2 3" xfId="29338" xr:uid="{3F2D78D3-5433-4398-929A-07D607248EAE}"/>
    <cellStyle name="40% - Énfasis2 29 2 4" xfId="35220" xr:uid="{64C69F5C-C3BF-41DE-A484-6D45ADCF0657}"/>
    <cellStyle name="40% - Énfasis2 29 2 5" xfId="41080" xr:uid="{820F8E53-CD92-4FDB-BAEA-D73662B324F1}"/>
    <cellStyle name="40% - Énfasis2 29 3" xfId="20679" xr:uid="{8D26A0F7-53AF-4E78-A5D7-14898DDE2135}"/>
    <cellStyle name="40% - Énfasis2 29 4" xfId="26488" xr:uid="{0FA0FE73-1E8D-4D5D-A377-C60898BCE12C}"/>
    <cellStyle name="40% - Énfasis2 29 5" xfId="32363" xr:uid="{9B703EC4-976E-48A0-9266-37D700DF3953}"/>
    <cellStyle name="40% - Énfasis2 29 6" xfId="38228" xr:uid="{B16040C8-6B4A-4F6A-ADB0-61BAB41376A3}"/>
    <cellStyle name="40% - Énfasis2 3" xfId="3861" xr:uid="{241377D1-3C95-4B44-9DF7-3FF5CB4A2984}"/>
    <cellStyle name="40% - Énfasis2 3 10" xfId="35851" xr:uid="{2E5E2C94-E2F6-46FF-B708-70D38587AB95}"/>
    <cellStyle name="40% - Énfasis2 3 2" xfId="4060" xr:uid="{BB5893A4-6D77-4994-A909-C92AFBD2124C}"/>
    <cellStyle name="40% - Énfasis2 3 2 2" xfId="4538" xr:uid="{827B8659-50DC-41F3-AE11-BCC0B8C5FD67}"/>
    <cellStyle name="40% - Énfasis2 3 2 2 2" xfId="5506" xr:uid="{A015863D-EA2E-46B8-A860-CB00A50BCF0A}"/>
    <cellStyle name="40% - Énfasis2 3 2 2 2 2" xfId="8373" xr:uid="{BE6B0DA5-7103-4475-A3F1-7CC276FA1427}"/>
    <cellStyle name="40% - Énfasis2 3 2 2 2 2 2" xfId="22748" xr:uid="{5A8646A5-ABF5-4DCC-916A-5DD7BE355F50}"/>
    <cellStyle name="40% - Énfasis2 3 2 2 2 2 3" xfId="28606" xr:uid="{6689295D-E23B-4533-8A6F-E33EB71248C8}"/>
    <cellStyle name="40% - Énfasis2 3 2 2 2 2 4" xfId="34488" xr:uid="{7D93E9C3-05FA-41EE-8532-99F69091A1E8}"/>
    <cellStyle name="40% - Énfasis2 3 2 2 2 2 5" xfId="40352" xr:uid="{7DC88D47-67F7-47FD-AF2F-F88846382760}"/>
    <cellStyle name="40% - Énfasis2 3 2 2 2 3" xfId="19966" xr:uid="{5F53C14F-748C-4825-9B14-415215C56755}"/>
    <cellStyle name="40% - Énfasis2 3 2 2 2 4" xfId="25757" xr:uid="{E88A2D9C-FEF0-4B98-94CF-1B74B10C5AC2}"/>
    <cellStyle name="40% - Énfasis2 3 2 2 2 5" xfId="31631" xr:uid="{DC1DB413-1290-44D9-A89D-7DE1C4B1447D}"/>
    <cellStyle name="40% - Énfasis2 3 2 2 2 6" xfId="37501" xr:uid="{073D420D-0BE5-4881-B1B8-CF3E2409B192}"/>
    <cellStyle name="40% - Énfasis2 3 2 2 3" xfId="7401" xr:uid="{81C89970-C095-4E87-B8B1-8455F2C4EC5C}"/>
    <cellStyle name="40% - Énfasis2 3 2 2 3 2" xfId="21803" xr:uid="{33298273-6817-4C00-A27F-4AA210AC8B3B}"/>
    <cellStyle name="40% - Énfasis2 3 2 2 3 3" xfId="27635" xr:uid="{86FB8024-2EA1-48A4-B304-CB1163B10FFD}"/>
    <cellStyle name="40% - Énfasis2 3 2 2 3 4" xfId="33517" xr:uid="{54AF97F7-BEAD-453E-B3F5-59AE19E29718}"/>
    <cellStyle name="40% - Énfasis2 3 2 2 3 5" xfId="39381" xr:uid="{354805C0-4205-455D-82AB-38A42C246B44}"/>
    <cellStyle name="40% - Énfasis2 3 2 2 4" xfId="19034" xr:uid="{508784DA-7AA5-4274-B379-2FD0605A305D}"/>
    <cellStyle name="40% - Énfasis2 3 2 2 5" xfId="24786" xr:uid="{5D4C0F43-46F4-44EA-8729-A9AFB07B1268}"/>
    <cellStyle name="40% - Énfasis2 3 2 2 6" xfId="30663" xr:uid="{F000E7D3-296A-4BE1-A4D2-C2D3D63B15F3}"/>
    <cellStyle name="40% - Énfasis2 3 2 2 7" xfId="36544" xr:uid="{6AC6F12A-CEF9-411A-A615-E6CD4E841C6E}"/>
    <cellStyle name="40% - Énfasis2 3 2 3" xfId="5021" xr:uid="{C7B622C4-5F23-4123-B73B-9D8905C2E207}"/>
    <cellStyle name="40% - Énfasis2 3 2 3 2" xfId="7888" xr:uid="{B3B81D69-4FFE-4A59-B97A-3A1A9F2DE536}"/>
    <cellStyle name="40% - Énfasis2 3 2 3 2 2" xfId="22273" xr:uid="{D92538BF-980F-4F01-AA1C-3721CE0631E1}"/>
    <cellStyle name="40% - Énfasis2 3 2 3 2 3" xfId="28121" xr:uid="{1AD53F14-B739-4B37-B975-A44FD0304F08}"/>
    <cellStyle name="40% - Énfasis2 3 2 3 2 4" xfId="34003" xr:uid="{004EF0E1-15D7-45AC-8A60-57BB40755448}"/>
    <cellStyle name="40% - Énfasis2 3 2 3 2 5" xfId="39867" xr:uid="{8DA1A78E-AD57-4DBC-B809-15FC4C8FF3A1}"/>
    <cellStyle name="40% - Énfasis2 3 2 3 3" xfId="19499" xr:uid="{CAA3A7FC-48E3-4A41-9AB4-7DE841F1BC2A}"/>
    <cellStyle name="40% - Énfasis2 3 2 3 4" xfId="25272" xr:uid="{ABD5FD04-FA35-41F4-B41D-B118BD2816D7}"/>
    <cellStyle name="40% - Énfasis2 3 2 3 5" xfId="31146" xr:uid="{4AD0FCF8-BB26-4294-BC2C-D6D8117C0EAC}"/>
    <cellStyle name="40% - Énfasis2 3 2 3 6" xfId="37024" xr:uid="{4DEA9045-7F3F-4D0E-A657-DE968BB1218D}"/>
    <cellStyle name="40% - Énfasis2 3 2 4" xfId="6916" xr:uid="{A21CB3E7-8A18-48A6-A345-6966C962B298}"/>
    <cellStyle name="40% - Énfasis2 3 2 4 2" xfId="21336" xr:uid="{25A1B63E-A6C1-4B95-9118-E084F2EEE7E7}"/>
    <cellStyle name="40% - Énfasis2 3 2 4 3" xfId="27154" xr:uid="{DFFD6AE4-9ECF-4326-9C08-0BA3B28E88E4}"/>
    <cellStyle name="40% - Énfasis2 3 2 4 4" xfId="33032" xr:uid="{CF9A9BED-3C2C-4C5E-96C7-197C0D88B514}"/>
    <cellStyle name="40% - Énfasis2 3 2 4 5" xfId="38896" xr:uid="{F6CA126B-ED4F-4B44-82AE-D8834C682848}"/>
    <cellStyle name="40% - Énfasis2 3 2 5" xfId="18591" xr:uid="{B9A48435-968E-4D98-85CE-F53B3ED4E679}"/>
    <cellStyle name="40% - Énfasis2 3 2 6" xfId="24303" xr:uid="{379395D8-3079-48D8-90A7-E80C619B6943}"/>
    <cellStyle name="40% - Énfasis2 3 2 7" xfId="30181" xr:uid="{27772035-2618-470F-A672-720FCCAE9955}"/>
    <cellStyle name="40% - Énfasis2 3 2 8" xfId="36060" xr:uid="{815B9059-BDB8-4511-A3F1-6B72826948FB}"/>
    <cellStyle name="40% - Énfasis2 3 3" xfId="4344" xr:uid="{8E7FA8EB-1D9E-4364-AE63-BA148EBD532B}"/>
    <cellStyle name="40% - Énfasis2 3 3 2" xfId="5310" xr:uid="{6C0E2A75-166C-4AB0-A446-0A4CB74AB016}"/>
    <cellStyle name="40% - Énfasis2 3 3 2 2" xfId="8177" xr:uid="{20551312-5974-45DC-8CB1-B8BDE950F451}"/>
    <cellStyle name="40% - Énfasis2 3 3 2 2 2" xfId="22553" xr:uid="{E1F67C35-69C1-44F1-A54F-0B54F6179028}"/>
    <cellStyle name="40% - Énfasis2 3 3 2 2 3" xfId="28410" xr:uid="{366104B1-7E5D-41C2-91C0-D13BD36E1F5A}"/>
    <cellStyle name="40% - Énfasis2 3 3 2 2 4" xfId="34292" xr:uid="{FA13AC05-EF97-4ACA-A4FF-EEAB0640654C}"/>
    <cellStyle name="40% - Énfasis2 3 3 2 2 5" xfId="40156" xr:uid="{482681BB-338B-493F-B892-28FFA31FAC44}"/>
    <cellStyle name="40% - Énfasis2 3 3 2 3" xfId="19778" xr:uid="{FF27EDAA-4A35-401C-9267-E28297DEA416}"/>
    <cellStyle name="40% - Énfasis2 3 3 2 4" xfId="25561" xr:uid="{F0758D33-5E5C-4EF5-8A26-E1CFAB2FF038}"/>
    <cellStyle name="40% - Énfasis2 3 3 2 5" xfId="31435" xr:uid="{D8F1F13A-5DBD-4120-9994-0A03EFD87386}"/>
    <cellStyle name="40% - Énfasis2 3 3 2 6" xfId="37306" xr:uid="{89DA8CC8-AC76-4B67-9F02-F3F8594BA267}"/>
    <cellStyle name="40% - Énfasis2 3 3 3" xfId="7205" xr:uid="{82291A70-3D5C-4315-89B6-D08C0FF3E448}"/>
    <cellStyle name="40% - Énfasis2 3 3 3 2" xfId="21612" xr:uid="{0028F041-1819-48F2-90F1-C84AA82FBDA3}"/>
    <cellStyle name="40% - Énfasis2 3 3 3 3" xfId="27439" xr:uid="{6AD12437-D210-4A54-8B35-1A697706AF27}"/>
    <cellStyle name="40% - Énfasis2 3 3 3 4" xfId="33321" xr:uid="{59DAE65E-3639-4C67-A49A-E466E92D881A}"/>
    <cellStyle name="40% - Énfasis2 3 3 3 5" xfId="39185" xr:uid="{98EDC3C1-44C8-4564-900D-8FA39834B5BC}"/>
    <cellStyle name="40% - Énfasis2 3 3 4" xfId="18849" xr:uid="{61872186-BA70-49AC-97B2-D8209A0A4A93}"/>
    <cellStyle name="40% - Énfasis2 3 3 5" xfId="24590" xr:uid="{2B6C1D29-A87D-40D8-8C4A-4BF7DF1346CD}"/>
    <cellStyle name="40% - Énfasis2 3 3 6" xfId="30469" xr:uid="{759AAF42-C9E6-4218-9703-92B85AFC610B}"/>
    <cellStyle name="40% - Énfasis2 3 3 7" xfId="36349" xr:uid="{4C591038-79D0-4A3A-82C9-714AF40C332C}"/>
    <cellStyle name="40% - Énfasis2 3 4" xfId="4826" xr:uid="{062C57FD-0977-4CC4-89ED-1955BE4969D7}"/>
    <cellStyle name="40% - Énfasis2 3 4 2" xfId="7692" xr:uid="{901BF6C8-1E78-4AED-9E2C-A3A9D7E86579}"/>
    <cellStyle name="40% - Énfasis2 3 4 2 2" xfId="22082" xr:uid="{C21CBAE6-0B7A-48A7-B635-78A84AC67DA8}"/>
    <cellStyle name="40% - Énfasis2 3 4 2 3" xfId="27925" xr:uid="{A91F9572-11DF-4F71-B510-E2FBEC2D2DE7}"/>
    <cellStyle name="40% - Énfasis2 3 4 2 4" xfId="33807" xr:uid="{E2AA5004-9DCD-4E87-A34E-715ECAC6EAE6}"/>
    <cellStyle name="40% - Énfasis2 3 4 2 5" xfId="39671" xr:uid="{C31D6510-AA00-483B-96F8-816D60487AD3}"/>
    <cellStyle name="40% - Énfasis2 3 4 3" xfId="19308" xr:uid="{42F31146-5D52-4E71-B52F-449871576FDB}"/>
    <cellStyle name="40% - Énfasis2 3 4 4" xfId="25076" xr:uid="{88616068-230C-4439-B6A1-7D3F722647C9}"/>
    <cellStyle name="40% - Énfasis2 3 4 5" xfId="30950" xr:uid="{5E463F65-131E-463B-B86E-CEAF2EBAB807}"/>
    <cellStyle name="40% - Énfasis2 3 4 6" xfId="36829" xr:uid="{E3C9ED30-39A7-4A06-9137-ACE599B8A80F}"/>
    <cellStyle name="40% - Énfasis2 3 5" xfId="5835" xr:uid="{4F37B951-E9CE-425B-AF61-A9B99FDCB57D}"/>
    <cellStyle name="40% - Énfasis2 3 5 2" xfId="8704" xr:uid="{A3E5F395-6A51-4F3C-BBBE-4A59DF828464}"/>
    <cellStyle name="40% - Énfasis2 3 5 2 2" xfId="23072" xr:uid="{C3B0065E-BE1F-47D9-AB85-135F26CD7FF5}"/>
    <cellStyle name="40% - Énfasis2 3 5 2 3" xfId="28936" xr:uid="{22D3AE44-76EF-4C5E-93FC-C2410F2B427B}"/>
    <cellStyle name="40% - Énfasis2 3 5 2 4" xfId="34818" xr:uid="{7EA959EC-0A9D-417C-8985-B32DC8F03728}"/>
    <cellStyle name="40% - Énfasis2 3 5 2 5" xfId="40682" xr:uid="{363A4363-766F-4486-A0D9-6F48950D92C8}"/>
    <cellStyle name="40% - Énfasis2 3 5 3" xfId="20287" xr:uid="{9AEF78D0-2C45-474A-BBDB-665E697443E8}"/>
    <cellStyle name="40% - Énfasis2 3 5 4" xfId="26086" xr:uid="{B30DC0CD-8432-4FA2-9BC5-D18F256DA581}"/>
    <cellStyle name="40% - Énfasis2 3 5 5" xfId="31961" xr:uid="{622FCDD3-C46A-49D2-B7A8-DF36AF2C5A2B}"/>
    <cellStyle name="40% - Énfasis2 3 5 6" xfId="37827" xr:uid="{136022D0-DFD3-45C1-AAC4-CB62C8EC4718}"/>
    <cellStyle name="40% - Énfasis2 3 6" xfId="6721" xr:uid="{CD88FC7B-39A1-4B35-A69B-5D0D0522C8B8}"/>
    <cellStyle name="40% - Énfasis2 3 6 2" xfId="21145" xr:uid="{30A8F372-FBDD-4016-BD49-583E02A8D017}"/>
    <cellStyle name="40% - Énfasis2 3 6 3" xfId="26960" xr:uid="{14664424-F17D-42BF-99A7-3EAAC4FFFD10}"/>
    <cellStyle name="40% - Énfasis2 3 6 4" xfId="32836" xr:uid="{BE42BEAC-66F1-4F67-9FCB-0B8C993062B7}"/>
    <cellStyle name="40% - Énfasis2 3 6 5" xfId="38700" xr:uid="{00899851-3AC6-461D-A49F-7EDDF4CD532F}"/>
    <cellStyle name="40% - Énfasis2 3 7" xfId="18383" xr:uid="{B9D3DB69-B521-4F2D-B8B8-3111E0A28531}"/>
    <cellStyle name="40% - Énfasis2 3 8" xfId="24092" xr:uid="{396881B2-E706-45AE-92D1-20F82C5DAF56}"/>
    <cellStyle name="40% - Énfasis2 3 9" xfId="29970" xr:uid="{90A92C9B-9906-4BD8-B40E-DB9946D01A65}"/>
    <cellStyle name="40% - Énfasis2 30" xfId="6258" xr:uid="{416F5C5E-9DB5-4B11-B1BE-17B177BD98C4}"/>
    <cellStyle name="40% - Énfasis2 30 2" xfId="9127" xr:uid="{B7B98BD4-58AC-4464-9EBF-C09DE4C664EA}"/>
    <cellStyle name="40% - Énfasis2 30 2 2" xfId="23491" xr:uid="{BD7CEF8C-0534-4CB2-87FD-6756AFB9CF03}"/>
    <cellStyle name="40% - Énfasis2 30 2 3" xfId="29358" xr:uid="{99ACC725-4174-4621-AF21-413EEF8F437F}"/>
    <cellStyle name="40% - Énfasis2 30 2 4" xfId="35240" xr:uid="{D7DD25CD-D4B8-46E7-9110-1861EFBE6EF7}"/>
    <cellStyle name="40% - Énfasis2 30 2 5" xfId="41099" xr:uid="{083BF527-8EBD-4DDC-9E9F-41A2B8789670}"/>
    <cellStyle name="40% - Énfasis2 30 3" xfId="20699" xr:uid="{4DF810F2-C8F5-4B28-9614-566AD81CC2EB}"/>
    <cellStyle name="40% - Énfasis2 30 4" xfId="26508" xr:uid="{C141B1DB-AC96-4095-8188-4F79D9F1A414}"/>
    <cellStyle name="40% - Énfasis2 30 5" xfId="32383" xr:uid="{9E0417FA-A6ED-4DF3-88E3-490D0FA7025A}"/>
    <cellStyle name="40% - Énfasis2 30 6" xfId="38248" xr:uid="{C46EFB75-6DD8-4117-8F3E-944B5FB7844A}"/>
    <cellStyle name="40% - Énfasis2 31" xfId="6278" xr:uid="{72C30A51-8C7E-494E-9449-2016B9817D50}"/>
    <cellStyle name="40% - Énfasis2 31 2" xfId="9147" xr:uid="{CF3FC683-AEC6-4ECA-982C-F4319E4FBACE}"/>
    <cellStyle name="40% - Énfasis2 31 2 2" xfId="23511" xr:uid="{3582C604-BEB4-4D0D-9EB4-4D7D8067EAB9}"/>
    <cellStyle name="40% - Énfasis2 31 2 3" xfId="29378" xr:uid="{CAED0301-0930-4ACB-A1AE-200077BFEE5D}"/>
    <cellStyle name="40% - Énfasis2 31 2 4" xfId="35260" xr:uid="{20C7242F-9AF7-41C4-A1ED-EF506074AABB}"/>
    <cellStyle name="40% - Énfasis2 31 2 5" xfId="41119" xr:uid="{5E950CBA-13FB-4DEB-A5A9-BB95CEC11727}"/>
    <cellStyle name="40% - Énfasis2 31 3" xfId="20719" xr:uid="{37F9DE94-8BFB-4A95-B85D-404224F21F2F}"/>
    <cellStyle name="40% - Énfasis2 31 4" xfId="26528" xr:uid="{BEA08190-66FF-427F-AA06-E2459B19E7BC}"/>
    <cellStyle name="40% - Énfasis2 31 5" xfId="32403" xr:uid="{3985A95F-27BC-46AD-A6F3-E9E1BA87FFDD}"/>
    <cellStyle name="40% - Énfasis2 31 6" xfId="38268" xr:uid="{CDD7860C-C8C8-4EE9-BBAA-F177ECDE61BC}"/>
    <cellStyle name="40% - Énfasis2 32" xfId="6302" xr:uid="{6E605A4D-1816-4FE8-874E-0B2BC2CB890E}"/>
    <cellStyle name="40% - Énfasis2 32 2" xfId="9170" xr:uid="{59D7EF94-ED62-47D4-BD56-4A1105C2110B}"/>
    <cellStyle name="40% - Énfasis2 32 2 2" xfId="23534" xr:uid="{D3979547-8778-465A-9CEB-4D8C34D42CF7}"/>
    <cellStyle name="40% - Énfasis2 32 2 3" xfId="29401" xr:uid="{452D1EC4-1818-458F-83E6-C3696DDA0D31}"/>
    <cellStyle name="40% - Énfasis2 32 2 4" xfId="35283" xr:uid="{9345ADAF-7244-4701-9D23-9E7FC5EAC7EB}"/>
    <cellStyle name="40% - Énfasis2 32 2 5" xfId="41142" xr:uid="{54C73D6F-C0BC-4694-97AC-A0C8150A62EE}"/>
    <cellStyle name="40% - Énfasis2 32 3" xfId="20743" xr:uid="{9DA7610A-B5F0-4CDD-A4BD-95CD0F2C9E36}"/>
    <cellStyle name="40% - Énfasis2 32 4" xfId="26552" xr:uid="{8C2C1A89-A5DE-4625-BEB6-B904D3DD3394}"/>
    <cellStyle name="40% - Énfasis2 32 5" xfId="32427" xr:uid="{4A9E8058-DCC7-44D1-89ED-83C385E71613}"/>
    <cellStyle name="40% - Énfasis2 32 6" xfId="38292" xr:uid="{04160F29-528D-4601-AEB1-1DEA1D280CF1}"/>
    <cellStyle name="40% - Énfasis2 33" xfId="6334" xr:uid="{64587666-8CCD-4B18-A778-1B10BEA0F623}"/>
    <cellStyle name="40% - Énfasis2 33 2" xfId="9199" xr:uid="{A62A366D-3E7D-4C49-9129-BBC28E807EBC}"/>
    <cellStyle name="40% - Énfasis2 33 2 2" xfId="23562" xr:uid="{CC21631D-DCFF-4296-BE7D-B8CD23BB5FEC}"/>
    <cellStyle name="40% - Énfasis2 33 2 3" xfId="29430" xr:uid="{192CD415-A047-40F6-80E1-90EC3F96CE22}"/>
    <cellStyle name="40% - Énfasis2 33 2 4" xfId="35312" xr:uid="{EF8FC574-4AE6-4740-AD3D-0A47AB18AB49}"/>
    <cellStyle name="40% - Énfasis2 33 2 5" xfId="41171" xr:uid="{E6E56E04-7707-42DD-9033-E0BF1CD1F787}"/>
    <cellStyle name="40% - Énfasis2 33 3" xfId="20775" xr:uid="{37BAF005-B026-4A98-8707-26E8F8F3B50E}"/>
    <cellStyle name="40% - Énfasis2 33 4" xfId="26584" xr:uid="{4F982543-C214-437F-8DAE-2AD739AC7EA5}"/>
    <cellStyle name="40% - Énfasis2 33 5" xfId="32459" xr:uid="{46425190-AD0A-49C6-ACD1-9B92ABEF8BAE}"/>
    <cellStyle name="40% - Énfasis2 33 6" xfId="38323" xr:uid="{9D51D352-4C39-41D3-A59F-50FA6CF783A9}"/>
    <cellStyle name="40% - Énfasis2 34" xfId="6354" xr:uid="{29E74984-4FCE-4938-98AD-EC1E32F761F2}"/>
    <cellStyle name="40% - Énfasis2 34 2" xfId="9219" xr:uid="{D52E5870-9485-45F4-AB0E-5F98BCBE5E98}"/>
    <cellStyle name="40% - Énfasis2 34 2 2" xfId="23582" xr:uid="{B8940705-1226-4855-98CB-B76A271B21FA}"/>
    <cellStyle name="40% - Énfasis2 34 2 3" xfId="29450" xr:uid="{785E8058-6077-4CD7-99EF-44D24E7CBA4C}"/>
    <cellStyle name="40% - Énfasis2 34 2 4" xfId="35332" xr:uid="{0B4D6749-4E70-4160-A759-0279C9256D49}"/>
    <cellStyle name="40% - Énfasis2 34 2 5" xfId="41191" xr:uid="{62F89A40-7607-4603-AAF0-7B07689F984E}"/>
    <cellStyle name="40% - Énfasis2 34 3" xfId="20795" xr:uid="{EA2372C5-C05C-44C0-8EFD-B71E3B0C0BB9}"/>
    <cellStyle name="40% - Énfasis2 34 4" xfId="26604" xr:uid="{60C1D667-73FA-43D2-8A06-E5C06FC3D16F}"/>
    <cellStyle name="40% - Énfasis2 34 5" xfId="32479" xr:uid="{A84F475A-6F29-43B4-99FA-8849EBC75E7A}"/>
    <cellStyle name="40% - Énfasis2 34 6" xfId="38343" xr:uid="{A12B1891-7A53-4849-8C15-9C5F70C006B7}"/>
    <cellStyle name="40% - Énfasis2 35" xfId="6374" xr:uid="{1544E785-7FE3-4BDC-BCA5-79E07BD6CD8E}"/>
    <cellStyle name="40% - Énfasis2 35 2" xfId="9239" xr:uid="{21E4DBD5-6674-4C5C-9063-BA921DCC02D6}"/>
    <cellStyle name="40% - Énfasis2 35 2 2" xfId="23602" xr:uid="{04DEE4D1-98E7-4437-903F-3D32D2B85EFA}"/>
    <cellStyle name="40% - Énfasis2 35 2 3" xfId="29470" xr:uid="{D0D12A14-4A11-4DC4-B0BA-D8FD56536B70}"/>
    <cellStyle name="40% - Énfasis2 35 2 4" xfId="35352" xr:uid="{45BA3F51-7277-4452-BD79-135BB59BE5BC}"/>
    <cellStyle name="40% - Énfasis2 35 2 5" xfId="41211" xr:uid="{C9EBFF58-7646-4D42-91C4-B936B583692F}"/>
    <cellStyle name="40% - Énfasis2 35 3" xfId="20815" xr:uid="{D12356A2-00BA-4D47-A629-C8FB631A1400}"/>
    <cellStyle name="40% - Énfasis2 35 4" xfId="26624" xr:uid="{ABD77F65-13F1-4B91-8F36-6F87FAB298F8}"/>
    <cellStyle name="40% - Énfasis2 35 5" xfId="32499" xr:uid="{1CCB745D-E061-4A67-A071-0BA6FD65F2A6}"/>
    <cellStyle name="40% - Énfasis2 35 6" xfId="38363" xr:uid="{AC5FB70D-668F-423F-B248-193A3C6A9BA6}"/>
    <cellStyle name="40% - Énfasis2 36" xfId="6395" xr:uid="{9D4715DD-7FA7-4DF8-BFC9-7364E8098095}"/>
    <cellStyle name="40% - Énfasis2 36 2" xfId="9260" xr:uid="{89F0A045-4A2C-4C77-8973-7D9DBEB6C585}"/>
    <cellStyle name="40% - Énfasis2 36 2 2" xfId="23623" xr:uid="{A2C3CF98-1E91-471D-8EF0-3D71D41C2143}"/>
    <cellStyle name="40% - Énfasis2 36 2 3" xfId="29491" xr:uid="{FE0CEF6E-A673-4514-B010-72844A339EE3}"/>
    <cellStyle name="40% - Énfasis2 36 2 4" xfId="35373" xr:uid="{D5974A01-6017-4A8D-AC6E-A69865EAB6FB}"/>
    <cellStyle name="40% - Énfasis2 36 2 5" xfId="41232" xr:uid="{923BE20E-8633-4E85-94A5-9BDC5751F81C}"/>
    <cellStyle name="40% - Énfasis2 36 3" xfId="20836" xr:uid="{10D5645F-D7EA-4085-B6F6-84A7AC720389}"/>
    <cellStyle name="40% - Énfasis2 36 4" xfId="26645" xr:uid="{7BA61C39-6B2E-4DA9-B97D-56B9974A357F}"/>
    <cellStyle name="40% - Énfasis2 36 5" xfId="32520" xr:uid="{20EADD4A-3432-4A3B-8C2B-2E91CDA3FD06}"/>
    <cellStyle name="40% - Énfasis2 36 6" xfId="38384" xr:uid="{B1270105-9BCC-4B4A-9D35-B24D5F056699}"/>
    <cellStyle name="40% - Énfasis2 37" xfId="6424" xr:uid="{F6CC3654-A1B4-443E-9CFB-6E5D3615183E}"/>
    <cellStyle name="40% - Énfasis2 37 2" xfId="9286" xr:uid="{EBFD935A-0C05-452C-913F-FE09C2956165}"/>
    <cellStyle name="40% - Énfasis2 37 2 2" xfId="23649" xr:uid="{CD2A465C-013E-400A-A879-BD8D396F7425}"/>
    <cellStyle name="40% - Énfasis2 37 2 3" xfId="29517" xr:uid="{5F888E54-A0C3-435B-BB4C-8E007EA4BE58}"/>
    <cellStyle name="40% - Énfasis2 37 2 4" xfId="35399" xr:uid="{9E10FC36-19E5-4A58-A16B-5BD5E7608D1D}"/>
    <cellStyle name="40% - Énfasis2 37 2 5" xfId="41258" xr:uid="{092211A1-2AFF-4B9C-9EDE-B85835CE869D}"/>
    <cellStyle name="40% - Énfasis2 37 3" xfId="20865" xr:uid="{66822DA4-2761-4A8A-83A4-CD8D5D921384}"/>
    <cellStyle name="40% - Énfasis2 37 4" xfId="26674" xr:uid="{B10C2404-F3FF-4190-BF59-24435E5B8D3C}"/>
    <cellStyle name="40% - Énfasis2 37 5" xfId="32549" xr:uid="{74BB81A5-221E-4382-9E20-6F8AADABE6DA}"/>
    <cellStyle name="40% - Énfasis2 37 6" xfId="38413" xr:uid="{E154EB36-B39F-4F47-BDE2-BB5DB78C0AFD}"/>
    <cellStyle name="40% - Énfasis2 38" xfId="6458" xr:uid="{ABCE1498-F768-4375-BDDC-5D925353D8BA}"/>
    <cellStyle name="40% - Énfasis2 38 2" xfId="9318" xr:uid="{CBB9BEAF-89D0-44D1-A7E6-A97939E85231}"/>
    <cellStyle name="40% - Énfasis2 38 2 2" xfId="23681" xr:uid="{A9FC5BDF-D8D5-4069-AA01-B03D28E98606}"/>
    <cellStyle name="40% - Énfasis2 38 2 3" xfId="29549" xr:uid="{08A82878-DA42-4236-9B1A-B316C0B6E82F}"/>
    <cellStyle name="40% - Énfasis2 38 2 4" xfId="35431" xr:uid="{D83A99A4-AC68-487D-8428-2921830E57EE}"/>
    <cellStyle name="40% - Énfasis2 38 2 5" xfId="41290" xr:uid="{003DD27A-A4D8-439B-9772-81FB8456CB87}"/>
    <cellStyle name="40% - Énfasis2 38 3" xfId="20896" xr:uid="{E4257618-040D-4A6E-91DF-C9557BF296F2}"/>
    <cellStyle name="40% - Énfasis2 38 4" xfId="26707" xr:uid="{4830CE72-C888-473B-B50D-F98490928E7D}"/>
    <cellStyle name="40% - Énfasis2 38 5" xfId="32582" xr:uid="{0C6536C1-9536-421D-8EC0-EEB6387B3009}"/>
    <cellStyle name="40% - Énfasis2 38 6" xfId="38446" xr:uid="{67339415-C4FD-41E4-A7E6-7AA21DD8C8C6}"/>
    <cellStyle name="40% - Énfasis2 39" xfId="6478" xr:uid="{8BD99163-E445-4264-A9C2-AC0A5912A2E8}"/>
    <cellStyle name="40% - Énfasis2 39 2" xfId="9338" xr:uid="{13CC6EA1-FD3A-4A01-B1AD-02038EB000C3}"/>
    <cellStyle name="40% - Énfasis2 39 2 2" xfId="23701" xr:uid="{7BABFFF7-5896-463C-BB7A-DDF9A301CE93}"/>
    <cellStyle name="40% - Énfasis2 39 2 3" xfId="29569" xr:uid="{F3F9DECD-6F4C-47F9-944B-91B1A41867A1}"/>
    <cellStyle name="40% - Énfasis2 39 2 4" xfId="35451" xr:uid="{9167C084-D7C8-4478-8D5E-591DBAC357ED}"/>
    <cellStyle name="40% - Énfasis2 39 2 5" xfId="41310" xr:uid="{4DFF2B95-3192-4FA1-B8AF-997E5516204B}"/>
    <cellStyle name="40% - Énfasis2 39 3" xfId="20916" xr:uid="{EACBA9E7-2117-4A54-BE3B-587112642907}"/>
    <cellStyle name="40% - Énfasis2 39 4" xfId="26727" xr:uid="{FF5587FB-A385-429C-9E3D-4CF44BF5CADC}"/>
    <cellStyle name="40% - Énfasis2 39 5" xfId="32602" xr:uid="{D6276424-E08E-4A3F-A0F9-DFCCD4FD18D2}"/>
    <cellStyle name="40% - Énfasis2 39 6" xfId="38466" xr:uid="{590B5C7A-FE31-4C85-842D-41CA5EB6327B}"/>
    <cellStyle name="40% - Énfasis2 4" xfId="3888" xr:uid="{AD547551-94CF-4DF6-A838-82A0BE7D423B}"/>
    <cellStyle name="40% - Énfasis2 4 10" xfId="35880" xr:uid="{CF3D70E2-CCDD-4876-B72E-C96D7BE2550D}"/>
    <cellStyle name="40% - Énfasis2 4 2" xfId="4085" xr:uid="{1B05BC23-1C72-48C9-A19C-9578AB380FEC}"/>
    <cellStyle name="40% - Énfasis2 4 2 2" xfId="4563" xr:uid="{7A5F3BE5-A1CC-4B99-B272-FB84FB414263}"/>
    <cellStyle name="40% - Énfasis2 4 2 2 2" xfId="5531" xr:uid="{1FECE3B6-3FEF-4F86-AB37-BADDED8CE4E3}"/>
    <cellStyle name="40% - Énfasis2 4 2 2 2 2" xfId="8398" xr:uid="{EEB6D692-1511-4A61-83C0-7A0F2F290FC1}"/>
    <cellStyle name="40% - Énfasis2 4 2 2 2 2 2" xfId="22773" xr:uid="{B8BFC758-8495-48C5-B61C-D2CA107517E4}"/>
    <cellStyle name="40% - Énfasis2 4 2 2 2 2 3" xfId="28631" xr:uid="{C0FEA6A3-DD27-4EC3-81C3-5C87C73169A8}"/>
    <cellStyle name="40% - Énfasis2 4 2 2 2 2 4" xfId="34513" xr:uid="{2E46F819-35E8-4913-B1C0-E8E281490CD0}"/>
    <cellStyle name="40% - Énfasis2 4 2 2 2 2 5" xfId="40377" xr:uid="{9CBDA99E-2592-4067-ABF4-EF4078B4FF7E}"/>
    <cellStyle name="40% - Énfasis2 4 2 2 2 3" xfId="19991" xr:uid="{D3338C3D-0208-447A-A0BF-9AB1A05052D2}"/>
    <cellStyle name="40% - Énfasis2 4 2 2 2 4" xfId="25782" xr:uid="{14E04D12-0B5A-4E3E-911C-39FA7844423D}"/>
    <cellStyle name="40% - Énfasis2 4 2 2 2 5" xfId="31656" xr:uid="{1B4CDE48-DBC4-4A8E-BF91-EB7D9146CA4B}"/>
    <cellStyle name="40% - Énfasis2 4 2 2 2 6" xfId="37526" xr:uid="{5FCE5CF3-3A68-4432-9504-AF0FBE80A258}"/>
    <cellStyle name="40% - Énfasis2 4 2 2 3" xfId="7426" xr:uid="{C5D96FAD-F3B3-4B83-858C-F4E9DEB86A97}"/>
    <cellStyle name="40% - Énfasis2 4 2 2 3 2" xfId="21828" xr:uid="{E54486F5-1BD8-4661-96E5-144C747CF72F}"/>
    <cellStyle name="40% - Énfasis2 4 2 2 3 3" xfId="27660" xr:uid="{AAA21A72-F354-445E-9283-E2C023C9D532}"/>
    <cellStyle name="40% - Énfasis2 4 2 2 3 4" xfId="33542" xr:uid="{2892C38B-A62F-4325-8D88-0F6D3FCD667D}"/>
    <cellStyle name="40% - Énfasis2 4 2 2 3 5" xfId="39406" xr:uid="{40E998A4-D920-4D62-BE8C-C73F3EE65102}"/>
    <cellStyle name="40% - Énfasis2 4 2 2 4" xfId="19059" xr:uid="{10441258-7013-4645-8377-C53B86D519A3}"/>
    <cellStyle name="40% - Énfasis2 4 2 2 5" xfId="24811" xr:uid="{55EE12CF-5428-4552-9335-3DCDA1F1D675}"/>
    <cellStyle name="40% - Énfasis2 4 2 2 6" xfId="30688" xr:uid="{A972DCEB-98DE-4E16-9D7A-5A928170B604}"/>
    <cellStyle name="40% - Énfasis2 4 2 2 7" xfId="36569" xr:uid="{C82C754F-5738-40F4-8C5F-7A53A5E1A03D}"/>
    <cellStyle name="40% - Énfasis2 4 2 3" xfId="5046" xr:uid="{98299DD5-ABEA-4F0F-8D34-9B54B698B121}"/>
    <cellStyle name="40% - Énfasis2 4 2 3 2" xfId="7913" xr:uid="{9D5A6572-F5DD-4FD3-947F-4F182FBAACB0}"/>
    <cellStyle name="40% - Énfasis2 4 2 3 2 2" xfId="22298" xr:uid="{3BD84C17-E1B7-43D8-8B7F-D699215DA09C}"/>
    <cellStyle name="40% - Énfasis2 4 2 3 2 3" xfId="28146" xr:uid="{11495C53-C8CD-455E-9268-8B0DD99C260F}"/>
    <cellStyle name="40% - Énfasis2 4 2 3 2 4" xfId="34028" xr:uid="{0B7307A8-5BF3-41AD-BFDB-DD561361DA1C}"/>
    <cellStyle name="40% - Énfasis2 4 2 3 2 5" xfId="39892" xr:uid="{99EAAD92-CD87-4698-A66B-551CE139060E}"/>
    <cellStyle name="40% - Énfasis2 4 2 3 3" xfId="19523" xr:uid="{B47694E6-7DD2-475E-B7CC-7E419A5FEE3A}"/>
    <cellStyle name="40% - Énfasis2 4 2 3 4" xfId="25297" xr:uid="{AE00EE30-33B5-4CB0-8407-2D1BCA52CC5D}"/>
    <cellStyle name="40% - Énfasis2 4 2 3 5" xfId="31171" xr:uid="{74DF342A-3711-4A0C-859B-366B1166F3BB}"/>
    <cellStyle name="40% - Énfasis2 4 2 3 6" xfId="37049" xr:uid="{B5B0743C-1D8C-45A9-9380-D74B90F743C2}"/>
    <cellStyle name="40% - Énfasis2 4 2 4" xfId="6941" xr:uid="{BA7B0766-8127-4F24-A0F4-9FC8C65DA286}"/>
    <cellStyle name="40% - Énfasis2 4 2 4 2" xfId="21361" xr:uid="{FECF882B-CDA5-4DA5-BA8E-7A1A041D9D47}"/>
    <cellStyle name="40% - Énfasis2 4 2 4 3" xfId="27179" xr:uid="{D1D3C948-9FB1-48B8-B7E4-26E64F34E135}"/>
    <cellStyle name="40% - Énfasis2 4 2 4 4" xfId="33057" xr:uid="{EF93A702-C1B4-4C86-B730-DE8AD359BB4C}"/>
    <cellStyle name="40% - Énfasis2 4 2 4 5" xfId="38921" xr:uid="{06B55A5D-6976-45D7-9F79-3E72DA95008D}"/>
    <cellStyle name="40% - Énfasis2 4 2 5" xfId="18615" xr:uid="{61E23F6E-E0EE-4F13-921D-2EC574F7F0E6}"/>
    <cellStyle name="40% - Énfasis2 4 2 6" xfId="24328" xr:uid="{27566293-0E69-4EEC-92DB-F176FB94CB64}"/>
    <cellStyle name="40% - Énfasis2 4 2 7" xfId="30206" xr:uid="{306C118F-A9D3-475C-A007-0FA10940EB3A}"/>
    <cellStyle name="40% - Énfasis2 4 2 8" xfId="36085" xr:uid="{6A4630E1-BF8B-4E17-A17B-096DA9558F21}"/>
    <cellStyle name="40% - Énfasis2 4 3" xfId="4369" xr:uid="{360C0435-2448-4DB9-B808-7A2C1AA6239A}"/>
    <cellStyle name="40% - Énfasis2 4 3 2" xfId="5335" xr:uid="{9DC56D21-FA2E-4F4B-9D2A-28023D5CCEE7}"/>
    <cellStyle name="40% - Énfasis2 4 3 2 2" xfId="8202" xr:uid="{0DC732BB-E998-451F-A4F3-D45EC8625110}"/>
    <cellStyle name="40% - Énfasis2 4 3 2 2 2" xfId="22578" xr:uid="{C43A0D50-14FC-4D6B-8307-A0DA45E5414A}"/>
    <cellStyle name="40% - Énfasis2 4 3 2 2 3" xfId="28435" xr:uid="{F5C4B95C-4951-4BDC-94AB-E48849C3BC27}"/>
    <cellStyle name="40% - Énfasis2 4 3 2 2 4" xfId="34317" xr:uid="{3BCF6725-0B37-4897-8ED9-435B79201FB6}"/>
    <cellStyle name="40% - Énfasis2 4 3 2 2 5" xfId="40181" xr:uid="{FD944997-3408-4BAB-A9E5-B5F3CBAFE0F0}"/>
    <cellStyle name="40% - Énfasis2 4 3 2 3" xfId="19802" xr:uid="{BE17476E-1F96-4FF3-BD69-1A7B241D8E2A}"/>
    <cellStyle name="40% - Énfasis2 4 3 2 4" xfId="25586" xr:uid="{487B9FF3-6F92-4DF2-8AE5-DB7BAA9F469B}"/>
    <cellStyle name="40% - Énfasis2 4 3 2 5" xfId="31460" xr:uid="{E397C340-7F45-4D5A-9532-7767D73374E2}"/>
    <cellStyle name="40% - Énfasis2 4 3 2 6" xfId="37331" xr:uid="{17C54B58-1D18-4BAD-AADE-885F71E50E0A}"/>
    <cellStyle name="40% - Énfasis2 4 3 3" xfId="7230" xr:uid="{938C6D0A-AF72-4530-B825-A3506C538DD0}"/>
    <cellStyle name="40% - Énfasis2 4 3 3 2" xfId="21637" xr:uid="{F4352196-CE91-4739-A477-6ADB8C1D8E68}"/>
    <cellStyle name="40% - Énfasis2 4 3 3 3" xfId="27464" xr:uid="{A1A0CFB6-50F7-48E1-9EAC-343725534064}"/>
    <cellStyle name="40% - Énfasis2 4 3 3 4" xfId="33346" xr:uid="{AB4B1738-195B-4DDA-AAE2-317E992B3587}"/>
    <cellStyle name="40% - Énfasis2 4 3 3 5" xfId="39210" xr:uid="{B611BAA1-134D-4835-B3D5-65C501F912A2}"/>
    <cellStyle name="40% - Énfasis2 4 3 4" xfId="18872" xr:uid="{11D071E4-791D-4C1A-BBEF-AF4F61515136}"/>
    <cellStyle name="40% - Énfasis2 4 3 5" xfId="24615" xr:uid="{73A787F1-9BE3-4CDE-9B71-1370F3F8E0DC}"/>
    <cellStyle name="40% - Énfasis2 4 3 6" xfId="30494" xr:uid="{BDE412F5-B770-4823-BB60-79F4E9350711}"/>
    <cellStyle name="40% - Énfasis2 4 3 7" xfId="36374" xr:uid="{3D6A68F6-C6DA-454E-92D6-B240621F246E}"/>
    <cellStyle name="40% - Énfasis2 4 4" xfId="4851" xr:uid="{5F297C65-F460-4EE7-AA6D-0BC113B084C8}"/>
    <cellStyle name="40% - Énfasis2 4 4 2" xfId="7717" xr:uid="{6AFD1D1E-DD25-493B-B91B-63FB51EA725C}"/>
    <cellStyle name="40% - Énfasis2 4 4 2 2" xfId="22107" xr:uid="{0AD73551-053C-4C63-9D5A-E37EBFBA977D}"/>
    <cellStyle name="40% - Énfasis2 4 4 2 3" xfId="27950" xr:uid="{B89FDF18-48FD-49BE-B1C7-C2737E0AF476}"/>
    <cellStyle name="40% - Énfasis2 4 4 2 4" xfId="33832" xr:uid="{23D49958-03E4-4826-BD41-BFC4CAB9429D}"/>
    <cellStyle name="40% - Énfasis2 4 4 2 5" xfId="39696" xr:uid="{599D6199-8D14-4A6B-B43D-7E604205A6ED}"/>
    <cellStyle name="40% - Énfasis2 4 4 3" xfId="19333" xr:uid="{338C2004-5E28-4C96-8ED9-7670357924CA}"/>
    <cellStyle name="40% - Énfasis2 4 4 4" xfId="25101" xr:uid="{F5C645A3-3E5D-4F48-9B65-667B85D1E4D4}"/>
    <cellStyle name="40% - Énfasis2 4 4 5" xfId="30975" xr:uid="{53788459-84C3-4019-9C3A-0282926E64B1}"/>
    <cellStyle name="40% - Énfasis2 4 4 6" xfId="36854" xr:uid="{8C12FF21-1E08-4741-B268-2A70A2232DDC}"/>
    <cellStyle name="40% - Énfasis2 4 5" xfId="5860" xr:uid="{99A49BF8-FFCE-49BF-9A39-75000866B01E}"/>
    <cellStyle name="40% - Énfasis2 4 5 2" xfId="8729" xr:uid="{9AAFC77E-4919-4555-84D2-059D39F39E1B}"/>
    <cellStyle name="40% - Énfasis2 4 5 2 2" xfId="23097" xr:uid="{6676BD86-4446-4A56-858C-F93F87645555}"/>
    <cellStyle name="40% - Énfasis2 4 5 2 3" xfId="28961" xr:uid="{1A6E922B-9F54-4050-9EEA-064F5DC0403D}"/>
    <cellStyle name="40% - Énfasis2 4 5 2 4" xfId="34843" xr:uid="{5D12DE75-C49F-40CC-B8DE-16762A14B7ED}"/>
    <cellStyle name="40% - Énfasis2 4 5 2 5" xfId="40707" xr:uid="{A6418FE3-93EC-4468-ABDB-2EE07F232547}"/>
    <cellStyle name="40% - Énfasis2 4 5 3" xfId="20312" xr:uid="{C9674E41-16E3-45E5-92B8-A27B27FFE3BE}"/>
    <cellStyle name="40% - Énfasis2 4 5 4" xfId="26111" xr:uid="{9FD8180A-6E9F-4E45-86A1-CC0327F273BD}"/>
    <cellStyle name="40% - Énfasis2 4 5 5" xfId="31986" xr:uid="{27A86F6F-87E2-42A8-8227-94033783106F}"/>
    <cellStyle name="40% - Énfasis2 4 5 6" xfId="37852" xr:uid="{07A6DFFC-6452-40F5-95E0-FE0D1AC5C7A1}"/>
    <cellStyle name="40% - Énfasis2 4 6" xfId="6746" xr:uid="{3C4DE83B-7086-4614-82C8-45F8E0C92139}"/>
    <cellStyle name="40% - Énfasis2 4 6 2" xfId="21170" xr:uid="{8AC0D846-A677-4214-94D0-CE704A3BECC8}"/>
    <cellStyle name="40% - Énfasis2 4 6 3" xfId="26985" xr:uid="{E879E1AD-09D6-4BCF-9B95-66DB91BFFFEA}"/>
    <cellStyle name="40% - Énfasis2 4 6 4" xfId="32861" xr:uid="{E25F0033-32A9-4873-A23F-7449D9565E65}"/>
    <cellStyle name="40% - Énfasis2 4 6 5" xfId="38725" xr:uid="{B4D4B38E-6C78-401A-96F6-1D0698AA2C74}"/>
    <cellStyle name="40% - Énfasis2 4 7" xfId="18412" xr:uid="{60021549-04F4-4C56-8C35-32E7AA31CA1C}"/>
    <cellStyle name="40% - Énfasis2 4 8" xfId="24121" xr:uid="{1780115C-4BAB-41B3-86BD-8B6AF3ED3FCD}"/>
    <cellStyle name="40% - Énfasis2 4 9" xfId="29999" xr:uid="{A57E5FD9-1468-48D1-AB34-5F89E40B3946}"/>
    <cellStyle name="40% - Énfasis2 40" xfId="6498" xr:uid="{0007C2DD-2178-4C91-A040-2113BAC0F95C}"/>
    <cellStyle name="40% - Énfasis2 40 2" xfId="9358" xr:uid="{01024D94-0F06-4101-960D-3C95D11AC90F}"/>
    <cellStyle name="40% - Énfasis2 40 2 2" xfId="23721" xr:uid="{3D32DA8E-397A-452E-9F43-AEDAB71EBEC9}"/>
    <cellStyle name="40% - Énfasis2 40 2 3" xfId="29589" xr:uid="{80F8D92F-509B-461D-B047-01B586A3BCD2}"/>
    <cellStyle name="40% - Énfasis2 40 2 4" xfId="35471" xr:uid="{70FD85FA-3243-4717-9C8E-388996FB71EB}"/>
    <cellStyle name="40% - Énfasis2 40 2 5" xfId="41330" xr:uid="{8AA99FD4-5D8E-42A6-B57C-00A0889BE195}"/>
    <cellStyle name="40% - Énfasis2 40 3" xfId="20936" xr:uid="{DDDD941B-96C6-45DE-AD71-6E1EC04D0E66}"/>
    <cellStyle name="40% - Énfasis2 40 4" xfId="26747" xr:uid="{DAB98A2E-7B09-4EEE-8657-75AA477F9C27}"/>
    <cellStyle name="40% - Énfasis2 40 5" xfId="32622" xr:uid="{409BD0BB-5716-4D39-B95E-77EEB6A990F1}"/>
    <cellStyle name="40% - Énfasis2 40 6" xfId="38486" xr:uid="{B0B3B8BB-7A60-4DBD-A07E-5FFA88897ED0}"/>
    <cellStyle name="40% - Énfasis2 41" xfId="6518" xr:uid="{FE9EE9B5-CB80-4163-A61B-52FB6B0A23C9}"/>
    <cellStyle name="40% - Énfasis2 41 2" xfId="9378" xr:uid="{9AFF3C54-FF74-4723-BCB9-0BAD0D0EC7D4}"/>
    <cellStyle name="40% - Énfasis2 41 2 2" xfId="23741" xr:uid="{0B59FF9A-BCFF-4D87-A573-02CB6C2E9D54}"/>
    <cellStyle name="40% - Énfasis2 41 2 3" xfId="29609" xr:uid="{7AD83034-3868-41BB-9C62-EE96EE34636B}"/>
    <cellStyle name="40% - Énfasis2 41 2 4" xfId="35491" xr:uid="{67EAA4E0-E755-40A4-9CEF-4DBAEC001C71}"/>
    <cellStyle name="40% - Énfasis2 41 2 5" xfId="41350" xr:uid="{1E19D2FD-ECF4-4EDB-9F13-7F0C0193153C}"/>
    <cellStyle name="40% - Énfasis2 41 3" xfId="20956" xr:uid="{86B6CABB-2C10-457A-B337-A7EA454E3A1B}"/>
    <cellStyle name="40% - Énfasis2 41 4" xfId="26767" xr:uid="{B5D2F8F5-798F-4BA6-98D7-5F367CFAEFB6}"/>
    <cellStyle name="40% - Énfasis2 41 5" xfId="32642" xr:uid="{BD1C71D3-6B59-417A-9C37-BFBAC9112CC4}"/>
    <cellStyle name="40% - Énfasis2 41 6" xfId="38506" xr:uid="{A0547278-9EBE-4DBD-BB18-4DFF9860F419}"/>
    <cellStyle name="40% - Énfasis2 42" xfId="6538" xr:uid="{32AB49B8-C429-4353-B1F9-973808113010}"/>
    <cellStyle name="40% - Énfasis2 42 2" xfId="9398" xr:uid="{49F16293-7660-4C6F-A676-49BF824030BA}"/>
    <cellStyle name="40% - Énfasis2 42 2 2" xfId="23761" xr:uid="{32966851-1AAB-4C47-A4D7-8C6FE653807F}"/>
    <cellStyle name="40% - Énfasis2 42 2 3" xfId="29629" xr:uid="{4AC3BF15-D503-42B1-8050-2628638FD8A2}"/>
    <cellStyle name="40% - Énfasis2 42 2 4" xfId="35511" xr:uid="{7C5DEB36-5078-4841-9B0D-A735A556043C}"/>
    <cellStyle name="40% - Énfasis2 42 2 5" xfId="41370" xr:uid="{88D5DF88-97DC-4C88-B796-30F4C9C81EA3}"/>
    <cellStyle name="40% - Énfasis2 42 3" xfId="20976" xr:uid="{148BFA4C-812A-4C22-99E7-0DE5BA70EFF3}"/>
    <cellStyle name="40% - Énfasis2 42 4" xfId="26787" xr:uid="{683DB05C-3803-4C02-98F3-D600FF296D8F}"/>
    <cellStyle name="40% - Énfasis2 42 5" xfId="32662" xr:uid="{96456F13-8492-4A72-B84C-01FDC8F60FE2}"/>
    <cellStyle name="40% - Énfasis2 42 6" xfId="38526" xr:uid="{F94A604A-31D3-43B3-B861-550E8B3CD2A8}"/>
    <cellStyle name="40% - Énfasis2 43" xfId="6559" xr:uid="{E2C9AFF9-E3B9-490E-981A-6B1F238B5AE6}"/>
    <cellStyle name="40% - Énfasis2 43 2" xfId="9420" xr:uid="{97594030-FDB8-47F8-BBDB-985302BC0FE1}"/>
    <cellStyle name="40% - Énfasis2 43 2 2" xfId="23783" xr:uid="{8E142CE0-9827-48B0-9042-D9C973FD92B5}"/>
    <cellStyle name="40% - Énfasis2 43 2 3" xfId="29651" xr:uid="{9EA4DB88-C7D4-49EB-B066-CBB3FD0DB49C}"/>
    <cellStyle name="40% - Énfasis2 43 2 4" xfId="35533" xr:uid="{85DDD0F9-7284-45F5-A414-14B44E18D4B7}"/>
    <cellStyle name="40% - Énfasis2 43 2 5" xfId="41392" xr:uid="{76A4AC2B-5393-435B-9367-575E20398ACD}"/>
    <cellStyle name="40% - Énfasis2 43 3" xfId="20998" xr:uid="{4806CDD2-B613-46DD-A17C-3754164412A1}"/>
    <cellStyle name="40% - Énfasis2 43 4" xfId="26809" xr:uid="{9B980E7D-9863-4913-8A27-2A7AFA944A63}"/>
    <cellStyle name="40% - Énfasis2 43 5" xfId="32684" xr:uid="{6C428D73-05DB-4005-BDFA-70D1E74FBB66}"/>
    <cellStyle name="40% - Énfasis2 43 6" xfId="38548" xr:uid="{E765F205-F8A4-4B16-BCA7-847648FC2F24}"/>
    <cellStyle name="40% - Énfasis2 44" xfId="6589" xr:uid="{1270BB21-777C-492F-8AE2-F6E260B560BB}"/>
    <cellStyle name="40% - Énfasis2 44 2" xfId="9449" xr:uid="{A3739B3A-629D-4CE2-AA5C-2B902AB38449}"/>
    <cellStyle name="40% - Énfasis2 44 2 2" xfId="23811" xr:uid="{D29E263C-C933-4D30-AA11-D3D284D04AAC}"/>
    <cellStyle name="40% - Énfasis2 44 2 3" xfId="29680" xr:uid="{0BD925B9-3B2A-43CD-BB5C-200AEF8B4707}"/>
    <cellStyle name="40% - Énfasis2 44 2 4" xfId="35562" xr:uid="{95BD9837-97E4-411C-AF75-ED69694EDECC}"/>
    <cellStyle name="40% - Énfasis2 44 2 5" xfId="41421" xr:uid="{37AC8CB2-9093-4529-9F6F-B50065EF3CFF}"/>
    <cellStyle name="40% - Énfasis2 44 3" xfId="21027" xr:uid="{CAECE131-6647-4805-B9EF-389B4376733A}"/>
    <cellStyle name="40% - Énfasis2 44 4" xfId="26838" xr:uid="{5E46AF8D-0752-4281-BD53-6EFBECBF8A5E}"/>
    <cellStyle name="40% - Énfasis2 44 5" xfId="32713" xr:uid="{4402B9E3-89F5-479C-BAF4-C833D8775370}"/>
    <cellStyle name="40% - Énfasis2 44 6" xfId="38577" xr:uid="{106E1867-DBD2-4182-A484-C571C589B064}"/>
    <cellStyle name="40% - Énfasis2 45" xfId="6614" xr:uid="{2101D140-6D58-4A0A-84BB-837771445F8C}"/>
    <cellStyle name="40% - Énfasis2 45 2" xfId="9474" xr:uid="{89426983-0C65-4407-9F9A-21BF43DF0AD5}"/>
    <cellStyle name="40% - Énfasis2 45 2 2" xfId="23836" xr:uid="{606258B0-0C31-423E-8846-1663BEE1C967}"/>
    <cellStyle name="40% - Énfasis2 45 2 3" xfId="29705" xr:uid="{D2CFC4DB-2969-48F8-8D41-F451E95CB02F}"/>
    <cellStyle name="40% - Énfasis2 45 2 4" xfId="35587" xr:uid="{D67FB6B3-0331-4AE1-A2E0-C114BE9A929C}"/>
    <cellStyle name="40% - Énfasis2 45 2 5" xfId="41446" xr:uid="{949A4587-0072-4FED-8CF2-A3935C73C795}"/>
    <cellStyle name="40% - Énfasis2 45 3" xfId="21051" xr:uid="{674D94B0-BB2A-4AD5-8715-159A217559A7}"/>
    <cellStyle name="40% - Énfasis2 45 4" xfId="26863" xr:uid="{717742E1-2979-494E-B999-3D73BFFEA5A8}"/>
    <cellStyle name="40% - Énfasis2 45 5" xfId="32738" xr:uid="{84D8C657-1F2B-456A-A0AD-61534379BD5A}"/>
    <cellStyle name="40% - Énfasis2 45 6" xfId="38602" xr:uid="{B750AE65-3FB2-4D63-A826-FE5D92396F7C}"/>
    <cellStyle name="40% - Énfasis2 46" xfId="6636" xr:uid="{B168E369-5390-40B3-80CC-6E77022C2182}"/>
    <cellStyle name="40% - Énfasis2 46 2" xfId="21073" xr:uid="{989B4EAB-36B6-4FB6-8381-3FC3A12AEBE1}"/>
    <cellStyle name="40% - Énfasis2 46 3" xfId="26885" xr:uid="{963EC64D-ABE9-4C7D-9FEB-4DCEFCB63CDF}"/>
    <cellStyle name="40% - Énfasis2 46 4" xfId="32760" xr:uid="{6478461B-F56C-4099-A63B-A95F2CB2266D}"/>
    <cellStyle name="40% - Énfasis2 46 5" xfId="38624" xr:uid="{413F9B5C-0A96-48F6-81DE-92E14045C594}"/>
    <cellStyle name="40% - Énfasis2 47" xfId="6666" xr:uid="{39F4CC82-3DBE-4FFF-8929-9881E2B93DC9}"/>
    <cellStyle name="40% - Énfasis2 47 2" xfId="21095" xr:uid="{D5D84FB1-7023-4164-950A-1685B0556208}"/>
    <cellStyle name="40% - Énfasis2 47 3" xfId="26907" xr:uid="{C6B44424-2FD2-4CF8-8AA5-D4E5564ADBCD}"/>
    <cellStyle name="40% - Énfasis2 47 4" xfId="32782" xr:uid="{2AF17358-5672-4ADD-86FA-76228CA8933A}"/>
    <cellStyle name="40% - Énfasis2 47 5" xfId="38646" xr:uid="{E30960DA-BA28-401B-BCAA-A47336DC986E}"/>
    <cellStyle name="40% - Énfasis2 48" xfId="9495" xr:uid="{C06B05D6-CFE0-433D-A087-A1DEC7DBAA1D}"/>
    <cellStyle name="40% - Énfasis2 48 2" xfId="23857" xr:uid="{510A7ED4-AA94-49F1-83FA-869318DDA28A}"/>
    <cellStyle name="40% - Énfasis2 48 3" xfId="29726" xr:uid="{E7755034-3909-4205-B29A-4DE7460B8CA8}"/>
    <cellStyle name="40% - Énfasis2 48 4" xfId="35608" xr:uid="{38AC1F13-408D-47DD-B699-8045F543BDA4}"/>
    <cellStyle name="40% - Énfasis2 48 5" xfId="41467" xr:uid="{6D7D5282-B5B6-4368-B1ED-937C1939518D}"/>
    <cellStyle name="40% - Énfasis2 49" xfId="9515" xr:uid="{DB975670-8D2A-4A43-83C1-A7A402B48BB8}"/>
    <cellStyle name="40% - Énfasis2 49 2" xfId="23876" xr:uid="{D699BC85-2182-4178-8119-57C09FFB25BC}"/>
    <cellStyle name="40% - Énfasis2 49 3" xfId="29746" xr:uid="{067CC851-7C95-4F27-8F2C-CA2FC6E39FF4}"/>
    <cellStyle name="40% - Énfasis2 49 4" xfId="35628" xr:uid="{77A6EDE8-36FF-4384-9819-CC857114F92A}"/>
    <cellStyle name="40% - Énfasis2 49 5" xfId="41487" xr:uid="{FF311BAC-5704-435E-A5F4-0289B368BD46}"/>
    <cellStyle name="40% - Énfasis2 5" xfId="3914" xr:uid="{72D3DF77-38A7-408D-BEDC-C4838D7BB915}"/>
    <cellStyle name="40% - Énfasis2 5 10" xfId="35906" xr:uid="{A7025296-3A8C-42F1-A3CD-B227AE9605AB}"/>
    <cellStyle name="40% - Énfasis2 5 2" xfId="4108" xr:uid="{62D143C4-2ADA-4D86-B9AB-334E86F87E62}"/>
    <cellStyle name="40% - Énfasis2 5 2 2" xfId="4586" xr:uid="{610C612A-1BBE-4402-9456-936DD8A31535}"/>
    <cellStyle name="40% - Énfasis2 5 2 2 2" xfId="5554" xr:uid="{3CC4BBD6-08A7-43EA-93F1-22416CB96421}"/>
    <cellStyle name="40% - Énfasis2 5 2 2 2 2" xfId="8421" xr:uid="{90F3D9F3-EA52-4F19-AB62-A93B73004939}"/>
    <cellStyle name="40% - Énfasis2 5 2 2 2 2 2" xfId="22796" xr:uid="{4A175C17-FF51-4DA4-BB7D-F5869709C95F}"/>
    <cellStyle name="40% - Énfasis2 5 2 2 2 2 3" xfId="28654" xr:uid="{4DE49D3C-8DD8-432F-B09E-88CA684E3956}"/>
    <cellStyle name="40% - Énfasis2 5 2 2 2 2 4" xfId="34536" xr:uid="{1028772F-7A69-4CBA-B5CA-E832280BCB06}"/>
    <cellStyle name="40% - Énfasis2 5 2 2 2 2 5" xfId="40400" xr:uid="{16121C46-FF25-4872-81A8-B9BFFB7FD079}"/>
    <cellStyle name="40% - Énfasis2 5 2 2 2 3" xfId="20014" xr:uid="{3006624D-B3CD-4BCB-81CA-7C92D94A682C}"/>
    <cellStyle name="40% - Énfasis2 5 2 2 2 4" xfId="25805" xr:uid="{55090B72-FF7E-4A6F-8325-A9932D880167}"/>
    <cellStyle name="40% - Énfasis2 5 2 2 2 5" xfId="31679" xr:uid="{9248ACFC-192C-45D3-98C2-074945761A8C}"/>
    <cellStyle name="40% - Énfasis2 5 2 2 2 6" xfId="37549" xr:uid="{514D87D7-7B9A-48FE-83AC-8C5DEE6FB104}"/>
    <cellStyle name="40% - Énfasis2 5 2 2 3" xfId="7449" xr:uid="{034E5057-1FFC-44C5-9726-FFEF59223089}"/>
    <cellStyle name="40% - Énfasis2 5 2 2 3 2" xfId="21851" xr:uid="{FAEC574A-BACE-42DE-B2C5-17BCC103FD24}"/>
    <cellStyle name="40% - Énfasis2 5 2 2 3 3" xfId="27683" xr:uid="{94F26706-27CA-4E28-A94A-DDC7983BEF01}"/>
    <cellStyle name="40% - Énfasis2 5 2 2 3 4" xfId="33565" xr:uid="{C337E811-EB98-4104-B873-7639FEB36CA8}"/>
    <cellStyle name="40% - Énfasis2 5 2 2 3 5" xfId="39429" xr:uid="{C496F10F-3184-4D72-802A-93E96E5919FA}"/>
    <cellStyle name="40% - Énfasis2 5 2 2 4" xfId="19081" xr:uid="{FEE243FF-A831-494C-806E-ADF9AA61E5EE}"/>
    <cellStyle name="40% - Énfasis2 5 2 2 5" xfId="24834" xr:uid="{7E4D1D7C-3D68-442D-8FDC-351848CEE3F3}"/>
    <cellStyle name="40% - Énfasis2 5 2 2 6" xfId="30711" xr:uid="{05AE6C61-151D-4A17-9FDF-774416A91E10}"/>
    <cellStyle name="40% - Énfasis2 5 2 2 7" xfId="36592" xr:uid="{9B862F84-B31E-4057-AF59-CC1070D1422D}"/>
    <cellStyle name="40% - Énfasis2 5 2 3" xfId="5069" xr:uid="{4ED4547E-AB44-4BCB-A5D5-9049A087E1DD}"/>
    <cellStyle name="40% - Énfasis2 5 2 3 2" xfId="7936" xr:uid="{B6C17129-8254-440F-977D-12413D869213}"/>
    <cellStyle name="40% - Énfasis2 5 2 3 2 2" xfId="22321" xr:uid="{316E1C9A-0C53-425F-AE20-005527CCFCDA}"/>
    <cellStyle name="40% - Énfasis2 5 2 3 2 3" xfId="28169" xr:uid="{ABE11297-A6DD-45E4-AC05-E57E2E1FBF5E}"/>
    <cellStyle name="40% - Énfasis2 5 2 3 2 4" xfId="34051" xr:uid="{7DEBB99D-45BD-4104-AF8C-3BF2B65D8792}"/>
    <cellStyle name="40% - Énfasis2 5 2 3 2 5" xfId="39915" xr:uid="{C2291960-EA24-4A0C-9E41-5006B0035C03}"/>
    <cellStyle name="40% - Énfasis2 5 2 3 3" xfId="19546" xr:uid="{F27B0AA7-0830-4743-9DAB-E069A4143662}"/>
    <cellStyle name="40% - Énfasis2 5 2 3 4" xfId="25320" xr:uid="{B1D134A8-E40F-4C37-A5B1-8E24143873EA}"/>
    <cellStyle name="40% - Énfasis2 5 2 3 5" xfId="31194" xr:uid="{E7AFD056-B6F8-4D89-8C2E-763B38554962}"/>
    <cellStyle name="40% - Énfasis2 5 2 3 6" xfId="37072" xr:uid="{07097AF8-A8EC-4EC1-86A4-AD125F427BA0}"/>
    <cellStyle name="40% - Énfasis2 5 2 4" xfId="6964" xr:uid="{40363189-C6BB-40DE-95E6-8FB32AFAF2C1}"/>
    <cellStyle name="40% - Énfasis2 5 2 4 2" xfId="21383" xr:uid="{FB5BE015-2E89-4AD7-836F-2480F24B2458}"/>
    <cellStyle name="40% - Énfasis2 5 2 4 3" xfId="27202" xr:uid="{FCFC87A9-0FCE-417A-B3E8-D6C69482AD39}"/>
    <cellStyle name="40% - Énfasis2 5 2 4 4" xfId="33080" xr:uid="{36DCE416-479C-451B-9D6F-47588F2F7179}"/>
    <cellStyle name="40% - Énfasis2 5 2 4 5" xfId="38944" xr:uid="{474AA8BE-9FFA-4D01-B743-AB281B4F471E}"/>
    <cellStyle name="40% - Énfasis2 5 2 5" xfId="18637" xr:uid="{1C3F6B16-5852-4527-AD11-8890A755F373}"/>
    <cellStyle name="40% - Énfasis2 5 2 6" xfId="24351" xr:uid="{4A02501F-6188-4EBF-AB3D-7128CAFE1473}"/>
    <cellStyle name="40% - Énfasis2 5 2 7" xfId="30229" xr:uid="{14A756C2-EE35-4B94-8A3B-3BD5E1BC8A09}"/>
    <cellStyle name="40% - Énfasis2 5 2 8" xfId="36108" xr:uid="{A2D274FD-9061-46D8-975A-9723496F789E}"/>
    <cellStyle name="40% - Énfasis2 5 3" xfId="4392" xr:uid="{05248A46-8CD6-4028-B8C1-3B2074BC37B4}"/>
    <cellStyle name="40% - Énfasis2 5 3 2" xfId="5358" xr:uid="{10F41B54-68FD-480C-AEA0-0BAF8F353951}"/>
    <cellStyle name="40% - Énfasis2 5 3 2 2" xfId="8225" xr:uid="{3CDE5C0D-6FB9-46E2-B38A-AE97086EEBF4}"/>
    <cellStyle name="40% - Énfasis2 5 3 2 2 2" xfId="22601" xr:uid="{3FBC8ECD-FA0B-4694-9969-F087AF37A8B2}"/>
    <cellStyle name="40% - Énfasis2 5 3 2 2 3" xfId="28458" xr:uid="{E3A5E727-BEF8-46E7-8A69-864E1AE19B09}"/>
    <cellStyle name="40% - Énfasis2 5 3 2 2 4" xfId="34340" xr:uid="{EA74E601-487D-48A0-A861-D892F4F77BF7}"/>
    <cellStyle name="40% - Énfasis2 5 3 2 2 5" xfId="40204" xr:uid="{6AD0BCD0-A534-426A-B2ED-1521E4D2F5DD}"/>
    <cellStyle name="40% - Énfasis2 5 3 2 3" xfId="19825" xr:uid="{30189D10-8BE6-4A07-81D5-F6B0770B3841}"/>
    <cellStyle name="40% - Énfasis2 5 3 2 4" xfId="25609" xr:uid="{F3A223A0-FDF7-480B-90F0-26F969D6C6A9}"/>
    <cellStyle name="40% - Énfasis2 5 3 2 5" xfId="31483" xr:uid="{3181AE6E-B0E4-461C-97A7-9E0ACF6BA8FF}"/>
    <cellStyle name="40% - Énfasis2 5 3 2 6" xfId="37354" xr:uid="{C821E794-0B16-4E38-8679-66AD48F09E7C}"/>
    <cellStyle name="40% - Énfasis2 5 3 3" xfId="7253" xr:uid="{69659CD0-EF4F-47E1-A856-380EC0B50265}"/>
    <cellStyle name="40% - Énfasis2 5 3 3 2" xfId="21660" xr:uid="{8A525B94-8D95-4C33-B312-C9A651CAD7A4}"/>
    <cellStyle name="40% - Énfasis2 5 3 3 3" xfId="27487" xr:uid="{3CD99245-DAFD-42CA-AFD1-B7F1BACF2CAB}"/>
    <cellStyle name="40% - Énfasis2 5 3 3 4" xfId="33369" xr:uid="{0FEC56F7-27DE-4A42-85B8-A02F840BC0BD}"/>
    <cellStyle name="40% - Énfasis2 5 3 3 5" xfId="39233" xr:uid="{59DA9F55-EC52-4CF3-B3B8-DE584A55979E}"/>
    <cellStyle name="40% - Énfasis2 5 3 4" xfId="18894" xr:uid="{A1126B22-1D33-4A6D-9A1D-368B02A59A39}"/>
    <cellStyle name="40% - Énfasis2 5 3 5" xfId="24638" xr:uid="{2DDB6797-D39E-45A5-9442-66AEAD0B6FCE}"/>
    <cellStyle name="40% - Énfasis2 5 3 6" xfId="30517" xr:uid="{947A9755-83D8-4764-9917-5E6154D6CD8F}"/>
    <cellStyle name="40% - Énfasis2 5 3 7" xfId="36397" xr:uid="{959B55B5-AEE9-42EE-AD59-212B1AAF11EE}"/>
    <cellStyle name="40% - Énfasis2 5 4" xfId="4873" xr:uid="{8F51E30E-90FC-48B7-83DC-3A9F8430B741}"/>
    <cellStyle name="40% - Énfasis2 5 4 2" xfId="7740" xr:uid="{49E4AB13-EF82-4912-86F8-28842AF018A4}"/>
    <cellStyle name="40% - Énfasis2 5 4 2 2" xfId="22130" xr:uid="{81B5BB84-FBFC-4A62-B8C8-E73EE70DA9A7}"/>
    <cellStyle name="40% - Énfasis2 5 4 2 3" xfId="27973" xr:uid="{B612DC44-BE01-48FC-9E3F-B92815942AC1}"/>
    <cellStyle name="40% - Énfasis2 5 4 2 4" xfId="33855" xr:uid="{55184082-0706-43CC-B2F6-2CA9EC6EEF60}"/>
    <cellStyle name="40% - Énfasis2 5 4 2 5" xfId="39719" xr:uid="{A71AA01F-AF9A-459C-A364-D88675AB05AB}"/>
    <cellStyle name="40% - Énfasis2 5 4 3" xfId="19356" xr:uid="{AA1CC82D-9042-4CBC-8D3B-3C094950AEAA}"/>
    <cellStyle name="40% - Énfasis2 5 4 4" xfId="25124" xr:uid="{2D5C28A2-5CBD-4E2F-A0D3-C154DF94CFF3}"/>
    <cellStyle name="40% - Énfasis2 5 4 5" xfId="30998" xr:uid="{64EACB17-C1FC-4336-BB89-F2BE1A1DA675}"/>
    <cellStyle name="40% - Énfasis2 5 4 6" xfId="36877" xr:uid="{17F6C579-3E6E-4874-B289-44B071BB7AE3}"/>
    <cellStyle name="40% - Énfasis2 5 5" xfId="5883" xr:uid="{77DBBE34-97C1-4A4B-873A-638B8739BA96}"/>
    <cellStyle name="40% - Énfasis2 5 5 2" xfId="8752" xr:uid="{44F9BEF5-ABC3-4496-8E21-9385075AFA46}"/>
    <cellStyle name="40% - Énfasis2 5 5 2 2" xfId="23120" xr:uid="{0E2B2136-ABA8-455E-A9FF-8352B2047F4E}"/>
    <cellStyle name="40% - Énfasis2 5 5 2 3" xfId="28984" xr:uid="{4E91C2B0-71CC-4D3E-BCCA-52455EF189A9}"/>
    <cellStyle name="40% - Énfasis2 5 5 2 4" xfId="34866" xr:uid="{A83F1BA6-F6E8-4BFF-8D74-65B65E427535}"/>
    <cellStyle name="40% - Énfasis2 5 5 2 5" xfId="40730" xr:uid="{F8C20F14-B3E2-473B-A3F7-232A7BAF9B40}"/>
    <cellStyle name="40% - Énfasis2 5 5 3" xfId="20334" xr:uid="{10D5F8DA-0B67-4449-81EC-D0F2CCE056FB}"/>
    <cellStyle name="40% - Énfasis2 5 5 4" xfId="26134" xr:uid="{87C508B2-1680-45D8-9435-9ED8E7B3B7F1}"/>
    <cellStyle name="40% - Énfasis2 5 5 5" xfId="32009" xr:uid="{B2C4DF8B-AF73-4D73-B991-AB42AB7A6914}"/>
    <cellStyle name="40% - Énfasis2 5 5 6" xfId="37875" xr:uid="{6C79238C-62A7-4C0D-927C-59CF2AD975A1}"/>
    <cellStyle name="40% - Énfasis2 5 6" xfId="6769" xr:uid="{360C5882-9B89-49C0-A765-C6C5465F3D85}"/>
    <cellStyle name="40% - Énfasis2 5 6 2" xfId="21193" xr:uid="{FF68F92B-121E-45B5-9745-2A883BBCE9FA}"/>
    <cellStyle name="40% - Énfasis2 5 6 3" xfId="27008" xr:uid="{180077A8-8734-496F-911D-6D6A2CC7B628}"/>
    <cellStyle name="40% - Énfasis2 5 6 4" xfId="32884" xr:uid="{BD1192EA-FB62-4197-8344-B32867254F61}"/>
    <cellStyle name="40% - Énfasis2 5 6 5" xfId="38748" xr:uid="{B262FC39-7CC6-4CAF-99D8-3C129F5B622C}"/>
    <cellStyle name="40% - Énfasis2 5 7" xfId="18439" xr:uid="{04378A49-B5E7-495A-AEE9-E3E8E8671193}"/>
    <cellStyle name="40% - Énfasis2 5 8" xfId="24147" xr:uid="{EF7C7A50-C951-4ECE-B6BE-FCE835F1276B}"/>
    <cellStyle name="40% - Énfasis2 5 9" xfId="30025" xr:uid="{D60B33D1-61B9-4675-B4FF-E1AEC48673A8}"/>
    <cellStyle name="40% - Énfasis2 50" xfId="9534" xr:uid="{C3C7112F-95C1-4D8B-A9EE-94BD069FCFAC}"/>
    <cellStyle name="40% - Énfasis2 50 2" xfId="23896" xr:uid="{F888187D-0206-44B8-A886-37A9DD05D19B}"/>
    <cellStyle name="40% - Énfasis2 50 3" xfId="29766" xr:uid="{E018CD31-361C-4211-817E-CD5AC71E6001}"/>
    <cellStyle name="40% - Énfasis2 50 4" xfId="35648" xr:uid="{35F451B7-20BA-4394-8414-9A807724EAF5}"/>
    <cellStyle name="40% - Énfasis2 50 5" xfId="41507" xr:uid="{EE833A65-4D99-42FB-9BA4-42D1E8B9DA68}"/>
    <cellStyle name="40% - Énfasis2 51" xfId="9560" xr:uid="{438DAE19-7FEB-4AE4-9BD3-32FCC916DB08}"/>
    <cellStyle name="40% - Énfasis2 51 2" xfId="23922" xr:uid="{68088C9E-9E05-4F9B-B86C-720B3ADFF76D}"/>
    <cellStyle name="40% - Énfasis2 51 3" xfId="29792" xr:uid="{49C760D1-2AF7-4BF5-AC2F-B920193D139D}"/>
    <cellStyle name="40% - Énfasis2 51 4" xfId="35674" xr:uid="{43D255DF-99E4-4219-AB1F-6B734BD8371F}"/>
    <cellStyle name="40% - Énfasis2 51 5" xfId="41533" xr:uid="{61EC1D87-CEE0-4E16-B200-B5C913D6AC0E}"/>
    <cellStyle name="40% - Énfasis2 52" xfId="15762" xr:uid="{CE9D9FA9-4A35-4F91-9B13-1FF167D432EA}"/>
    <cellStyle name="40% - Énfasis2 52 2" xfId="23982" xr:uid="{E9A88E18-394B-4331-9FED-F0C7A7668926}"/>
    <cellStyle name="40% - Énfasis2 52 3" xfId="29854" xr:uid="{9A3FF1F2-3A6C-4A42-80BF-1E87A4B4F085}"/>
    <cellStyle name="40% - Énfasis2 52 4" xfId="35736" xr:uid="{79020BA9-BB3F-478F-9F95-5BDC4DFB2BF8}"/>
    <cellStyle name="40% - Énfasis2 52 5" xfId="41595" xr:uid="{E68F8CB3-6168-4ED8-94D2-48738E7E1F93}"/>
    <cellStyle name="40% - Énfasis2 53" xfId="15786" xr:uid="{644501DD-752E-48EA-AE95-C7753538B055}"/>
    <cellStyle name="40% - Énfasis2 53 2" xfId="24003" xr:uid="{CCEBCAFB-5688-41ED-8B1D-E53E7378F477}"/>
    <cellStyle name="40% - Énfasis2 53 3" xfId="29878" xr:uid="{0B74ECA9-89AC-4BD1-A13B-C48F61AF4360}"/>
    <cellStyle name="40% - Énfasis2 53 4" xfId="35760" xr:uid="{C778812F-DCA5-4235-B504-6F347563B57A}"/>
    <cellStyle name="40% - Énfasis2 53 5" xfId="41619" xr:uid="{D17469BC-BE4F-4771-8E1D-B8D1535D4F1F}"/>
    <cellStyle name="40% - Énfasis2 54" xfId="15821" xr:uid="{CD23551D-A6BB-44BF-8370-8B44796DA0BA}"/>
    <cellStyle name="40% - Énfasis2 55" xfId="18296" xr:uid="{E7A6033B-3D37-4E20-96EB-0BB9B04AE5BE}"/>
    <cellStyle name="40% - Énfasis2 56" xfId="18319" xr:uid="{ABE96A8B-A0F2-46E8-A10F-E779E17A07A8}"/>
    <cellStyle name="40% - Énfasis2 57" xfId="24031" xr:uid="{3353E01E-FDA4-45E6-B114-5F03093A5F56}"/>
    <cellStyle name="40% - Énfasis2 58" xfId="29909" xr:uid="{A8EDA80C-68AE-4110-A299-8F4B9708F570}"/>
    <cellStyle name="40% - Énfasis2 59" xfId="35790" xr:uid="{F225495A-362F-436D-9519-199E1C86EC42}"/>
    <cellStyle name="40% - Énfasis2 6" xfId="3938" xr:uid="{B1FF83E2-95B8-4E02-815F-9707FFD83B95}"/>
    <cellStyle name="40% - Énfasis2 6 10" xfId="35929" xr:uid="{95A1D1D0-AAE2-4952-899B-86432FB5F391}"/>
    <cellStyle name="40% - Énfasis2 6 2" xfId="4130" xr:uid="{FB34CCA2-587D-4E68-8ECC-F0C21243F997}"/>
    <cellStyle name="40% - Énfasis2 6 2 2" xfId="4608" xr:uid="{44B28434-3856-4C13-8ED3-65DCD97A1224}"/>
    <cellStyle name="40% - Énfasis2 6 2 2 2" xfId="5576" xr:uid="{7E4E6734-5EC4-47C5-88BA-0E96BD4ADA02}"/>
    <cellStyle name="40% - Énfasis2 6 2 2 2 2" xfId="8443" xr:uid="{3D18DC79-E02D-4DAC-BCF0-D2F092FF5B56}"/>
    <cellStyle name="40% - Énfasis2 6 2 2 2 2 2" xfId="22818" xr:uid="{0D9EE201-60FA-4B05-966D-4B4A8AFE34E4}"/>
    <cellStyle name="40% - Énfasis2 6 2 2 2 2 3" xfId="28676" xr:uid="{2A781E05-4116-47D2-B49E-E371BD890115}"/>
    <cellStyle name="40% - Énfasis2 6 2 2 2 2 4" xfId="34558" xr:uid="{DBCF7205-BCF2-40F0-AAB9-475C7FD7DFE1}"/>
    <cellStyle name="40% - Énfasis2 6 2 2 2 2 5" xfId="40422" xr:uid="{2CA1011A-5D58-4B71-BD4E-9D5A072D1214}"/>
    <cellStyle name="40% - Énfasis2 6 2 2 2 3" xfId="20036" xr:uid="{B6F3D3AB-E9B2-4933-ABCF-ECD1E2111630}"/>
    <cellStyle name="40% - Énfasis2 6 2 2 2 4" xfId="25827" xr:uid="{3B65FE11-92F0-44F0-932D-E88CA1E0F0A1}"/>
    <cellStyle name="40% - Énfasis2 6 2 2 2 5" xfId="31701" xr:uid="{CE1CB7ED-296A-4873-8130-4B369B1BC257}"/>
    <cellStyle name="40% - Énfasis2 6 2 2 2 6" xfId="37571" xr:uid="{32EC4593-B3ED-4ADD-9F47-F18BF77A1C44}"/>
    <cellStyle name="40% - Énfasis2 6 2 2 3" xfId="7471" xr:uid="{21E61C5B-22F7-4568-9864-0247868B7658}"/>
    <cellStyle name="40% - Énfasis2 6 2 2 3 2" xfId="21873" xr:uid="{921A6A53-1E22-403C-8072-2BBC61E41AAC}"/>
    <cellStyle name="40% - Énfasis2 6 2 2 3 3" xfId="27705" xr:uid="{807F7054-CDE9-4B97-B5A1-6DAB4ACAC9B3}"/>
    <cellStyle name="40% - Énfasis2 6 2 2 3 4" xfId="33587" xr:uid="{DA65040C-E0EE-41FD-A287-9A2630861A9F}"/>
    <cellStyle name="40% - Énfasis2 6 2 2 3 5" xfId="39451" xr:uid="{63FB75AA-F75D-470F-9356-D28300F08A10}"/>
    <cellStyle name="40% - Énfasis2 6 2 2 4" xfId="19103" xr:uid="{A0CD3682-F3F5-4DC0-BC44-745C703792A1}"/>
    <cellStyle name="40% - Énfasis2 6 2 2 5" xfId="24856" xr:uid="{5875E637-6362-481F-B22B-5A0C4F0E61DF}"/>
    <cellStyle name="40% - Énfasis2 6 2 2 6" xfId="30733" xr:uid="{7596117C-C9EB-4ED8-A50E-3B482EA29CB4}"/>
    <cellStyle name="40% - Énfasis2 6 2 2 7" xfId="36614" xr:uid="{98ECF4FA-1466-41F0-AFA4-AD3DF8CE10F2}"/>
    <cellStyle name="40% - Énfasis2 6 2 3" xfId="5091" xr:uid="{8525E5C7-0EB8-4514-A18D-7216953A7E5D}"/>
    <cellStyle name="40% - Énfasis2 6 2 3 2" xfId="7958" xr:uid="{8724DB3B-A9A0-4C97-8AAB-6C45BE3D5455}"/>
    <cellStyle name="40% - Énfasis2 6 2 3 2 2" xfId="22343" xr:uid="{2696C6A8-66B2-4BF2-BD8B-64F92BA98022}"/>
    <cellStyle name="40% - Énfasis2 6 2 3 2 3" xfId="28191" xr:uid="{751F4132-BD86-41BA-9FF9-F7E64F5566AD}"/>
    <cellStyle name="40% - Énfasis2 6 2 3 2 4" xfId="34073" xr:uid="{A5219740-31A4-4F60-BDE0-60984E57FEE0}"/>
    <cellStyle name="40% - Énfasis2 6 2 3 2 5" xfId="39937" xr:uid="{D7142924-CD3E-4E1B-89D8-EB7F9E8FF130}"/>
    <cellStyle name="40% - Énfasis2 6 2 3 3" xfId="19568" xr:uid="{CB6E001B-9AFC-4ACF-B4EA-3DB17750C9F3}"/>
    <cellStyle name="40% - Énfasis2 6 2 3 4" xfId="25342" xr:uid="{62BE5FAC-3BF7-4523-B017-8B55B707CA6D}"/>
    <cellStyle name="40% - Énfasis2 6 2 3 5" xfId="31216" xr:uid="{317FF8AB-8362-4833-972E-BFED04DF5D46}"/>
    <cellStyle name="40% - Énfasis2 6 2 3 6" xfId="37094" xr:uid="{3264DE9D-EF89-4114-A0ED-3CC501F7640E}"/>
    <cellStyle name="40% - Énfasis2 6 2 4" xfId="6986" xr:uid="{BF42E1D2-9CC8-4FA4-896D-B40E78D19F61}"/>
    <cellStyle name="40% - Énfasis2 6 2 4 2" xfId="21405" xr:uid="{9C006015-DB97-48FB-AFBA-932E9B63E953}"/>
    <cellStyle name="40% - Énfasis2 6 2 4 3" xfId="27224" xr:uid="{7A709BF5-0DD5-45E6-A5BA-02FF65AA1849}"/>
    <cellStyle name="40% - Énfasis2 6 2 4 4" xfId="33102" xr:uid="{D9EF2248-D9A3-4DF6-ABCB-F20E7CD7FB1B}"/>
    <cellStyle name="40% - Énfasis2 6 2 4 5" xfId="38966" xr:uid="{443862DE-DBF4-419A-943F-1ED0DE417B02}"/>
    <cellStyle name="40% - Énfasis2 6 2 5" xfId="18659" xr:uid="{B50635A7-5161-4D3F-93C1-C5F7A583CDF6}"/>
    <cellStyle name="40% - Énfasis2 6 2 6" xfId="24373" xr:uid="{EBE0D28E-F82B-460D-8188-C320AB6C32AA}"/>
    <cellStyle name="40% - Énfasis2 6 2 7" xfId="30251" xr:uid="{CBEC985B-28C2-427F-A669-02B3989FEFC5}"/>
    <cellStyle name="40% - Énfasis2 6 2 8" xfId="36130" xr:uid="{EA963426-0C3A-40F2-951B-BC514D4A9727}"/>
    <cellStyle name="40% - Énfasis2 6 3" xfId="4414" xr:uid="{2C83E52A-40FE-413C-83DE-ED64D94609A7}"/>
    <cellStyle name="40% - Énfasis2 6 3 2" xfId="5380" xr:uid="{1FD3C7AA-D745-4D90-8DB9-9B699D654558}"/>
    <cellStyle name="40% - Énfasis2 6 3 2 2" xfId="8247" xr:uid="{D1AC1F3E-F589-4383-A6E2-F904017218F8}"/>
    <cellStyle name="40% - Énfasis2 6 3 2 2 2" xfId="22623" xr:uid="{C1AE6E4E-E3B2-4A30-B4D9-354B91434479}"/>
    <cellStyle name="40% - Énfasis2 6 3 2 2 3" xfId="28480" xr:uid="{379703D7-9965-4253-8563-D194AF6A3ACA}"/>
    <cellStyle name="40% - Énfasis2 6 3 2 2 4" xfId="34362" xr:uid="{75332D42-6177-4745-B444-5E265C599BA1}"/>
    <cellStyle name="40% - Énfasis2 6 3 2 2 5" xfId="40226" xr:uid="{462890B1-D898-4AD2-BDC8-4E9396D484F4}"/>
    <cellStyle name="40% - Énfasis2 6 3 2 3" xfId="19847" xr:uid="{D6D033E2-9767-420C-A702-0B6AAF9F3258}"/>
    <cellStyle name="40% - Énfasis2 6 3 2 4" xfId="25631" xr:uid="{399D61A1-A4BC-4F64-8B0E-4B5EF2CD141C}"/>
    <cellStyle name="40% - Énfasis2 6 3 2 5" xfId="31505" xr:uid="{C84F8409-70E4-4F5C-87A0-B23248CAC09C}"/>
    <cellStyle name="40% - Énfasis2 6 3 2 6" xfId="37376" xr:uid="{5DDAC8E9-4165-42A3-AADE-088E2B6140D5}"/>
    <cellStyle name="40% - Énfasis2 6 3 3" xfId="7275" xr:uid="{BEE45141-EF8D-4C04-BCEE-EE353C7D2366}"/>
    <cellStyle name="40% - Énfasis2 6 3 3 2" xfId="21682" xr:uid="{4D5E8E4A-50C0-46B2-B6BD-F867E25DF667}"/>
    <cellStyle name="40% - Énfasis2 6 3 3 3" xfId="27509" xr:uid="{58AF1120-1C5D-4EA4-AABA-CE9469B2BDB2}"/>
    <cellStyle name="40% - Énfasis2 6 3 3 4" xfId="33391" xr:uid="{66061A11-4DBD-4816-AF9A-97D9FC9AD0B4}"/>
    <cellStyle name="40% - Énfasis2 6 3 3 5" xfId="39255" xr:uid="{7C267795-DD47-4482-B2C0-B1FF2962EDF0}"/>
    <cellStyle name="40% - Énfasis2 6 3 4" xfId="18916" xr:uid="{B0C4CFD5-C52E-4BA0-8F75-734A8B9FB2F5}"/>
    <cellStyle name="40% - Énfasis2 6 3 5" xfId="24660" xr:uid="{FB96C568-352F-4160-96D2-DCBC7BC772ED}"/>
    <cellStyle name="40% - Énfasis2 6 3 6" xfId="30539" xr:uid="{5DC2C534-9E0E-4EE7-9D44-3FE1F53ADBDF}"/>
    <cellStyle name="40% - Énfasis2 6 3 7" xfId="36419" xr:uid="{C39388E3-9045-4692-A525-CCF2CD1B4A8F}"/>
    <cellStyle name="40% - Énfasis2 6 4" xfId="4895" xr:uid="{28338E5D-8E31-4929-8B05-C7EFECB2855B}"/>
    <cellStyle name="40% - Énfasis2 6 4 2" xfId="7762" xr:uid="{CDD6D7D6-B5AA-4733-AD1F-97A6E4BA87A2}"/>
    <cellStyle name="40% - Énfasis2 6 4 2 2" xfId="22152" xr:uid="{4BA6E4E6-6A30-4426-8533-4399EE60A331}"/>
    <cellStyle name="40% - Énfasis2 6 4 2 3" xfId="27995" xr:uid="{FFB284A1-DA93-4B4C-A863-998577A330FB}"/>
    <cellStyle name="40% - Énfasis2 6 4 2 4" xfId="33877" xr:uid="{DBE4639B-980F-49F2-99A7-2454A3094982}"/>
    <cellStyle name="40% - Énfasis2 6 4 2 5" xfId="39741" xr:uid="{A2E1C9C2-6F23-426B-B8AE-8298F5D8806B}"/>
    <cellStyle name="40% - Énfasis2 6 4 3" xfId="19378" xr:uid="{8667E07A-1506-4D43-9E80-D7945F9655BC}"/>
    <cellStyle name="40% - Énfasis2 6 4 4" xfId="25146" xr:uid="{68B775CF-C9C3-4A99-9E97-BE579E274F2F}"/>
    <cellStyle name="40% - Énfasis2 6 4 5" xfId="31020" xr:uid="{3663D4A2-E824-475D-A0E5-FBCF667372DA}"/>
    <cellStyle name="40% - Énfasis2 6 4 6" xfId="36899" xr:uid="{2DF1ACC5-5674-49CF-8749-227E882BDAAC}"/>
    <cellStyle name="40% - Énfasis2 6 5" xfId="5905" xr:uid="{FE91D4F9-BE22-4813-B8D8-AE7CFFAA2096}"/>
    <cellStyle name="40% - Énfasis2 6 5 2" xfId="8774" xr:uid="{58BB06B3-9445-4245-9BB3-F039BFFF132C}"/>
    <cellStyle name="40% - Énfasis2 6 5 2 2" xfId="23142" xr:uid="{41F819F9-B8F4-4F9E-8BB0-2ABA9DB5BA54}"/>
    <cellStyle name="40% - Énfasis2 6 5 2 3" xfId="29006" xr:uid="{626D0281-A025-4F96-B409-737F7E4ECC32}"/>
    <cellStyle name="40% - Énfasis2 6 5 2 4" xfId="34888" xr:uid="{2F47B4CA-DBBC-4321-883B-609484A4B80D}"/>
    <cellStyle name="40% - Énfasis2 6 5 2 5" xfId="40752" xr:uid="{8F233E16-B1B3-4D99-84FF-260E8DD19E70}"/>
    <cellStyle name="40% - Énfasis2 6 5 3" xfId="20356" xr:uid="{13BF01ED-4E97-4DF7-BE81-F45C06896787}"/>
    <cellStyle name="40% - Énfasis2 6 5 4" xfId="26156" xr:uid="{DFD9D0D1-6425-41BC-9E24-EDF898C13B56}"/>
    <cellStyle name="40% - Énfasis2 6 5 5" xfId="32031" xr:uid="{6732D0E2-660A-40D2-8EB4-C304450B5C1B}"/>
    <cellStyle name="40% - Énfasis2 6 5 6" xfId="37897" xr:uid="{B89F2EBF-4859-4FFE-8B87-CB8FA61BA6DC}"/>
    <cellStyle name="40% - Énfasis2 6 6" xfId="6791" xr:uid="{9E14BEF5-4F10-4285-BD62-1F809F533E41}"/>
    <cellStyle name="40% - Énfasis2 6 6 2" xfId="21215" xr:uid="{8F4D5D21-9592-4D83-9478-F0E11F24C831}"/>
    <cellStyle name="40% - Énfasis2 6 6 3" xfId="27030" xr:uid="{D1511B60-ACD7-4BD7-B197-819E8046407A}"/>
    <cellStyle name="40% - Énfasis2 6 6 4" xfId="32906" xr:uid="{CB312569-49AC-401E-B1DC-1132B0F62D1D}"/>
    <cellStyle name="40% - Énfasis2 6 6 5" xfId="38770" xr:uid="{A22CEC32-AD61-4483-9FEC-1E75D03C0364}"/>
    <cellStyle name="40% - Énfasis2 6 7" xfId="18462" xr:uid="{A75F8B41-EAAF-4900-AD16-1967F150BA77}"/>
    <cellStyle name="40% - Énfasis2 6 8" xfId="24170" xr:uid="{66E702CD-A182-47D3-AE27-0E00A169A174}"/>
    <cellStyle name="40% - Énfasis2 6 9" xfId="30048" xr:uid="{0F1F1703-762E-4BB4-A969-7F67A8922400}"/>
    <cellStyle name="40% - Énfasis2 7" xfId="3962" xr:uid="{7963B214-B1AE-4A61-A905-3503FC091C53}"/>
    <cellStyle name="40% - Énfasis2 7 10" xfId="35954" xr:uid="{E91D40CE-CCD7-4701-9D66-59059622E007}"/>
    <cellStyle name="40% - Énfasis2 7 2" xfId="4154" xr:uid="{7A3C4C92-0DF0-4118-982B-7EEA4A785FC1}"/>
    <cellStyle name="40% - Énfasis2 7 2 2" xfId="4632" xr:uid="{2890ACB0-C0CD-4C62-BF19-2EE4A8B8D6F8}"/>
    <cellStyle name="40% - Énfasis2 7 2 2 2" xfId="5600" xr:uid="{CBFAEDAD-8821-42ED-97A2-88B4CA44B02E}"/>
    <cellStyle name="40% - Énfasis2 7 2 2 2 2" xfId="8467" xr:uid="{73A7E779-5DCF-4887-B0C2-CE4565E60FA2}"/>
    <cellStyle name="40% - Énfasis2 7 2 2 2 2 2" xfId="22842" xr:uid="{9857FD91-13D1-4DDB-B977-556BA18FCFAB}"/>
    <cellStyle name="40% - Énfasis2 7 2 2 2 2 3" xfId="28700" xr:uid="{31DEF7AD-889B-4D08-9160-42CE89102F7A}"/>
    <cellStyle name="40% - Énfasis2 7 2 2 2 2 4" xfId="34582" xr:uid="{A6282505-2F6E-4776-AB9A-814D0DA929C6}"/>
    <cellStyle name="40% - Énfasis2 7 2 2 2 2 5" xfId="40446" xr:uid="{E4B3694E-68BC-48CB-83E4-847BE337163E}"/>
    <cellStyle name="40% - Énfasis2 7 2 2 2 3" xfId="20059" xr:uid="{E12E77A4-8856-4652-B1BD-E86BD2CDDBE5}"/>
    <cellStyle name="40% - Énfasis2 7 2 2 2 4" xfId="25851" xr:uid="{90AAB839-ADA0-4FAE-9DB9-6A8FE06B063B}"/>
    <cellStyle name="40% - Énfasis2 7 2 2 2 5" xfId="31725" xr:uid="{EF8FE9F8-C520-4276-8381-DA50A9707A5A}"/>
    <cellStyle name="40% - Énfasis2 7 2 2 2 6" xfId="37595" xr:uid="{071ADD44-6A63-4383-B39D-FB5069519CA1}"/>
    <cellStyle name="40% - Énfasis2 7 2 2 3" xfId="7495" xr:uid="{249A4C3C-D3F8-4AF0-AA21-AC7C60E65E37}"/>
    <cellStyle name="40% - Énfasis2 7 2 2 3 2" xfId="21896" xr:uid="{2EA7D8AD-4814-4E36-9AAC-9F63B35B4BA5}"/>
    <cellStyle name="40% - Énfasis2 7 2 2 3 3" xfId="27729" xr:uid="{A9EE5941-6400-401F-8BE1-7E33257BE1DA}"/>
    <cellStyle name="40% - Énfasis2 7 2 2 3 4" xfId="33611" xr:uid="{1210962E-EEBD-4592-8953-00ECA6B68C7A}"/>
    <cellStyle name="40% - Énfasis2 7 2 2 3 5" xfId="39475" xr:uid="{B459861D-012A-46FC-B7C6-963B1446AC96}"/>
    <cellStyle name="40% - Énfasis2 7 2 2 4" xfId="19126" xr:uid="{107110E5-334C-4BD1-B747-459D9604516A}"/>
    <cellStyle name="40% - Énfasis2 7 2 2 5" xfId="24880" xr:uid="{39E6C59E-1D18-4BC2-B42F-D4A68D07B6B4}"/>
    <cellStyle name="40% - Énfasis2 7 2 2 6" xfId="30756" xr:uid="{134FA4B7-2C34-4D01-8123-957AEF5B83B2}"/>
    <cellStyle name="40% - Énfasis2 7 2 2 7" xfId="36638" xr:uid="{5D7ACEB4-87EC-4F37-BDD8-49F00644039A}"/>
    <cellStyle name="40% - Énfasis2 7 2 3" xfId="5115" xr:uid="{C5B64966-1940-42FD-9119-28BCCE675057}"/>
    <cellStyle name="40% - Énfasis2 7 2 3 2" xfId="7982" xr:uid="{ECA51400-BE98-410F-989F-30DFC53C95FC}"/>
    <cellStyle name="40% - Énfasis2 7 2 3 2 2" xfId="22367" xr:uid="{B06F4B2E-CBFB-4312-88EF-3E6DD3B33053}"/>
    <cellStyle name="40% - Énfasis2 7 2 3 2 3" xfId="28215" xr:uid="{6DDCDEFC-C971-4195-86E7-05692598310D}"/>
    <cellStyle name="40% - Énfasis2 7 2 3 2 4" xfId="34097" xr:uid="{207A18AA-013D-4D59-A94C-EEB998641935}"/>
    <cellStyle name="40% - Énfasis2 7 2 3 2 5" xfId="39961" xr:uid="{C7E71AE6-A26B-4DF2-9616-0144287015D8}"/>
    <cellStyle name="40% - Énfasis2 7 2 3 3" xfId="19590" xr:uid="{0F1CDF79-0621-434A-BFCB-A13293DC34F5}"/>
    <cellStyle name="40% - Énfasis2 7 2 3 4" xfId="25366" xr:uid="{9627BDF4-1D7C-4E05-8EC3-AE920316A675}"/>
    <cellStyle name="40% - Énfasis2 7 2 3 5" xfId="31240" xr:uid="{B3F6824B-42A6-4900-A50E-6EB19058F6EB}"/>
    <cellStyle name="40% - Énfasis2 7 2 3 6" xfId="37118" xr:uid="{E7F219E3-E01F-4129-962C-8DD34730A46C}"/>
    <cellStyle name="40% - Énfasis2 7 2 4" xfId="7010" xr:uid="{1741A203-79BE-40F7-8FF8-0FEC5E37D474}"/>
    <cellStyle name="40% - Énfasis2 7 2 4 2" xfId="21427" xr:uid="{CB504675-68C6-4B63-98DC-64A10ACFBA23}"/>
    <cellStyle name="40% - Énfasis2 7 2 4 3" xfId="27248" xr:uid="{BAFF1716-59E9-4A69-AB68-4D22AEDFA0BF}"/>
    <cellStyle name="40% - Énfasis2 7 2 4 4" xfId="33126" xr:uid="{52DFE33B-9365-4003-B1C0-1EE0704BB8FC}"/>
    <cellStyle name="40% - Énfasis2 7 2 4 5" xfId="38990" xr:uid="{7D809569-A656-4CC5-A2A4-F122EC9A3175}"/>
    <cellStyle name="40% - Énfasis2 7 2 5" xfId="18682" xr:uid="{983633B0-4352-4124-9898-6D2A31F112CA}"/>
    <cellStyle name="40% - Énfasis2 7 2 6" xfId="24397" xr:uid="{065C5617-7054-4010-BA2B-47F636AD0445}"/>
    <cellStyle name="40% - Énfasis2 7 2 7" xfId="30274" xr:uid="{A50AD02D-628F-4A8F-8530-ED1042937958}"/>
    <cellStyle name="40% - Énfasis2 7 2 8" xfId="36154" xr:uid="{7EB1FDB9-F182-4A9C-9C8C-C6FC5888955B}"/>
    <cellStyle name="40% - Énfasis2 7 3" xfId="4437" xr:uid="{23AB0CDA-5579-4E88-AEDE-2D9BFDF29DD0}"/>
    <cellStyle name="40% - Énfasis2 7 3 2" xfId="5404" xr:uid="{CA4222FA-28B5-4548-88C1-D6FF5034842B}"/>
    <cellStyle name="40% - Énfasis2 7 3 2 2" xfId="8271" xr:uid="{80D2EB1A-42EF-4BE0-BED8-ADE86732CB4C}"/>
    <cellStyle name="40% - Énfasis2 7 3 2 2 2" xfId="22647" xr:uid="{81F739C5-BFD0-43EA-82D9-CA37E752F913}"/>
    <cellStyle name="40% - Énfasis2 7 3 2 2 3" xfId="28504" xr:uid="{A28A730B-FA70-457D-B909-D21EBA70B1A3}"/>
    <cellStyle name="40% - Énfasis2 7 3 2 2 4" xfId="34386" xr:uid="{9CB80EEA-A90C-46EB-9CE0-44274AB17867}"/>
    <cellStyle name="40% - Énfasis2 7 3 2 2 5" xfId="40250" xr:uid="{8F28E242-1769-44A4-87A4-1689D18F2448}"/>
    <cellStyle name="40% - Énfasis2 7 3 2 3" xfId="19869" xr:uid="{5CBA19B7-48FB-4756-9BC9-E50E6FC78E2F}"/>
    <cellStyle name="40% - Énfasis2 7 3 2 4" xfId="25655" xr:uid="{6DB774DB-201F-47EF-B01C-B5AD9F26986D}"/>
    <cellStyle name="40% - Énfasis2 7 3 2 5" xfId="31529" xr:uid="{AFEB0CBC-9799-483A-B546-961D18CFBE2C}"/>
    <cellStyle name="40% - Énfasis2 7 3 2 6" xfId="37400" xr:uid="{E2338265-0BA2-4ED0-9B2D-01B37AE7342C}"/>
    <cellStyle name="40% - Énfasis2 7 3 3" xfId="7299" xr:uid="{ECECDDC7-8914-4679-A4B1-74C8E59F3289}"/>
    <cellStyle name="40% - Énfasis2 7 3 3 2" xfId="21704" xr:uid="{D0B5C44C-5BAB-482C-8CEF-88FB8BE6A071}"/>
    <cellStyle name="40% - Énfasis2 7 3 3 3" xfId="27533" xr:uid="{89B756FA-2C34-428A-9D36-E4B2AFDDB634}"/>
    <cellStyle name="40% - Énfasis2 7 3 3 4" xfId="33415" xr:uid="{276F76BB-4F04-4F28-A616-782ACA5E86BA}"/>
    <cellStyle name="40% - Énfasis2 7 3 3 5" xfId="39279" xr:uid="{95BE5891-A236-48E2-99BC-E51F670BEC1D}"/>
    <cellStyle name="40% - Énfasis2 7 3 4" xfId="18940" xr:uid="{CAB7DB52-B2E6-48EF-9966-EB4F70508F9F}"/>
    <cellStyle name="40% - Énfasis2 7 3 5" xfId="24684" xr:uid="{61B3CF9F-1E75-4AD8-B00B-29DC70762ACF}"/>
    <cellStyle name="40% - Énfasis2 7 3 6" xfId="30562" xr:uid="{A77BA80C-1A36-4646-A0C6-8034D7FA97D9}"/>
    <cellStyle name="40% - Énfasis2 7 3 7" xfId="36443" xr:uid="{F03F5095-BFDA-4170-924F-C67855745520}"/>
    <cellStyle name="40% - Énfasis2 7 4" xfId="4919" xr:uid="{856060F2-AC49-4C34-B4B3-1577106A64BB}"/>
    <cellStyle name="40% - Énfasis2 7 4 2" xfId="7786" xr:uid="{7FC81692-0977-43D9-AEB6-7A4638D128DC}"/>
    <cellStyle name="40% - Énfasis2 7 4 2 2" xfId="22174" xr:uid="{30800CD7-F859-4301-A84C-4E45A97657EB}"/>
    <cellStyle name="40% - Énfasis2 7 4 2 3" xfId="28019" xr:uid="{F63B5E05-61E3-45A4-BE23-031F39FFC836}"/>
    <cellStyle name="40% - Énfasis2 7 4 2 4" xfId="33901" xr:uid="{59043B95-1C2D-449C-B3FD-7CD20762ECE1}"/>
    <cellStyle name="40% - Énfasis2 7 4 2 5" xfId="39765" xr:uid="{B45D5ED4-8DC9-4EA0-A14F-6AF55D3E51C6}"/>
    <cellStyle name="40% - Énfasis2 7 4 3" xfId="19401" xr:uid="{983E44F0-9023-4E9D-BCE3-76FD589716B1}"/>
    <cellStyle name="40% - Énfasis2 7 4 4" xfId="25170" xr:uid="{7556EE69-C2F1-4F3B-8972-391D285509A4}"/>
    <cellStyle name="40% - Énfasis2 7 4 5" xfId="31044" xr:uid="{D5889959-F0F7-4FA5-ADCD-1A368C8D57B4}"/>
    <cellStyle name="40% - Énfasis2 7 4 6" xfId="36923" xr:uid="{CD506B30-E22D-4C46-9361-9AF2981BEB70}"/>
    <cellStyle name="40% - Énfasis2 7 5" xfId="5929" xr:uid="{D373CFC3-9288-4046-9F3E-CF16232E6747}"/>
    <cellStyle name="40% - Énfasis2 7 5 2" xfId="8798" xr:uid="{88979ECE-75FD-49A9-B97C-995CCBEDD8F4}"/>
    <cellStyle name="40% - Énfasis2 7 5 2 2" xfId="23165" xr:uid="{C173521E-9D5F-4AEE-BE63-A2A57A3C6D92}"/>
    <cellStyle name="40% - Énfasis2 7 5 2 3" xfId="29030" xr:uid="{01169ED5-3EC9-4280-B554-F7CFDA2121AF}"/>
    <cellStyle name="40% - Énfasis2 7 5 2 4" xfId="34912" xr:uid="{2AD7AA26-E12A-4D14-8BF8-CDAA1BFE3B20}"/>
    <cellStyle name="40% - Énfasis2 7 5 2 5" xfId="40776" xr:uid="{E078F1C8-D7DA-4CB0-A0C6-776AA668EF00}"/>
    <cellStyle name="40% - Énfasis2 7 5 3" xfId="20379" xr:uid="{650FE1F8-85BB-4DDA-BB36-1A7721C20F5D}"/>
    <cellStyle name="40% - Énfasis2 7 5 4" xfId="26180" xr:uid="{E84E3A3C-35AF-44EF-8BF6-B2620697A5E3}"/>
    <cellStyle name="40% - Énfasis2 7 5 5" xfId="32055" xr:uid="{51BBAA07-0B0B-423F-83F3-2D71D1DA6F63}"/>
    <cellStyle name="40% - Énfasis2 7 5 6" xfId="37921" xr:uid="{48208E25-4025-4340-8E50-E87EA60B96DB}"/>
    <cellStyle name="40% - Énfasis2 7 6" xfId="6815" xr:uid="{5DF1726E-5F30-48E6-B28F-0AAE83DEA3BF}"/>
    <cellStyle name="40% - Énfasis2 7 6 2" xfId="21238" xr:uid="{87419146-5F64-416D-8CC8-CE5A3167F4EA}"/>
    <cellStyle name="40% - Énfasis2 7 6 3" xfId="27054" xr:uid="{A3DE0DAE-075F-4736-A1C0-8FE4E3ECFE66}"/>
    <cellStyle name="40% - Énfasis2 7 6 4" xfId="32930" xr:uid="{C044D23F-2FD8-414F-A044-C04030F83C37}"/>
    <cellStyle name="40% - Énfasis2 7 6 5" xfId="38794" xr:uid="{1F5B0046-1426-45EC-A6A0-E04DB9584650}"/>
    <cellStyle name="40% - Énfasis2 7 7" xfId="18488" xr:uid="{621BF937-D6C1-47F1-A3D1-0583C45A2CA1}"/>
    <cellStyle name="40% - Énfasis2 7 8" xfId="24196" xr:uid="{92948A80-CB72-49CB-A6D6-988D9CC50880}"/>
    <cellStyle name="40% - Énfasis2 7 9" xfId="30074" xr:uid="{0A2D602F-542D-46EA-930C-6D353643C6FF}"/>
    <cellStyle name="40% - Énfasis2 8" xfId="3988" xr:uid="{B5402921-BF59-4BF8-8D6F-4E300BE0C4C0}"/>
    <cellStyle name="40% - Énfasis2 8 10" xfId="35982" xr:uid="{CA8631EF-2897-4590-8F9A-9F54522F93E0}"/>
    <cellStyle name="40% - Énfasis2 8 2" xfId="4180" xr:uid="{88D6CC1B-4905-4951-A350-26113E633DCC}"/>
    <cellStyle name="40% - Énfasis2 8 2 2" xfId="4658" xr:uid="{2C9D50FE-B055-44D1-B53C-435F36BC9DD9}"/>
    <cellStyle name="40% - Énfasis2 8 2 2 2" xfId="5626" xr:uid="{C3114FC5-BAA9-4A19-83F1-42C2FD73F668}"/>
    <cellStyle name="40% - Énfasis2 8 2 2 2 2" xfId="8493" xr:uid="{862B3FFF-A96D-47C6-B25C-DC44F9D5C809}"/>
    <cellStyle name="40% - Énfasis2 8 2 2 2 2 2" xfId="22867" xr:uid="{CB11CD76-18EF-4BF6-9FD0-86324A5A1E4D}"/>
    <cellStyle name="40% - Énfasis2 8 2 2 2 2 3" xfId="28726" xr:uid="{1D6E3B7D-D3B7-43B0-8EEA-202B6E7138CF}"/>
    <cellStyle name="40% - Énfasis2 8 2 2 2 2 4" xfId="34608" xr:uid="{9185A1E9-E9EF-415B-9019-42C6AB886AEE}"/>
    <cellStyle name="40% - Énfasis2 8 2 2 2 2 5" xfId="40472" xr:uid="{110DFC83-2B54-4706-914B-408E5BE7A985}"/>
    <cellStyle name="40% - Énfasis2 8 2 2 2 3" xfId="20085" xr:uid="{2D27430F-F43B-46D9-B664-2A4FF6467C4D}"/>
    <cellStyle name="40% - Énfasis2 8 2 2 2 4" xfId="25877" xr:uid="{80552D8B-8C83-41E0-9BD6-D31A9DB51F0B}"/>
    <cellStyle name="40% - Énfasis2 8 2 2 2 5" xfId="31751" xr:uid="{80BC600A-3482-4EB4-AC9C-E16ED4655EF5}"/>
    <cellStyle name="40% - Énfasis2 8 2 2 2 6" xfId="37620" xr:uid="{68DDECF7-871B-438F-94CF-C812AAB0CDFB}"/>
    <cellStyle name="40% - Énfasis2 8 2 2 3" xfId="7521" xr:uid="{7AE04762-5EAF-4E5B-8C86-0DFE038A6599}"/>
    <cellStyle name="40% - Énfasis2 8 2 2 3 2" xfId="21921" xr:uid="{5D82A8F0-2436-4C89-AC4D-6D91970A835B}"/>
    <cellStyle name="40% - Énfasis2 8 2 2 3 3" xfId="27755" xr:uid="{96DBBEA7-211F-4386-A174-DE1C45AB1528}"/>
    <cellStyle name="40% - Énfasis2 8 2 2 3 4" xfId="33637" xr:uid="{838F1857-2CEB-4824-BA7F-9387BA6B541B}"/>
    <cellStyle name="40% - Énfasis2 8 2 2 3 5" xfId="39501" xr:uid="{68B3CCFD-9CEC-44F4-9E9B-24169D60374B}"/>
    <cellStyle name="40% - Énfasis2 8 2 2 4" xfId="19150" xr:uid="{03728932-1D8C-4F43-9D09-044F90B6A5F0}"/>
    <cellStyle name="40% - Énfasis2 8 2 2 5" xfId="24906" xr:uid="{D87050C4-F156-487A-A45D-1E3883D5DA91}"/>
    <cellStyle name="40% - Énfasis2 8 2 2 6" xfId="30782" xr:uid="{532CCF17-85F6-4BA1-9A19-9BE1E8F40F26}"/>
    <cellStyle name="40% - Énfasis2 8 2 2 7" xfId="36663" xr:uid="{61BF02CF-EECB-4768-B67C-2C46C96E43D5}"/>
    <cellStyle name="40% - Énfasis2 8 2 3" xfId="5141" xr:uid="{32FE6688-D6D9-4062-BA8F-C3FE67AE7FCB}"/>
    <cellStyle name="40% - Énfasis2 8 2 3 2" xfId="8008" xr:uid="{5F58BE86-A5B6-4009-B923-4C765847C3A6}"/>
    <cellStyle name="40% - Énfasis2 8 2 3 2 2" xfId="22392" xr:uid="{A2A700AE-73C7-486B-A281-94139DE6F15E}"/>
    <cellStyle name="40% - Énfasis2 8 2 3 2 3" xfId="28241" xr:uid="{434FEB78-B832-4150-A6BD-46DE578BD4F7}"/>
    <cellStyle name="40% - Énfasis2 8 2 3 2 4" xfId="34123" xr:uid="{7898324B-794F-4754-B1F8-822FA4B57F88}"/>
    <cellStyle name="40% - Énfasis2 8 2 3 2 5" xfId="39987" xr:uid="{58A8214B-651C-4B2C-A549-12A248574FEA}"/>
    <cellStyle name="40% - Énfasis2 8 2 3 3" xfId="19615" xr:uid="{1AB090D8-ABF1-4223-B540-27C86D0D14C8}"/>
    <cellStyle name="40% - Énfasis2 8 2 3 4" xfId="25392" xr:uid="{04067DE7-7FB5-49E9-A2BC-C975021AE1CB}"/>
    <cellStyle name="40% - Énfasis2 8 2 3 5" xfId="31266" xr:uid="{6DC49188-9441-4F33-818A-43C2B89263EE}"/>
    <cellStyle name="40% - Énfasis2 8 2 3 6" xfId="37143" xr:uid="{C6E6CD25-C927-4997-9C9A-12271B75AAC6}"/>
    <cellStyle name="40% - Énfasis2 8 2 4" xfId="7036" xr:uid="{ADC2AE18-F913-4768-B846-BBED8747AFE0}"/>
    <cellStyle name="40% - Énfasis2 8 2 4 2" xfId="21452" xr:uid="{BC3D5B81-53BD-4607-96EC-94D0C8CAC6EF}"/>
    <cellStyle name="40% - Énfasis2 8 2 4 3" xfId="27273" xr:uid="{AC9EF842-9426-4D3F-BE35-8D77F5C244F6}"/>
    <cellStyle name="40% - Énfasis2 8 2 4 4" xfId="33152" xr:uid="{DE6FFBE4-5C7D-4E8A-92D8-F80FF1445958}"/>
    <cellStyle name="40% - Énfasis2 8 2 4 5" xfId="39016" xr:uid="{D95FF54D-1175-4A2B-AD5B-C5F62652EFF4}"/>
    <cellStyle name="40% - Énfasis2 8 2 5" xfId="18707" xr:uid="{623EFCCA-32C5-44F5-8AAA-D64A2D7CDD43}"/>
    <cellStyle name="40% - Énfasis2 8 2 6" xfId="24423" xr:uid="{ACFC2899-1A71-4308-B60E-E1041C5333BB}"/>
    <cellStyle name="40% - Énfasis2 8 2 7" xfId="30300" xr:uid="{EDB0748A-790F-493F-A6C5-527197DE55C7}"/>
    <cellStyle name="40% - Énfasis2 8 2 8" xfId="36180" xr:uid="{8D3BAB83-D63D-4587-A741-EB4D31981D90}"/>
    <cellStyle name="40% - Énfasis2 8 3" xfId="4462" xr:uid="{F639E4C2-CFB4-40B6-9DA3-8E1874CCBCD0}"/>
    <cellStyle name="40% - Énfasis2 8 3 2" xfId="5430" xr:uid="{11230FCD-BAB4-424C-AEB1-CA8AA4FBE427}"/>
    <cellStyle name="40% - Énfasis2 8 3 2 2" xfId="8297" xr:uid="{696CDC8F-59C2-4AEE-8FBB-BDBF5C4CD757}"/>
    <cellStyle name="40% - Énfasis2 8 3 2 2 2" xfId="22673" xr:uid="{4A119FE2-7A12-4951-ACFC-C20812A56119}"/>
    <cellStyle name="40% - Énfasis2 8 3 2 2 3" xfId="28530" xr:uid="{E44FD673-728F-4844-86E1-C3E42835E7B3}"/>
    <cellStyle name="40% - Énfasis2 8 3 2 2 4" xfId="34412" xr:uid="{EC379EA1-C645-411D-886C-9496812F5955}"/>
    <cellStyle name="40% - Énfasis2 8 3 2 2 5" xfId="40276" xr:uid="{CB45A811-EF3A-48AE-8E35-2FAD3ADC879C}"/>
    <cellStyle name="40% - Énfasis2 8 3 2 3" xfId="19894" xr:uid="{D0115E72-4887-4659-B413-81CD25F095BE}"/>
    <cellStyle name="40% - Énfasis2 8 3 2 4" xfId="25681" xr:uid="{F5C19E99-12EB-4DA5-A36E-09BDC4236811}"/>
    <cellStyle name="40% - Énfasis2 8 3 2 5" xfId="31555" xr:uid="{EFEF45DC-0497-4A16-9DEE-DA2916F76633}"/>
    <cellStyle name="40% - Énfasis2 8 3 2 6" xfId="37426" xr:uid="{0B0BABE7-C87D-43D3-AED5-419777492816}"/>
    <cellStyle name="40% - Énfasis2 8 3 3" xfId="7325" xr:uid="{7D2CEBC1-27C9-4239-A86B-7D3C00CFD477}"/>
    <cellStyle name="40% - Énfasis2 8 3 3 2" xfId="21729" xr:uid="{E9E80F38-17E2-42D2-8799-32C644A39BA9}"/>
    <cellStyle name="40% - Énfasis2 8 3 3 3" xfId="27559" xr:uid="{61E98600-EF71-4B9D-9A39-F70E3E78A090}"/>
    <cellStyle name="40% - Énfasis2 8 3 3 4" xfId="33441" xr:uid="{8EBAAE4E-F0F0-4E03-B826-93FBE9E16753}"/>
    <cellStyle name="40% - Énfasis2 8 3 3 5" xfId="39305" xr:uid="{0F283A8E-7A2E-4498-B122-9C9EF5A4AC1D}"/>
    <cellStyle name="40% - Énfasis2 8 3 4" xfId="18966" xr:uid="{6A48726F-1F3B-4F43-BB29-B560EC3C04E1}"/>
    <cellStyle name="40% - Énfasis2 8 3 5" xfId="24710" xr:uid="{92B8F1CB-2991-4336-B4B5-93D535137B11}"/>
    <cellStyle name="40% - Énfasis2 8 3 6" xfId="30588" xr:uid="{9D6BE846-1167-4934-985F-4981CB110EBE}"/>
    <cellStyle name="40% - Énfasis2 8 3 7" xfId="36469" xr:uid="{1B41D2E2-98AA-41C2-A8CE-FB1E6A3E27E8}"/>
    <cellStyle name="40% - Énfasis2 8 4" xfId="4945" xr:uid="{BB5A6DE5-09FF-466B-B860-9D5367194472}"/>
    <cellStyle name="40% - Énfasis2 8 4 2" xfId="7812" xr:uid="{5D290729-541A-4D91-A2A9-B9B6B4CEBBC0}"/>
    <cellStyle name="40% - Énfasis2 8 4 2 2" xfId="22199" xr:uid="{B2C2DB4E-48E6-41AE-89AB-52F249B86CEA}"/>
    <cellStyle name="40% - Énfasis2 8 4 2 3" xfId="28045" xr:uid="{EA9380BE-A43A-4FAC-BDFA-EFBD051FDCC1}"/>
    <cellStyle name="40% - Énfasis2 8 4 2 4" xfId="33927" xr:uid="{E1FE3A92-1080-4E78-8850-05560CFB3A48}"/>
    <cellStyle name="40% - Énfasis2 8 4 2 5" xfId="39791" xr:uid="{DDAEED99-8040-4081-A8B6-4822B8FF6370}"/>
    <cellStyle name="40% - Énfasis2 8 4 3" xfId="19427" xr:uid="{A55368EE-EA16-44EE-8FE6-B308A4144083}"/>
    <cellStyle name="40% - Énfasis2 8 4 4" xfId="25196" xr:uid="{D0344AA9-BD81-4F00-8B4F-150FBCE69C8D}"/>
    <cellStyle name="40% - Énfasis2 8 4 5" xfId="31070" xr:uid="{27533BA2-6A1B-4999-BA4C-5505850AE6DE}"/>
    <cellStyle name="40% - Énfasis2 8 4 6" xfId="36949" xr:uid="{4C72AE2B-E27A-47CF-AB3B-C6AE6C44BBF0}"/>
    <cellStyle name="40% - Énfasis2 8 5" xfId="5955" xr:uid="{818F5081-24BA-4546-B367-79A644F99B75}"/>
    <cellStyle name="40% - Énfasis2 8 5 2" xfId="8824" xr:uid="{AAEAEE7F-9466-4C13-8848-9AC9DA4DD012}"/>
    <cellStyle name="40% - Énfasis2 8 5 2 2" xfId="23189" xr:uid="{3315AAC3-E130-41BB-8684-6AF03E5CBE5C}"/>
    <cellStyle name="40% - Énfasis2 8 5 2 3" xfId="29056" xr:uid="{5B479895-150A-41C9-B8F1-4D4754C43B8F}"/>
    <cellStyle name="40% - Énfasis2 8 5 2 4" xfId="34938" xr:uid="{4A2CADC4-C5AA-4608-8E19-63997C3E0D5E}"/>
    <cellStyle name="40% - Énfasis2 8 5 2 5" xfId="40802" xr:uid="{F5752AF1-54CF-421E-86A7-9D2AD7A1EADC}"/>
    <cellStyle name="40% - Énfasis2 8 5 3" xfId="20405" xr:uid="{3CB11FD0-030B-4765-A852-043FC1A4F918}"/>
    <cellStyle name="40% - Énfasis2 8 5 4" xfId="26206" xr:uid="{040B9DD8-285C-4C6B-AA1A-4B29D5960C4D}"/>
    <cellStyle name="40% - Énfasis2 8 5 5" xfId="32081" xr:uid="{A26F0010-0666-41BE-8171-F5867D259111}"/>
    <cellStyle name="40% - Énfasis2 8 5 6" xfId="37946" xr:uid="{134034CE-6E97-42D3-9007-84383810AEB2}"/>
    <cellStyle name="40% - Énfasis2 8 6" xfId="6841" xr:uid="{9C5CDC9C-8CB4-4188-AEEF-CF364F061A32}"/>
    <cellStyle name="40% - Énfasis2 8 6 2" xfId="21264" xr:uid="{CB3DB30F-7E29-456B-8624-4FB6BBFA2D4B}"/>
    <cellStyle name="40% - Énfasis2 8 6 3" xfId="27079" xr:uid="{93F4A790-17A9-4CC2-A0C4-820EC9D67B3F}"/>
    <cellStyle name="40% - Énfasis2 8 6 4" xfId="32956" xr:uid="{64AE9096-0879-4E18-AD3D-F81197370EBB}"/>
    <cellStyle name="40% - Énfasis2 8 6 5" xfId="38820" xr:uid="{54322A02-2147-498B-915C-9B52F68CF4DF}"/>
    <cellStyle name="40% - Énfasis2 8 7" xfId="18515" xr:uid="{F7A8F097-044F-4316-809B-7926A3D0E4A8}"/>
    <cellStyle name="40% - Énfasis2 8 8" xfId="24224" xr:uid="{F008A7E0-AD7D-4249-9EC2-6C9DDB5EE1B9}"/>
    <cellStyle name="40% - Énfasis2 8 9" xfId="30102" xr:uid="{887AD076-B21C-4A40-86D8-BE302D9DFFEA}"/>
    <cellStyle name="40% - Énfasis2 9" xfId="4012" xr:uid="{F43E72B9-3302-447D-9D72-A5597CDFF747}"/>
    <cellStyle name="40% - Énfasis2 9 2" xfId="4483" xr:uid="{4C2DBAA9-1920-431C-BA88-C2161ADD10A7}"/>
    <cellStyle name="40% - Énfasis2 9 2 2" xfId="5451" xr:uid="{0249EFD2-F49F-496D-9FCB-FD46B5BE785D}"/>
    <cellStyle name="40% - Énfasis2 9 2 2 2" xfId="8318" xr:uid="{0084AB34-9332-45FE-B2DD-49D2EDC7FA96}"/>
    <cellStyle name="40% - Énfasis2 9 2 2 2 2" xfId="22694" xr:uid="{CDB613E6-486F-4E71-BCA0-F58CFD76C91F}"/>
    <cellStyle name="40% - Énfasis2 9 2 2 2 3" xfId="28551" xr:uid="{540A9820-F46D-489E-AD4A-E37ABBDAE15C}"/>
    <cellStyle name="40% - Énfasis2 9 2 2 2 4" xfId="34433" xr:uid="{92F4BD06-5B2B-46CF-B953-FC71B91E9707}"/>
    <cellStyle name="40% - Énfasis2 9 2 2 2 5" xfId="40297" xr:uid="{1B60734D-03FC-4601-9F8E-B7C37C6F067F}"/>
    <cellStyle name="40% - Énfasis2 9 2 2 3" xfId="19914" xr:uid="{F5D1C243-648C-4A93-9FCB-17D9EB1C3522}"/>
    <cellStyle name="40% - Énfasis2 9 2 2 4" xfId="25702" xr:uid="{19503CE0-0DDA-469A-BFC2-E4D374928EB1}"/>
    <cellStyle name="40% - Énfasis2 9 2 2 5" xfId="31576" xr:uid="{36B296B8-1D39-4195-85A7-55FF03B995FC}"/>
    <cellStyle name="40% - Énfasis2 9 2 2 6" xfId="37447" xr:uid="{6E2C8278-CC46-4B39-810C-F33214E96C14}"/>
    <cellStyle name="40% - Énfasis2 9 2 3" xfId="7346" xr:uid="{24895D12-116E-4DBE-8932-C032FE11E3DC}"/>
    <cellStyle name="40% - Énfasis2 9 2 3 2" xfId="21749" xr:uid="{E9D5E43F-B839-4FEA-9B75-349FA2FCA499}"/>
    <cellStyle name="40% - Énfasis2 9 2 3 3" xfId="27580" xr:uid="{D0A77C3E-6E87-4415-9A5F-5F59204DE503}"/>
    <cellStyle name="40% - Énfasis2 9 2 3 4" xfId="33462" xr:uid="{46C430BB-3BEF-4A19-931A-74B2341C1B58}"/>
    <cellStyle name="40% - Énfasis2 9 2 3 5" xfId="39326" xr:uid="{206C6BFB-4EF8-4CBC-B172-7A642C1D3DCE}"/>
    <cellStyle name="40% - Énfasis2 9 2 4" xfId="18987" xr:uid="{83EF5883-A6D7-4B3F-8EB1-B81FD1165B5C}"/>
    <cellStyle name="40% - Énfasis2 9 2 5" xfId="24731" xr:uid="{1A8D9D86-17E9-4D42-934A-CD9D0E3D599C}"/>
    <cellStyle name="40% - Énfasis2 9 2 6" xfId="30608" xr:uid="{F1A628C1-F1C2-450C-A54D-9425F05C61E8}"/>
    <cellStyle name="40% - Énfasis2 9 2 7" xfId="36490" xr:uid="{296040FE-1554-499B-96DD-AFB208DBC0F9}"/>
    <cellStyle name="40% - Énfasis2 9 3" xfId="4966" xr:uid="{4EB744E1-7B93-4406-97BB-7BF2EE3018C4}"/>
    <cellStyle name="40% - Énfasis2 9 3 2" xfId="7833" xr:uid="{0613F27F-C7D7-40BB-8372-C2D1999D8153}"/>
    <cellStyle name="40% - Énfasis2 9 3 2 2" xfId="22219" xr:uid="{82F97E38-624D-42C0-BA0D-030B8287F02C}"/>
    <cellStyle name="40% - Énfasis2 9 3 2 3" xfId="28066" xr:uid="{C7699D41-4571-41DA-A456-72299E8EE1D6}"/>
    <cellStyle name="40% - Énfasis2 9 3 2 4" xfId="33948" xr:uid="{C0A751B0-97BE-4B15-86D1-0442B6AA2279}"/>
    <cellStyle name="40% - Énfasis2 9 3 2 5" xfId="39812" xr:uid="{3ACC98F6-C933-4D45-8972-64BF4B357E39}"/>
    <cellStyle name="40% - Énfasis2 9 3 3" xfId="19447" xr:uid="{E34C9D3B-FDFF-466B-9174-1505838D4833}"/>
    <cellStyle name="40% - Énfasis2 9 3 4" xfId="25217" xr:uid="{0770546B-E4E1-4B82-9634-4393D2BF6DF2}"/>
    <cellStyle name="40% - Énfasis2 9 3 5" xfId="31091" xr:uid="{51459CF2-43B9-4DAD-AE2E-5EE07421914E}"/>
    <cellStyle name="40% - Énfasis2 9 3 6" xfId="36970" xr:uid="{7E9AAB9A-4046-4C56-9121-7BF4FB11C9F5}"/>
    <cellStyle name="40% - Énfasis2 9 4" xfId="6862" xr:uid="{A90499A1-F431-42C1-88E2-7F3E13EEF43C}"/>
    <cellStyle name="40% - Énfasis2 9 4 2" xfId="21284" xr:uid="{A7EB8728-B694-4D62-B305-A71D07736230}"/>
    <cellStyle name="40% - Énfasis2 9 4 3" xfId="27100" xr:uid="{2E0C516C-5C04-455F-978B-49BA8B1DFDA9}"/>
    <cellStyle name="40% - Énfasis2 9 4 4" xfId="32977" xr:uid="{A679EB3F-3322-4480-88FB-E3B5E71E09B3}"/>
    <cellStyle name="40% - Énfasis2 9 4 5" xfId="38841" xr:uid="{2C2A991E-CEF9-4847-B7AF-8BCEC97AE3B6}"/>
    <cellStyle name="40% - Énfasis2 9 5" xfId="18538" xr:uid="{F6144CC2-9B9F-4F9B-AE3E-C06AE48E9E08}"/>
    <cellStyle name="40% - Énfasis2 9 6" xfId="24248" xr:uid="{DE79B99A-C5E0-482A-843F-948771BAC948}"/>
    <cellStyle name="40% - Énfasis2 9 7" xfId="30126" xr:uid="{160017BF-AEA0-4EE9-976B-E4DEE0602A06}"/>
    <cellStyle name="40% - Énfasis2 9 8" xfId="36005" xr:uid="{37A311D2-758D-44FF-A91B-C7EA1F1C841A}"/>
    <cellStyle name="40% - Énfasis3" xfId="28" builtinId="39" customBuiltin="1"/>
    <cellStyle name="40% - Énfasis3 10" xfId="4207" xr:uid="{DF20FF10-5157-49D2-8A1F-7FBC6F1DBF1A}"/>
    <cellStyle name="40% - Énfasis3 10 2" xfId="4685" xr:uid="{175BF09A-C008-476C-BCD3-2AE7A93437EB}"/>
    <cellStyle name="40% - Énfasis3 10 2 2" xfId="5653" xr:uid="{6B932F35-17B4-4252-9D08-2BFD9EE15C1E}"/>
    <cellStyle name="40% - Énfasis3 10 2 2 2" xfId="8521" xr:uid="{DE44D77A-F21A-4590-AF06-15C65C257B77}"/>
    <cellStyle name="40% - Énfasis3 10 2 2 2 2" xfId="22895" xr:uid="{CFE3B260-4BD8-4082-AE29-A39DEAF93CBF}"/>
    <cellStyle name="40% - Énfasis3 10 2 2 2 3" xfId="28754" xr:uid="{39721CAE-DA37-42B3-84B6-E42F926DB381}"/>
    <cellStyle name="40% - Énfasis3 10 2 2 2 4" xfId="34636" xr:uid="{A3CEE7BE-702F-4A35-8B67-25A47376AEA1}"/>
    <cellStyle name="40% - Énfasis3 10 2 2 2 5" xfId="40500" xr:uid="{2403AA7A-D0D0-43F4-8DA8-FD951185BFCD}"/>
    <cellStyle name="40% - Énfasis3 10 2 2 3" xfId="20112" xr:uid="{BDDE58D3-7936-40D8-9E13-FB74504B3619}"/>
    <cellStyle name="40% - Énfasis3 10 2 2 4" xfId="25904" xr:uid="{6AC60031-705A-4145-9CB6-3FD84BE84647}"/>
    <cellStyle name="40% - Énfasis3 10 2 2 5" xfId="31779" xr:uid="{7864C1F3-8022-4209-84E9-7F8F4708FE89}"/>
    <cellStyle name="40% - Énfasis3 10 2 2 6" xfId="37648" xr:uid="{99E8B029-926C-427F-830A-69360482AEAE}"/>
    <cellStyle name="40% - Énfasis3 10 2 3" xfId="7549" xr:uid="{CC83FAF1-E7A4-44C2-A0C5-6501A1DB423A}"/>
    <cellStyle name="40% - Énfasis3 10 2 3 2" xfId="21947" xr:uid="{1DC9C1FD-3A70-4599-B184-BF111BF5C9C9}"/>
    <cellStyle name="40% - Énfasis3 10 2 3 3" xfId="27783" xr:uid="{A5CBF78D-ECEA-4CB9-BF1D-D1A9CE8269EA}"/>
    <cellStyle name="40% - Énfasis3 10 2 3 4" xfId="33665" xr:uid="{75096779-1C0E-45E0-9ED8-A56C96C2F429}"/>
    <cellStyle name="40% - Énfasis3 10 2 3 5" xfId="39529" xr:uid="{6D24898E-0BFC-4A90-A044-379037CCE104}"/>
    <cellStyle name="40% - Énfasis3 10 2 4" xfId="19178" xr:uid="{E8C29860-AA04-4475-9F38-F1EC333EDB78}"/>
    <cellStyle name="40% - Énfasis3 10 2 5" xfId="24934" xr:uid="{13EB57A1-0E25-425F-BC13-207F6A2209E3}"/>
    <cellStyle name="40% - Énfasis3 10 2 6" xfId="30809" xr:uid="{6C0C9A08-C99F-46CA-AD79-8D4EC620F739}"/>
    <cellStyle name="40% - Énfasis3 10 2 7" xfId="36691" xr:uid="{8EED569C-A238-4828-BBF8-E34A25586542}"/>
    <cellStyle name="40% - Énfasis3 10 3" xfId="5169" xr:uid="{91CD5B4E-6FFA-4819-9D66-4307F85DA1BD}"/>
    <cellStyle name="40% - Énfasis3 10 3 2" xfId="8036" xr:uid="{6BC17982-0873-471C-B06E-2CA7C4DCB894}"/>
    <cellStyle name="40% - Énfasis3 10 3 2 2" xfId="22419" xr:uid="{A959676B-A4D6-4872-9604-A9EC81BCA1BC}"/>
    <cellStyle name="40% - Énfasis3 10 3 2 3" xfId="28269" xr:uid="{2FB679AD-10E3-4684-9ACB-E7B040848A59}"/>
    <cellStyle name="40% - Énfasis3 10 3 2 4" xfId="34151" xr:uid="{31362931-01C0-430F-937C-B47A3C9B14E1}"/>
    <cellStyle name="40% - Énfasis3 10 3 2 5" xfId="40015" xr:uid="{30E5BAB9-CC57-48ED-829D-F182FD32C4D4}"/>
    <cellStyle name="40% - Énfasis3 10 3 3" xfId="19642" xr:uid="{99F9C0E2-AC0D-4205-AD2D-704864F5581E}"/>
    <cellStyle name="40% - Énfasis3 10 3 4" xfId="25420" xr:uid="{4E55A32B-9F01-473D-AB89-E9519D47A375}"/>
    <cellStyle name="40% - Énfasis3 10 3 5" xfId="31294" xr:uid="{605D8759-D723-4933-B196-05A909F87B98}"/>
    <cellStyle name="40% - Énfasis3 10 3 6" xfId="37171" xr:uid="{BE578E55-81A5-4967-AFF3-28F07D9DC3B6}"/>
    <cellStyle name="40% - Énfasis3 10 4" xfId="7064" xr:uid="{B266DFF6-4803-4E9E-A8A0-5DE6A947AA61}"/>
    <cellStyle name="40% - Énfasis3 10 4 2" xfId="21479" xr:uid="{4695EA3E-E0BD-4373-8D81-B1BCA0D49D16}"/>
    <cellStyle name="40% - Énfasis3 10 4 3" xfId="27301" xr:uid="{1BF57FD5-6A8E-4023-B50C-F901B5EE2F2E}"/>
    <cellStyle name="40% - Énfasis3 10 4 4" xfId="33180" xr:uid="{5D1CDBC0-B3B7-42E7-B4BD-97FE7FFA03A2}"/>
    <cellStyle name="40% - Énfasis3 10 4 5" xfId="39044" xr:uid="{9DDAD28A-9372-40F8-BC9A-D11D9084A52A}"/>
    <cellStyle name="40% - Énfasis3 10 5" xfId="18735" xr:uid="{59E52393-6A60-4627-BAE5-8F31A2AB9516}"/>
    <cellStyle name="40% - Énfasis3 10 6" xfId="24451" xr:uid="{86061A06-B644-4498-9690-AFDFAACA3671}"/>
    <cellStyle name="40% - Énfasis3 10 7" xfId="30327" xr:uid="{403F4B01-0E46-42B4-BFF9-EA9ACE7C3367}"/>
    <cellStyle name="40% - Énfasis3 10 8" xfId="36208" xr:uid="{FCC6EFBD-8250-48EC-BB3A-774176887F07}"/>
    <cellStyle name="40% - Énfasis3 11" xfId="4242" xr:uid="{5C1F15CB-2362-4D5B-90D4-98677E32F45B}"/>
    <cellStyle name="40% - Énfasis3 11 2" xfId="4721" xr:uid="{E320C3D1-C447-405D-9EE9-29BA3E334473}"/>
    <cellStyle name="40% - Énfasis3 11 2 2" xfId="5689" xr:uid="{E9010401-6B4A-4BE6-B0FA-5DE436A94A09}"/>
    <cellStyle name="40% - Énfasis3 11 2 2 2" xfId="8557" xr:uid="{9C14DFBE-1D99-424B-983A-86118728D0D3}"/>
    <cellStyle name="40% - Énfasis3 11 2 2 2 2" xfId="22929" xr:uid="{3415ECB7-5DFF-4042-8B56-9EB29A6CCB9C}"/>
    <cellStyle name="40% - Énfasis3 11 2 2 2 3" xfId="28790" xr:uid="{5C483C47-F710-47AB-AACE-97F91BC08458}"/>
    <cellStyle name="40% - Énfasis3 11 2 2 2 4" xfId="34672" xr:uid="{4CE66E21-E007-462B-84C6-1D2E5356B773}"/>
    <cellStyle name="40% - Énfasis3 11 2 2 2 5" xfId="40536" xr:uid="{A24EB24C-E840-46AF-BF2F-F15587B542BF}"/>
    <cellStyle name="40% - Énfasis3 11 2 2 3" xfId="20146" xr:uid="{90F1C20C-781F-4BAE-85CA-C11AB7262B84}"/>
    <cellStyle name="40% - Énfasis3 11 2 2 4" xfId="25940" xr:uid="{92DC2352-50E1-4851-804F-52616FF35451}"/>
    <cellStyle name="40% - Énfasis3 11 2 2 5" xfId="31815" xr:uid="{AA0BD664-784C-4896-BECA-BE2C3FD8BC21}"/>
    <cellStyle name="40% - Énfasis3 11 2 2 6" xfId="37682" xr:uid="{B5F1B849-C808-418A-906B-6C2F9522759C}"/>
    <cellStyle name="40% - Énfasis3 11 2 3" xfId="7585" xr:uid="{8945D9CA-1F26-4229-BB0A-6266DCAF01B4}"/>
    <cellStyle name="40% - Énfasis3 11 2 3 2" xfId="21979" xr:uid="{98FF7BE6-8AD0-4B45-B82E-5A769FD35C66}"/>
    <cellStyle name="40% - Énfasis3 11 2 3 3" xfId="27819" xr:uid="{55A9F97B-41DC-46BC-B78F-B377869DA49E}"/>
    <cellStyle name="40% - Énfasis3 11 2 3 4" xfId="33701" xr:uid="{D123345A-3221-46BC-A5AD-2955EE20C1B8}"/>
    <cellStyle name="40% - Énfasis3 11 2 3 5" xfId="39565" xr:uid="{2C656AC6-B1D5-4848-8E78-AA96F98E50E6}"/>
    <cellStyle name="40% - Énfasis3 11 2 4" xfId="19211" xr:uid="{0F88F1B7-564E-49FB-AC69-CFA876438DC9}"/>
    <cellStyle name="40% - Énfasis3 11 2 5" xfId="24970" xr:uid="{2D613E00-9660-41B5-9CC1-C0E415606BE3}"/>
    <cellStyle name="40% - Énfasis3 11 2 6" xfId="30844" xr:uid="{CDD01F0F-2F34-4CAD-81C4-8DDE1E698090}"/>
    <cellStyle name="40% - Énfasis3 11 2 7" xfId="36725" xr:uid="{2292D049-D0A4-4C66-BAB4-F99B0A4A9C9B}"/>
    <cellStyle name="40% - Énfasis3 11 3" xfId="5205" xr:uid="{60FC1534-D5A9-4D42-AD0A-244A039A8AC1}"/>
    <cellStyle name="40% - Énfasis3 11 3 2" xfId="8072" xr:uid="{D8E86169-034B-4955-B185-F5C72A2170EC}"/>
    <cellStyle name="40% - Énfasis3 11 3 2 2" xfId="22450" xr:uid="{7D5ADC47-AC5A-4756-9A0F-BF76EF63FA6D}"/>
    <cellStyle name="40% - Énfasis3 11 3 2 3" xfId="28305" xr:uid="{22827718-E924-49A6-A210-55E2E8AC7504}"/>
    <cellStyle name="40% - Énfasis3 11 3 2 4" xfId="34187" xr:uid="{38B9AF0A-F447-4905-861D-9EEEDECC02B2}"/>
    <cellStyle name="40% - Énfasis3 11 3 2 5" xfId="40051" xr:uid="{A458B214-D49B-41F5-9D29-C8F2369DB1EE}"/>
    <cellStyle name="40% - Énfasis3 11 3 3" xfId="19676" xr:uid="{77A58F85-3C6F-4476-AC8D-A8323D381526}"/>
    <cellStyle name="40% - Énfasis3 11 3 4" xfId="25456" xr:uid="{11C14393-290F-48F0-A702-6385E108382C}"/>
    <cellStyle name="40% - Énfasis3 11 3 5" xfId="31330" xr:uid="{D8845C51-3E9E-4429-B55B-1ABBB68E3501}"/>
    <cellStyle name="40% - Énfasis3 11 3 6" xfId="37203" xr:uid="{7C462FFB-8C41-4F16-B571-717D082DDD0A}"/>
    <cellStyle name="40% - Énfasis3 11 4" xfId="7100" xr:uid="{939394A3-1E99-4CD2-AB43-E154D7F1D520}"/>
    <cellStyle name="40% - Énfasis3 11 4 2" xfId="21512" xr:uid="{005114FB-FA4C-4EDD-9BE8-7B4AA3292CCB}"/>
    <cellStyle name="40% - Énfasis3 11 4 3" xfId="27335" xr:uid="{CFDD2366-B2DF-4A1A-AC21-0D5007A78248}"/>
    <cellStyle name="40% - Énfasis3 11 4 4" xfId="33216" xr:uid="{1562604B-B845-4743-99BA-5EAE0C796997}"/>
    <cellStyle name="40% - Énfasis3 11 4 5" xfId="39080" xr:uid="{241E9F8E-ABBA-4831-B742-3C687540E17A}"/>
    <cellStyle name="40% - Énfasis3 11 5" xfId="18764" xr:uid="{B3B55123-2FA0-488D-A69D-1B871E0799FE}"/>
    <cellStyle name="40% - Énfasis3 11 6" xfId="24485" xr:uid="{38BF62B5-FEBE-4387-9228-060DBB3B4446}"/>
    <cellStyle name="40% - Énfasis3 11 7" xfId="30363" xr:uid="{EE15F478-53AE-4B38-BF84-F2F1444EA04C}"/>
    <cellStyle name="40% - Énfasis3 11 8" xfId="36244" xr:uid="{9BEEBD46-2E29-4490-9FC1-3E1B6B44AEE2}"/>
    <cellStyle name="40% - Énfasis3 12" xfId="4292" xr:uid="{F38CCB50-5BF7-4881-A24C-5773BBDF8C4A}"/>
    <cellStyle name="40% - Énfasis3 12 2" xfId="5258" xr:uid="{F8E6D816-B607-485C-97EF-4F5E392F9830}"/>
    <cellStyle name="40% - Énfasis3 12 2 2" xfId="8125" xr:uid="{A1D6400D-0DD4-4E84-8356-3179A8B92E46}"/>
    <cellStyle name="40% - Énfasis3 12 2 2 2" xfId="22502" xr:uid="{4A74E4DC-8C29-4264-B094-54CA0150D58E}"/>
    <cellStyle name="40% - Énfasis3 12 2 2 3" xfId="28358" xr:uid="{2304F51A-DFEF-4331-9244-5E2B8598523F}"/>
    <cellStyle name="40% - Énfasis3 12 2 2 4" xfId="34240" xr:uid="{17717C98-A341-4C20-9B83-2BDE978B678A}"/>
    <cellStyle name="40% - Énfasis3 12 2 2 5" xfId="40104" xr:uid="{B766059D-3F72-4CB3-9ADF-C55BE6737E1D}"/>
    <cellStyle name="40% - Énfasis3 12 2 3" xfId="19728" xr:uid="{3126FA56-C341-4FA4-92DD-D47D6215F096}"/>
    <cellStyle name="40% - Énfasis3 12 2 4" xfId="25509" xr:uid="{BB23EF0E-9D40-45FE-86D3-7BA2D04321A8}"/>
    <cellStyle name="40% - Énfasis3 12 2 5" xfId="31383" xr:uid="{DEE69C2A-FF8E-4B68-A42D-D4DA5586A92A}"/>
    <cellStyle name="40% - Énfasis3 12 2 6" xfId="37255" xr:uid="{AA3ADB28-E141-41A6-9DF8-775764494862}"/>
    <cellStyle name="40% - Énfasis3 12 3" xfId="7153" xr:uid="{EED5D839-FBEC-4AF7-901E-DF8B90988292}"/>
    <cellStyle name="40% - Énfasis3 12 3 2" xfId="21564" xr:uid="{92B974A6-34E3-421D-9AEA-E769BB57F26C}"/>
    <cellStyle name="40% - Énfasis3 12 3 3" xfId="27387" xr:uid="{52921FAE-1E8E-4CD5-A9B2-255B74357B65}"/>
    <cellStyle name="40% - Énfasis3 12 3 4" xfId="33269" xr:uid="{F95E1BA9-2D59-4D61-B9E0-9E251E8426A5}"/>
    <cellStyle name="40% - Énfasis3 12 3 5" xfId="39133" xr:uid="{6078F0F3-BF4D-47D3-A830-AE12A9ED85A5}"/>
    <cellStyle name="40% - Énfasis3 12 4" xfId="18800" xr:uid="{E0986728-2EDD-49A6-83AF-14DED41D832A}"/>
    <cellStyle name="40% - Énfasis3 12 5" xfId="24538" xr:uid="{F4E28D18-B77A-4B94-A64A-02FEF5311CBD}"/>
    <cellStyle name="40% - Énfasis3 12 6" xfId="30417" xr:uid="{2D0B368E-DE1A-4637-AE00-65F74ACB1080}"/>
    <cellStyle name="40% - Énfasis3 12 7" xfId="36298" xr:uid="{C9E0B2EB-5320-42CB-8341-79FBE66D6B16}"/>
    <cellStyle name="40% - Énfasis3 13" xfId="4777" xr:uid="{C52D3B3B-F041-4EB8-944C-06F24EAC7B2D}"/>
    <cellStyle name="40% - Énfasis3 13 2" xfId="7640" xr:uid="{2DBB0CF7-EE91-40F8-9844-9526C6DDCB95}"/>
    <cellStyle name="40% - Énfasis3 13 2 2" xfId="22033" xr:uid="{FB9684D6-9934-4C44-B010-C3F1E8E59915}"/>
    <cellStyle name="40% - Énfasis3 13 2 3" xfId="27874" xr:uid="{1508BB00-ED8B-4032-ADCC-60910B7536C2}"/>
    <cellStyle name="40% - Énfasis3 13 2 4" xfId="33756" xr:uid="{70EDE757-B408-4877-961A-41D453482EDA}"/>
    <cellStyle name="40% - Énfasis3 13 2 5" xfId="39620" xr:uid="{12AD177D-D06B-4A76-8A24-BA74C780BC07}"/>
    <cellStyle name="40% - Énfasis3 13 3" xfId="19259" xr:uid="{D3B291C1-97EA-43A4-B1F4-041622B6A22C}"/>
    <cellStyle name="40% - Énfasis3 13 4" xfId="25025" xr:uid="{BD3A9066-C77B-495C-806F-AFE833D1F650}"/>
    <cellStyle name="40% - Énfasis3 13 5" xfId="30899" xr:uid="{D25BD95D-E631-46E1-A142-12CED8256DB2}"/>
    <cellStyle name="40% - Énfasis3 13 6" xfId="36779" xr:uid="{288B70A6-B9CF-4709-AF98-64D2B364047E}"/>
    <cellStyle name="40% - Énfasis3 14" xfId="5743" xr:uid="{C88EFF44-E66B-4EED-9125-CB94035DB2AE}"/>
    <cellStyle name="40% - Énfasis3 14 2" xfId="8612" xr:uid="{09AC2334-2624-49F2-B433-1E7406F30547}"/>
    <cellStyle name="40% - Énfasis3 14 2 2" xfId="22983" xr:uid="{61DDB94C-FC43-45AB-ACB6-C7A7C015B7DA}"/>
    <cellStyle name="40% - Énfasis3 14 2 3" xfId="28845" xr:uid="{A9D23D8E-914C-44D3-B1C5-BE75434C4AB2}"/>
    <cellStyle name="40% - Énfasis3 14 2 4" xfId="34727" xr:uid="{871573EF-D510-4CB7-A1A0-A3DBB84991D4}"/>
    <cellStyle name="40% - Énfasis3 14 2 5" xfId="40591" xr:uid="{F0AACC4A-0DD7-4A25-A2E5-4702DE2712DA}"/>
    <cellStyle name="40% - Énfasis3 14 3" xfId="20201" xr:uid="{4DA1507A-3541-4F5F-87F2-4AB613B1815E}"/>
    <cellStyle name="40% - Énfasis3 14 4" xfId="25995" xr:uid="{8391CB39-57D7-421B-8389-D2F6A8BD9DEA}"/>
    <cellStyle name="40% - Énfasis3 14 5" xfId="31870" xr:uid="{61B8234E-8663-47FD-8214-6FA59A428393}"/>
    <cellStyle name="40% - Énfasis3 14 6" xfId="37736" xr:uid="{17EF2564-5B86-42D2-AD59-E5D42E57EE2A}"/>
    <cellStyle name="40% - Énfasis3 15" xfId="5763" xr:uid="{D274E52A-4BCD-464B-B518-5760EFBDB2FE}"/>
    <cellStyle name="40% - Énfasis3 15 2" xfId="8632" xr:uid="{F06ACB97-7C8E-4E56-A847-1805B37791CE}"/>
    <cellStyle name="40% - Énfasis3 15 2 2" xfId="23003" xr:uid="{89B6A957-C9E4-4198-9D76-9B4796372215}"/>
    <cellStyle name="40% - Énfasis3 15 2 3" xfId="28865" xr:uid="{64CEB316-CD85-4FCE-B05C-0C78F5445793}"/>
    <cellStyle name="40% - Énfasis3 15 2 4" xfId="34747" xr:uid="{E008EFF6-847B-4A50-8658-7CC103558E31}"/>
    <cellStyle name="40% - Énfasis3 15 2 5" xfId="40611" xr:uid="{9083E0CC-156C-4409-8C71-A806C3FD167B}"/>
    <cellStyle name="40% - Énfasis3 15 3" xfId="20220" xr:uid="{8CF41308-CD21-4122-891E-47367F4674DC}"/>
    <cellStyle name="40% - Énfasis3 15 4" xfId="26015" xr:uid="{EE30D0E6-D772-419C-9BA3-9D2AA380E4A7}"/>
    <cellStyle name="40% - Énfasis3 15 5" xfId="31890" xr:uid="{6C8BF353-E15E-4678-A8B8-93A54C361DEF}"/>
    <cellStyle name="40% - Énfasis3 15 6" xfId="37756" xr:uid="{FAD151F2-9D4D-40DC-83B5-96C5C2E46C9A}"/>
    <cellStyle name="40% - Énfasis3 16" xfId="5783" xr:uid="{B95CF14A-7D09-4573-8938-06B6D576F82D}"/>
    <cellStyle name="40% - Énfasis3 16 2" xfId="8652" xr:uid="{4FDF411A-3C57-45FB-A706-404D0A6C6825}"/>
    <cellStyle name="40% - Énfasis3 16 2 2" xfId="23023" xr:uid="{EC117215-4FA8-4ABB-B9F1-5211D1897B9F}"/>
    <cellStyle name="40% - Énfasis3 16 2 3" xfId="28885" xr:uid="{172F8ED2-5759-4DB1-B47D-D5199D9227E3}"/>
    <cellStyle name="40% - Énfasis3 16 2 4" xfId="34767" xr:uid="{AACC749E-B4BE-444E-8A1D-BF5298E92060}"/>
    <cellStyle name="40% - Énfasis3 16 2 5" xfId="40631" xr:uid="{655F1C91-7FAD-4988-B814-A38810D38DE7}"/>
    <cellStyle name="40% - Énfasis3 16 3" xfId="20238" xr:uid="{42F3A295-B20D-46B1-BBB0-5E9B00C349E0}"/>
    <cellStyle name="40% - Énfasis3 16 4" xfId="26035" xr:uid="{3C1F3A0C-ECE0-4FA3-AA3F-BF82CA3312DA}"/>
    <cellStyle name="40% - Énfasis3 16 5" xfId="31910" xr:uid="{045761CF-0F0A-461D-894F-F1EA65CCEE34}"/>
    <cellStyle name="40% - Énfasis3 16 6" xfId="37776" xr:uid="{8B81744A-CA91-40FE-B9BF-B7602C4F0A38}"/>
    <cellStyle name="40% - Énfasis3 17" xfId="5982" xr:uid="{80E27622-4F15-4B67-B227-ABCE8BA7E308}"/>
    <cellStyle name="40% - Énfasis3 17 2" xfId="8851" xr:uid="{D5155851-CFEE-404B-BA5B-4BD395D82882}"/>
    <cellStyle name="40% - Énfasis3 17 2 2" xfId="23215" xr:uid="{0422660B-F5BA-4DC1-A6C7-65BA2E207A72}"/>
    <cellStyle name="40% - Énfasis3 17 2 3" xfId="29082" xr:uid="{FC283F26-9FF7-4B2A-9F9B-F6A42B267EC4}"/>
    <cellStyle name="40% - Énfasis3 17 2 4" xfId="34964" xr:uid="{B4C9C17D-E5C9-4138-BEF6-3B9E618801B6}"/>
    <cellStyle name="40% - Énfasis3 17 2 5" xfId="40828" xr:uid="{E2BD1035-C8AE-4481-A931-5DE826ED8215}"/>
    <cellStyle name="40% - Énfasis3 17 3" xfId="20430" xr:uid="{7A63B44F-8881-4B57-A053-FE5421518BE6}"/>
    <cellStyle name="40% - Énfasis3 17 4" xfId="26232" xr:uid="{D5C47B2A-2264-42F5-9E50-47EAB4692A27}"/>
    <cellStyle name="40% - Énfasis3 17 5" xfId="32107" xr:uid="{15BA19E9-1D54-49A9-BE95-3E1ED16375D2}"/>
    <cellStyle name="40% - Énfasis3 17 6" xfId="37972" xr:uid="{A3FB8A94-03EB-495C-A7C6-4D3A8C288E80}"/>
    <cellStyle name="40% - Énfasis3 18" xfId="6002" xr:uid="{2E0B7207-7BD7-48A4-ABA9-8E2F17DC91A2}"/>
    <cellStyle name="40% - Énfasis3 18 2" xfId="8871" xr:uid="{C18A65E5-4D1B-4E38-8AF9-6FA5DFF9A805}"/>
    <cellStyle name="40% - Énfasis3 18 2 2" xfId="23235" xr:uid="{00DC7BD1-D4B4-4426-9DFC-6D33238F9904}"/>
    <cellStyle name="40% - Énfasis3 18 2 3" xfId="29102" xr:uid="{D8F2ECFB-4467-47F1-969F-9DBC78004557}"/>
    <cellStyle name="40% - Énfasis3 18 2 4" xfId="34984" xr:uid="{DCFB816A-CB50-407C-84E9-2C26A94C3381}"/>
    <cellStyle name="40% - Énfasis3 18 2 5" xfId="40848" xr:uid="{2709BCE2-166A-48A9-B09B-2458D71F32A2}"/>
    <cellStyle name="40% - Énfasis3 18 3" xfId="20450" xr:uid="{06546BE5-B798-411A-8C74-7815B9AED529}"/>
    <cellStyle name="40% - Énfasis3 18 4" xfId="26252" xr:uid="{99FC2D7B-60D6-4B06-B594-649F7093D21B}"/>
    <cellStyle name="40% - Énfasis3 18 5" xfId="32127" xr:uid="{EC0FE158-3AA0-4EA0-B394-436A7B86DA94}"/>
    <cellStyle name="40% - Énfasis3 18 6" xfId="37992" xr:uid="{3521BD56-4787-4992-9E20-65A02D29FEB7}"/>
    <cellStyle name="40% - Énfasis3 19" xfId="6022" xr:uid="{B7333B8A-8CB9-4C9A-9124-26B0500CAE21}"/>
    <cellStyle name="40% - Énfasis3 19 2" xfId="8891" xr:uid="{AC74F2CF-EB14-40E5-9AFB-79F9FA41FCF5}"/>
    <cellStyle name="40% - Énfasis3 19 2 2" xfId="23255" xr:uid="{8B8C192E-5AB0-4D88-971E-D22766018341}"/>
    <cellStyle name="40% - Énfasis3 19 2 3" xfId="29122" xr:uid="{D52A50F9-6B30-4541-B64B-C97F8B3E4D93}"/>
    <cellStyle name="40% - Énfasis3 19 2 4" xfId="35004" xr:uid="{50499C68-3CE9-4796-936F-8266573A5AD5}"/>
    <cellStyle name="40% - Énfasis3 19 2 5" xfId="40868" xr:uid="{2FAC96D1-5A44-46AC-9666-56FD69865E9F}"/>
    <cellStyle name="40% - Énfasis3 19 3" xfId="20470" xr:uid="{FB47FDE3-8F46-4039-AD7F-663FAE20447D}"/>
    <cellStyle name="40% - Énfasis3 19 4" xfId="26272" xr:uid="{7B25ACC8-D97E-4F34-8D1A-D4F9E2FE92C1}"/>
    <cellStyle name="40% - Énfasis3 19 5" xfId="32147" xr:uid="{522EE7B7-C194-451C-A94E-90F3724EB536}"/>
    <cellStyle name="40% - Énfasis3 19 6" xfId="38012" xr:uid="{E1EC7DA1-C8B7-4E53-BD42-8588377252C5}"/>
    <cellStyle name="40% - Énfasis3 2" xfId="3845" xr:uid="{13FACAE0-0680-40C8-B2A5-EC7CD40A75D5}"/>
    <cellStyle name="40% - Énfasis3 2 10" xfId="35827" xr:uid="{3F52522E-2249-42D6-B53F-4B433288E7B5}"/>
    <cellStyle name="40% - Énfasis3 2 2" xfId="4042" xr:uid="{5EB96D51-5500-400C-9357-220442636270}"/>
    <cellStyle name="40% - Énfasis3 2 2 2" xfId="4516" xr:uid="{289535D7-FFDA-40D4-A48B-1C4631893B6B}"/>
    <cellStyle name="40% - Énfasis3 2 2 2 2" xfId="5484" xr:uid="{D3F3885C-2788-4BCE-9E5B-9F9367D98E86}"/>
    <cellStyle name="40% - Énfasis3 2 2 2 2 2" xfId="8351" xr:uid="{95BFDA85-E293-4360-B2F9-92BBE57B25F1}"/>
    <cellStyle name="40% - Énfasis3 2 2 2 2 2 2" xfId="22726" xr:uid="{F392E7BE-411A-4C98-BEF7-A9442CC1BD62}"/>
    <cellStyle name="40% - Énfasis3 2 2 2 2 2 3" xfId="28584" xr:uid="{168126E9-A802-4171-BD7B-E9C07CEAD9EA}"/>
    <cellStyle name="40% - Énfasis3 2 2 2 2 2 4" xfId="34466" xr:uid="{44B94310-E5BD-43C2-A418-9479C5AE5CD3}"/>
    <cellStyle name="40% - Énfasis3 2 2 2 2 2 5" xfId="40330" xr:uid="{784478A3-7684-415F-9245-6538B6CA1758}"/>
    <cellStyle name="40% - Énfasis3 2 2 2 2 3" xfId="19945" xr:uid="{7C414172-B5D9-466C-BD12-A88CF0D8E6F7}"/>
    <cellStyle name="40% - Énfasis3 2 2 2 2 4" xfId="25735" xr:uid="{A8FD4D6D-D721-4E26-8FF6-39D52F44ED9A}"/>
    <cellStyle name="40% - Énfasis3 2 2 2 2 5" xfId="31609" xr:uid="{CC3696C7-6216-46CF-915A-31E1A9D08B2C}"/>
    <cellStyle name="40% - Énfasis3 2 2 2 2 6" xfId="37479" xr:uid="{4710794A-9349-4802-B888-175DCC966DB7}"/>
    <cellStyle name="40% - Énfasis3 2 2 2 3" xfId="7379" xr:uid="{6268582F-A3C0-4CB6-8579-AE190E6BDFB2}"/>
    <cellStyle name="40% - Énfasis3 2 2 2 3 2" xfId="21781" xr:uid="{6F8102D9-F244-41D2-AE33-769F6E8FDE72}"/>
    <cellStyle name="40% - Énfasis3 2 2 2 3 3" xfId="27613" xr:uid="{9AE8BF27-6C82-4F09-A4BD-BE2845EBF775}"/>
    <cellStyle name="40% - Énfasis3 2 2 2 3 4" xfId="33495" xr:uid="{B24E51CF-464B-425A-BD5D-2EE14AEC0EA2}"/>
    <cellStyle name="40% - Énfasis3 2 2 2 3 5" xfId="39359" xr:uid="{0390ECE6-02F7-497D-9D53-D43646497C0E}"/>
    <cellStyle name="40% - Énfasis3 2 2 2 4" xfId="19015" xr:uid="{52784AA6-9742-4B3B-9037-B016F26BF26D}"/>
    <cellStyle name="40% - Énfasis3 2 2 2 5" xfId="24764" xr:uid="{16FA1539-1015-44E5-919F-0086D009DEA6}"/>
    <cellStyle name="40% - Énfasis3 2 2 2 6" xfId="30641" xr:uid="{F0E1506B-CAF2-4387-907A-26EA4F990A4E}"/>
    <cellStyle name="40% - Énfasis3 2 2 2 7" xfId="36522" xr:uid="{F170599E-6FCC-4C91-ABBC-0D00FF091991}"/>
    <cellStyle name="40% - Énfasis3 2 2 3" xfId="4999" xr:uid="{C7B59925-CC7E-4E7B-AC28-6D65F835FD6A}"/>
    <cellStyle name="40% - Énfasis3 2 2 3 2" xfId="7866" xr:uid="{13974FE3-8F66-4245-A30C-ED855F87C0D0}"/>
    <cellStyle name="40% - Énfasis3 2 2 3 2 2" xfId="22251" xr:uid="{3CA3BDBB-672F-43A7-8E51-F195040B92D2}"/>
    <cellStyle name="40% - Énfasis3 2 2 3 2 3" xfId="28099" xr:uid="{F388D008-B04C-41AB-833B-BD0C933E7555}"/>
    <cellStyle name="40% - Énfasis3 2 2 3 2 4" xfId="33981" xr:uid="{C7243379-B342-4D14-A86B-ECF239C1768D}"/>
    <cellStyle name="40% - Énfasis3 2 2 3 2 5" xfId="39845" xr:uid="{347281F9-FDEF-46A0-8AB7-C1BC134EF17B}"/>
    <cellStyle name="40% - Énfasis3 2 2 3 3" xfId="19478" xr:uid="{1D900203-E400-4074-BEEF-CA0E23988731}"/>
    <cellStyle name="40% - Énfasis3 2 2 3 4" xfId="25250" xr:uid="{9EED91FB-B552-4373-800E-067B99C466F2}"/>
    <cellStyle name="40% - Énfasis3 2 2 3 5" xfId="31124" xr:uid="{6936FEE4-616A-4812-9B0F-701FAC9228FE}"/>
    <cellStyle name="40% - Énfasis3 2 2 3 6" xfId="37002" xr:uid="{2F679F1B-3F94-4C1A-8592-C9EF4AA92424}"/>
    <cellStyle name="40% - Énfasis3 2 2 4" xfId="6894" xr:uid="{71EC1556-39C0-4AF4-A409-309E39696CFD}"/>
    <cellStyle name="40% - Énfasis3 2 2 4 2" xfId="21315" xr:uid="{B8262599-F702-4649-ADB7-A1744C46306E}"/>
    <cellStyle name="40% - Énfasis3 2 2 4 3" xfId="27132" xr:uid="{FA174F6D-F879-4A22-A500-A2FC18843DC5}"/>
    <cellStyle name="40% - Énfasis3 2 2 4 4" xfId="33010" xr:uid="{035A01FA-BF61-46FC-B8E8-14F2495539B2}"/>
    <cellStyle name="40% - Énfasis3 2 2 4 5" xfId="38874" xr:uid="{8EE1C3FE-DE9B-429A-A095-BA94D903482F}"/>
    <cellStyle name="40% - Énfasis3 2 2 5" xfId="18569" xr:uid="{262DAC58-7026-40AA-BE72-1EAEE09AF35E}"/>
    <cellStyle name="40% - Énfasis3 2 2 6" xfId="24281" xr:uid="{1CE57724-62C6-4AB6-A639-FF68E936C288}"/>
    <cellStyle name="40% - Énfasis3 2 2 7" xfId="30159" xr:uid="{670D133E-CA36-4181-9F2A-53FCBCAE3037}"/>
    <cellStyle name="40% - Énfasis3 2 2 8" xfId="36038" xr:uid="{6BE86655-A7D8-4E1B-8445-B49CB7451077}"/>
    <cellStyle name="40% - Énfasis3 2 3" xfId="4322" xr:uid="{8737F921-EE30-4A74-8CCF-A8DBEF181F2B}"/>
    <cellStyle name="40% - Énfasis3 2 3 2" xfId="5288" xr:uid="{94043FDA-E2F8-434D-8546-F42AAC267CD0}"/>
    <cellStyle name="40% - Énfasis3 2 3 2 2" xfId="8155" xr:uid="{BE491C68-CC47-4137-ABCA-672114AC106E}"/>
    <cellStyle name="40% - Énfasis3 2 3 2 2 2" xfId="22531" xr:uid="{1CDAE23C-9A90-4819-89B8-5BA09E469C7F}"/>
    <cellStyle name="40% - Énfasis3 2 3 2 2 3" xfId="28388" xr:uid="{E8A81A22-16F7-4FD5-B658-CDAED591E33F}"/>
    <cellStyle name="40% - Énfasis3 2 3 2 2 4" xfId="34270" xr:uid="{CC4778C9-546C-43CD-B8F4-7C8D65FAA446}"/>
    <cellStyle name="40% - Énfasis3 2 3 2 2 5" xfId="40134" xr:uid="{98E1DDC0-449B-4EB2-98D7-993F0EA762E7}"/>
    <cellStyle name="40% - Énfasis3 2 3 2 3" xfId="19756" xr:uid="{CFBE1B39-2A6F-4E31-805A-93FD59638340}"/>
    <cellStyle name="40% - Énfasis3 2 3 2 4" xfId="25539" xr:uid="{BB5B8393-0559-4002-95CC-167C3E7C15CB}"/>
    <cellStyle name="40% - Énfasis3 2 3 2 5" xfId="31413" xr:uid="{628F4265-DAE0-417B-A8DE-6B5EE79569EC}"/>
    <cellStyle name="40% - Énfasis3 2 3 2 6" xfId="37284" xr:uid="{1086555A-1BCD-4055-B2CD-2F9667AA8CA2}"/>
    <cellStyle name="40% - Énfasis3 2 3 3" xfId="7183" xr:uid="{EBA56CCD-4E55-42FB-9106-820E0CC94FEC}"/>
    <cellStyle name="40% - Énfasis3 2 3 3 2" xfId="21590" xr:uid="{3A40A8A6-F935-4FD0-B5AD-48DB5D82E9A7}"/>
    <cellStyle name="40% - Énfasis3 2 3 3 3" xfId="27417" xr:uid="{0607BAAB-FE40-47CC-A761-CF5BB6B85C59}"/>
    <cellStyle name="40% - Énfasis3 2 3 3 4" xfId="33299" xr:uid="{789ADD08-C507-4DA2-8184-52EFA10A9073}"/>
    <cellStyle name="40% - Énfasis3 2 3 3 5" xfId="39163" xr:uid="{9BD5C1A8-54D8-4E3C-9629-E38E18272A7B}"/>
    <cellStyle name="40% - Énfasis3 2 3 4" xfId="18827" xr:uid="{47DBD973-5291-4E98-A48F-8261EDA09B09}"/>
    <cellStyle name="40% - Énfasis3 2 3 5" xfId="24568" xr:uid="{A24A4FA2-F0BB-4293-8888-93EB2E4A8A35}"/>
    <cellStyle name="40% - Énfasis3 2 3 6" xfId="30447" xr:uid="{82AAFEAC-A206-4306-ADBB-7AC0566BBD8B}"/>
    <cellStyle name="40% - Énfasis3 2 3 7" xfId="36327" xr:uid="{D7DD3086-B44E-433E-92ED-8D0D2B107ACF}"/>
    <cellStyle name="40% - Énfasis3 2 4" xfId="4807" xr:uid="{4E783195-103D-4662-8FC5-6BCC8B637DA7}"/>
    <cellStyle name="40% - Énfasis3 2 4 2" xfId="7670" xr:uid="{D528F8E9-ABB0-40F0-83B3-2DA8FF6747E5}"/>
    <cellStyle name="40% - Énfasis3 2 4 2 2" xfId="22061" xr:uid="{684517B7-F24B-476A-88AF-CC29BDEB4607}"/>
    <cellStyle name="40% - Énfasis3 2 4 2 3" xfId="27903" xr:uid="{EEC46534-D752-4668-958A-1DB0E6E99029}"/>
    <cellStyle name="40% - Énfasis3 2 4 2 4" xfId="33785" xr:uid="{532809C3-58E1-476D-A436-CEE21E5478CF}"/>
    <cellStyle name="40% - Énfasis3 2 4 2 5" xfId="39649" xr:uid="{DA7BE611-3FDB-4CEC-9717-B53D057E35CF}"/>
    <cellStyle name="40% - Énfasis3 2 4 3" xfId="19286" xr:uid="{06E92B2D-1047-4EBE-8291-6B10FFE21296}"/>
    <cellStyle name="40% - Énfasis3 2 4 4" xfId="25054" xr:uid="{6C090A3B-4345-4CC3-B345-A7E4C0242CFB}"/>
    <cellStyle name="40% - Énfasis3 2 4 5" xfId="30928" xr:uid="{95CBFD3B-3DF4-4BC2-84ED-5DFC075D47E9}"/>
    <cellStyle name="40% - Énfasis3 2 4 6" xfId="36807" xr:uid="{7F956BED-C079-4308-AA83-4B16F1DE9309}"/>
    <cellStyle name="40% - Énfasis3 2 5" xfId="5813" xr:uid="{A5B5E2C9-49C7-4E7C-8558-863EFC721863}"/>
    <cellStyle name="40% - Énfasis3 2 5 2" xfId="8682" xr:uid="{B1A37B8E-6743-43AC-A4A4-0D940B94DBA3}"/>
    <cellStyle name="40% - Énfasis3 2 5 2 2" xfId="23050" xr:uid="{2F5B739E-903D-44E6-8B25-F0899BEBCF47}"/>
    <cellStyle name="40% - Énfasis3 2 5 2 3" xfId="28914" xr:uid="{12E4FE39-58BB-4FBE-8201-B4AEFBF057CC}"/>
    <cellStyle name="40% - Énfasis3 2 5 2 4" xfId="34796" xr:uid="{40156EF0-953B-45A1-815E-5C74F1607558}"/>
    <cellStyle name="40% - Énfasis3 2 5 2 5" xfId="40660" xr:uid="{EFBADFF9-4B1D-41CA-B81E-4EE2BF04BFFF}"/>
    <cellStyle name="40% - Énfasis3 2 5 3" xfId="20265" xr:uid="{EBB28B57-F8A4-4503-BA9A-CD0CB18F3E27}"/>
    <cellStyle name="40% - Énfasis3 2 5 4" xfId="26064" xr:uid="{12F4895B-8B2E-4DEB-A093-C697034EBB5B}"/>
    <cellStyle name="40% - Énfasis3 2 5 5" xfId="31939" xr:uid="{E414D3D5-5392-4EDB-8D1B-922F7A9BB67A}"/>
    <cellStyle name="40% - Énfasis3 2 5 6" xfId="37805" xr:uid="{19ECF670-2994-4171-A323-61294D871F4C}"/>
    <cellStyle name="40% - Énfasis3 2 6" xfId="6699" xr:uid="{42E8D9D7-A14D-42B8-85C7-06ECB786AF7B}"/>
    <cellStyle name="40% - Énfasis3 2 6 2" xfId="21126" xr:uid="{8CA40B40-DF37-4C46-B261-416A3EA495CE}"/>
    <cellStyle name="40% - Énfasis3 2 6 3" xfId="26938" xr:uid="{3F231B95-7B53-4661-B7FF-770C14702906}"/>
    <cellStyle name="40% - Énfasis3 2 6 4" xfId="32814" xr:uid="{C2848F2E-6E0F-41DE-A8E3-6F1863285DBF}"/>
    <cellStyle name="40% - Énfasis3 2 6 5" xfId="38678" xr:uid="{0E3EFE38-4C6F-4857-B89F-B2C375FD94DB}"/>
    <cellStyle name="40% - Énfasis3 2 7" xfId="18360" xr:uid="{EC25E4C7-C684-4AA0-8C29-672E04B0E093}"/>
    <cellStyle name="40% - Énfasis3 2 8" xfId="24068" xr:uid="{B4DA0871-3828-4FB7-A1F3-D180B16CD919}"/>
    <cellStyle name="40% - Énfasis3 2 9" xfId="29946" xr:uid="{B8AB1030-FB45-4869-9706-F73C028F7EA8}"/>
    <cellStyle name="40% - Énfasis3 20" xfId="6042" xr:uid="{91A5B9CB-BF8F-441F-808E-7F7A695F4F19}"/>
    <cellStyle name="40% - Énfasis3 20 2" xfId="8911" xr:uid="{2C3CD8DE-0DE8-4321-8C39-E269B21075C6}"/>
    <cellStyle name="40% - Énfasis3 20 2 2" xfId="23275" xr:uid="{CE9C9FD6-C1FC-480B-9E4F-ECC7A4FBC048}"/>
    <cellStyle name="40% - Énfasis3 20 2 3" xfId="29142" xr:uid="{55779172-2616-48C7-AA03-7463E9EA0875}"/>
    <cellStyle name="40% - Énfasis3 20 2 4" xfId="35024" xr:uid="{53FCD774-6766-4D3E-85C6-73C13E758559}"/>
    <cellStyle name="40% - Énfasis3 20 2 5" xfId="40888" xr:uid="{1E962A4F-0246-445A-9A8E-9E84564ACC56}"/>
    <cellStyle name="40% - Énfasis3 20 3" xfId="20490" xr:uid="{76A95E3E-E2DD-4AA7-B264-B76C22B656F9}"/>
    <cellStyle name="40% - Énfasis3 20 4" xfId="26292" xr:uid="{4E58C402-1E36-4AE3-AEEE-AD921634539E}"/>
    <cellStyle name="40% - Énfasis3 20 5" xfId="32167" xr:uid="{D37791AB-E871-491D-A597-3224B6A6CE85}"/>
    <cellStyle name="40% - Énfasis3 20 6" xfId="38032" xr:uid="{BAC1972A-E51E-43B5-AE55-3CA49A822A72}"/>
    <cellStyle name="40% - Énfasis3 21" xfId="6062" xr:uid="{4C7D3589-B544-4253-AE7C-7E56765EEE4F}"/>
    <cellStyle name="40% - Énfasis3 21 2" xfId="8931" xr:uid="{89DC8C63-A1E1-4F28-9150-E669A90E2ED0}"/>
    <cellStyle name="40% - Énfasis3 21 2 2" xfId="23295" xr:uid="{D6EBAA13-82F1-4DDA-AABE-A739B0E331EB}"/>
    <cellStyle name="40% - Énfasis3 21 2 3" xfId="29162" xr:uid="{C50EC937-B3C6-484D-8117-6A291C4C811D}"/>
    <cellStyle name="40% - Énfasis3 21 2 4" xfId="35044" xr:uid="{0FC0321B-2DE6-4B71-960E-21052CCB36A5}"/>
    <cellStyle name="40% - Énfasis3 21 2 5" xfId="40908" xr:uid="{B682CAED-4B4D-4312-886F-6FEEA846FD6D}"/>
    <cellStyle name="40% - Énfasis3 21 3" xfId="20510" xr:uid="{3A5351EB-5A2A-41F1-AF88-CD556502CD56}"/>
    <cellStyle name="40% - Énfasis3 21 4" xfId="26312" xr:uid="{A055734E-D5C5-4D98-8D2C-879EE61EE287}"/>
    <cellStyle name="40% - Énfasis3 21 5" xfId="32187" xr:uid="{78975541-B693-4534-BD00-CBC75CD4E53F}"/>
    <cellStyle name="40% - Énfasis3 21 6" xfId="38052" xr:uid="{18554D2F-0B01-4E99-976B-1A64B74D81EE}"/>
    <cellStyle name="40% - Énfasis3 22" xfId="6082" xr:uid="{F68CB863-5A11-4CBC-BF9A-ECE99D10B25A}"/>
    <cellStyle name="40% - Énfasis3 22 2" xfId="8951" xr:uid="{A16A7EA9-2BBA-4A2E-9FF9-DC30EB7C3126}"/>
    <cellStyle name="40% - Énfasis3 22 2 2" xfId="23315" xr:uid="{F169A289-81A9-45F3-BFA8-9EF1C0358F54}"/>
    <cellStyle name="40% - Énfasis3 22 2 3" xfId="29182" xr:uid="{A9DD1AB0-B6AA-4269-9DC6-1027D6E2C4C5}"/>
    <cellStyle name="40% - Énfasis3 22 2 4" xfId="35064" xr:uid="{DE41587B-2817-4297-9E9C-B87E5391C348}"/>
    <cellStyle name="40% - Énfasis3 22 2 5" xfId="40928" xr:uid="{64C47B3A-4458-4507-A41F-DDCFF0B45BAD}"/>
    <cellStyle name="40% - Énfasis3 22 3" xfId="20530" xr:uid="{A1A9CCC3-3316-4860-A83B-C6E033DDB7FE}"/>
    <cellStyle name="40% - Énfasis3 22 4" xfId="26332" xr:uid="{562E0763-B011-462B-8156-B92C4022BDAA}"/>
    <cellStyle name="40% - Énfasis3 22 5" xfId="32207" xr:uid="{E7345BC3-856D-4580-BAB9-D00148D8712C}"/>
    <cellStyle name="40% - Énfasis3 22 6" xfId="38072" xr:uid="{F222A380-955B-418B-BFEF-100C7497CE84}"/>
    <cellStyle name="40% - Énfasis3 23" xfId="6102" xr:uid="{900A608D-5B41-4DBE-A9C9-AF76474D3AED}"/>
    <cellStyle name="40% - Énfasis3 23 2" xfId="8971" xr:uid="{9A6D5ADB-5033-4FA7-A262-8AF88932F009}"/>
    <cellStyle name="40% - Énfasis3 23 2 2" xfId="23335" xr:uid="{1650D57B-74FD-413F-B919-C870B4A2C3DB}"/>
    <cellStyle name="40% - Énfasis3 23 2 3" xfId="29202" xr:uid="{41C4CD3B-1FAE-44D4-B30F-825C69B86973}"/>
    <cellStyle name="40% - Énfasis3 23 2 4" xfId="35084" xr:uid="{4B117E12-FCEE-4139-9202-3D82CBFEF15F}"/>
    <cellStyle name="40% - Énfasis3 23 2 5" xfId="40948" xr:uid="{750A3FFC-B747-4DEB-B08C-54E8F3F8D161}"/>
    <cellStyle name="40% - Énfasis3 23 3" xfId="20550" xr:uid="{CAB67E5E-3C09-44B6-932A-EC66BE43EA73}"/>
    <cellStyle name="40% - Énfasis3 23 4" xfId="26352" xr:uid="{582F34FE-5AF9-4EEC-86D5-8DF4CFFE5159}"/>
    <cellStyle name="40% - Énfasis3 23 5" xfId="32227" xr:uid="{2CD43188-A9B9-4746-AD01-15A3AD49C89F}"/>
    <cellStyle name="40% - Énfasis3 23 6" xfId="38092" xr:uid="{2653C6AA-AEFC-4CC8-9346-F83A1BC64D7F}"/>
    <cellStyle name="40% - Énfasis3 24" xfId="6122" xr:uid="{79FB6DE2-3E0C-4B83-8676-84BBEFBCD1C7}"/>
    <cellStyle name="40% - Énfasis3 24 2" xfId="8991" xr:uid="{1B076098-AD16-48DA-BF7D-CFAC39960B9C}"/>
    <cellStyle name="40% - Énfasis3 24 2 2" xfId="23355" xr:uid="{C7C98642-2494-42E1-AD21-C87844941D90}"/>
    <cellStyle name="40% - Énfasis3 24 2 3" xfId="29222" xr:uid="{31771D0B-874A-4A46-AA2B-95ADC77707A1}"/>
    <cellStyle name="40% - Énfasis3 24 2 4" xfId="35104" xr:uid="{07307AD5-3FE8-4DCB-8C30-27B8A0807191}"/>
    <cellStyle name="40% - Énfasis3 24 2 5" xfId="40968" xr:uid="{8F65873F-9492-4FCD-88F2-B4B0B43686F4}"/>
    <cellStyle name="40% - Énfasis3 24 3" xfId="20570" xr:uid="{EEC739B9-FD48-4389-ACA9-56DCFCF94CC5}"/>
    <cellStyle name="40% - Énfasis3 24 4" xfId="26372" xr:uid="{D6682150-FDFB-4E90-93BD-CCDDE302A964}"/>
    <cellStyle name="40% - Énfasis3 24 5" xfId="32247" xr:uid="{4D083084-9C52-4D53-91BF-12D6AB1C2A49}"/>
    <cellStyle name="40% - Énfasis3 24 6" xfId="38112" xr:uid="{1407FCF7-BDF9-4531-8109-08F8C0958563}"/>
    <cellStyle name="40% - Énfasis3 25" xfId="6142" xr:uid="{7C53C0F0-999C-4B2E-812E-7B970D2220E8}"/>
    <cellStyle name="40% - Énfasis3 25 2" xfId="9011" xr:uid="{72E36F72-6035-452E-9385-FB0B53864D6D}"/>
    <cellStyle name="40% - Énfasis3 25 2 2" xfId="23375" xr:uid="{72E5F0A2-3C2B-4387-9068-AA92C9BD497F}"/>
    <cellStyle name="40% - Énfasis3 25 2 3" xfId="29242" xr:uid="{9743B7EA-96AA-4D40-8131-F55A11211376}"/>
    <cellStyle name="40% - Énfasis3 25 2 4" xfId="35124" xr:uid="{DB942029-A144-44DA-9A63-D9BA8216405A}"/>
    <cellStyle name="40% - Énfasis3 25 2 5" xfId="40987" xr:uid="{EE5F4D94-09A3-4CC1-92A8-1C54384377F4}"/>
    <cellStyle name="40% - Énfasis3 25 3" xfId="20590" xr:uid="{89C078CB-58D2-48B7-9087-6CC219408A32}"/>
    <cellStyle name="40% - Énfasis3 25 4" xfId="26392" xr:uid="{73590102-2F15-49BF-A8A5-D09EB7297A3C}"/>
    <cellStyle name="40% - Énfasis3 25 5" xfId="32267" xr:uid="{7DB1A823-84B3-4870-8A77-DE1257DE9227}"/>
    <cellStyle name="40% - Énfasis3 25 6" xfId="38132" xr:uid="{6118EAD0-08B5-479A-86D8-2DD85F44EE67}"/>
    <cellStyle name="40% - Énfasis3 26" xfId="6162" xr:uid="{916C1F66-7D15-4BE4-8051-E152D5CEB482}"/>
    <cellStyle name="40% - Énfasis3 26 2" xfId="9031" xr:uid="{2AF686A2-97FA-4C52-942F-4A1157E5CCC1}"/>
    <cellStyle name="40% - Énfasis3 26 2 2" xfId="23395" xr:uid="{85EEFEB2-8A8C-4DEA-988C-A735FC87A870}"/>
    <cellStyle name="40% - Énfasis3 26 2 3" xfId="29262" xr:uid="{57C88112-2F85-4CD5-9A00-155F08A56192}"/>
    <cellStyle name="40% - Énfasis3 26 2 4" xfId="35144" xr:uid="{AEE4A9F7-CDD0-4835-BAD5-F851C7BF1BD8}"/>
    <cellStyle name="40% - Énfasis3 26 2 5" xfId="41006" xr:uid="{391FAF38-5E71-4319-9B22-E00732B4D261}"/>
    <cellStyle name="40% - Énfasis3 26 3" xfId="20610" xr:uid="{C1E0273D-76E6-42FA-B6F1-EBE377675195}"/>
    <cellStyle name="40% - Énfasis3 26 4" xfId="26412" xr:uid="{F6EC1C43-16B1-41E4-ABE9-6E7C133E8084}"/>
    <cellStyle name="40% - Énfasis3 26 5" xfId="32287" xr:uid="{A0FF4E14-3D35-423E-8441-4BB397DFF9CA}"/>
    <cellStyle name="40% - Énfasis3 26 6" xfId="38152" xr:uid="{83C24122-F6EA-4834-BC2D-FF5E3ABAFDF2}"/>
    <cellStyle name="40% - Énfasis3 27" xfId="6182" xr:uid="{7943BF86-A3BB-4345-82DC-7B996B09D705}"/>
    <cellStyle name="40% - Énfasis3 27 2" xfId="9051" xr:uid="{52A7C25B-88F0-45B4-8B28-57FF78FB8A1C}"/>
    <cellStyle name="40% - Énfasis3 27 2 2" xfId="23415" xr:uid="{27DBDE86-6B51-43BC-93A1-BD7A9FD80191}"/>
    <cellStyle name="40% - Énfasis3 27 2 3" xfId="29282" xr:uid="{F2B31437-3662-4B06-8514-F43555285FFB}"/>
    <cellStyle name="40% - Énfasis3 27 2 4" xfId="35164" xr:uid="{0B9765C0-4629-4472-B26A-1E64C9C0DDC1}"/>
    <cellStyle name="40% - Énfasis3 27 2 5" xfId="41026" xr:uid="{66D866AB-AEBA-4DAA-ADDE-5599B1E05F0D}"/>
    <cellStyle name="40% - Énfasis3 27 3" xfId="20630" xr:uid="{9FAEBBCE-D5E0-4F69-9B95-8FCBE88AE746}"/>
    <cellStyle name="40% - Énfasis3 27 4" xfId="26432" xr:uid="{3CE8730C-ED51-49DC-BBF6-AE4BFA1DCE66}"/>
    <cellStyle name="40% - Énfasis3 27 5" xfId="32307" xr:uid="{DA863ED8-674D-4231-887D-0FADD62B9778}"/>
    <cellStyle name="40% - Énfasis3 27 6" xfId="38172" xr:uid="{0FB99222-7F5B-4421-8DBF-5910C9E31822}"/>
    <cellStyle name="40% - Énfasis3 28" xfId="6204" xr:uid="{2476A1EC-BF99-4F36-9781-1F69AF9E975D}"/>
    <cellStyle name="40% - Énfasis3 28 2" xfId="9073" xr:uid="{1B3A8887-9918-41E8-835A-03E70FCCFAA5}"/>
    <cellStyle name="40% - Énfasis3 28 2 2" xfId="23437" xr:uid="{581161DF-5ADC-4BE3-80C9-32093CB67D8F}"/>
    <cellStyle name="40% - Énfasis3 28 2 3" xfId="29304" xr:uid="{405D2BFF-6C6C-439F-AE4B-85A354DB3327}"/>
    <cellStyle name="40% - Énfasis3 28 2 4" xfId="35186" xr:uid="{E8E2E9D1-5AC2-4951-887C-5E379F2E563C}"/>
    <cellStyle name="40% - Énfasis3 28 2 5" xfId="41047" xr:uid="{D749565E-3079-4717-B0A6-3A2036FEFE35}"/>
    <cellStyle name="40% - Énfasis3 28 3" xfId="20652" xr:uid="{232BBE94-C3F6-4F22-8867-C19A43CFECE9}"/>
    <cellStyle name="40% - Énfasis3 28 4" xfId="26454" xr:uid="{D4C0B911-FFBE-4858-A0C5-57B55108AEE5}"/>
    <cellStyle name="40% - Énfasis3 28 5" xfId="32329" xr:uid="{21D9C39E-3C22-4271-A5CE-992C3705A3BA}"/>
    <cellStyle name="40% - Énfasis3 28 6" xfId="38194" xr:uid="{2BEDF977-246F-422F-9A2F-116CAA65580F}"/>
    <cellStyle name="40% - Énfasis3 29" xfId="6241" xr:uid="{FBE7CDEA-24C3-4403-95D5-C22C226F3426}"/>
    <cellStyle name="40% - Énfasis3 29 2" xfId="9110" xr:uid="{4BD89757-838D-46D4-954B-29E077A36B2D}"/>
    <cellStyle name="40% - Énfasis3 29 2 2" xfId="23474" xr:uid="{78CB7C36-E1D4-49F8-AE3A-17FAD8935D17}"/>
    <cellStyle name="40% - Énfasis3 29 2 3" xfId="29341" xr:uid="{B0FFD9D6-7DEF-4FDF-A9E3-BD55AF72DA3D}"/>
    <cellStyle name="40% - Énfasis3 29 2 4" xfId="35223" xr:uid="{4949EF68-A49F-4DB8-BFD6-63606CF446FD}"/>
    <cellStyle name="40% - Énfasis3 29 2 5" xfId="41083" xr:uid="{89ABAEAC-DB79-49D4-B171-218CEB42B6A3}"/>
    <cellStyle name="40% - Énfasis3 29 3" xfId="20682" xr:uid="{932F8407-7DA3-4222-9B26-BD2E51F52F94}"/>
    <cellStyle name="40% - Énfasis3 29 4" xfId="26491" xr:uid="{56BE1755-593A-4A2D-92DA-5EEB86A453DE}"/>
    <cellStyle name="40% - Énfasis3 29 5" xfId="32366" xr:uid="{9CD66856-A799-496F-A88C-85A2F87DA305}"/>
    <cellStyle name="40% - Énfasis3 29 6" xfId="38231" xr:uid="{0A8564B0-74E3-4A38-9F12-D32F5C1B9BCD}"/>
    <cellStyle name="40% - Énfasis3 3" xfId="3864" xr:uid="{948216FF-CF8C-47B2-B92F-359D68A4385C}"/>
    <cellStyle name="40% - Énfasis3 3 10" xfId="35854" xr:uid="{6FDE2E6E-B1FF-4177-853C-E66719011DA1}"/>
    <cellStyle name="40% - Énfasis3 3 2" xfId="4063" xr:uid="{85ACB9B3-FBF2-4E48-9AEE-C780C0532D28}"/>
    <cellStyle name="40% - Énfasis3 3 2 2" xfId="4541" xr:uid="{F4BC3764-344D-49ED-B808-BC6B0CE67252}"/>
    <cellStyle name="40% - Énfasis3 3 2 2 2" xfId="5509" xr:uid="{5506A18B-9E4C-4812-95DB-056A2DAE1079}"/>
    <cellStyle name="40% - Énfasis3 3 2 2 2 2" xfId="8376" xr:uid="{12BCA843-9B5F-410D-83DA-F640054270E7}"/>
    <cellStyle name="40% - Énfasis3 3 2 2 2 2 2" xfId="22751" xr:uid="{3D88F2CB-E6D7-4E9A-AF54-F3D5C1249274}"/>
    <cellStyle name="40% - Énfasis3 3 2 2 2 2 3" xfId="28609" xr:uid="{D22625EB-9F2A-453B-A05E-7C32BFD002B8}"/>
    <cellStyle name="40% - Énfasis3 3 2 2 2 2 4" xfId="34491" xr:uid="{095A0AD7-2B84-483C-9421-1523D0CB65BD}"/>
    <cellStyle name="40% - Énfasis3 3 2 2 2 2 5" xfId="40355" xr:uid="{A27C2967-F8FF-4762-B27D-D869A2EE00DF}"/>
    <cellStyle name="40% - Énfasis3 3 2 2 2 3" xfId="19969" xr:uid="{DD3A617F-1572-4B39-967C-2B3FB00A9A94}"/>
    <cellStyle name="40% - Énfasis3 3 2 2 2 4" xfId="25760" xr:uid="{AEC72F07-E2EB-484E-AF34-E90AF6A28C4D}"/>
    <cellStyle name="40% - Énfasis3 3 2 2 2 5" xfId="31634" xr:uid="{57A9AA0A-7C91-477D-8555-A83B922E902F}"/>
    <cellStyle name="40% - Énfasis3 3 2 2 2 6" xfId="37504" xr:uid="{E4D7F469-1721-4D92-99A7-59516D8C7494}"/>
    <cellStyle name="40% - Énfasis3 3 2 2 3" xfId="7404" xr:uid="{63F10997-FF40-4D58-B14A-BD4C2D3053E0}"/>
    <cellStyle name="40% - Énfasis3 3 2 2 3 2" xfId="21806" xr:uid="{15E89F0B-331C-47BC-95A7-CC5131680917}"/>
    <cellStyle name="40% - Énfasis3 3 2 2 3 3" xfId="27638" xr:uid="{3FC555E9-0505-42A3-B6E5-237744F0897E}"/>
    <cellStyle name="40% - Énfasis3 3 2 2 3 4" xfId="33520" xr:uid="{46977732-84C0-4537-BC72-0E82A9F37DAD}"/>
    <cellStyle name="40% - Énfasis3 3 2 2 3 5" xfId="39384" xr:uid="{342D70C0-5575-4F1B-A0B2-B849D9F81964}"/>
    <cellStyle name="40% - Énfasis3 3 2 2 4" xfId="19037" xr:uid="{193DB93E-3C9B-4EF1-A4D1-60F8305DB2D4}"/>
    <cellStyle name="40% - Énfasis3 3 2 2 5" xfId="24789" xr:uid="{61B0433C-D049-4BD5-9B7A-6DDE9BFABA4D}"/>
    <cellStyle name="40% - Énfasis3 3 2 2 6" xfId="30666" xr:uid="{AF454BA7-3CAF-4750-A87F-3B80F8DFF4B9}"/>
    <cellStyle name="40% - Énfasis3 3 2 2 7" xfId="36547" xr:uid="{D33A9CCF-CA3E-4C12-A9D3-B83F92520BF5}"/>
    <cellStyle name="40% - Énfasis3 3 2 3" xfId="5024" xr:uid="{F5A871D0-FB20-4A63-88AE-071A03C189F9}"/>
    <cellStyle name="40% - Énfasis3 3 2 3 2" xfId="7891" xr:uid="{152097F2-8D21-4552-B7B4-B47EC2F0508E}"/>
    <cellStyle name="40% - Énfasis3 3 2 3 2 2" xfId="22276" xr:uid="{5C67F983-39B9-416C-B1CA-B5638065FE3F}"/>
    <cellStyle name="40% - Énfasis3 3 2 3 2 3" xfId="28124" xr:uid="{0D21D7F5-4464-46A4-A8BF-768C7686966A}"/>
    <cellStyle name="40% - Énfasis3 3 2 3 2 4" xfId="34006" xr:uid="{A741D9EC-8A92-422F-8C45-6F7A76336688}"/>
    <cellStyle name="40% - Énfasis3 3 2 3 2 5" xfId="39870" xr:uid="{88B8B815-4655-47E5-8AD9-4DE863BCD77E}"/>
    <cellStyle name="40% - Énfasis3 3 2 3 3" xfId="19502" xr:uid="{F4204910-BB5B-4255-A69E-52AA83F5DB80}"/>
    <cellStyle name="40% - Énfasis3 3 2 3 4" xfId="25275" xr:uid="{41514874-4B5C-47B9-BFA7-ABAFEBFA0A37}"/>
    <cellStyle name="40% - Énfasis3 3 2 3 5" xfId="31149" xr:uid="{AFD1A5B8-A17B-481E-953F-5BBE8B0FACE1}"/>
    <cellStyle name="40% - Énfasis3 3 2 3 6" xfId="37027" xr:uid="{420CCAC9-B98D-4726-9919-89F61A76AA39}"/>
    <cellStyle name="40% - Énfasis3 3 2 4" xfId="6919" xr:uid="{974C8545-C2AD-4118-834D-1EED82CF07E4}"/>
    <cellStyle name="40% - Énfasis3 3 2 4 2" xfId="21339" xr:uid="{E4CD236B-A0EC-40A6-9334-6705058DC25B}"/>
    <cellStyle name="40% - Énfasis3 3 2 4 3" xfId="27157" xr:uid="{AC5C5DEE-B6D5-46BE-BF87-40A7456C37D6}"/>
    <cellStyle name="40% - Énfasis3 3 2 4 4" xfId="33035" xr:uid="{93F1A798-D02A-4A35-A9C0-4F5D23BAA02C}"/>
    <cellStyle name="40% - Énfasis3 3 2 4 5" xfId="38899" xr:uid="{ED317F55-DD19-4F5B-8CA8-10A5DD48ED28}"/>
    <cellStyle name="40% - Énfasis3 3 2 5" xfId="18594" xr:uid="{DF6DE3B5-B90D-47BD-9714-0AE34F5B89C4}"/>
    <cellStyle name="40% - Énfasis3 3 2 6" xfId="24306" xr:uid="{0352F898-DC27-47DE-9663-DBF4FBC1454A}"/>
    <cellStyle name="40% - Énfasis3 3 2 7" xfId="30184" xr:uid="{D6B4B196-1200-4895-903F-ECECE19EF715}"/>
    <cellStyle name="40% - Énfasis3 3 2 8" xfId="36063" xr:uid="{AC542D79-E9CD-4FFE-85C9-6DE34BA458B5}"/>
    <cellStyle name="40% - Énfasis3 3 3" xfId="4347" xr:uid="{A10AB347-F54E-4A23-8CEB-72CCDE4F227F}"/>
    <cellStyle name="40% - Énfasis3 3 3 2" xfId="5313" xr:uid="{FF1DBED3-F9B0-429B-9E3C-3EA6696C2EB8}"/>
    <cellStyle name="40% - Énfasis3 3 3 2 2" xfId="8180" xr:uid="{938A415E-52C9-4FA0-9481-984E2AC5490A}"/>
    <cellStyle name="40% - Énfasis3 3 3 2 2 2" xfId="22556" xr:uid="{A2371006-B4B3-41A4-ACA1-B0333F2F3C5E}"/>
    <cellStyle name="40% - Énfasis3 3 3 2 2 3" xfId="28413" xr:uid="{0AB9CFCC-98C3-45C9-A795-0FD2EAD910B6}"/>
    <cellStyle name="40% - Énfasis3 3 3 2 2 4" xfId="34295" xr:uid="{01AE03FE-DF16-46BF-8BC1-41E378949419}"/>
    <cellStyle name="40% - Énfasis3 3 3 2 2 5" xfId="40159" xr:uid="{3352401C-CC60-40E9-94BE-064FB3A0B6AA}"/>
    <cellStyle name="40% - Énfasis3 3 3 2 3" xfId="19781" xr:uid="{FA7FE874-9FC9-4230-8CC1-C329E5731516}"/>
    <cellStyle name="40% - Énfasis3 3 3 2 4" xfId="25564" xr:uid="{02920748-45AE-44B6-99B9-C9D639166AE5}"/>
    <cellStyle name="40% - Énfasis3 3 3 2 5" xfId="31438" xr:uid="{DA26E68E-C020-469F-8B09-C40C60F6E434}"/>
    <cellStyle name="40% - Énfasis3 3 3 2 6" xfId="37309" xr:uid="{80FCC3FE-3DA6-4CD4-BAED-A01BDDAACD92}"/>
    <cellStyle name="40% - Énfasis3 3 3 3" xfId="7208" xr:uid="{B0EBFF3C-7C5F-4F1F-8387-EFAF0767FFA6}"/>
    <cellStyle name="40% - Énfasis3 3 3 3 2" xfId="21615" xr:uid="{8F813A3A-7D8A-43B8-A85A-0EE7EF88FC09}"/>
    <cellStyle name="40% - Énfasis3 3 3 3 3" xfId="27442" xr:uid="{B92C2AC9-83AA-4C56-BABC-A2464869C0D4}"/>
    <cellStyle name="40% - Énfasis3 3 3 3 4" xfId="33324" xr:uid="{902FFA09-91B9-4E14-B4FB-E73594BA495D}"/>
    <cellStyle name="40% - Énfasis3 3 3 3 5" xfId="39188" xr:uid="{6F022ACA-E5AE-403E-B93B-7E9E9BDB9D2C}"/>
    <cellStyle name="40% - Énfasis3 3 3 4" xfId="18852" xr:uid="{96C5021E-0F95-4ED9-97FB-48B6D91DA8BB}"/>
    <cellStyle name="40% - Énfasis3 3 3 5" xfId="24593" xr:uid="{22E39543-5F66-4877-B230-5A802CEBE03C}"/>
    <cellStyle name="40% - Énfasis3 3 3 6" xfId="30472" xr:uid="{F1F6A4DF-445F-4724-9E84-79548B8868D1}"/>
    <cellStyle name="40% - Énfasis3 3 3 7" xfId="36352" xr:uid="{AB9A40C5-DF14-4FFC-BA5F-046839AC9BB4}"/>
    <cellStyle name="40% - Énfasis3 3 4" xfId="4829" xr:uid="{BF18C4CD-24D0-41B4-A26C-C0EF389E42FB}"/>
    <cellStyle name="40% - Énfasis3 3 4 2" xfId="7695" xr:uid="{C32FE983-BBB1-4FF7-B8AF-BA1D189C9466}"/>
    <cellStyle name="40% - Énfasis3 3 4 2 2" xfId="22085" xr:uid="{3A3C81DB-9B92-4E98-B289-8B136B249CC7}"/>
    <cellStyle name="40% - Énfasis3 3 4 2 3" xfId="27928" xr:uid="{3E5DB41E-2478-443C-A59C-4C749F110E99}"/>
    <cellStyle name="40% - Énfasis3 3 4 2 4" xfId="33810" xr:uid="{7B74859A-0251-4136-8576-BB70166CDE3A}"/>
    <cellStyle name="40% - Énfasis3 3 4 2 5" xfId="39674" xr:uid="{A25069EC-6448-4EC0-BA9A-9FA88A59F413}"/>
    <cellStyle name="40% - Énfasis3 3 4 3" xfId="19311" xr:uid="{4110FC09-50CE-4CAF-A853-22F72340FD5A}"/>
    <cellStyle name="40% - Énfasis3 3 4 4" xfId="25079" xr:uid="{62F25590-E24B-450B-A4FC-472E1F5B7BE4}"/>
    <cellStyle name="40% - Énfasis3 3 4 5" xfId="30953" xr:uid="{3D2D452F-EF9F-491D-A0B5-FD62F0164E8A}"/>
    <cellStyle name="40% - Énfasis3 3 4 6" xfId="36832" xr:uid="{21E7D600-2ECC-45DC-A5DB-E09E7EBDA668}"/>
    <cellStyle name="40% - Énfasis3 3 5" xfId="5838" xr:uid="{7E0F0E98-F07B-4749-B601-1938BD1AEB53}"/>
    <cellStyle name="40% - Énfasis3 3 5 2" xfId="8707" xr:uid="{7C1F75B1-CF1E-488D-BCEC-6AE3EFF23C03}"/>
    <cellStyle name="40% - Énfasis3 3 5 2 2" xfId="23075" xr:uid="{9110E167-C4BD-4701-9033-FA82E3640D60}"/>
    <cellStyle name="40% - Énfasis3 3 5 2 3" xfId="28939" xr:uid="{BE20A526-BCC1-46EC-ADA9-5134DC5CD220}"/>
    <cellStyle name="40% - Énfasis3 3 5 2 4" xfId="34821" xr:uid="{DF144752-2C86-4086-842B-A7CE2AAE932F}"/>
    <cellStyle name="40% - Énfasis3 3 5 2 5" xfId="40685" xr:uid="{61A17B3A-E932-44FB-89FC-F22E19D0E3B8}"/>
    <cellStyle name="40% - Énfasis3 3 5 3" xfId="20290" xr:uid="{41377F2C-9453-4315-A0CF-E02675BDE4DE}"/>
    <cellStyle name="40% - Énfasis3 3 5 4" xfId="26089" xr:uid="{C418F814-EDE6-4925-9053-21750D2E805C}"/>
    <cellStyle name="40% - Énfasis3 3 5 5" xfId="31964" xr:uid="{8A987231-B7C3-4BC1-9AF8-4733969F6713}"/>
    <cellStyle name="40% - Énfasis3 3 5 6" xfId="37830" xr:uid="{94FD70A5-FBF8-4F94-9404-5CD22DE18A87}"/>
    <cellStyle name="40% - Énfasis3 3 6" xfId="6724" xr:uid="{283BE612-0B18-497B-985F-49C50542F61C}"/>
    <cellStyle name="40% - Énfasis3 3 6 2" xfId="21148" xr:uid="{B2938F6D-39D3-4F0B-92E0-FC41B238E3EA}"/>
    <cellStyle name="40% - Énfasis3 3 6 3" xfId="26963" xr:uid="{EA6CD0D5-0DBE-480D-87FF-D007079D445C}"/>
    <cellStyle name="40% - Énfasis3 3 6 4" xfId="32839" xr:uid="{3028F869-EF08-400B-BE6B-99C70E0AACC0}"/>
    <cellStyle name="40% - Énfasis3 3 6 5" xfId="38703" xr:uid="{0CCAD7A7-EAE7-4B03-9611-0AEBD14BA05E}"/>
    <cellStyle name="40% - Énfasis3 3 7" xfId="18386" xr:uid="{28F04449-8670-4006-BE8E-7BD7D4B31D56}"/>
    <cellStyle name="40% - Énfasis3 3 8" xfId="24095" xr:uid="{43331E64-784B-440C-9007-F76DB9B17515}"/>
    <cellStyle name="40% - Énfasis3 3 9" xfId="29973" xr:uid="{6DC4B2E2-61EF-4DEA-882C-9DE21296F006}"/>
    <cellStyle name="40% - Énfasis3 30" xfId="6261" xr:uid="{518DDA30-A011-49B0-B18F-682A9FDFDA45}"/>
    <cellStyle name="40% - Énfasis3 30 2" xfId="9130" xr:uid="{701E8123-E689-4B3B-8CFE-22337A59D50D}"/>
    <cellStyle name="40% - Énfasis3 30 2 2" xfId="23494" xr:uid="{922519D1-B260-4BF7-BB61-FFA005267AE5}"/>
    <cellStyle name="40% - Énfasis3 30 2 3" xfId="29361" xr:uid="{A2B9484C-6526-42E9-AA8B-4657B1578188}"/>
    <cellStyle name="40% - Énfasis3 30 2 4" xfId="35243" xr:uid="{46AE5D3E-85E2-4F1E-B2A3-AD4723C2F32E}"/>
    <cellStyle name="40% - Énfasis3 30 2 5" xfId="41102" xr:uid="{4E1FD4B6-B616-4C3C-A51F-718D93101FE8}"/>
    <cellStyle name="40% - Énfasis3 30 3" xfId="20702" xr:uid="{3EF6EFB4-8C16-491B-87E3-FF2E0AE30653}"/>
    <cellStyle name="40% - Énfasis3 30 4" xfId="26511" xr:uid="{F25B4051-C597-47F1-A2C9-2D95EE8FCA78}"/>
    <cellStyle name="40% - Énfasis3 30 5" xfId="32386" xr:uid="{E7BB5875-1525-4B07-A17B-3B0DCA6EE30B}"/>
    <cellStyle name="40% - Énfasis3 30 6" xfId="38251" xr:uid="{D3BB4D68-EBDE-41BC-8F53-D5AB902D1A5D}"/>
    <cellStyle name="40% - Énfasis3 31" xfId="6281" xr:uid="{78A7EC92-AD2C-4626-A882-B5033682CC63}"/>
    <cellStyle name="40% - Énfasis3 31 2" xfId="9150" xr:uid="{B365251F-0A5E-4B6F-B8D0-DBCB75757069}"/>
    <cellStyle name="40% - Énfasis3 31 2 2" xfId="23514" xr:uid="{E7768DBC-1634-43AD-AEB0-039330BBB650}"/>
    <cellStyle name="40% - Énfasis3 31 2 3" xfId="29381" xr:uid="{59B20751-CC4E-4FFD-8788-54CAC4CDD030}"/>
    <cellStyle name="40% - Énfasis3 31 2 4" xfId="35263" xr:uid="{C52B3FFF-660C-4C12-B62F-DF2F61DC59A8}"/>
    <cellStyle name="40% - Énfasis3 31 2 5" xfId="41122" xr:uid="{970AC4DC-52AC-4911-B4E5-6A5C659A09F3}"/>
    <cellStyle name="40% - Énfasis3 31 3" xfId="20722" xr:uid="{9CD04EB6-84F9-40E0-8CC6-58F5F4C0AF46}"/>
    <cellStyle name="40% - Énfasis3 31 4" xfId="26531" xr:uid="{B5B404B3-E91E-447C-B649-36280E8A4069}"/>
    <cellStyle name="40% - Énfasis3 31 5" xfId="32406" xr:uid="{2F332A8E-CE93-43BA-9723-8F5AB46C24FB}"/>
    <cellStyle name="40% - Énfasis3 31 6" xfId="38271" xr:uid="{72CEE941-4D74-444E-9A52-7EEB4AC2DD6C}"/>
    <cellStyle name="40% - Énfasis3 32" xfId="6305" xr:uid="{6633DE54-F1E5-4AD4-BFB2-C3952F633F03}"/>
    <cellStyle name="40% - Énfasis3 32 2" xfId="9173" xr:uid="{0F0D9272-5958-46D4-9BF2-D58A8B39D6FF}"/>
    <cellStyle name="40% - Énfasis3 32 2 2" xfId="23537" xr:uid="{0AFB0366-D476-401C-846B-1957B7B7DC17}"/>
    <cellStyle name="40% - Énfasis3 32 2 3" xfId="29404" xr:uid="{AFA22F9C-C6B9-4D24-8E0D-FBB899FD4A14}"/>
    <cellStyle name="40% - Énfasis3 32 2 4" xfId="35286" xr:uid="{A9FFB439-002C-491A-9776-9632D12F428E}"/>
    <cellStyle name="40% - Énfasis3 32 2 5" xfId="41145" xr:uid="{C3DDF9E4-2A31-4BF4-B674-B261C7F12269}"/>
    <cellStyle name="40% - Énfasis3 32 3" xfId="20746" xr:uid="{CB02AEDD-FC62-4946-A8D2-01D31AFFF317}"/>
    <cellStyle name="40% - Énfasis3 32 4" xfId="26555" xr:uid="{50ECF77C-7D27-4544-BA7D-5CD895411DFE}"/>
    <cellStyle name="40% - Énfasis3 32 5" xfId="32430" xr:uid="{797D2C3C-7BFA-4BFA-A66E-FA450AA02334}"/>
    <cellStyle name="40% - Énfasis3 32 6" xfId="38295" xr:uid="{6E430A28-53C5-423B-A6E7-E995A3B9970F}"/>
    <cellStyle name="40% - Énfasis3 33" xfId="6337" xr:uid="{D344ACB2-1EF7-4302-A002-3D3417139D6A}"/>
    <cellStyle name="40% - Énfasis3 33 2" xfId="9202" xr:uid="{0E980DAC-84A5-4281-AD9A-AEFB06029AAD}"/>
    <cellStyle name="40% - Énfasis3 33 2 2" xfId="23565" xr:uid="{A308F5A2-2936-4930-A689-DE4612C0E6A0}"/>
    <cellStyle name="40% - Énfasis3 33 2 3" xfId="29433" xr:uid="{8AFAF6CA-7D2E-428C-9E5C-01DF7CDDFE9F}"/>
    <cellStyle name="40% - Énfasis3 33 2 4" xfId="35315" xr:uid="{489AC07B-0846-479F-B38C-BCEADAFBF609}"/>
    <cellStyle name="40% - Énfasis3 33 2 5" xfId="41174" xr:uid="{988D26BC-22FB-4CB0-B94B-C0497E234F50}"/>
    <cellStyle name="40% - Énfasis3 33 3" xfId="20778" xr:uid="{46E4C253-6A50-467A-AE7B-ABB774784ED6}"/>
    <cellStyle name="40% - Énfasis3 33 4" xfId="26587" xr:uid="{27D7235B-8612-43B9-8B9E-8F84EAD0189B}"/>
    <cellStyle name="40% - Énfasis3 33 5" xfId="32462" xr:uid="{18E827AF-8C7E-439D-9655-8E3FAF47D6E5}"/>
    <cellStyle name="40% - Énfasis3 33 6" xfId="38326" xr:uid="{A3220A52-A9A6-46CE-A5CA-58541FF7944D}"/>
    <cellStyle name="40% - Énfasis3 34" xfId="6357" xr:uid="{DB92905B-0BDB-48A4-A055-46E2832AF6E0}"/>
    <cellStyle name="40% - Énfasis3 34 2" xfId="9222" xr:uid="{A51D1915-EA6B-4CEF-A849-55EA1202D1F8}"/>
    <cellStyle name="40% - Énfasis3 34 2 2" xfId="23585" xr:uid="{B1876539-FA83-4334-9DF4-6F041496AF11}"/>
    <cellStyle name="40% - Énfasis3 34 2 3" xfId="29453" xr:uid="{57C102CD-084D-45C0-84F1-DAC230EA2300}"/>
    <cellStyle name="40% - Énfasis3 34 2 4" xfId="35335" xr:uid="{8596FCE3-5D9E-44C9-BC94-AEA16C6A73A8}"/>
    <cellStyle name="40% - Énfasis3 34 2 5" xfId="41194" xr:uid="{EB9D89AE-25B6-460B-B11E-342DB19973EE}"/>
    <cellStyle name="40% - Énfasis3 34 3" xfId="20798" xr:uid="{EC2AC2A3-F318-44D7-851D-94980850C432}"/>
    <cellStyle name="40% - Énfasis3 34 4" xfId="26607" xr:uid="{F4623CC0-4F89-4503-B052-65AEF60435BE}"/>
    <cellStyle name="40% - Énfasis3 34 5" xfId="32482" xr:uid="{348488C3-EA57-4FF8-837D-F57AD4A50F29}"/>
    <cellStyle name="40% - Énfasis3 34 6" xfId="38346" xr:uid="{B41FAC15-887D-46F3-A9EA-D7A32B4037A7}"/>
    <cellStyle name="40% - Énfasis3 35" xfId="6377" xr:uid="{C07B297C-87B8-4847-B51E-1D3E31091E8E}"/>
    <cellStyle name="40% - Énfasis3 35 2" xfId="9242" xr:uid="{EB9859DA-DEDA-4680-95CD-32B3B8386FAD}"/>
    <cellStyle name="40% - Énfasis3 35 2 2" xfId="23605" xr:uid="{DA748C95-E620-44C0-BD0B-02E22EE4FDA5}"/>
    <cellStyle name="40% - Énfasis3 35 2 3" xfId="29473" xr:uid="{9A9CD300-B097-4DA2-BC9A-9B38E0E32A45}"/>
    <cellStyle name="40% - Énfasis3 35 2 4" xfId="35355" xr:uid="{A2A6AB97-61DB-4F31-A38E-97C4715D43E9}"/>
    <cellStyle name="40% - Énfasis3 35 2 5" xfId="41214" xr:uid="{511D9506-5E4C-4F2A-8C93-3D0EDB903AEA}"/>
    <cellStyle name="40% - Énfasis3 35 3" xfId="20818" xr:uid="{698E0922-5C54-41A2-ABF7-85174DD2BCCD}"/>
    <cellStyle name="40% - Énfasis3 35 4" xfId="26627" xr:uid="{B4828624-B7F2-4558-9660-60995D5155C9}"/>
    <cellStyle name="40% - Énfasis3 35 5" xfId="32502" xr:uid="{6B870D57-1E30-43B7-B4C6-C0924CC56C13}"/>
    <cellStyle name="40% - Énfasis3 35 6" xfId="38366" xr:uid="{C227AF37-A7F9-4209-8A13-5B02D43789B9}"/>
    <cellStyle name="40% - Énfasis3 36" xfId="6398" xr:uid="{AB1F3467-7466-4FA0-B55C-8A14BDC52A89}"/>
    <cellStyle name="40% - Énfasis3 36 2" xfId="9263" xr:uid="{12C2358D-04DE-4B75-AAA1-93AF59E99F10}"/>
    <cellStyle name="40% - Énfasis3 36 2 2" xfId="23626" xr:uid="{F212B285-89B2-4821-9173-7933A7A9FE4B}"/>
    <cellStyle name="40% - Énfasis3 36 2 3" xfId="29494" xr:uid="{D80B4BA2-AE42-401C-BA36-820E0781BFA1}"/>
    <cellStyle name="40% - Énfasis3 36 2 4" xfId="35376" xr:uid="{0A07145A-9BC3-4EC8-9311-45795475272B}"/>
    <cellStyle name="40% - Énfasis3 36 2 5" xfId="41235" xr:uid="{77B41E75-EECC-48DE-B06A-A271666CE4BB}"/>
    <cellStyle name="40% - Énfasis3 36 3" xfId="20839" xr:uid="{8BAEF772-09D8-4F4D-8F86-2869C9C28950}"/>
    <cellStyle name="40% - Énfasis3 36 4" xfId="26648" xr:uid="{D803CB1E-5A0E-4341-913E-B0B78FED326C}"/>
    <cellStyle name="40% - Énfasis3 36 5" xfId="32523" xr:uid="{7C633E33-D5AA-4DAB-9A48-9E6BA985A96E}"/>
    <cellStyle name="40% - Énfasis3 36 6" xfId="38387" xr:uid="{3E05157A-EE62-49E5-9FAE-CE125D32ECD9}"/>
    <cellStyle name="40% - Énfasis3 37" xfId="6427" xr:uid="{94FEAE47-E26E-4691-BBC6-5BE866562584}"/>
    <cellStyle name="40% - Énfasis3 37 2" xfId="9289" xr:uid="{AA94950F-F60C-437B-970B-B25BDF1A039E}"/>
    <cellStyle name="40% - Énfasis3 37 2 2" xfId="23652" xr:uid="{72C33D50-B284-440D-B7AC-8E18FA3B4BA4}"/>
    <cellStyle name="40% - Énfasis3 37 2 3" xfId="29520" xr:uid="{C8BEC626-D221-4095-9BFB-26BB37EE947F}"/>
    <cellStyle name="40% - Énfasis3 37 2 4" xfId="35402" xr:uid="{A52E64F7-CFBC-47AB-819B-71F1AC8266A9}"/>
    <cellStyle name="40% - Énfasis3 37 2 5" xfId="41261" xr:uid="{8EF19FBA-2851-45FA-A428-C11984B51D99}"/>
    <cellStyle name="40% - Énfasis3 37 3" xfId="20868" xr:uid="{40A556FE-D2E0-4B25-A27D-BD1BE46DBFAB}"/>
    <cellStyle name="40% - Énfasis3 37 4" xfId="26677" xr:uid="{DAA4FEB6-34DB-4C3C-95C2-B304B598A10B}"/>
    <cellStyle name="40% - Énfasis3 37 5" xfId="32552" xr:uid="{57E2B570-43E4-44DC-8A6D-C297F93E2E26}"/>
    <cellStyle name="40% - Énfasis3 37 6" xfId="38416" xr:uid="{FE7FE383-198A-4724-B1B9-9A344F59D143}"/>
    <cellStyle name="40% - Énfasis3 38" xfId="6461" xr:uid="{6056B870-2069-46B2-B2F0-70B979BDFEF2}"/>
    <cellStyle name="40% - Énfasis3 38 2" xfId="9321" xr:uid="{BDA1E981-4F6A-40E3-9395-417E281A1C8F}"/>
    <cellStyle name="40% - Énfasis3 38 2 2" xfId="23684" xr:uid="{BF6AF502-4D28-42F1-92F3-AD6DC0980DCB}"/>
    <cellStyle name="40% - Énfasis3 38 2 3" xfId="29552" xr:uid="{3BF6A587-2AC4-4C9E-992E-11B3E66DE069}"/>
    <cellStyle name="40% - Énfasis3 38 2 4" xfId="35434" xr:uid="{C0E7E221-6F01-41F7-8A42-C3E812DE39FB}"/>
    <cellStyle name="40% - Énfasis3 38 2 5" xfId="41293" xr:uid="{2D0B96B4-C6FF-4616-9E0F-AACD7293E155}"/>
    <cellStyle name="40% - Énfasis3 38 3" xfId="20899" xr:uid="{023158E6-9ACF-4522-9618-8C38F5E07AB7}"/>
    <cellStyle name="40% - Énfasis3 38 4" xfId="26710" xr:uid="{3CFE65FA-CA46-41A0-9357-4378F1D3B9D9}"/>
    <cellStyle name="40% - Énfasis3 38 5" xfId="32585" xr:uid="{A33E5C8C-4EE4-45F8-B259-CDB9CEB43270}"/>
    <cellStyle name="40% - Énfasis3 38 6" xfId="38449" xr:uid="{F331E2FF-A05F-4C7C-BC2A-08EFAC458EE1}"/>
    <cellStyle name="40% - Énfasis3 39" xfId="6481" xr:uid="{436A0AE6-B8FC-44D5-9F2C-43E5A77C6E25}"/>
    <cellStyle name="40% - Énfasis3 39 2" xfId="9341" xr:uid="{E232C9A9-0000-491E-AA9A-0DE037383B73}"/>
    <cellStyle name="40% - Énfasis3 39 2 2" xfId="23704" xr:uid="{D0BA0D07-2BF6-4864-8589-A5A7B0BB77DF}"/>
    <cellStyle name="40% - Énfasis3 39 2 3" xfId="29572" xr:uid="{798E5EDE-8185-43FD-86B6-BC9F525866F6}"/>
    <cellStyle name="40% - Énfasis3 39 2 4" xfId="35454" xr:uid="{D269F1CA-517F-4CC0-809F-9BCC2483E5F6}"/>
    <cellStyle name="40% - Énfasis3 39 2 5" xfId="41313" xr:uid="{169DE65F-C600-4E0B-8AC2-DE2DFD9289CA}"/>
    <cellStyle name="40% - Énfasis3 39 3" xfId="20919" xr:uid="{C17E9227-2168-40EF-B1EA-960DF32103F9}"/>
    <cellStyle name="40% - Énfasis3 39 4" xfId="26730" xr:uid="{03594736-E232-4F64-AEF1-E67ABA23AFEC}"/>
    <cellStyle name="40% - Énfasis3 39 5" xfId="32605" xr:uid="{234E56A3-EBE8-4BA8-B061-7FB823AC45A7}"/>
    <cellStyle name="40% - Énfasis3 39 6" xfId="38469" xr:uid="{271E3106-C38C-42CF-87F4-A3176F3405F2}"/>
    <cellStyle name="40% - Énfasis3 4" xfId="3891" xr:uid="{64EC102C-BCDA-484B-AC30-64AC8E0BBAB8}"/>
    <cellStyle name="40% - Énfasis3 4 10" xfId="35883" xr:uid="{098A596B-4E5E-4D87-B3FB-955D2A19CD6D}"/>
    <cellStyle name="40% - Énfasis3 4 2" xfId="4088" xr:uid="{0D06A470-68E3-44AE-8AD9-D32903872E4F}"/>
    <cellStyle name="40% - Énfasis3 4 2 2" xfId="4566" xr:uid="{0EDA1A37-1D5C-4B38-8E54-08A7F067F409}"/>
    <cellStyle name="40% - Énfasis3 4 2 2 2" xfId="5534" xr:uid="{3B38808B-6C6D-4488-9B86-DADCD35D399D}"/>
    <cellStyle name="40% - Énfasis3 4 2 2 2 2" xfId="8401" xr:uid="{9D2FFE24-639B-4FD7-B8DE-1C9C84DBBBF7}"/>
    <cellStyle name="40% - Énfasis3 4 2 2 2 2 2" xfId="22776" xr:uid="{6E68C6D3-DE99-4CE1-85FB-AB12253C3847}"/>
    <cellStyle name="40% - Énfasis3 4 2 2 2 2 3" xfId="28634" xr:uid="{C20964DD-DCF1-4DC3-B931-9F43EE88B9A6}"/>
    <cellStyle name="40% - Énfasis3 4 2 2 2 2 4" xfId="34516" xr:uid="{17E40F7D-FC17-4F95-A077-DA3D169FE695}"/>
    <cellStyle name="40% - Énfasis3 4 2 2 2 2 5" xfId="40380" xr:uid="{539385DC-A59D-4704-9456-8D3A99500DBA}"/>
    <cellStyle name="40% - Énfasis3 4 2 2 2 3" xfId="19994" xr:uid="{BFFDC46D-3113-4214-91B8-143502F98016}"/>
    <cellStyle name="40% - Énfasis3 4 2 2 2 4" xfId="25785" xr:uid="{60C4D743-854E-4C8D-B17D-C9F245AABE03}"/>
    <cellStyle name="40% - Énfasis3 4 2 2 2 5" xfId="31659" xr:uid="{616D400A-1A96-4955-8844-0D30696A002E}"/>
    <cellStyle name="40% - Énfasis3 4 2 2 2 6" xfId="37529" xr:uid="{97588D5F-932D-4324-A10C-D99026600FE2}"/>
    <cellStyle name="40% - Énfasis3 4 2 2 3" xfId="7429" xr:uid="{86FA0021-DA41-46AC-8561-3BA6F1932A71}"/>
    <cellStyle name="40% - Énfasis3 4 2 2 3 2" xfId="21831" xr:uid="{05E91BA6-175C-4150-98F4-0E9A09E3763C}"/>
    <cellStyle name="40% - Énfasis3 4 2 2 3 3" xfId="27663" xr:uid="{2B5925DB-52B8-48EA-825F-3DE86A16A5CE}"/>
    <cellStyle name="40% - Énfasis3 4 2 2 3 4" xfId="33545" xr:uid="{F7C78709-7041-4536-B87F-7E71470CDFDD}"/>
    <cellStyle name="40% - Énfasis3 4 2 2 3 5" xfId="39409" xr:uid="{B97A8D2E-18D4-4EE7-8A8C-A20149C1D027}"/>
    <cellStyle name="40% - Énfasis3 4 2 2 4" xfId="19062" xr:uid="{C27766A2-38B0-4672-8856-B6F021B7068D}"/>
    <cellStyle name="40% - Énfasis3 4 2 2 5" xfId="24814" xr:uid="{B78ED8CA-11DD-4290-99BB-6CF5589408E9}"/>
    <cellStyle name="40% - Énfasis3 4 2 2 6" xfId="30691" xr:uid="{DB46E61C-B4DF-4E93-B242-61FA6D330DEE}"/>
    <cellStyle name="40% - Énfasis3 4 2 2 7" xfId="36572" xr:uid="{A386002F-A37F-4132-AD35-7E1E7147800C}"/>
    <cellStyle name="40% - Énfasis3 4 2 3" xfId="5049" xr:uid="{859100C9-7054-4543-9A0C-1D5DE85CC150}"/>
    <cellStyle name="40% - Énfasis3 4 2 3 2" xfId="7916" xr:uid="{90DEAB6B-D26D-4E17-B792-79E359CBD0A6}"/>
    <cellStyle name="40% - Énfasis3 4 2 3 2 2" xfId="22301" xr:uid="{D8DFA0F4-3DB8-433B-9A29-1CCD2F94B2EB}"/>
    <cellStyle name="40% - Énfasis3 4 2 3 2 3" xfId="28149" xr:uid="{13210B13-7DA7-4FDB-92D6-2B9DEAA9F38A}"/>
    <cellStyle name="40% - Énfasis3 4 2 3 2 4" xfId="34031" xr:uid="{A9417DB1-2042-4277-9B67-E1DDD7096469}"/>
    <cellStyle name="40% - Énfasis3 4 2 3 2 5" xfId="39895" xr:uid="{3599E2FC-8807-4353-B08A-3D635BD80523}"/>
    <cellStyle name="40% - Énfasis3 4 2 3 3" xfId="19526" xr:uid="{A7E66068-28B5-411D-8C60-7629F16825B5}"/>
    <cellStyle name="40% - Énfasis3 4 2 3 4" xfId="25300" xr:uid="{B300BE49-C1E5-49AE-A63D-95269B7ED240}"/>
    <cellStyle name="40% - Énfasis3 4 2 3 5" xfId="31174" xr:uid="{54B63F00-5A75-458B-A789-ABA240357D6A}"/>
    <cellStyle name="40% - Énfasis3 4 2 3 6" xfId="37052" xr:uid="{808AA9CB-75F2-4236-9992-B331EBC57769}"/>
    <cellStyle name="40% - Énfasis3 4 2 4" xfId="6944" xr:uid="{35760F38-BB39-47F8-B59A-1A723DE93793}"/>
    <cellStyle name="40% - Énfasis3 4 2 4 2" xfId="21364" xr:uid="{A8828D72-4818-43BD-BF83-50BAA4214F76}"/>
    <cellStyle name="40% - Énfasis3 4 2 4 3" xfId="27182" xr:uid="{4DD793FF-FF7F-4E0F-BFCB-ED604ADCAB8B}"/>
    <cellStyle name="40% - Énfasis3 4 2 4 4" xfId="33060" xr:uid="{8E337AF7-6B8D-4A84-B3BF-2086DCFB9823}"/>
    <cellStyle name="40% - Énfasis3 4 2 4 5" xfId="38924" xr:uid="{D302E3B6-764D-491F-8384-BC42E9FEFE57}"/>
    <cellStyle name="40% - Énfasis3 4 2 5" xfId="18618" xr:uid="{629F3C8A-576F-4043-A81B-732CB26F8AF8}"/>
    <cellStyle name="40% - Énfasis3 4 2 6" xfId="24331" xr:uid="{32B86C9D-18A3-4B7B-967E-4E3DCE96A628}"/>
    <cellStyle name="40% - Énfasis3 4 2 7" xfId="30209" xr:uid="{3BCA29C5-35A6-48B3-B587-3D32029AF45A}"/>
    <cellStyle name="40% - Énfasis3 4 2 8" xfId="36088" xr:uid="{12500900-8F84-4E21-814F-FC9401B889A6}"/>
    <cellStyle name="40% - Énfasis3 4 3" xfId="4372" xr:uid="{F677F698-B50B-42B6-A55F-1FB68B0942F4}"/>
    <cellStyle name="40% - Énfasis3 4 3 2" xfId="5338" xr:uid="{854E1A67-F49C-4B6F-BE74-C617E846C3E8}"/>
    <cellStyle name="40% - Énfasis3 4 3 2 2" xfId="8205" xr:uid="{8256189B-625B-4EC2-88AB-778DC13F164C}"/>
    <cellStyle name="40% - Énfasis3 4 3 2 2 2" xfId="22581" xr:uid="{67EF0192-7EDE-43E2-A405-00F61DB441A2}"/>
    <cellStyle name="40% - Énfasis3 4 3 2 2 3" xfId="28438" xr:uid="{AD4228B6-E0A0-416B-A0BE-4E25092F2155}"/>
    <cellStyle name="40% - Énfasis3 4 3 2 2 4" xfId="34320" xr:uid="{3B173A11-84A8-492E-9FBC-CB4D452A2E62}"/>
    <cellStyle name="40% - Énfasis3 4 3 2 2 5" xfId="40184" xr:uid="{A8EFEA74-E828-451C-8D11-0A0712D52372}"/>
    <cellStyle name="40% - Énfasis3 4 3 2 3" xfId="19805" xr:uid="{552E18AA-0526-4C84-BE5D-CC33A6F3B3C3}"/>
    <cellStyle name="40% - Énfasis3 4 3 2 4" xfId="25589" xr:uid="{E47B1B18-64BA-484A-BF3D-A67BC08D5EFD}"/>
    <cellStyle name="40% - Énfasis3 4 3 2 5" xfId="31463" xr:uid="{1D0A474C-37B8-47DB-819F-7D298AFDFA2F}"/>
    <cellStyle name="40% - Énfasis3 4 3 2 6" xfId="37334" xr:uid="{DC3F024A-9054-4255-A497-06A7B7E203DC}"/>
    <cellStyle name="40% - Énfasis3 4 3 3" xfId="7233" xr:uid="{A859412E-38A4-4824-89D4-96C375C42E98}"/>
    <cellStyle name="40% - Énfasis3 4 3 3 2" xfId="21640" xr:uid="{BAA1FB81-891D-4DA5-A667-5FEDEFB4D9DE}"/>
    <cellStyle name="40% - Énfasis3 4 3 3 3" xfId="27467" xr:uid="{EE6F1B40-CD8E-4B90-B4E0-FAEC1B2DB116}"/>
    <cellStyle name="40% - Énfasis3 4 3 3 4" xfId="33349" xr:uid="{3310A18D-A053-4596-A808-E9844BCF9C89}"/>
    <cellStyle name="40% - Énfasis3 4 3 3 5" xfId="39213" xr:uid="{8837D8F2-3AF9-4BDF-9FFA-5E423ECE70FE}"/>
    <cellStyle name="40% - Énfasis3 4 3 4" xfId="18875" xr:uid="{BBF246DA-9EBC-40AD-A47C-3ACDAFCF5892}"/>
    <cellStyle name="40% - Énfasis3 4 3 5" xfId="24618" xr:uid="{3151FE68-2317-4C7B-A9CB-46286EFCBD37}"/>
    <cellStyle name="40% - Énfasis3 4 3 6" xfId="30497" xr:uid="{CB8BF675-0559-48C9-82F2-55E220FA4107}"/>
    <cellStyle name="40% - Énfasis3 4 3 7" xfId="36377" xr:uid="{B52BB839-AE0A-4026-AFF2-D553773870CA}"/>
    <cellStyle name="40% - Énfasis3 4 4" xfId="4854" xr:uid="{95DBDBD4-B460-44D6-951D-997B59E89A86}"/>
    <cellStyle name="40% - Énfasis3 4 4 2" xfId="7720" xr:uid="{69DE29C2-3856-4B0D-B9D7-AB59F585C7A8}"/>
    <cellStyle name="40% - Énfasis3 4 4 2 2" xfId="22110" xr:uid="{CEDC35CA-1620-4EE9-85D4-741E4AD189AF}"/>
    <cellStyle name="40% - Énfasis3 4 4 2 3" xfId="27953" xr:uid="{839F3C86-8167-4542-8008-504382FC40DB}"/>
    <cellStyle name="40% - Énfasis3 4 4 2 4" xfId="33835" xr:uid="{828FEF70-D6E2-4398-A0D7-E0F10E7ACC1E}"/>
    <cellStyle name="40% - Énfasis3 4 4 2 5" xfId="39699" xr:uid="{B3A94499-D32D-4CBB-9064-3D6FAFF60168}"/>
    <cellStyle name="40% - Énfasis3 4 4 3" xfId="19336" xr:uid="{1DE76571-D255-40E5-84FD-71A6E21BA02A}"/>
    <cellStyle name="40% - Énfasis3 4 4 4" xfId="25104" xr:uid="{287488DE-24BB-4D5E-9521-5F2D7961A9FE}"/>
    <cellStyle name="40% - Énfasis3 4 4 5" xfId="30978" xr:uid="{BC4E8595-23A1-484B-A9E2-5D9ED23179DB}"/>
    <cellStyle name="40% - Énfasis3 4 4 6" xfId="36857" xr:uid="{533107E7-FE64-4D28-906E-EAFE06DF6861}"/>
    <cellStyle name="40% - Énfasis3 4 5" xfId="5863" xr:uid="{E0820733-3C69-46E6-BC7F-94C6E241C400}"/>
    <cellStyle name="40% - Énfasis3 4 5 2" xfId="8732" xr:uid="{3A0F7B0C-E991-4139-A77E-468FC0A2338B}"/>
    <cellStyle name="40% - Énfasis3 4 5 2 2" xfId="23100" xr:uid="{9B4F9A80-7153-47CF-A52F-83A45FB57516}"/>
    <cellStyle name="40% - Énfasis3 4 5 2 3" xfId="28964" xr:uid="{74FBC7CD-3C11-475F-962B-783F6AF4ACAA}"/>
    <cellStyle name="40% - Énfasis3 4 5 2 4" xfId="34846" xr:uid="{173EEAAE-06B5-4863-8EAA-C0742680B654}"/>
    <cellStyle name="40% - Énfasis3 4 5 2 5" xfId="40710" xr:uid="{58ED59A9-91F2-499B-ABA6-30506716DC7D}"/>
    <cellStyle name="40% - Énfasis3 4 5 3" xfId="20315" xr:uid="{F8742360-FBF6-481D-8B33-FD612BDDCBFD}"/>
    <cellStyle name="40% - Énfasis3 4 5 4" xfId="26114" xr:uid="{512A5F33-3B3A-4C7F-8448-B910CA7409C7}"/>
    <cellStyle name="40% - Énfasis3 4 5 5" xfId="31989" xr:uid="{F16288D8-5120-44F1-B10A-731BE8DA04E3}"/>
    <cellStyle name="40% - Énfasis3 4 5 6" xfId="37855" xr:uid="{8EB0673C-A06C-4029-B804-7DE0BE88E000}"/>
    <cellStyle name="40% - Énfasis3 4 6" xfId="6749" xr:uid="{A876AC9D-3E51-42D2-9217-B18FED5251D3}"/>
    <cellStyle name="40% - Énfasis3 4 6 2" xfId="21173" xr:uid="{919BD97C-4C7C-4DC6-8EDB-776283CF1971}"/>
    <cellStyle name="40% - Énfasis3 4 6 3" xfId="26988" xr:uid="{D2BD5A75-6F4C-46E3-93C9-A60774BEECBF}"/>
    <cellStyle name="40% - Énfasis3 4 6 4" xfId="32864" xr:uid="{7C450F56-E3C5-4CD6-BB9B-9BA9F0CAE9AA}"/>
    <cellStyle name="40% - Énfasis3 4 6 5" xfId="38728" xr:uid="{D3551085-9578-4F3A-9A04-C851ADE698C5}"/>
    <cellStyle name="40% - Énfasis3 4 7" xfId="18415" xr:uid="{7D92DAB1-B08F-40EF-876D-D4DFC173FE84}"/>
    <cellStyle name="40% - Énfasis3 4 8" xfId="24124" xr:uid="{9492FF7F-8A8B-44F7-B8B3-FA23EB5293BE}"/>
    <cellStyle name="40% - Énfasis3 4 9" xfId="30002" xr:uid="{B3681235-5BE8-4926-B543-0E6EA489BB09}"/>
    <cellStyle name="40% - Énfasis3 40" xfId="6501" xr:uid="{C9D37CB1-C4CD-4642-B3CF-986E0CE56BAC}"/>
    <cellStyle name="40% - Énfasis3 40 2" xfId="9361" xr:uid="{AA5A53BF-25FE-4E57-8721-578029C20E36}"/>
    <cellStyle name="40% - Énfasis3 40 2 2" xfId="23724" xr:uid="{0D226766-4495-4B11-99BE-536F58C460A4}"/>
    <cellStyle name="40% - Énfasis3 40 2 3" xfId="29592" xr:uid="{BA596E71-8358-4FC7-A1B7-E4122F6C3385}"/>
    <cellStyle name="40% - Énfasis3 40 2 4" xfId="35474" xr:uid="{C3342C6D-58AD-431A-9124-F7A8D74E2FC0}"/>
    <cellStyle name="40% - Énfasis3 40 2 5" xfId="41333" xr:uid="{4F7A6A0F-EDC9-4681-9C26-4FB259CFBA5B}"/>
    <cellStyle name="40% - Énfasis3 40 3" xfId="20939" xr:uid="{46112A81-1005-4B8C-B9E8-526255F5A68D}"/>
    <cellStyle name="40% - Énfasis3 40 4" xfId="26750" xr:uid="{0ED52F14-CBB3-48BB-AF6D-9A9B68B5C45B}"/>
    <cellStyle name="40% - Énfasis3 40 5" xfId="32625" xr:uid="{8F35BC68-DB27-4428-96E4-9203B8AD9272}"/>
    <cellStyle name="40% - Énfasis3 40 6" xfId="38489" xr:uid="{63517DC3-7ACA-476C-9321-458C4CE6011D}"/>
    <cellStyle name="40% - Énfasis3 41" xfId="6521" xr:uid="{6F0413CB-6B9A-44A6-9F30-E553E6511F20}"/>
    <cellStyle name="40% - Énfasis3 41 2" xfId="9381" xr:uid="{2683D042-7A00-4AB2-B7D8-A9AD28CF1BF0}"/>
    <cellStyle name="40% - Énfasis3 41 2 2" xfId="23744" xr:uid="{3165E73C-9B88-4B31-851B-BBB185970E87}"/>
    <cellStyle name="40% - Énfasis3 41 2 3" xfId="29612" xr:uid="{336939D7-457F-48D3-A5C6-56851494ED29}"/>
    <cellStyle name="40% - Énfasis3 41 2 4" xfId="35494" xr:uid="{657F344E-563C-497E-ADEA-0D8434665EA1}"/>
    <cellStyle name="40% - Énfasis3 41 2 5" xfId="41353" xr:uid="{821D87BF-584D-4AB4-A1C3-E657A2E42857}"/>
    <cellStyle name="40% - Énfasis3 41 3" xfId="20959" xr:uid="{02352455-FF04-4DA4-B494-56967F211908}"/>
    <cellStyle name="40% - Énfasis3 41 4" xfId="26770" xr:uid="{B2CAF055-978A-4B53-9BAC-BCF28AF38E7A}"/>
    <cellStyle name="40% - Énfasis3 41 5" xfId="32645" xr:uid="{84A0EA96-7ADE-48D1-BAB3-1C8931242620}"/>
    <cellStyle name="40% - Énfasis3 41 6" xfId="38509" xr:uid="{68CF7EBD-01A1-4884-BD1E-E18DF5C74088}"/>
    <cellStyle name="40% - Énfasis3 42" xfId="6541" xr:uid="{51155490-7C97-4F95-8D2A-9ED7F470CEB3}"/>
    <cellStyle name="40% - Énfasis3 42 2" xfId="9401" xr:uid="{73CA81E8-C7C6-4ACF-B4D0-86BEFD01351A}"/>
    <cellStyle name="40% - Énfasis3 42 2 2" xfId="23764" xr:uid="{9CB5C34B-7EDE-4483-89C1-7928C4472082}"/>
    <cellStyle name="40% - Énfasis3 42 2 3" xfId="29632" xr:uid="{A1F15171-EB3E-4DEF-BE04-4BCFE62C65F9}"/>
    <cellStyle name="40% - Énfasis3 42 2 4" xfId="35514" xr:uid="{489D4C6F-398F-4A79-829B-F636D31B3F48}"/>
    <cellStyle name="40% - Énfasis3 42 2 5" xfId="41373" xr:uid="{1A377E86-F487-4827-A871-86AD8B9187A5}"/>
    <cellStyle name="40% - Énfasis3 42 3" xfId="20979" xr:uid="{A26F6C75-9D23-4F64-8B5C-87786161FCCB}"/>
    <cellStyle name="40% - Énfasis3 42 4" xfId="26790" xr:uid="{1CCEF359-34A3-4291-B15B-4F46696EDA96}"/>
    <cellStyle name="40% - Énfasis3 42 5" xfId="32665" xr:uid="{EFADACDB-1237-4027-A41E-1B4BC1C7635F}"/>
    <cellStyle name="40% - Énfasis3 42 6" xfId="38529" xr:uid="{FFB36F1F-F2B3-4FAD-8171-F8AD6435ADAC}"/>
    <cellStyle name="40% - Énfasis3 43" xfId="6562" xr:uid="{A73F4EF4-2101-48DD-827E-DDFD4EFFD2F1}"/>
    <cellStyle name="40% - Énfasis3 43 2" xfId="9423" xr:uid="{D97161A8-CB3D-4279-A075-89EF8C41D940}"/>
    <cellStyle name="40% - Énfasis3 43 2 2" xfId="23786" xr:uid="{7220B387-2DB8-477E-95B8-28F8DD28245D}"/>
    <cellStyle name="40% - Énfasis3 43 2 3" xfId="29654" xr:uid="{BC816887-B959-4019-ACFD-0CC0490439F9}"/>
    <cellStyle name="40% - Énfasis3 43 2 4" xfId="35536" xr:uid="{E860A9AC-5805-4F52-B9AD-968BCDDA0E89}"/>
    <cellStyle name="40% - Énfasis3 43 2 5" xfId="41395" xr:uid="{35A7DD34-9777-46F8-954F-81AF1911DA19}"/>
    <cellStyle name="40% - Énfasis3 43 3" xfId="21001" xr:uid="{E763BDCC-66BB-43C1-97A4-022A774E4F88}"/>
    <cellStyle name="40% - Énfasis3 43 4" xfId="26812" xr:uid="{99D95C46-F6C8-44F0-A524-0DB62697264B}"/>
    <cellStyle name="40% - Énfasis3 43 5" xfId="32687" xr:uid="{446DEC8F-170A-4272-ACAC-FAABD364CA12}"/>
    <cellStyle name="40% - Énfasis3 43 6" xfId="38551" xr:uid="{91E363EB-854E-4AAC-8C4B-23B289D4FA61}"/>
    <cellStyle name="40% - Énfasis3 44" xfId="6592" xr:uid="{716C749E-A4B2-4E12-9F6F-EEB306DF9865}"/>
    <cellStyle name="40% - Énfasis3 44 2" xfId="9452" xr:uid="{07940CD0-72BA-4C0A-9DF5-A355E2D8DD9B}"/>
    <cellStyle name="40% - Énfasis3 44 2 2" xfId="23814" xr:uid="{DEECF3BF-5B64-4B7F-9F66-FD4BE6299BC1}"/>
    <cellStyle name="40% - Énfasis3 44 2 3" xfId="29683" xr:uid="{C393DF0C-47B2-4545-AA7F-7E8C3F17DC05}"/>
    <cellStyle name="40% - Énfasis3 44 2 4" xfId="35565" xr:uid="{37FF652A-E7EB-42FF-9AA3-BB46690D6B4C}"/>
    <cellStyle name="40% - Énfasis3 44 2 5" xfId="41424" xr:uid="{9F081F37-A79A-48E5-BB0D-D08CD3A5C5FA}"/>
    <cellStyle name="40% - Énfasis3 44 3" xfId="21030" xr:uid="{D2068CCC-36F5-45FE-9C0A-2F018E08444D}"/>
    <cellStyle name="40% - Énfasis3 44 4" xfId="26841" xr:uid="{47A7FB36-F28C-4DF3-8C4D-5FFE64F1E321}"/>
    <cellStyle name="40% - Énfasis3 44 5" xfId="32716" xr:uid="{57693296-1AC2-4F13-BF9E-EEC1E89D6D24}"/>
    <cellStyle name="40% - Énfasis3 44 6" xfId="38580" xr:uid="{80607CE1-A5AA-4489-A8A4-EDD68076E547}"/>
    <cellStyle name="40% - Énfasis3 45" xfId="6617" xr:uid="{A8BF1FD1-833B-46AB-BF04-7D05386CF574}"/>
    <cellStyle name="40% - Énfasis3 45 2" xfId="9477" xr:uid="{74DBCF2E-BD50-4F9E-B630-894D72E04B48}"/>
    <cellStyle name="40% - Énfasis3 45 2 2" xfId="23839" xr:uid="{E5B20AF8-7746-4AF2-835F-61804C7CDA0C}"/>
    <cellStyle name="40% - Énfasis3 45 2 3" xfId="29708" xr:uid="{2723A809-45FB-40B9-BAD5-FE3C443B0AB9}"/>
    <cellStyle name="40% - Énfasis3 45 2 4" xfId="35590" xr:uid="{3AA97C39-BADB-4D93-B248-8CFBA7B3D1C5}"/>
    <cellStyle name="40% - Énfasis3 45 2 5" xfId="41449" xr:uid="{992E101A-14F6-4054-A227-452FE3DFF2F8}"/>
    <cellStyle name="40% - Énfasis3 45 3" xfId="21054" xr:uid="{3B464328-E775-4E0F-8381-DD95B125766B}"/>
    <cellStyle name="40% - Énfasis3 45 4" xfId="26866" xr:uid="{42D5E441-0DA6-42AC-943B-2DD02C0F70B1}"/>
    <cellStyle name="40% - Énfasis3 45 5" xfId="32741" xr:uid="{31D4AEAD-04C8-4C60-9517-5DC12B9F779B}"/>
    <cellStyle name="40% - Énfasis3 45 6" xfId="38605" xr:uid="{7D103B90-2C12-4FF0-AC2E-863EA187054F}"/>
    <cellStyle name="40% - Énfasis3 46" xfId="6639" xr:uid="{410B03C0-5842-40FF-81A8-F0181FF9DFA3}"/>
    <cellStyle name="40% - Énfasis3 46 2" xfId="21076" xr:uid="{930EEFF8-40C2-47D8-9468-CDEAA79AB2F7}"/>
    <cellStyle name="40% - Énfasis3 46 3" xfId="26888" xr:uid="{00CEDBF4-39C7-4E7C-93D0-807BD22CCB5A}"/>
    <cellStyle name="40% - Énfasis3 46 4" xfId="32763" xr:uid="{31F44D9E-3D2B-4035-A1A7-71CCBB7513F3}"/>
    <cellStyle name="40% - Énfasis3 46 5" xfId="38627" xr:uid="{311E5857-0418-4B47-A6A0-1B0BEB2E6E86}"/>
    <cellStyle name="40% - Énfasis3 47" xfId="6669" xr:uid="{1B84A937-61CB-427D-82B1-F6DB0FFEF60D}"/>
    <cellStyle name="40% - Énfasis3 47 2" xfId="21098" xr:uid="{B851372E-11B8-4E40-8C92-562E1CBC8861}"/>
    <cellStyle name="40% - Énfasis3 47 3" xfId="26910" xr:uid="{CE8E8FE5-F05F-40A4-826A-7FD5D95402A0}"/>
    <cellStyle name="40% - Énfasis3 47 4" xfId="32785" xr:uid="{FE9C509A-A3F6-408E-AD1E-AE68FEAD3574}"/>
    <cellStyle name="40% - Énfasis3 47 5" xfId="38649" xr:uid="{E7C1EE31-20F7-4BE0-84E6-E925B347FF53}"/>
    <cellStyle name="40% - Énfasis3 48" xfId="9496" xr:uid="{AED6EF34-DC10-4489-A634-01A7117EC395}"/>
    <cellStyle name="40% - Énfasis3 48 2" xfId="23858" xr:uid="{6487A1AD-D01E-43A8-8727-FD10D4147838}"/>
    <cellStyle name="40% - Énfasis3 48 3" xfId="29727" xr:uid="{E6CDBFE3-63A5-4EF8-B8C9-343A605D52DD}"/>
    <cellStyle name="40% - Énfasis3 48 4" xfId="35609" xr:uid="{D50F3F99-D59D-490A-AD08-CDEF6651E57F}"/>
    <cellStyle name="40% - Énfasis3 48 5" xfId="41468" xr:uid="{843BC523-C3B9-4191-8DDD-758471C192FF}"/>
    <cellStyle name="40% - Énfasis3 49" xfId="9518" xr:uid="{68DA084A-00B9-401F-8BFE-B65927A1F233}"/>
    <cellStyle name="40% - Énfasis3 49 2" xfId="23879" xr:uid="{35F3BFD0-1E1C-4C0B-B75D-78F0A61D1A4D}"/>
    <cellStyle name="40% - Énfasis3 49 3" xfId="29749" xr:uid="{7414AB88-B555-4898-A462-0240F06B155F}"/>
    <cellStyle name="40% - Énfasis3 49 4" xfId="35631" xr:uid="{7EFA2185-BD2A-4C0B-A8E6-733ED4FACF82}"/>
    <cellStyle name="40% - Énfasis3 49 5" xfId="41490" xr:uid="{8C54743E-15F6-49E9-A823-78741B65924E}"/>
    <cellStyle name="40% - Énfasis3 5" xfId="3917" xr:uid="{23D2F228-EFF8-443D-A619-570DAF48881E}"/>
    <cellStyle name="40% - Énfasis3 5 10" xfId="35909" xr:uid="{4908E8C2-A49A-4AF0-91B3-F32B839DEF01}"/>
    <cellStyle name="40% - Énfasis3 5 2" xfId="4111" xr:uid="{CE6CC994-0B41-4A6D-8C52-648265BBB0DB}"/>
    <cellStyle name="40% - Énfasis3 5 2 2" xfId="4589" xr:uid="{C31D9F86-CD81-43D7-96C8-5BAD996A405C}"/>
    <cellStyle name="40% - Énfasis3 5 2 2 2" xfId="5557" xr:uid="{FBBCFA4F-2814-4205-B070-37D34BA8F634}"/>
    <cellStyle name="40% - Énfasis3 5 2 2 2 2" xfId="8424" xr:uid="{53B372B8-AEF9-4FB4-9CC5-A9E44898F16B}"/>
    <cellStyle name="40% - Énfasis3 5 2 2 2 2 2" xfId="22799" xr:uid="{DABAF31D-D56B-4557-93C8-8749D5940B4A}"/>
    <cellStyle name="40% - Énfasis3 5 2 2 2 2 3" xfId="28657" xr:uid="{7C006B27-9BE1-431B-A49B-83E33AE3D4B0}"/>
    <cellStyle name="40% - Énfasis3 5 2 2 2 2 4" xfId="34539" xr:uid="{7D6E4B3F-C1DD-44AF-90DB-92B42E7B3B3F}"/>
    <cellStyle name="40% - Énfasis3 5 2 2 2 2 5" xfId="40403" xr:uid="{C7A77723-625F-49F0-99FE-196DBB261D99}"/>
    <cellStyle name="40% - Énfasis3 5 2 2 2 3" xfId="20017" xr:uid="{43FD994C-AC06-4899-8AAD-68161E8A31EA}"/>
    <cellStyle name="40% - Énfasis3 5 2 2 2 4" xfId="25808" xr:uid="{05427D7A-29EC-4A61-8E6A-BC53125D7A90}"/>
    <cellStyle name="40% - Énfasis3 5 2 2 2 5" xfId="31682" xr:uid="{689B37D6-7B7F-495F-BE7F-D175A03274CC}"/>
    <cellStyle name="40% - Énfasis3 5 2 2 2 6" xfId="37552" xr:uid="{20550788-293E-46B9-A03A-9672FB0F79F5}"/>
    <cellStyle name="40% - Énfasis3 5 2 2 3" xfId="7452" xr:uid="{868DA512-815F-4624-A275-E13CCC96E753}"/>
    <cellStyle name="40% - Énfasis3 5 2 2 3 2" xfId="21854" xr:uid="{7389056C-56EA-4592-B5C8-446F3A234524}"/>
    <cellStyle name="40% - Énfasis3 5 2 2 3 3" xfId="27686" xr:uid="{A7CE0C89-2AA6-4816-A709-84C82AF8EF40}"/>
    <cellStyle name="40% - Énfasis3 5 2 2 3 4" xfId="33568" xr:uid="{33E4456B-C564-46C1-BECA-3E057798D97E}"/>
    <cellStyle name="40% - Énfasis3 5 2 2 3 5" xfId="39432" xr:uid="{CF04D52C-A13D-4E28-8CAB-3CE7FE70C7B7}"/>
    <cellStyle name="40% - Énfasis3 5 2 2 4" xfId="19084" xr:uid="{DB029990-EF9C-4BF3-8B48-CC1B72C1DD17}"/>
    <cellStyle name="40% - Énfasis3 5 2 2 5" xfId="24837" xr:uid="{46C4047C-8FBB-43E9-8B12-8B443911B80D}"/>
    <cellStyle name="40% - Énfasis3 5 2 2 6" xfId="30714" xr:uid="{BE76DC90-7EA9-417A-83A9-C331A439F73B}"/>
    <cellStyle name="40% - Énfasis3 5 2 2 7" xfId="36595" xr:uid="{DC128FB0-1650-4802-8817-9B8EAECE535A}"/>
    <cellStyle name="40% - Énfasis3 5 2 3" xfId="5072" xr:uid="{E792DE0E-4985-42CE-A60A-91A536992257}"/>
    <cellStyle name="40% - Énfasis3 5 2 3 2" xfId="7939" xr:uid="{8E735A8C-45CA-46BC-9BE2-01364459C966}"/>
    <cellStyle name="40% - Énfasis3 5 2 3 2 2" xfId="22324" xr:uid="{7C6D80C5-A560-4B54-9D2C-DD214DD2F9C4}"/>
    <cellStyle name="40% - Énfasis3 5 2 3 2 3" xfId="28172" xr:uid="{087EEA6A-35D8-47B3-A67C-33F10DF5A47E}"/>
    <cellStyle name="40% - Énfasis3 5 2 3 2 4" xfId="34054" xr:uid="{5DFDA31B-5F77-4846-82C6-D0E85ABBD24D}"/>
    <cellStyle name="40% - Énfasis3 5 2 3 2 5" xfId="39918" xr:uid="{580F19CB-D709-47E9-8A43-D34D1B1056E5}"/>
    <cellStyle name="40% - Énfasis3 5 2 3 3" xfId="19549" xr:uid="{FCF9AA10-777B-4CC3-A70C-E8C59A0287F5}"/>
    <cellStyle name="40% - Énfasis3 5 2 3 4" xfId="25323" xr:uid="{E2821ADB-2BE8-44BE-9CF6-5D12B4CBA39B}"/>
    <cellStyle name="40% - Énfasis3 5 2 3 5" xfId="31197" xr:uid="{E64CCB05-9FC6-42FB-883D-8BCEC0B913ED}"/>
    <cellStyle name="40% - Énfasis3 5 2 3 6" xfId="37075" xr:uid="{D2B7E8F9-A57E-4518-9B3F-3D5268DC8BDE}"/>
    <cellStyle name="40% - Énfasis3 5 2 4" xfId="6967" xr:uid="{C5CF3144-9D18-4CA4-8BDD-00437A26E698}"/>
    <cellStyle name="40% - Énfasis3 5 2 4 2" xfId="21386" xr:uid="{6589FE3E-391B-4ED1-ACF7-EAAA19433893}"/>
    <cellStyle name="40% - Énfasis3 5 2 4 3" xfId="27205" xr:uid="{AABC235F-9137-44AF-A3A0-E1CE0E70920C}"/>
    <cellStyle name="40% - Énfasis3 5 2 4 4" xfId="33083" xr:uid="{BC50D32B-7481-4AD5-B4DD-2EF05936BB43}"/>
    <cellStyle name="40% - Énfasis3 5 2 4 5" xfId="38947" xr:uid="{DBC81B27-52F6-4DB4-9BE0-68E4BF801A92}"/>
    <cellStyle name="40% - Énfasis3 5 2 5" xfId="18640" xr:uid="{CC34D7A3-5625-4A45-9268-61A17C6FE037}"/>
    <cellStyle name="40% - Énfasis3 5 2 6" xfId="24354" xr:uid="{6D2D6F9F-035E-47BA-8218-1F20F34CDC8C}"/>
    <cellStyle name="40% - Énfasis3 5 2 7" xfId="30232" xr:uid="{8C01D421-F671-4E0C-91F8-FF2D01BE50C7}"/>
    <cellStyle name="40% - Énfasis3 5 2 8" xfId="36111" xr:uid="{8C9A9F00-F6B6-4AA1-B374-D46C2C10598A}"/>
    <cellStyle name="40% - Énfasis3 5 3" xfId="4395" xr:uid="{D71BF435-6EFD-450B-BF63-0230ED88DCC4}"/>
    <cellStyle name="40% - Énfasis3 5 3 2" xfId="5361" xr:uid="{E7A0120B-EB79-4916-8305-B41BF90D8192}"/>
    <cellStyle name="40% - Énfasis3 5 3 2 2" xfId="8228" xr:uid="{6AABDAF4-029A-4829-9C4E-35AD4C9381B5}"/>
    <cellStyle name="40% - Énfasis3 5 3 2 2 2" xfId="22604" xr:uid="{2D7B3103-2607-489B-B33A-E1EC9F392909}"/>
    <cellStyle name="40% - Énfasis3 5 3 2 2 3" xfId="28461" xr:uid="{E2FED0B8-407B-4396-B938-A8D10EABA4C6}"/>
    <cellStyle name="40% - Énfasis3 5 3 2 2 4" xfId="34343" xr:uid="{41E987A3-F0C0-4711-A714-4F202F24FB93}"/>
    <cellStyle name="40% - Énfasis3 5 3 2 2 5" xfId="40207" xr:uid="{62DB6D17-9084-4000-BED0-5EE7B365E6E1}"/>
    <cellStyle name="40% - Énfasis3 5 3 2 3" xfId="19828" xr:uid="{99B22414-D27E-4E3C-BAB4-7C163D9FB506}"/>
    <cellStyle name="40% - Énfasis3 5 3 2 4" xfId="25612" xr:uid="{D6FAA835-4E01-45B1-B07E-2AE94CF452F8}"/>
    <cellStyle name="40% - Énfasis3 5 3 2 5" xfId="31486" xr:uid="{3DC837C5-F9D0-43DC-95D7-96B32FFE745E}"/>
    <cellStyle name="40% - Énfasis3 5 3 2 6" xfId="37357" xr:uid="{BE2CEE09-3E19-4921-8A41-4393D83F8920}"/>
    <cellStyle name="40% - Énfasis3 5 3 3" xfId="7256" xr:uid="{91DD8916-283D-49ED-9EBF-5F55EFE968BD}"/>
    <cellStyle name="40% - Énfasis3 5 3 3 2" xfId="21663" xr:uid="{E000BE2A-DAC6-41D1-9A5A-EEFBADA7B914}"/>
    <cellStyle name="40% - Énfasis3 5 3 3 3" xfId="27490" xr:uid="{E6FBA3BC-8B98-4B02-A70E-179E4125DC30}"/>
    <cellStyle name="40% - Énfasis3 5 3 3 4" xfId="33372" xr:uid="{3F6972B1-7142-45DB-830E-61E0CE57687E}"/>
    <cellStyle name="40% - Énfasis3 5 3 3 5" xfId="39236" xr:uid="{75DA0892-8F7F-4418-A5E0-3EADCC5DFF66}"/>
    <cellStyle name="40% - Énfasis3 5 3 4" xfId="18897" xr:uid="{01E5F880-0BE4-424E-8152-FE72F7E780FE}"/>
    <cellStyle name="40% - Énfasis3 5 3 5" xfId="24641" xr:uid="{CFD19C09-2366-4FF2-A43F-A01AA65173DF}"/>
    <cellStyle name="40% - Énfasis3 5 3 6" xfId="30520" xr:uid="{00579A87-1EF1-4E8C-9663-70186C75B186}"/>
    <cellStyle name="40% - Énfasis3 5 3 7" xfId="36400" xr:uid="{5F9F3EBD-33C0-4603-9DE4-209B09BF6BA5}"/>
    <cellStyle name="40% - Énfasis3 5 4" xfId="4876" xr:uid="{2882A29E-53E1-4908-B49E-AA2CC4247FB4}"/>
    <cellStyle name="40% - Énfasis3 5 4 2" xfId="7743" xr:uid="{BA4413FC-A8DE-4193-8A7E-774090ADC478}"/>
    <cellStyle name="40% - Énfasis3 5 4 2 2" xfId="22133" xr:uid="{7C79BDBE-4EEE-462C-BE0E-77E4A01A9350}"/>
    <cellStyle name="40% - Énfasis3 5 4 2 3" xfId="27976" xr:uid="{DC066EEF-2F9B-488D-9C4B-0C8AF33EA86A}"/>
    <cellStyle name="40% - Énfasis3 5 4 2 4" xfId="33858" xr:uid="{B0914690-67D2-4F2F-8670-B1503F8F5A0B}"/>
    <cellStyle name="40% - Énfasis3 5 4 2 5" xfId="39722" xr:uid="{822A3921-D877-483D-828A-712990DE821E}"/>
    <cellStyle name="40% - Énfasis3 5 4 3" xfId="19359" xr:uid="{7FC65F4C-556E-4822-A075-AA99A2768531}"/>
    <cellStyle name="40% - Énfasis3 5 4 4" xfId="25127" xr:uid="{E560E9C5-D054-440C-8BC5-FC1D35CA7998}"/>
    <cellStyle name="40% - Énfasis3 5 4 5" xfId="31001" xr:uid="{84F775A1-10B3-4856-872F-B5A762BAC284}"/>
    <cellStyle name="40% - Énfasis3 5 4 6" xfId="36880" xr:uid="{2DBB02C4-4CDC-47FE-B1E9-0ABB79E608F6}"/>
    <cellStyle name="40% - Énfasis3 5 5" xfId="5886" xr:uid="{E7311569-F933-40A8-9DA8-C07DCAFE1E1B}"/>
    <cellStyle name="40% - Énfasis3 5 5 2" xfId="8755" xr:uid="{505B6425-380A-4FD0-A66F-0FD63E9741B3}"/>
    <cellStyle name="40% - Énfasis3 5 5 2 2" xfId="23123" xr:uid="{C8856294-9699-4816-AA8A-3B6D7C59E062}"/>
    <cellStyle name="40% - Énfasis3 5 5 2 3" xfId="28987" xr:uid="{EAFB8016-D2D4-41A8-A2AE-0D9B6161E3D6}"/>
    <cellStyle name="40% - Énfasis3 5 5 2 4" xfId="34869" xr:uid="{76D3FA7A-9774-433D-9EB2-B802F35F58A8}"/>
    <cellStyle name="40% - Énfasis3 5 5 2 5" xfId="40733" xr:uid="{5287DEA2-B468-4559-9497-F600BBFC625D}"/>
    <cellStyle name="40% - Énfasis3 5 5 3" xfId="20337" xr:uid="{4F3F0CB3-6D18-49DF-92FA-DCC37BB822C1}"/>
    <cellStyle name="40% - Énfasis3 5 5 4" xfId="26137" xr:uid="{43B526E5-AE53-429D-8B12-1DDDCAAEC547}"/>
    <cellStyle name="40% - Énfasis3 5 5 5" xfId="32012" xr:uid="{84229780-185D-48F3-90C6-64B662312E8C}"/>
    <cellStyle name="40% - Énfasis3 5 5 6" xfId="37878" xr:uid="{C6BCFCFD-7770-45A2-A8FD-6406645ACFE3}"/>
    <cellStyle name="40% - Énfasis3 5 6" xfId="6772" xr:uid="{D501A434-B05C-40D4-9870-0F6B93FEBDAF}"/>
    <cellStyle name="40% - Énfasis3 5 6 2" xfId="21196" xr:uid="{01F6ED30-D264-4F84-958E-6113775B8BFB}"/>
    <cellStyle name="40% - Énfasis3 5 6 3" xfId="27011" xr:uid="{D1455A2B-D78B-4D5A-AC57-6579665FF0D8}"/>
    <cellStyle name="40% - Énfasis3 5 6 4" xfId="32887" xr:uid="{2DAB72F2-41AF-4348-8207-349D491AC6B5}"/>
    <cellStyle name="40% - Énfasis3 5 6 5" xfId="38751" xr:uid="{15428196-658E-428B-8ADE-8D1A6E5DA364}"/>
    <cellStyle name="40% - Énfasis3 5 7" xfId="18442" xr:uid="{D6479C28-A519-422D-8181-2541194F57D3}"/>
    <cellStyle name="40% - Énfasis3 5 8" xfId="24150" xr:uid="{9E100792-FF1B-4056-A686-F269490C14A4}"/>
    <cellStyle name="40% - Énfasis3 5 9" xfId="30028" xr:uid="{B1D8B4FC-6B37-456B-9D5F-9ED15E3999AF}"/>
    <cellStyle name="40% - Énfasis3 50" xfId="9537" xr:uid="{CD6D0977-AF36-43C5-B28E-C7AF350A97C9}"/>
    <cellStyle name="40% - Énfasis3 50 2" xfId="23899" xr:uid="{7D53916F-31E5-45BA-9F91-82630199340F}"/>
    <cellStyle name="40% - Énfasis3 50 3" xfId="29769" xr:uid="{C13988E2-2D82-4C89-BA8A-4E1F379EF48A}"/>
    <cellStyle name="40% - Énfasis3 50 4" xfId="35651" xr:uid="{0D80CACD-C5F8-4BFA-9DDE-EFAE8EE089AC}"/>
    <cellStyle name="40% - Énfasis3 50 5" xfId="41510" xr:uid="{CB5706D5-62D1-4867-A8D7-7B78A397975A}"/>
    <cellStyle name="40% - Énfasis3 51" xfId="9563" xr:uid="{9BACB3F2-E3CC-4F12-9F4A-7EE6F9B35BCD}"/>
    <cellStyle name="40% - Énfasis3 51 2" xfId="23925" xr:uid="{A4579A73-0A7E-4ABE-BB46-3A9DC122B7F1}"/>
    <cellStyle name="40% - Énfasis3 51 3" xfId="29795" xr:uid="{8AFB226F-C7D8-4C91-B571-65995F9F65EC}"/>
    <cellStyle name="40% - Énfasis3 51 4" xfId="35677" xr:uid="{2E59C2CF-2C1C-4296-977A-4CCB258BF194}"/>
    <cellStyle name="40% - Énfasis3 51 5" xfId="41536" xr:uid="{0D2A2BF6-A6CE-4F15-9073-6F0D6BCD16F6}"/>
    <cellStyle name="40% - Énfasis3 52" xfId="15765" xr:uid="{1235C542-1295-4907-B044-BE26479D2311}"/>
    <cellStyle name="40% - Énfasis3 52 2" xfId="23985" xr:uid="{17967618-882B-4840-91B6-4838ADCCCF6D}"/>
    <cellStyle name="40% - Énfasis3 52 3" xfId="29857" xr:uid="{DBDC6209-12BF-495D-8386-B1455D5FA8DD}"/>
    <cellStyle name="40% - Énfasis3 52 4" xfId="35739" xr:uid="{5F0AE73A-2B05-4510-AA57-0EA0482AEA8A}"/>
    <cellStyle name="40% - Énfasis3 52 5" xfId="41598" xr:uid="{E47AF8BE-EA0C-4ECE-9BB4-E6EE22152B31}"/>
    <cellStyle name="40% - Énfasis3 53" xfId="15789" xr:uid="{7C301D84-FC8D-4C84-BB45-E9561FCB7D23}"/>
    <cellStyle name="40% - Énfasis3 53 2" xfId="24006" xr:uid="{481CAC4A-00F4-41F9-9DB2-2C8207FC5B0D}"/>
    <cellStyle name="40% - Énfasis3 53 3" xfId="29881" xr:uid="{D6519288-4247-49C3-9250-665AC0C0FDBA}"/>
    <cellStyle name="40% - Énfasis3 53 4" xfId="35763" xr:uid="{A56916B6-27A7-4DC8-A12B-FAC408177E13}"/>
    <cellStyle name="40% - Énfasis3 53 5" xfId="41622" xr:uid="{D84F3F40-E097-40BA-860B-14CFD7F5CF88}"/>
    <cellStyle name="40% - Énfasis3 54" xfId="15824" xr:uid="{ED162708-A5CE-4F3A-98C8-C6381F62F00D}"/>
    <cellStyle name="40% - Énfasis3 55" xfId="18299" xr:uid="{4D9B4B49-3B2F-4800-8197-D4B392082041}"/>
    <cellStyle name="40% - Énfasis3 56" xfId="18322" xr:uid="{4DC793DB-DEFE-4B4F-833D-2068B48F89B7}"/>
    <cellStyle name="40% - Énfasis3 57" xfId="24034" xr:uid="{54F110D0-A144-4041-9A1D-B61C5537BF5D}"/>
    <cellStyle name="40% - Énfasis3 58" xfId="29912" xr:uid="{30999666-8A09-44D1-B85D-C7C05FDB760C}"/>
    <cellStyle name="40% - Énfasis3 59" xfId="35793" xr:uid="{6872A048-1916-442F-A84D-6B53E96CAC76}"/>
    <cellStyle name="40% - Énfasis3 6" xfId="3941" xr:uid="{145BB196-60D1-4057-B459-804183E36151}"/>
    <cellStyle name="40% - Énfasis3 6 10" xfId="35932" xr:uid="{4A39011B-9699-4821-86BB-734A06F518CF}"/>
    <cellStyle name="40% - Énfasis3 6 2" xfId="4133" xr:uid="{E7905E1A-E2C8-4E50-85DC-099D19EFF81F}"/>
    <cellStyle name="40% - Énfasis3 6 2 2" xfId="4611" xr:uid="{D5BA93EC-A582-4C4E-BF8E-D9BFD9F9BC44}"/>
    <cellStyle name="40% - Énfasis3 6 2 2 2" xfId="5579" xr:uid="{37D97AD1-C607-46AA-ADB2-203ED70B447D}"/>
    <cellStyle name="40% - Énfasis3 6 2 2 2 2" xfId="8446" xr:uid="{F633E4D4-0AF8-419F-945D-8C37D25676F2}"/>
    <cellStyle name="40% - Énfasis3 6 2 2 2 2 2" xfId="22821" xr:uid="{76A58EAF-13B0-4EF0-A58F-F29D0D427E4A}"/>
    <cellStyle name="40% - Énfasis3 6 2 2 2 2 3" xfId="28679" xr:uid="{4CAF51E1-C424-484B-9632-2330F16B51BB}"/>
    <cellStyle name="40% - Énfasis3 6 2 2 2 2 4" xfId="34561" xr:uid="{C9E93B57-D0B6-42D6-AA0A-E4180983D024}"/>
    <cellStyle name="40% - Énfasis3 6 2 2 2 2 5" xfId="40425" xr:uid="{5FF4F074-7AD1-407D-97DD-294DB84814E2}"/>
    <cellStyle name="40% - Énfasis3 6 2 2 2 3" xfId="20039" xr:uid="{67DAEEFA-40D3-4928-8DC7-59D182E0B997}"/>
    <cellStyle name="40% - Énfasis3 6 2 2 2 4" xfId="25830" xr:uid="{15A251B9-DE4A-4EA5-9AA5-3FDA6C62333D}"/>
    <cellStyle name="40% - Énfasis3 6 2 2 2 5" xfId="31704" xr:uid="{FD89BE2D-7B7C-436B-B006-C604356AD28B}"/>
    <cellStyle name="40% - Énfasis3 6 2 2 2 6" xfId="37574" xr:uid="{ECC40E29-00BB-4C1D-941F-37F72A8B3390}"/>
    <cellStyle name="40% - Énfasis3 6 2 2 3" xfId="7474" xr:uid="{CFCA3397-DC7B-40B7-9E2C-700DC0ED1908}"/>
    <cellStyle name="40% - Énfasis3 6 2 2 3 2" xfId="21876" xr:uid="{21C2F3EE-DFDB-4854-B8A5-95DDD461CCB3}"/>
    <cellStyle name="40% - Énfasis3 6 2 2 3 3" xfId="27708" xr:uid="{D8DEFC87-B3EC-4836-BE8A-89D7309F8FFA}"/>
    <cellStyle name="40% - Énfasis3 6 2 2 3 4" xfId="33590" xr:uid="{687A8561-B05E-4475-934F-630C439EC8FF}"/>
    <cellStyle name="40% - Énfasis3 6 2 2 3 5" xfId="39454" xr:uid="{905D7F80-DC81-47EE-8F08-8D0A6D06C0A0}"/>
    <cellStyle name="40% - Énfasis3 6 2 2 4" xfId="19106" xr:uid="{9AC2A15E-0D65-491E-A26F-B0CC16DB24B5}"/>
    <cellStyle name="40% - Énfasis3 6 2 2 5" xfId="24859" xr:uid="{80D590A4-CBF7-4B81-B1A8-1CCF1BB575B6}"/>
    <cellStyle name="40% - Énfasis3 6 2 2 6" xfId="30736" xr:uid="{1B518A92-F103-4509-93C0-B880422EF45E}"/>
    <cellStyle name="40% - Énfasis3 6 2 2 7" xfId="36617" xr:uid="{7727CF35-446B-46BD-A1AC-7465DD4B1494}"/>
    <cellStyle name="40% - Énfasis3 6 2 3" xfId="5094" xr:uid="{3F9F6E58-8FA8-4FAC-B97E-205E82F1A04C}"/>
    <cellStyle name="40% - Énfasis3 6 2 3 2" xfId="7961" xr:uid="{0A2C9BD6-46D9-4FA0-B1D6-8C85C366A4FD}"/>
    <cellStyle name="40% - Énfasis3 6 2 3 2 2" xfId="22346" xr:uid="{ED0A8C2B-D010-425D-A99A-F251754D1975}"/>
    <cellStyle name="40% - Énfasis3 6 2 3 2 3" xfId="28194" xr:uid="{6D59D43A-B281-4B17-9915-CABD448BB522}"/>
    <cellStyle name="40% - Énfasis3 6 2 3 2 4" xfId="34076" xr:uid="{57A4B69B-20D7-4FAB-B0EF-0C1D09987981}"/>
    <cellStyle name="40% - Énfasis3 6 2 3 2 5" xfId="39940" xr:uid="{302DA13A-E088-46F1-A0DD-3FB17C908970}"/>
    <cellStyle name="40% - Énfasis3 6 2 3 3" xfId="19571" xr:uid="{5F6E195F-2979-4457-9B48-D3272CD53E1E}"/>
    <cellStyle name="40% - Énfasis3 6 2 3 4" xfId="25345" xr:uid="{F3E65481-1DF1-4943-B2CF-1D4829C633B4}"/>
    <cellStyle name="40% - Énfasis3 6 2 3 5" xfId="31219" xr:uid="{A89D2F45-A2C4-4F83-9774-F252C1FEBF4F}"/>
    <cellStyle name="40% - Énfasis3 6 2 3 6" xfId="37097" xr:uid="{4D0DFC02-8A72-4C92-B724-FC5A9CDE8860}"/>
    <cellStyle name="40% - Énfasis3 6 2 4" xfId="6989" xr:uid="{C02959F0-F3BA-44A2-BC05-B221342F40CC}"/>
    <cellStyle name="40% - Énfasis3 6 2 4 2" xfId="21408" xr:uid="{68163E22-C4FC-49F4-B15F-CAAF96B1F376}"/>
    <cellStyle name="40% - Énfasis3 6 2 4 3" xfId="27227" xr:uid="{8658E62C-947E-4916-8124-070303F4A286}"/>
    <cellStyle name="40% - Énfasis3 6 2 4 4" xfId="33105" xr:uid="{ED6CDB9D-4B55-4108-A802-7D409B8B7294}"/>
    <cellStyle name="40% - Énfasis3 6 2 4 5" xfId="38969" xr:uid="{693BC930-3323-40CE-8D14-08A5D66E877B}"/>
    <cellStyle name="40% - Énfasis3 6 2 5" xfId="18662" xr:uid="{D423CDE8-F40C-4C7D-A602-C8261CD7C79C}"/>
    <cellStyle name="40% - Énfasis3 6 2 6" xfId="24376" xr:uid="{034CEBBC-22DB-4B59-B3B4-F786AAAB5ED4}"/>
    <cellStyle name="40% - Énfasis3 6 2 7" xfId="30254" xr:uid="{7462D6E7-EE2C-4CD3-AC3C-9272B2B77CCB}"/>
    <cellStyle name="40% - Énfasis3 6 2 8" xfId="36133" xr:uid="{0A5939CC-3E86-440A-9827-8F5A9077CB86}"/>
    <cellStyle name="40% - Énfasis3 6 3" xfId="4417" xr:uid="{5024DDDA-EB10-4610-A969-A9FEB17F1F79}"/>
    <cellStyle name="40% - Énfasis3 6 3 2" xfId="5383" xr:uid="{B49ED01E-A6C0-492D-989A-288B0A895488}"/>
    <cellStyle name="40% - Énfasis3 6 3 2 2" xfId="8250" xr:uid="{8D1DD3B7-D632-46DF-A179-CB778E6CD572}"/>
    <cellStyle name="40% - Énfasis3 6 3 2 2 2" xfId="22626" xr:uid="{AC395DC5-8459-4120-9F36-C3A99BB216DF}"/>
    <cellStyle name="40% - Énfasis3 6 3 2 2 3" xfId="28483" xr:uid="{34F1BC76-88C0-47C5-80E8-67A90B1A7949}"/>
    <cellStyle name="40% - Énfasis3 6 3 2 2 4" xfId="34365" xr:uid="{B4E87B7C-6BB8-4ED6-921D-C7B3FF042170}"/>
    <cellStyle name="40% - Énfasis3 6 3 2 2 5" xfId="40229" xr:uid="{84D18575-B06A-41D2-8C80-B42151A1644B}"/>
    <cellStyle name="40% - Énfasis3 6 3 2 3" xfId="19850" xr:uid="{08A613BD-CE96-407A-880C-1DC6A5269C9D}"/>
    <cellStyle name="40% - Énfasis3 6 3 2 4" xfId="25634" xr:uid="{3363C1BE-ABDB-40EA-BDEF-8C75A117031D}"/>
    <cellStyle name="40% - Énfasis3 6 3 2 5" xfId="31508" xr:uid="{490C7493-F493-449E-A6BC-402DF4D0FC31}"/>
    <cellStyle name="40% - Énfasis3 6 3 2 6" xfId="37379" xr:uid="{02F1F1BC-2C96-44C7-8DAC-4E1DCA4ADEC1}"/>
    <cellStyle name="40% - Énfasis3 6 3 3" xfId="7278" xr:uid="{13D8AEA7-2AB8-42DB-99C5-202E76D64D30}"/>
    <cellStyle name="40% - Énfasis3 6 3 3 2" xfId="21685" xr:uid="{8D0B92E7-77EC-43E9-ACF8-AB89AB3DC5F5}"/>
    <cellStyle name="40% - Énfasis3 6 3 3 3" xfId="27512" xr:uid="{0F1C0893-E07F-460D-B1AD-E83A2F5C0596}"/>
    <cellStyle name="40% - Énfasis3 6 3 3 4" xfId="33394" xr:uid="{838E20BF-DA0E-497B-825B-AFB3FDDDCB5C}"/>
    <cellStyle name="40% - Énfasis3 6 3 3 5" xfId="39258" xr:uid="{1AB79C24-EDD7-4899-A334-B77A0CC90C2C}"/>
    <cellStyle name="40% - Énfasis3 6 3 4" xfId="18919" xr:uid="{F40889DA-9442-49C1-8647-27315724E0BF}"/>
    <cellStyle name="40% - Énfasis3 6 3 5" xfId="24663" xr:uid="{CD9B942D-1B67-40B0-9329-1F007E76AC71}"/>
    <cellStyle name="40% - Énfasis3 6 3 6" xfId="30542" xr:uid="{C054A71B-77C6-454A-B6CE-1DE83EBA17A1}"/>
    <cellStyle name="40% - Énfasis3 6 3 7" xfId="36422" xr:uid="{6E40F40E-07BC-471F-8306-3136EB4225EA}"/>
    <cellStyle name="40% - Énfasis3 6 4" xfId="4898" xr:uid="{8C86D6FC-DAB8-488F-B367-1A55E42F6509}"/>
    <cellStyle name="40% - Énfasis3 6 4 2" xfId="7765" xr:uid="{FEC11C6D-512A-44DE-BD24-6CFAF78B217E}"/>
    <cellStyle name="40% - Énfasis3 6 4 2 2" xfId="22155" xr:uid="{66671B0D-88E2-414F-BFF8-7F38167750BB}"/>
    <cellStyle name="40% - Énfasis3 6 4 2 3" xfId="27998" xr:uid="{FABDCA6F-4676-4FD1-8D21-6F2D23C39D85}"/>
    <cellStyle name="40% - Énfasis3 6 4 2 4" xfId="33880" xr:uid="{25CACD27-CC45-4F96-86C0-D8EBAFC973FF}"/>
    <cellStyle name="40% - Énfasis3 6 4 2 5" xfId="39744" xr:uid="{6071C6ED-1C41-4958-BAB4-1EDF930F3A59}"/>
    <cellStyle name="40% - Énfasis3 6 4 3" xfId="19381" xr:uid="{D9FA759B-0ABE-4BC6-AA3F-A73C7EEA88E7}"/>
    <cellStyle name="40% - Énfasis3 6 4 4" xfId="25149" xr:uid="{CDBA97ED-BF83-4942-A3FA-18FF3B8AE264}"/>
    <cellStyle name="40% - Énfasis3 6 4 5" xfId="31023" xr:uid="{E445E0BD-87FF-416C-9A89-F3BF0D5B1DE9}"/>
    <cellStyle name="40% - Énfasis3 6 4 6" xfId="36902" xr:uid="{4F261F7E-9789-4105-8A30-9A63A1922F39}"/>
    <cellStyle name="40% - Énfasis3 6 5" xfId="5908" xr:uid="{B7DEC8CD-4354-486F-85D0-592CAA5E7721}"/>
    <cellStyle name="40% - Énfasis3 6 5 2" xfId="8777" xr:uid="{5C514B71-168B-4F48-877A-1F360DD39D12}"/>
    <cellStyle name="40% - Énfasis3 6 5 2 2" xfId="23145" xr:uid="{3E3CE89F-AB17-4D9C-8CCB-07F3305D4F14}"/>
    <cellStyle name="40% - Énfasis3 6 5 2 3" xfId="29009" xr:uid="{C1165576-76E3-4E75-A451-316DBFFC35FE}"/>
    <cellStyle name="40% - Énfasis3 6 5 2 4" xfId="34891" xr:uid="{1A15F55F-2F7C-4D4B-824A-E063C84FFC5A}"/>
    <cellStyle name="40% - Énfasis3 6 5 2 5" xfId="40755" xr:uid="{27EB134F-AB9B-4159-AA28-526EB03DB5A9}"/>
    <cellStyle name="40% - Énfasis3 6 5 3" xfId="20359" xr:uid="{3F2D5ECE-A8E4-400D-BEBA-F4B9ADA83657}"/>
    <cellStyle name="40% - Énfasis3 6 5 4" xfId="26159" xr:uid="{75C442B6-3B27-4294-A1E8-76EBA97B44BD}"/>
    <cellStyle name="40% - Énfasis3 6 5 5" xfId="32034" xr:uid="{DAAA76CA-4BBF-446A-8395-CFEF58E7D546}"/>
    <cellStyle name="40% - Énfasis3 6 5 6" xfId="37900" xr:uid="{29ED13DE-DEC1-468F-A532-5781FA1CAE3D}"/>
    <cellStyle name="40% - Énfasis3 6 6" xfId="6794" xr:uid="{0962290F-C0DC-4605-9DB3-F1B1CF9437A3}"/>
    <cellStyle name="40% - Énfasis3 6 6 2" xfId="21218" xr:uid="{450F9261-5B22-4199-8D74-61AE8F920428}"/>
    <cellStyle name="40% - Énfasis3 6 6 3" xfId="27033" xr:uid="{BBF6BEE8-E44B-422C-A600-EAAFF4AB0A3B}"/>
    <cellStyle name="40% - Énfasis3 6 6 4" xfId="32909" xr:uid="{A9C35216-DAB4-4985-9CB4-88D45B9BDE73}"/>
    <cellStyle name="40% - Énfasis3 6 6 5" xfId="38773" xr:uid="{2D27B0EB-01B5-4209-A39F-248C635C475A}"/>
    <cellStyle name="40% - Énfasis3 6 7" xfId="18465" xr:uid="{7B30DE9A-675F-4FCC-A6F1-B3E78F639585}"/>
    <cellStyle name="40% - Énfasis3 6 8" xfId="24173" xr:uid="{9EC36B7C-4064-44EC-BD99-5F818A878FA3}"/>
    <cellStyle name="40% - Énfasis3 6 9" xfId="30051" xr:uid="{5B036114-21B6-4556-A7A8-4720D8302533}"/>
    <cellStyle name="40% - Énfasis3 7" xfId="3965" xr:uid="{C222B20A-1D6C-4AF4-B575-4B625D7D6803}"/>
    <cellStyle name="40% - Énfasis3 7 10" xfId="35957" xr:uid="{4AC67C7D-8BAA-4EDD-962D-564F360ECF4D}"/>
    <cellStyle name="40% - Énfasis3 7 2" xfId="4157" xr:uid="{490DCD36-7C23-45D4-A0F9-DDE84014EC79}"/>
    <cellStyle name="40% - Énfasis3 7 2 2" xfId="4635" xr:uid="{23F7589B-B03F-48D6-B796-4CCE467791DA}"/>
    <cellStyle name="40% - Énfasis3 7 2 2 2" xfId="5603" xr:uid="{47D650DD-DC0D-4434-8D06-83D828E6E6C4}"/>
    <cellStyle name="40% - Énfasis3 7 2 2 2 2" xfId="8470" xr:uid="{FB521B7A-BB87-41CD-96B8-471E8E092F21}"/>
    <cellStyle name="40% - Énfasis3 7 2 2 2 2 2" xfId="22845" xr:uid="{23E972A2-0E85-4C99-B0CE-B8D48FD55DEA}"/>
    <cellStyle name="40% - Énfasis3 7 2 2 2 2 3" xfId="28703" xr:uid="{84A10F6D-3B35-4299-94D8-ABAC09FD68C1}"/>
    <cellStyle name="40% - Énfasis3 7 2 2 2 2 4" xfId="34585" xr:uid="{405D2D8B-981A-4061-9C2D-144D19AC0E9F}"/>
    <cellStyle name="40% - Énfasis3 7 2 2 2 2 5" xfId="40449" xr:uid="{187D1176-219E-4D51-A125-080217DDD2B3}"/>
    <cellStyle name="40% - Énfasis3 7 2 2 2 3" xfId="20062" xr:uid="{147DE066-1B2A-4690-B02C-2E90E108BF5B}"/>
    <cellStyle name="40% - Énfasis3 7 2 2 2 4" xfId="25854" xr:uid="{E25B9ADE-E49F-4CD2-92CA-A049E4E1B2D3}"/>
    <cellStyle name="40% - Énfasis3 7 2 2 2 5" xfId="31728" xr:uid="{9A5683EF-4378-4374-9CF1-E93EC5013BEF}"/>
    <cellStyle name="40% - Énfasis3 7 2 2 2 6" xfId="37598" xr:uid="{C4565CFE-2CFA-4453-B15F-8ECC6D926A73}"/>
    <cellStyle name="40% - Énfasis3 7 2 2 3" xfId="7498" xr:uid="{557D41DD-7AC2-4A49-9F5B-2017CA58DC35}"/>
    <cellStyle name="40% - Énfasis3 7 2 2 3 2" xfId="21899" xr:uid="{C0AB0696-FD56-437C-ABE6-F77EB303442B}"/>
    <cellStyle name="40% - Énfasis3 7 2 2 3 3" xfId="27732" xr:uid="{7BC5780C-B347-42A3-AFFE-5EF9048EB2BC}"/>
    <cellStyle name="40% - Énfasis3 7 2 2 3 4" xfId="33614" xr:uid="{1E4AE6CA-F2A6-493C-829E-645FF001F796}"/>
    <cellStyle name="40% - Énfasis3 7 2 2 3 5" xfId="39478" xr:uid="{2CA711B7-CC61-49F5-AEAB-A27AE22015E9}"/>
    <cellStyle name="40% - Énfasis3 7 2 2 4" xfId="19129" xr:uid="{CB12E180-F9DD-4727-8686-D6DC45D8DCF3}"/>
    <cellStyle name="40% - Énfasis3 7 2 2 5" xfId="24883" xr:uid="{ED9A5AB3-85B4-4DD6-B25E-60C73166F9CB}"/>
    <cellStyle name="40% - Énfasis3 7 2 2 6" xfId="30759" xr:uid="{423A5A7C-20C9-4E6E-B4CC-BA5985B45B82}"/>
    <cellStyle name="40% - Énfasis3 7 2 2 7" xfId="36641" xr:uid="{D00B9E85-17A8-4D34-B8D8-BAEEB6AFA2F6}"/>
    <cellStyle name="40% - Énfasis3 7 2 3" xfId="5118" xr:uid="{833C22CB-E4AF-4515-B953-CC9708A29C0E}"/>
    <cellStyle name="40% - Énfasis3 7 2 3 2" xfId="7985" xr:uid="{C90F8FF7-9E44-40BB-90DB-9C9F7365B20A}"/>
    <cellStyle name="40% - Énfasis3 7 2 3 2 2" xfId="22370" xr:uid="{CFDAEA07-4F38-422F-81E5-F3E184B24519}"/>
    <cellStyle name="40% - Énfasis3 7 2 3 2 3" xfId="28218" xr:uid="{75DA73FC-91C0-454C-815F-E4BB41B2D373}"/>
    <cellStyle name="40% - Énfasis3 7 2 3 2 4" xfId="34100" xr:uid="{A28EFBC2-EFAD-42EE-B883-29D693D39A15}"/>
    <cellStyle name="40% - Énfasis3 7 2 3 2 5" xfId="39964" xr:uid="{BDE6699D-BFA6-4B87-B1C3-45555097A70C}"/>
    <cellStyle name="40% - Énfasis3 7 2 3 3" xfId="19593" xr:uid="{0A49C90E-6AE3-46B9-B59D-BC763C862FBC}"/>
    <cellStyle name="40% - Énfasis3 7 2 3 4" xfId="25369" xr:uid="{278C2C22-271A-4BCC-B15C-BD07216ADB0E}"/>
    <cellStyle name="40% - Énfasis3 7 2 3 5" xfId="31243" xr:uid="{4714C647-57FF-427F-B51C-FA0A7497654D}"/>
    <cellStyle name="40% - Énfasis3 7 2 3 6" xfId="37121" xr:uid="{8E6870D6-9393-4BC8-A736-9BA6C53AECAC}"/>
    <cellStyle name="40% - Énfasis3 7 2 4" xfId="7013" xr:uid="{27B2C277-FDE9-44A7-A5D7-33BE1BCDBF30}"/>
    <cellStyle name="40% - Énfasis3 7 2 4 2" xfId="21430" xr:uid="{A7D46314-97FB-425E-A6E0-2F7135A8FBED}"/>
    <cellStyle name="40% - Énfasis3 7 2 4 3" xfId="27251" xr:uid="{A6749CF5-3747-4A75-884A-A970D3E6ADA6}"/>
    <cellStyle name="40% - Énfasis3 7 2 4 4" xfId="33129" xr:uid="{F5C4DD0C-757C-435C-BB8F-BADAE2A111B2}"/>
    <cellStyle name="40% - Énfasis3 7 2 4 5" xfId="38993" xr:uid="{FD7F995B-9214-4019-B49B-D6D9F8BECA7A}"/>
    <cellStyle name="40% - Énfasis3 7 2 5" xfId="18685" xr:uid="{1093C87B-6BED-44D6-A10D-5E79E5DBD07C}"/>
    <cellStyle name="40% - Énfasis3 7 2 6" xfId="24400" xr:uid="{6EAA9AC6-3B50-400C-A645-3BE925AB33C4}"/>
    <cellStyle name="40% - Énfasis3 7 2 7" xfId="30277" xr:uid="{3CA3F242-269B-4527-AD55-4D7028E6D6B1}"/>
    <cellStyle name="40% - Énfasis3 7 2 8" xfId="36157" xr:uid="{07D8F064-B39B-48BA-A9F5-991118F43673}"/>
    <cellStyle name="40% - Énfasis3 7 3" xfId="4440" xr:uid="{35BCBFED-6BED-4F7F-81C6-522E08113E43}"/>
    <cellStyle name="40% - Énfasis3 7 3 2" xfId="5407" xr:uid="{E01FE4A9-69C7-403B-B9B7-AC5CE7A6E36D}"/>
    <cellStyle name="40% - Énfasis3 7 3 2 2" xfId="8274" xr:uid="{29FFF232-A233-454B-8A07-C1A343D156D6}"/>
    <cellStyle name="40% - Énfasis3 7 3 2 2 2" xfId="22650" xr:uid="{A0AF78AC-35B4-4AE7-9A3D-AC546E6A7240}"/>
    <cellStyle name="40% - Énfasis3 7 3 2 2 3" xfId="28507" xr:uid="{13C265AC-6387-43E1-BA9B-2178CC48D781}"/>
    <cellStyle name="40% - Énfasis3 7 3 2 2 4" xfId="34389" xr:uid="{0E620571-5FD5-47FA-82CC-BB62A1F438E6}"/>
    <cellStyle name="40% - Énfasis3 7 3 2 2 5" xfId="40253" xr:uid="{3FA15021-B358-4776-A0F4-4BD0908C37CE}"/>
    <cellStyle name="40% - Énfasis3 7 3 2 3" xfId="19872" xr:uid="{7549C613-44DD-4673-B9DF-25FA75B07648}"/>
    <cellStyle name="40% - Énfasis3 7 3 2 4" xfId="25658" xr:uid="{F3354D9F-74A9-46CF-A945-237B10E4B47E}"/>
    <cellStyle name="40% - Énfasis3 7 3 2 5" xfId="31532" xr:uid="{C8004402-4881-4620-94EE-2EA0B3B02EA5}"/>
    <cellStyle name="40% - Énfasis3 7 3 2 6" xfId="37403" xr:uid="{E8A1E44A-9DC9-4A75-BBA8-D0FF0BC31A77}"/>
    <cellStyle name="40% - Énfasis3 7 3 3" xfId="7302" xr:uid="{72398EFF-D5AA-4C39-9833-C8FF5A04972E}"/>
    <cellStyle name="40% - Énfasis3 7 3 3 2" xfId="21707" xr:uid="{5ACBA5B9-6F27-4332-8F2C-37EF55639E4B}"/>
    <cellStyle name="40% - Énfasis3 7 3 3 3" xfId="27536" xr:uid="{6B82ABE3-F82E-4DDE-AE75-AAA4F176EC8E}"/>
    <cellStyle name="40% - Énfasis3 7 3 3 4" xfId="33418" xr:uid="{F8A28780-9478-414E-B70D-9F9323FDC4F7}"/>
    <cellStyle name="40% - Énfasis3 7 3 3 5" xfId="39282" xr:uid="{9B64D14B-5A8F-461D-92A1-A4E2720081DD}"/>
    <cellStyle name="40% - Énfasis3 7 3 4" xfId="18943" xr:uid="{1318754E-4686-450E-AC6D-1BDBE7FE4E44}"/>
    <cellStyle name="40% - Énfasis3 7 3 5" xfId="24687" xr:uid="{AC530739-90E2-4B9C-A61F-6B193AF8A64A}"/>
    <cellStyle name="40% - Énfasis3 7 3 6" xfId="30565" xr:uid="{87DE2557-63D9-4188-936A-B3F911698B1A}"/>
    <cellStyle name="40% - Énfasis3 7 3 7" xfId="36446" xr:uid="{A523B68A-AF60-41F3-9686-2FFE611F43B2}"/>
    <cellStyle name="40% - Énfasis3 7 4" xfId="4922" xr:uid="{3DE297E5-F336-40A6-8CC4-C610569D9140}"/>
    <cellStyle name="40% - Énfasis3 7 4 2" xfId="7789" xr:uid="{738D8F4D-AB83-4C61-B91B-5D1D99B561DB}"/>
    <cellStyle name="40% - Énfasis3 7 4 2 2" xfId="22177" xr:uid="{ECD284B5-D84C-444D-ACFC-AF001FE84C3E}"/>
    <cellStyle name="40% - Énfasis3 7 4 2 3" xfId="28022" xr:uid="{881D696E-91B1-4FC0-817E-ED00AA1ED7E9}"/>
    <cellStyle name="40% - Énfasis3 7 4 2 4" xfId="33904" xr:uid="{D6E77F32-6ECA-4E17-B223-2E24CF526C64}"/>
    <cellStyle name="40% - Énfasis3 7 4 2 5" xfId="39768" xr:uid="{032C144F-F5BB-4075-95A5-9DBDC0D5269B}"/>
    <cellStyle name="40% - Énfasis3 7 4 3" xfId="19404" xr:uid="{E1EACA79-5BDE-424D-B72B-0610BBA435A7}"/>
    <cellStyle name="40% - Énfasis3 7 4 4" xfId="25173" xr:uid="{5406A5A5-5729-4FBB-97C9-8B83EFA611CE}"/>
    <cellStyle name="40% - Énfasis3 7 4 5" xfId="31047" xr:uid="{8DB7BF82-9127-4A8D-B6A0-5919BE6FC795}"/>
    <cellStyle name="40% - Énfasis3 7 4 6" xfId="36926" xr:uid="{1EF2F92D-7EB7-490F-9674-897798C6622B}"/>
    <cellStyle name="40% - Énfasis3 7 5" xfId="5932" xr:uid="{5BC6044D-CC12-4C71-862D-D218474E9F32}"/>
    <cellStyle name="40% - Énfasis3 7 5 2" xfId="8801" xr:uid="{6B82C2C4-B485-43E4-AA79-5A7B8D304DF5}"/>
    <cellStyle name="40% - Énfasis3 7 5 2 2" xfId="23168" xr:uid="{01873C3C-8762-4D32-95BC-AE5C3C5EF46F}"/>
    <cellStyle name="40% - Énfasis3 7 5 2 3" xfId="29033" xr:uid="{0B8945E0-B233-4603-934F-C8BBAAA8706B}"/>
    <cellStyle name="40% - Énfasis3 7 5 2 4" xfId="34915" xr:uid="{51AA894B-1C52-4B81-B55A-5D6E56730F5D}"/>
    <cellStyle name="40% - Énfasis3 7 5 2 5" xfId="40779" xr:uid="{B3D479B5-A18E-4C4B-B6C7-F7BE10A5C9F5}"/>
    <cellStyle name="40% - Énfasis3 7 5 3" xfId="20382" xr:uid="{4BE5307F-1FC4-43F9-9876-4C04B7413E9E}"/>
    <cellStyle name="40% - Énfasis3 7 5 4" xfId="26183" xr:uid="{7B027E3C-9D24-4057-9487-29C3B9E20EAD}"/>
    <cellStyle name="40% - Énfasis3 7 5 5" xfId="32058" xr:uid="{131415A1-81D5-4DAA-B402-525727D72FF5}"/>
    <cellStyle name="40% - Énfasis3 7 5 6" xfId="37924" xr:uid="{0D4075DE-C9DB-4D8F-9D28-E6733061C466}"/>
    <cellStyle name="40% - Énfasis3 7 6" xfId="6818" xr:uid="{5CC24E12-DA8B-4BB2-90A4-F8CF33C57A94}"/>
    <cellStyle name="40% - Énfasis3 7 6 2" xfId="21241" xr:uid="{B580D8AB-0CE3-4CD3-B839-0B2EB19AF1AA}"/>
    <cellStyle name="40% - Énfasis3 7 6 3" xfId="27057" xr:uid="{4C806CCE-7ACF-49CC-B4F8-403E1B6B032F}"/>
    <cellStyle name="40% - Énfasis3 7 6 4" xfId="32933" xr:uid="{FECB83D0-93F9-4920-91B9-87E6F9D84ED0}"/>
    <cellStyle name="40% - Énfasis3 7 6 5" xfId="38797" xr:uid="{E090D3D6-3BE8-476C-BCDE-9B7176E2BE2D}"/>
    <cellStyle name="40% - Énfasis3 7 7" xfId="18491" xr:uid="{92312E6D-205F-4246-9163-8F82876CFA5A}"/>
    <cellStyle name="40% - Énfasis3 7 8" xfId="24199" xr:uid="{7B4BCF8F-73C9-4499-AA3D-49E2AFEC6BEB}"/>
    <cellStyle name="40% - Énfasis3 7 9" xfId="30077" xr:uid="{AEE59CBE-1A03-4971-85BA-4E9900694224}"/>
    <cellStyle name="40% - Énfasis3 8" xfId="3991" xr:uid="{E636ADD7-2EB4-4D54-8E04-7500E679535E}"/>
    <cellStyle name="40% - Énfasis3 8 10" xfId="35985" xr:uid="{62C2496F-5FC2-4307-A6AE-7D50997D5169}"/>
    <cellStyle name="40% - Énfasis3 8 2" xfId="4183" xr:uid="{F9F20FDC-5238-4C1C-A9B2-B74935BF098B}"/>
    <cellStyle name="40% - Énfasis3 8 2 2" xfId="4661" xr:uid="{B2A63F50-7FA2-4A05-8A82-BB864782724B}"/>
    <cellStyle name="40% - Énfasis3 8 2 2 2" xfId="5629" xr:uid="{B6C07E7F-FE53-48D6-87EA-15074E2B945F}"/>
    <cellStyle name="40% - Énfasis3 8 2 2 2 2" xfId="8496" xr:uid="{46FEFA56-3F6E-4ED5-A2CF-A7F6AFCBF1AC}"/>
    <cellStyle name="40% - Énfasis3 8 2 2 2 2 2" xfId="22870" xr:uid="{0DA80CB2-3385-42A8-9AD4-C6F1CF5C8552}"/>
    <cellStyle name="40% - Énfasis3 8 2 2 2 2 3" xfId="28729" xr:uid="{316EA964-06CF-4D0C-9FF6-F98BEEAA154D}"/>
    <cellStyle name="40% - Énfasis3 8 2 2 2 2 4" xfId="34611" xr:uid="{587C935D-0EB0-4D88-AE20-9E5B2DE2C36A}"/>
    <cellStyle name="40% - Énfasis3 8 2 2 2 2 5" xfId="40475" xr:uid="{B727061A-61F5-4D51-8675-CA7E8A87D902}"/>
    <cellStyle name="40% - Énfasis3 8 2 2 2 3" xfId="20088" xr:uid="{B0FCF887-A452-42D2-9B65-B1EF318B09EF}"/>
    <cellStyle name="40% - Énfasis3 8 2 2 2 4" xfId="25880" xr:uid="{E6E521A4-8F7F-4832-B7B6-4D7AB08B5480}"/>
    <cellStyle name="40% - Énfasis3 8 2 2 2 5" xfId="31754" xr:uid="{4CE8EA9A-9842-4AA8-8214-E4ABF7103A80}"/>
    <cellStyle name="40% - Énfasis3 8 2 2 2 6" xfId="37623" xr:uid="{4A91802E-74DC-4B86-9C01-2132DE6D62C1}"/>
    <cellStyle name="40% - Énfasis3 8 2 2 3" xfId="7524" xr:uid="{41F41DEB-22CB-4532-83BF-BA661B155BC6}"/>
    <cellStyle name="40% - Énfasis3 8 2 2 3 2" xfId="21924" xr:uid="{AE1B9E8B-5FB6-4510-BE3C-2819D05FCE34}"/>
    <cellStyle name="40% - Énfasis3 8 2 2 3 3" xfId="27758" xr:uid="{62B3FF8E-C2D3-42AB-B683-5057AFDD0CEB}"/>
    <cellStyle name="40% - Énfasis3 8 2 2 3 4" xfId="33640" xr:uid="{00C0D798-F5F5-4461-A79C-24AF82E4C9ED}"/>
    <cellStyle name="40% - Énfasis3 8 2 2 3 5" xfId="39504" xr:uid="{641A53AC-5625-4508-87CD-23C42C1C4D74}"/>
    <cellStyle name="40% - Énfasis3 8 2 2 4" xfId="19153" xr:uid="{221CF5B7-C9C5-4A48-8052-8B367661994F}"/>
    <cellStyle name="40% - Énfasis3 8 2 2 5" xfId="24909" xr:uid="{3981373D-90E9-4F19-B117-269A1FA837D9}"/>
    <cellStyle name="40% - Énfasis3 8 2 2 6" xfId="30785" xr:uid="{94FE2A86-4663-48DC-8C6A-8DE04A1167EE}"/>
    <cellStyle name="40% - Énfasis3 8 2 2 7" xfId="36666" xr:uid="{76B847D0-332D-4750-9EA1-D3B90D8F2564}"/>
    <cellStyle name="40% - Énfasis3 8 2 3" xfId="5144" xr:uid="{8B1C656F-684A-421B-8210-539238AEB965}"/>
    <cellStyle name="40% - Énfasis3 8 2 3 2" xfId="8011" xr:uid="{6291F05F-5A91-4877-8B42-BDE778680BE4}"/>
    <cellStyle name="40% - Énfasis3 8 2 3 2 2" xfId="22395" xr:uid="{4B7EA1AE-0A35-46DC-8AE3-B70D189498BC}"/>
    <cellStyle name="40% - Énfasis3 8 2 3 2 3" xfId="28244" xr:uid="{8C1CD886-638F-4781-AA31-31BA8E875704}"/>
    <cellStyle name="40% - Énfasis3 8 2 3 2 4" xfId="34126" xr:uid="{D4600DA6-08BD-4127-B57D-04D7D3B07434}"/>
    <cellStyle name="40% - Énfasis3 8 2 3 2 5" xfId="39990" xr:uid="{D4EB13B0-3F1C-4A38-8606-BDB14179D8C1}"/>
    <cellStyle name="40% - Énfasis3 8 2 3 3" xfId="19618" xr:uid="{5FFB4B58-1817-4C1C-BBE4-DF446410ECAB}"/>
    <cellStyle name="40% - Énfasis3 8 2 3 4" xfId="25395" xr:uid="{1784737A-1638-4851-AB64-8B7AD4609D21}"/>
    <cellStyle name="40% - Énfasis3 8 2 3 5" xfId="31269" xr:uid="{DA2F5DA2-6239-45C2-842F-EAE9BFD5EF9F}"/>
    <cellStyle name="40% - Énfasis3 8 2 3 6" xfId="37146" xr:uid="{1CE97CA5-B691-4CDE-8E3E-4989959DDD98}"/>
    <cellStyle name="40% - Énfasis3 8 2 4" xfId="7039" xr:uid="{0F0563AA-17B4-4171-A559-3877C2717933}"/>
    <cellStyle name="40% - Énfasis3 8 2 4 2" xfId="21455" xr:uid="{CE17C79A-E5D6-4EE1-89C5-9E9FACB65840}"/>
    <cellStyle name="40% - Énfasis3 8 2 4 3" xfId="27276" xr:uid="{8868621B-24F7-43FE-BF32-136BC664C035}"/>
    <cellStyle name="40% - Énfasis3 8 2 4 4" xfId="33155" xr:uid="{B159A851-6666-4980-A5BF-2EB7C6567EB9}"/>
    <cellStyle name="40% - Énfasis3 8 2 4 5" xfId="39019" xr:uid="{7F3139BF-712D-4108-818D-C0486F934912}"/>
    <cellStyle name="40% - Énfasis3 8 2 5" xfId="18710" xr:uid="{DA5A1E36-0C3A-432E-A511-96F3F24224D3}"/>
    <cellStyle name="40% - Énfasis3 8 2 6" xfId="24426" xr:uid="{2D163E7D-DC39-4B4E-B638-E754642A53DC}"/>
    <cellStyle name="40% - Énfasis3 8 2 7" xfId="30303" xr:uid="{BB3AA2DC-ED79-4728-9993-906A335D83D2}"/>
    <cellStyle name="40% - Énfasis3 8 2 8" xfId="36183" xr:uid="{0B86C98F-F848-4EC1-9BB9-FEE7C6A1C1C7}"/>
    <cellStyle name="40% - Énfasis3 8 3" xfId="4465" xr:uid="{61135686-7125-486A-885D-9F06AA84C4DC}"/>
    <cellStyle name="40% - Énfasis3 8 3 2" xfId="5433" xr:uid="{6EC1C598-355D-46B7-A49F-0207877627CE}"/>
    <cellStyle name="40% - Énfasis3 8 3 2 2" xfId="8300" xr:uid="{2DA5BE14-0244-424C-96A9-3293ECD6119D}"/>
    <cellStyle name="40% - Énfasis3 8 3 2 2 2" xfId="22676" xr:uid="{27A84D61-B0CB-467F-A363-2089391C43F3}"/>
    <cellStyle name="40% - Énfasis3 8 3 2 2 3" xfId="28533" xr:uid="{CFC1555D-98C2-4B60-9D83-A288C34B5CBB}"/>
    <cellStyle name="40% - Énfasis3 8 3 2 2 4" xfId="34415" xr:uid="{5396D929-51A7-4792-A614-47A386480E9A}"/>
    <cellStyle name="40% - Énfasis3 8 3 2 2 5" xfId="40279" xr:uid="{9894D4C3-8F72-4377-AEA4-9C089A81851D}"/>
    <cellStyle name="40% - Énfasis3 8 3 2 3" xfId="19897" xr:uid="{E9829EC6-9302-4651-9728-B95D04B574D4}"/>
    <cellStyle name="40% - Énfasis3 8 3 2 4" xfId="25684" xr:uid="{9DE017B7-27AE-4D0A-9FB5-C1E711FC0B65}"/>
    <cellStyle name="40% - Énfasis3 8 3 2 5" xfId="31558" xr:uid="{44BCF7AD-8E7B-46C1-8FA5-7547E2D801BD}"/>
    <cellStyle name="40% - Énfasis3 8 3 2 6" xfId="37429" xr:uid="{85F0A175-D1A9-4C77-90C5-F3AD107CF7F7}"/>
    <cellStyle name="40% - Énfasis3 8 3 3" xfId="7328" xr:uid="{341155C1-FD0A-4F73-A9AB-DDB1C8686169}"/>
    <cellStyle name="40% - Énfasis3 8 3 3 2" xfId="21732" xr:uid="{467EA100-A503-4D16-ADD5-BE51EA0D96E4}"/>
    <cellStyle name="40% - Énfasis3 8 3 3 3" xfId="27562" xr:uid="{B6F4BE78-39C8-4E05-BD80-CF4F716841BD}"/>
    <cellStyle name="40% - Énfasis3 8 3 3 4" xfId="33444" xr:uid="{834F60A8-BDB0-49C4-9F5B-106684D0AE7D}"/>
    <cellStyle name="40% - Énfasis3 8 3 3 5" xfId="39308" xr:uid="{81CB7B8D-2EF6-48A0-BD07-DDAC0708A1F6}"/>
    <cellStyle name="40% - Énfasis3 8 3 4" xfId="18969" xr:uid="{AE62A217-72D9-4A1D-9BAF-6611D07F5D2D}"/>
    <cellStyle name="40% - Énfasis3 8 3 5" xfId="24713" xr:uid="{2A77C6C3-07E8-4050-8BA1-2C17B58BAAB7}"/>
    <cellStyle name="40% - Énfasis3 8 3 6" xfId="30591" xr:uid="{E14C7338-9593-49BF-87C8-82E3C36C5FED}"/>
    <cellStyle name="40% - Énfasis3 8 3 7" xfId="36472" xr:uid="{546530B2-AF3E-442D-8310-1A82D14BCEDF}"/>
    <cellStyle name="40% - Énfasis3 8 4" xfId="4948" xr:uid="{B7E89706-A0FD-42A3-9773-DCA7B5ED4B8D}"/>
    <cellStyle name="40% - Énfasis3 8 4 2" xfId="7815" xr:uid="{F038E9B5-263C-4D34-A060-937435FBAB17}"/>
    <cellStyle name="40% - Énfasis3 8 4 2 2" xfId="22202" xr:uid="{5E4BC1AB-FDF0-4E75-8FE8-A74C798813AC}"/>
    <cellStyle name="40% - Énfasis3 8 4 2 3" xfId="28048" xr:uid="{2FDFD2C9-301D-4B0A-A7EA-EBDA7CC20D3D}"/>
    <cellStyle name="40% - Énfasis3 8 4 2 4" xfId="33930" xr:uid="{D029D9DD-B58E-4CFB-A76C-35A1787B2C36}"/>
    <cellStyle name="40% - Énfasis3 8 4 2 5" xfId="39794" xr:uid="{3E79E335-2C00-49AE-89DF-DB08EFCE984B}"/>
    <cellStyle name="40% - Énfasis3 8 4 3" xfId="19430" xr:uid="{77D49C4F-B0B5-437B-BD5F-2CB73807AC0C}"/>
    <cellStyle name="40% - Énfasis3 8 4 4" xfId="25199" xr:uid="{FBF4515E-0408-423B-90CE-A6088A0C7A91}"/>
    <cellStyle name="40% - Énfasis3 8 4 5" xfId="31073" xr:uid="{E1DA4015-1743-48F0-9E11-701AE3FF069F}"/>
    <cellStyle name="40% - Énfasis3 8 4 6" xfId="36952" xr:uid="{E715EFDC-31D7-4004-9362-F58990977624}"/>
    <cellStyle name="40% - Énfasis3 8 5" xfId="5958" xr:uid="{E5B27D83-055A-4C90-8F70-CF89E8C1B607}"/>
    <cellStyle name="40% - Énfasis3 8 5 2" xfId="8827" xr:uid="{73F7E7D7-2894-40C2-ACDC-AF8AC0047E4B}"/>
    <cellStyle name="40% - Énfasis3 8 5 2 2" xfId="23192" xr:uid="{5DDD3749-5A06-4BA5-95DA-4DDADD2A2C35}"/>
    <cellStyle name="40% - Énfasis3 8 5 2 3" xfId="29059" xr:uid="{43F9CEFA-9A1E-439F-AD0F-5C48669E1932}"/>
    <cellStyle name="40% - Énfasis3 8 5 2 4" xfId="34941" xr:uid="{2FAC7F42-BAF4-4AB3-A78E-59B17984C9CB}"/>
    <cellStyle name="40% - Énfasis3 8 5 2 5" xfId="40805" xr:uid="{77CEC751-C7B2-44DB-BA45-9A352BCDC2D2}"/>
    <cellStyle name="40% - Énfasis3 8 5 3" xfId="20408" xr:uid="{0A83CF9D-B486-4901-B4A8-5A279B532A84}"/>
    <cellStyle name="40% - Énfasis3 8 5 4" xfId="26209" xr:uid="{E160D3D4-52AD-4104-9A5F-674F4A113C0B}"/>
    <cellStyle name="40% - Énfasis3 8 5 5" xfId="32084" xr:uid="{7B785536-F1EC-449A-8682-89427815372D}"/>
    <cellStyle name="40% - Énfasis3 8 5 6" xfId="37949" xr:uid="{2E2172F4-ABB3-4070-911D-1826F228A9DA}"/>
    <cellStyle name="40% - Énfasis3 8 6" xfId="6844" xr:uid="{4F2DC7C5-C80E-4634-9A48-215100BBFB1A}"/>
    <cellStyle name="40% - Énfasis3 8 6 2" xfId="21267" xr:uid="{FE60EF96-D8D5-43E2-9CFA-D1D65FCB95C1}"/>
    <cellStyle name="40% - Énfasis3 8 6 3" xfId="27082" xr:uid="{F0D1135C-998E-4EDF-9C4E-DCE4551F6079}"/>
    <cellStyle name="40% - Énfasis3 8 6 4" xfId="32959" xr:uid="{4505491B-CCE3-484B-8BFE-AB9852E9E026}"/>
    <cellStyle name="40% - Énfasis3 8 6 5" xfId="38823" xr:uid="{176887D8-9743-42DE-8EB6-155234559CFC}"/>
    <cellStyle name="40% - Énfasis3 8 7" xfId="18518" xr:uid="{D6500902-BBDC-4160-ADD8-6849488CD6E2}"/>
    <cellStyle name="40% - Énfasis3 8 8" xfId="24227" xr:uid="{FF2B6B9F-B6A0-44F2-A577-E3EC1040DE95}"/>
    <cellStyle name="40% - Énfasis3 8 9" xfId="30105" xr:uid="{F09C26EB-943A-45BA-B646-0B6F9A1154F8}"/>
    <cellStyle name="40% - Énfasis3 9" xfId="4015" xr:uid="{D43A23E2-9052-42DF-A567-81F1821950E7}"/>
    <cellStyle name="40% - Énfasis3 9 2" xfId="4486" xr:uid="{A9A0040D-70E7-42B1-8A11-2D67B8F243E9}"/>
    <cellStyle name="40% - Énfasis3 9 2 2" xfId="5454" xr:uid="{F763B886-0B4C-49ED-9A5C-5C7611CF6847}"/>
    <cellStyle name="40% - Énfasis3 9 2 2 2" xfId="8321" xr:uid="{0EAB076B-0112-499F-9813-0D734358CA19}"/>
    <cellStyle name="40% - Énfasis3 9 2 2 2 2" xfId="22697" xr:uid="{51088A97-E003-4F81-81D2-B9CEC9A77D04}"/>
    <cellStyle name="40% - Énfasis3 9 2 2 2 3" xfId="28554" xr:uid="{ECA9D551-D2DA-423B-888F-9BFA8CD3E214}"/>
    <cellStyle name="40% - Énfasis3 9 2 2 2 4" xfId="34436" xr:uid="{DA5EE312-68DD-4A78-B2D4-8E41E76EDC71}"/>
    <cellStyle name="40% - Énfasis3 9 2 2 2 5" xfId="40300" xr:uid="{C89BDCF4-3EBB-4F47-956C-42D46375F1DF}"/>
    <cellStyle name="40% - Énfasis3 9 2 2 3" xfId="19917" xr:uid="{93C6BBE9-DA68-485B-B29D-9281DE731300}"/>
    <cellStyle name="40% - Énfasis3 9 2 2 4" xfId="25705" xr:uid="{D07F1EA2-D1EA-407E-B540-A760C1BB85B6}"/>
    <cellStyle name="40% - Énfasis3 9 2 2 5" xfId="31579" xr:uid="{F52555F0-0E0A-48AB-B37E-98F9285B8E36}"/>
    <cellStyle name="40% - Énfasis3 9 2 2 6" xfId="37450" xr:uid="{E977EF40-9535-44C5-BC32-3267B292C1B7}"/>
    <cellStyle name="40% - Énfasis3 9 2 3" xfId="7349" xr:uid="{3615A36E-33A9-4974-9636-76F3C9542A46}"/>
    <cellStyle name="40% - Énfasis3 9 2 3 2" xfId="21752" xr:uid="{FC9E40FB-76BD-454F-AE41-9FD7CC1204B5}"/>
    <cellStyle name="40% - Énfasis3 9 2 3 3" xfId="27583" xr:uid="{D7750DE8-833B-4762-A506-A15C22497957}"/>
    <cellStyle name="40% - Énfasis3 9 2 3 4" xfId="33465" xr:uid="{B4D9D060-0795-404B-9CB0-9FCA6E1B612F}"/>
    <cellStyle name="40% - Énfasis3 9 2 3 5" xfId="39329" xr:uid="{D1F2EBD6-6D74-4AEC-9CEB-B4D7924D1A6B}"/>
    <cellStyle name="40% - Énfasis3 9 2 4" xfId="18990" xr:uid="{DAD90FB9-B2F3-48BB-8D05-35B459861C72}"/>
    <cellStyle name="40% - Énfasis3 9 2 5" xfId="24734" xr:uid="{A90FE23D-BE23-467F-9C69-F54203DA8C9F}"/>
    <cellStyle name="40% - Énfasis3 9 2 6" xfId="30611" xr:uid="{9FC7585C-6496-467B-97DF-DE9123D7D06E}"/>
    <cellStyle name="40% - Énfasis3 9 2 7" xfId="36493" xr:uid="{17BF7273-FDA4-4C92-A5B4-25EC02F1BDF3}"/>
    <cellStyle name="40% - Énfasis3 9 3" xfId="4969" xr:uid="{4C427225-D9EE-48A8-ADF4-B0AABC6098F3}"/>
    <cellStyle name="40% - Énfasis3 9 3 2" xfId="7836" xr:uid="{68B14CFE-1B4C-448A-BE0F-74D8A39CFA68}"/>
    <cellStyle name="40% - Énfasis3 9 3 2 2" xfId="22222" xr:uid="{5C405568-9020-4B09-8E6E-C6475699726B}"/>
    <cellStyle name="40% - Énfasis3 9 3 2 3" xfId="28069" xr:uid="{9F72274F-94F4-4349-B33E-6C73803A632D}"/>
    <cellStyle name="40% - Énfasis3 9 3 2 4" xfId="33951" xr:uid="{02057617-D608-4639-A8EE-EBF64957B077}"/>
    <cellStyle name="40% - Énfasis3 9 3 2 5" xfId="39815" xr:uid="{F5337D4E-9D7B-4C37-B220-A80FB9EAE71E}"/>
    <cellStyle name="40% - Énfasis3 9 3 3" xfId="19450" xr:uid="{F558258B-2FB0-465C-9F40-EFB623163B24}"/>
    <cellStyle name="40% - Énfasis3 9 3 4" xfId="25220" xr:uid="{9D0CD308-AC70-453D-B006-EC261FFF2ED0}"/>
    <cellStyle name="40% - Énfasis3 9 3 5" xfId="31094" xr:uid="{89ABC15A-7800-4879-A0D0-072F622E436D}"/>
    <cellStyle name="40% - Énfasis3 9 3 6" xfId="36973" xr:uid="{BC1AE478-EC1E-4D05-8189-1A4CA7AAA100}"/>
    <cellStyle name="40% - Énfasis3 9 4" xfId="6865" xr:uid="{52C0A667-47A5-41A2-999F-88A40795F9D8}"/>
    <cellStyle name="40% - Énfasis3 9 4 2" xfId="21287" xr:uid="{1F3F5A8D-8E7A-4AE4-B593-D238CECC5EC1}"/>
    <cellStyle name="40% - Énfasis3 9 4 3" xfId="27103" xr:uid="{B6C55CCC-12A7-4896-AB3D-4F52CB13ED7C}"/>
    <cellStyle name="40% - Énfasis3 9 4 4" xfId="32980" xr:uid="{0149E2FF-B3C8-4735-98E2-0E5B66DA6F8C}"/>
    <cellStyle name="40% - Énfasis3 9 4 5" xfId="38844" xr:uid="{ABDC3A9F-9FDB-4419-A2C7-CB734ADBF61B}"/>
    <cellStyle name="40% - Énfasis3 9 5" xfId="18541" xr:uid="{7000F189-659A-4EEE-810F-DE04553EAA6E}"/>
    <cellStyle name="40% - Énfasis3 9 6" xfId="24251" xr:uid="{7F857230-1BF0-46F5-9BC8-9728B9EE1ACC}"/>
    <cellStyle name="40% - Énfasis3 9 7" xfId="30129" xr:uid="{833054C2-2E5E-4ADC-A10D-1C0DA3AECC8B}"/>
    <cellStyle name="40% - Énfasis3 9 8" xfId="36008" xr:uid="{4EAC3852-D778-48A7-A911-92239250EBC3}"/>
    <cellStyle name="40% - Énfasis4" xfId="32" builtinId="43" customBuiltin="1"/>
    <cellStyle name="40% - Énfasis4 10" xfId="4210" xr:uid="{E406828C-AA4B-4A88-B32D-485054AB53E3}"/>
    <cellStyle name="40% - Énfasis4 10 2" xfId="4688" xr:uid="{1383FA34-5B15-4935-83AC-984DD5A347B9}"/>
    <cellStyle name="40% - Énfasis4 10 2 2" xfId="5656" xr:uid="{18FC1D5F-524C-4045-B0AC-F42112550D37}"/>
    <cellStyle name="40% - Énfasis4 10 2 2 2" xfId="8524" xr:uid="{C3F47A01-0752-496F-9D53-F3A1F64DF242}"/>
    <cellStyle name="40% - Énfasis4 10 2 2 2 2" xfId="22898" xr:uid="{F92E5C68-4E05-43F6-8A65-F30E3C2B34FC}"/>
    <cellStyle name="40% - Énfasis4 10 2 2 2 3" xfId="28757" xr:uid="{969783B0-2665-4576-B18C-E847ACC72051}"/>
    <cellStyle name="40% - Énfasis4 10 2 2 2 4" xfId="34639" xr:uid="{E30F62A6-CF10-4518-A7E7-747E67703AD6}"/>
    <cellStyle name="40% - Énfasis4 10 2 2 2 5" xfId="40503" xr:uid="{EE254673-3CD0-48A9-AFD1-63695FE09B77}"/>
    <cellStyle name="40% - Énfasis4 10 2 2 3" xfId="20115" xr:uid="{A3D7F64B-7CA4-4C2F-9CFA-621CC81F380B}"/>
    <cellStyle name="40% - Énfasis4 10 2 2 4" xfId="25907" xr:uid="{D17BC410-A19A-428A-A255-7AAE38258FFD}"/>
    <cellStyle name="40% - Énfasis4 10 2 2 5" xfId="31782" xr:uid="{02094CAA-6C69-4805-A273-592713C4CAF3}"/>
    <cellStyle name="40% - Énfasis4 10 2 2 6" xfId="37651" xr:uid="{5B743E7E-5AA2-47FB-97A6-06F07F3F9627}"/>
    <cellStyle name="40% - Énfasis4 10 2 3" xfId="7552" xr:uid="{ED1C0110-3B06-4225-B947-D379134C3BD2}"/>
    <cellStyle name="40% - Énfasis4 10 2 3 2" xfId="21950" xr:uid="{46DB882B-8827-44A5-8AD9-6320BF227A74}"/>
    <cellStyle name="40% - Énfasis4 10 2 3 3" xfId="27786" xr:uid="{9CF3E250-0326-4B62-88C9-5D1FFFE2421B}"/>
    <cellStyle name="40% - Énfasis4 10 2 3 4" xfId="33668" xr:uid="{7D58ED6F-DC1E-4758-9825-2EBDA3B2603B}"/>
    <cellStyle name="40% - Énfasis4 10 2 3 5" xfId="39532" xr:uid="{0B7004B3-2451-409A-BDA6-9BD82E854E83}"/>
    <cellStyle name="40% - Énfasis4 10 2 4" xfId="19181" xr:uid="{32AD3D22-0E6D-49F3-BD28-ECE934F0721C}"/>
    <cellStyle name="40% - Énfasis4 10 2 5" xfId="24937" xr:uid="{AEA70D3D-FFF5-4C44-8031-FB424B807A95}"/>
    <cellStyle name="40% - Énfasis4 10 2 6" xfId="30812" xr:uid="{65374F2A-F7B5-474B-949F-054E8262EF92}"/>
    <cellStyle name="40% - Énfasis4 10 2 7" xfId="36694" xr:uid="{910CEEF0-1614-44A4-9782-BB9C9717F939}"/>
    <cellStyle name="40% - Énfasis4 10 3" xfId="5172" xr:uid="{2EA18338-CEA4-430B-9452-0AEC7290E65F}"/>
    <cellStyle name="40% - Énfasis4 10 3 2" xfId="8039" xr:uid="{E733BCE9-9C4D-4DC2-B911-CC102F502436}"/>
    <cellStyle name="40% - Énfasis4 10 3 2 2" xfId="22422" xr:uid="{1BA96954-ECA8-4B3C-9C28-6B5A48F35FD8}"/>
    <cellStyle name="40% - Énfasis4 10 3 2 3" xfId="28272" xr:uid="{D10BC874-388A-48B7-8237-3E5D536FEF06}"/>
    <cellStyle name="40% - Énfasis4 10 3 2 4" xfId="34154" xr:uid="{1A2875DE-7514-4CD1-B0E7-0A4209AF2BEA}"/>
    <cellStyle name="40% - Énfasis4 10 3 2 5" xfId="40018" xr:uid="{8FAF93FD-BFF7-443C-A532-80301748504A}"/>
    <cellStyle name="40% - Énfasis4 10 3 3" xfId="19645" xr:uid="{CCF547F4-3DE7-479A-BEC4-E7E4508F7442}"/>
    <cellStyle name="40% - Énfasis4 10 3 4" xfId="25423" xr:uid="{A4A3A318-E586-4AD6-832E-DEACE374BB2F}"/>
    <cellStyle name="40% - Énfasis4 10 3 5" xfId="31297" xr:uid="{0A6F5792-7576-431C-B570-A3D5734F5B46}"/>
    <cellStyle name="40% - Énfasis4 10 3 6" xfId="37174" xr:uid="{8F23D10F-F00C-4EDD-A134-9141E7489ED6}"/>
    <cellStyle name="40% - Énfasis4 10 4" xfId="7067" xr:uid="{00FB0CBD-7C91-4ECD-AE8E-C0DB34A95AFA}"/>
    <cellStyle name="40% - Énfasis4 10 4 2" xfId="21482" xr:uid="{FE5BFEC9-094F-4FFC-A9F1-A4B024C7F322}"/>
    <cellStyle name="40% - Énfasis4 10 4 3" xfId="27304" xr:uid="{80641109-10B7-4DB4-8EBE-D7DBA010F765}"/>
    <cellStyle name="40% - Énfasis4 10 4 4" xfId="33183" xr:uid="{8F15AF5D-712A-4A78-A85A-6E4715E70DA6}"/>
    <cellStyle name="40% - Énfasis4 10 4 5" xfId="39047" xr:uid="{72F02714-53BB-4299-8FB7-60E99619C8EC}"/>
    <cellStyle name="40% - Énfasis4 10 5" xfId="18738" xr:uid="{DB41BC5B-33E8-4261-A759-DDCC354CAFBA}"/>
    <cellStyle name="40% - Énfasis4 10 6" xfId="24454" xr:uid="{910A8282-C4FE-4B1F-98AD-33B2C0E6C0CB}"/>
    <cellStyle name="40% - Énfasis4 10 7" xfId="30330" xr:uid="{3697FBA1-A3C1-4E4F-AB17-5CEC850AF3BF}"/>
    <cellStyle name="40% - Énfasis4 10 8" xfId="36211" xr:uid="{5DDF192F-3B84-4F8D-9B1D-2162B82DCFA8}"/>
    <cellStyle name="40% - Énfasis4 11" xfId="4246" xr:uid="{74CC5096-02A0-450F-808C-4B0A3B4EADBC}"/>
    <cellStyle name="40% - Énfasis4 11 2" xfId="4725" xr:uid="{11A2BAFA-0F09-40C3-9C92-9652D35D0499}"/>
    <cellStyle name="40% - Énfasis4 11 2 2" xfId="5693" xr:uid="{4B2D7640-2B18-4955-990D-F0E99B77D84D}"/>
    <cellStyle name="40% - Énfasis4 11 2 2 2" xfId="8561" xr:uid="{D93C23A8-85FD-49AC-8C93-39F8FEC593DD}"/>
    <cellStyle name="40% - Énfasis4 11 2 2 2 2" xfId="22933" xr:uid="{CFD2B063-9F63-468E-8A0B-6B7BB6A52D0F}"/>
    <cellStyle name="40% - Énfasis4 11 2 2 2 3" xfId="28794" xr:uid="{EB79B199-E31F-4D18-9374-1DC8E60E6048}"/>
    <cellStyle name="40% - Énfasis4 11 2 2 2 4" xfId="34676" xr:uid="{0B8D47E3-8670-4FB3-B50E-527D9B4A6AF5}"/>
    <cellStyle name="40% - Énfasis4 11 2 2 2 5" xfId="40540" xr:uid="{E06B2AAA-D08D-4BD3-BA25-2B04EA6CA266}"/>
    <cellStyle name="40% - Énfasis4 11 2 2 3" xfId="20150" xr:uid="{7B2C3C74-D5DF-4DF5-9F59-C36A27110A27}"/>
    <cellStyle name="40% - Énfasis4 11 2 2 4" xfId="25944" xr:uid="{091BDA67-D608-4D1E-9358-2A5B80F705F9}"/>
    <cellStyle name="40% - Énfasis4 11 2 2 5" xfId="31819" xr:uid="{AE8A12CC-E8AF-47C8-B15D-C53FED1D9916}"/>
    <cellStyle name="40% - Énfasis4 11 2 2 6" xfId="37686" xr:uid="{ABEDAC45-1C93-4999-9CDF-96CCE888BC3B}"/>
    <cellStyle name="40% - Énfasis4 11 2 3" xfId="7589" xr:uid="{4CFE7C5B-653D-4379-94FD-C21889BEE817}"/>
    <cellStyle name="40% - Énfasis4 11 2 3 2" xfId="21983" xr:uid="{EAEF5278-0CFA-434B-8AF2-CBC012665061}"/>
    <cellStyle name="40% - Énfasis4 11 2 3 3" xfId="27823" xr:uid="{BBC3731E-3B65-47CA-9328-F56C2E373DF0}"/>
    <cellStyle name="40% - Énfasis4 11 2 3 4" xfId="33705" xr:uid="{5683DA2B-F80A-4AF9-B155-7B1E071457CA}"/>
    <cellStyle name="40% - Énfasis4 11 2 3 5" xfId="39569" xr:uid="{27DE8160-DE56-4B4E-BE00-649D5ED03A19}"/>
    <cellStyle name="40% - Énfasis4 11 2 4" xfId="19215" xr:uid="{5B30F4FD-FFE7-4647-B016-E50FF65B0FC1}"/>
    <cellStyle name="40% - Énfasis4 11 2 5" xfId="24974" xr:uid="{9C6E9E42-7DEA-4143-B5B2-BE687A4A6DA1}"/>
    <cellStyle name="40% - Énfasis4 11 2 6" xfId="30848" xr:uid="{EB5C334C-FB3D-4858-B25C-6E3F4BC8B162}"/>
    <cellStyle name="40% - Énfasis4 11 2 7" xfId="36729" xr:uid="{19D6F90C-9F47-4339-A662-6BA77FA6AF89}"/>
    <cellStyle name="40% - Énfasis4 11 3" xfId="5209" xr:uid="{86C37B48-AF43-4751-AE1E-7BC907502BA2}"/>
    <cellStyle name="40% - Énfasis4 11 3 2" xfId="8076" xr:uid="{E2108477-6916-43DB-AA36-AF05D38BDFC8}"/>
    <cellStyle name="40% - Énfasis4 11 3 2 2" xfId="22454" xr:uid="{3A363823-FB58-4B8C-A909-0B12B3A9717D}"/>
    <cellStyle name="40% - Énfasis4 11 3 2 3" xfId="28309" xr:uid="{1FD5770E-7B01-458C-8CDC-F3031ADB12A1}"/>
    <cellStyle name="40% - Énfasis4 11 3 2 4" xfId="34191" xr:uid="{5524DCD8-2BEA-4449-9697-671F9E5DCAB1}"/>
    <cellStyle name="40% - Énfasis4 11 3 2 5" xfId="40055" xr:uid="{35E9C75E-295D-4941-94A5-E6CD5AE0119B}"/>
    <cellStyle name="40% - Énfasis4 11 3 3" xfId="19680" xr:uid="{E3E166C1-5807-4B49-A16C-2379567A8100}"/>
    <cellStyle name="40% - Énfasis4 11 3 4" xfId="25460" xr:uid="{34FBBB30-D030-4102-A26F-DCE10B20C2D9}"/>
    <cellStyle name="40% - Énfasis4 11 3 5" xfId="31334" xr:uid="{0515BCB1-5D3A-4156-B61A-6DC9A2A83F52}"/>
    <cellStyle name="40% - Énfasis4 11 3 6" xfId="37207" xr:uid="{E4ECEBFD-CFF8-4C67-B325-EC421BF81B8D}"/>
    <cellStyle name="40% - Énfasis4 11 4" xfId="7104" xr:uid="{81B1CF7A-799A-4AE1-9AE9-7E1776CA26F8}"/>
    <cellStyle name="40% - Énfasis4 11 4 2" xfId="21516" xr:uid="{20EAA99E-C391-475D-9CA8-F5E4078E769E}"/>
    <cellStyle name="40% - Énfasis4 11 4 3" xfId="27339" xr:uid="{C783D5D0-07CD-40ED-8571-E43986F7E453}"/>
    <cellStyle name="40% - Énfasis4 11 4 4" xfId="33220" xr:uid="{AE720CE4-C195-45B5-BA6B-182243D82BBA}"/>
    <cellStyle name="40% - Énfasis4 11 4 5" xfId="39084" xr:uid="{6B4F344E-3518-40D6-ACBA-7B994ADFDC16}"/>
    <cellStyle name="40% - Énfasis4 11 5" xfId="18767" xr:uid="{702652C6-D800-4F46-9902-46C05AD28DE2}"/>
    <cellStyle name="40% - Énfasis4 11 6" xfId="24489" xr:uid="{9F3B113D-3329-4C62-8C20-F897C196C95D}"/>
    <cellStyle name="40% - Énfasis4 11 7" xfId="30367" xr:uid="{2F1298E9-A90D-4A19-BFC4-BCCD7B4C5306}"/>
    <cellStyle name="40% - Énfasis4 11 8" xfId="36248" xr:uid="{95AB40F9-A8E9-421E-82BA-BEE85D22F1ED}"/>
    <cellStyle name="40% - Énfasis4 12" xfId="4295" xr:uid="{A5511860-A563-4534-AD87-A0A9AF0D7F16}"/>
    <cellStyle name="40% - Énfasis4 12 2" xfId="5261" xr:uid="{58338205-12E7-4070-ABBF-4F92D937B06C}"/>
    <cellStyle name="40% - Énfasis4 12 2 2" xfId="8128" xr:uid="{BF112D62-60F7-42DE-B700-F12DE308C73B}"/>
    <cellStyle name="40% - Énfasis4 12 2 2 2" xfId="22505" xr:uid="{52248EE9-EE6B-4BBF-B345-BD69B6166B12}"/>
    <cellStyle name="40% - Énfasis4 12 2 2 3" xfId="28361" xr:uid="{91F0753D-E1EA-4FCD-88B6-04124649B0E6}"/>
    <cellStyle name="40% - Énfasis4 12 2 2 4" xfId="34243" xr:uid="{CEB7C658-E098-4F65-AA06-D05E1770AF22}"/>
    <cellStyle name="40% - Énfasis4 12 2 2 5" xfId="40107" xr:uid="{237C94FF-7489-438D-A806-B2F4EE62B1FC}"/>
    <cellStyle name="40% - Énfasis4 12 2 3" xfId="19731" xr:uid="{D04BD885-BF94-4049-8496-4AD3818A4733}"/>
    <cellStyle name="40% - Énfasis4 12 2 4" xfId="25512" xr:uid="{DED57C9D-EA5E-4776-AD12-96CFF569A84A}"/>
    <cellStyle name="40% - Énfasis4 12 2 5" xfId="31386" xr:uid="{C1F8FD53-279F-4935-BC0C-AA7E28705DBC}"/>
    <cellStyle name="40% - Énfasis4 12 2 6" xfId="37258" xr:uid="{11ECCFAD-EF76-4E8D-B910-3B924BE73461}"/>
    <cellStyle name="40% - Énfasis4 12 3" xfId="7156" xr:uid="{DE27D936-960D-46CF-B083-93CA26640A67}"/>
    <cellStyle name="40% - Énfasis4 12 3 2" xfId="21567" xr:uid="{694363E8-68B6-45D7-AC42-020D2B8B5AF5}"/>
    <cellStyle name="40% - Énfasis4 12 3 3" xfId="27390" xr:uid="{65D36816-6B63-4F75-924D-73C00D0DA5C3}"/>
    <cellStyle name="40% - Énfasis4 12 3 4" xfId="33272" xr:uid="{59BE9028-4E29-4D14-B4C3-20E6CC33EEB4}"/>
    <cellStyle name="40% - Énfasis4 12 3 5" xfId="39136" xr:uid="{D4D56088-0089-4DF1-BCA3-428B4664BF75}"/>
    <cellStyle name="40% - Énfasis4 12 4" xfId="18803" xr:uid="{93A672E3-30CE-442F-86EB-A9617D68BE6B}"/>
    <cellStyle name="40% - Énfasis4 12 5" xfId="24541" xr:uid="{7AB2535E-963D-4DF7-85D0-0CDCA6144F34}"/>
    <cellStyle name="40% - Énfasis4 12 6" xfId="30420" xr:uid="{0C994F02-C9B2-4E4B-BCBA-4AAB17723E84}"/>
    <cellStyle name="40% - Énfasis4 12 7" xfId="36301" xr:uid="{1FD0F8D1-4F0E-429F-AA41-9EA05B8DD53B}"/>
    <cellStyle name="40% - Énfasis4 13" xfId="4780" xr:uid="{91F45C9B-5F21-4DFF-982B-77A6745965E7}"/>
    <cellStyle name="40% - Énfasis4 13 2" xfId="7643" xr:uid="{3DD732E7-2DE5-460D-B855-ACE88996F848}"/>
    <cellStyle name="40% - Énfasis4 13 2 2" xfId="22036" xr:uid="{53F8FFD9-F431-4AA8-BF46-45D8E2C0C114}"/>
    <cellStyle name="40% - Énfasis4 13 2 3" xfId="27877" xr:uid="{8359C136-99E5-4953-8552-9B157AD6F611}"/>
    <cellStyle name="40% - Énfasis4 13 2 4" xfId="33759" xr:uid="{AA503BFF-9A62-4BD9-BE65-FAB9388D7C5B}"/>
    <cellStyle name="40% - Énfasis4 13 2 5" xfId="39623" xr:uid="{EA6290B0-B292-4A99-9063-1813492B9E6E}"/>
    <cellStyle name="40% - Énfasis4 13 3" xfId="19262" xr:uid="{FE3DDDDB-9D6A-4173-8240-02EF3F8CB019}"/>
    <cellStyle name="40% - Énfasis4 13 4" xfId="25028" xr:uid="{953DB3BE-D41F-4316-B393-F6D9D44EF9BC}"/>
    <cellStyle name="40% - Énfasis4 13 5" xfId="30902" xr:uid="{3452B1F3-0B99-4E95-987E-C8A677DC5684}"/>
    <cellStyle name="40% - Énfasis4 13 6" xfId="36782" xr:uid="{C4A33A46-3292-4E39-90A0-2D1D13541D44}"/>
    <cellStyle name="40% - Énfasis4 14" xfId="5746" xr:uid="{C1101173-09A5-4CFC-B2B0-766C616510C2}"/>
    <cellStyle name="40% - Énfasis4 14 2" xfId="8615" xr:uid="{64192252-D00C-497D-95CE-B515BB75F1E6}"/>
    <cellStyle name="40% - Énfasis4 14 2 2" xfId="22986" xr:uid="{B02FD378-833A-4310-BF43-45C32F59E5BF}"/>
    <cellStyle name="40% - Énfasis4 14 2 3" xfId="28848" xr:uid="{B82EA5C8-3B2B-42F8-9657-4A0510D8F8BE}"/>
    <cellStyle name="40% - Énfasis4 14 2 4" xfId="34730" xr:uid="{0C11C6C5-C668-4B39-A092-2B6EBBA06614}"/>
    <cellStyle name="40% - Énfasis4 14 2 5" xfId="40594" xr:uid="{7EAF9CD3-E832-4A3D-9566-6AF506A92C16}"/>
    <cellStyle name="40% - Énfasis4 14 3" xfId="20204" xr:uid="{57F9F53D-68E6-4798-A4E5-352E20841B1D}"/>
    <cellStyle name="40% - Énfasis4 14 4" xfId="25998" xr:uid="{BD8F8E2C-B472-44EF-B288-E987B60DEA52}"/>
    <cellStyle name="40% - Énfasis4 14 5" xfId="31873" xr:uid="{177F6B9F-6C57-49A6-B35D-1F3058996BA5}"/>
    <cellStyle name="40% - Énfasis4 14 6" xfId="37739" xr:uid="{65ED0886-593B-4C0B-ACA8-A8AC4C412799}"/>
    <cellStyle name="40% - Énfasis4 15" xfId="5766" xr:uid="{C5D334B1-D693-4E47-A855-55751150ED4E}"/>
    <cellStyle name="40% - Énfasis4 15 2" xfId="8635" xr:uid="{C14436C4-813D-41E8-AEEC-0F036FDFC236}"/>
    <cellStyle name="40% - Énfasis4 15 2 2" xfId="23006" xr:uid="{FF3B414C-5F2D-42AB-82B5-55833AB06549}"/>
    <cellStyle name="40% - Énfasis4 15 2 3" xfId="28868" xr:uid="{D9A9494F-0E24-4DD3-B9EC-24F71D2455BF}"/>
    <cellStyle name="40% - Énfasis4 15 2 4" xfId="34750" xr:uid="{12EFC4E4-935F-4D48-A834-F1D13F17BDBE}"/>
    <cellStyle name="40% - Énfasis4 15 2 5" xfId="40614" xr:uid="{329640FF-2A78-48BE-9ACF-7DC396143D9F}"/>
    <cellStyle name="40% - Énfasis4 15 3" xfId="20223" xr:uid="{7BBF7F1D-054C-471F-A0CA-978108177DF7}"/>
    <cellStyle name="40% - Énfasis4 15 4" xfId="26018" xr:uid="{0045B843-1494-4CF0-BAE1-24822831F3E3}"/>
    <cellStyle name="40% - Énfasis4 15 5" xfId="31893" xr:uid="{8B288E01-0FD8-438F-BA80-A0B6083A56F1}"/>
    <cellStyle name="40% - Énfasis4 15 6" xfId="37759" xr:uid="{113B59A2-48AD-4E75-A010-2EEA64A73BD9}"/>
    <cellStyle name="40% - Énfasis4 16" xfId="5786" xr:uid="{68537E57-00B4-4970-BA30-68AAE353AAC7}"/>
    <cellStyle name="40% - Énfasis4 16 2" xfId="8655" xr:uid="{A7DF0A00-267E-4FA3-BB99-EF9C7C507DDE}"/>
    <cellStyle name="40% - Énfasis4 16 2 2" xfId="23026" xr:uid="{45AAFA5A-2533-44CB-A139-27AA6ED1DF5F}"/>
    <cellStyle name="40% - Énfasis4 16 2 3" xfId="28888" xr:uid="{23F6DE6F-AD19-40D8-87D4-7F57951D4F6D}"/>
    <cellStyle name="40% - Énfasis4 16 2 4" xfId="34770" xr:uid="{5288C893-4B36-418D-A492-1459A630E1EE}"/>
    <cellStyle name="40% - Énfasis4 16 2 5" xfId="40634" xr:uid="{38494C7B-6A2C-41DA-B397-C016DDE7D446}"/>
    <cellStyle name="40% - Énfasis4 16 3" xfId="20241" xr:uid="{4FE89E66-0D48-47B5-9348-82DC65D1E401}"/>
    <cellStyle name="40% - Énfasis4 16 4" xfId="26038" xr:uid="{79C6C5B5-118F-4542-9DC1-DB584F7979BB}"/>
    <cellStyle name="40% - Énfasis4 16 5" xfId="31913" xr:uid="{9CC5C58A-396C-43A9-9ECC-7627D66AD820}"/>
    <cellStyle name="40% - Énfasis4 16 6" xfId="37779" xr:uid="{B0F4351A-6952-452B-ABB3-7AC0C364DD2B}"/>
    <cellStyle name="40% - Énfasis4 17" xfId="5985" xr:uid="{70E2083E-4300-416C-9F11-5E38A153C1FF}"/>
    <cellStyle name="40% - Énfasis4 17 2" xfId="8854" xr:uid="{94C004E6-9AF0-4593-9CFB-44F5BEE26183}"/>
    <cellStyle name="40% - Énfasis4 17 2 2" xfId="23218" xr:uid="{4C13E980-8312-46C9-A63C-ED30D124A56F}"/>
    <cellStyle name="40% - Énfasis4 17 2 3" xfId="29085" xr:uid="{22BD96F1-4F4F-4EDB-A6A3-CA6A0C0C969D}"/>
    <cellStyle name="40% - Énfasis4 17 2 4" xfId="34967" xr:uid="{EC25E132-440A-46D8-8B75-FD2BBFF47791}"/>
    <cellStyle name="40% - Énfasis4 17 2 5" xfId="40831" xr:uid="{745619CC-8457-47B6-8FF2-28B660BFBEFC}"/>
    <cellStyle name="40% - Énfasis4 17 3" xfId="20433" xr:uid="{CCF3F031-CCA2-4E4A-AF61-24BC3A9507C2}"/>
    <cellStyle name="40% - Énfasis4 17 4" xfId="26235" xr:uid="{04CFA661-CB81-4D94-B5B0-F087C67A4662}"/>
    <cellStyle name="40% - Énfasis4 17 5" xfId="32110" xr:uid="{520743BB-9834-4814-A474-6E0998DC2CD4}"/>
    <cellStyle name="40% - Énfasis4 17 6" xfId="37975" xr:uid="{E01B19B5-861B-4821-8165-0673CFAAC95D}"/>
    <cellStyle name="40% - Énfasis4 18" xfId="6005" xr:uid="{FC72750F-CB6C-4FC6-8993-C2FF166616A9}"/>
    <cellStyle name="40% - Énfasis4 18 2" xfId="8874" xr:uid="{659F399D-9509-41F8-AC86-819B0174E38E}"/>
    <cellStyle name="40% - Énfasis4 18 2 2" xfId="23238" xr:uid="{E658EC45-FE6C-4F5C-8292-1A413DC26735}"/>
    <cellStyle name="40% - Énfasis4 18 2 3" xfId="29105" xr:uid="{16ED9105-A8CC-47D6-8955-0A4DE0DF35EF}"/>
    <cellStyle name="40% - Énfasis4 18 2 4" xfId="34987" xr:uid="{3CD5C1D0-7790-4ED1-93F6-7ECB3DAC573E}"/>
    <cellStyle name="40% - Énfasis4 18 2 5" xfId="40851" xr:uid="{739CF3D4-E132-4B93-A54C-91F4B05541C9}"/>
    <cellStyle name="40% - Énfasis4 18 3" xfId="20453" xr:uid="{67C870D4-9054-4512-85F0-9E57A7099411}"/>
    <cellStyle name="40% - Énfasis4 18 4" xfId="26255" xr:uid="{7B8C38E7-D3F1-47A1-8C97-F273051DB925}"/>
    <cellStyle name="40% - Énfasis4 18 5" xfId="32130" xr:uid="{984DA7D1-ADC1-4EE1-AB6D-CD114601B6AC}"/>
    <cellStyle name="40% - Énfasis4 18 6" xfId="37995" xr:uid="{A7246801-3CB6-4A47-9BD7-62C6E460C74F}"/>
    <cellStyle name="40% - Énfasis4 19" xfId="6025" xr:uid="{58764790-9CE9-43E5-856C-B4F46036C735}"/>
    <cellStyle name="40% - Énfasis4 19 2" xfId="8894" xr:uid="{3932FB41-F98C-4516-8FEA-F089B57497B6}"/>
    <cellStyle name="40% - Énfasis4 19 2 2" xfId="23258" xr:uid="{06593071-8CAE-40D6-A02F-D3D7B1535174}"/>
    <cellStyle name="40% - Énfasis4 19 2 3" xfId="29125" xr:uid="{ACAC44A7-CB46-4FD0-A017-C216BE7E0F34}"/>
    <cellStyle name="40% - Énfasis4 19 2 4" xfId="35007" xr:uid="{AA8C9E99-F92B-46CD-9869-9A10AEAAA008}"/>
    <cellStyle name="40% - Énfasis4 19 2 5" xfId="40871" xr:uid="{0828149E-281D-427B-98BE-22260577836E}"/>
    <cellStyle name="40% - Énfasis4 19 3" xfId="20473" xr:uid="{3FD05628-575D-45E4-86A0-541FACBE105A}"/>
    <cellStyle name="40% - Énfasis4 19 4" xfId="26275" xr:uid="{F0E4799D-1D43-479F-B3F8-204BFA877FFC}"/>
    <cellStyle name="40% - Énfasis4 19 5" xfId="32150" xr:uid="{D83BA415-1F94-40E2-8D30-138D0DFC7CB0}"/>
    <cellStyle name="40% - Énfasis4 19 6" xfId="38015" xr:uid="{ABC11B05-1B83-48EC-8759-204F4FFAB269}"/>
    <cellStyle name="40% - Énfasis4 2" xfId="3847" xr:uid="{4321A6E2-B1D4-40F9-91B2-CBC77525EE28}"/>
    <cellStyle name="40% - Énfasis4 2 10" xfId="35830" xr:uid="{44634958-1A00-4E76-8A56-CE150301E466}"/>
    <cellStyle name="40% - Énfasis4 2 2" xfId="4045" xr:uid="{0428306B-9209-4883-922F-FC10D1F6B56E}"/>
    <cellStyle name="40% - Énfasis4 2 2 2" xfId="4519" xr:uid="{E4172C88-7A29-413B-A069-277D6264CCB1}"/>
    <cellStyle name="40% - Énfasis4 2 2 2 2" xfId="5487" xr:uid="{9147D3E3-2A46-467A-8618-B48C02D7CB48}"/>
    <cellStyle name="40% - Énfasis4 2 2 2 2 2" xfId="8354" xr:uid="{291875BD-9B68-4381-88DA-7C5931FE6F70}"/>
    <cellStyle name="40% - Énfasis4 2 2 2 2 2 2" xfId="22729" xr:uid="{FD7F3FBD-1657-4A9F-AFD0-B4794CEF31E1}"/>
    <cellStyle name="40% - Énfasis4 2 2 2 2 2 3" xfId="28587" xr:uid="{94E17F6D-0C0C-48A1-A5B4-80A89B442A66}"/>
    <cellStyle name="40% - Énfasis4 2 2 2 2 2 4" xfId="34469" xr:uid="{916A81A3-CF08-463C-88E1-DE955D608BD9}"/>
    <cellStyle name="40% - Énfasis4 2 2 2 2 2 5" xfId="40333" xr:uid="{A277B8EC-08DB-438F-AD77-F844732B1A09}"/>
    <cellStyle name="40% - Énfasis4 2 2 2 2 3" xfId="19948" xr:uid="{C061D172-F59C-4DAA-8422-E7FC18421C90}"/>
    <cellStyle name="40% - Énfasis4 2 2 2 2 4" xfId="25738" xr:uid="{11147680-8850-4750-83EF-4632FD977CB3}"/>
    <cellStyle name="40% - Énfasis4 2 2 2 2 5" xfId="31612" xr:uid="{85F3DE86-5EE5-46F1-99DD-B5C3375128A2}"/>
    <cellStyle name="40% - Énfasis4 2 2 2 2 6" xfId="37482" xr:uid="{4BBD2163-D607-4AA5-A28A-56B770412AA0}"/>
    <cellStyle name="40% - Énfasis4 2 2 2 3" xfId="7382" xr:uid="{8561AC60-6EB5-4B21-800E-211A6F9D74BE}"/>
    <cellStyle name="40% - Énfasis4 2 2 2 3 2" xfId="21784" xr:uid="{52F47F22-66FA-43EF-A258-325A045377CE}"/>
    <cellStyle name="40% - Énfasis4 2 2 2 3 3" xfId="27616" xr:uid="{51C8C712-B075-4136-84D2-EBCDFF400501}"/>
    <cellStyle name="40% - Énfasis4 2 2 2 3 4" xfId="33498" xr:uid="{868A1016-55FF-47FE-9736-84A79E8D3905}"/>
    <cellStyle name="40% - Énfasis4 2 2 2 3 5" xfId="39362" xr:uid="{9569E4B5-B9D0-4E39-8F15-128D6FA11194}"/>
    <cellStyle name="40% - Énfasis4 2 2 2 4" xfId="19018" xr:uid="{60AD9D30-CDC6-44C0-9F6D-50CB8D554A30}"/>
    <cellStyle name="40% - Énfasis4 2 2 2 5" xfId="24767" xr:uid="{AAFB2F4D-DDE5-49A3-8D4B-97C76B246C12}"/>
    <cellStyle name="40% - Énfasis4 2 2 2 6" xfId="30644" xr:uid="{E7F55593-6329-4D8D-A810-4EC59C555D4A}"/>
    <cellStyle name="40% - Énfasis4 2 2 2 7" xfId="36525" xr:uid="{7BF08361-110A-48D6-AFFF-C85B0B0DD6BB}"/>
    <cellStyle name="40% - Énfasis4 2 2 3" xfId="5002" xr:uid="{6725491E-F7F7-4AE8-8072-BE62A52AB1FC}"/>
    <cellStyle name="40% - Énfasis4 2 2 3 2" xfId="7869" xr:uid="{004E04DC-52DC-46DA-BE94-AB77D1D25756}"/>
    <cellStyle name="40% - Énfasis4 2 2 3 2 2" xfId="22254" xr:uid="{814052EA-8285-4425-8C0B-82259E9D9003}"/>
    <cellStyle name="40% - Énfasis4 2 2 3 2 3" xfId="28102" xr:uid="{80218400-5DD1-46F5-80FB-A8925A18FEBA}"/>
    <cellStyle name="40% - Énfasis4 2 2 3 2 4" xfId="33984" xr:uid="{4E63A492-2E4E-4134-9972-0C7C055B4EFE}"/>
    <cellStyle name="40% - Énfasis4 2 2 3 2 5" xfId="39848" xr:uid="{AB2F74EC-D9FF-4569-A8CE-9A4312464A42}"/>
    <cellStyle name="40% - Énfasis4 2 2 3 3" xfId="19481" xr:uid="{7B850AE5-4AEA-4C08-87DA-F25EFDF2EA2C}"/>
    <cellStyle name="40% - Énfasis4 2 2 3 4" xfId="25253" xr:uid="{87F349C0-573D-48B3-800B-43604E3BA6CA}"/>
    <cellStyle name="40% - Énfasis4 2 2 3 5" xfId="31127" xr:uid="{2648D336-1F84-47AA-991D-9ECC6D5724D4}"/>
    <cellStyle name="40% - Énfasis4 2 2 3 6" xfId="37005" xr:uid="{97710BE5-BEEC-4E85-B70D-A33D75ECC4F8}"/>
    <cellStyle name="40% - Énfasis4 2 2 4" xfId="6897" xr:uid="{EBCC9A52-6F4B-44C6-BE16-C075489F132D}"/>
    <cellStyle name="40% - Énfasis4 2 2 4 2" xfId="21318" xr:uid="{CEF48541-0128-402A-AB7F-33B1D8514E5B}"/>
    <cellStyle name="40% - Énfasis4 2 2 4 3" xfId="27135" xr:uid="{AC059E0D-5420-44E4-881D-845A23ADC866}"/>
    <cellStyle name="40% - Énfasis4 2 2 4 4" xfId="33013" xr:uid="{FE399BBA-D1E0-4D65-92DD-B901DBC7C1AD}"/>
    <cellStyle name="40% - Énfasis4 2 2 4 5" xfId="38877" xr:uid="{4926AB40-6A15-487C-BD9F-C69DE1BF0FB1}"/>
    <cellStyle name="40% - Énfasis4 2 2 5" xfId="18572" xr:uid="{27172A16-19A3-45D6-B6D2-42E9E8F55B01}"/>
    <cellStyle name="40% - Énfasis4 2 2 6" xfId="24284" xr:uid="{F5AD7982-3B20-4B13-A2BE-DAAAAE584D30}"/>
    <cellStyle name="40% - Énfasis4 2 2 7" xfId="30162" xr:uid="{6616FB9D-085A-4171-B7BA-0B244FDFB4A8}"/>
    <cellStyle name="40% - Énfasis4 2 2 8" xfId="36041" xr:uid="{C44796A7-1528-4C09-BA42-23F62AAAEDE5}"/>
    <cellStyle name="40% - Énfasis4 2 3" xfId="4325" xr:uid="{78C3121A-D7C4-43D0-8EDB-C6A36BC4D973}"/>
    <cellStyle name="40% - Énfasis4 2 3 2" xfId="5291" xr:uid="{ADC8EEC2-0C54-45F0-89C3-46C00B5B80F7}"/>
    <cellStyle name="40% - Énfasis4 2 3 2 2" xfId="8158" xr:uid="{7DAE6C84-03B3-457E-BC42-F971F6C82BDE}"/>
    <cellStyle name="40% - Énfasis4 2 3 2 2 2" xfId="22534" xr:uid="{3696BDA2-60B0-4F66-A2C7-1C834BD678F0}"/>
    <cellStyle name="40% - Énfasis4 2 3 2 2 3" xfId="28391" xr:uid="{1AE7AB72-1D6C-4B79-A5FE-4835436EC386}"/>
    <cellStyle name="40% - Énfasis4 2 3 2 2 4" xfId="34273" xr:uid="{F3A6DF38-432D-4AE3-9FCB-572FDB4E98E9}"/>
    <cellStyle name="40% - Énfasis4 2 3 2 2 5" xfId="40137" xr:uid="{89CEA19F-A870-4AFF-B756-28DDEA3E53D2}"/>
    <cellStyle name="40% - Énfasis4 2 3 2 3" xfId="19759" xr:uid="{2B0B635C-327E-4C4A-8491-E16CB03DBF62}"/>
    <cellStyle name="40% - Énfasis4 2 3 2 4" xfId="25542" xr:uid="{D8EC946F-B9F0-403E-9BC8-DAA86AD54AFF}"/>
    <cellStyle name="40% - Énfasis4 2 3 2 5" xfId="31416" xr:uid="{A3147C9F-AAEB-4C70-8A98-613E34022682}"/>
    <cellStyle name="40% - Énfasis4 2 3 2 6" xfId="37287" xr:uid="{7B9D368E-BAA5-4360-86A7-A6B375931F94}"/>
    <cellStyle name="40% - Énfasis4 2 3 3" xfId="7186" xr:uid="{76F125BF-D0E1-44FB-AD71-8DA58A79506D}"/>
    <cellStyle name="40% - Énfasis4 2 3 3 2" xfId="21593" xr:uid="{03894374-A572-4D31-9F0F-997636C39365}"/>
    <cellStyle name="40% - Énfasis4 2 3 3 3" xfId="27420" xr:uid="{4A4E2BB7-B84A-4C35-B521-9C78FB39C954}"/>
    <cellStyle name="40% - Énfasis4 2 3 3 4" xfId="33302" xr:uid="{0E9D6068-6F13-4078-A36C-58B0440B3732}"/>
    <cellStyle name="40% - Énfasis4 2 3 3 5" xfId="39166" xr:uid="{85CC938F-F35B-4BD7-95AB-63D2B673AA1D}"/>
    <cellStyle name="40% - Énfasis4 2 3 4" xfId="18830" xr:uid="{69F72FD7-3EC1-4926-8C3B-C8D539B46E5E}"/>
    <cellStyle name="40% - Énfasis4 2 3 5" xfId="24571" xr:uid="{B763FDB2-F83B-4C36-B5D5-6B668CDFA5AE}"/>
    <cellStyle name="40% - Énfasis4 2 3 6" xfId="30450" xr:uid="{506EAC4B-CE54-4AC3-AAA3-1BC5CFB29AB3}"/>
    <cellStyle name="40% - Énfasis4 2 3 7" xfId="36330" xr:uid="{4C2419D4-8CC9-4E1D-87D6-F232DC72FCA7}"/>
    <cellStyle name="40% - Énfasis4 2 4" xfId="4810" xr:uid="{0115D81F-124B-40EF-9FE0-BE3C917356B9}"/>
    <cellStyle name="40% - Énfasis4 2 4 2" xfId="7673" xr:uid="{E12A8C91-70C8-4637-ACD3-ABFA542C75FC}"/>
    <cellStyle name="40% - Énfasis4 2 4 2 2" xfId="22064" xr:uid="{72B242C0-2834-429A-BC82-6B7F82B86B1C}"/>
    <cellStyle name="40% - Énfasis4 2 4 2 3" xfId="27906" xr:uid="{598F320E-2DE3-4E4E-8EE9-8BDA1B17931A}"/>
    <cellStyle name="40% - Énfasis4 2 4 2 4" xfId="33788" xr:uid="{234AC64A-CB18-4E81-8569-310BEB5895E1}"/>
    <cellStyle name="40% - Énfasis4 2 4 2 5" xfId="39652" xr:uid="{DD458962-8675-4BBB-858F-78112ABA5AF8}"/>
    <cellStyle name="40% - Énfasis4 2 4 3" xfId="19289" xr:uid="{066BC8BD-C3C0-4F7D-B572-5B84F5B9485B}"/>
    <cellStyle name="40% - Énfasis4 2 4 4" xfId="25057" xr:uid="{BA233EA2-4294-4B06-BB3B-331D9848B179}"/>
    <cellStyle name="40% - Énfasis4 2 4 5" xfId="30931" xr:uid="{F6D98057-CFBB-47A6-8D41-CFAD349B96AE}"/>
    <cellStyle name="40% - Énfasis4 2 4 6" xfId="36810" xr:uid="{DBC2E791-8A09-47CF-B714-2B15AA42EB87}"/>
    <cellStyle name="40% - Énfasis4 2 5" xfId="5816" xr:uid="{AD0B4404-23DA-4B2E-A725-00006C49FA57}"/>
    <cellStyle name="40% - Énfasis4 2 5 2" xfId="8685" xr:uid="{57333FF1-A028-4D7B-A293-DF9E4D3AD167}"/>
    <cellStyle name="40% - Énfasis4 2 5 2 2" xfId="23053" xr:uid="{203E84AD-6916-4C09-8409-99FC878EE9AA}"/>
    <cellStyle name="40% - Énfasis4 2 5 2 3" xfId="28917" xr:uid="{B73E2348-E7D0-4F56-AC49-9191CB73FA15}"/>
    <cellStyle name="40% - Énfasis4 2 5 2 4" xfId="34799" xr:uid="{566BA2AA-004A-40D4-AA61-8B6695F01F1A}"/>
    <cellStyle name="40% - Énfasis4 2 5 2 5" xfId="40663" xr:uid="{9C37799F-1EE7-4ECE-BBA3-7C7F16F391C0}"/>
    <cellStyle name="40% - Énfasis4 2 5 3" xfId="20268" xr:uid="{2C6C5429-E051-4167-A0F7-68E27B140C5B}"/>
    <cellStyle name="40% - Énfasis4 2 5 4" xfId="26067" xr:uid="{3562C1B5-B4C9-4313-99F1-AB3305E2A021}"/>
    <cellStyle name="40% - Énfasis4 2 5 5" xfId="31942" xr:uid="{8F1CD208-AA98-4942-B64B-224D7777C722}"/>
    <cellStyle name="40% - Énfasis4 2 5 6" xfId="37808" xr:uid="{44BC7E50-6C1C-425C-BE86-7AF79E7A9936}"/>
    <cellStyle name="40% - Énfasis4 2 6" xfId="6702" xr:uid="{8B09A929-8600-4FC3-95B4-02639D448AA2}"/>
    <cellStyle name="40% - Énfasis4 2 6 2" xfId="21129" xr:uid="{AFA4C2CC-1484-4215-87C5-986405E05E8D}"/>
    <cellStyle name="40% - Énfasis4 2 6 3" xfId="26941" xr:uid="{05FE35EB-F014-4B3D-9AF9-98CE40488C5C}"/>
    <cellStyle name="40% - Énfasis4 2 6 4" xfId="32817" xr:uid="{1F612B5E-B272-4079-A043-91A47C688777}"/>
    <cellStyle name="40% - Énfasis4 2 6 5" xfId="38681" xr:uid="{AD1F2366-CDFF-4F34-9FB3-E0DD92772495}"/>
    <cellStyle name="40% - Énfasis4 2 7" xfId="18363" xr:uid="{9F331B51-0015-4D84-9922-31063964087A}"/>
    <cellStyle name="40% - Énfasis4 2 8" xfId="24071" xr:uid="{AD6E4997-789F-49F9-9672-93063B989FBF}"/>
    <cellStyle name="40% - Énfasis4 2 9" xfId="29949" xr:uid="{F01E1D32-2C9A-40AB-9AFB-CF7F953C3C7D}"/>
    <cellStyle name="40% - Énfasis4 20" xfId="6045" xr:uid="{7A2D4419-745A-4295-A15E-12C13461E828}"/>
    <cellStyle name="40% - Énfasis4 20 2" xfId="8914" xr:uid="{2B049EE9-A52B-4535-A8D0-59F4248958EC}"/>
    <cellStyle name="40% - Énfasis4 20 2 2" xfId="23278" xr:uid="{7CF26B9D-E012-4724-8E13-00DEE6225420}"/>
    <cellStyle name="40% - Énfasis4 20 2 3" xfId="29145" xr:uid="{534E76DB-942D-4FAF-819C-DC16441D8709}"/>
    <cellStyle name="40% - Énfasis4 20 2 4" xfId="35027" xr:uid="{9845E290-8D63-4D82-9E56-9E48BBFB1BCB}"/>
    <cellStyle name="40% - Énfasis4 20 2 5" xfId="40891" xr:uid="{ECB583BE-DD27-4CBC-A855-C6A65138EEE7}"/>
    <cellStyle name="40% - Énfasis4 20 3" xfId="20493" xr:uid="{364A247B-83EA-4B14-A0EA-B1D8FA28C1EF}"/>
    <cellStyle name="40% - Énfasis4 20 4" xfId="26295" xr:uid="{BC57AE33-2D69-43B9-A3D1-6F10083BED2D}"/>
    <cellStyle name="40% - Énfasis4 20 5" xfId="32170" xr:uid="{17996C14-CABC-4736-8057-3F581E0F9589}"/>
    <cellStyle name="40% - Énfasis4 20 6" xfId="38035" xr:uid="{7DD54223-FBF9-41CA-BB8D-7A987DD9130F}"/>
    <cellStyle name="40% - Énfasis4 21" xfId="6065" xr:uid="{1CFD0098-FAD2-46DB-82FB-5DA71CA6B53F}"/>
    <cellStyle name="40% - Énfasis4 21 2" xfId="8934" xr:uid="{CC47DC89-B6B7-4529-BDCA-66D99C51CCF0}"/>
    <cellStyle name="40% - Énfasis4 21 2 2" xfId="23298" xr:uid="{70B4F141-6E3D-4354-9350-6790E7257560}"/>
    <cellStyle name="40% - Énfasis4 21 2 3" xfId="29165" xr:uid="{94E154F7-B501-446B-AB37-C15DEE299F94}"/>
    <cellStyle name="40% - Énfasis4 21 2 4" xfId="35047" xr:uid="{4B44DB23-C71D-4983-9014-47B0FBD7DFF8}"/>
    <cellStyle name="40% - Énfasis4 21 2 5" xfId="40911" xr:uid="{F70203B9-209A-4134-A8E9-96C82FB1479E}"/>
    <cellStyle name="40% - Énfasis4 21 3" xfId="20513" xr:uid="{BA5382A2-674F-495E-972F-91565A272A2A}"/>
    <cellStyle name="40% - Énfasis4 21 4" xfId="26315" xr:uid="{4050C174-CADE-43DD-9204-63F8AEAD611D}"/>
    <cellStyle name="40% - Énfasis4 21 5" xfId="32190" xr:uid="{2FCD1D82-A04D-498D-B520-39B3BAC33CA2}"/>
    <cellStyle name="40% - Énfasis4 21 6" xfId="38055" xr:uid="{3BF949E4-F6E0-41A0-9C69-C24352D98403}"/>
    <cellStyle name="40% - Énfasis4 22" xfId="6085" xr:uid="{497F062B-625A-42D8-869C-0056B64D42AC}"/>
    <cellStyle name="40% - Énfasis4 22 2" xfId="8954" xr:uid="{9EFF74A4-3643-4897-A3CE-56A4658343D5}"/>
    <cellStyle name="40% - Énfasis4 22 2 2" xfId="23318" xr:uid="{671CC62F-BD9D-4D8F-B8EB-E084ECFD2795}"/>
    <cellStyle name="40% - Énfasis4 22 2 3" xfId="29185" xr:uid="{ACFA807C-94DC-4983-91B4-601770A68DC7}"/>
    <cellStyle name="40% - Énfasis4 22 2 4" xfId="35067" xr:uid="{A9100F1D-B428-4FCE-8890-8563EB69C6A1}"/>
    <cellStyle name="40% - Énfasis4 22 2 5" xfId="40931" xr:uid="{512A4314-3A5B-4E48-BB6C-0D5D9C31647E}"/>
    <cellStyle name="40% - Énfasis4 22 3" xfId="20533" xr:uid="{CD60BE74-F45F-4F26-B647-0F50895A8C74}"/>
    <cellStyle name="40% - Énfasis4 22 4" xfId="26335" xr:uid="{ED48773D-88F2-40E5-831C-EF611F7A4A63}"/>
    <cellStyle name="40% - Énfasis4 22 5" xfId="32210" xr:uid="{550F4B64-2917-44B3-ABC8-EB7D3668B055}"/>
    <cellStyle name="40% - Énfasis4 22 6" xfId="38075" xr:uid="{B2769533-E43B-4479-A7F0-917434A8E371}"/>
    <cellStyle name="40% - Énfasis4 23" xfId="6105" xr:uid="{208C9CA8-82A9-4EE5-ABA5-00702B351312}"/>
    <cellStyle name="40% - Énfasis4 23 2" xfId="8974" xr:uid="{6429452C-362D-468A-A406-CBD79356EB9B}"/>
    <cellStyle name="40% - Énfasis4 23 2 2" xfId="23338" xr:uid="{2D73F181-A4E1-4CE0-A41A-99804B5309C6}"/>
    <cellStyle name="40% - Énfasis4 23 2 3" xfId="29205" xr:uid="{31588000-7A3E-4AD9-BC49-2F41C6F5353A}"/>
    <cellStyle name="40% - Énfasis4 23 2 4" xfId="35087" xr:uid="{43058486-2AFC-4723-95E5-5AEC324D8571}"/>
    <cellStyle name="40% - Énfasis4 23 2 5" xfId="40951" xr:uid="{D497DA09-094A-41EA-A98C-570F3B6CD573}"/>
    <cellStyle name="40% - Énfasis4 23 3" xfId="20553" xr:uid="{53145D4B-631E-42DF-A28B-797DBDB149AC}"/>
    <cellStyle name="40% - Énfasis4 23 4" xfId="26355" xr:uid="{D7612848-E459-468A-B3FC-2BBE612D1B41}"/>
    <cellStyle name="40% - Énfasis4 23 5" xfId="32230" xr:uid="{E7A4EE75-0E94-4B37-9015-3CE2B44E94DB}"/>
    <cellStyle name="40% - Énfasis4 23 6" xfId="38095" xr:uid="{DC1EA0DE-38E6-4A1A-8257-C976C0F8365A}"/>
    <cellStyle name="40% - Énfasis4 24" xfId="6125" xr:uid="{5B19B472-5730-4D7D-AE9E-D11CDD5D52A4}"/>
    <cellStyle name="40% - Énfasis4 24 2" xfId="8994" xr:uid="{22DEB810-A251-41F9-AA4A-9B9A3B397849}"/>
    <cellStyle name="40% - Énfasis4 24 2 2" xfId="23358" xr:uid="{8693DF67-B88A-4B9B-B406-13D34080FFA8}"/>
    <cellStyle name="40% - Énfasis4 24 2 3" xfId="29225" xr:uid="{C390D751-F1DF-447A-A351-5FAA079E35E6}"/>
    <cellStyle name="40% - Énfasis4 24 2 4" xfId="35107" xr:uid="{BD9C77F0-9551-4141-B249-54291578E855}"/>
    <cellStyle name="40% - Énfasis4 24 2 5" xfId="40971" xr:uid="{9EA45E67-D1CB-40DA-B52F-B97981A37032}"/>
    <cellStyle name="40% - Énfasis4 24 3" xfId="20573" xr:uid="{359257CA-1913-4291-A48B-4EB940D26F37}"/>
    <cellStyle name="40% - Énfasis4 24 4" xfId="26375" xr:uid="{19142A50-7C8F-4699-9CAB-D2D7E3B2A3EC}"/>
    <cellStyle name="40% - Énfasis4 24 5" xfId="32250" xr:uid="{9DEEA590-5EE1-40D0-8A87-77D48738FF45}"/>
    <cellStyle name="40% - Énfasis4 24 6" xfId="38115" xr:uid="{EDC66B0B-2672-4CFA-80A1-0CA30831F272}"/>
    <cellStyle name="40% - Énfasis4 25" xfId="6145" xr:uid="{2EF8324E-AFE9-4EAC-81B0-AC95D84EC9D3}"/>
    <cellStyle name="40% - Énfasis4 25 2" xfId="9014" xr:uid="{02E2B7AE-B87A-414C-912D-8A86E12EDB3F}"/>
    <cellStyle name="40% - Énfasis4 25 2 2" xfId="23378" xr:uid="{D708DA3C-BBBD-443B-A314-5D3482358D4D}"/>
    <cellStyle name="40% - Énfasis4 25 2 3" xfId="29245" xr:uid="{054D55CF-7915-4C40-A112-B519799FE47F}"/>
    <cellStyle name="40% - Énfasis4 25 2 4" xfId="35127" xr:uid="{CED2A412-A2BB-49A8-9ECB-94C464550D88}"/>
    <cellStyle name="40% - Énfasis4 25 2 5" xfId="40990" xr:uid="{25719E53-3E53-4F0A-AB7B-AD21F4406948}"/>
    <cellStyle name="40% - Énfasis4 25 3" xfId="20593" xr:uid="{B5F98E4F-28B7-42B6-A680-DB0F14F29B54}"/>
    <cellStyle name="40% - Énfasis4 25 4" xfId="26395" xr:uid="{F85B87EF-37FB-4395-A693-743D0BF4B2EC}"/>
    <cellStyle name="40% - Énfasis4 25 5" xfId="32270" xr:uid="{B5E9DBF2-4BAD-4EA9-8CAE-3F5C6B7F88F1}"/>
    <cellStyle name="40% - Énfasis4 25 6" xfId="38135" xr:uid="{CBDB5A93-082A-48D9-AA15-222BD78716B5}"/>
    <cellStyle name="40% - Énfasis4 26" xfId="6165" xr:uid="{CEB4FD47-1CEB-4720-831A-1D1322B959CD}"/>
    <cellStyle name="40% - Énfasis4 26 2" xfId="9034" xr:uid="{293FAFA2-663D-486A-A419-5705875593B7}"/>
    <cellStyle name="40% - Énfasis4 26 2 2" xfId="23398" xr:uid="{5FC5A468-6AB7-4301-BB79-E7A2C87654AE}"/>
    <cellStyle name="40% - Énfasis4 26 2 3" xfId="29265" xr:uid="{A66CC734-3733-43BD-BB7C-DC5BB5011040}"/>
    <cellStyle name="40% - Énfasis4 26 2 4" xfId="35147" xr:uid="{9DC1C61A-1548-4C26-AD92-7CA304280816}"/>
    <cellStyle name="40% - Énfasis4 26 2 5" xfId="41009" xr:uid="{8BF9A4FB-7FC4-4489-BF18-9E5014773212}"/>
    <cellStyle name="40% - Énfasis4 26 3" xfId="20613" xr:uid="{92729B79-44D0-42F7-96B8-D906397F3B3C}"/>
    <cellStyle name="40% - Énfasis4 26 4" xfId="26415" xr:uid="{B8B9FAEA-4B53-4821-950C-B8DAF1313C03}"/>
    <cellStyle name="40% - Énfasis4 26 5" xfId="32290" xr:uid="{46B031BA-B21E-49E5-B796-AA22492E4AFA}"/>
    <cellStyle name="40% - Énfasis4 26 6" xfId="38155" xr:uid="{3A9434DC-FE22-4660-96EC-21E105CBC5CE}"/>
    <cellStyle name="40% - Énfasis4 27" xfId="6185" xr:uid="{861E7565-9F44-4E8D-AB87-C7949E772113}"/>
    <cellStyle name="40% - Énfasis4 27 2" xfId="9054" xr:uid="{E003FF99-83B5-439E-8CF1-7F2190D5F3C8}"/>
    <cellStyle name="40% - Énfasis4 27 2 2" xfId="23418" xr:uid="{4E531BE8-C73A-4605-9041-FDC482BCAB57}"/>
    <cellStyle name="40% - Énfasis4 27 2 3" xfId="29285" xr:uid="{ECD87756-EBC1-4BE6-8903-8D7CEC1D2331}"/>
    <cellStyle name="40% - Énfasis4 27 2 4" xfId="35167" xr:uid="{CF83772B-640D-4B3B-AC56-E7217D262C5B}"/>
    <cellStyle name="40% - Énfasis4 27 2 5" xfId="41029" xr:uid="{23BE4845-0C00-4A2B-8E4D-A050E3859FF5}"/>
    <cellStyle name="40% - Énfasis4 27 3" xfId="20633" xr:uid="{6DDA8DE5-14E8-4FC5-A3CE-7FB52D12FC2B}"/>
    <cellStyle name="40% - Énfasis4 27 4" xfId="26435" xr:uid="{7AF31FFC-2573-47D2-B74F-94248C701A78}"/>
    <cellStyle name="40% - Énfasis4 27 5" xfId="32310" xr:uid="{1399E0DF-57F2-4A5B-93CD-345E8AC43082}"/>
    <cellStyle name="40% - Énfasis4 27 6" xfId="38175" xr:uid="{3117F16C-92F8-43F0-BE9B-4D61FEBD55A0}"/>
    <cellStyle name="40% - Énfasis4 28" xfId="6207" xr:uid="{0156F359-3203-498F-B5FE-792F611E19DF}"/>
    <cellStyle name="40% - Énfasis4 28 2" xfId="9076" xr:uid="{F5CD8C01-049A-48FF-BEA9-66FED02E12FA}"/>
    <cellStyle name="40% - Énfasis4 28 2 2" xfId="23440" xr:uid="{58C3A0A6-1A82-48C6-AA72-C64467E10ECB}"/>
    <cellStyle name="40% - Énfasis4 28 2 3" xfId="29307" xr:uid="{1302A589-6DD8-4518-B367-E354652C98F5}"/>
    <cellStyle name="40% - Énfasis4 28 2 4" xfId="35189" xr:uid="{AB1B5032-90D7-41C1-82BA-D6D0C9875DDE}"/>
    <cellStyle name="40% - Énfasis4 28 2 5" xfId="41050" xr:uid="{1A277866-829E-43C4-9275-96EBD8897483}"/>
    <cellStyle name="40% - Énfasis4 28 3" xfId="20655" xr:uid="{9A020556-6777-479B-9E66-F953D6FC9C8C}"/>
    <cellStyle name="40% - Énfasis4 28 4" xfId="26457" xr:uid="{CBB414BF-E1C9-465A-88A1-F47FBF0FC2A5}"/>
    <cellStyle name="40% - Énfasis4 28 5" xfId="32332" xr:uid="{8614DA28-50D7-47EF-960E-17151BE9C674}"/>
    <cellStyle name="40% - Énfasis4 28 6" xfId="38197" xr:uid="{7B5784B7-30E0-465E-9D34-E553BB2D68CA}"/>
    <cellStyle name="40% - Énfasis4 29" xfId="6244" xr:uid="{FD934A0F-CDFF-43E1-90C4-BBE06EFD18BD}"/>
    <cellStyle name="40% - Énfasis4 29 2" xfId="9113" xr:uid="{14CE2764-94FA-4920-94C0-E1B278733CF8}"/>
    <cellStyle name="40% - Énfasis4 29 2 2" xfId="23477" xr:uid="{54F4A2B4-8677-4894-AE90-EA72D01A4AE8}"/>
    <cellStyle name="40% - Énfasis4 29 2 3" xfId="29344" xr:uid="{49D8769A-CE57-43EB-A7DA-902E690ED18F}"/>
    <cellStyle name="40% - Énfasis4 29 2 4" xfId="35226" xr:uid="{325F410A-C166-4FF9-9516-C94885ADDC65}"/>
    <cellStyle name="40% - Énfasis4 29 2 5" xfId="41086" xr:uid="{A6C2E901-C32E-4323-9E2B-298700544291}"/>
    <cellStyle name="40% - Énfasis4 29 3" xfId="20685" xr:uid="{29515150-385D-4C37-A0E7-FD06C44266EE}"/>
    <cellStyle name="40% - Énfasis4 29 4" xfId="26494" xr:uid="{5DB0D44F-9276-4896-BCFE-81D9E68DB541}"/>
    <cellStyle name="40% - Énfasis4 29 5" xfId="32369" xr:uid="{CA7587E7-5F1F-4B84-BBE7-16AC98ACBA9E}"/>
    <cellStyle name="40% - Énfasis4 29 6" xfId="38234" xr:uid="{02C1B444-D31E-45CB-B000-5155679D995A}"/>
    <cellStyle name="40% - Énfasis4 3" xfId="3867" xr:uid="{B939B5E6-DBBC-4ED8-A76A-A713D85097C8}"/>
    <cellStyle name="40% - Énfasis4 3 10" xfId="35857" xr:uid="{11A9B79D-F2D6-4D31-AE74-9A1014AB8B67}"/>
    <cellStyle name="40% - Énfasis4 3 2" xfId="4066" xr:uid="{BE4A1D0B-5F3F-499F-A0E7-946486C782CC}"/>
    <cellStyle name="40% - Énfasis4 3 2 2" xfId="4544" xr:uid="{841E45A9-4E28-4BC7-A890-8100D362DDCD}"/>
    <cellStyle name="40% - Énfasis4 3 2 2 2" xfId="5512" xr:uid="{9566DE61-1E4C-4DA2-8541-07952E68ED01}"/>
    <cellStyle name="40% - Énfasis4 3 2 2 2 2" xfId="8379" xr:uid="{8011BD3B-846F-4267-8C3A-F50EC2C3EBE2}"/>
    <cellStyle name="40% - Énfasis4 3 2 2 2 2 2" xfId="22754" xr:uid="{CDF2820B-D8E3-42B9-950A-82B2D5B10C61}"/>
    <cellStyle name="40% - Énfasis4 3 2 2 2 2 3" xfId="28612" xr:uid="{6F9A90BE-86D4-4544-B51A-AA9E43F246A9}"/>
    <cellStyle name="40% - Énfasis4 3 2 2 2 2 4" xfId="34494" xr:uid="{9F0DC40D-7ACA-4EC9-8C33-2BD93D2BCC88}"/>
    <cellStyle name="40% - Énfasis4 3 2 2 2 2 5" xfId="40358" xr:uid="{DE3DDDFB-84DF-417D-A1C3-789DE255C177}"/>
    <cellStyle name="40% - Énfasis4 3 2 2 2 3" xfId="19972" xr:uid="{64620FE1-EF48-48F8-905E-2848E3E8A82D}"/>
    <cellStyle name="40% - Énfasis4 3 2 2 2 4" xfId="25763" xr:uid="{453048E3-6944-4704-B524-5AE41094FF09}"/>
    <cellStyle name="40% - Énfasis4 3 2 2 2 5" xfId="31637" xr:uid="{17CF763E-18EA-41A5-BBFB-768244206A66}"/>
    <cellStyle name="40% - Énfasis4 3 2 2 2 6" xfId="37507" xr:uid="{8D52B2F1-DD74-49F3-AA59-5CCA827F7399}"/>
    <cellStyle name="40% - Énfasis4 3 2 2 3" xfId="7407" xr:uid="{9C8D59FE-71C4-4957-A590-F7A3D2351DC6}"/>
    <cellStyle name="40% - Énfasis4 3 2 2 3 2" xfId="21809" xr:uid="{105E680C-6C9C-4287-830E-46951D6D56AC}"/>
    <cellStyle name="40% - Énfasis4 3 2 2 3 3" xfId="27641" xr:uid="{1865916E-A6A5-4CF4-8A77-55C2E4D4B3AD}"/>
    <cellStyle name="40% - Énfasis4 3 2 2 3 4" xfId="33523" xr:uid="{1BEC7E34-3E8F-435D-A1ED-15C928C0A6CC}"/>
    <cellStyle name="40% - Énfasis4 3 2 2 3 5" xfId="39387" xr:uid="{53458555-E7FC-4BFE-A0FE-1E27BF45E61F}"/>
    <cellStyle name="40% - Énfasis4 3 2 2 4" xfId="19040" xr:uid="{D64C2C3D-D72C-4AF5-8C29-1C2CDFDD8478}"/>
    <cellStyle name="40% - Énfasis4 3 2 2 5" xfId="24792" xr:uid="{EE478DC9-0721-4FAB-9273-3C861E160A32}"/>
    <cellStyle name="40% - Énfasis4 3 2 2 6" xfId="30669" xr:uid="{3BF39540-E3A2-40CF-A1D2-EB3AF7823354}"/>
    <cellStyle name="40% - Énfasis4 3 2 2 7" xfId="36550" xr:uid="{C4655F6C-B381-40F6-8424-8DBA445BCB29}"/>
    <cellStyle name="40% - Énfasis4 3 2 3" xfId="5027" xr:uid="{AC0A6D8F-DE22-4C6E-BF4A-A8AA95B99840}"/>
    <cellStyle name="40% - Énfasis4 3 2 3 2" xfId="7894" xr:uid="{477BD107-9839-4C2A-A4FE-D800EC633CD4}"/>
    <cellStyle name="40% - Énfasis4 3 2 3 2 2" xfId="22279" xr:uid="{44CC05E9-9BDF-480C-97A5-43870746A7B8}"/>
    <cellStyle name="40% - Énfasis4 3 2 3 2 3" xfId="28127" xr:uid="{5FAD287A-BB3C-4D9C-8D66-95C0FC955B33}"/>
    <cellStyle name="40% - Énfasis4 3 2 3 2 4" xfId="34009" xr:uid="{815C8985-3995-4230-ADAB-D6427912ABB4}"/>
    <cellStyle name="40% - Énfasis4 3 2 3 2 5" xfId="39873" xr:uid="{7D613571-006E-4D77-8128-6DAD15E38704}"/>
    <cellStyle name="40% - Énfasis4 3 2 3 3" xfId="19505" xr:uid="{47EF1769-9020-4FEB-A405-E9C4D3894BCE}"/>
    <cellStyle name="40% - Énfasis4 3 2 3 4" xfId="25278" xr:uid="{B45E5F96-2538-4E03-9D99-E598E867842C}"/>
    <cellStyle name="40% - Énfasis4 3 2 3 5" xfId="31152" xr:uid="{89A64627-E578-42D4-811B-7E6A86A0E23B}"/>
    <cellStyle name="40% - Énfasis4 3 2 3 6" xfId="37030" xr:uid="{240BFEAC-2953-4330-9F21-55325FA8191C}"/>
    <cellStyle name="40% - Énfasis4 3 2 4" xfId="6922" xr:uid="{B8441B98-3D31-4F4B-B2E6-668D001EB537}"/>
    <cellStyle name="40% - Énfasis4 3 2 4 2" xfId="21342" xr:uid="{5B2022BC-6347-42B4-95DD-5AD0BE180F25}"/>
    <cellStyle name="40% - Énfasis4 3 2 4 3" xfId="27160" xr:uid="{C2A5C1E6-B1D3-4956-929E-F9284DBDC320}"/>
    <cellStyle name="40% - Énfasis4 3 2 4 4" xfId="33038" xr:uid="{0636C8B6-8B2B-41BC-807D-0011D4445142}"/>
    <cellStyle name="40% - Énfasis4 3 2 4 5" xfId="38902" xr:uid="{FEA1C79F-3312-4C58-B194-61CC457D91D9}"/>
    <cellStyle name="40% - Énfasis4 3 2 5" xfId="18597" xr:uid="{80A48963-9F72-4888-A6A8-C79E9D211A61}"/>
    <cellStyle name="40% - Énfasis4 3 2 6" xfId="24309" xr:uid="{A6C7C963-D696-4BB0-BA28-2C8147D7280F}"/>
    <cellStyle name="40% - Énfasis4 3 2 7" xfId="30187" xr:uid="{1178CFF9-B6FA-42AB-AD19-D9DF9D2E34B6}"/>
    <cellStyle name="40% - Énfasis4 3 2 8" xfId="36066" xr:uid="{76505C76-5CEF-4818-A3F4-882BD5465181}"/>
    <cellStyle name="40% - Énfasis4 3 3" xfId="4350" xr:uid="{8BEEE0AC-7D3E-4EBF-B4C2-819DA83A875F}"/>
    <cellStyle name="40% - Énfasis4 3 3 2" xfId="5316" xr:uid="{B724BE6D-E9A5-4494-8091-8962286A4F1F}"/>
    <cellStyle name="40% - Énfasis4 3 3 2 2" xfId="8183" xr:uid="{C8063335-D949-4F02-8ACA-DD2D7CF7E5FB}"/>
    <cellStyle name="40% - Énfasis4 3 3 2 2 2" xfId="22559" xr:uid="{DE9E1BE6-8F73-4245-B85D-6D92D0D41016}"/>
    <cellStyle name="40% - Énfasis4 3 3 2 2 3" xfId="28416" xr:uid="{7D31C06F-6264-4798-A963-3B3FA9585F1B}"/>
    <cellStyle name="40% - Énfasis4 3 3 2 2 4" xfId="34298" xr:uid="{759A36A6-A421-48FE-A2AD-6381434087AD}"/>
    <cellStyle name="40% - Énfasis4 3 3 2 2 5" xfId="40162" xr:uid="{46416E13-C527-4E43-9E70-271655E34794}"/>
    <cellStyle name="40% - Énfasis4 3 3 2 3" xfId="19784" xr:uid="{A32303D9-CA68-435B-A57A-4BEEC9751309}"/>
    <cellStyle name="40% - Énfasis4 3 3 2 4" xfId="25567" xr:uid="{8C190F7C-7511-4D1E-8F2F-DC0723A6F125}"/>
    <cellStyle name="40% - Énfasis4 3 3 2 5" xfId="31441" xr:uid="{C5274959-A2ED-4149-9AD1-37B664BE5502}"/>
    <cellStyle name="40% - Énfasis4 3 3 2 6" xfId="37312" xr:uid="{EB9501E9-0284-4D57-9343-2B16D690FC21}"/>
    <cellStyle name="40% - Énfasis4 3 3 3" xfId="7211" xr:uid="{B70F4A0F-D022-44B0-86ED-469A86EE063C}"/>
    <cellStyle name="40% - Énfasis4 3 3 3 2" xfId="21618" xr:uid="{0450701D-5031-4C63-9B76-9BB5E47C5BD6}"/>
    <cellStyle name="40% - Énfasis4 3 3 3 3" xfId="27445" xr:uid="{1F3CFBA8-378B-4E32-A3D0-06219BA09702}"/>
    <cellStyle name="40% - Énfasis4 3 3 3 4" xfId="33327" xr:uid="{D1FD2F99-ED1F-4731-B95B-B0D1BCCC571B}"/>
    <cellStyle name="40% - Énfasis4 3 3 3 5" xfId="39191" xr:uid="{0EF5BBE7-9DA0-471C-B1AD-06F2F50DED58}"/>
    <cellStyle name="40% - Énfasis4 3 3 4" xfId="18855" xr:uid="{57BAA6DB-3223-4EA2-B8F4-953CE9CCFAAF}"/>
    <cellStyle name="40% - Énfasis4 3 3 5" xfId="24596" xr:uid="{09AB2AA1-7AB0-46D8-973F-56A83606D51F}"/>
    <cellStyle name="40% - Énfasis4 3 3 6" xfId="30475" xr:uid="{8E959449-72A1-4992-86EA-1A3BAD72E391}"/>
    <cellStyle name="40% - Énfasis4 3 3 7" xfId="36355" xr:uid="{1347AC38-BAEE-4F41-9837-1E506B88DE0F}"/>
    <cellStyle name="40% - Énfasis4 3 4" xfId="4832" xr:uid="{B25DD472-11D1-4056-A873-7299BA861AE0}"/>
    <cellStyle name="40% - Énfasis4 3 4 2" xfId="7698" xr:uid="{82CDF0A5-2224-48DB-9610-7489E1DFFDF9}"/>
    <cellStyle name="40% - Énfasis4 3 4 2 2" xfId="22088" xr:uid="{23C1958A-2AA7-47C0-B2A1-4AF8F5BDBC17}"/>
    <cellStyle name="40% - Énfasis4 3 4 2 3" xfId="27931" xr:uid="{A7245D10-FE42-486E-B332-194188DC9AE3}"/>
    <cellStyle name="40% - Énfasis4 3 4 2 4" xfId="33813" xr:uid="{B7651C43-86EF-4691-9FE3-B96313BF743A}"/>
    <cellStyle name="40% - Énfasis4 3 4 2 5" xfId="39677" xr:uid="{C19D841F-B4BC-413D-B9E2-5038292494F5}"/>
    <cellStyle name="40% - Énfasis4 3 4 3" xfId="19314" xr:uid="{350E9D6F-B80F-4CC0-907A-47A5FBAED8F1}"/>
    <cellStyle name="40% - Énfasis4 3 4 4" xfId="25082" xr:uid="{8C055CF2-1599-41EE-9785-43B2AAEB9DE7}"/>
    <cellStyle name="40% - Énfasis4 3 4 5" xfId="30956" xr:uid="{BB68115A-D679-403A-9A80-AC1FFE2F8C8B}"/>
    <cellStyle name="40% - Énfasis4 3 4 6" xfId="36835" xr:uid="{E268A1F4-C5B1-4655-A8E5-953B801EB826}"/>
    <cellStyle name="40% - Énfasis4 3 5" xfId="5841" xr:uid="{0B9F1BC3-834B-4885-B40A-C77B7BB0B925}"/>
    <cellStyle name="40% - Énfasis4 3 5 2" xfId="8710" xr:uid="{AC048AD0-4FEA-4AD8-9C71-CBC0A3914C52}"/>
    <cellStyle name="40% - Énfasis4 3 5 2 2" xfId="23078" xr:uid="{76ACA665-91CE-4935-A31B-EE3D60EA9394}"/>
    <cellStyle name="40% - Énfasis4 3 5 2 3" xfId="28942" xr:uid="{849BA520-7BD2-4330-9E65-36854263AFF5}"/>
    <cellStyle name="40% - Énfasis4 3 5 2 4" xfId="34824" xr:uid="{4A225E95-925E-47EB-8246-40BB60A66A2A}"/>
    <cellStyle name="40% - Énfasis4 3 5 2 5" xfId="40688" xr:uid="{63054C10-1284-4D29-BC87-7EB88E24EB70}"/>
    <cellStyle name="40% - Énfasis4 3 5 3" xfId="20293" xr:uid="{86C3E842-4BC3-4C9D-9614-0C98B7031AEB}"/>
    <cellStyle name="40% - Énfasis4 3 5 4" xfId="26092" xr:uid="{4502A7E0-D3D6-4087-8F6A-6298DA1BE984}"/>
    <cellStyle name="40% - Énfasis4 3 5 5" xfId="31967" xr:uid="{CD0303C4-46AE-4B57-9E18-DAF37DB63FA7}"/>
    <cellStyle name="40% - Énfasis4 3 5 6" xfId="37833" xr:uid="{00CE71D7-2178-4889-98B3-6F125454DD55}"/>
    <cellStyle name="40% - Énfasis4 3 6" xfId="6727" xr:uid="{861D26D7-3D6C-4EBE-8711-811B312FDAC1}"/>
    <cellStyle name="40% - Énfasis4 3 6 2" xfId="21151" xr:uid="{A9BB5F45-1C4B-4899-A210-70EA07F9FA9E}"/>
    <cellStyle name="40% - Énfasis4 3 6 3" xfId="26966" xr:uid="{5DC599FD-FCCD-4C61-9531-BD13FD3C5E04}"/>
    <cellStyle name="40% - Énfasis4 3 6 4" xfId="32842" xr:uid="{1A2C6AE2-1827-4817-826A-BCF29F9EFE08}"/>
    <cellStyle name="40% - Énfasis4 3 6 5" xfId="38706" xr:uid="{A14BB1FC-86D1-47E7-8D28-F4D01ACCC039}"/>
    <cellStyle name="40% - Énfasis4 3 7" xfId="18389" xr:uid="{7EB018A1-B8AA-47B8-AD6C-73C232491839}"/>
    <cellStyle name="40% - Énfasis4 3 8" xfId="24098" xr:uid="{FD22E4B6-EA4D-4721-B642-1C776887FAC7}"/>
    <cellStyle name="40% - Énfasis4 3 9" xfId="29976" xr:uid="{BB9F1F9D-B767-42B7-967A-6C9ACB3DB9E9}"/>
    <cellStyle name="40% - Énfasis4 30" xfId="6264" xr:uid="{A174E2C1-162F-4372-82EE-3E9B10C81D7F}"/>
    <cellStyle name="40% - Énfasis4 30 2" xfId="9133" xr:uid="{4E78D214-7A0B-408D-B3CA-5AF3D6453605}"/>
    <cellStyle name="40% - Énfasis4 30 2 2" xfId="23497" xr:uid="{94084DBA-7EA5-4F4B-A98E-91B1986590FD}"/>
    <cellStyle name="40% - Énfasis4 30 2 3" xfId="29364" xr:uid="{3CAD834C-3D77-4A31-8F12-11C6EFE5D5F4}"/>
    <cellStyle name="40% - Énfasis4 30 2 4" xfId="35246" xr:uid="{1283E91A-B142-4823-BA40-174CF0928C9F}"/>
    <cellStyle name="40% - Énfasis4 30 2 5" xfId="41105" xr:uid="{D984C4BE-1630-4FF3-B3D7-D640D1266098}"/>
    <cellStyle name="40% - Énfasis4 30 3" xfId="20705" xr:uid="{D62120BC-99C4-4F85-BFEC-50B0E648DE72}"/>
    <cellStyle name="40% - Énfasis4 30 4" xfId="26514" xr:uid="{DB8CE5F6-6F7F-470B-B150-CAAC44BAECE5}"/>
    <cellStyle name="40% - Énfasis4 30 5" xfId="32389" xr:uid="{97BA2546-ACE0-4393-B5F0-0CD5A027EC5F}"/>
    <cellStyle name="40% - Énfasis4 30 6" xfId="38254" xr:uid="{CDE497CF-A0D9-4722-9D60-BB57F08B73A1}"/>
    <cellStyle name="40% - Énfasis4 31" xfId="6284" xr:uid="{3A4139F2-4979-431C-A417-A0E66DF6CDF1}"/>
    <cellStyle name="40% - Énfasis4 31 2" xfId="9153" xr:uid="{72A6F733-DF61-424D-8783-FF098C12B79E}"/>
    <cellStyle name="40% - Énfasis4 31 2 2" xfId="23517" xr:uid="{BF77EC3D-0C85-4860-BBED-FAC0A83568F3}"/>
    <cellStyle name="40% - Énfasis4 31 2 3" xfId="29384" xr:uid="{D5695730-3EC4-45F4-8757-D7EAA7D67777}"/>
    <cellStyle name="40% - Énfasis4 31 2 4" xfId="35266" xr:uid="{F0A02F66-9A11-49DF-950F-EFA83725B3A3}"/>
    <cellStyle name="40% - Énfasis4 31 2 5" xfId="41125" xr:uid="{BFE336DB-2F4B-4178-BEB3-73D2548127B9}"/>
    <cellStyle name="40% - Énfasis4 31 3" xfId="20725" xr:uid="{B59A6727-7928-4477-A92C-8FCC0C2B6DDB}"/>
    <cellStyle name="40% - Énfasis4 31 4" xfId="26534" xr:uid="{EE01FA36-E5DA-45EC-B180-D63A5FCE0634}"/>
    <cellStyle name="40% - Énfasis4 31 5" xfId="32409" xr:uid="{916A9937-5161-49AB-B82D-0C287C4EB5D2}"/>
    <cellStyle name="40% - Énfasis4 31 6" xfId="38274" xr:uid="{7FE563F4-FA71-48EA-B279-A967704B636D}"/>
    <cellStyle name="40% - Énfasis4 32" xfId="6308" xr:uid="{69851598-E5AE-4B83-9CAC-1D758543DFC1}"/>
    <cellStyle name="40% - Énfasis4 32 2" xfId="9176" xr:uid="{0C5C0ABF-31B4-4659-8F60-DDC3B9722F9C}"/>
    <cellStyle name="40% - Énfasis4 32 2 2" xfId="23540" xr:uid="{6E39FC82-D137-4FDC-88F7-F1EFCCBF28C2}"/>
    <cellStyle name="40% - Énfasis4 32 2 3" xfId="29407" xr:uid="{9A971A82-2F08-4E64-AEA3-39EECE4FE0CF}"/>
    <cellStyle name="40% - Énfasis4 32 2 4" xfId="35289" xr:uid="{B6E35C8F-7D51-48D5-9FE9-0DE6BDA03B53}"/>
    <cellStyle name="40% - Énfasis4 32 2 5" xfId="41148" xr:uid="{9486D0A9-DB03-4F0B-B663-3C744184883D}"/>
    <cellStyle name="40% - Énfasis4 32 3" xfId="20749" xr:uid="{ADC786C0-0E61-4D0D-8A19-213DB769DB04}"/>
    <cellStyle name="40% - Énfasis4 32 4" xfId="26558" xr:uid="{39D2F6EF-9C5B-4256-A5D0-A843BD2ED630}"/>
    <cellStyle name="40% - Énfasis4 32 5" xfId="32433" xr:uid="{96CE9673-B99B-4201-9F57-D6EABC9B1164}"/>
    <cellStyle name="40% - Énfasis4 32 6" xfId="38298" xr:uid="{9EACFD5F-A0F5-447A-85C4-D73C296FD013}"/>
    <cellStyle name="40% - Énfasis4 33" xfId="6340" xr:uid="{0D1B95F1-F7B1-434E-BE22-7C625E014D20}"/>
    <cellStyle name="40% - Énfasis4 33 2" xfId="9205" xr:uid="{21DF632D-A04D-49FC-AA06-4A38EAAC74F4}"/>
    <cellStyle name="40% - Énfasis4 33 2 2" xfId="23568" xr:uid="{AF9B58F3-45DE-4C3D-BCFD-0AA57532C13A}"/>
    <cellStyle name="40% - Énfasis4 33 2 3" xfId="29436" xr:uid="{B50876B9-CBD5-4227-8472-7459B02512BA}"/>
    <cellStyle name="40% - Énfasis4 33 2 4" xfId="35318" xr:uid="{C3442B30-883A-43BF-9FAB-75656D4CB5C2}"/>
    <cellStyle name="40% - Énfasis4 33 2 5" xfId="41177" xr:uid="{F6F83072-DFC6-4C01-9783-7202D12DCD7E}"/>
    <cellStyle name="40% - Énfasis4 33 3" xfId="20781" xr:uid="{4BC9A93A-3567-49D8-BEA2-A22F80871AD9}"/>
    <cellStyle name="40% - Énfasis4 33 4" xfId="26590" xr:uid="{596979C0-53A4-4B67-9F4B-D4ABB7027492}"/>
    <cellStyle name="40% - Énfasis4 33 5" xfId="32465" xr:uid="{1DBF0E8D-6931-4AD6-9066-56D6348EE188}"/>
    <cellStyle name="40% - Énfasis4 33 6" xfId="38329" xr:uid="{541293BE-A898-4E19-9A34-5A5D9294D650}"/>
    <cellStyle name="40% - Énfasis4 34" xfId="6360" xr:uid="{1138A292-8720-4980-9AFB-2CD764002467}"/>
    <cellStyle name="40% - Énfasis4 34 2" xfId="9225" xr:uid="{1F2C10AB-09DB-4DDA-ABAC-E9045B725349}"/>
    <cellStyle name="40% - Énfasis4 34 2 2" xfId="23588" xr:uid="{53DBAA5F-1BCC-42F0-B36A-BB609B8E7C86}"/>
    <cellStyle name="40% - Énfasis4 34 2 3" xfId="29456" xr:uid="{996DA182-D1FC-4F9C-B395-DD293B5A8DAE}"/>
    <cellStyle name="40% - Énfasis4 34 2 4" xfId="35338" xr:uid="{A0B6D864-9F5B-46DE-8246-4DA8BF082204}"/>
    <cellStyle name="40% - Énfasis4 34 2 5" xfId="41197" xr:uid="{4E17A31F-5A01-4F02-8041-3B6E3523CD94}"/>
    <cellStyle name="40% - Énfasis4 34 3" xfId="20801" xr:uid="{CADC6090-9CC7-46A6-AD52-50833E3642EB}"/>
    <cellStyle name="40% - Énfasis4 34 4" xfId="26610" xr:uid="{5D5F7D0A-19F3-40BA-A3DB-340DA6024087}"/>
    <cellStyle name="40% - Énfasis4 34 5" xfId="32485" xr:uid="{067D46FF-5C52-4B29-AC74-504693F9A906}"/>
    <cellStyle name="40% - Énfasis4 34 6" xfId="38349" xr:uid="{788D381D-C905-4197-9C36-2991873831C1}"/>
    <cellStyle name="40% - Énfasis4 35" xfId="6380" xr:uid="{6BE7FB39-B536-458D-B246-AD88A5BC911C}"/>
    <cellStyle name="40% - Énfasis4 35 2" xfId="9245" xr:uid="{2971DD05-6514-4549-A3D7-12B3C7F7F0FA}"/>
    <cellStyle name="40% - Énfasis4 35 2 2" xfId="23608" xr:uid="{D1C6372B-A545-43D8-A8A4-F5C73012A0CA}"/>
    <cellStyle name="40% - Énfasis4 35 2 3" xfId="29476" xr:uid="{2217F46B-C7DB-432D-B4D8-A450A43A1AFB}"/>
    <cellStyle name="40% - Énfasis4 35 2 4" xfId="35358" xr:uid="{7C50CFA9-886B-49BE-AAB1-D148182BD9B3}"/>
    <cellStyle name="40% - Énfasis4 35 2 5" xfId="41217" xr:uid="{A7F72E2C-1606-4859-8454-1895A9996DE1}"/>
    <cellStyle name="40% - Énfasis4 35 3" xfId="20821" xr:uid="{1C6A5EAE-C66D-4914-8344-6C167AE6D854}"/>
    <cellStyle name="40% - Énfasis4 35 4" xfId="26630" xr:uid="{DAEFF6E3-50C1-4E70-918F-24A5C9E1E6F0}"/>
    <cellStyle name="40% - Énfasis4 35 5" xfId="32505" xr:uid="{C13F97F9-C5D7-49B5-A8D0-FAB97A2B4289}"/>
    <cellStyle name="40% - Énfasis4 35 6" xfId="38369" xr:uid="{C26A6AAF-C69E-47A0-A38A-0BFEDCB8DB52}"/>
    <cellStyle name="40% - Énfasis4 36" xfId="6401" xr:uid="{E1165B36-AC82-4BC7-985D-88A914589B70}"/>
    <cellStyle name="40% - Énfasis4 36 2" xfId="9266" xr:uid="{84814277-C7E3-4974-88AB-8FA491EDA966}"/>
    <cellStyle name="40% - Énfasis4 36 2 2" xfId="23629" xr:uid="{C6DFD309-FDD6-4055-B5ED-32F2E0BF46F7}"/>
    <cellStyle name="40% - Énfasis4 36 2 3" xfId="29497" xr:uid="{20913F18-DDD4-41F3-B1D2-939CA25D04F8}"/>
    <cellStyle name="40% - Énfasis4 36 2 4" xfId="35379" xr:uid="{47CAA762-94D2-4FD8-B26D-EFAB9EDE15E5}"/>
    <cellStyle name="40% - Énfasis4 36 2 5" xfId="41238" xr:uid="{ACEDAADF-E380-4A8F-A343-40560CED0BCA}"/>
    <cellStyle name="40% - Énfasis4 36 3" xfId="20842" xr:uid="{58E289BA-D473-490A-B334-41FCD789BA58}"/>
    <cellStyle name="40% - Énfasis4 36 4" xfId="26651" xr:uid="{C6EB82B0-EAB1-4552-9964-9B4B83CE3EB6}"/>
    <cellStyle name="40% - Énfasis4 36 5" xfId="32526" xr:uid="{B3B7C570-9C52-4B99-9165-D08CB2BFEA0A}"/>
    <cellStyle name="40% - Énfasis4 36 6" xfId="38390" xr:uid="{CCF148F1-6A9C-4B0E-933E-A6927510EC1B}"/>
    <cellStyle name="40% - Énfasis4 37" xfId="6430" xr:uid="{5219053E-66F1-4871-B57E-242643393925}"/>
    <cellStyle name="40% - Énfasis4 37 2" xfId="9292" xr:uid="{7C717380-BCF4-48F2-B9AD-BC14AA1E6331}"/>
    <cellStyle name="40% - Énfasis4 37 2 2" xfId="23655" xr:uid="{F78551F2-4391-4973-9098-BED8CEA32AF2}"/>
    <cellStyle name="40% - Énfasis4 37 2 3" xfId="29523" xr:uid="{9195D1E8-F345-4BB1-B0EC-AEECDD566709}"/>
    <cellStyle name="40% - Énfasis4 37 2 4" xfId="35405" xr:uid="{837C58BD-C1EC-44A5-9944-F07480A7043D}"/>
    <cellStyle name="40% - Énfasis4 37 2 5" xfId="41264" xr:uid="{BDCD42C0-6BD8-41C2-A551-8D40F806EB3C}"/>
    <cellStyle name="40% - Énfasis4 37 3" xfId="20871" xr:uid="{A62C3EF7-BD24-4A96-92F2-F66DAE023573}"/>
    <cellStyle name="40% - Énfasis4 37 4" xfId="26680" xr:uid="{C9644FDB-C845-47A9-8673-168620D1350A}"/>
    <cellStyle name="40% - Énfasis4 37 5" xfId="32555" xr:uid="{4CA15444-9562-41B6-A5E3-EAC59A9BE345}"/>
    <cellStyle name="40% - Énfasis4 37 6" xfId="38419" xr:uid="{388E164B-D1C5-406C-AEB7-638B32619400}"/>
    <cellStyle name="40% - Énfasis4 38" xfId="6464" xr:uid="{56D4BB40-34AA-4A30-B72F-F7475A868D1E}"/>
    <cellStyle name="40% - Énfasis4 38 2" xfId="9324" xr:uid="{3703F2E0-37B3-4434-B1F7-526783228D23}"/>
    <cellStyle name="40% - Énfasis4 38 2 2" xfId="23687" xr:uid="{E92E5F14-FD58-490E-813B-FD3E5BA4E0F7}"/>
    <cellStyle name="40% - Énfasis4 38 2 3" xfId="29555" xr:uid="{3B73FA2B-FDE4-41C1-AA5A-2677D338AA88}"/>
    <cellStyle name="40% - Énfasis4 38 2 4" xfId="35437" xr:uid="{58C2CB38-8771-4E73-A735-273642B5FDCB}"/>
    <cellStyle name="40% - Énfasis4 38 2 5" xfId="41296" xr:uid="{FB9D1D4B-D6FA-4298-8AC9-C23F87ED1B9B}"/>
    <cellStyle name="40% - Énfasis4 38 3" xfId="20902" xr:uid="{4CD69E1D-1DA2-4B60-9DB6-96EB8A1E506F}"/>
    <cellStyle name="40% - Énfasis4 38 4" xfId="26713" xr:uid="{C82438FE-18FF-4A16-9593-62AA5EFC5113}"/>
    <cellStyle name="40% - Énfasis4 38 5" xfId="32588" xr:uid="{10268DE2-2D49-4D12-8A18-8BD8766E388B}"/>
    <cellStyle name="40% - Énfasis4 38 6" xfId="38452" xr:uid="{C3062C9C-99C0-46D8-8EE8-8F55D4BE7169}"/>
    <cellStyle name="40% - Énfasis4 39" xfId="6484" xr:uid="{0522C7E6-EF00-468B-8C05-14081F7CFAE2}"/>
    <cellStyle name="40% - Énfasis4 39 2" xfId="9344" xr:uid="{2E634E7A-B2D9-4CA8-B994-8A91C4CBFACA}"/>
    <cellStyle name="40% - Énfasis4 39 2 2" xfId="23707" xr:uid="{BAF1D688-7640-478A-B1C2-5F86EA68848F}"/>
    <cellStyle name="40% - Énfasis4 39 2 3" xfId="29575" xr:uid="{3E652047-BBE9-443A-AA87-FD7663B18D10}"/>
    <cellStyle name="40% - Énfasis4 39 2 4" xfId="35457" xr:uid="{C31A119E-32C4-4CE4-A539-7F3AE834E71A}"/>
    <cellStyle name="40% - Énfasis4 39 2 5" xfId="41316" xr:uid="{4F8AF7B0-392C-448D-8087-D9FC4C3A6E19}"/>
    <cellStyle name="40% - Énfasis4 39 3" xfId="20922" xr:uid="{3A50332D-C9CB-4362-860E-F8DFF4A926FC}"/>
    <cellStyle name="40% - Énfasis4 39 4" xfId="26733" xr:uid="{38E4AE3F-E434-4ED3-B825-76FD51700A01}"/>
    <cellStyle name="40% - Énfasis4 39 5" xfId="32608" xr:uid="{BFABC0DC-498C-418E-9D74-BD208C3F8FC1}"/>
    <cellStyle name="40% - Énfasis4 39 6" xfId="38472" xr:uid="{A57F91FA-3BBB-4A41-A833-35AF1B6056D4}"/>
    <cellStyle name="40% - Énfasis4 4" xfId="3894" xr:uid="{64522294-B2A4-4903-9BB8-BC2B4DE56D7C}"/>
    <cellStyle name="40% - Énfasis4 4 10" xfId="35886" xr:uid="{9AB75494-E9C9-4660-A04C-9018196913BC}"/>
    <cellStyle name="40% - Énfasis4 4 2" xfId="4091" xr:uid="{F5D08E03-1390-48F9-A5D2-058C9312085D}"/>
    <cellStyle name="40% - Énfasis4 4 2 2" xfId="4569" xr:uid="{DFD65C10-E648-4089-8171-46FD9B251BB3}"/>
    <cellStyle name="40% - Énfasis4 4 2 2 2" xfId="5537" xr:uid="{7C7630B5-D2A8-4066-87A2-E568822BE6DB}"/>
    <cellStyle name="40% - Énfasis4 4 2 2 2 2" xfId="8404" xr:uid="{EDC7AD31-93C0-488F-8045-61E8EC1357FA}"/>
    <cellStyle name="40% - Énfasis4 4 2 2 2 2 2" xfId="22779" xr:uid="{0A2E2CFE-FE4D-4691-B8AA-4C4CE4F3A0C5}"/>
    <cellStyle name="40% - Énfasis4 4 2 2 2 2 3" xfId="28637" xr:uid="{070615E3-96B9-4DB5-9E74-A120CFF2D0A4}"/>
    <cellStyle name="40% - Énfasis4 4 2 2 2 2 4" xfId="34519" xr:uid="{704DECD8-5635-43CD-A9EC-B22DBFAC2758}"/>
    <cellStyle name="40% - Énfasis4 4 2 2 2 2 5" xfId="40383" xr:uid="{95B9D01D-13F5-4A3F-BA60-4A355352D52B}"/>
    <cellStyle name="40% - Énfasis4 4 2 2 2 3" xfId="19997" xr:uid="{16FE4108-5A66-4CF0-82BC-D2DEBE22801B}"/>
    <cellStyle name="40% - Énfasis4 4 2 2 2 4" xfId="25788" xr:uid="{A5ACA6EE-D524-424F-B8C8-07684B0C8B19}"/>
    <cellStyle name="40% - Énfasis4 4 2 2 2 5" xfId="31662" xr:uid="{5A8F157B-B20A-4277-AD24-93207B730E2D}"/>
    <cellStyle name="40% - Énfasis4 4 2 2 2 6" xfId="37532" xr:uid="{B0BDFE36-3544-4821-BBE1-2A3596F92DB5}"/>
    <cellStyle name="40% - Énfasis4 4 2 2 3" xfId="7432" xr:uid="{B4D54F9D-A47A-4B9B-8089-FD2A1248BF08}"/>
    <cellStyle name="40% - Énfasis4 4 2 2 3 2" xfId="21834" xr:uid="{6AB772F4-CC8F-42B9-A7A0-D3EC715A5DC6}"/>
    <cellStyle name="40% - Énfasis4 4 2 2 3 3" xfId="27666" xr:uid="{6E48D466-7D85-4227-BFD4-8BF7B4B24EED}"/>
    <cellStyle name="40% - Énfasis4 4 2 2 3 4" xfId="33548" xr:uid="{EB48ED61-AA56-4D8E-95A1-56A1276794EF}"/>
    <cellStyle name="40% - Énfasis4 4 2 2 3 5" xfId="39412" xr:uid="{59E8B7FF-544D-4BEF-AD20-4D4F0C9A62D7}"/>
    <cellStyle name="40% - Énfasis4 4 2 2 4" xfId="19065" xr:uid="{EBCE6826-170E-42AB-AA14-0110FDD09AB9}"/>
    <cellStyle name="40% - Énfasis4 4 2 2 5" xfId="24817" xr:uid="{EE9A75E0-EB7C-4194-ABB0-500CD591FF8E}"/>
    <cellStyle name="40% - Énfasis4 4 2 2 6" xfId="30694" xr:uid="{A19F6E3E-E9A4-4FB6-9CEC-5E1EB3AAF90D}"/>
    <cellStyle name="40% - Énfasis4 4 2 2 7" xfId="36575" xr:uid="{1A40FC5F-2787-4CE9-9A61-B14098A48157}"/>
    <cellStyle name="40% - Énfasis4 4 2 3" xfId="5052" xr:uid="{F985BE42-2830-4EE4-8F64-9FD045C9C8C8}"/>
    <cellStyle name="40% - Énfasis4 4 2 3 2" xfId="7919" xr:uid="{195C480E-20B3-453D-95DF-88FA8DA53749}"/>
    <cellStyle name="40% - Énfasis4 4 2 3 2 2" xfId="22304" xr:uid="{9804FFEC-0A4E-47AE-A979-7BDB80C7D6AB}"/>
    <cellStyle name="40% - Énfasis4 4 2 3 2 3" xfId="28152" xr:uid="{DA897989-F14C-4642-873C-C5EC66E4336F}"/>
    <cellStyle name="40% - Énfasis4 4 2 3 2 4" xfId="34034" xr:uid="{0C9D3A37-BB62-4655-99D9-952E93A530BD}"/>
    <cellStyle name="40% - Énfasis4 4 2 3 2 5" xfId="39898" xr:uid="{0215F349-40AE-4A45-9F6A-6A27E0F8686F}"/>
    <cellStyle name="40% - Énfasis4 4 2 3 3" xfId="19529" xr:uid="{CE55506F-52A9-44FC-9ED7-A7EB9A2FFD7E}"/>
    <cellStyle name="40% - Énfasis4 4 2 3 4" xfId="25303" xr:uid="{F6F7F5A7-9548-443A-B475-B881A6D240C2}"/>
    <cellStyle name="40% - Énfasis4 4 2 3 5" xfId="31177" xr:uid="{A60371B7-179C-4F1F-8F48-BBB4CD503C46}"/>
    <cellStyle name="40% - Énfasis4 4 2 3 6" xfId="37055" xr:uid="{AEA90138-3716-4692-9190-323196C5B415}"/>
    <cellStyle name="40% - Énfasis4 4 2 4" xfId="6947" xr:uid="{62A6DB66-79B9-4B59-BC4F-13D6C629D18A}"/>
    <cellStyle name="40% - Énfasis4 4 2 4 2" xfId="21367" xr:uid="{DE7695C4-0AC1-4FD0-BCD2-33C23A99D0D1}"/>
    <cellStyle name="40% - Énfasis4 4 2 4 3" xfId="27185" xr:uid="{93E409DB-55EC-403B-9B48-EDCFE95F2CCA}"/>
    <cellStyle name="40% - Énfasis4 4 2 4 4" xfId="33063" xr:uid="{20D91F07-13F1-41A2-A774-AD0FE06C1F04}"/>
    <cellStyle name="40% - Énfasis4 4 2 4 5" xfId="38927" xr:uid="{64B9DEBB-CEF4-4E0D-957B-5E938E9C46E9}"/>
    <cellStyle name="40% - Énfasis4 4 2 5" xfId="18621" xr:uid="{44A1C4C8-6F9D-49C5-B5F0-A3D1E4958F90}"/>
    <cellStyle name="40% - Énfasis4 4 2 6" xfId="24334" xr:uid="{882AE881-8F57-4B60-BF36-A0EE2F74E7CD}"/>
    <cellStyle name="40% - Énfasis4 4 2 7" xfId="30212" xr:uid="{88C9ED49-DDBF-4355-988B-D37DAC4AF9C2}"/>
    <cellStyle name="40% - Énfasis4 4 2 8" xfId="36091" xr:uid="{E6CF3085-7ADB-4E8C-B9F5-5EC73A40D9ED}"/>
    <cellStyle name="40% - Énfasis4 4 3" xfId="4375" xr:uid="{ACC0648F-98AC-4423-A892-37AC6FF50772}"/>
    <cellStyle name="40% - Énfasis4 4 3 2" xfId="5341" xr:uid="{9577690E-A5D7-4B48-AFD8-52422915EF05}"/>
    <cellStyle name="40% - Énfasis4 4 3 2 2" xfId="8208" xr:uid="{5B3BE149-C800-405E-9306-5CE66FB42137}"/>
    <cellStyle name="40% - Énfasis4 4 3 2 2 2" xfId="22584" xr:uid="{36F46BA3-3268-4E38-8C96-DE31C147F2F5}"/>
    <cellStyle name="40% - Énfasis4 4 3 2 2 3" xfId="28441" xr:uid="{F8893403-0219-4668-BEBD-B4AD101DABD2}"/>
    <cellStyle name="40% - Énfasis4 4 3 2 2 4" xfId="34323" xr:uid="{1DC0C04F-FBD6-43C9-9BCE-F1D9E5649F2E}"/>
    <cellStyle name="40% - Énfasis4 4 3 2 2 5" xfId="40187" xr:uid="{B51AE6C7-8CBF-4736-9522-7619B53C9FDB}"/>
    <cellStyle name="40% - Énfasis4 4 3 2 3" xfId="19808" xr:uid="{D9944C77-E950-4422-AD79-AE26A98D4D92}"/>
    <cellStyle name="40% - Énfasis4 4 3 2 4" xfId="25592" xr:uid="{148D4A5B-E8EC-4B99-9266-78B2F6BC48C0}"/>
    <cellStyle name="40% - Énfasis4 4 3 2 5" xfId="31466" xr:uid="{0F8DE9DF-CD34-497E-83D2-635AB8786354}"/>
    <cellStyle name="40% - Énfasis4 4 3 2 6" xfId="37337" xr:uid="{FE845B07-F65C-4126-86B8-08268826F876}"/>
    <cellStyle name="40% - Énfasis4 4 3 3" xfId="7236" xr:uid="{9DBB7974-B028-41DD-ACF9-98114CDF67F7}"/>
    <cellStyle name="40% - Énfasis4 4 3 3 2" xfId="21643" xr:uid="{C144DD5B-7AC8-4F93-AE90-41C6AD4E6D4E}"/>
    <cellStyle name="40% - Énfasis4 4 3 3 3" xfId="27470" xr:uid="{0B48EF5D-01B4-48B5-A5A2-A87495AE1844}"/>
    <cellStyle name="40% - Énfasis4 4 3 3 4" xfId="33352" xr:uid="{4B5912E6-FB00-412E-BF98-E4E678F986A1}"/>
    <cellStyle name="40% - Énfasis4 4 3 3 5" xfId="39216" xr:uid="{7439B634-C7F6-44C8-8666-FD02ED978239}"/>
    <cellStyle name="40% - Énfasis4 4 3 4" xfId="18878" xr:uid="{4D9F5EC9-731C-4451-8525-BFE2704A60F3}"/>
    <cellStyle name="40% - Énfasis4 4 3 5" xfId="24621" xr:uid="{16217B3C-7E9A-4692-A76C-B1F3D67809E4}"/>
    <cellStyle name="40% - Énfasis4 4 3 6" xfId="30500" xr:uid="{C69A0DFC-C860-4556-B1BF-80FC0955CB0B}"/>
    <cellStyle name="40% - Énfasis4 4 3 7" xfId="36380" xr:uid="{93D7A3C5-ADE7-42CB-91CE-1EA057D89881}"/>
    <cellStyle name="40% - Énfasis4 4 4" xfId="4857" xr:uid="{19D6D920-F813-4EA8-A92A-A9CF6E7E342B}"/>
    <cellStyle name="40% - Énfasis4 4 4 2" xfId="7723" xr:uid="{B5A21840-72D0-4238-8D5B-25420FD2C0D9}"/>
    <cellStyle name="40% - Énfasis4 4 4 2 2" xfId="22113" xr:uid="{B37825CD-681A-4CC8-A365-EA9B3106934E}"/>
    <cellStyle name="40% - Énfasis4 4 4 2 3" xfId="27956" xr:uid="{666DF891-0E7F-465C-A5E6-8CF26AF6AFAA}"/>
    <cellStyle name="40% - Énfasis4 4 4 2 4" xfId="33838" xr:uid="{8DE8A7FD-6E43-4CB8-9B40-8F910DFA1C93}"/>
    <cellStyle name="40% - Énfasis4 4 4 2 5" xfId="39702" xr:uid="{39C7F5E4-F4F1-4BB4-8C74-B189EA816AB5}"/>
    <cellStyle name="40% - Énfasis4 4 4 3" xfId="19339" xr:uid="{EA75E439-72E0-42E3-A02E-22D72768DCC2}"/>
    <cellStyle name="40% - Énfasis4 4 4 4" xfId="25107" xr:uid="{A032279B-E2C5-4E8E-B12F-92A3D0960B4D}"/>
    <cellStyle name="40% - Énfasis4 4 4 5" xfId="30981" xr:uid="{9E3DCB41-82A2-4742-9FE1-5E81AA702CA9}"/>
    <cellStyle name="40% - Énfasis4 4 4 6" xfId="36860" xr:uid="{E038C99C-D710-4F7F-B8DE-8105CA1B8966}"/>
    <cellStyle name="40% - Énfasis4 4 5" xfId="5866" xr:uid="{29C68F95-2654-4826-8472-C55FC8F8B341}"/>
    <cellStyle name="40% - Énfasis4 4 5 2" xfId="8735" xr:uid="{B131BEEA-C2AF-4BD6-B8F4-3FB12263BF7C}"/>
    <cellStyle name="40% - Énfasis4 4 5 2 2" xfId="23103" xr:uid="{F1A051B4-4C88-4421-9BDA-0EF15977E5F9}"/>
    <cellStyle name="40% - Énfasis4 4 5 2 3" xfId="28967" xr:uid="{A2F777EE-F54E-4AFE-BA76-FB09338AC636}"/>
    <cellStyle name="40% - Énfasis4 4 5 2 4" xfId="34849" xr:uid="{92366356-D4E1-4649-9048-4BE2BC1D5C6A}"/>
    <cellStyle name="40% - Énfasis4 4 5 2 5" xfId="40713" xr:uid="{2FB9229C-4DAB-4E62-BD45-7F87CA46CA77}"/>
    <cellStyle name="40% - Énfasis4 4 5 3" xfId="20318" xr:uid="{41D9D0B4-E207-460E-A2EE-C6B1B46C97F9}"/>
    <cellStyle name="40% - Énfasis4 4 5 4" xfId="26117" xr:uid="{C37C9322-3C38-47AA-8BC2-57DA881DE9C0}"/>
    <cellStyle name="40% - Énfasis4 4 5 5" xfId="31992" xr:uid="{131CF587-B81B-4B7D-82E0-3C8F1C725FC4}"/>
    <cellStyle name="40% - Énfasis4 4 5 6" xfId="37858" xr:uid="{E11D88EB-3E5C-4AB6-A6CB-37FE2D877062}"/>
    <cellStyle name="40% - Énfasis4 4 6" xfId="6752" xr:uid="{38120523-C205-4DF5-9505-118B986AA758}"/>
    <cellStyle name="40% - Énfasis4 4 6 2" xfId="21176" xr:uid="{50CAD95A-0FA0-46B6-8C3E-4D06ACF91AC9}"/>
    <cellStyle name="40% - Énfasis4 4 6 3" xfId="26991" xr:uid="{C3BCC01E-5F63-4A28-A333-0E352295F038}"/>
    <cellStyle name="40% - Énfasis4 4 6 4" xfId="32867" xr:uid="{0E34F22B-8D87-478C-9966-88FD23F0B6B7}"/>
    <cellStyle name="40% - Énfasis4 4 6 5" xfId="38731" xr:uid="{D0D30802-DABF-422A-AA84-55E6410528C0}"/>
    <cellStyle name="40% - Énfasis4 4 7" xfId="18418" xr:uid="{B15A5E7D-33E1-4D07-BF9E-405A209C08E3}"/>
    <cellStyle name="40% - Énfasis4 4 8" xfId="24127" xr:uid="{7EAE0AD8-04EA-40C4-BA2C-68EDF7956A57}"/>
    <cellStyle name="40% - Énfasis4 4 9" xfId="30005" xr:uid="{C837F8BF-EDD9-4CDA-9B89-93734205DF81}"/>
    <cellStyle name="40% - Énfasis4 40" xfId="6504" xr:uid="{BBE2A2CD-9BC9-4097-B227-7DD389A12807}"/>
    <cellStyle name="40% - Énfasis4 40 2" xfId="9364" xr:uid="{69063348-4244-4550-BCC2-45D1ADDA95A2}"/>
    <cellStyle name="40% - Énfasis4 40 2 2" xfId="23727" xr:uid="{DF09C161-AA7A-480A-9986-91D705BBBED9}"/>
    <cellStyle name="40% - Énfasis4 40 2 3" xfId="29595" xr:uid="{9DB0F9E0-1395-46D8-B592-6A944A9E33C0}"/>
    <cellStyle name="40% - Énfasis4 40 2 4" xfId="35477" xr:uid="{C06A686F-8409-4D03-9478-3193FD52F383}"/>
    <cellStyle name="40% - Énfasis4 40 2 5" xfId="41336" xr:uid="{B14A92AF-26FA-4970-88F7-F00998EB95A3}"/>
    <cellStyle name="40% - Énfasis4 40 3" xfId="20942" xr:uid="{C765DAEB-B21D-49EC-A95A-BCC2151189A2}"/>
    <cellStyle name="40% - Énfasis4 40 4" xfId="26753" xr:uid="{B3C5AD8E-5C1C-4834-9299-657F8C8ED83D}"/>
    <cellStyle name="40% - Énfasis4 40 5" xfId="32628" xr:uid="{86C85426-C970-46FD-8F9A-6F0A79E50BA0}"/>
    <cellStyle name="40% - Énfasis4 40 6" xfId="38492" xr:uid="{F45C2228-C523-4B5D-BFC8-DF5D729B83C9}"/>
    <cellStyle name="40% - Énfasis4 41" xfId="6524" xr:uid="{22E29774-F446-437B-BCC5-32D5302B8E92}"/>
    <cellStyle name="40% - Énfasis4 41 2" xfId="9384" xr:uid="{ADA1FC50-DBC1-4488-BDB5-D5EA23663367}"/>
    <cellStyle name="40% - Énfasis4 41 2 2" xfId="23747" xr:uid="{0EEB977E-9BA5-4818-B253-98200EA26669}"/>
    <cellStyle name="40% - Énfasis4 41 2 3" xfId="29615" xr:uid="{F2CFC25F-BFE7-4E16-90C6-B0755B2D683D}"/>
    <cellStyle name="40% - Énfasis4 41 2 4" xfId="35497" xr:uid="{DF2BC755-8F34-45C0-95BE-66251826F5C5}"/>
    <cellStyle name="40% - Énfasis4 41 2 5" xfId="41356" xr:uid="{F1AA9EDD-D896-4443-9AFC-B34492E2E92F}"/>
    <cellStyle name="40% - Énfasis4 41 3" xfId="20962" xr:uid="{DC0BF366-5B79-4FE4-AAB0-33EC5E43884E}"/>
    <cellStyle name="40% - Énfasis4 41 4" xfId="26773" xr:uid="{CCB29C19-34DA-4333-BAD4-6125D2CC73B1}"/>
    <cellStyle name="40% - Énfasis4 41 5" xfId="32648" xr:uid="{C9BC8991-8A9E-40E5-B230-90FB9B61445B}"/>
    <cellStyle name="40% - Énfasis4 41 6" xfId="38512" xr:uid="{27CBABA3-A85A-4C09-B04F-BE2A362BC09D}"/>
    <cellStyle name="40% - Énfasis4 42" xfId="6544" xr:uid="{5A560315-B455-46BD-8C05-382D9EA4ADF7}"/>
    <cellStyle name="40% - Énfasis4 42 2" xfId="9404" xr:uid="{3F3E9DEB-4A60-479F-9C20-944B2B2CBD45}"/>
    <cellStyle name="40% - Énfasis4 42 2 2" xfId="23767" xr:uid="{F1988295-3A0F-4164-89AC-935DD751E2CF}"/>
    <cellStyle name="40% - Énfasis4 42 2 3" xfId="29635" xr:uid="{30023722-C02F-47C2-BA86-B60A5F5BA679}"/>
    <cellStyle name="40% - Énfasis4 42 2 4" xfId="35517" xr:uid="{EB6DE7B3-C99D-4598-A8C5-EEB84DF82118}"/>
    <cellStyle name="40% - Énfasis4 42 2 5" xfId="41376" xr:uid="{C7EA1241-97E8-411F-9BFC-E2659C146DED}"/>
    <cellStyle name="40% - Énfasis4 42 3" xfId="20982" xr:uid="{B245BA68-FC08-4E76-B036-1A6FA4D4131A}"/>
    <cellStyle name="40% - Énfasis4 42 4" xfId="26793" xr:uid="{4917BC2B-8A05-4E22-836B-95E97077E3C2}"/>
    <cellStyle name="40% - Énfasis4 42 5" xfId="32668" xr:uid="{21FB96E7-FDE0-4C8C-8C46-CA0FB63401D5}"/>
    <cellStyle name="40% - Énfasis4 42 6" xfId="38532" xr:uid="{C7128A24-8364-4B6F-8D44-41C9F41061E2}"/>
    <cellStyle name="40% - Énfasis4 43" xfId="6565" xr:uid="{332E3511-9F06-4F2F-9DCD-913FCF304FA4}"/>
    <cellStyle name="40% - Énfasis4 43 2" xfId="9426" xr:uid="{80E5663A-7FC4-4282-A253-36E325B057A2}"/>
    <cellStyle name="40% - Énfasis4 43 2 2" xfId="23789" xr:uid="{48D07062-D029-49E8-8C87-67F67A2AF87E}"/>
    <cellStyle name="40% - Énfasis4 43 2 3" xfId="29657" xr:uid="{B2B7C6B2-9C33-4FD2-9A0B-A79394C82851}"/>
    <cellStyle name="40% - Énfasis4 43 2 4" xfId="35539" xr:uid="{85FFE12A-6057-4415-A02F-BCA2F6EA3F82}"/>
    <cellStyle name="40% - Énfasis4 43 2 5" xfId="41398" xr:uid="{BC6273A4-1790-4368-8EAC-0C878DA81EAA}"/>
    <cellStyle name="40% - Énfasis4 43 3" xfId="21004" xr:uid="{CAFEAF6E-4CDC-4E6C-8E17-BD88EE4217C6}"/>
    <cellStyle name="40% - Énfasis4 43 4" xfId="26815" xr:uid="{A30BD270-E70D-43E9-81A8-C73A2E7F0263}"/>
    <cellStyle name="40% - Énfasis4 43 5" xfId="32690" xr:uid="{C4225951-DB0C-4B26-B266-EC89DA9997B2}"/>
    <cellStyle name="40% - Énfasis4 43 6" xfId="38554" xr:uid="{89EEE729-7936-4BC1-855E-86EEF6EE7A2C}"/>
    <cellStyle name="40% - Énfasis4 44" xfId="6595" xr:uid="{D883A75A-E245-4F88-950C-059F65F25A48}"/>
    <cellStyle name="40% - Énfasis4 44 2" xfId="9455" xr:uid="{8C6B3B27-EF1A-4C52-9FD1-62D01F1C7219}"/>
    <cellStyle name="40% - Énfasis4 44 2 2" xfId="23817" xr:uid="{E146C1A0-C640-4440-846D-A439EE3C941F}"/>
    <cellStyle name="40% - Énfasis4 44 2 3" xfId="29686" xr:uid="{9A2EDF7C-5E58-4701-89D1-D4D67D341A41}"/>
    <cellStyle name="40% - Énfasis4 44 2 4" xfId="35568" xr:uid="{19D55023-D028-4C2B-AA03-67C92E8762F9}"/>
    <cellStyle name="40% - Énfasis4 44 2 5" xfId="41427" xr:uid="{A600554B-E2D3-44E8-9456-2ABF5CD00A51}"/>
    <cellStyle name="40% - Énfasis4 44 3" xfId="21033" xr:uid="{1EA2F46F-6C88-4606-B4DB-8DC07A8EDC50}"/>
    <cellStyle name="40% - Énfasis4 44 4" xfId="26844" xr:uid="{F69CB66D-2E4B-4544-B92A-11A1B196245E}"/>
    <cellStyle name="40% - Énfasis4 44 5" xfId="32719" xr:uid="{0E9B29D3-1CD8-488E-A2D1-C32155FC74D6}"/>
    <cellStyle name="40% - Énfasis4 44 6" xfId="38583" xr:uid="{89F0AB12-3F50-4134-8896-69AD2DF294FC}"/>
    <cellStyle name="40% - Énfasis4 45" xfId="6620" xr:uid="{2A0FDCDB-A97B-4159-8A0B-778EB38B3760}"/>
    <cellStyle name="40% - Énfasis4 45 2" xfId="9480" xr:uid="{EB288DAC-31A9-4FA1-AAA7-4CCA0006ACB4}"/>
    <cellStyle name="40% - Énfasis4 45 2 2" xfId="23842" xr:uid="{83540A7B-19BB-4D07-9536-A7524FA3B728}"/>
    <cellStyle name="40% - Énfasis4 45 2 3" xfId="29711" xr:uid="{74CCEBC6-17B4-4A61-9348-0BD00CD4BB04}"/>
    <cellStyle name="40% - Énfasis4 45 2 4" xfId="35593" xr:uid="{4478EF2E-3FD7-4BCE-B537-E81725EF1EF6}"/>
    <cellStyle name="40% - Énfasis4 45 2 5" xfId="41452" xr:uid="{2F7600CE-0EE3-44AF-AB04-1A6DB4BF4955}"/>
    <cellStyle name="40% - Énfasis4 45 3" xfId="21057" xr:uid="{B3DBEE74-C9E8-424C-8D2B-BEFFF3E70138}"/>
    <cellStyle name="40% - Énfasis4 45 4" xfId="26869" xr:uid="{D0F39314-2EA8-42A1-8BC9-DA222378EFA8}"/>
    <cellStyle name="40% - Énfasis4 45 5" xfId="32744" xr:uid="{7AF37DA7-6D2D-47B9-AB5F-448152A73DC2}"/>
    <cellStyle name="40% - Énfasis4 45 6" xfId="38608" xr:uid="{151DD93E-CE36-44E0-A4CA-D77987E3A5C2}"/>
    <cellStyle name="40% - Énfasis4 46" xfId="6642" xr:uid="{61A7BC7E-E0C5-446A-9F24-377978D3315D}"/>
    <cellStyle name="40% - Énfasis4 46 2" xfId="21079" xr:uid="{B46DEB89-C14E-4899-98CF-56F978D6B9AB}"/>
    <cellStyle name="40% - Énfasis4 46 3" xfId="26891" xr:uid="{519292EB-7495-458B-A7B3-428C2CAE8820}"/>
    <cellStyle name="40% - Énfasis4 46 4" xfId="32766" xr:uid="{18F3B401-ED48-4A0C-9ADF-C00B1722F624}"/>
    <cellStyle name="40% - Énfasis4 46 5" xfId="38630" xr:uid="{C7A31A74-65FD-438F-875E-55660DF31E6A}"/>
    <cellStyle name="40% - Énfasis4 47" xfId="6672" xr:uid="{E93FF69E-6AA9-4A97-9AF9-872E6523ED59}"/>
    <cellStyle name="40% - Énfasis4 47 2" xfId="21101" xr:uid="{29B9CFEB-C136-47DD-87BC-0E94B777F50B}"/>
    <cellStyle name="40% - Énfasis4 47 3" xfId="26913" xr:uid="{3B26DB38-63F7-4AA2-AF5D-FB6E04280066}"/>
    <cellStyle name="40% - Énfasis4 47 4" xfId="32788" xr:uid="{F8D37D3C-3FFA-4F3A-82AF-EC08EB698CF5}"/>
    <cellStyle name="40% - Énfasis4 47 5" xfId="38652" xr:uid="{A5741E66-BA17-4CE3-87E0-DB353313B10D}"/>
    <cellStyle name="40% - Énfasis4 48" xfId="9497" xr:uid="{7EE0C24B-9927-4D43-A493-B6C52B09FD72}"/>
    <cellStyle name="40% - Énfasis4 48 2" xfId="23859" xr:uid="{67073842-9843-4C5F-87ED-721E0C4682B2}"/>
    <cellStyle name="40% - Énfasis4 48 3" xfId="29728" xr:uid="{C33D6E47-47B8-4D41-B399-E00528B58326}"/>
    <cellStyle name="40% - Énfasis4 48 4" xfId="35610" xr:uid="{4D073229-6F41-406D-B2A1-249A5D93FE78}"/>
    <cellStyle name="40% - Énfasis4 48 5" xfId="41469" xr:uid="{492DDA1B-EE90-4BFA-BEA6-40F71785E296}"/>
    <cellStyle name="40% - Énfasis4 49" xfId="9521" xr:uid="{E09F2C2A-4356-493A-AE04-74287168BD83}"/>
    <cellStyle name="40% - Énfasis4 49 2" xfId="23882" xr:uid="{37749F54-F392-4395-B7C7-C7FDE328194A}"/>
    <cellStyle name="40% - Énfasis4 49 3" xfId="29752" xr:uid="{64D6D50A-A8C8-46C4-A8CC-EDAE315D88C3}"/>
    <cellStyle name="40% - Énfasis4 49 4" xfId="35634" xr:uid="{671595D9-DFAD-49D7-9B41-072B807EC70B}"/>
    <cellStyle name="40% - Énfasis4 49 5" xfId="41493" xr:uid="{302EE2AD-0B90-455C-A77D-7416A5372B80}"/>
    <cellStyle name="40% - Énfasis4 5" xfId="3920" xr:uid="{883E447E-7441-4E04-8051-555CB3723F7D}"/>
    <cellStyle name="40% - Énfasis4 5 10" xfId="35912" xr:uid="{CAB8540B-6DB5-45E8-BE64-376FC207778B}"/>
    <cellStyle name="40% - Énfasis4 5 2" xfId="4114" xr:uid="{F02C6967-D45E-42D3-AC82-37183B0DDD26}"/>
    <cellStyle name="40% - Énfasis4 5 2 2" xfId="4592" xr:uid="{5F02DD72-2E93-43D5-9F86-EBFA7C6BD823}"/>
    <cellStyle name="40% - Énfasis4 5 2 2 2" xfId="5560" xr:uid="{E535A911-1A3A-44CD-A783-1328098511FC}"/>
    <cellStyle name="40% - Énfasis4 5 2 2 2 2" xfId="8427" xr:uid="{D6D5419D-8A02-43A7-AF7C-9339EB874AC0}"/>
    <cellStyle name="40% - Énfasis4 5 2 2 2 2 2" xfId="22802" xr:uid="{085F717B-5BEB-41F6-A73C-F7A09D1006B2}"/>
    <cellStyle name="40% - Énfasis4 5 2 2 2 2 3" xfId="28660" xr:uid="{E18D829C-6747-4881-92B6-81F182137539}"/>
    <cellStyle name="40% - Énfasis4 5 2 2 2 2 4" xfId="34542" xr:uid="{7B49D77F-A9B8-47EB-B844-0A37F2A07478}"/>
    <cellStyle name="40% - Énfasis4 5 2 2 2 2 5" xfId="40406" xr:uid="{0E9F1C3E-E4B8-433F-A70A-77F362C9120C}"/>
    <cellStyle name="40% - Énfasis4 5 2 2 2 3" xfId="20020" xr:uid="{B915FAFA-6D91-4B43-9F0D-52712AC3C9E0}"/>
    <cellStyle name="40% - Énfasis4 5 2 2 2 4" xfId="25811" xr:uid="{75537DC8-7658-4FA5-8D55-C52E6317CF2F}"/>
    <cellStyle name="40% - Énfasis4 5 2 2 2 5" xfId="31685" xr:uid="{32D66B42-D0D9-48C5-AFD0-44AE0DD59267}"/>
    <cellStyle name="40% - Énfasis4 5 2 2 2 6" xfId="37555" xr:uid="{B4F6DFD9-1532-42ED-B915-B4E2601AC15F}"/>
    <cellStyle name="40% - Énfasis4 5 2 2 3" xfId="7455" xr:uid="{F2877990-7147-4458-AFA9-CFF5F23F14C5}"/>
    <cellStyle name="40% - Énfasis4 5 2 2 3 2" xfId="21857" xr:uid="{0B60F147-86F6-4715-A34E-8520390C8F44}"/>
    <cellStyle name="40% - Énfasis4 5 2 2 3 3" xfId="27689" xr:uid="{C0F823CD-C82D-48B2-824D-528323105551}"/>
    <cellStyle name="40% - Énfasis4 5 2 2 3 4" xfId="33571" xr:uid="{3495D901-AF30-4E39-9F6F-81F7EE054D39}"/>
    <cellStyle name="40% - Énfasis4 5 2 2 3 5" xfId="39435" xr:uid="{E47DD448-83A1-4A5B-B3F1-9C21EC9E371F}"/>
    <cellStyle name="40% - Énfasis4 5 2 2 4" xfId="19087" xr:uid="{5336D16A-DC22-4D2A-AA72-989D083C9E6F}"/>
    <cellStyle name="40% - Énfasis4 5 2 2 5" xfId="24840" xr:uid="{4267CB1E-F928-4071-A39C-8A169F2D78E0}"/>
    <cellStyle name="40% - Énfasis4 5 2 2 6" xfId="30717" xr:uid="{014EF36B-C830-480F-94F7-F79B393823C4}"/>
    <cellStyle name="40% - Énfasis4 5 2 2 7" xfId="36598" xr:uid="{ACA3C6D9-07D9-440F-B50A-7974A4830531}"/>
    <cellStyle name="40% - Énfasis4 5 2 3" xfId="5075" xr:uid="{CE86A79C-4F87-4BD9-B9CB-68BC7988D2FB}"/>
    <cellStyle name="40% - Énfasis4 5 2 3 2" xfId="7942" xr:uid="{6646CBFB-71A5-4932-897C-133CCDDAEE57}"/>
    <cellStyle name="40% - Énfasis4 5 2 3 2 2" xfId="22327" xr:uid="{E7F03206-4C97-416F-A078-64F50942D9A6}"/>
    <cellStyle name="40% - Énfasis4 5 2 3 2 3" xfId="28175" xr:uid="{3D0D9FF2-1B5F-4567-9D8C-191A54930714}"/>
    <cellStyle name="40% - Énfasis4 5 2 3 2 4" xfId="34057" xr:uid="{E21EAEAF-6E1C-4C39-A6E6-0C6E7C59EDAA}"/>
    <cellStyle name="40% - Énfasis4 5 2 3 2 5" xfId="39921" xr:uid="{83BCF363-1324-43B7-894B-FA2B69BAE408}"/>
    <cellStyle name="40% - Énfasis4 5 2 3 3" xfId="19552" xr:uid="{CE65DF6D-B873-4709-B0E4-5DA36508FD57}"/>
    <cellStyle name="40% - Énfasis4 5 2 3 4" xfId="25326" xr:uid="{4AFAEB8B-BF9E-4E79-8632-EC745931CB6E}"/>
    <cellStyle name="40% - Énfasis4 5 2 3 5" xfId="31200" xr:uid="{3372137C-3001-470C-8DCC-43F286ACFD9F}"/>
    <cellStyle name="40% - Énfasis4 5 2 3 6" xfId="37078" xr:uid="{6625D3FA-7B60-4BE2-A2DB-881627C97301}"/>
    <cellStyle name="40% - Énfasis4 5 2 4" xfId="6970" xr:uid="{A2E5ABF0-D4A3-474D-91BF-2C96E4BCFA24}"/>
    <cellStyle name="40% - Énfasis4 5 2 4 2" xfId="21389" xr:uid="{7154644B-E374-45F9-ACC8-EA15A0E46242}"/>
    <cellStyle name="40% - Énfasis4 5 2 4 3" xfId="27208" xr:uid="{4F5BEDAC-819B-4F1F-B2DF-A95DB2C4B353}"/>
    <cellStyle name="40% - Énfasis4 5 2 4 4" xfId="33086" xr:uid="{799D2078-D6DE-4382-B855-3DE7E606297F}"/>
    <cellStyle name="40% - Énfasis4 5 2 4 5" xfId="38950" xr:uid="{628CC61D-A9E3-4725-9AF4-01419A0FD983}"/>
    <cellStyle name="40% - Énfasis4 5 2 5" xfId="18643" xr:uid="{ADD7454E-6359-41BB-9B75-3C3D78F9D455}"/>
    <cellStyle name="40% - Énfasis4 5 2 6" xfId="24357" xr:uid="{9AADF00E-7C0A-45F0-BC4F-20B03127F254}"/>
    <cellStyle name="40% - Énfasis4 5 2 7" xfId="30235" xr:uid="{D047BB4A-7575-4284-AAC6-4561ED2766F4}"/>
    <cellStyle name="40% - Énfasis4 5 2 8" xfId="36114" xr:uid="{72E57524-6863-4A95-B6AE-80936DCB2A4C}"/>
    <cellStyle name="40% - Énfasis4 5 3" xfId="4398" xr:uid="{FF2D865E-3D6A-4C0F-B21C-CB5DB5225DF8}"/>
    <cellStyle name="40% - Énfasis4 5 3 2" xfId="5364" xr:uid="{3A2EC8C6-1AD8-49DE-A04A-E065579F3B32}"/>
    <cellStyle name="40% - Énfasis4 5 3 2 2" xfId="8231" xr:uid="{3DD0270B-8D65-44C9-9017-82C60EAFF4FB}"/>
    <cellStyle name="40% - Énfasis4 5 3 2 2 2" xfId="22607" xr:uid="{17518EDF-3FC3-4E7F-8140-E2E84B2CF376}"/>
    <cellStyle name="40% - Énfasis4 5 3 2 2 3" xfId="28464" xr:uid="{DE34D1E1-F55F-485A-93F4-4EC3CA41685E}"/>
    <cellStyle name="40% - Énfasis4 5 3 2 2 4" xfId="34346" xr:uid="{E0DCEEC0-AA4E-401D-8CA2-A7561FFE70C3}"/>
    <cellStyle name="40% - Énfasis4 5 3 2 2 5" xfId="40210" xr:uid="{D0347636-BDE4-47FC-89CD-3E80EEF89188}"/>
    <cellStyle name="40% - Énfasis4 5 3 2 3" xfId="19831" xr:uid="{498B3733-5B26-4A33-9DC2-1F5993A19688}"/>
    <cellStyle name="40% - Énfasis4 5 3 2 4" xfId="25615" xr:uid="{16B4045F-45DB-43FD-970E-B4912DAC8B5F}"/>
    <cellStyle name="40% - Énfasis4 5 3 2 5" xfId="31489" xr:uid="{9B1C8D13-B495-404C-BF04-8DACEF0BDD47}"/>
    <cellStyle name="40% - Énfasis4 5 3 2 6" xfId="37360" xr:uid="{3321860D-F657-48C3-AA97-70E7B3F1142C}"/>
    <cellStyle name="40% - Énfasis4 5 3 3" xfId="7259" xr:uid="{C80423F3-3E1E-4163-8575-DB8697125017}"/>
    <cellStyle name="40% - Énfasis4 5 3 3 2" xfId="21666" xr:uid="{30811E87-3095-488A-9089-431323FE0CB8}"/>
    <cellStyle name="40% - Énfasis4 5 3 3 3" xfId="27493" xr:uid="{2EB9F566-741D-4216-9900-6CAA1B4A9943}"/>
    <cellStyle name="40% - Énfasis4 5 3 3 4" xfId="33375" xr:uid="{2F7FE635-F1D5-4B11-92BF-00D4E3F55B18}"/>
    <cellStyle name="40% - Énfasis4 5 3 3 5" xfId="39239" xr:uid="{1E9CC2DA-DEAD-479D-9B23-4AAEEFF533BF}"/>
    <cellStyle name="40% - Énfasis4 5 3 4" xfId="18900" xr:uid="{F845AADD-F2BA-41F5-B170-9D83D013D8DE}"/>
    <cellStyle name="40% - Énfasis4 5 3 5" xfId="24644" xr:uid="{29FE4998-BEF9-45BF-9B71-F54D6A707A25}"/>
    <cellStyle name="40% - Énfasis4 5 3 6" xfId="30523" xr:uid="{C9B09474-A8DF-472A-86D2-0F777D041B17}"/>
    <cellStyle name="40% - Énfasis4 5 3 7" xfId="36403" xr:uid="{359A64F7-8169-4234-8E58-998C33B833D5}"/>
    <cellStyle name="40% - Énfasis4 5 4" xfId="4879" xr:uid="{CA89FE12-FC86-4A70-ABC3-87F1F9D6F56C}"/>
    <cellStyle name="40% - Énfasis4 5 4 2" xfId="7746" xr:uid="{23612071-1983-43BD-BCBE-8FD3E1405C32}"/>
    <cellStyle name="40% - Énfasis4 5 4 2 2" xfId="22136" xr:uid="{BC19ED56-554F-4F21-9024-AF86465228D0}"/>
    <cellStyle name="40% - Énfasis4 5 4 2 3" xfId="27979" xr:uid="{966E1436-6A57-434C-850B-1903B439E85F}"/>
    <cellStyle name="40% - Énfasis4 5 4 2 4" xfId="33861" xr:uid="{0B1C8E71-C8C4-4018-AD35-C39E574802EA}"/>
    <cellStyle name="40% - Énfasis4 5 4 2 5" xfId="39725" xr:uid="{EADFB5A2-E65D-4986-9ECC-F2A77FB49B7C}"/>
    <cellStyle name="40% - Énfasis4 5 4 3" xfId="19362" xr:uid="{5E6DE891-E051-443F-A2CD-6FD81CD6358A}"/>
    <cellStyle name="40% - Énfasis4 5 4 4" xfId="25130" xr:uid="{CA4CAB3A-AB30-40F0-A252-16E3E09A00E9}"/>
    <cellStyle name="40% - Énfasis4 5 4 5" xfId="31004" xr:uid="{DA5FA4F5-70C8-40BD-AE1B-0B5EDD8D3693}"/>
    <cellStyle name="40% - Énfasis4 5 4 6" xfId="36883" xr:uid="{168763C6-F53E-4DA3-9CF6-4B71ACEA8975}"/>
    <cellStyle name="40% - Énfasis4 5 5" xfId="5889" xr:uid="{EFEBFEBB-02F6-4628-9C7D-D451642F094E}"/>
    <cellStyle name="40% - Énfasis4 5 5 2" xfId="8758" xr:uid="{35EED186-F375-411F-8689-76E8A2BA2B6C}"/>
    <cellStyle name="40% - Énfasis4 5 5 2 2" xfId="23126" xr:uid="{3C118CD6-3E02-4EDD-BE93-8EF20133F40F}"/>
    <cellStyle name="40% - Énfasis4 5 5 2 3" xfId="28990" xr:uid="{DB2C98C5-A3C3-49DF-9AC0-01B45105BD87}"/>
    <cellStyle name="40% - Énfasis4 5 5 2 4" xfId="34872" xr:uid="{669F6B05-402A-4279-813C-FDDA863DBA95}"/>
    <cellStyle name="40% - Énfasis4 5 5 2 5" xfId="40736" xr:uid="{B4E0336C-B728-4560-8D65-B40382FB3624}"/>
    <cellStyle name="40% - Énfasis4 5 5 3" xfId="20340" xr:uid="{F8CF31AF-D762-41E9-A1D5-F4A27ED74C9F}"/>
    <cellStyle name="40% - Énfasis4 5 5 4" xfId="26140" xr:uid="{B08F049D-2A1D-47EF-8ECE-E70D214C910B}"/>
    <cellStyle name="40% - Énfasis4 5 5 5" xfId="32015" xr:uid="{BC80C114-CB21-4742-BE46-C495B85F969F}"/>
    <cellStyle name="40% - Énfasis4 5 5 6" xfId="37881" xr:uid="{0696FA39-16C1-4723-AC4B-B5909B89A06F}"/>
    <cellStyle name="40% - Énfasis4 5 6" xfId="6775" xr:uid="{2C2DE7E7-F5BA-42D2-9DC0-B861AC22AD63}"/>
    <cellStyle name="40% - Énfasis4 5 6 2" xfId="21199" xr:uid="{C27B002F-252A-4FD4-8E9D-0B60D8A13585}"/>
    <cellStyle name="40% - Énfasis4 5 6 3" xfId="27014" xr:uid="{019B717A-05BC-4C4F-A934-68E83E73626C}"/>
    <cellStyle name="40% - Énfasis4 5 6 4" xfId="32890" xr:uid="{967F5BB6-53B9-4F23-BF40-96DED75F1A08}"/>
    <cellStyle name="40% - Énfasis4 5 6 5" xfId="38754" xr:uid="{59B6288F-B37A-4462-AFD2-B35DC71EF608}"/>
    <cellStyle name="40% - Énfasis4 5 7" xfId="18445" xr:uid="{78F64F80-586A-4A28-86E4-72F7D4791EEE}"/>
    <cellStyle name="40% - Énfasis4 5 8" xfId="24153" xr:uid="{CD41C41A-4B07-49CD-ABEC-123584661A1D}"/>
    <cellStyle name="40% - Énfasis4 5 9" xfId="30031" xr:uid="{A3064444-B79D-4D56-9CF9-18EB8ECFB4E3}"/>
    <cellStyle name="40% - Énfasis4 50" xfId="9540" xr:uid="{AB1E2644-9183-44E5-88FE-C2E2813D70B8}"/>
    <cellStyle name="40% - Énfasis4 50 2" xfId="23902" xr:uid="{D00EE380-D174-49D8-9473-DCE615E4AA00}"/>
    <cellStyle name="40% - Énfasis4 50 3" xfId="29772" xr:uid="{0F914201-8974-42D5-AC80-A7E40E224F26}"/>
    <cellStyle name="40% - Énfasis4 50 4" xfId="35654" xr:uid="{496A0926-5FCC-4E09-AE74-AEE30FB61FE1}"/>
    <cellStyle name="40% - Énfasis4 50 5" xfId="41513" xr:uid="{CBCED60D-3022-4B39-9904-F2F4F3480C38}"/>
    <cellStyle name="40% - Énfasis4 51" xfId="9566" xr:uid="{1B9FC543-BC14-45AC-8F06-0345E4A74306}"/>
    <cellStyle name="40% - Énfasis4 51 2" xfId="23928" xr:uid="{4B153C13-5459-4A72-B442-490E9D8DE96A}"/>
    <cellStyle name="40% - Énfasis4 51 3" xfId="29798" xr:uid="{7D3B8B79-E046-4086-9D53-0FE9FBC08E3C}"/>
    <cellStyle name="40% - Énfasis4 51 4" xfId="35680" xr:uid="{D5AA43EA-C05B-4F2A-88D7-E420682BE9A5}"/>
    <cellStyle name="40% - Énfasis4 51 5" xfId="41539" xr:uid="{6250A7E1-5E7E-4EF7-B9F1-081995E8499F}"/>
    <cellStyle name="40% - Énfasis4 52" xfId="15768" xr:uid="{7C311CFB-443A-4F4E-BCD3-D7C4CA34954B}"/>
    <cellStyle name="40% - Énfasis4 52 2" xfId="23988" xr:uid="{C209AB68-29BF-443B-8E04-65F1E9D8ADA7}"/>
    <cellStyle name="40% - Énfasis4 52 3" xfId="29860" xr:uid="{C72E7B40-5CEF-4D16-839B-BD0A1FA8A1B9}"/>
    <cellStyle name="40% - Énfasis4 52 4" xfId="35742" xr:uid="{878A07F3-79E2-452D-B4F8-EC1594D04003}"/>
    <cellStyle name="40% - Énfasis4 52 5" xfId="41601" xr:uid="{BF8974F2-1197-43FD-8923-9CEED17F029F}"/>
    <cellStyle name="40% - Énfasis4 53" xfId="15793" xr:uid="{498F4FEC-6F58-4DB7-A4A2-0804977354BB}"/>
    <cellStyle name="40% - Énfasis4 53 2" xfId="24010" xr:uid="{12567A86-AF2F-46B3-8AFB-FD3C8A50BAF9}"/>
    <cellStyle name="40% - Énfasis4 53 3" xfId="29885" xr:uid="{B28F619F-2E92-4785-A3F3-D7A6E069A92C}"/>
    <cellStyle name="40% - Énfasis4 53 4" xfId="35766" xr:uid="{A5469058-2CD5-4050-B116-3B280E3C4AE4}"/>
    <cellStyle name="40% - Énfasis4 53 5" xfId="41626" xr:uid="{F88A0CB5-07A3-470B-882F-58E390AA654B}"/>
    <cellStyle name="40% - Énfasis4 54" xfId="15827" xr:uid="{D10D0214-E60D-4139-A8AA-2A7BBB485237}"/>
    <cellStyle name="40% - Énfasis4 55" xfId="18302" xr:uid="{44C5A744-090E-4B21-9329-C01138057336}"/>
    <cellStyle name="40% - Énfasis4 56" xfId="18325" xr:uid="{37E407D4-7F20-4C46-8AA7-0DE8FBA89C33}"/>
    <cellStyle name="40% - Énfasis4 57" xfId="24037" xr:uid="{89B127CA-B9A6-4BDD-85BB-A419D13C7848}"/>
    <cellStyle name="40% - Énfasis4 58" xfId="29915" xr:uid="{42A79F24-C717-4B23-876C-C0B59FDE62BC}"/>
    <cellStyle name="40% - Énfasis4 59" xfId="35796" xr:uid="{FB579E4B-98CC-4332-859A-ADFD6C3CD118}"/>
    <cellStyle name="40% - Énfasis4 6" xfId="3944" xr:uid="{D3D52169-4172-4427-82A7-CA3A7542C3F8}"/>
    <cellStyle name="40% - Énfasis4 6 10" xfId="35935" xr:uid="{E46AE6E9-B360-48A9-932F-B9C12857DF57}"/>
    <cellStyle name="40% - Énfasis4 6 2" xfId="4136" xr:uid="{3C2502FA-2DB4-436E-A999-F6AF08CB232A}"/>
    <cellStyle name="40% - Énfasis4 6 2 2" xfId="4614" xr:uid="{E3DDBF2F-8494-4A8C-B282-E9F5F115CA7D}"/>
    <cellStyle name="40% - Énfasis4 6 2 2 2" xfId="5582" xr:uid="{839643C4-26C3-40B6-95AD-96739EF67650}"/>
    <cellStyle name="40% - Énfasis4 6 2 2 2 2" xfId="8449" xr:uid="{7512917F-6489-4BBA-8470-52C0F2EE1F41}"/>
    <cellStyle name="40% - Énfasis4 6 2 2 2 2 2" xfId="22824" xr:uid="{DEFA5D52-1ECD-4A47-B066-8EB84DF3C8A4}"/>
    <cellStyle name="40% - Énfasis4 6 2 2 2 2 3" xfId="28682" xr:uid="{442567D4-CC7C-4355-88D8-23B034D9D8D1}"/>
    <cellStyle name="40% - Énfasis4 6 2 2 2 2 4" xfId="34564" xr:uid="{6B563896-06C8-4FDE-AEAB-041C1341E34B}"/>
    <cellStyle name="40% - Énfasis4 6 2 2 2 2 5" xfId="40428" xr:uid="{C4BA0243-77E0-4D98-A93D-01E28D464A90}"/>
    <cellStyle name="40% - Énfasis4 6 2 2 2 3" xfId="20042" xr:uid="{13933703-EF64-419F-85F9-2B706DF237AD}"/>
    <cellStyle name="40% - Énfasis4 6 2 2 2 4" xfId="25833" xr:uid="{FC4D3239-63FF-4F6B-B54C-13D9D0A76132}"/>
    <cellStyle name="40% - Énfasis4 6 2 2 2 5" xfId="31707" xr:uid="{B9F2F682-BC85-4ED2-8702-D6E454E069AF}"/>
    <cellStyle name="40% - Énfasis4 6 2 2 2 6" xfId="37577" xr:uid="{402CD26B-5B90-4946-A46A-402D94166938}"/>
    <cellStyle name="40% - Énfasis4 6 2 2 3" xfId="7477" xr:uid="{2041DB87-34CB-461D-B42F-EE185CF5EE51}"/>
    <cellStyle name="40% - Énfasis4 6 2 2 3 2" xfId="21879" xr:uid="{0943BF0E-5933-420B-86E5-F400D1584FC7}"/>
    <cellStyle name="40% - Énfasis4 6 2 2 3 3" xfId="27711" xr:uid="{B10DA232-E589-4554-8831-3C0318F10068}"/>
    <cellStyle name="40% - Énfasis4 6 2 2 3 4" xfId="33593" xr:uid="{CA8A5E81-E678-4667-879F-4155F7BE324C}"/>
    <cellStyle name="40% - Énfasis4 6 2 2 3 5" xfId="39457" xr:uid="{B6FD6EFC-F889-43E3-AAB2-26E2BDD0C80B}"/>
    <cellStyle name="40% - Énfasis4 6 2 2 4" xfId="19109" xr:uid="{D028CA12-237A-4B1E-963D-9E76C9C216B1}"/>
    <cellStyle name="40% - Énfasis4 6 2 2 5" xfId="24862" xr:uid="{B54F996B-910E-4FF0-82F3-96F81DD03A74}"/>
    <cellStyle name="40% - Énfasis4 6 2 2 6" xfId="30739" xr:uid="{D8A0ADB1-D424-43C5-BE5D-9C54986D54ED}"/>
    <cellStyle name="40% - Énfasis4 6 2 2 7" xfId="36620" xr:uid="{454B117A-4EFE-499D-9C22-48F60511C209}"/>
    <cellStyle name="40% - Énfasis4 6 2 3" xfId="5097" xr:uid="{E96DD796-07B9-49E1-A069-BD78560C45BC}"/>
    <cellStyle name="40% - Énfasis4 6 2 3 2" xfId="7964" xr:uid="{2AE85336-A640-46ED-BD03-8D4AFA833D3F}"/>
    <cellStyle name="40% - Énfasis4 6 2 3 2 2" xfId="22349" xr:uid="{38D5CBF9-4C6E-469E-BD82-1126AD507FA5}"/>
    <cellStyle name="40% - Énfasis4 6 2 3 2 3" xfId="28197" xr:uid="{E5E8647C-ED7C-4EC1-9C1E-6D0F22ACF8AC}"/>
    <cellStyle name="40% - Énfasis4 6 2 3 2 4" xfId="34079" xr:uid="{12B1FE31-2B13-4F8F-9224-986C375F9793}"/>
    <cellStyle name="40% - Énfasis4 6 2 3 2 5" xfId="39943" xr:uid="{9C43D47A-C70D-45DE-87E8-8C3111BDF202}"/>
    <cellStyle name="40% - Énfasis4 6 2 3 3" xfId="19574" xr:uid="{A52F1CBD-39CC-4373-9100-427BA2C3213C}"/>
    <cellStyle name="40% - Énfasis4 6 2 3 4" xfId="25348" xr:uid="{1D7A444F-6C7A-4D1D-BF1A-9AAA406EC09A}"/>
    <cellStyle name="40% - Énfasis4 6 2 3 5" xfId="31222" xr:uid="{75E0AA09-6027-4B69-962C-4126E56B734F}"/>
    <cellStyle name="40% - Énfasis4 6 2 3 6" xfId="37100" xr:uid="{68C3B9EA-3AFE-4D7B-9AAC-B44C1D6592E3}"/>
    <cellStyle name="40% - Énfasis4 6 2 4" xfId="6992" xr:uid="{1D74C549-60C5-4967-934C-34AA1A550A75}"/>
    <cellStyle name="40% - Énfasis4 6 2 4 2" xfId="21411" xr:uid="{B581BCD4-8A3D-40D2-998D-5DDE519B2A49}"/>
    <cellStyle name="40% - Énfasis4 6 2 4 3" xfId="27230" xr:uid="{C03944A8-3500-4B28-94E0-42C8FFD9B56A}"/>
    <cellStyle name="40% - Énfasis4 6 2 4 4" xfId="33108" xr:uid="{E16D0B40-EA5E-4AFA-8F3A-525C39207C2C}"/>
    <cellStyle name="40% - Énfasis4 6 2 4 5" xfId="38972" xr:uid="{FE5F464B-CAB1-4CFD-9F79-3DFDFD5A1B4C}"/>
    <cellStyle name="40% - Énfasis4 6 2 5" xfId="18665" xr:uid="{8C021D14-C53B-4B21-A7F5-8689DB1B65B0}"/>
    <cellStyle name="40% - Énfasis4 6 2 6" xfId="24379" xr:uid="{7C8E359C-A1F7-42D9-AC07-2DDF4371040E}"/>
    <cellStyle name="40% - Énfasis4 6 2 7" xfId="30257" xr:uid="{BCA08424-B08C-489C-B541-5ABEDF7FB30F}"/>
    <cellStyle name="40% - Énfasis4 6 2 8" xfId="36136" xr:uid="{F5C28FB2-1BFB-455B-A8DB-C8E06AB73D1C}"/>
    <cellStyle name="40% - Énfasis4 6 3" xfId="4420" xr:uid="{FE6114AF-4FF7-4109-9A65-CBE0B235CE54}"/>
    <cellStyle name="40% - Énfasis4 6 3 2" xfId="5386" xr:uid="{0E416EB9-7D01-4991-82A7-0AD4E1D805DD}"/>
    <cellStyle name="40% - Énfasis4 6 3 2 2" xfId="8253" xr:uid="{0A65169D-D2C4-4871-89FD-F078D99956B7}"/>
    <cellStyle name="40% - Énfasis4 6 3 2 2 2" xfId="22629" xr:uid="{2A2D83B3-D864-4DD2-A16C-21D3B2ABE19C}"/>
    <cellStyle name="40% - Énfasis4 6 3 2 2 3" xfId="28486" xr:uid="{02786571-6251-4CED-9A10-ED5011F4AFB3}"/>
    <cellStyle name="40% - Énfasis4 6 3 2 2 4" xfId="34368" xr:uid="{6BBF5018-5893-4E3F-9044-B4EC640D9B6F}"/>
    <cellStyle name="40% - Énfasis4 6 3 2 2 5" xfId="40232" xr:uid="{3CE03875-F83D-43A2-983D-FD5EE1806C5E}"/>
    <cellStyle name="40% - Énfasis4 6 3 2 3" xfId="19853" xr:uid="{558C3F63-2687-4F76-A8FD-266245B1BE18}"/>
    <cellStyle name="40% - Énfasis4 6 3 2 4" xfId="25637" xr:uid="{85D1A157-C876-48DA-90C8-F83F12183A23}"/>
    <cellStyle name="40% - Énfasis4 6 3 2 5" xfId="31511" xr:uid="{1CBE1A44-9482-4F84-91B0-D84978487983}"/>
    <cellStyle name="40% - Énfasis4 6 3 2 6" xfId="37382" xr:uid="{818CDF85-26F8-4F7D-BE8F-C3DE578DD60A}"/>
    <cellStyle name="40% - Énfasis4 6 3 3" xfId="7281" xr:uid="{32369FE3-E858-45DD-A6F1-E0963745A175}"/>
    <cellStyle name="40% - Énfasis4 6 3 3 2" xfId="21688" xr:uid="{FEE82ACB-2B6A-4D29-9F3D-7C523F157B80}"/>
    <cellStyle name="40% - Énfasis4 6 3 3 3" xfId="27515" xr:uid="{6FC92C2D-EA77-4880-847A-74EB8741E478}"/>
    <cellStyle name="40% - Énfasis4 6 3 3 4" xfId="33397" xr:uid="{BBD5A7B6-C32F-4998-8DC8-0925F149CFF2}"/>
    <cellStyle name="40% - Énfasis4 6 3 3 5" xfId="39261" xr:uid="{8D7AD0E0-23A9-48CF-B71E-CB80AE228202}"/>
    <cellStyle name="40% - Énfasis4 6 3 4" xfId="18922" xr:uid="{4230A406-5BCE-4CFC-8610-AFDFE42EBD29}"/>
    <cellStyle name="40% - Énfasis4 6 3 5" xfId="24666" xr:uid="{87ABB20A-25C7-4712-8B32-6EEE220EB71A}"/>
    <cellStyle name="40% - Énfasis4 6 3 6" xfId="30545" xr:uid="{B84B8D08-BA1C-4F21-8EE0-907DE01C25E6}"/>
    <cellStyle name="40% - Énfasis4 6 3 7" xfId="36425" xr:uid="{29018CB6-A49A-4172-BB97-B93F5D1C3885}"/>
    <cellStyle name="40% - Énfasis4 6 4" xfId="4901" xr:uid="{A680FB76-1870-4166-9DC9-44DD12D36C61}"/>
    <cellStyle name="40% - Énfasis4 6 4 2" xfId="7768" xr:uid="{1EB386C7-5634-4D6E-8D1F-F90EFB5DC1A8}"/>
    <cellStyle name="40% - Énfasis4 6 4 2 2" xfId="22158" xr:uid="{118AD02C-9A67-4938-A75F-D32EFBAC99F8}"/>
    <cellStyle name="40% - Énfasis4 6 4 2 3" xfId="28001" xr:uid="{52BB04F6-B0A2-4EF3-A75E-DF74D6402457}"/>
    <cellStyle name="40% - Énfasis4 6 4 2 4" xfId="33883" xr:uid="{2AE06DDB-DA1A-40F1-B24C-F95E261963FE}"/>
    <cellStyle name="40% - Énfasis4 6 4 2 5" xfId="39747" xr:uid="{211DD53A-630F-46B5-AAF9-288B0936A1C0}"/>
    <cellStyle name="40% - Énfasis4 6 4 3" xfId="19384" xr:uid="{6C8C6460-A97A-40BB-BA7F-640208CC4701}"/>
    <cellStyle name="40% - Énfasis4 6 4 4" xfId="25152" xr:uid="{E5BA149C-96C4-4BDA-8834-A275A61C7D39}"/>
    <cellStyle name="40% - Énfasis4 6 4 5" xfId="31026" xr:uid="{03B76589-8B06-492A-8E05-0D3FE8213A28}"/>
    <cellStyle name="40% - Énfasis4 6 4 6" xfId="36905" xr:uid="{940E1390-9DC0-4FF0-8B6F-E01EE34DD65D}"/>
    <cellStyle name="40% - Énfasis4 6 5" xfId="5911" xr:uid="{53E9F490-BE71-4550-A2D6-C9E346F28053}"/>
    <cellStyle name="40% - Énfasis4 6 5 2" xfId="8780" xr:uid="{2300438C-55FE-46A7-95E2-2C1C45DFDCAE}"/>
    <cellStyle name="40% - Énfasis4 6 5 2 2" xfId="23148" xr:uid="{04632F2C-54B3-4643-821D-EBB4858ACBD7}"/>
    <cellStyle name="40% - Énfasis4 6 5 2 3" xfId="29012" xr:uid="{7F9BD38D-EC25-4C65-B199-1AE5C7714D8D}"/>
    <cellStyle name="40% - Énfasis4 6 5 2 4" xfId="34894" xr:uid="{6F20E47C-25EC-4C94-8DDA-596EB63CADFF}"/>
    <cellStyle name="40% - Énfasis4 6 5 2 5" xfId="40758" xr:uid="{75EECEB0-E9FE-4427-B9DB-BD916EC39E73}"/>
    <cellStyle name="40% - Énfasis4 6 5 3" xfId="20362" xr:uid="{C152E102-9393-4460-8A71-FD083251075C}"/>
    <cellStyle name="40% - Énfasis4 6 5 4" xfId="26162" xr:uid="{446C4883-4106-4B1F-A437-D9738DF2DE77}"/>
    <cellStyle name="40% - Énfasis4 6 5 5" xfId="32037" xr:uid="{53A5EB07-34BA-488F-A644-7F5B4D9B474E}"/>
    <cellStyle name="40% - Énfasis4 6 5 6" xfId="37903" xr:uid="{0E5F59B3-4089-40C3-A418-8AD6E00C225D}"/>
    <cellStyle name="40% - Énfasis4 6 6" xfId="6797" xr:uid="{2EC5318B-E96D-4888-B108-A4D0A122E541}"/>
    <cellStyle name="40% - Énfasis4 6 6 2" xfId="21221" xr:uid="{C4A87699-C73C-4248-9DC3-796A3622CC7C}"/>
    <cellStyle name="40% - Énfasis4 6 6 3" xfId="27036" xr:uid="{E3DB940A-BE91-43E7-9A1D-3035A0346076}"/>
    <cellStyle name="40% - Énfasis4 6 6 4" xfId="32912" xr:uid="{9636AD8D-B9C7-46A6-8630-5D6A011A4FD1}"/>
    <cellStyle name="40% - Énfasis4 6 6 5" xfId="38776" xr:uid="{73EB7851-40D3-4576-A40D-C6DCCCCB9418}"/>
    <cellStyle name="40% - Énfasis4 6 7" xfId="18468" xr:uid="{88E4AFC9-3DAF-4BE4-8C0B-ADEB13575206}"/>
    <cellStyle name="40% - Énfasis4 6 8" xfId="24176" xr:uid="{6B9A7A38-1D80-445E-B372-1BC2669C271D}"/>
    <cellStyle name="40% - Énfasis4 6 9" xfId="30054" xr:uid="{4A28222E-1F67-422B-B1CD-65E44E39667A}"/>
    <cellStyle name="40% - Énfasis4 7" xfId="3968" xr:uid="{C40BBF1E-09F3-46C8-8E74-D316F1976CE9}"/>
    <cellStyle name="40% - Énfasis4 7 10" xfId="35960" xr:uid="{1D2D90D8-3515-46E8-9A87-E789453B4611}"/>
    <cellStyle name="40% - Énfasis4 7 2" xfId="4160" xr:uid="{53C14848-D1D8-40B3-B376-F82DE9376E8F}"/>
    <cellStyle name="40% - Énfasis4 7 2 2" xfId="4638" xr:uid="{E6CDF445-89C3-4D43-AE0F-B30EEEA8180B}"/>
    <cellStyle name="40% - Énfasis4 7 2 2 2" xfId="5606" xr:uid="{2EC1BEDB-E04A-402C-9320-6C61FCCEC8DB}"/>
    <cellStyle name="40% - Énfasis4 7 2 2 2 2" xfId="8473" xr:uid="{2C92B44C-769D-4650-9D60-9AFB55C033C8}"/>
    <cellStyle name="40% - Énfasis4 7 2 2 2 2 2" xfId="22848" xr:uid="{A0BCEBA8-4D78-40BD-8090-FC64E9347BFC}"/>
    <cellStyle name="40% - Énfasis4 7 2 2 2 2 3" xfId="28706" xr:uid="{98E8B238-1D9A-4C3D-A1E2-72B7105CE7E2}"/>
    <cellStyle name="40% - Énfasis4 7 2 2 2 2 4" xfId="34588" xr:uid="{416295B8-2F0D-43D2-94FA-59951725C417}"/>
    <cellStyle name="40% - Énfasis4 7 2 2 2 2 5" xfId="40452" xr:uid="{3990A9FE-201D-47E1-8579-14BAF77C9756}"/>
    <cellStyle name="40% - Énfasis4 7 2 2 2 3" xfId="20065" xr:uid="{736700D9-7399-45AB-AC15-CED87E7B19ED}"/>
    <cellStyle name="40% - Énfasis4 7 2 2 2 4" xfId="25857" xr:uid="{45CC9EAA-1665-444D-8119-EDB607109DAF}"/>
    <cellStyle name="40% - Énfasis4 7 2 2 2 5" xfId="31731" xr:uid="{479050B7-4F27-4B3C-A965-F4E4EAD4DD91}"/>
    <cellStyle name="40% - Énfasis4 7 2 2 2 6" xfId="37601" xr:uid="{E7FC7561-E8BF-4ADA-97D0-F5CE79412138}"/>
    <cellStyle name="40% - Énfasis4 7 2 2 3" xfId="7501" xr:uid="{9F645EC8-8353-421C-BCCA-28E7DD08520E}"/>
    <cellStyle name="40% - Énfasis4 7 2 2 3 2" xfId="21902" xr:uid="{63ECDEFD-5A21-42C4-A5C0-80C5BE09DD32}"/>
    <cellStyle name="40% - Énfasis4 7 2 2 3 3" xfId="27735" xr:uid="{ABF96FB7-3B3B-4745-AB05-F88A7F6DEAC5}"/>
    <cellStyle name="40% - Énfasis4 7 2 2 3 4" xfId="33617" xr:uid="{5F38802C-618E-4019-BB06-6A6B1F51D7B0}"/>
    <cellStyle name="40% - Énfasis4 7 2 2 3 5" xfId="39481" xr:uid="{1F014743-0E44-4A31-84AB-A2D3C3ECA813}"/>
    <cellStyle name="40% - Énfasis4 7 2 2 4" xfId="19132" xr:uid="{72B519B1-F537-4DE0-9C62-E3252597E6AB}"/>
    <cellStyle name="40% - Énfasis4 7 2 2 5" xfId="24886" xr:uid="{3ADD4BA5-EF7D-44D2-9E55-1E01D59D77C5}"/>
    <cellStyle name="40% - Énfasis4 7 2 2 6" xfId="30762" xr:uid="{D045422B-4F09-4CCE-8CD1-8D0A4E9DBDC4}"/>
    <cellStyle name="40% - Énfasis4 7 2 2 7" xfId="36644" xr:uid="{39D3E0B2-AABF-419B-9260-43E484D62ADF}"/>
    <cellStyle name="40% - Énfasis4 7 2 3" xfId="5121" xr:uid="{571B4170-45C3-477D-894D-D54BF5F26D62}"/>
    <cellStyle name="40% - Énfasis4 7 2 3 2" xfId="7988" xr:uid="{9B9BB49D-001C-4293-8036-53A12DD24660}"/>
    <cellStyle name="40% - Énfasis4 7 2 3 2 2" xfId="22373" xr:uid="{DBE945AC-C1F8-4D91-8C47-F8AA5944E669}"/>
    <cellStyle name="40% - Énfasis4 7 2 3 2 3" xfId="28221" xr:uid="{C900AD36-D446-45FB-B1AE-F92ABF57B4DE}"/>
    <cellStyle name="40% - Énfasis4 7 2 3 2 4" xfId="34103" xr:uid="{19D7EA1A-9C9D-44D6-8FB6-4BF685C2C54D}"/>
    <cellStyle name="40% - Énfasis4 7 2 3 2 5" xfId="39967" xr:uid="{EEDBCFF4-373F-4FE4-AD95-1471CE0DD486}"/>
    <cellStyle name="40% - Énfasis4 7 2 3 3" xfId="19596" xr:uid="{31CF99DD-973F-4154-B461-DF72C8F97507}"/>
    <cellStyle name="40% - Énfasis4 7 2 3 4" xfId="25372" xr:uid="{6B93D55D-D486-491A-A436-AD215FF7ABD6}"/>
    <cellStyle name="40% - Énfasis4 7 2 3 5" xfId="31246" xr:uid="{B281A048-92F8-4B3A-A484-07BF4FC5ECBA}"/>
    <cellStyle name="40% - Énfasis4 7 2 3 6" xfId="37124" xr:uid="{5CC672FA-0971-47F1-935A-53B50CE69F6B}"/>
    <cellStyle name="40% - Énfasis4 7 2 4" xfId="7016" xr:uid="{A87F94DF-55D1-4F42-A4ED-97D3742F2CA5}"/>
    <cellStyle name="40% - Énfasis4 7 2 4 2" xfId="21433" xr:uid="{97510C2B-DDE9-4CFD-A91E-04C24B831CC3}"/>
    <cellStyle name="40% - Énfasis4 7 2 4 3" xfId="27254" xr:uid="{BB126718-002E-49FE-AA93-E1034858E1B1}"/>
    <cellStyle name="40% - Énfasis4 7 2 4 4" xfId="33132" xr:uid="{CD6C99E0-9C34-40E7-98F0-6EAB8BB5F609}"/>
    <cellStyle name="40% - Énfasis4 7 2 4 5" xfId="38996" xr:uid="{8C548195-B04D-4F4F-BE15-3CB006A1E880}"/>
    <cellStyle name="40% - Énfasis4 7 2 5" xfId="18688" xr:uid="{CA806236-9EAB-4424-BF84-39161B67E31D}"/>
    <cellStyle name="40% - Énfasis4 7 2 6" xfId="24403" xr:uid="{173F1014-47A6-4B97-9F31-C381B228B5E4}"/>
    <cellStyle name="40% - Énfasis4 7 2 7" xfId="30280" xr:uid="{E3C09CAA-7083-4705-ACA9-124B9AAA3874}"/>
    <cellStyle name="40% - Énfasis4 7 2 8" xfId="36160" xr:uid="{7A6FCDF5-DA8B-4B98-8D83-256E50F3FFF6}"/>
    <cellStyle name="40% - Énfasis4 7 3" xfId="4443" xr:uid="{D2EB64B1-3468-43D7-B3D5-76A526011B91}"/>
    <cellStyle name="40% - Énfasis4 7 3 2" xfId="5410" xr:uid="{D0780EC5-55CE-4C3E-8AC3-81519BB987CD}"/>
    <cellStyle name="40% - Énfasis4 7 3 2 2" xfId="8277" xr:uid="{B773F59B-6ABB-4B93-8470-2288CD1E93DF}"/>
    <cellStyle name="40% - Énfasis4 7 3 2 2 2" xfId="22653" xr:uid="{EB3BD891-9E02-47C0-BA27-7E80A9546DFC}"/>
    <cellStyle name="40% - Énfasis4 7 3 2 2 3" xfId="28510" xr:uid="{7515385C-1AD4-41C4-A172-93614B49868A}"/>
    <cellStyle name="40% - Énfasis4 7 3 2 2 4" xfId="34392" xr:uid="{AE37B17B-5491-4037-8EA9-EA9E0375B1E2}"/>
    <cellStyle name="40% - Énfasis4 7 3 2 2 5" xfId="40256" xr:uid="{502759FF-1C02-4CD0-9850-98260094C80C}"/>
    <cellStyle name="40% - Énfasis4 7 3 2 3" xfId="19875" xr:uid="{902CDBCD-94C0-471F-853B-FB2AAFE53A11}"/>
    <cellStyle name="40% - Énfasis4 7 3 2 4" xfId="25661" xr:uid="{BE323F8E-1FBB-499C-AF16-2AFC8D5E8283}"/>
    <cellStyle name="40% - Énfasis4 7 3 2 5" xfId="31535" xr:uid="{337EDBFB-9C26-487E-BFF9-291E709A06D0}"/>
    <cellStyle name="40% - Énfasis4 7 3 2 6" xfId="37406" xr:uid="{45711F77-FF7F-43A3-ABC2-E25AF244A6DC}"/>
    <cellStyle name="40% - Énfasis4 7 3 3" xfId="7305" xr:uid="{BF82A406-612C-4547-A3A5-14284C04B9B1}"/>
    <cellStyle name="40% - Énfasis4 7 3 3 2" xfId="21710" xr:uid="{D8774AF1-1ADC-40B7-AEB5-A0F93A43AA5A}"/>
    <cellStyle name="40% - Énfasis4 7 3 3 3" xfId="27539" xr:uid="{8AAA6843-E50B-4D1D-B830-66AD500EDE3D}"/>
    <cellStyle name="40% - Énfasis4 7 3 3 4" xfId="33421" xr:uid="{4F3A7FEB-0A76-4DA1-BB4F-6FBD2E676818}"/>
    <cellStyle name="40% - Énfasis4 7 3 3 5" xfId="39285" xr:uid="{6287DF61-5C07-412F-8A65-D4CCFD46BB8F}"/>
    <cellStyle name="40% - Énfasis4 7 3 4" xfId="18946" xr:uid="{8891E101-0574-4729-B599-B001863847BA}"/>
    <cellStyle name="40% - Énfasis4 7 3 5" xfId="24690" xr:uid="{5F24B60A-0C1D-48DD-B0E9-BA3C7DB18730}"/>
    <cellStyle name="40% - Énfasis4 7 3 6" xfId="30568" xr:uid="{FC206059-DA48-4A14-978F-1304AF111826}"/>
    <cellStyle name="40% - Énfasis4 7 3 7" xfId="36449" xr:uid="{6F28C85F-61BC-4E07-89DF-C10EC1FEF4CD}"/>
    <cellStyle name="40% - Énfasis4 7 4" xfId="4925" xr:uid="{FCA5FA94-8C85-450D-B767-4BDE2A0F9A55}"/>
    <cellStyle name="40% - Énfasis4 7 4 2" xfId="7792" xr:uid="{478369E4-7059-4932-B598-FFA1AB06EB5A}"/>
    <cellStyle name="40% - Énfasis4 7 4 2 2" xfId="22180" xr:uid="{75034093-3133-4D04-906E-3AF926822005}"/>
    <cellStyle name="40% - Énfasis4 7 4 2 3" xfId="28025" xr:uid="{494D0760-030A-4A8E-BC20-41EDC3EE76CA}"/>
    <cellStyle name="40% - Énfasis4 7 4 2 4" xfId="33907" xr:uid="{94679AFE-B060-4AE5-83C3-4D227B97E190}"/>
    <cellStyle name="40% - Énfasis4 7 4 2 5" xfId="39771" xr:uid="{0401C4BB-78B9-4472-B56E-12D547E88A27}"/>
    <cellStyle name="40% - Énfasis4 7 4 3" xfId="19407" xr:uid="{CDED47AD-AB3E-4708-9B7A-9B50F0C5F9BB}"/>
    <cellStyle name="40% - Énfasis4 7 4 4" xfId="25176" xr:uid="{751B35EB-BC43-45BA-859B-8B6C690FA099}"/>
    <cellStyle name="40% - Énfasis4 7 4 5" xfId="31050" xr:uid="{6DF83A12-C643-4416-8FF1-7CDF91E9DE19}"/>
    <cellStyle name="40% - Énfasis4 7 4 6" xfId="36929" xr:uid="{68ABC942-1B44-4786-86FA-4D5C79C9FC92}"/>
    <cellStyle name="40% - Énfasis4 7 5" xfId="5935" xr:uid="{C5868D7C-662E-4831-ADA4-0C1601D160CA}"/>
    <cellStyle name="40% - Énfasis4 7 5 2" xfId="8804" xr:uid="{445AB439-006C-45BF-A0DD-745FD8F6FDB3}"/>
    <cellStyle name="40% - Énfasis4 7 5 2 2" xfId="23171" xr:uid="{7783D03C-4FC9-4592-B2CF-0E72797F5C17}"/>
    <cellStyle name="40% - Énfasis4 7 5 2 3" xfId="29036" xr:uid="{4AA99CC5-E6FE-40C3-819E-6450EE8854BA}"/>
    <cellStyle name="40% - Énfasis4 7 5 2 4" xfId="34918" xr:uid="{D797742E-2F67-43DA-9D1D-9EA6B4DAD110}"/>
    <cellStyle name="40% - Énfasis4 7 5 2 5" xfId="40782" xr:uid="{277F6471-9BE2-42C7-A45C-C7438D4314C3}"/>
    <cellStyle name="40% - Énfasis4 7 5 3" xfId="20385" xr:uid="{5A31361C-CB70-477B-89EB-FEF914C28FC3}"/>
    <cellStyle name="40% - Énfasis4 7 5 4" xfId="26186" xr:uid="{230F395C-C2D4-44A1-BBED-2F3112B34DDD}"/>
    <cellStyle name="40% - Énfasis4 7 5 5" xfId="32061" xr:uid="{221A8683-877A-46FB-AAD9-3AABAB3C356F}"/>
    <cellStyle name="40% - Énfasis4 7 5 6" xfId="37927" xr:uid="{78538589-22D7-4D32-A893-79076963D590}"/>
    <cellStyle name="40% - Énfasis4 7 6" xfId="6821" xr:uid="{5847AE07-2CD5-4E47-B904-148A55DFCE30}"/>
    <cellStyle name="40% - Énfasis4 7 6 2" xfId="21244" xr:uid="{67A70B6A-710E-483E-AA1C-CB420E2AE648}"/>
    <cellStyle name="40% - Énfasis4 7 6 3" xfId="27060" xr:uid="{F09F87DA-2A0A-4B51-B5A8-5DB7307BD047}"/>
    <cellStyle name="40% - Énfasis4 7 6 4" xfId="32936" xr:uid="{F88DD335-127C-4653-B8A8-A94B0E313452}"/>
    <cellStyle name="40% - Énfasis4 7 6 5" xfId="38800" xr:uid="{3954F80E-04A0-43C6-864C-EDB752F7FF2F}"/>
    <cellStyle name="40% - Énfasis4 7 7" xfId="18494" xr:uid="{1C18307B-BC23-4380-BB67-43700D9470DB}"/>
    <cellStyle name="40% - Énfasis4 7 8" xfId="24202" xr:uid="{A84E145E-BA6E-424F-98D8-9072EA3FE7BF}"/>
    <cellStyle name="40% - Énfasis4 7 9" xfId="30080" xr:uid="{7638B95C-791E-4EB4-9707-7AC2327D611B}"/>
    <cellStyle name="40% - Énfasis4 8" xfId="3994" xr:uid="{DF6233F0-69E8-4FA7-9BCB-5F92CC4D9AA9}"/>
    <cellStyle name="40% - Énfasis4 8 10" xfId="35988" xr:uid="{E37B604D-2BAD-47BD-84AF-1168770ACCCD}"/>
    <cellStyle name="40% - Énfasis4 8 2" xfId="4186" xr:uid="{1A63C6BC-CC56-4BE9-8AA4-94424ACBB7EE}"/>
    <cellStyle name="40% - Énfasis4 8 2 2" xfId="4664" xr:uid="{274787F7-8FAA-4D3B-9830-CDF56936B876}"/>
    <cellStyle name="40% - Énfasis4 8 2 2 2" xfId="5632" xr:uid="{B8DD27FB-411E-4624-9D7A-589D58D84FEC}"/>
    <cellStyle name="40% - Énfasis4 8 2 2 2 2" xfId="8499" xr:uid="{ECD9D81E-5057-4E1B-96B4-AE824933B7D6}"/>
    <cellStyle name="40% - Énfasis4 8 2 2 2 2 2" xfId="22873" xr:uid="{8BE41273-448E-4DF4-A8E1-C46081FB4348}"/>
    <cellStyle name="40% - Énfasis4 8 2 2 2 2 3" xfId="28732" xr:uid="{72F632FC-C7C3-479D-B38E-D2FA0EF40903}"/>
    <cellStyle name="40% - Énfasis4 8 2 2 2 2 4" xfId="34614" xr:uid="{A6E6F8C8-D5D6-4CEB-B3A7-A5A2DE044285}"/>
    <cellStyle name="40% - Énfasis4 8 2 2 2 2 5" xfId="40478" xr:uid="{5A17A09F-C6B4-4283-9C24-B90F4C2AEFCC}"/>
    <cellStyle name="40% - Énfasis4 8 2 2 2 3" xfId="20091" xr:uid="{4E44B104-AD5E-4C52-BA96-8A4AC300FB17}"/>
    <cellStyle name="40% - Énfasis4 8 2 2 2 4" xfId="25883" xr:uid="{0C9C31AC-ED7C-4D42-8D4F-84D255C763E0}"/>
    <cellStyle name="40% - Énfasis4 8 2 2 2 5" xfId="31757" xr:uid="{55EAF5D4-398A-481D-A461-16329CD12515}"/>
    <cellStyle name="40% - Énfasis4 8 2 2 2 6" xfId="37626" xr:uid="{A5F7C871-6096-48C8-A829-7B6C0FA25271}"/>
    <cellStyle name="40% - Énfasis4 8 2 2 3" xfId="7527" xr:uid="{F2BA03C2-6E82-485B-94E8-36F6C2F407F5}"/>
    <cellStyle name="40% - Énfasis4 8 2 2 3 2" xfId="21927" xr:uid="{6FB6CBC0-1635-4295-9687-4C838DF3DEF7}"/>
    <cellStyle name="40% - Énfasis4 8 2 2 3 3" xfId="27761" xr:uid="{691EF59B-859E-46A1-A64F-66E7DF9EFC86}"/>
    <cellStyle name="40% - Énfasis4 8 2 2 3 4" xfId="33643" xr:uid="{5CAE6A9B-D9BE-4A11-B0DC-EC31E6A78774}"/>
    <cellStyle name="40% - Énfasis4 8 2 2 3 5" xfId="39507" xr:uid="{9BC495AA-6F86-42DB-8B2B-3C51ACE862E8}"/>
    <cellStyle name="40% - Énfasis4 8 2 2 4" xfId="19156" xr:uid="{00CCE402-84CF-4EED-B924-B2AD4FDD6D23}"/>
    <cellStyle name="40% - Énfasis4 8 2 2 5" xfId="24912" xr:uid="{F6066D1B-8F77-4A07-93C7-ECE4E1D9AAE7}"/>
    <cellStyle name="40% - Énfasis4 8 2 2 6" xfId="30788" xr:uid="{C04466F4-DB91-4EAA-835D-7DC0BFD29E36}"/>
    <cellStyle name="40% - Énfasis4 8 2 2 7" xfId="36669" xr:uid="{C8A38D26-8597-4B82-BB59-73956F77DD46}"/>
    <cellStyle name="40% - Énfasis4 8 2 3" xfId="5147" xr:uid="{57F29511-6F07-42D2-AD0C-9E1067499924}"/>
    <cellStyle name="40% - Énfasis4 8 2 3 2" xfId="8014" xr:uid="{AE60DA35-BF38-4C3B-930A-2F6635600001}"/>
    <cellStyle name="40% - Énfasis4 8 2 3 2 2" xfId="22398" xr:uid="{C1A27738-3C1B-4258-93F2-90465A32DCF8}"/>
    <cellStyle name="40% - Énfasis4 8 2 3 2 3" xfId="28247" xr:uid="{70B2FE76-140F-493C-ACFC-5062FB39439B}"/>
    <cellStyle name="40% - Énfasis4 8 2 3 2 4" xfId="34129" xr:uid="{E5CD4589-53E8-471E-8731-EABDF0739EDB}"/>
    <cellStyle name="40% - Énfasis4 8 2 3 2 5" xfId="39993" xr:uid="{56EF02E2-0822-4C45-8555-F735FCB6B34B}"/>
    <cellStyle name="40% - Énfasis4 8 2 3 3" xfId="19621" xr:uid="{4459D5F9-140F-4480-AC24-A9AD4D73F0EB}"/>
    <cellStyle name="40% - Énfasis4 8 2 3 4" xfId="25398" xr:uid="{E35E0FD3-7036-43B2-977C-7774E98EA794}"/>
    <cellStyle name="40% - Énfasis4 8 2 3 5" xfId="31272" xr:uid="{DEA9A4FD-B6EB-42B9-BF93-65FEB40B757A}"/>
    <cellStyle name="40% - Énfasis4 8 2 3 6" xfId="37149" xr:uid="{A8DD6E83-155D-4D25-9F0F-D990430F259A}"/>
    <cellStyle name="40% - Énfasis4 8 2 4" xfId="7042" xr:uid="{66DDECF2-CCF4-4E80-A262-4029BF9C033E}"/>
    <cellStyle name="40% - Énfasis4 8 2 4 2" xfId="21458" xr:uid="{9E6F8D8D-10B5-4773-9064-1927FE2991C9}"/>
    <cellStyle name="40% - Énfasis4 8 2 4 3" xfId="27279" xr:uid="{1F28CD17-8E9B-4DC5-9466-DAEA56783471}"/>
    <cellStyle name="40% - Énfasis4 8 2 4 4" xfId="33158" xr:uid="{975D0FA3-D760-4CA6-BCB5-17E609EF894B}"/>
    <cellStyle name="40% - Énfasis4 8 2 4 5" xfId="39022" xr:uid="{9D115672-7DA3-4D6D-8347-B888AE174453}"/>
    <cellStyle name="40% - Énfasis4 8 2 5" xfId="18713" xr:uid="{B5974AA4-07FD-4F6A-9258-6B8E2C6ED71C}"/>
    <cellStyle name="40% - Énfasis4 8 2 6" xfId="24429" xr:uid="{FACE377D-DD1B-49B6-8706-04129250916E}"/>
    <cellStyle name="40% - Énfasis4 8 2 7" xfId="30306" xr:uid="{9B8ED557-06D1-4995-9D0A-52541F62FA84}"/>
    <cellStyle name="40% - Énfasis4 8 2 8" xfId="36186" xr:uid="{2EF5882E-E274-4562-863B-B5697F798468}"/>
    <cellStyle name="40% - Énfasis4 8 3" xfId="4468" xr:uid="{BF170AF1-A706-4A82-92F7-F0DBFB99E73A}"/>
    <cellStyle name="40% - Énfasis4 8 3 2" xfId="5436" xr:uid="{2C54739D-83BE-448F-9687-737F4DBF0B82}"/>
    <cellStyle name="40% - Énfasis4 8 3 2 2" xfId="8303" xr:uid="{884E442F-23DC-477F-867C-06ABA17E589F}"/>
    <cellStyle name="40% - Énfasis4 8 3 2 2 2" xfId="22679" xr:uid="{65289D61-7536-4E48-9552-8E9773AE6DD0}"/>
    <cellStyle name="40% - Énfasis4 8 3 2 2 3" xfId="28536" xr:uid="{818CAE8A-501E-4370-B7BE-DCB633D5BD04}"/>
    <cellStyle name="40% - Énfasis4 8 3 2 2 4" xfId="34418" xr:uid="{20A06ACB-5313-4351-B651-FF27FB9A02CC}"/>
    <cellStyle name="40% - Énfasis4 8 3 2 2 5" xfId="40282" xr:uid="{6FF69B93-DB5E-462D-B36B-D386B9C6DD25}"/>
    <cellStyle name="40% - Énfasis4 8 3 2 3" xfId="19900" xr:uid="{3B97E290-596C-476E-922C-CC056E645E79}"/>
    <cellStyle name="40% - Énfasis4 8 3 2 4" xfId="25687" xr:uid="{E32552A5-28DC-493D-AE9F-DC04DF6683E9}"/>
    <cellStyle name="40% - Énfasis4 8 3 2 5" xfId="31561" xr:uid="{523137C8-C507-4D0B-B763-A7FBF06538D3}"/>
    <cellStyle name="40% - Énfasis4 8 3 2 6" xfId="37432" xr:uid="{D6123E01-6A2C-4487-BABB-0038FEA84089}"/>
    <cellStyle name="40% - Énfasis4 8 3 3" xfId="7331" xr:uid="{9DA37521-A3B3-43FF-8850-82A42A5BB8A6}"/>
    <cellStyle name="40% - Énfasis4 8 3 3 2" xfId="21735" xr:uid="{06AD71F4-25E2-4F17-A2B5-7C9A7848CC86}"/>
    <cellStyle name="40% - Énfasis4 8 3 3 3" xfId="27565" xr:uid="{6D8FEE6F-3EFB-4043-A00F-7B42D938A59D}"/>
    <cellStyle name="40% - Énfasis4 8 3 3 4" xfId="33447" xr:uid="{8E0C7649-7BF4-421E-91E5-B8DD02DBBE30}"/>
    <cellStyle name="40% - Énfasis4 8 3 3 5" xfId="39311" xr:uid="{26E981C6-AF9D-4C10-AD6A-A74EA14ABE30}"/>
    <cellStyle name="40% - Énfasis4 8 3 4" xfId="18972" xr:uid="{D2D1FACB-3D3A-4373-B704-4A34896224C1}"/>
    <cellStyle name="40% - Énfasis4 8 3 5" xfId="24716" xr:uid="{6EF4E446-9287-4D43-AF00-46A9852F0B30}"/>
    <cellStyle name="40% - Énfasis4 8 3 6" xfId="30594" xr:uid="{74764902-943C-403C-AE7C-1A152DC1DBF8}"/>
    <cellStyle name="40% - Énfasis4 8 3 7" xfId="36475" xr:uid="{33BF50C4-5D94-4DCD-991E-A002CAA7606E}"/>
    <cellStyle name="40% - Énfasis4 8 4" xfId="4951" xr:uid="{1BE2931B-B7C2-4C46-A173-33F24383946C}"/>
    <cellStyle name="40% - Énfasis4 8 4 2" xfId="7818" xr:uid="{08CBCCD0-E98B-4691-97E1-2AA08BE4A203}"/>
    <cellStyle name="40% - Énfasis4 8 4 2 2" xfId="22205" xr:uid="{3029E432-B58C-4864-8A14-C321B0622373}"/>
    <cellStyle name="40% - Énfasis4 8 4 2 3" xfId="28051" xr:uid="{32608D12-4CC8-4FBF-884F-16980896DCC3}"/>
    <cellStyle name="40% - Énfasis4 8 4 2 4" xfId="33933" xr:uid="{91180492-D27C-4F3E-BEF4-4E130356468B}"/>
    <cellStyle name="40% - Énfasis4 8 4 2 5" xfId="39797" xr:uid="{5C72D9A2-AD9A-402E-BEBD-C8EB9183A52B}"/>
    <cellStyle name="40% - Énfasis4 8 4 3" xfId="19433" xr:uid="{EE528619-5285-4EF2-AA6B-5DDB603D4713}"/>
    <cellStyle name="40% - Énfasis4 8 4 4" xfId="25202" xr:uid="{C355EB1C-52FD-4886-AB89-407FB4FBF38B}"/>
    <cellStyle name="40% - Énfasis4 8 4 5" xfId="31076" xr:uid="{343821AD-B9F6-435F-85B1-4AF6C0AFA0C0}"/>
    <cellStyle name="40% - Énfasis4 8 4 6" xfId="36955" xr:uid="{0952DBFF-D2EB-4300-B64F-DBA91834E340}"/>
    <cellStyle name="40% - Énfasis4 8 5" xfId="5961" xr:uid="{5B76DDDC-96F5-4B4B-9596-48D717198F26}"/>
    <cellStyle name="40% - Énfasis4 8 5 2" xfId="8830" xr:uid="{A2B99AF8-2C8C-45BB-9FD5-51E9648419A1}"/>
    <cellStyle name="40% - Énfasis4 8 5 2 2" xfId="23195" xr:uid="{18C601F9-0937-460F-9FF4-3809E9536663}"/>
    <cellStyle name="40% - Énfasis4 8 5 2 3" xfId="29062" xr:uid="{FCDA9690-4C17-4820-97DD-AACB171B80F4}"/>
    <cellStyle name="40% - Énfasis4 8 5 2 4" xfId="34944" xr:uid="{FB2FE3CC-6082-4EA5-A9B4-B92F8F582296}"/>
    <cellStyle name="40% - Énfasis4 8 5 2 5" xfId="40808" xr:uid="{30BFFFE2-6765-40DA-AE1E-823E8FE547C7}"/>
    <cellStyle name="40% - Énfasis4 8 5 3" xfId="20411" xr:uid="{A68FDECF-51B4-49E6-88C0-6A1BB78C298E}"/>
    <cellStyle name="40% - Énfasis4 8 5 4" xfId="26212" xr:uid="{41AE4A66-6500-4F2B-8D57-34685690A342}"/>
    <cellStyle name="40% - Énfasis4 8 5 5" xfId="32087" xr:uid="{1FF6FB85-5A4C-4600-AF8F-BF8A60E4B66C}"/>
    <cellStyle name="40% - Énfasis4 8 5 6" xfId="37952" xr:uid="{800D6302-28D2-420A-9305-BD32697BB8FC}"/>
    <cellStyle name="40% - Énfasis4 8 6" xfId="6847" xr:uid="{EB5C83E1-B03D-4F6C-ACEB-667D9393C524}"/>
    <cellStyle name="40% - Énfasis4 8 6 2" xfId="21270" xr:uid="{4C58EF29-7400-467F-A368-D72FA9D24B06}"/>
    <cellStyle name="40% - Énfasis4 8 6 3" xfId="27085" xr:uid="{B8D0F321-B4C4-4B5F-8D7B-640B1285DB01}"/>
    <cellStyle name="40% - Énfasis4 8 6 4" xfId="32962" xr:uid="{11C187CB-CE7C-4A7B-8684-846F66125B24}"/>
    <cellStyle name="40% - Énfasis4 8 6 5" xfId="38826" xr:uid="{226A96F6-6151-4182-84A5-950500748D09}"/>
    <cellStyle name="40% - Énfasis4 8 7" xfId="18521" xr:uid="{9CCF8D68-B79B-4877-84BF-B21F7C8A9FE7}"/>
    <cellStyle name="40% - Énfasis4 8 8" xfId="24230" xr:uid="{79F6EF3B-73BE-405C-B881-762AE3064544}"/>
    <cellStyle name="40% - Énfasis4 8 9" xfId="30108" xr:uid="{257F27E2-FE06-4132-8FC8-324CEB9C8D29}"/>
    <cellStyle name="40% - Énfasis4 9" xfId="4018" xr:uid="{18F1BD63-2F4D-41D2-9991-3992968868CF}"/>
    <cellStyle name="40% - Énfasis4 9 2" xfId="4489" xr:uid="{4F9C11D9-F98C-450A-8380-83C345341204}"/>
    <cellStyle name="40% - Énfasis4 9 2 2" xfId="5457" xr:uid="{6F00BE4F-F6D5-461C-9364-794A13430DCF}"/>
    <cellStyle name="40% - Énfasis4 9 2 2 2" xfId="8324" xr:uid="{5892EC38-ACEA-4AE8-85F5-44FB688D2EC9}"/>
    <cellStyle name="40% - Énfasis4 9 2 2 2 2" xfId="22700" xr:uid="{4D938899-2EEA-4FD7-AADD-6A651BF25509}"/>
    <cellStyle name="40% - Énfasis4 9 2 2 2 3" xfId="28557" xr:uid="{99A4E9BE-AA0B-4F40-AC43-C8CC2A31F421}"/>
    <cellStyle name="40% - Énfasis4 9 2 2 2 4" xfId="34439" xr:uid="{7AC03245-73C6-46FC-B30B-69148B02E7A5}"/>
    <cellStyle name="40% - Énfasis4 9 2 2 2 5" xfId="40303" xr:uid="{4B189AA1-6BF8-4BAB-98CA-E1699F44198C}"/>
    <cellStyle name="40% - Énfasis4 9 2 2 3" xfId="19920" xr:uid="{D925E50F-F686-49A0-BF44-ADD784F84B2E}"/>
    <cellStyle name="40% - Énfasis4 9 2 2 4" xfId="25708" xr:uid="{0F1487F1-0707-439E-A08C-6101C105A3C2}"/>
    <cellStyle name="40% - Énfasis4 9 2 2 5" xfId="31582" xr:uid="{32226109-8D17-4128-86D4-7FFE2AA67AEF}"/>
    <cellStyle name="40% - Énfasis4 9 2 2 6" xfId="37453" xr:uid="{398A8315-6AF0-4CDE-B420-A8C9C0C189CD}"/>
    <cellStyle name="40% - Énfasis4 9 2 3" xfId="7352" xr:uid="{AC631447-275C-499A-B368-4566ADB740EE}"/>
    <cellStyle name="40% - Énfasis4 9 2 3 2" xfId="21755" xr:uid="{2BC2B081-BC93-4A91-A138-F19CDFA25175}"/>
    <cellStyle name="40% - Énfasis4 9 2 3 3" xfId="27586" xr:uid="{66E25FB3-167D-437E-BC6F-478E6A0F2D8C}"/>
    <cellStyle name="40% - Énfasis4 9 2 3 4" xfId="33468" xr:uid="{9EAA9BCC-74E6-4655-8658-D40545ABAD58}"/>
    <cellStyle name="40% - Énfasis4 9 2 3 5" xfId="39332" xr:uid="{9D60D762-0AF0-4F5D-86F3-082722C27746}"/>
    <cellStyle name="40% - Énfasis4 9 2 4" xfId="18993" xr:uid="{15A81CD3-363D-4B4F-A24A-1192C3B05636}"/>
    <cellStyle name="40% - Énfasis4 9 2 5" xfId="24737" xr:uid="{EC424041-254E-4254-9ABD-6BCF6722F72A}"/>
    <cellStyle name="40% - Énfasis4 9 2 6" xfId="30614" xr:uid="{13B89018-452D-4EA0-A46E-CA730B10004F}"/>
    <cellStyle name="40% - Énfasis4 9 2 7" xfId="36496" xr:uid="{37BED864-8050-474D-BEAF-1DCBC1C621D9}"/>
    <cellStyle name="40% - Énfasis4 9 3" xfId="4972" xr:uid="{175CBDF8-7698-4FDF-9E61-92ADB8B2FE22}"/>
    <cellStyle name="40% - Énfasis4 9 3 2" xfId="7839" xr:uid="{1F53170C-636A-41D7-8FCF-DAEAF8937CA1}"/>
    <cellStyle name="40% - Énfasis4 9 3 2 2" xfId="22225" xr:uid="{FFD9BB7B-A11E-4521-A7C3-52787FFA14A2}"/>
    <cellStyle name="40% - Énfasis4 9 3 2 3" xfId="28072" xr:uid="{F5A434BB-B8B0-4B9A-8376-4E2F9AD4FBBB}"/>
    <cellStyle name="40% - Énfasis4 9 3 2 4" xfId="33954" xr:uid="{B674F143-40C1-477E-806D-B4F7BD793A14}"/>
    <cellStyle name="40% - Énfasis4 9 3 2 5" xfId="39818" xr:uid="{A7938180-202F-4ECE-8982-E61E8B53C199}"/>
    <cellStyle name="40% - Énfasis4 9 3 3" xfId="19453" xr:uid="{07B97A34-8496-44C3-9B6B-E904BD5F4C15}"/>
    <cellStyle name="40% - Énfasis4 9 3 4" xfId="25223" xr:uid="{1724E2CF-2630-4D77-8EB4-9BFB162E02C0}"/>
    <cellStyle name="40% - Énfasis4 9 3 5" xfId="31097" xr:uid="{7144C283-F75E-4E8E-85D5-E7EDCE7B21BE}"/>
    <cellStyle name="40% - Énfasis4 9 3 6" xfId="36976" xr:uid="{71B715CB-1698-407C-AA3B-ED5A7A8DC9CF}"/>
    <cellStyle name="40% - Énfasis4 9 4" xfId="6868" xr:uid="{BF55933C-1165-40CF-AEC5-483D2B8CC347}"/>
    <cellStyle name="40% - Énfasis4 9 4 2" xfId="21290" xr:uid="{B522A695-C1C3-4E0A-8C57-9A31949E794A}"/>
    <cellStyle name="40% - Énfasis4 9 4 3" xfId="27106" xr:uid="{CF6444B6-11E3-464C-A4FD-672EA84E0BB0}"/>
    <cellStyle name="40% - Énfasis4 9 4 4" xfId="32983" xr:uid="{4CDA6294-6A76-4185-B0C3-E48220F3A9D5}"/>
    <cellStyle name="40% - Énfasis4 9 4 5" xfId="38847" xr:uid="{FFAF38BB-37C7-49CE-B5D4-0CA260F5D82A}"/>
    <cellStyle name="40% - Énfasis4 9 5" xfId="18544" xr:uid="{ABB3F825-9C4F-413B-AB1B-483CDEDF994F}"/>
    <cellStyle name="40% - Énfasis4 9 6" xfId="24254" xr:uid="{39634544-CE4B-45BF-8553-D1974A9B4248}"/>
    <cellStyle name="40% - Énfasis4 9 7" xfId="30132" xr:uid="{8D11E419-1D5F-4E3E-AC9B-11F26F747082}"/>
    <cellStyle name="40% - Énfasis4 9 8" xfId="36011" xr:uid="{21CCBD25-AEEA-433C-99FF-12E775C61A87}"/>
    <cellStyle name="40% - Énfasis5" xfId="36" builtinId="47" customBuiltin="1"/>
    <cellStyle name="40% - Énfasis5 10" xfId="4213" xr:uid="{9FC9DD61-44FD-4014-A4BC-044FF1F55F71}"/>
    <cellStyle name="40% - Énfasis5 10 2" xfId="4691" xr:uid="{8DFEC868-FF08-4DF4-ADF6-26C9F77B8473}"/>
    <cellStyle name="40% - Énfasis5 10 2 2" xfId="5659" xr:uid="{50C23770-090C-4BB8-9B45-54BC5A75DF6F}"/>
    <cellStyle name="40% - Énfasis5 10 2 2 2" xfId="8527" xr:uid="{712D677A-22BE-494C-A904-BFD0DB415505}"/>
    <cellStyle name="40% - Énfasis5 10 2 2 2 2" xfId="22901" xr:uid="{C391697A-4614-46C5-B6DD-35BCB839B785}"/>
    <cellStyle name="40% - Énfasis5 10 2 2 2 3" xfId="28760" xr:uid="{B4436B4F-54D0-44F7-9537-6A04E247D680}"/>
    <cellStyle name="40% - Énfasis5 10 2 2 2 4" xfId="34642" xr:uid="{1434CE86-DC75-4680-A7A3-52115CD37DEC}"/>
    <cellStyle name="40% - Énfasis5 10 2 2 2 5" xfId="40506" xr:uid="{A3A06FDC-C374-4A64-8129-68E95F505ECB}"/>
    <cellStyle name="40% - Énfasis5 10 2 2 3" xfId="20118" xr:uid="{61617DEC-BDF5-487B-ABB8-50C171AF048A}"/>
    <cellStyle name="40% - Énfasis5 10 2 2 4" xfId="25910" xr:uid="{EF35F826-E484-44A1-AABB-AEDB7EB166E9}"/>
    <cellStyle name="40% - Énfasis5 10 2 2 5" xfId="31785" xr:uid="{30F0EA8F-3622-4474-8284-EC196289CBB8}"/>
    <cellStyle name="40% - Énfasis5 10 2 2 6" xfId="37654" xr:uid="{0F0E620C-AB48-4ABD-9EA4-851D4C47838A}"/>
    <cellStyle name="40% - Énfasis5 10 2 3" xfId="7555" xr:uid="{AA25CD3D-85E6-4AAE-83F6-70873D79C134}"/>
    <cellStyle name="40% - Énfasis5 10 2 3 2" xfId="21953" xr:uid="{7EFCF4F8-2ED0-4800-AF64-7F49CD635948}"/>
    <cellStyle name="40% - Énfasis5 10 2 3 3" xfId="27789" xr:uid="{2B6805A5-1135-454C-83A5-E6BD7D8884BA}"/>
    <cellStyle name="40% - Énfasis5 10 2 3 4" xfId="33671" xr:uid="{35C0C867-B0A4-4D61-BE4A-942A6260C2F9}"/>
    <cellStyle name="40% - Énfasis5 10 2 3 5" xfId="39535" xr:uid="{97FD0AE2-99ED-4C2A-B53E-698283E34EB9}"/>
    <cellStyle name="40% - Énfasis5 10 2 4" xfId="19184" xr:uid="{63409A42-2247-463E-9662-3EBBD3B24DAB}"/>
    <cellStyle name="40% - Énfasis5 10 2 5" xfId="24940" xr:uid="{673B842C-3686-482F-B244-83C57FF96AA3}"/>
    <cellStyle name="40% - Énfasis5 10 2 6" xfId="30815" xr:uid="{15A77EAC-2A2E-4C00-B354-C1D37128107E}"/>
    <cellStyle name="40% - Énfasis5 10 2 7" xfId="36697" xr:uid="{5E909BBD-88B1-4574-880C-491CB9B3CD73}"/>
    <cellStyle name="40% - Énfasis5 10 3" xfId="5175" xr:uid="{250A878B-321B-4BBD-85F5-5521B0AB283C}"/>
    <cellStyle name="40% - Énfasis5 10 3 2" xfId="8042" xr:uid="{3550F0C8-F100-42A8-993A-1FF1471C54D6}"/>
    <cellStyle name="40% - Énfasis5 10 3 2 2" xfId="22425" xr:uid="{478947E0-2751-4BD8-9841-5ACC884FEBF6}"/>
    <cellStyle name="40% - Énfasis5 10 3 2 3" xfId="28275" xr:uid="{BA1D4201-1A09-4B5D-B067-517B3FA9682E}"/>
    <cellStyle name="40% - Énfasis5 10 3 2 4" xfId="34157" xr:uid="{B47D36EA-5180-4F93-9855-9089D58CCF24}"/>
    <cellStyle name="40% - Énfasis5 10 3 2 5" xfId="40021" xr:uid="{B351083B-A7C6-45DC-AE2D-CC213652526A}"/>
    <cellStyle name="40% - Énfasis5 10 3 3" xfId="19648" xr:uid="{B2F8F985-EE0D-4404-BAFD-575A7394422B}"/>
    <cellStyle name="40% - Énfasis5 10 3 4" xfId="25426" xr:uid="{B68842FD-66AE-4077-A232-152902C4A223}"/>
    <cellStyle name="40% - Énfasis5 10 3 5" xfId="31300" xr:uid="{6ADE3D73-95A8-495C-ABC4-413145AEDEFE}"/>
    <cellStyle name="40% - Énfasis5 10 3 6" xfId="37177" xr:uid="{9FF0FCDC-C2C4-4384-A05D-B4631ED44170}"/>
    <cellStyle name="40% - Énfasis5 10 4" xfId="7070" xr:uid="{3EC3FFEB-F8D7-4BF3-8CBD-0C5EFE2A08CE}"/>
    <cellStyle name="40% - Énfasis5 10 4 2" xfId="21485" xr:uid="{BC036A72-E874-4877-8595-4277F9ADF32C}"/>
    <cellStyle name="40% - Énfasis5 10 4 3" xfId="27307" xr:uid="{76C7D843-4D09-4D39-96C4-F0D70E33092E}"/>
    <cellStyle name="40% - Énfasis5 10 4 4" xfId="33186" xr:uid="{444EB596-D1F4-4C8D-9219-B7EE260A6F57}"/>
    <cellStyle name="40% - Énfasis5 10 4 5" xfId="39050" xr:uid="{9364EAF7-DD1A-4020-A1C7-8EFDE36C0F7F}"/>
    <cellStyle name="40% - Énfasis5 10 5" xfId="18741" xr:uid="{E9D91602-814B-41D5-AE2F-A8C932A0F578}"/>
    <cellStyle name="40% - Énfasis5 10 6" xfId="24457" xr:uid="{795F7204-01B0-4CB5-969A-2312F586209D}"/>
    <cellStyle name="40% - Énfasis5 10 7" xfId="30333" xr:uid="{CEFA6EA7-B706-4252-82A8-F42ED98B5620}"/>
    <cellStyle name="40% - Énfasis5 10 8" xfId="36214" xr:uid="{372583DD-5699-4EFE-AF9A-A3B6AF180D96}"/>
    <cellStyle name="40% - Énfasis5 11" xfId="4249" xr:uid="{36A1F4BF-11CD-4BA0-9A86-A582405CA14F}"/>
    <cellStyle name="40% - Énfasis5 11 2" xfId="4728" xr:uid="{04C4C3F7-2F9F-42D7-89B2-C1969A722A86}"/>
    <cellStyle name="40% - Énfasis5 11 2 2" xfId="5696" xr:uid="{25B57145-C8CB-4BFF-910E-A15679A6280C}"/>
    <cellStyle name="40% - Énfasis5 11 2 2 2" xfId="8564" xr:uid="{D5EC304A-947E-4167-9CD1-A0AD29056A80}"/>
    <cellStyle name="40% - Énfasis5 11 2 2 2 2" xfId="22936" xr:uid="{F293D6C9-55C2-4585-A8B1-B286C2E06F98}"/>
    <cellStyle name="40% - Énfasis5 11 2 2 2 3" xfId="28797" xr:uid="{76B04F83-2C35-4AD3-A989-17882E61C481}"/>
    <cellStyle name="40% - Énfasis5 11 2 2 2 4" xfId="34679" xr:uid="{55ABACF0-291E-40F8-AD86-34B2369FC6E4}"/>
    <cellStyle name="40% - Énfasis5 11 2 2 2 5" xfId="40543" xr:uid="{C0471C5F-CC67-4F10-A731-00930B6C1CB8}"/>
    <cellStyle name="40% - Énfasis5 11 2 2 3" xfId="20153" xr:uid="{F91B66EC-A5DA-4112-BAC8-34F0B734F890}"/>
    <cellStyle name="40% - Énfasis5 11 2 2 4" xfId="25947" xr:uid="{7186F12C-4F8B-4D98-A311-FF35761828FA}"/>
    <cellStyle name="40% - Énfasis5 11 2 2 5" xfId="31822" xr:uid="{609C53FF-74D1-4C2E-91C2-73287542F888}"/>
    <cellStyle name="40% - Énfasis5 11 2 2 6" xfId="37689" xr:uid="{82AEBF53-C1CA-41A3-8DD6-E2751DB2C642}"/>
    <cellStyle name="40% - Énfasis5 11 2 3" xfId="7592" xr:uid="{219769B7-5FC9-4D52-B561-1ED3FB292248}"/>
    <cellStyle name="40% - Énfasis5 11 2 3 2" xfId="21986" xr:uid="{05583728-61EC-4868-B11E-0DB8826FCD08}"/>
    <cellStyle name="40% - Énfasis5 11 2 3 3" xfId="27826" xr:uid="{1C3DD8CD-38A9-43AD-BFC9-9BC3558388FB}"/>
    <cellStyle name="40% - Énfasis5 11 2 3 4" xfId="33708" xr:uid="{AC5F7F59-2587-472E-A1CA-C69DDA079F22}"/>
    <cellStyle name="40% - Énfasis5 11 2 3 5" xfId="39572" xr:uid="{BD234EBF-1C2C-4F8B-A455-4C9BCC181ACF}"/>
    <cellStyle name="40% - Énfasis5 11 2 4" xfId="19218" xr:uid="{DD124394-7A71-4876-9FDA-B561DA1DF5C0}"/>
    <cellStyle name="40% - Énfasis5 11 2 5" xfId="24977" xr:uid="{BA82E97C-7026-440A-BDA6-E8CE93DEE77E}"/>
    <cellStyle name="40% - Énfasis5 11 2 6" xfId="30851" xr:uid="{63D648A7-CE42-4F61-87E2-988676511732}"/>
    <cellStyle name="40% - Énfasis5 11 2 7" xfId="36732" xr:uid="{3DB60094-316A-4421-B657-B702CD606D69}"/>
    <cellStyle name="40% - Énfasis5 11 3" xfId="5212" xr:uid="{43924663-FBEE-466D-B9F8-C5231A00D63D}"/>
    <cellStyle name="40% - Énfasis5 11 3 2" xfId="8079" xr:uid="{E3855D57-B5C0-402B-9694-C29D51A9118F}"/>
    <cellStyle name="40% - Énfasis5 11 3 2 2" xfId="22457" xr:uid="{AE6244B7-914A-4F6A-B039-CA99529B18D3}"/>
    <cellStyle name="40% - Énfasis5 11 3 2 3" xfId="28312" xr:uid="{3193747C-4882-48F8-8FDA-B463858DC8AE}"/>
    <cellStyle name="40% - Énfasis5 11 3 2 4" xfId="34194" xr:uid="{A197FD96-BBAD-4099-8369-45D7D5394E3C}"/>
    <cellStyle name="40% - Énfasis5 11 3 2 5" xfId="40058" xr:uid="{BD5844FA-BD26-4286-A34A-6C795CDB5298}"/>
    <cellStyle name="40% - Énfasis5 11 3 3" xfId="19683" xr:uid="{EE237A7A-7CE0-4DDE-99FB-5A0EEFDC52C3}"/>
    <cellStyle name="40% - Énfasis5 11 3 4" xfId="25463" xr:uid="{F8967549-73F7-4406-A306-5BBA0B5B820A}"/>
    <cellStyle name="40% - Énfasis5 11 3 5" xfId="31337" xr:uid="{90C64DA8-5199-435F-B7E7-4A650717C1CD}"/>
    <cellStyle name="40% - Énfasis5 11 3 6" xfId="37210" xr:uid="{9B8F630B-F309-4624-98A8-090E6D68B63D}"/>
    <cellStyle name="40% - Énfasis5 11 4" xfId="7107" xr:uid="{264FADB6-0132-4F0E-BF98-0CA7E88978FF}"/>
    <cellStyle name="40% - Énfasis5 11 4 2" xfId="21519" xr:uid="{C918EBF3-7E96-4979-95D0-DD7D8626513A}"/>
    <cellStyle name="40% - Énfasis5 11 4 3" xfId="27342" xr:uid="{EB682EB1-A5D3-4580-A667-78AD183E7C71}"/>
    <cellStyle name="40% - Énfasis5 11 4 4" xfId="33223" xr:uid="{FFA1D5F3-4432-4C70-901F-454780BA31C0}"/>
    <cellStyle name="40% - Énfasis5 11 4 5" xfId="39087" xr:uid="{3AB9B3A6-658F-4BD5-991D-0AB5D8551A24}"/>
    <cellStyle name="40% - Énfasis5 11 5" xfId="18770" xr:uid="{5B7C8F47-E144-4447-A330-D9644BEFE158}"/>
    <cellStyle name="40% - Énfasis5 11 6" xfId="24492" xr:uid="{A43B4A57-0AB1-412F-A4CF-455D7449393D}"/>
    <cellStyle name="40% - Énfasis5 11 7" xfId="30370" xr:uid="{8B502B89-BC2D-4D5C-A71F-DEB762384655}"/>
    <cellStyle name="40% - Énfasis5 11 8" xfId="36251" xr:uid="{DA0F3227-A419-46E6-9EE5-74BCEEB27CEF}"/>
    <cellStyle name="40% - Énfasis5 12" xfId="4298" xr:uid="{9001CA7C-2FD5-4367-8C98-DDA7A359777D}"/>
    <cellStyle name="40% - Énfasis5 12 2" xfId="5264" xr:uid="{0103B300-A3C2-401B-A6B1-3C56D6845A92}"/>
    <cellStyle name="40% - Énfasis5 12 2 2" xfId="8131" xr:uid="{079CBE51-7DB9-4896-A987-5BE7EFB70D11}"/>
    <cellStyle name="40% - Énfasis5 12 2 2 2" xfId="22508" xr:uid="{0B12519C-B62E-4078-B509-36DDD7D90913}"/>
    <cellStyle name="40% - Énfasis5 12 2 2 3" xfId="28364" xr:uid="{6855DAE9-FA29-4F8F-96CA-64E07330ECE3}"/>
    <cellStyle name="40% - Énfasis5 12 2 2 4" xfId="34246" xr:uid="{8E60FD51-BBBE-4091-8E5D-3F38D0C32A59}"/>
    <cellStyle name="40% - Énfasis5 12 2 2 5" xfId="40110" xr:uid="{C9764493-FC04-4DBF-B7B2-4F49501BDC11}"/>
    <cellStyle name="40% - Énfasis5 12 2 3" xfId="19734" xr:uid="{67AB0D1A-4F31-4A31-BB57-D9184A689B8A}"/>
    <cellStyle name="40% - Énfasis5 12 2 4" xfId="25515" xr:uid="{45515ECC-17FF-4ABA-9C85-F4F7CF7E02FA}"/>
    <cellStyle name="40% - Énfasis5 12 2 5" xfId="31389" xr:uid="{90A9395D-158E-4111-A013-7EB82EABD556}"/>
    <cellStyle name="40% - Énfasis5 12 2 6" xfId="37261" xr:uid="{16DCE587-0D18-4683-93DD-BD8F99E380F5}"/>
    <cellStyle name="40% - Énfasis5 12 3" xfId="7159" xr:uid="{8A9ED823-ABF3-4457-942A-11AE37B9603A}"/>
    <cellStyle name="40% - Énfasis5 12 3 2" xfId="21570" xr:uid="{A737C806-5200-4A9F-BE05-40A5ABFA40FC}"/>
    <cellStyle name="40% - Énfasis5 12 3 3" xfId="27393" xr:uid="{D2B5D9F0-65FC-4A04-AF9F-0A32DFF94084}"/>
    <cellStyle name="40% - Énfasis5 12 3 4" xfId="33275" xr:uid="{FBEB19A7-DFE1-4313-A981-CC26EB7ECA76}"/>
    <cellStyle name="40% - Énfasis5 12 3 5" xfId="39139" xr:uid="{A97D42A1-87E9-4D3E-8456-B6339648F4C4}"/>
    <cellStyle name="40% - Énfasis5 12 4" xfId="18806" xr:uid="{34501B4A-C699-4C34-BA2E-5721E921771E}"/>
    <cellStyle name="40% - Énfasis5 12 5" xfId="24544" xr:uid="{A6E05066-FC62-411D-B6C4-F46E5F3D25A7}"/>
    <cellStyle name="40% - Énfasis5 12 6" xfId="30423" xr:uid="{CC2F582C-4991-4875-81E7-09011EB9667A}"/>
    <cellStyle name="40% - Énfasis5 12 7" xfId="36304" xr:uid="{ABCB8AFC-322D-4349-AFA0-670743502CB9}"/>
    <cellStyle name="40% - Énfasis5 13" xfId="4783" xr:uid="{BA69D1FD-C8F0-44D1-B077-1C858EC32EEF}"/>
    <cellStyle name="40% - Énfasis5 13 2" xfId="7646" xr:uid="{6551B361-2450-4E37-A785-FBE965356EB3}"/>
    <cellStyle name="40% - Énfasis5 13 2 2" xfId="22039" xr:uid="{5FDE150E-B302-42F1-B189-DE328B24C7A0}"/>
    <cellStyle name="40% - Énfasis5 13 2 3" xfId="27880" xr:uid="{AA6BBB01-523E-4A3E-8716-13FC3F39EA2B}"/>
    <cellStyle name="40% - Énfasis5 13 2 4" xfId="33762" xr:uid="{80935C0E-9D5F-4E9F-9D76-40037B04637D}"/>
    <cellStyle name="40% - Énfasis5 13 2 5" xfId="39626" xr:uid="{AF2D129E-CBC8-4575-9A0C-E92592D988E1}"/>
    <cellStyle name="40% - Énfasis5 13 3" xfId="19265" xr:uid="{4DA87CAB-1692-47BB-B80D-3BA38E5FCA25}"/>
    <cellStyle name="40% - Énfasis5 13 4" xfId="25031" xr:uid="{B92F76CE-6B0B-4E8F-9C85-7DCB7FF6DDD4}"/>
    <cellStyle name="40% - Énfasis5 13 5" xfId="30905" xr:uid="{3260DC81-23AC-4E15-BEF2-D66A21FBEDB9}"/>
    <cellStyle name="40% - Énfasis5 13 6" xfId="36785" xr:uid="{4389AC78-93A5-4A95-BBF3-7493FA1D0617}"/>
    <cellStyle name="40% - Énfasis5 14" xfId="5749" xr:uid="{FDDDDDDA-F45A-43D2-A52B-B2B862265525}"/>
    <cellStyle name="40% - Énfasis5 14 2" xfId="8618" xr:uid="{5A77DAAA-0150-49F6-A736-BF32E37BFA82}"/>
    <cellStyle name="40% - Énfasis5 14 2 2" xfId="22989" xr:uid="{2F1BB72C-392C-424B-AA1E-3FA01688150D}"/>
    <cellStyle name="40% - Énfasis5 14 2 3" xfId="28851" xr:uid="{7C9C44C9-6785-4AA1-A4FA-F7EFDD64E942}"/>
    <cellStyle name="40% - Énfasis5 14 2 4" xfId="34733" xr:uid="{2D37C3F4-BDBA-4278-82AC-EC8C21EA0C76}"/>
    <cellStyle name="40% - Énfasis5 14 2 5" xfId="40597" xr:uid="{3814ACA9-55B1-4063-B09E-434C8F309364}"/>
    <cellStyle name="40% - Énfasis5 14 3" xfId="20207" xr:uid="{3A5B96CE-1BAE-452F-AAFF-85AA8A4C194F}"/>
    <cellStyle name="40% - Énfasis5 14 4" xfId="26001" xr:uid="{F94301A6-8EB5-4FBF-8E33-E5D095D05DDE}"/>
    <cellStyle name="40% - Énfasis5 14 5" xfId="31876" xr:uid="{28596EED-6FDF-42DF-A8A9-8CBAB6D4F7F3}"/>
    <cellStyle name="40% - Énfasis5 14 6" xfId="37742" xr:uid="{3A1C09FD-DCBD-4878-BD5E-0EF9E32CA22C}"/>
    <cellStyle name="40% - Énfasis5 15" xfId="5769" xr:uid="{C48373D1-5D6F-4EA6-8372-BF263C3F9F44}"/>
    <cellStyle name="40% - Énfasis5 15 2" xfId="8638" xr:uid="{43994BF2-20CD-40EA-B662-0624F19AA391}"/>
    <cellStyle name="40% - Énfasis5 15 2 2" xfId="23009" xr:uid="{D23B9708-1CAF-409F-93FF-ABAD98649A47}"/>
    <cellStyle name="40% - Énfasis5 15 2 3" xfId="28871" xr:uid="{1F10C63A-18D4-4EA4-9946-5ECA4D2C1F59}"/>
    <cellStyle name="40% - Énfasis5 15 2 4" xfId="34753" xr:uid="{E3243C01-B43D-4CFE-B043-6785402A64CD}"/>
    <cellStyle name="40% - Énfasis5 15 2 5" xfId="40617" xr:uid="{1FA62650-808E-46BA-AD87-29D45884689C}"/>
    <cellStyle name="40% - Énfasis5 15 3" xfId="20226" xr:uid="{B8AD2360-CDE8-4F3B-ADDF-26B4BB6FF0AB}"/>
    <cellStyle name="40% - Énfasis5 15 4" xfId="26021" xr:uid="{0E6B34E2-944E-440B-9745-207269EE462F}"/>
    <cellStyle name="40% - Énfasis5 15 5" xfId="31896" xr:uid="{88A55FC4-C137-4DD5-B30F-42C33524CF8B}"/>
    <cellStyle name="40% - Énfasis5 15 6" xfId="37762" xr:uid="{906F6036-8F51-49C4-B0D4-5DB906282C23}"/>
    <cellStyle name="40% - Énfasis5 16" xfId="5789" xr:uid="{DD1F28A8-1EDE-4F1E-AC01-CFA8B86D07EF}"/>
    <cellStyle name="40% - Énfasis5 16 2" xfId="8658" xr:uid="{57939F9E-F9FB-47D9-BE88-CC8EF1CBB56D}"/>
    <cellStyle name="40% - Énfasis5 16 2 2" xfId="23029" xr:uid="{5E270975-393C-42C9-8125-4D9725AB3B89}"/>
    <cellStyle name="40% - Énfasis5 16 2 3" xfId="28891" xr:uid="{2D2505A7-1E37-4AC2-95FB-093C8A3AEFB5}"/>
    <cellStyle name="40% - Énfasis5 16 2 4" xfId="34773" xr:uid="{6373D567-AD76-40D2-A91C-1DB0F79E2D38}"/>
    <cellStyle name="40% - Énfasis5 16 2 5" xfId="40637" xr:uid="{5F4E763A-42E4-41E9-B219-A329E3FA539F}"/>
    <cellStyle name="40% - Énfasis5 16 3" xfId="20244" xr:uid="{71168975-CA16-42FD-B24D-97A08ED848B0}"/>
    <cellStyle name="40% - Énfasis5 16 4" xfId="26041" xr:uid="{83C6A681-73F7-42F5-974E-3913D1D168D4}"/>
    <cellStyle name="40% - Énfasis5 16 5" xfId="31916" xr:uid="{5AFE1691-0BC7-43AC-BC57-A12673461945}"/>
    <cellStyle name="40% - Énfasis5 16 6" xfId="37782" xr:uid="{4F61E6CC-1105-4892-9C8C-D14BF128ECE4}"/>
    <cellStyle name="40% - Énfasis5 17" xfId="5988" xr:uid="{4FB71C9A-4CE1-42EF-9394-2DA69FEE0B2B}"/>
    <cellStyle name="40% - Énfasis5 17 2" xfId="8857" xr:uid="{4F161F8D-F43C-4073-8EF5-2F0C2C61D857}"/>
    <cellStyle name="40% - Énfasis5 17 2 2" xfId="23221" xr:uid="{D953C417-EABA-4BE7-ABEB-E3FA4E06214B}"/>
    <cellStyle name="40% - Énfasis5 17 2 3" xfId="29088" xr:uid="{A894031D-73EA-4413-A2A9-212527D24699}"/>
    <cellStyle name="40% - Énfasis5 17 2 4" xfId="34970" xr:uid="{EBBD8C4A-DF2E-47CE-B4AB-3F3E8BE35362}"/>
    <cellStyle name="40% - Énfasis5 17 2 5" xfId="40834" xr:uid="{D730E826-25F2-4234-94C9-744EF73B6E94}"/>
    <cellStyle name="40% - Énfasis5 17 3" xfId="20436" xr:uid="{3C1B7C4C-C6E6-4687-9AE8-EAE9555B7952}"/>
    <cellStyle name="40% - Énfasis5 17 4" xfId="26238" xr:uid="{49624F4C-73AD-4615-8F85-244D2F37347D}"/>
    <cellStyle name="40% - Énfasis5 17 5" xfId="32113" xr:uid="{6D525CD2-BAA5-4390-BB9B-68D3C1ACF2A0}"/>
    <cellStyle name="40% - Énfasis5 17 6" xfId="37978" xr:uid="{39931D84-3AF1-4D53-8D5B-DFBF92091A8A}"/>
    <cellStyle name="40% - Énfasis5 18" xfId="6008" xr:uid="{11A90260-710C-4ACC-BB3D-554377DF52FC}"/>
    <cellStyle name="40% - Énfasis5 18 2" xfId="8877" xr:uid="{6DFB0DBB-B1BF-4292-9131-42CDA403D484}"/>
    <cellStyle name="40% - Énfasis5 18 2 2" xfId="23241" xr:uid="{AB02B3D1-F7D9-4402-9EBF-D15FCC32F339}"/>
    <cellStyle name="40% - Énfasis5 18 2 3" xfId="29108" xr:uid="{AC2CF3C7-E8F0-4E8C-9FB8-A83665EB7FEF}"/>
    <cellStyle name="40% - Énfasis5 18 2 4" xfId="34990" xr:uid="{6BB70F8E-941C-4030-BD92-5183601FEB26}"/>
    <cellStyle name="40% - Énfasis5 18 2 5" xfId="40854" xr:uid="{D58CB8C6-B3D7-4BD7-A4EB-146446EB67DC}"/>
    <cellStyle name="40% - Énfasis5 18 3" xfId="20456" xr:uid="{9F57B16B-A2A1-4351-8516-AA2F4D03460F}"/>
    <cellStyle name="40% - Énfasis5 18 4" xfId="26258" xr:uid="{8FFD3BB0-8279-4169-8CA0-2196331EDAB7}"/>
    <cellStyle name="40% - Énfasis5 18 5" xfId="32133" xr:uid="{1FC91ECD-E41D-4363-BD02-77C5514B3101}"/>
    <cellStyle name="40% - Énfasis5 18 6" xfId="37998" xr:uid="{8CA2AA42-CF27-4534-A7A3-5C5E26EBD611}"/>
    <cellStyle name="40% - Énfasis5 19" xfId="6028" xr:uid="{00D1CC1D-7CDF-4193-B461-68AAB4106E5F}"/>
    <cellStyle name="40% - Énfasis5 19 2" xfId="8897" xr:uid="{A13E8B1C-4A02-469E-9F01-6702A28059F7}"/>
    <cellStyle name="40% - Énfasis5 19 2 2" xfId="23261" xr:uid="{C85F2167-7AD4-4ADE-AF1E-D3DD3AC2E95B}"/>
    <cellStyle name="40% - Énfasis5 19 2 3" xfId="29128" xr:uid="{A66FC159-7A20-4B2A-852C-40C42ED22D35}"/>
    <cellStyle name="40% - Énfasis5 19 2 4" xfId="35010" xr:uid="{736F5F7B-0357-4A1B-B958-96FD01AD064D}"/>
    <cellStyle name="40% - Énfasis5 19 2 5" xfId="40874" xr:uid="{9B16AD93-FBEC-4D00-95E8-3D145446EB56}"/>
    <cellStyle name="40% - Énfasis5 19 3" xfId="20476" xr:uid="{52A4A8E1-5B6F-4222-9824-8FB0EEA2CD3E}"/>
    <cellStyle name="40% - Énfasis5 19 4" xfId="26278" xr:uid="{FA959A86-427D-49BA-931B-D047E250F5EE}"/>
    <cellStyle name="40% - Énfasis5 19 5" xfId="32153" xr:uid="{48B9B442-9E09-4758-AE0A-FDE4217B41E0}"/>
    <cellStyle name="40% - Énfasis5 19 6" xfId="38018" xr:uid="{82F8F5CF-0D3C-460C-8EFF-2DAC33E0AD8E}"/>
    <cellStyle name="40% - Énfasis5 2" xfId="3849" xr:uid="{43E0894B-C456-4F67-BE85-70FDD6D52296}"/>
    <cellStyle name="40% - Énfasis5 2 10" xfId="35833" xr:uid="{C20E2D27-A97A-4CBB-B297-3EF510EFBD1E}"/>
    <cellStyle name="40% - Énfasis5 2 2" xfId="4048" xr:uid="{3D7EC9DB-AA05-457E-9643-4E52EB0BB7F1}"/>
    <cellStyle name="40% - Énfasis5 2 2 2" xfId="4522" xr:uid="{0518E8B6-6A06-412E-9D85-A5CA1EEE284B}"/>
    <cellStyle name="40% - Énfasis5 2 2 2 2" xfId="5490" xr:uid="{E2B90BDE-1779-4E93-8C15-996085E96AEF}"/>
    <cellStyle name="40% - Énfasis5 2 2 2 2 2" xfId="8357" xr:uid="{5DE61956-D8DD-4B01-9B74-204AA4FEACCD}"/>
    <cellStyle name="40% - Énfasis5 2 2 2 2 2 2" xfId="22732" xr:uid="{E08ACB96-8A74-4B7D-B749-804BD64279C2}"/>
    <cellStyle name="40% - Énfasis5 2 2 2 2 2 3" xfId="28590" xr:uid="{BEBBE740-7937-48CD-865A-35E22510FBC3}"/>
    <cellStyle name="40% - Énfasis5 2 2 2 2 2 4" xfId="34472" xr:uid="{6A6ABD3F-C3C1-41FC-96E3-1C0A8078A2A7}"/>
    <cellStyle name="40% - Énfasis5 2 2 2 2 2 5" xfId="40336" xr:uid="{0860E83E-4980-41F7-B8EE-3B16224CB530}"/>
    <cellStyle name="40% - Énfasis5 2 2 2 2 3" xfId="19951" xr:uid="{037B5710-D3E2-4F0C-A929-9167D4B74F17}"/>
    <cellStyle name="40% - Énfasis5 2 2 2 2 4" xfId="25741" xr:uid="{3D00EB27-1B16-47C4-9504-56BC72684B6C}"/>
    <cellStyle name="40% - Énfasis5 2 2 2 2 5" xfId="31615" xr:uid="{68DA5BCB-35A0-4702-B7E9-3F5EEA8C2916}"/>
    <cellStyle name="40% - Énfasis5 2 2 2 2 6" xfId="37485" xr:uid="{2A360A26-BEB8-4E38-A1D3-CCA790718AF6}"/>
    <cellStyle name="40% - Énfasis5 2 2 2 3" xfId="7385" xr:uid="{6B5C7F6A-1D40-4A3A-A063-B5256B24F3A7}"/>
    <cellStyle name="40% - Énfasis5 2 2 2 3 2" xfId="21787" xr:uid="{E6314D50-088F-4014-A0A3-32B142BBAF5B}"/>
    <cellStyle name="40% - Énfasis5 2 2 2 3 3" xfId="27619" xr:uid="{0A3BC275-9F49-40EA-B2EB-7E762366DDD9}"/>
    <cellStyle name="40% - Énfasis5 2 2 2 3 4" xfId="33501" xr:uid="{16A80C23-B352-408A-9C9C-CD2A1E712CD1}"/>
    <cellStyle name="40% - Énfasis5 2 2 2 3 5" xfId="39365" xr:uid="{D2722BC9-6F42-4327-A210-CE8DFC1E6661}"/>
    <cellStyle name="40% - Énfasis5 2 2 2 4" xfId="19021" xr:uid="{1105A539-0F15-4899-B45B-5492B9243B26}"/>
    <cellStyle name="40% - Énfasis5 2 2 2 5" xfId="24770" xr:uid="{7B485159-CBBB-4976-B354-C3CA76983FA0}"/>
    <cellStyle name="40% - Énfasis5 2 2 2 6" xfId="30647" xr:uid="{7B6EA817-5093-468D-9483-EB26A5FD810B}"/>
    <cellStyle name="40% - Énfasis5 2 2 2 7" xfId="36528" xr:uid="{2D8A1D28-D091-4894-8D22-802D17949CF0}"/>
    <cellStyle name="40% - Énfasis5 2 2 3" xfId="5005" xr:uid="{F0711DA2-1791-4E54-992A-A444D5B7EB79}"/>
    <cellStyle name="40% - Énfasis5 2 2 3 2" xfId="7872" xr:uid="{FD324BEA-85E3-4615-BB40-095F4FEAADF4}"/>
    <cellStyle name="40% - Énfasis5 2 2 3 2 2" xfId="22257" xr:uid="{442AD473-3047-4019-9466-87EFE77FFF5A}"/>
    <cellStyle name="40% - Énfasis5 2 2 3 2 3" xfId="28105" xr:uid="{E9BEF402-C0ED-4678-9D15-158738E2393C}"/>
    <cellStyle name="40% - Énfasis5 2 2 3 2 4" xfId="33987" xr:uid="{F47B7F4C-C1E6-4F0C-9F7E-73A32943B784}"/>
    <cellStyle name="40% - Énfasis5 2 2 3 2 5" xfId="39851" xr:uid="{FFEBED9C-2F19-4E2F-80E4-4ECE9B6019A9}"/>
    <cellStyle name="40% - Énfasis5 2 2 3 3" xfId="19484" xr:uid="{D99F5762-6B26-4825-8F71-A8E72560724E}"/>
    <cellStyle name="40% - Énfasis5 2 2 3 4" xfId="25256" xr:uid="{41663834-75A4-401F-975D-9AD46E92E782}"/>
    <cellStyle name="40% - Énfasis5 2 2 3 5" xfId="31130" xr:uid="{BB451C5B-027C-4EDB-8CFD-CDA2CD147737}"/>
    <cellStyle name="40% - Énfasis5 2 2 3 6" xfId="37008" xr:uid="{9FDDE505-FC93-4BBC-A7BB-7B1147556C55}"/>
    <cellStyle name="40% - Énfasis5 2 2 4" xfId="6900" xr:uid="{2CF44CD6-8522-4FAD-9784-152A483D1039}"/>
    <cellStyle name="40% - Énfasis5 2 2 4 2" xfId="21321" xr:uid="{1F4F28CF-0B78-4FDF-B99C-3ED42F4BB3C5}"/>
    <cellStyle name="40% - Énfasis5 2 2 4 3" xfId="27138" xr:uid="{6986D696-954E-431E-B12A-8A772B2C1136}"/>
    <cellStyle name="40% - Énfasis5 2 2 4 4" xfId="33016" xr:uid="{824E484B-CFE0-4890-8F74-14C5FBC915D4}"/>
    <cellStyle name="40% - Énfasis5 2 2 4 5" xfId="38880" xr:uid="{50922986-4D08-4594-8C63-B168793AFCD0}"/>
    <cellStyle name="40% - Énfasis5 2 2 5" xfId="18575" xr:uid="{A5698A42-FF17-4439-86E7-9B060D5E8923}"/>
    <cellStyle name="40% - Énfasis5 2 2 6" xfId="24287" xr:uid="{C6AE1A15-E917-4CD5-8A5B-398E5CF3EF9B}"/>
    <cellStyle name="40% - Énfasis5 2 2 7" xfId="30165" xr:uid="{1B2A43DF-8ACB-4D7D-9AE1-8A8A02CFB3DE}"/>
    <cellStyle name="40% - Énfasis5 2 2 8" xfId="36044" xr:uid="{820B29EF-3119-48F9-8377-8A111DAF64C6}"/>
    <cellStyle name="40% - Énfasis5 2 3" xfId="4328" xr:uid="{8713A147-9157-42A0-9030-836CD969988D}"/>
    <cellStyle name="40% - Énfasis5 2 3 2" xfId="5294" xr:uid="{22F9F6E9-7934-4DE0-9DCE-F103AA0754E9}"/>
    <cellStyle name="40% - Énfasis5 2 3 2 2" xfId="8161" xr:uid="{100E37D1-4A85-447A-AF41-7A7453F41FEA}"/>
    <cellStyle name="40% - Énfasis5 2 3 2 2 2" xfId="22537" xr:uid="{B1201D32-F099-478D-96E7-A6B0041F241D}"/>
    <cellStyle name="40% - Énfasis5 2 3 2 2 3" xfId="28394" xr:uid="{A160E4C0-DA5B-40CB-9880-8A729155921A}"/>
    <cellStyle name="40% - Énfasis5 2 3 2 2 4" xfId="34276" xr:uid="{F5D4FC0C-853C-4448-A0F9-83DAA1154E8B}"/>
    <cellStyle name="40% - Énfasis5 2 3 2 2 5" xfId="40140" xr:uid="{4F7DE40E-5A36-4D92-930F-F58182EA1CA8}"/>
    <cellStyle name="40% - Énfasis5 2 3 2 3" xfId="19762" xr:uid="{3D2D0EB8-9768-4D00-A089-29EF0DFEB58C}"/>
    <cellStyle name="40% - Énfasis5 2 3 2 4" xfId="25545" xr:uid="{0CFD66BC-8D16-4B9F-A9E9-CB4DB1F66FFC}"/>
    <cellStyle name="40% - Énfasis5 2 3 2 5" xfId="31419" xr:uid="{9A5D04AD-7A65-4303-A9D9-4BC8952E72E4}"/>
    <cellStyle name="40% - Énfasis5 2 3 2 6" xfId="37290" xr:uid="{6667E516-7852-4988-B76F-9128B83CE589}"/>
    <cellStyle name="40% - Énfasis5 2 3 3" xfId="7189" xr:uid="{4C0CC6E5-7326-48F4-9EBE-4FA0A9C07F54}"/>
    <cellStyle name="40% - Énfasis5 2 3 3 2" xfId="21596" xr:uid="{1858A299-C869-4BC8-92B2-A51FAC17E56B}"/>
    <cellStyle name="40% - Énfasis5 2 3 3 3" xfId="27423" xr:uid="{00EB21FB-CDB2-40FB-8E59-14864E667D03}"/>
    <cellStyle name="40% - Énfasis5 2 3 3 4" xfId="33305" xr:uid="{B1EEA53F-7CA5-4558-BAE3-47D60B927BCA}"/>
    <cellStyle name="40% - Énfasis5 2 3 3 5" xfId="39169" xr:uid="{9C0835C9-2196-46C8-99A5-56AA1469CE15}"/>
    <cellStyle name="40% - Énfasis5 2 3 4" xfId="18833" xr:uid="{860EBCF7-9858-49F7-89A4-C04E66979181}"/>
    <cellStyle name="40% - Énfasis5 2 3 5" xfId="24574" xr:uid="{B6AB0869-19FC-429D-8A1A-77B8B0E45744}"/>
    <cellStyle name="40% - Énfasis5 2 3 6" xfId="30453" xr:uid="{1563A3BC-C0EF-4E06-900C-3F768938DC8D}"/>
    <cellStyle name="40% - Énfasis5 2 3 7" xfId="36333" xr:uid="{576155DB-2AA6-4FF8-BABC-A56DA0377B1F}"/>
    <cellStyle name="40% - Énfasis5 2 4" xfId="4813" xr:uid="{6DB52AFE-99E1-4879-A18F-E03FE5FCAE06}"/>
    <cellStyle name="40% - Énfasis5 2 4 2" xfId="7676" xr:uid="{48153DEB-7C48-4ADE-AFA4-9D98D3765542}"/>
    <cellStyle name="40% - Énfasis5 2 4 2 2" xfId="22067" xr:uid="{DF699C2E-7EE2-471D-8880-CB8CFD9CDFCA}"/>
    <cellStyle name="40% - Énfasis5 2 4 2 3" xfId="27909" xr:uid="{106696A2-B44D-4C30-866F-5065D3CCF076}"/>
    <cellStyle name="40% - Énfasis5 2 4 2 4" xfId="33791" xr:uid="{F62F22A5-FA10-4EDC-ABF3-2068088BC4DA}"/>
    <cellStyle name="40% - Énfasis5 2 4 2 5" xfId="39655" xr:uid="{300AECAC-4F74-4E68-9870-2D34B6627740}"/>
    <cellStyle name="40% - Énfasis5 2 4 3" xfId="19292" xr:uid="{31389C7B-E550-4C59-B6BF-B2B325246E14}"/>
    <cellStyle name="40% - Énfasis5 2 4 4" xfId="25060" xr:uid="{13EC0B3F-51A9-407E-AD56-8B2B12119556}"/>
    <cellStyle name="40% - Énfasis5 2 4 5" xfId="30934" xr:uid="{FF775329-A204-400E-A80E-F2C324CC1ACF}"/>
    <cellStyle name="40% - Énfasis5 2 4 6" xfId="36813" xr:uid="{6D4958EF-E3C5-4962-9A17-81F7E71CDE24}"/>
    <cellStyle name="40% - Énfasis5 2 5" xfId="5819" xr:uid="{15ECAF4C-BC14-4D5E-9363-DD0DADBCFC4D}"/>
    <cellStyle name="40% - Énfasis5 2 5 2" xfId="8688" xr:uid="{C61B8C3B-A0CB-4094-867D-DFB3A425E85F}"/>
    <cellStyle name="40% - Énfasis5 2 5 2 2" xfId="23056" xr:uid="{8553FCC6-D7CA-4FD5-B1D0-05603D22B30E}"/>
    <cellStyle name="40% - Énfasis5 2 5 2 3" xfId="28920" xr:uid="{856665D5-B9E2-48E9-88BA-5D8A63F53B6C}"/>
    <cellStyle name="40% - Énfasis5 2 5 2 4" xfId="34802" xr:uid="{0A172592-4C0B-478D-BD22-D22ACB294318}"/>
    <cellStyle name="40% - Énfasis5 2 5 2 5" xfId="40666" xr:uid="{477C5999-A98E-4C76-B097-CAB1F4A4D678}"/>
    <cellStyle name="40% - Énfasis5 2 5 3" xfId="20271" xr:uid="{0BFDCE3D-8945-4825-85CD-6E8CA6055624}"/>
    <cellStyle name="40% - Énfasis5 2 5 4" xfId="26070" xr:uid="{87851599-D353-422C-9835-C9BD32989EF6}"/>
    <cellStyle name="40% - Énfasis5 2 5 5" xfId="31945" xr:uid="{E442AE31-8E31-4F0A-A0E1-5A3854FAC6F1}"/>
    <cellStyle name="40% - Énfasis5 2 5 6" xfId="37811" xr:uid="{835652D6-DBB1-4D1D-BD7F-4E43111BF0D3}"/>
    <cellStyle name="40% - Énfasis5 2 6" xfId="6705" xr:uid="{9B9FA4F1-C3AC-4229-86FA-2967FEB4475C}"/>
    <cellStyle name="40% - Énfasis5 2 6 2" xfId="21132" xr:uid="{B655430D-DE38-45E9-8136-95B18C89E190}"/>
    <cellStyle name="40% - Énfasis5 2 6 3" xfId="26944" xr:uid="{2A85445D-FCFB-465C-95BD-DDEDB5106338}"/>
    <cellStyle name="40% - Énfasis5 2 6 4" xfId="32820" xr:uid="{E07719D6-EA08-4A60-92AC-1AE78060376E}"/>
    <cellStyle name="40% - Énfasis5 2 6 5" xfId="38684" xr:uid="{1B9BE45F-88A5-4476-B81E-61B8DEA80D00}"/>
    <cellStyle name="40% - Énfasis5 2 7" xfId="18366" xr:uid="{F07E0D03-797A-4BD1-8A2F-FA35EFD61350}"/>
    <cellStyle name="40% - Énfasis5 2 8" xfId="24074" xr:uid="{1D6E0D8A-5856-4769-A192-BEF7B90E08D0}"/>
    <cellStyle name="40% - Énfasis5 2 9" xfId="29952" xr:uid="{45D5F8D3-6BB0-49B4-9C2E-FA97BEA5A190}"/>
    <cellStyle name="40% - Énfasis5 20" xfId="6048" xr:uid="{94A29455-FE89-466C-BF12-97247A39ED10}"/>
    <cellStyle name="40% - Énfasis5 20 2" xfId="8917" xr:uid="{7274C614-8F8B-4B61-8A1C-40F5BD737F42}"/>
    <cellStyle name="40% - Énfasis5 20 2 2" xfId="23281" xr:uid="{EA46EC73-A58A-4D9B-A105-AEAD9E1EA278}"/>
    <cellStyle name="40% - Énfasis5 20 2 3" xfId="29148" xr:uid="{A8C0574E-3B4C-41FE-90C4-E9F0B88BE156}"/>
    <cellStyle name="40% - Énfasis5 20 2 4" xfId="35030" xr:uid="{86709E2B-3125-4FBD-9189-5549EF80AD63}"/>
    <cellStyle name="40% - Énfasis5 20 2 5" xfId="40894" xr:uid="{BFF1A698-51F8-4587-824F-2F2760321EEE}"/>
    <cellStyle name="40% - Énfasis5 20 3" xfId="20496" xr:uid="{9C42C81C-E7B5-4348-8796-FB34D13EBFF1}"/>
    <cellStyle name="40% - Énfasis5 20 4" xfId="26298" xr:uid="{89AEE463-1143-4A67-87AD-ACCC2533E33D}"/>
    <cellStyle name="40% - Énfasis5 20 5" xfId="32173" xr:uid="{B72F29CD-5FCC-4973-9E0B-5C7100A8D52F}"/>
    <cellStyle name="40% - Énfasis5 20 6" xfId="38038" xr:uid="{817B61FF-728E-4BA2-B600-96DD31478779}"/>
    <cellStyle name="40% - Énfasis5 21" xfId="6068" xr:uid="{8A0EC351-D5B5-4A66-A2DB-AC99A5C2A090}"/>
    <cellStyle name="40% - Énfasis5 21 2" xfId="8937" xr:uid="{47BA4F15-EEB3-48EC-930B-F78B80E14C3D}"/>
    <cellStyle name="40% - Énfasis5 21 2 2" xfId="23301" xr:uid="{3D00D430-2C2B-40C8-A702-A3F34C8A3202}"/>
    <cellStyle name="40% - Énfasis5 21 2 3" xfId="29168" xr:uid="{7EB13AF4-766F-40D8-B477-9A30C5AA8694}"/>
    <cellStyle name="40% - Énfasis5 21 2 4" xfId="35050" xr:uid="{503EFF11-ABF8-480A-A0E8-4CEAAAEA76C7}"/>
    <cellStyle name="40% - Énfasis5 21 2 5" xfId="40914" xr:uid="{93215826-19AF-40CC-B8E9-A00D452F78B7}"/>
    <cellStyle name="40% - Énfasis5 21 3" xfId="20516" xr:uid="{23430719-CE81-4BDD-89AF-10B4B86AC786}"/>
    <cellStyle name="40% - Énfasis5 21 4" xfId="26318" xr:uid="{34C4C4BD-661C-41E4-8165-FD5A336690FB}"/>
    <cellStyle name="40% - Énfasis5 21 5" xfId="32193" xr:uid="{BD0F7DFE-7D46-4185-9125-9FE100248EFC}"/>
    <cellStyle name="40% - Énfasis5 21 6" xfId="38058" xr:uid="{48D8E8D2-D78F-4E9C-B618-4363D1E4A73D}"/>
    <cellStyle name="40% - Énfasis5 22" xfId="6088" xr:uid="{54D48357-C4C6-4CB5-AD1B-B58676409474}"/>
    <cellStyle name="40% - Énfasis5 22 2" xfId="8957" xr:uid="{B66BA1F7-4FE6-48DE-895B-8D6CB84DF2D2}"/>
    <cellStyle name="40% - Énfasis5 22 2 2" xfId="23321" xr:uid="{92AE1DC2-6AF7-4989-9ACA-3F5004AE4A95}"/>
    <cellStyle name="40% - Énfasis5 22 2 3" xfId="29188" xr:uid="{4F889D30-C30E-43AA-B89A-86C8570CC8C9}"/>
    <cellStyle name="40% - Énfasis5 22 2 4" xfId="35070" xr:uid="{60BB8FE4-F85D-4157-A9F1-64277A4B8059}"/>
    <cellStyle name="40% - Énfasis5 22 2 5" xfId="40934" xr:uid="{304FA653-02A9-4AFB-9664-5415953E3FDE}"/>
    <cellStyle name="40% - Énfasis5 22 3" xfId="20536" xr:uid="{6B0C9259-5471-4C2C-9095-895D32817277}"/>
    <cellStyle name="40% - Énfasis5 22 4" xfId="26338" xr:uid="{07D93B80-3A87-4F22-B57F-F44C7812B9AE}"/>
    <cellStyle name="40% - Énfasis5 22 5" xfId="32213" xr:uid="{A9995788-C189-47E9-8E56-F2CB654D053C}"/>
    <cellStyle name="40% - Énfasis5 22 6" xfId="38078" xr:uid="{41378328-D592-401B-9B1B-5E789E10F60F}"/>
    <cellStyle name="40% - Énfasis5 23" xfId="6108" xr:uid="{3DC155AF-A3F9-4B4B-A903-4344AAC3D1AD}"/>
    <cellStyle name="40% - Énfasis5 23 2" xfId="8977" xr:uid="{75ACB545-2355-4AF7-B987-00D8C52F04D5}"/>
    <cellStyle name="40% - Énfasis5 23 2 2" xfId="23341" xr:uid="{F95A4D4C-4D8D-41AC-8D22-5E6238ED9AF6}"/>
    <cellStyle name="40% - Énfasis5 23 2 3" xfId="29208" xr:uid="{74F98F5C-AB13-4873-996C-A3FF65564754}"/>
    <cellStyle name="40% - Énfasis5 23 2 4" xfId="35090" xr:uid="{CC51AB9E-E203-43EC-B4C9-6F350EDF74EF}"/>
    <cellStyle name="40% - Énfasis5 23 2 5" xfId="40954" xr:uid="{F6885063-8FF4-44F8-BDFA-D4B5CC71AE94}"/>
    <cellStyle name="40% - Énfasis5 23 3" xfId="20556" xr:uid="{159C7D9E-9B95-4658-872A-33999AF96641}"/>
    <cellStyle name="40% - Énfasis5 23 4" xfId="26358" xr:uid="{C9CC39D2-ACA0-4587-A55C-39B774BDC34A}"/>
    <cellStyle name="40% - Énfasis5 23 5" xfId="32233" xr:uid="{0B4DBC56-D62A-4BB3-ABC1-8922EE473B3B}"/>
    <cellStyle name="40% - Énfasis5 23 6" xfId="38098" xr:uid="{32A6872C-29EE-4B8A-AF24-F61227DEFE7A}"/>
    <cellStyle name="40% - Énfasis5 24" xfId="6128" xr:uid="{066A79D4-C7A2-464B-BF34-0DDCE418DEA5}"/>
    <cellStyle name="40% - Énfasis5 24 2" xfId="8997" xr:uid="{B45F5130-2544-453C-9A1B-8FED96991A98}"/>
    <cellStyle name="40% - Énfasis5 24 2 2" xfId="23361" xr:uid="{6BC36A77-E7DB-464C-970A-BF41745FC227}"/>
    <cellStyle name="40% - Énfasis5 24 2 3" xfId="29228" xr:uid="{347F1E87-E2D5-4345-AECB-494E8E25AD5E}"/>
    <cellStyle name="40% - Énfasis5 24 2 4" xfId="35110" xr:uid="{79A05457-3F7B-492A-92DA-AAB9F1DCBBB4}"/>
    <cellStyle name="40% - Énfasis5 24 2 5" xfId="40974" xr:uid="{4C86FCA2-A782-441D-9AAF-1876934A4E9A}"/>
    <cellStyle name="40% - Énfasis5 24 3" xfId="20576" xr:uid="{E8A07C9C-FE4F-4546-8B82-B787B88A7680}"/>
    <cellStyle name="40% - Énfasis5 24 4" xfId="26378" xr:uid="{EABBD463-BC52-4661-8CD5-756169949DFB}"/>
    <cellStyle name="40% - Énfasis5 24 5" xfId="32253" xr:uid="{CF0C05E9-00F5-480C-BD5D-E77F66F24277}"/>
    <cellStyle name="40% - Énfasis5 24 6" xfId="38118" xr:uid="{92C8F6A8-6799-4986-AEE7-29839442206A}"/>
    <cellStyle name="40% - Énfasis5 25" xfId="6148" xr:uid="{035E87B7-818E-4BFA-94C1-377FEF1D1A0A}"/>
    <cellStyle name="40% - Énfasis5 25 2" xfId="9017" xr:uid="{601C9A66-C0C9-4CCD-B6AA-DB8161D3AB64}"/>
    <cellStyle name="40% - Énfasis5 25 2 2" xfId="23381" xr:uid="{9CC55BF2-93DB-43F0-9564-E86F8EBE9EB6}"/>
    <cellStyle name="40% - Énfasis5 25 2 3" xfId="29248" xr:uid="{93B89048-C555-408E-93AF-77E0EB9D6961}"/>
    <cellStyle name="40% - Énfasis5 25 2 4" xfId="35130" xr:uid="{8A897BA8-CC5F-4CE0-B911-F7CEF51EAC45}"/>
    <cellStyle name="40% - Énfasis5 25 2 5" xfId="40993" xr:uid="{2DC14E10-C2AE-4663-9351-C199ADC20A17}"/>
    <cellStyle name="40% - Énfasis5 25 3" xfId="20596" xr:uid="{172924F8-5F93-41F9-9398-2A6B39F7FB94}"/>
    <cellStyle name="40% - Énfasis5 25 4" xfId="26398" xr:uid="{22282C61-DBB5-4022-85AB-47CD363DF0EB}"/>
    <cellStyle name="40% - Énfasis5 25 5" xfId="32273" xr:uid="{2B765DC3-4C5D-4CFB-B091-843582091B55}"/>
    <cellStyle name="40% - Énfasis5 25 6" xfId="38138" xr:uid="{5045E52A-2119-422D-B205-2ED409118B0F}"/>
    <cellStyle name="40% - Énfasis5 26" xfId="6168" xr:uid="{04BFDA53-4D08-4259-B473-1DC53F3E5F16}"/>
    <cellStyle name="40% - Énfasis5 26 2" xfId="9037" xr:uid="{2AD96BF5-79B9-4D9B-A09D-2BC62D7C7F26}"/>
    <cellStyle name="40% - Énfasis5 26 2 2" xfId="23401" xr:uid="{9B551FFF-A5A0-4888-A537-98DF766C46BB}"/>
    <cellStyle name="40% - Énfasis5 26 2 3" xfId="29268" xr:uid="{9DDD4198-B3F2-4C8D-9731-0EA2C5827D76}"/>
    <cellStyle name="40% - Énfasis5 26 2 4" xfId="35150" xr:uid="{82284056-B9E4-4043-B2EB-0CAE896E995C}"/>
    <cellStyle name="40% - Énfasis5 26 2 5" xfId="41012" xr:uid="{2C40EC6E-6313-438F-A25C-2D3F32E91B2F}"/>
    <cellStyle name="40% - Énfasis5 26 3" xfId="20616" xr:uid="{5B2566BF-15F0-4CF0-953E-CD9A01277C77}"/>
    <cellStyle name="40% - Énfasis5 26 4" xfId="26418" xr:uid="{DA25177A-4174-458C-B70A-96775B9357DC}"/>
    <cellStyle name="40% - Énfasis5 26 5" xfId="32293" xr:uid="{12EE71CD-2CA4-45DA-A921-7F8859EC70C4}"/>
    <cellStyle name="40% - Énfasis5 26 6" xfId="38158" xr:uid="{0E58DF6A-2FE7-4785-9EED-6FEAFF03B654}"/>
    <cellStyle name="40% - Énfasis5 27" xfId="6188" xr:uid="{12E4761F-2262-4DB9-A452-9BC32210BE3F}"/>
    <cellStyle name="40% - Énfasis5 27 2" xfId="9057" xr:uid="{7F3D4793-ED15-4754-85AF-0733052ED50F}"/>
    <cellStyle name="40% - Énfasis5 27 2 2" xfId="23421" xr:uid="{A759D196-3096-40CC-BE7A-85DB8F10183F}"/>
    <cellStyle name="40% - Énfasis5 27 2 3" xfId="29288" xr:uid="{CDD14C59-91F6-4D43-AF17-F6251C684F7D}"/>
    <cellStyle name="40% - Énfasis5 27 2 4" xfId="35170" xr:uid="{B1A986F1-D483-4966-883F-0B6958673908}"/>
    <cellStyle name="40% - Énfasis5 27 2 5" xfId="41032" xr:uid="{2EF63CB2-29C6-4D17-B6C6-FB5727779AD6}"/>
    <cellStyle name="40% - Énfasis5 27 3" xfId="20636" xr:uid="{37FD3C7E-1EB2-4C42-90AB-7C186D2B4847}"/>
    <cellStyle name="40% - Énfasis5 27 4" xfId="26438" xr:uid="{8310B5CE-2A0E-4822-A85D-32CC56BD52F3}"/>
    <cellStyle name="40% - Énfasis5 27 5" xfId="32313" xr:uid="{5B92B833-CADB-45E8-93FB-F7F6DFE1B9E0}"/>
    <cellStyle name="40% - Énfasis5 27 6" xfId="38178" xr:uid="{F65EAE83-5C86-4078-BC13-6F1E919E0622}"/>
    <cellStyle name="40% - Énfasis5 28" xfId="6210" xr:uid="{81017B30-838E-43F1-AC0C-ADC7E5114E35}"/>
    <cellStyle name="40% - Énfasis5 28 2" xfId="9079" xr:uid="{58C3793D-3706-4630-A1EA-B45F041411C2}"/>
    <cellStyle name="40% - Énfasis5 28 2 2" xfId="23443" xr:uid="{C0B381CD-68C7-44C4-9647-53041DF559CD}"/>
    <cellStyle name="40% - Énfasis5 28 2 3" xfId="29310" xr:uid="{8BFEC571-A329-4253-A872-B0A810237DCF}"/>
    <cellStyle name="40% - Énfasis5 28 2 4" xfId="35192" xr:uid="{1C301958-3DEB-473E-BCF5-04D54BD68FCC}"/>
    <cellStyle name="40% - Énfasis5 28 2 5" xfId="41053" xr:uid="{F12DFFD0-C5F2-4359-92AC-F8718DB351F4}"/>
    <cellStyle name="40% - Énfasis5 28 3" xfId="20658" xr:uid="{3BD05855-DC68-4700-9983-B8777C5F13B4}"/>
    <cellStyle name="40% - Énfasis5 28 4" xfId="26460" xr:uid="{6613E3BA-12DC-4EDB-BB12-58E76ECF6E54}"/>
    <cellStyle name="40% - Énfasis5 28 5" xfId="32335" xr:uid="{029C810A-2EB6-411F-84B2-314055A6D583}"/>
    <cellStyle name="40% - Énfasis5 28 6" xfId="38200" xr:uid="{BDEB552D-7A51-4FDB-986E-3D4F9C0976EF}"/>
    <cellStyle name="40% - Énfasis5 29" xfId="6247" xr:uid="{BB19FEBF-5C87-4189-BC9F-BD4322864B28}"/>
    <cellStyle name="40% - Énfasis5 29 2" xfId="9116" xr:uid="{B9929659-AF9D-4CCB-9F51-AC5ED2794625}"/>
    <cellStyle name="40% - Énfasis5 29 2 2" xfId="23480" xr:uid="{A5B3E5EB-813A-425C-A1CA-D5758065CF23}"/>
    <cellStyle name="40% - Énfasis5 29 2 3" xfId="29347" xr:uid="{2E5C8CBC-BD7A-446A-BA46-13D80DFA92B1}"/>
    <cellStyle name="40% - Énfasis5 29 2 4" xfId="35229" xr:uid="{4C1FFCA7-3C05-402F-91EF-5C2E8ADB854A}"/>
    <cellStyle name="40% - Énfasis5 29 2 5" xfId="41089" xr:uid="{730DA4FF-31FF-4550-AEAD-C8B990ADE858}"/>
    <cellStyle name="40% - Énfasis5 29 3" xfId="20688" xr:uid="{3E0104C4-7A7B-46C0-A9F7-C4302A8CAA0E}"/>
    <cellStyle name="40% - Énfasis5 29 4" xfId="26497" xr:uid="{6E7A5B82-4ADE-4581-B388-988DFA6CC3E4}"/>
    <cellStyle name="40% - Énfasis5 29 5" xfId="32372" xr:uid="{2A32C8F8-72D3-4776-BD00-82E9F16ECB16}"/>
    <cellStyle name="40% - Énfasis5 29 6" xfId="38237" xr:uid="{18B84D86-8A15-4A70-B1BE-F366E92EDFCA}"/>
    <cellStyle name="40% - Énfasis5 3" xfId="3870" xr:uid="{27ABFBF3-5439-42B1-B1F5-1E643F6FAB79}"/>
    <cellStyle name="40% - Énfasis5 3 10" xfId="35860" xr:uid="{5D5EF986-D02E-4A07-B400-DA0E3B8ABE18}"/>
    <cellStyle name="40% - Énfasis5 3 2" xfId="4069" xr:uid="{65F8F97E-5C10-44E7-A7CF-9D72C4602C37}"/>
    <cellStyle name="40% - Énfasis5 3 2 2" xfId="4547" xr:uid="{ED9FA8F0-6CE2-4E35-B6C1-A07E036DAA5B}"/>
    <cellStyle name="40% - Énfasis5 3 2 2 2" xfId="5515" xr:uid="{68193589-425B-44B5-9056-2DD6433B695A}"/>
    <cellStyle name="40% - Énfasis5 3 2 2 2 2" xfId="8382" xr:uid="{948429E0-C6D4-4F79-AB6A-A7162293FA3F}"/>
    <cellStyle name="40% - Énfasis5 3 2 2 2 2 2" xfId="22757" xr:uid="{D2CF27B8-3B1D-4C29-9FEF-23C1F6DDA06C}"/>
    <cellStyle name="40% - Énfasis5 3 2 2 2 2 3" xfId="28615" xr:uid="{FE08E31D-08CD-4CF1-863B-44ADB0154F94}"/>
    <cellStyle name="40% - Énfasis5 3 2 2 2 2 4" xfId="34497" xr:uid="{E9962D44-A048-4D96-9352-3C1FA7030C27}"/>
    <cellStyle name="40% - Énfasis5 3 2 2 2 2 5" xfId="40361" xr:uid="{BE7C66F8-0622-4760-857C-C820DC255C53}"/>
    <cellStyle name="40% - Énfasis5 3 2 2 2 3" xfId="19975" xr:uid="{FACFCA45-48F9-4EBC-B351-00362CF579BF}"/>
    <cellStyle name="40% - Énfasis5 3 2 2 2 4" xfId="25766" xr:uid="{51727B26-B090-41C6-99AE-DA8B93586891}"/>
    <cellStyle name="40% - Énfasis5 3 2 2 2 5" xfId="31640" xr:uid="{1A0D451C-3191-4067-918D-0AB5101FB21E}"/>
    <cellStyle name="40% - Énfasis5 3 2 2 2 6" xfId="37510" xr:uid="{9950102A-8BDD-4D7D-BC76-B3D742DF8B9A}"/>
    <cellStyle name="40% - Énfasis5 3 2 2 3" xfId="7410" xr:uid="{6D1EB388-3E58-4806-95DB-F2D6D6493911}"/>
    <cellStyle name="40% - Énfasis5 3 2 2 3 2" xfId="21812" xr:uid="{21561972-5C10-4652-9AA1-D2E4BB1DBFEF}"/>
    <cellStyle name="40% - Énfasis5 3 2 2 3 3" xfId="27644" xr:uid="{95BF0C06-184A-4ECB-BF9C-E74F8DC26108}"/>
    <cellStyle name="40% - Énfasis5 3 2 2 3 4" xfId="33526" xr:uid="{7F602D18-C2DC-49D4-9C79-1E245F88463C}"/>
    <cellStyle name="40% - Énfasis5 3 2 2 3 5" xfId="39390" xr:uid="{8F88F3EF-924C-4101-9D1E-9E4DB1DE7017}"/>
    <cellStyle name="40% - Énfasis5 3 2 2 4" xfId="19043" xr:uid="{C282D2F7-4FE6-401A-A845-2799CE2DA89D}"/>
    <cellStyle name="40% - Énfasis5 3 2 2 5" xfId="24795" xr:uid="{0B9DDEA8-D237-48E9-B06D-8DD9380F99C8}"/>
    <cellStyle name="40% - Énfasis5 3 2 2 6" xfId="30672" xr:uid="{8379F6AB-D259-4EA8-A2A6-E28752357B4A}"/>
    <cellStyle name="40% - Énfasis5 3 2 2 7" xfId="36553" xr:uid="{10ABBAA8-5D4B-4256-A6B7-CA7D826C5EBA}"/>
    <cellStyle name="40% - Énfasis5 3 2 3" xfId="5030" xr:uid="{BDE26D27-1211-4100-8665-AD7F4E233A67}"/>
    <cellStyle name="40% - Énfasis5 3 2 3 2" xfId="7897" xr:uid="{452DA919-D105-4BE9-A713-449B1194486C}"/>
    <cellStyle name="40% - Énfasis5 3 2 3 2 2" xfId="22282" xr:uid="{D2C7AD5C-7B1D-4623-B6C0-8D05E17300D2}"/>
    <cellStyle name="40% - Énfasis5 3 2 3 2 3" xfId="28130" xr:uid="{91E923B2-2FA5-4B6F-9600-89C155841845}"/>
    <cellStyle name="40% - Énfasis5 3 2 3 2 4" xfId="34012" xr:uid="{FDBC33B3-C5E4-4AB6-B548-B72FE8A67A04}"/>
    <cellStyle name="40% - Énfasis5 3 2 3 2 5" xfId="39876" xr:uid="{40363208-F677-49C2-8B4E-B0C2780F8F40}"/>
    <cellStyle name="40% - Énfasis5 3 2 3 3" xfId="19508" xr:uid="{150BAC8C-D999-4DCD-82DA-AD705E7C689D}"/>
    <cellStyle name="40% - Énfasis5 3 2 3 4" xfId="25281" xr:uid="{4CE2C4B1-D3A8-4289-A716-14177C404E20}"/>
    <cellStyle name="40% - Énfasis5 3 2 3 5" xfId="31155" xr:uid="{C2017F5F-7076-4EE7-901B-B979DBCACEDE}"/>
    <cellStyle name="40% - Énfasis5 3 2 3 6" xfId="37033" xr:uid="{6A0B5E29-D287-4975-BE87-A0BFA2566399}"/>
    <cellStyle name="40% - Énfasis5 3 2 4" xfId="6925" xr:uid="{360CBFB4-F76C-40F2-9669-28F1FCB154D2}"/>
    <cellStyle name="40% - Énfasis5 3 2 4 2" xfId="21345" xr:uid="{D38277F4-1C5C-41AC-B29C-ABDE6A0FDC28}"/>
    <cellStyle name="40% - Énfasis5 3 2 4 3" xfId="27163" xr:uid="{CDC4C961-FC0A-457F-9F3E-BD1F7B570CD0}"/>
    <cellStyle name="40% - Énfasis5 3 2 4 4" xfId="33041" xr:uid="{D84F2D09-00ED-4F61-9E40-60B96471B22D}"/>
    <cellStyle name="40% - Énfasis5 3 2 4 5" xfId="38905" xr:uid="{78AA7D66-0EB3-4549-A22A-E3610883D7F4}"/>
    <cellStyle name="40% - Énfasis5 3 2 5" xfId="18600" xr:uid="{B3F27007-74AA-414E-AF6D-AFE4F7A57A37}"/>
    <cellStyle name="40% - Énfasis5 3 2 6" xfId="24312" xr:uid="{473D4B17-9312-46D4-8AA3-78EFC6A5BD8C}"/>
    <cellStyle name="40% - Énfasis5 3 2 7" xfId="30190" xr:uid="{9A98C27B-4591-4A82-9537-E08C474038FE}"/>
    <cellStyle name="40% - Énfasis5 3 2 8" xfId="36069" xr:uid="{DE6B6ED5-FAE9-42E2-8D5F-CDB0EBE8B28D}"/>
    <cellStyle name="40% - Énfasis5 3 3" xfId="4353" xr:uid="{A4E761FD-89E7-4F46-9609-2827F4E39E38}"/>
    <cellStyle name="40% - Énfasis5 3 3 2" xfId="5319" xr:uid="{028C433E-BC74-408D-8201-E932F492C046}"/>
    <cellStyle name="40% - Énfasis5 3 3 2 2" xfId="8186" xr:uid="{D4ADF485-739A-4F98-B1C2-4C321808E154}"/>
    <cellStyle name="40% - Énfasis5 3 3 2 2 2" xfId="22562" xr:uid="{6B0E5F98-062B-4A2B-A0AE-7EF932EC4809}"/>
    <cellStyle name="40% - Énfasis5 3 3 2 2 3" xfId="28419" xr:uid="{C7387753-0B5B-40A3-847F-E1E17810D7A2}"/>
    <cellStyle name="40% - Énfasis5 3 3 2 2 4" xfId="34301" xr:uid="{6FCF7EFD-89A5-443A-9F19-A7632C260CB3}"/>
    <cellStyle name="40% - Énfasis5 3 3 2 2 5" xfId="40165" xr:uid="{CA42F2E7-4DEE-4B94-A363-70D950A798F4}"/>
    <cellStyle name="40% - Énfasis5 3 3 2 3" xfId="19787" xr:uid="{2A39704A-F728-46F6-B421-2EEA33DA67DF}"/>
    <cellStyle name="40% - Énfasis5 3 3 2 4" xfId="25570" xr:uid="{4F891FD6-D41C-488D-A114-22737FC1FA0D}"/>
    <cellStyle name="40% - Énfasis5 3 3 2 5" xfId="31444" xr:uid="{558D2817-0E65-405E-86BE-CB811CD312DC}"/>
    <cellStyle name="40% - Énfasis5 3 3 2 6" xfId="37315" xr:uid="{5C2D5A73-DF0F-4DD9-9CEE-DE19EA64D016}"/>
    <cellStyle name="40% - Énfasis5 3 3 3" xfId="7214" xr:uid="{D5DB87DD-4615-4A06-86E2-91EA8CCF2DE9}"/>
    <cellStyle name="40% - Énfasis5 3 3 3 2" xfId="21621" xr:uid="{938CB1A9-AB50-4446-A9DB-32F7645D22BC}"/>
    <cellStyle name="40% - Énfasis5 3 3 3 3" xfId="27448" xr:uid="{74E507DB-2EEC-4043-B550-25DC6B69AAEF}"/>
    <cellStyle name="40% - Énfasis5 3 3 3 4" xfId="33330" xr:uid="{77EA5FB7-9463-4E90-BC37-C4982E521C33}"/>
    <cellStyle name="40% - Énfasis5 3 3 3 5" xfId="39194" xr:uid="{5E915512-A2F1-4A70-945B-5CBBA8F605B8}"/>
    <cellStyle name="40% - Énfasis5 3 3 4" xfId="18858" xr:uid="{9468C032-F137-4B4E-9D0C-2F5D4D389F86}"/>
    <cellStyle name="40% - Énfasis5 3 3 5" xfId="24599" xr:uid="{14FF2328-F299-4E31-9190-F4C1FA1728D2}"/>
    <cellStyle name="40% - Énfasis5 3 3 6" xfId="30478" xr:uid="{970A2D40-0CA3-4E57-A21C-6DA3EE66AACA}"/>
    <cellStyle name="40% - Énfasis5 3 3 7" xfId="36358" xr:uid="{64D8B555-1F9A-4CDC-808C-6B8CCF94429C}"/>
    <cellStyle name="40% - Énfasis5 3 4" xfId="4835" xr:uid="{01F95B32-953A-49C4-8303-CAFFF84D2B42}"/>
    <cellStyle name="40% - Énfasis5 3 4 2" xfId="7701" xr:uid="{7131CB33-0C63-4DC9-8E2C-20664769BD0A}"/>
    <cellStyle name="40% - Énfasis5 3 4 2 2" xfId="22091" xr:uid="{7A22CEB6-7130-4139-86CD-94FF836199DB}"/>
    <cellStyle name="40% - Énfasis5 3 4 2 3" xfId="27934" xr:uid="{28DEA38A-C4C3-4574-993E-6F2CDFFD8145}"/>
    <cellStyle name="40% - Énfasis5 3 4 2 4" xfId="33816" xr:uid="{2BE712F5-2DA6-47F1-AB13-A62F4CFE0D22}"/>
    <cellStyle name="40% - Énfasis5 3 4 2 5" xfId="39680" xr:uid="{2091146A-FF35-4D25-BC50-3649EE6F5DA1}"/>
    <cellStyle name="40% - Énfasis5 3 4 3" xfId="19317" xr:uid="{2DB36151-C4EB-40B5-89D4-53F29F5C2343}"/>
    <cellStyle name="40% - Énfasis5 3 4 4" xfId="25085" xr:uid="{F6FA7AC2-C283-455C-AAE1-BE5DE82FD099}"/>
    <cellStyle name="40% - Énfasis5 3 4 5" xfId="30959" xr:uid="{4B557299-ABC5-4A24-AE79-E35C776D5A5C}"/>
    <cellStyle name="40% - Énfasis5 3 4 6" xfId="36838" xr:uid="{A9791E13-A1EE-4BC6-B486-CF2D9ABA4570}"/>
    <cellStyle name="40% - Énfasis5 3 5" xfId="5844" xr:uid="{9336FCD6-2FA9-49FB-8AFC-9578B07E607B}"/>
    <cellStyle name="40% - Énfasis5 3 5 2" xfId="8713" xr:uid="{38ADD1BF-19FE-4603-8BAD-654FB228C057}"/>
    <cellStyle name="40% - Énfasis5 3 5 2 2" xfId="23081" xr:uid="{AD604959-5FF2-4F46-A5E8-315E0FBE6E48}"/>
    <cellStyle name="40% - Énfasis5 3 5 2 3" xfId="28945" xr:uid="{B2820BF5-2BAF-4284-8D19-8D09E3FAE189}"/>
    <cellStyle name="40% - Énfasis5 3 5 2 4" xfId="34827" xr:uid="{7531635C-70A8-4357-A4C2-BF70354D658E}"/>
    <cellStyle name="40% - Énfasis5 3 5 2 5" xfId="40691" xr:uid="{CD3445A7-AA9A-46EF-A275-9FEC3661ADD2}"/>
    <cellStyle name="40% - Énfasis5 3 5 3" xfId="20296" xr:uid="{AEE00EC9-1A71-4D3C-BDF1-DA70CABAA4C1}"/>
    <cellStyle name="40% - Énfasis5 3 5 4" xfId="26095" xr:uid="{5F8AC590-BDD1-4939-B409-97B67FA2AB1C}"/>
    <cellStyle name="40% - Énfasis5 3 5 5" xfId="31970" xr:uid="{F0DBA385-2387-4192-91FF-D95ED00B07C1}"/>
    <cellStyle name="40% - Énfasis5 3 5 6" xfId="37836" xr:uid="{4F13A0D9-9F91-42FC-B281-0C53FBECCA03}"/>
    <cellStyle name="40% - Énfasis5 3 6" xfId="6730" xr:uid="{B86F6DB8-34BC-4762-806E-7561D71337A0}"/>
    <cellStyle name="40% - Énfasis5 3 6 2" xfId="21154" xr:uid="{EB6FEF50-16B3-4B32-962B-83F97AD9E591}"/>
    <cellStyle name="40% - Énfasis5 3 6 3" xfId="26969" xr:uid="{81D07255-5781-4893-B048-3F5369941BEB}"/>
    <cellStyle name="40% - Énfasis5 3 6 4" xfId="32845" xr:uid="{234D341C-95A4-4A98-BB94-8AD2091C2C4A}"/>
    <cellStyle name="40% - Énfasis5 3 6 5" xfId="38709" xr:uid="{74BD6990-B4C5-4B51-B05E-2AFC4FE4F819}"/>
    <cellStyle name="40% - Énfasis5 3 7" xfId="18392" xr:uid="{71D19CB8-BD13-4C80-BE52-9370CD7C7B47}"/>
    <cellStyle name="40% - Énfasis5 3 8" xfId="24101" xr:uid="{4D535C55-6988-4F6F-8522-DF84E0218D2D}"/>
    <cellStyle name="40% - Énfasis5 3 9" xfId="29979" xr:uid="{0478B1C0-9981-4347-ABEB-103ACC71E91C}"/>
    <cellStyle name="40% - Énfasis5 30" xfId="6267" xr:uid="{2FE00E62-5029-45F0-8722-9F5AA6ADD08F}"/>
    <cellStyle name="40% - Énfasis5 30 2" xfId="9136" xr:uid="{583833E9-2115-4A02-BFC8-9BFA1965956C}"/>
    <cellStyle name="40% - Énfasis5 30 2 2" xfId="23500" xr:uid="{32830AFD-C159-4CC7-B6B1-B322264496BC}"/>
    <cellStyle name="40% - Énfasis5 30 2 3" xfId="29367" xr:uid="{1A17ED2E-1D8F-4D8C-BFE3-037AB25DB6A7}"/>
    <cellStyle name="40% - Énfasis5 30 2 4" xfId="35249" xr:uid="{C80C6453-1868-4489-926C-FA5091BB2362}"/>
    <cellStyle name="40% - Énfasis5 30 2 5" xfId="41108" xr:uid="{E0EEE10A-38FB-4546-B1E4-BE43B2745F7F}"/>
    <cellStyle name="40% - Énfasis5 30 3" xfId="20708" xr:uid="{5CCEB35F-8D73-4748-B573-055AB81662CC}"/>
    <cellStyle name="40% - Énfasis5 30 4" xfId="26517" xr:uid="{EC276BB3-AC84-4069-8AB5-033F38F389B4}"/>
    <cellStyle name="40% - Énfasis5 30 5" xfId="32392" xr:uid="{D9B70BD1-8D05-4CCB-A408-9C20F3447CD9}"/>
    <cellStyle name="40% - Énfasis5 30 6" xfId="38257" xr:uid="{CDED2603-FDB8-4ADA-8A92-2E86B95890B9}"/>
    <cellStyle name="40% - Énfasis5 31" xfId="6287" xr:uid="{C20A958E-9EA9-42A5-9213-62249832108E}"/>
    <cellStyle name="40% - Énfasis5 31 2" xfId="9156" xr:uid="{DB1F3BDF-BACA-4FCE-92A3-1134F344B242}"/>
    <cellStyle name="40% - Énfasis5 31 2 2" xfId="23520" xr:uid="{780C8BC8-633D-4243-BBD2-3441EE727344}"/>
    <cellStyle name="40% - Énfasis5 31 2 3" xfId="29387" xr:uid="{992A0922-3A54-49D3-9AC8-07DEE7C4C18E}"/>
    <cellStyle name="40% - Énfasis5 31 2 4" xfId="35269" xr:uid="{AE5F51C5-F199-4E26-846C-463F35B75815}"/>
    <cellStyle name="40% - Énfasis5 31 2 5" xfId="41128" xr:uid="{3DFD65BA-2B18-4623-994B-1A0207CD3C88}"/>
    <cellStyle name="40% - Énfasis5 31 3" xfId="20728" xr:uid="{56203E4C-CC12-476F-A87D-81C7604E65EE}"/>
    <cellStyle name="40% - Énfasis5 31 4" xfId="26537" xr:uid="{5A4A522F-ED1A-4DBF-B373-3C03D63C4ED2}"/>
    <cellStyle name="40% - Énfasis5 31 5" xfId="32412" xr:uid="{ABF084C4-3968-41D9-BB2F-132304BDFE87}"/>
    <cellStyle name="40% - Énfasis5 31 6" xfId="38277" xr:uid="{56FD954C-B3EE-4882-A78E-7C602CF2BC68}"/>
    <cellStyle name="40% - Énfasis5 32" xfId="6311" xr:uid="{C96E37A5-6049-4F79-A520-C9CB7745AB76}"/>
    <cellStyle name="40% - Énfasis5 32 2" xfId="9179" xr:uid="{87E2E41B-5BF7-4539-ABC3-5DF180C8A5EB}"/>
    <cellStyle name="40% - Énfasis5 32 2 2" xfId="23543" xr:uid="{DF6E6B75-7036-48C5-928E-55DB4E17408D}"/>
    <cellStyle name="40% - Énfasis5 32 2 3" xfId="29410" xr:uid="{CEA9E15D-7AD7-4138-B451-B0178BD55A8F}"/>
    <cellStyle name="40% - Énfasis5 32 2 4" xfId="35292" xr:uid="{DCBAB6C6-7D08-4049-9ABB-79CBE3C8B15B}"/>
    <cellStyle name="40% - Énfasis5 32 2 5" xfId="41151" xr:uid="{457C3BA5-71E2-462B-87A8-B13A24CE3D88}"/>
    <cellStyle name="40% - Énfasis5 32 3" xfId="20752" xr:uid="{26BFD658-5493-402E-9D97-A0F8A7A59B7C}"/>
    <cellStyle name="40% - Énfasis5 32 4" xfId="26561" xr:uid="{503968AA-2BF8-44B4-BD32-AC801114EFA9}"/>
    <cellStyle name="40% - Énfasis5 32 5" xfId="32436" xr:uid="{69EFD690-3376-4F8D-954E-C26D41E1C8B0}"/>
    <cellStyle name="40% - Énfasis5 32 6" xfId="38301" xr:uid="{F0443A17-294F-4FB2-8035-61F832AE1382}"/>
    <cellStyle name="40% - Énfasis5 33" xfId="6343" xr:uid="{C33CC9BE-1F05-4175-BB4D-BB9E8D848310}"/>
    <cellStyle name="40% - Énfasis5 33 2" xfId="9208" xr:uid="{B3428AB5-AA04-420A-9328-E480E1DEC3EC}"/>
    <cellStyle name="40% - Énfasis5 33 2 2" xfId="23571" xr:uid="{F305A125-9B4C-45E6-B2B5-F612F1C54EBB}"/>
    <cellStyle name="40% - Énfasis5 33 2 3" xfId="29439" xr:uid="{3441C968-267F-48E2-8958-8955294C77D7}"/>
    <cellStyle name="40% - Énfasis5 33 2 4" xfId="35321" xr:uid="{4671B521-C3B4-4C45-9D7F-2F11BFFEE0B9}"/>
    <cellStyle name="40% - Énfasis5 33 2 5" xfId="41180" xr:uid="{1880315A-ACAC-4927-A99F-D7571B56E75D}"/>
    <cellStyle name="40% - Énfasis5 33 3" xfId="20784" xr:uid="{50D996ED-3248-4E14-BA63-9964E4519EEE}"/>
    <cellStyle name="40% - Énfasis5 33 4" xfId="26593" xr:uid="{6C27F4F1-3F5E-4B72-B011-13F3DE54471F}"/>
    <cellStyle name="40% - Énfasis5 33 5" xfId="32468" xr:uid="{A6AF6D03-FBD2-4CCE-AAFC-DB2DBBDA2A4F}"/>
    <cellStyle name="40% - Énfasis5 33 6" xfId="38332" xr:uid="{C0B54142-7D32-4BAB-9963-C8588349A78E}"/>
    <cellStyle name="40% - Énfasis5 34" xfId="6363" xr:uid="{DA2958F5-FE36-4265-80CC-61B42AD439A2}"/>
    <cellStyle name="40% - Énfasis5 34 2" xfId="9228" xr:uid="{02981AA0-07EB-49F2-9886-C9B80638CA0E}"/>
    <cellStyle name="40% - Énfasis5 34 2 2" xfId="23591" xr:uid="{0FA521A5-9D16-47BE-A895-A24DE073BFCC}"/>
    <cellStyle name="40% - Énfasis5 34 2 3" xfId="29459" xr:uid="{67DE9F57-DB1A-4745-9CF6-E71017C66BC8}"/>
    <cellStyle name="40% - Énfasis5 34 2 4" xfId="35341" xr:uid="{C924301A-8BD7-4F04-9FF6-0301FACBB776}"/>
    <cellStyle name="40% - Énfasis5 34 2 5" xfId="41200" xr:uid="{F441BEAB-EF0F-446B-B1D8-1DBED1414CF7}"/>
    <cellStyle name="40% - Énfasis5 34 3" xfId="20804" xr:uid="{8ECEC444-38AB-461E-8F20-82426286F7A5}"/>
    <cellStyle name="40% - Énfasis5 34 4" xfId="26613" xr:uid="{BC3E1241-5151-4A8D-9C90-138F732E3F3E}"/>
    <cellStyle name="40% - Énfasis5 34 5" xfId="32488" xr:uid="{F348155E-7C16-4E70-BAF5-D490763AD9FD}"/>
    <cellStyle name="40% - Énfasis5 34 6" xfId="38352" xr:uid="{7CA9E933-CC79-445D-8FC9-178E9A3E86C3}"/>
    <cellStyle name="40% - Énfasis5 35" xfId="6383" xr:uid="{D6201272-2656-4E70-A49F-D59D30289985}"/>
    <cellStyle name="40% - Énfasis5 35 2" xfId="9248" xr:uid="{BDF1F47B-27F5-4EBF-9225-0B5D7BB7DE18}"/>
    <cellStyle name="40% - Énfasis5 35 2 2" xfId="23611" xr:uid="{4F5F4CA3-9940-43B3-B781-5D06EAFAF040}"/>
    <cellStyle name="40% - Énfasis5 35 2 3" xfId="29479" xr:uid="{AE5AA867-4A96-4EE5-B4D5-87B7AC5DAD93}"/>
    <cellStyle name="40% - Énfasis5 35 2 4" xfId="35361" xr:uid="{B8DACDDC-D47E-49E3-936E-C7460D68C46D}"/>
    <cellStyle name="40% - Énfasis5 35 2 5" xfId="41220" xr:uid="{6E2C3709-E874-4119-8522-1F1E3BD2BCDA}"/>
    <cellStyle name="40% - Énfasis5 35 3" xfId="20824" xr:uid="{22369B18-CAD6-4AF1-B013-F6FAF1FCD024}"/>
    <cellStyle name="40% - Énfasis5 35 4" xfId="26633" xr:uid="{1FBF2E39-9678-46A6-8D86-8977D49071D5}"/>
    <cellStyle name="40% - Énfasis5 35 5" xfId="32508" xr:uid="{459FF01A-7EE7-48BA-9C9E-1E2A513BB0B0}"/>
    <cellStyle name="40% - Énfasis5 35 6" xfId="38372" xr:uid="{3ABDF64D-02CA-4B5E-A57B-6D90B9F36254}"/>
    <cellStyle name="40% - Énfasis5 36" xfId="6404" xr:uid="{001C71A9-E8DA-492C-BAE2-6152DDA9C1A6}"/>
    <cellStyle name="40% - Énfasis5 36 2" xfId="9269" xr:uid="{BB163A37-DA40-431C-A2D7-D78F016D753D}"/>
    <cellStyle name="40% - Énfasis5 36 2 2" xfId="23632" xr:uid="{D7505268-F864-465F-A843-92512B29EDE4}"/>
    <cellStyle name="40% - Énfasis5 36 2 3" xfId="29500" xr:uid="{53A19B13-F11D-40A5-A819-D81C4373459D}"/>
    <cellStyle name="40% - Énfasis5 36 2 4" xfId="35382" xr:uid="{709DC8BE-93C5-4B4C-AD34-5CF19BF18542}"/>
    <cellStyle name="40% - Énfasis5 36 2 5" xfId="41241" xr:uid="{3EBB65BD-E2F8-4C94-B6AC-4BAF5A5DD868}"/>
    <cellStyle name="40% - Énfasis5 36 3" xfId="20845" xr:uid="{947CC1B5-F7A4-41CE-9AA7-0AB1E7024DB4}"/>
    <cellStyle name="40% - Énfasis5 36 4" xfId="26654" xr:uid="{37A07EA6-4C56-4944-A7D0-D6453B05D4D1}"/>
    <cellStyle name="40% - Énfasis5 36 5" xfId="32529" xr:uid="{E5ED160A-0745-4C7A-9A5E-698FEC16A48A}"/>
    <cellStyle name="40% - Énfasis5 36 6" xfId="38393" xr:uid="{84C682EB-8799-47AC-AB7F-744F59133CF9}"/>
    <cellStyle name="40% - Énfasis5 37" xfId="6433" xr:uid="{1CF5EDC3-4CCF-4636-B9A1-DF4D5CEC2226}"/>
    <cellStyle name="40% - Énfasis5 37 2" xfId="9295" xr:uid="{2F0C39D0-EB89-4758-A6DA-EC78F0895923}"/>
    <cellStyle name="40% - Énfasis5 37 2 2" xfId="23658" xr:uid="{AFF74D5B-E3C4-4560-B4FA-5CB5CBACDA53}"/>
    <cellStyle name="40% - Énfasis5 37 2 3" xfId="29526" xr:uid="{9CDAE0D2-03E6-4533-87C7-D8C1F6CE9C7B}"/>
    <cellStyle name="40% - Énfasis5 37 2 4" xfId="35408" xr:uid="{6B3503F6-AC11-4EE7-9777-CB8F2FE42160}"/>
    <cellStyle name="40% - Énfasis5 37 2 5" xfId="41267" xr:uid="{E99C7CE7-31E3-4CF4-9DAD-7329A94440D6}"/>
    <cellStyle name="40% - Énfasis5 37 3" xfId="20874" xr:uid="{73744595-3E13-414C-B396-18AE58FD03EB}"/>
    <cellStyle name="40% - Énfasis5 37 4" xfId="26683" xr:uid="{35A1B34F-E37B-415E-9F4A-4DE6617813BE}"/>
    <cellStyle name="40% - Énfasis5 37 5" xfId="32558" xr:uid="{19688BF9-7782-409C-9CDB-E1621D37C216}"/>
    <cellStyle name="40% - Énfasis5 37 6" xfId="38422" xr:uid="{745123C1-6154-4688-8A85-BAF82962547A}"/>
    <cellStyle name="40% - Énfasis5 38" xfId="6467" xr:uid="{CC738BFE-151D-4C8B-9664-1DFF01717B64}"/>
    <cellStyle name="40% - Énfasis5 38 2" xfId="9327" xr:uid="{BA55B3FC-37FE-4273-BB2F-54F9CEA26EF8}"/>
    <cellStyle name="40% - Énfasis5 38 2 2" xfId="23690" xr:uid="{82524C89-E11E-44C4-BA67-A9E5BD8BEAA4}"/>
    <cellStyle name="40% - Énfasis5 38 2 3" xfId="29558" xr:uid="{CD723536-5168-4D2A-BD5C-C3E6242667A9}"/>
    <cellStyle name="40% - Énfasis5 38 2 4" xfId="35440" xr:uid="{EE14FA79-9539-4A42-A209-3A336F8B30AA}"/>
    <cellStyle name="40% - Énfasis5 38 2 5" xfId="41299" xr:uid="{B9640C6E-1926-4D72-AD74-8D6ADE135542}"/>
    <cellStyle name="40% - Énfasis5 38 3" xfId="20905" xr:uid="{524177E6-2F7A-47C8-9ABF-13156B43D12C}"/>
    <cellStyle name="40% - Énfasis5 38 4" xfId="26716" xr:uid="{5946372E-10BA-44BE-9A6C-53D1D782F69D}"/>
    <cellStyle name="40% - Énfasis5 38 5" xfId="32591" xr:uid="{030F6C1D-09E5-4EB6-800C-7FA15DAEB02C}"/>
    <cellStyle name="40% - Énfasis5 38 6" xfId="38455" xr:uid="{13B43E2B-F59A-4936-9044-913569D8BB62}"/>
    <cellStyle name="40% - Énfasis5 39" xfId="6487" xr:uid="{C43B5ED1-2AC9-4DF7-9C4D-2B6509E7100B}"/>
    <cellStyle name="40% - Énfasis5 39 2" xfId="9347" xr:uid="{76DC57EB-957E-4AD3-B292-E532307F4346}"/>
    <cellStyle name="40% - Énfasis5 39 2 2" xfId="23710" xr:uid="{C858F46D-1DF2-4676-90C5-02C6CA2C72FB}"/>
    <cellStyle name="40% - Énfasis5 39 2 3" xfId="29578" xr:uid="{CC87D050-423A-4899-84E4-B3E1CE9DCF92}"/>
    <cellStyle name="40% - Énfasis5 39 2 4" xfId="35460" xr:uid="{6160B2B0-614B-4B95-B3DB-488E4547EB4E}"/>
    <cellStyle name="40% - Énfasis5 39 2 5" xfId="41319" xr:uid="{195E9F46-566F-4466-9E26-8E5F96381430}"/>
    <cellStyle name="40% - Énfasis5 39 3" xfId="20925" xr:uid="{0D85CF3E-1242-49F5-B7BD-DF0419BF3306}"/>
    <cellStyle name="40% - Énfasis5 39 4" xfId="26736" xr:uid="{925A97BE-DE6C-4749-AC56-1915E8847A9F}"/>
    <cellStyle name="40% - Énfasis5 39 5" xfId="32611" xr:uid="{5030E42C-A36F-4A4A-AA3C-DC9D7A996B59}"/>
    <cellStyle name="40% - Énfasis5 39 6" xfId="38475" xr:uid="{53190954-4E71-43D4-AC45-5A54D1E8C74C}"/>
    <cellStyle name="40% - Énfasis5 4" xfId="3897" xr:uid="{D3562A1A-6519-4287-B40B-33BA698C89AA}"/>
    <cellStyle name="40% - Énfasis5 4 10" xfId="35889" xr:uid="{D6A20831-0785-4983-8842-CF0239B144DC}"/>
    <cellStyle name="40% - Énfasis5 4 2" xfId="4094" xr:uid="{7501438C-5483-41E4-B875-7C6E41561123}"/>
    <cellStyle name="40% - Énfasis5 4 2 2" xfId="4572" xr:uid="{D8E6A8C7-AC47-4CC3-9041-4CAE7E6243A0}"/>
    <cellStyle name="40% - Énfasis5 4 2 2 2" xfId="5540" xr:uid="{241A9061-980D-4833-9F5C-6769305A2F5A}"/>
    <cellStyle name="40% - Énfasis5 4 2 2 2 2" xfId="8407" xr:uid="{A8A7AD29-05B3-4DBB-BE06-B5DFD4503E5C}"/>
    <cellStyle name="40% - Énfasis5 4 2 2 2 2 2" xfId="22782" xr:uid="{AF62D671-F0E2-48D3-B1E5-D99004EC3108}"/>
    <cellStyle name="40% - Énfasis5 4 2 2 2 2 3" xfId="28640" xr:uid="{866E04A0-BED9-472F-AE24-5E488AA50E42}"/>
    <cellStyle name="40% - Énfasis5 4 2 2 2 2 4" xfId="34522" xr:uid="{FDE46162-B893-40F8-B817-C7A30C2BAFF2}"/>
    <cellStyle name="40% - Énfasis5 4 2 2 2 2 5" xfId="40386" xr:uid="{7A7E1F7F-A20A-4F06-B8DC-B11C8609AD9A}"/>
    <cellStyle name="40% - Énfasis5 4 2 2 2 3" xfId="20000" xr:uid="{1B1D9936-8AFC-4A73-85C5-F8DCC2D66F07}"/>
    <cellStyle name="40% - Énfasis5 4 2 2 2 4" xfId="25791" xr:uid="{645173A8-0509-4E2F-AAAB-10B04F99827C}"/>
    <cellStyle name="40% - Énfasis5 4 2 2 2 5" xfId="31665" xr:uid="{8BEB6CD4-335B-4AD1-8E5D-BDCC904493B5}"/>
    <cellStyle name="40% - Énfasis5 4 2 2 2 6" xfId="37535" xr:uid="{DE5B62B3-8582-455A-9C88-1866504A5DB4}"/>
    <cellStyle name="40% - Énfasis5 4 2 2 3" xfId="7435" xr:uid="{1A982686-BB0C-449E-AB5C-55E4E64FFC2C}"/>
    <cellStyle name="40% - Énfasis5 4 2 2 3 2" xfId="21837" xr:uid="{1D5257BE-E268-46AE-88BB-BDD3F7034353}"/>
    <cellStyle name="40% - Énfasis5 4 2 2 3 3" xfId="27669" xr:uid="{1FC50490-F1F6-46DA-AA6A-7476E675A9D2}"/>
    <cellStyle name="40% - Énfasis5 4 2 2 3 4" xfId="33551" xr:uid="{018CCF42-FAEC-405D-982E-2A0DD9307171}"/>
    <cellStyle name="40% - Énfasis5 4 2 2 3 5" xfId="39415" xr:uid="{AF0853D7-51EA-4214-840F-7319509C708A}"/>
    <cellStyle name="40% - Énfasis5 4 2 2 4" xfId="19068" xr:uid="{3BAF7CE3-22C0-4F64-AEFB-36FA73A428E4}"/>
    <cellStyle name="40% - Énfasis5 4 2 2 5" xfId="24820" xr:uid="{513C7130-7EFD-4E4E-9A09-95AA8A45C9F0}"/>
    <cellStyle name="40% - Énfasis5 4 2 2 6" xfId="30697" xr:uid="{0F7A9737-A60F-4581-BD8B-1E6A3535B5BF}"/>
    <cellStyle name="40% - Énfasis5 4 2 2 7" xfId="36578" xr:uid="{590AD57A-6C17-435A-99FD-4ED395B0DCE3}"/>
    <cellStyle name="40% - Énfasis5 4 2 3" xfId="5055" xr:uid="{CD1A51F5-BEE1-4D81-B43A-40C0E66B2300}"/>
    <cellStyle name="40% - Énfasis5 4 2 3 2" xfId="7922" xr:uid="{C1CC52A2-B792-43D2-AAF9-43982C5262F7}"/>
    <cellStyle name="40% - Énfasis5 4 2 3 2 2" xfId="22307" xr:uid="{BDDD19D3-7C1F-48D5-BD90-EA26FF029F0C}"/>
    <cellStyle name="40% - Énfasis5 4 2 3 2 3" xfId="28155" xr:uid="{82A0090D-EBD3-4260-9C67-DAFFC17DE3A9}"/>
    <cellStyle name="40% - Énfasis5 4 2 3 2 4" xfId="34037" xr:uid="{6EB6D683-1A6D-4C7C-900A-EC366B9FEC54}"/>
    <cellStyle name="40% - Énfasis5 4 2 3 2 5" xfId="39901" xr:uid="{B9D53C40-5978-46DD-8E5E-C1B4BE73EA74}"/>
    <cellStyle name="40% - Énfasis5 4 2 3 3" xfId="19532" xr:uid="{998D2ED8-477F-45D6-B45C-79A41B888643}"/>
    <cellStyle name="40% - Énfasis5 4 2 3 4" xfId="25306" xr:uid="{F3028EF4-7495-4659-BCFE-80D62206F769}"/>
    <cellStyle name="40% - Énfasis5 4 2 3 5" xfId="31180" xr:uid="{3506ED3D-2ADD-4402-B4B3-19F00B484DF4}"/>
    <cellStyle name="40% - Énfasis5 4 2 3 6" xfId="37058" xr:uid="{7F2534FC-F19B-418D-91FB-B19698CB6590}"/>
    <cellStyle name="40% - Énfasis5 4 2 4" xfId="6950" xr:uid="{4182349B-E73B-426B-ADD5-EBD6F4CD15FE}"/>
    <cellStyle name="40% - Énfasis5 4 2 4 2" xfId="21370" xr:uid="{44FD94C2-52FE-4815-81F3-C349FE0F09D4}"/>
    <cellStyle name="40% - Énfasis5 4 2 4 3" xfId="27188" xr:uid="{DDACF7AF-C0A7-41B2-BFB9-2CB61EF1E344}"/>
    <cellStyle name="40% - Énfasis5 4 2 4 4" xfId="33066" xr:uid="{F306A0D9-0657-4D7F-A9C5-682A91781F02}"/>
    <cellStyle name="40% - Énfasis5 4 2 4 5" xfId="38930" xr:uid="{70AD2667-FD8F-4092-AB38-4BCD3B28B7C4}"/>
    <cellStyle name="40% - Énfasis5 4 2 5" xfId="18624" xr:uid="{9338F153-3869-43AC-AB25-027C5F5B9701}"/>
    <cellStyle name="40% - Énfasis5 4 2 6" xfId="24337" xr:uid="{51719B1C-3CAF-4776-9A61-F2B3BC5C6F99}"/>
    <cellStyle name="40% - Énfasis5 4 2 7" xfId="30215" xr:uid="{2C3B0A18-2AA6-4B05-AD3E-0FBDC6A407B1}"/>
    <cellStyle name="40% - Énfasis5 4 2 8" xfId="36094" xr:uid="{444D844C-5FFD-41E0-91EF-CBFF274EC8EA}"/>
    <cellStyle name="40% - Énfasis5 4 3" xfId="4378" xr:uid="{3A8B1847-F3B0-4372-887C-ED2AC96E41BE}"/>
    <cellStyle name="40% - Énfasis5 4 3 2" xfId="5344" xr:uid="{4CD853B8-9B2C-47BF-AE15-79C174A8E471}"/>
    <cellStyle name="40% - Énfasis5 4 3 2 2" xfId="8211" xr:uid="{42D4C3BA-77FC-4418-82F4-54B3CB6F1FB7}"/>
    <cellStyle name="40% - Énfasis5 4 3 2 2 2" xfId="22587" xr:uid="{261ABFE2-25D2-458F-84CE-C45AAC11C63B}"/>
    <cellStyle name="40% - Énfasis5 4 3 2 2 3" xfId="28444" xr:uid="{306FA628-2F61-4416-9570-6EC605133CF3}"/>
    <cellStyle name="40% - Énfasis5 4 3 2 2 4" xfId="34326" xr:uid="{FD55A1AA-2585-4354-8C7C-242E0DAFB8B9}"/>
    <cellStyle name="40% - Énfasis5 4 3 2 2 5" xfId="40190" xr:uid="{F2FC9A2D-0975-4F41-8CC6-F690A7B8E438}"/>
    <cellStyle name="40% - Énfasis5 4 3 2 3" xfId="19811" xr:uid="{B64E53FA-46DE-463F-A143-7A427E13345D}"/>
    <cellStyle name="40% - Énfasis5 4 3 2 4" xfId="25595" xr:uid="{B6501027-A564-409F-8748-5AD517C87D01}"/>
    <cellStyle name="40% - Énfasis5 4 3 2 5" xfId="31469" xr:uid="{5BBD4836-84A4-4036-A3A6-46F49B41EA96}"/>
    <cellStyle name="40% - Énfasis5 4 3 2 6" xfId="37340" xr:uid="{62CF3CEB-B070-42F4-819F-CF4CAFA00F83}"/>
    <cellStyle name="40% - Énfasis5 4 3 3" xfId="7239" xr:uid="{513B448E-C6A5-4714-B24E-44509F174372}"/>
    <cellStyle name="40% - Énfasis5 4 3 3 2" xfId="21646" xr:uid="{53579E28-6084-4D4F-A7AA-54DFFF5DA395}"/>
    <cellStyle name="40% - Énfasis5 4 3 3 3" xfId="27473" xr:uid="{E27583C7-2B94-43A8-8EF5-34F41819FA48}"/>
    <cellStyle name="40% - Énfasis5 4 3 3 4" xfId="33355" xr:uid="{F4466DB7-E7AC-4E5D-B01F-0AA903B6799D}"/>
    <cellStyle name="40% - Énfasis5 4 3 3 5" xfId="39219" xr:uid="{4E42F390-F60B-40DF-9E87-D8ECDFBB360F}"/>
    <cellStyle name="40% - Énfasis5 4 3 4" xfId="18881" xr:uid="{FDF374DB-865F-4676-8619-E5FB0E0511F1}"/>
    <cellStyle name="40% - Énfasis5 4 3 5" xfId="24624" xr:uid="{0FD5CC82-6168-4CAB-A366-8208352554A3}"/>
    <cellStyle name="40% - Énfasis5 4 3 6" xfId="30503" xr:uid="{BFB7678D-187C-4373-93D8-61E502E59FDD}"/>
    <cellStyle name="40% - Énfasis5 4 3 7" xfId="36383" xr:uid="{E7217D98-83A2-4CF5-8BD7-074EF818E685}"/>
    <cellStyle name="40% - Énfasis5 4 4" xfId="4860" xr:uid="{AE4EC38D-E8FF-4EBE-A8C1-24DA51DAC919}"/>
    <cellStyle name="40% - Énfasis5 4 4 2" xfId="7726" xr:uid="{9DD1CF2C-4040-4BC1-843E-B2CD74989242}"/>
    <cellStyle name="40% - Énfasis5 4 4 2 2" xfId="22116" xr:uid="{CB3B3D80-6E66-4937-AA03-FD3354884A94}"/>
    <cellStyle name="40% - Énfasis5 4 4 2 3" xfId="27959" xr:uid="{9B2235A1-0858-4D70-9446-C9C4F2DEDAB3}"/>
    <cellStyle name="40% - Énfasis5 4 4 2 4" xfId="33841" xr:uid="{1FE762FB-C47B-4F87-9DA0-AD270F6DADA3}"/>
    <cellStyle name="40% - Énfasis5 4 4 2 5" xfId="39705" xr:uid="{B7B994DC-7235-493D-B99A-7B279D5B107A}"/>
    <cellStyle name="40% - Énfasis5 4 4 3" xfId="19342" xr:uid="{13A66E09-054E-47E3-838E-DA4AC0EC28ED}"/>
    <cellStyle name="40% - Énfasis5 4 4 4" xfId="25110" xr:uid="{7DB17A4E-4604-4507-9D9B-8085BFBFCF02}"/>
    <cellStyle name="40% - Énfasis5 4 4 5" xfId="30984" xr:uid="{7245F81D-75F2-437A-9DBD-347F5BBBC7EC}"/>
    <cellStyle name="40% - Énfasis5 4 4 6" xfId="36863" xr:uid="{21B4EA0F-C66F-42C5-B956-3DFC257B675B}"/>
    <cellStyle name="40% - Énfasis5 4 5" xfId="5869" xr:uid="{F45B30B4-FCA6-4251-9E5E-CA322F73A507}"/>
    <cellStyle name="40% - Énfasis5 4 5 2" xfId="8738" xr:uid="{6B922BB5-6072-40B7-A315-F5E6CE0402AF}"/>
    <cellStyle name="40% - Énfasis5 4 5 2 2" xfId="23106" xr:uid="{DA8DC664-4AED-4C7D-8A72-93E1508E89EA}"/>
    <cellStyle name="40% - Énfasis5 4 5 2 3" xfId="28970" xr:uid="{9BFBADB6-D018-45CC-A6E2-BBE3510B3A99}"/>
    <cellStyle name="40% - Énfasis5 4 5 2 4" xfId="34852" xr:uid="{DD3AE7C1-0A90-49C9-9077-9F58A1D71F14}"/>
    <cellStyle name="40% - Énfasis5 4 5 2 5" xfId="40716" xr:uid="{3B4D4EF5-B264-4C98-A4FC-9BAA0C99CB25}"/>
    <cellStyle name="40% - Énfasis5 4 5 3" xfId="20321" xr:uid="{A2E1F449-2AB6-42C8-81A4-017C51761305}"/>
    <cellStyle name="40% - Énfasis5 4 5 4" xfId="26120" xr:uid="{6BC91F9C-FE42-4C03-9F8B-C6118D99367E}"/>
    <cellStyle name="40% - Énfasis5 4 5 5" xfId="31995" xr:uid="{F5659A80-B015-459D-B2A7-2DA753BB0C37}"/>
    <cellStyle name="40% - Énfasis5 4 5 6" xfId="37861" xr:uid="{5AC7DD5F-7052-44AD-AF0B-1BE64C05A068}"/>
    <cellStyle name="40% - Énfasis5 4 6" xfId="6755" xr:uid="{1B6B595E-F7E8-454E-A2F7-FBFAE883E859}"/>
    <cellStyle name="40% - Énfasis5 4 6 2" xfId="21179" xr:uid="{6DD4F8D2-0A66-4F72-AD67-33D9D4E50C20}"/>
    <cellStyle name="40% - Énfasis5 4 6 3" xfId="26994" xr:uid="{E00BEF6E-B544-4BA2-98CC-1E0E3C3681AF}"/>
    <cellStyle name="40% - Énfasis5 4 6 4" xfId="32870" xr:uid="{5A39FED5-211B-4703-B257-68CC8121917D}"/>
    <cellStyle name="40% - Énfasis5 4 6 5" xfId="38734" xr:uid="{DF417269-F83E-4C3C-8FDF-D7E119793F89}"/>
    <cellStyle name="40% - Énfasis5 4 7" xfId="18421" xr:uid="{32F6D09B-664B-4410-B1D3-DC6F9E51955B}"/>
    <cellStyle name="40% - Énfasis5 4 8" xfId="24130" xr:uid="{EC4B7BA7-F911-4FA0-AE11-653A30A9738A}"/>
    <cellStyle name="40% - Énfasis5 4 9" xfId="30008" xr:uid="{E9E66D07-1F08-4B31-97E6-FBCEF789D4B7}"/>
    <cellStyle name="40% - Énfasis5 40" xfId="6507" xr:uid="{68FF01E5-A94F-488B-90D2-94E53599F991}"/>
    <cellStyle name="40% - Énfasis5 40 2" xfId="9367" xr:uid="{337D8692-225D-47C6-BCD0-442AECFE2217}"/>
    <cellStyle name="40% - Énfasis5 40 2 2" xfId="23730" xr:uid="{FEC96F5B-7DCB-461F-823A-F82D2597D7EB}"/>
    <cellStyle name="40% - Énfasis5 40 2 3" xfId="29598" xr:uid="{9F78526E-F78E-4A60-9B60-FC6062711636}"/>
    <cellStyle name="40% - Énfasis5 40 2 4" xfId="35480" xr:uid="{2D95DE15-2B99-4DC0-A45C-44F813AE4EFE}"/>
    <cellStyle name="40% - Énfasis5 40 2 5" xfId="41339" xr:uid="{AA050BE6-E6EF-44E7-AC7D-E09DE7AC4C7D}"/>
    <cellStyle name="40% - Énfasis5 40 3" xfId="20945" xr:uid="{9DD6F3D6-365F-4B72-9ACB-9E3216AD658C}"/>
    <cellStyle name="40% - Énfasis5 40 4" xfId="26756" xr:uid="{DCD557C7-7F63-4110-9A9C-58DC83FADF7E}"/>
    <cellStyle name="40% - Énfasis5 40 5" xfId="32631" xr:uid="{D6CED26F-A3F1-478A-80BE-3705D54F2AA1}"/>
    <cellStyle name="40% - Énfasis5 40 6" xfId="38495" xr:uid="{D33BFDD1-3F70-4395-9BB7-81698C065275}"/>
    <cellStyle name="40% - Énfasis5 41" xfId="6527" xr:uid="{0A7A6A44-4EA3-49B7-A95D-80052C03024A}"/>
    <cellStyle name="40% - Énfasis5 41 2" xfId="9387" xr:uid="{E97257BA-B19F-4B26-BF81-C3B18BE57CC0}"/>
    <cellStyle name="40% - Énfasis5 41 2 2" xfId="23750" xr:uid="{FAB77880-E706-45C6-9672-9BA6730959A0}"/>
    <cellStyle name="40% - Énfasis5 41 2 3" xfId="29618" xr:uid="{3AB6DEC4-112B-4D12-8783-1AC958589885}"/>
    <cellStyle name="40% - Énfasis5 41 2 4" xfId="35500" xr:uid="{C44AA1E3-B121-476D-97A7-0FD069C6713E}"/>
    <cellStyle name="40% - Énfasis5 41 2 5" xfId="41359" xr:uid="{6FC56467-2947-4EC7-865E-258EE2504273}"/>
    <cellStyle name="40% - Énfasis5 41 3" xfId="20965" xr:uid="{47E1A77B-ADFB-4BF6-B5E1-085BE6B08B3A}"/>
    <cellStyle name="40% - Énfasis5 41 4" xfId="26776" xr:uid="{7A220846-A233-45B1-A4FD-7CEB742C5117}"/>
    <cellStyle name="40% - Énfasis5 41 5" xfId="32651" xr:uid="{DC3B4D00-C7E5-4F0E-9F9C-849B9025D029}"/>
    <cellStyle name="40% - Énfasis5 41 6" xfId="38515" xr:uid="{921A959F-43BF-4908-9D92-D2E14CDE88CE}"/>
    <cellStyle name="40% - Énfasis5 42" xfId="6547" xr:uid="{8B3A6378-9F3B-4A91-AAAF-C143C2CBF8C9}"/>
    <cellStyle name="40% - Énfasis5 42 2" xfId="9407" xr:uid="{8C4DCB69-A4A2-4B41-A3C4-0BC4B718F679}"/>
    <cellStyle name="40% - Énfasis5 42 2 2" xfId="23770" xr:uid="{E7A82BAB-AEF7-42A1-A30A-13D870E2CA2E}"/>
    <cellStyle name="40% - Énfasis5 42 2 3" xfId="29638" xr:uid="{A9594DA9-D932-4B1C-8A62-F559D2EE2B53}"/>
    <cellStyle name="40% - Énfasis5 42 2 4" xfId="35520" xr:uid="{72FF85A9-BCDE-4F21-930D-81242252EA86}"/>
    <cellStyle name="40% - Énfasis5 42 2 5" xfId="41379" xr:uid="{8542A71B-BB06-45CA-BB41-306867F58EF2}"/>
    <cellStyle name="40% - Énfasis5 42 3" xfId="20985" xr:uid="{1F9ABAB8-3655-473B-9171-018428611DC1}"/>
    <cellStyle name="40% - Énfasis5 42 4" xfId="26796" xr:uid="{18523B16-0710-4520-BB56-800CFB7D8553}"/>
    <cellStyle name="40% - Énfasis5 42 5" xfId="32671" xr:uid="{3E544ECF-737D-49DD-B3DD-1CB9569895D8}"/>
    <cellStyle name="40% - Énfasis5 42 6" xfId="38535" xr:uid="{E5F3878E-57B5-4C58-928A-66526A408DF6}"/>
    <cellStyle name="40% - Énfasis5 43" xfId="6568" xr:uid="{7F2C9F17-A6B0-4AE8-BA3E-7679A6AE25FB}"/>
    <cellStyle name="40% - Énfasis5 43 2" xfId="9429" xr:uid="{400A9B05-223A-4016-9966-0B28DE04E1D8}"/>
    <cellStyle name="40% - Énfasis5 43 2 2" xfId="23792" xr:uid="{580E2C06-BC75-4267-BF77-17D0A4084E69}"/>
    <cellStyle name="40% - Énfasis5 43 2 3" xfId="29660" xr:uid="{24872EEC-AD6B-4623-9059-678492EE1F20}"/>
    <cellStyle name="40% - Énfasis5 43 2 4" xfId="35542" xr:uid="{C7513DCF-C8D9-459C-873B-4E3D920E00DC}"/>
    <cellStyle name="40% - Énfasis5 43 2 5" xfId="41401" xr:uid="{5FC8D372-3128-4D35-825B-7E8436F506CF}"/>
    <cellStyle name="40% - Énfasis5 43 3" xfId="21007" xr:uid="{F27F9E38-184A-42FB-9B38-ACB3D8917D0C}"/>
    <cellStyle name="40% - Énfasis5 43 4" xfId="26818" xr:uid="{41F0D27C-083E-47E3-A78D-9A1B58094D0A}"/>
    <cellStyle name="40% - Énfasis5 43 5" xfId="32693" xr:uid="{BC5C1F34-E7FB-4979-8795-4CF49119D9F5}"/>
    <cellStyle name="40% - Énfasis5 43 6" xfId="38557" xr:uid="{36832282-D7DE-4977-B0B0-C3D410BCAC88}"/>
    <cellStyle name="40% - Énfasis5 44" xfId="6598" xr:uid="{6BAED044-C5CC-4C0D-8A33-E863777E683C}"/>
    <cellStyle name="40% - Énfasis5 44 2" xfId="9458" xr:uid="{412D0922-AFB4-4A2D-80AC-0AB6BDDD105C}"/>
    <cellStyle name="40% - Énfasis5 44 2 2" xfId="23820" xr:uid="{986B5785-0F4E-4A86-A29E-FCE5407A2D32}"/>
    <cellStyle name="40% - Énfasis5 44 2 3" xfId="29689" xr:uid="{5B79452B-CDCD-48B0-8EE9-8A3761531120}"/>
    <cellStyle name="40% - Énfasis5 44 2 4" xfId="35571" xr:uid="{0CAD1ECF-0DC1-4D25-B5AA-7BE7EB07CB33}"/>
    <cellStyle name="40% - Énfasis5 44 2 5" xfId="41430" xr:uid="{D3C5E453-B26B-4141-A626-B12162E88510}"/>
    <cellStyle name="40% - Énfasis5 44 3" xfId="21036" xr:uid="{D2945239-DBA8-4DD0-AB85-5BD9FDF1B01C}"/>
    <cellStyle name="40% - Énfasis5 44 4" xfId="26847" xr:uid="{651DBB3B-3D5C-4D69-8D9F-F9AA61EDAF89}"/>
    <cellStyle name="40% - Énfasis5 44 5" xfId="32722" xr:uid="{E7976594-9572-4E63-97AD-934636D3F156}"/>
    <cellStyle name="40% - Énfasis5 44 6" xfId="38586" xr:uid="{30AF38CA-3096-4512-B1AB-1904AF631DEF}"/>
    <cellStyle name="40% - Énfasis5 45" xfId="6623" xr:uid="{403A0011-FBA2-447C-BC5B-559476364BA6}"/>
    <cellStyle name="40% - Énfasis5 45 2" xfId="9483" xr:uid="{0AEA6E82-34A0-4564-BE50-71FEB5014DFD}"/>
    <cellStyle name="40% - Énfasis5 45 2 2" xfId="23845" xr:uid="{FC34034D-AD9E-4E31-8ED5-048F942A325D}"/>
    <cellStyle name="40% - Énfasis5 45 2 3" xfId="29714" xr:uid="{1A6D3B17-42C6-41E9-99E2-40587D9EDD11}"/>
    <cellStyle name="40% - Énfasis5 45 2 4" xfId="35596" xr:uid="{1D1CAAB5-35E6-46D8-AABC-26CE303388F5}"/>
    <cellStyle name="40% - Énfasis5 45 2 5" xfId="41455" xr:uid="{C3F289A7-44B6-495B-A4CC-2E26111E7668}"/>
    <cellStyle name="40% - Énfasis5 45 3" xfId="21060" xr:uid="{EE4DC41C-D087-4631-B7BA-B258EE5053B7}"/>
    <cellStyle name="40% - Énfasis5 45 4" xfId="26872" xr:uid="{B8F8DBE3-CFD5-450B-AC46-5B57812D9839}"/>
    <cellStyle name="40% - Énfasis5 45 5" xfId="32747" xr:uid="{5A713366-014C-4AC6-BC50-97AC35D6FEB8}"/>
    <cellStyle name="40% - Énfasis5 45 6" xfId="38611" xr:uid="{52B4DDAB-65FF-4584-8BE8-DFDFE8EB1387}"/>
    <cellStyle name="40% - Énfasis5 46" xfId="6645" xr:uid="{102CD14B-7B39-4F6C-BDA8-4F4AE9D67850}"/>
    <cellStyle name="40% - Énfasis5 46 2" xfId="21082" xr:uid="{FE53AE04-78DF-4A02-8771-FF8564ADD335}"/>
    <cellStyle name="40% - Énfasis5 46 3" xfId="26894" xr:uid="{E2388620-F88F-4DB3-8C04-C5B8A770AF89}"/>
    <cellStyle name="40% - Énfasis5 46 4" xfId="32769" xr:uid="{74238415-23E9-4719-81C7-8BD6D6FFFCF6}"/>
    <cellStyle name="40% - Énfasis5 46 5" xfId="38633" xr:uid="{E3F2E8CA-5C25-4B39-9EC9-AB05A0FFD586}"/>
    <cellStyle name="40% - Énfasis5 47" xfId="6675" xr:uid="{17FC1827-FB8C-43F0-9072-6D2D501D67D4}"/>
    <cellStyle name="40% - Énfasis5 47 2" xfId="21104" xr:uid="{966787D1-5561-437C-8E74-9E59C9CD1D65}"/>
    <cellStyle name="40% - Énfasis5 47 3" xfId="26916" xr:uid="{252E55A1-9900-4BCA-9994-93032B7C914A}"/>
    <cellStyle name="40% - Énfasis5 47 4" xfId="32791" xr:uid="{A5E75441-0C3E-41C2-9845-E95EF2257DAE}"/>
    <cellStyle name="40% - Énfasis5 47 5" xfId="38655" xr:uid="{C1806D03-8383-4D7C-9234-B6537E0B42A8}"/>
    <cellStyle name="40% - Énfasis5 48" xfId="9498" xr:uid="{A2AC22F8-667B-45B5-A37E-37B554CBE13C}"/>
    <cellStyle name="40% - Énfasis5 48 2" xfId="23860" xr:uid="{3A360B64-1A47-480F-932D-D507E98F16BF}"/>
    <cellStyle name="40% - Énfasis5 48 3" xfId="29729" xr:uid="{D81B5209-E0CF-47F4-9703-65DD5BEF0ADA}"/>
    <cellStyle name="40% - Énfasis5 48 4" xfId="35611" xr:uid="{C3FB38CC-1781-4DD6-BC64-DCD883224826}"/>
    <cellStyle name="40% - Énfasis5 48 5" xfId="41470" xr:uid="{743F6264-A508-4C33-A885-AF21F7FE8BB8}"/>
    <cellStyle name="40% - Énfasis5 49" xfId="9524" xr:uid="{828884C4-A71C-4176-8CA2-BDAC6C967345}"/>
    <cellStyle name="40% - Énfasis5 49 2" xfId="23885" xr:uid="{421E4DA1-128A-4733-BF12-471A31ED05DB}"/>
    <cellStyle name="40% - Énfasis5 49 3" xfId="29755" xr:uid="{48104BCD-248B-453A-8B3B-0306E00378EC}"/>
    <cellStyle name="40% - Énfasis5 49 4" xfId="35637" xr:uid="{580D4A7A-1C5A-4ABB-BF9A-7DC2E0604959}"/>
    <cellStyle name="40% - Énfasis5 49 5" xfId="41496" xr:uid="{5EC65536-347A-4F9B-9EA3-A984EE2F0328}"/>
    <cellStyle name="40% - Énfasis5 5" xfId="3923" xr:uid="{6186C476-A462-4052-BE41-17736FFAC10A}"/>
    <cellStyle name="40% - Énfasis5 5 10" xfId="35915" xr:uid="{4A8C30F7-D499-43D3-A3ED-8E92249DC375}"/>
    <cellStyle name="40% - Énfasis5 5 2" xfId="4117" xr:uid="{BC82CC51-4F10-45B1-A895-B4A4258DB5AE}"/>
    <cellStyle name="40% - Énfasis5 5 2 2" xfId="4595" xr:uid="{AE989EC2-A77E-4B15-8391-621B95001A7A}"/>
    <cellStyle name="40% - Énfasis5 5 2 2 2" xfId="5563" xr:uid="{1B3AA908-573B-4F2E-A385-7C3189D195E6}"/>
    <cellStyle name="40% - Énfasis5 5 2 2 2 2" xfId="8430" xr:uid="{CC66894C-0718-49EE-8CB7-12CFD66F89B2}"/>
    <cellStyle name="40% - Énfasis5 5 2 2 2 2 2" xfId="22805" xr:uid="{ED5EE252-4DE4-46E4-BE81-C32B6FDCA409}"/>
    <cellStyle name="40% - Énfasis5 5 2 2 2 2 3" xfId="28663" xr:uid="{1DDFD518-D71C-408B-8EC6-3120CA0D7C70}"/>
    <cellStyle name="40% - Énfasis5 5 2 2 2 2 4" xfId="34545" xr:uid="{6AB8299A-3810-4BD1-B9C2-9E4E33241E55}"/>
    <cellStyle name="40% - Énfasis5 5 2 2 2 2 5" xfId="40409" xr:uid="{4DDD1B50-785A-4CAB-8871-9ED364FE8069}"/>
    <cellStyle name="40% - Énfasis5 5 2 2 2 3" xfId="20023" xr:uid="{F3E3AFED-6439-4127-B7F9-1B64EA6FC7DC}"/>
    <cellStyle name="40% - Énfasis5 5 2 2 2 4" xfId="25814" xr:uid="{B3F84524-9554-4096-9960-A9C154660F6A}"/>
    <cellStyle name="40% - Énfasis5 5 2 2 2 5" xfId="31688" xr:uid="{2B382B91-A9CB-4A41-A5EB-EA7A8F2C703A}"/>
    <cellStyle name="40% - Énfasis5 5 2 2 2 6" xfId="37558" xr:uid="{B599CA40-6468-43E1-B11A-F0C572077554}"/>
    <cellStyle name="40% - Énfasis5 5 2 2 3" xfId="7458" xr:uid="{752FAEB8-C71A-4E98-8DBB-F84ACFCFEE4B}"/>
    <cellStyle name="40% - Énfasis5 5 2 2 3 2" xfId="21860" xr:uid="{9D2EB81E-8F26-4883-B3F4-AE6574D48185}"/>
    <cellStyle name="40% - Énfasis5 5 2 2 3 3" xfId="27692" xr:uid="{3439F43E-9366-4261-9EF9-02567D5F3C95}"/>
    <cellStyle name="40% - Énfasis5 5 2 2 3 4" xfId="33574" xr:uid="{5F29E547-AA2C-46BB-9951-E3B883EF0EBB}"/>
    <cellStyle name="40% - Énfasis5 5 2 2 3 5" xfId="39438" xr:uid="{AE8DD1B5-FC55-43D1-85FF-E6EBB5A5CCDC}"/>
    <cellStyle name="40% - Énfasis5 5 2 2 4" xfId="19090" xr:uid="{09821AF6-882A-4AEF-8999-A3D9CAA4AA1D}"/>
    <cellStyle name="40% - Énfasis5 5 2 2 5" xfId="24843" xr:uid="{22B6FE31-7DC0-47C9-BC07-D202265B8C4B}"/>
    <cellStyle name="40% - Énfasis5 5 2 2 6" xfId="30720" xr:uid="{87A043FB-8709-4E49-BD32-1C98C2D89C11}"/>
    <cellStyle name="40% - Énfasis5 5 2 2 7" xfId="36601" xr:uid="{5A866D23-CDBE-41FA-8874-4BFD35819911}"/>
    <cellStyle name="40% - Énfasis5 5 2 3" xfId="5078" xr:uid="{EDDBB91E-4C48-49DD-A4CA-22F8298A7CE4}"/>
    <cellStyle name="40% - Énfasis5 5 2 3 2" xfId="7945" xr:uid="{C6C187C6-D008-4CD2-AD2E-C6A6E959584D}"/>
    <cellStyle name="40% - Énfasis5 5 2 3 2 2" xfId="22330" xr:uid="{3585A4A6-8455-4A83-B8AB-3F85CAC746D6}"/>
    <cellStyle name="40% - Énfasis5 5 2 3 2 3" xfId="28178" xr:uid="{1970AD47-FCF5-4262-909A-8E5094FD34B7}"/>
    <cellStyle name="40% - Énfasis5 5 2 3 2 4" xfId="34060" xr:uid="{5C272747-BE4A-4876-A087-1ABD6E4183B2}"/>
    <cellStyle name="40% - Énfasis5 5 2 3 2 5" xfId="39924" xr:uid="{796EFDD7-827A-4F14-9955-4EF45BFD1FCF}"/>
    <cellStyle name="40% - Énfasis5 5 2 3 3" xfId="19555" xr:uid="{16D6480D-0639-42DE-AF96-41BE39FC72F6}"/>
    <cellStyle name="40% - Énfasis5 5 2 3 4" xfId="25329" xr:uid="{72F42EAC-8EB9-481F-AB14-22871FDBE678}"/>
    <cellStyle name="40% - Énfasis5 5 2 3 5" xfId="31203" xr:uid="{830A7907-2BD0-4C50-862F-C3E7214DD5F4}"/>
    <cellStyle name="40% - Énfasis5 5 2 3 6" xfId="37081" xr:uid="{63825401-AB7B-46CC-8357-EEDEFB12B451}"/>
    <cellStyle name="40% - Énfasis5 5 2 4" xfId="6973" xr:uid="{1CD44971-8428-4461-B370-FCDFAD016BF9}"/>
    <cellStyle name="40% - Énfasis5 5 2 4 2" xfId="21392" xr:uid="{1D0D75A5-1160-4052-9EED-6874011004CF}"/>
    <cellStyle name="40% - Énfasis5 5 2 4 3" xfId="27211" xr:uid="{BDEBDD52-086B-49B0-BBD1-D9BC39B4A999}"/>
    <cellStyle name="40% - Énfasis5 5 2 4 4" xfId="33089" xr:uid="{0EE0C277-0C62-4302-A098-E83A27B03D67}"/>
    <cellStyle name="40% - Énfasis5 5 2 4 5" xfId="38953" xr:uid="{127B073A-6499-430B-858D-FCBE61AE139F}"/>
    <cellStyle name="40% - Énfasis5 5 2 5" xfId="18646" xr:uid="{476BBF2C-E34B-4443-B84D-4A51C0192D89}"/>
    <cellStyle name="40% - Énfasis5 5 2 6" xfId="24360" xr:uid="{FAB3BB39-37FE-49C4-A1A5-4670CE563C35}"/>
    <cellStyle name="40% - Énfasis5 5 2 7" xfId="30238" xr:uid="{0C4FE3D0-E918-442D-8141-500A4BE6665A}"/>
    <cellStyle name="40% - Énfasis5 5 2 8" xfId="36117" xr:uid="{D803D53C-F225-4A5E-A4A7-F40429FCF3F6}"/>
    <cellStyle name="40% - Énfasis5 5 3" xfId="4401" xr:uid="{F71637BD-D75B-40AD-8726-F82B22163621}"/>
    <cellStyle name="40% - Énfasis5 5 3 2" xfId="5367" xr:uid="{5AB32647-BF0C-4E15-A68B-657C73763B09}"/>
    <cellStyle name="40% - Énfasis5 5 3 2 2" xfId="8234" xr:uid="{E82DF427-4B5F-4888-BAE7-ECEA72070E18}"/>
    <cellStyle name="40% - Énfasis5 5 3 2 2 2" xfId="22610" xr:uid="{FE8EAC07-AF8E-49AE-908A-6DEC3A75867F}"/>
    <cellStyle name="40% - Énfasis5 5 3 2 2 3" xfId="28467" xr:uid="{E2B5D31E-B54B-429A-9A17-A07BDE645E05}"/>
    <cellStyle name="40% - Énfasis5 5 3 2 2 4" xfId="34349" xr:uid="{EF567976-B7B7-42C2-8F22-1C12DDD734C9}"/>
    <cellStyle name="40% - Énfasis5 5 3 2 2 5" xfId="40213" xr:uid="{6985C237-5920-4497-86F8-62BACD7ADE7A}"/>
    <cellStyle name="40% - Énfasis5 5 3 2 3" xfId="19834" xr:uid="{ED7A6F9C-04AF-4740-ADF5-5F474C740989}"/>
    <cellStyle name="40% - Énfasis5 5 3 2 4" xfId="25618" xr:uid="{29112378-BC09-4E04-ACD3-4A6641CC84A7}"/>
    <cellStyle name="40% - Énfasis5 5 3 2 5" xfId="31492" xr:uid="{13FA0B15-96C1-4700-BD6F-D03E4F573E36}"/>
    <cellStyle name="40% - Énfasis5 5 3 2 6" xfId="37363" xr:uid="{054EC951-7577-4623-8ABD-0C8ED4336DA9}"/>
    <cellStyle name="40% - Énfasis5 5 3 3" xfId="7262" xr:uid="{E74AD2E2-82E5-4F48-9B3E-3D91B9438069}"/>
    <cellStyle name="40% - Énfasis5 5 3 3 2" xfId="21669" xr:uid="{0AF4BA5A-B720-4921-9404-594841D0B4CF}"/>
    <cellStyle name="40% - Énfasis5 5 3 3 3" xfId="27496" xr:uid="{BE75082C-7EC5-4E7F-84D5-1440A2138E40}"/>
    <cellStyle name="40% - Énfasis5 5 3 3 4" xfId="33378" xr:uid="{766593E6-E8A3-4D94-9900-EFF92B34913C}"/>
    <cellStyle name="40% - Énfasis5 5 3 3 5" xfId="39242" xr:uid="{55077093-7810-4E2E-9C55-A2979053542A}"/>
    <cellStyle name="40% - Énfasis5 5 3 4" xfId="18903" xr:uid="{D25F7C9C-ABBB-47C9-B507-A2D31101AF1F}"/>
    <cellStyle name="40% - Énfasis5 5 3 5" xfId="24647" xr:uid="{78202D79-E652-481A-8640-501D91D329DD}"/>
    <cellStyle name="40% - Énfasis5 5 3 6" xfId="30526" xr:uid="{465DABAC-359B-4832-B9EF-9D1A575CE411}"/>
    <cellStyle name="40% - Énfasis5 5 3 7" xfId="36406" xr:uid="{766CA22A-6CE3-4627-B990-D9717483EFB4}"/>
    <cellStyle name="40% - Énfasis5 5 4" xfId="4882" xr:uid="{67497006-F159-451D-AEDC-BCF871CA814B}"/>
    <cellStyle name="40% - Énfasis5 5 4 2" xfId="7749" xr:uid="{4D7D9D65-0F87-4727-BD5B-BC4453E35B4E}"/>
    <cellStyle name="40% - Énfasis5 5 4 2 2" xfId="22139" xr:uid="{7CBD109B-E698-4CD3-9BCD-CC30B18DA3EB}"/>
    <cellStyle name="40% - Énfasis5 5 4 2 3" xfId="27982" xr:uid="{865C7CB1-BBCC-4CC3-A7B3-8155DAF3A3A8}"/>
    <cellStyle name="40% - Énfasis5 5 4 2 4" xfId="33864" xr:uid="{7B038288-1A31-4620-9941-1FC8230180A9}"/>
    <cellStyle name="40% - Énfasis5 5 4 2 5" xfId="39728" xr:uid="{2DE5E139-ADB5-4382-9BFE-BB5F51B64FC2}"/>
    <cellStyle name="40% - Énfasis5 5 4 3" xfId="19365" xr:uid="{456A0253-99CA-4AF2-86A6-3BE4B17CB9E3}"/>
    <cellStyle name="40% - Énfasis5 5 4 4" xfId="25133" xr:uid="{A24E8C05-C7AD-406F-B847-347CF6E7B1EF}"/>
    <cellStyle name="40% - Énfasis5 5 4 5" xfId="31007" xr:uid="{32C05313-EE7E-4226-A9C2-B9027918D91F}"/>
    <cellStyle name="40% - Énfasis5 5 4 6" xfId="36886" xr:uid="{F9C33E44-5D28-41A3-A722-B952695DE24E}"/>
    <cellStyle name="40% - Énfasis5 5 5" xfId="5892" xr:uid="{0DC3C4D5-6FA4-490E-99C3-47D7FF99D4AA}"/>
    <cellStyle name="40% - Énfasis5 5 5 2" xfId="8761" xr:uid="{4E19669A-AE67-4CB6-8E47-0ACC31B5FC2F}"/>
    <cellStyle name="40% - Énfasis5 5 5 2 2" xfId="23129" xr:uid="{32507B30-3D55-4394-A20D-80848E1B99D7}"/>
    <cellStyle name="40% - Énfasis5 5 5 2 3" xfId="28993" xr:uid="{AC0DF0B4-0531-441E-85F1-71B4405A98C1}"/>
    <cellStyle name="40% - Énfasis5 5 5 2 4" xfId="34875" xr:uid="{F2810D5A-78A9-44B2-8D63-4DD328FE545D}"/>
    <cellStyle name="40% - Énfasis5 5 5 2 5" xfId="40739" xr:uid="{28D42B2B-2ACD-40D8-B4CA-96CD6CFA0595}"/>
    <cellStyle name="40% - Énfasis5 5 5 3" xfId="20343" xr:uid="{A529E7A8-C170-494B-9CFF-16E42ECB0432}"/>
    <cellStyle name="40% - Énfasis5 5 5 4" xfId="26143" xr:uid="{B6277238-789F-4A42-8806-AB414EB967BC}"/>
    <cellStyle name="40% - Énfasis5 5 5 5" xfId="32018" xr:uid="{E057008F-DEEF-4DF5-8466-E787CF2964AD}"/>
    <cellStyle name="40% - Énfasis5 5 5 6" xfId="37884" xr:uid="{2E6C4D22-4553-4310-AEAC-CADEE36EDB35}"/>
    <cellStyle name="40% - Énfasis5 5 6" xfId="6778" xr:uid="{9AD6BF71-E206-488D-AC8F-099598541BF8}"/>
    <cellStyle name="40% - Énfasis5 5 6 2" xfId="21202" xr:uid="{E6C327F7-9F9F-48D8-A0BC-0A8DE7A48A34}"/>
    <cellStyle name="40% - Énfasis5 5 6 3" xfId="27017" xr:uid="{BC59491A-3859-4A4E-B8E3-2C4DA9A554ED}"/>
    <cellStyle name="40% - Énfasis5 5 6 4" xfId="32893" xr:uid="{19C88A13-EB9C-4F12-9F87-D615203DFB1A}"/>
    <cellStyle name="40% - Énfasis5 5 6 5" xfId="38757" xr:uid="{00000D0F-9F11-4DB3-A5DE-71145DC549B3}"/>
    <cellStyle name="40% - Énfasis5 5 7" xfId="18448" xr:uid="{B73D2B0F-2770-468F-8148-84FD85947B1C}"/>
    <cellStyle name="40% - Énfasis5 5 8" xfId="24156" xr:uid="{481F84DA-6E44-4DAF-A867-D2D8224A3AE8}"/>
    <cellStyle name="40% - Énfasis5 5 9" xfId="30034" xr:uid="{ABBDD143-9CD6-421E-ADCD-27843BBC113A}"/>
    <cellStyle name="40% - Énfasis5 50" xfId="9543" xr:uid="{57A531F6-8458-46D9-800B-E51B0E0E7A9F}"/>
    <cellStyle name="40% - Énfasis5 50 2" xfId="23905" xr:uid="{105B9597-E8F2-4987-9BA7-F898BF075D6B}"/>
    <cellStyle name="40% - Énfasis5 50 3" xfId="29775" xr:uid="{EAF936D7-9277-472D-B83D-C790C8DD6B7B}"/>
    <cellStyle name="40% - Énfasis5 50 4" xfId="35657" xr:uid="{6BFDBEA8-1385-45A6-9350-7A7F36E39708}"/>
    <cellStyle name="40% - Énfasis5 50 5" xfId="41516" xr:uid="{0CD3739D-74C7-4829-97E0-C23FCFD28024}"/>
    <cellStyle name="40% - Énfasis5 51" xfId="9569" xr:uid="{D7BE52DF-0D92-4085-9D71-619618FBBBAB}"/>
    <cellStyle name="40% - Énfasis5 51 2" xfId="23931" xr:uid="{1C6DE683-9390-407A-8BEC-C10ADFE03BCD}"/>
    <cellStyle name="40% - Énfasis5 51 3" xfId="29801" xr:uid="{9CE0EECE-5FA4-4EC2-83A2-5007C6DA955C}"/>
    <cellStyle name="40% - Énfasis5 51 4" xfId="35683" xr:uid="{96946467-2965-4553-995E-381F8155A364}"/>
    <cellStyle name="40% - Énfasis5 51 5" xfId="41542" xr:uid="{ABAEE353-9205-48E4-91A8-E01108C18128}"/>
    <cellStyle name="40% - Énfasis5 52" xfId="15771" xr:uid="{699682FC-FFF3-45EF-9580-C104735A19D1}"/>
    <cellStyle name="40% - Énfasis5 52 2" xfId="23991" xr:uid="{15F736EB-279D-42C6-BC90-12CCE8A00B60}"/>
    <cellStyle name="40% - Énfasis5 52 3" xfId="29863" xr:uid="{23764243-95E0-4E42-AAD0-AA3A382DA9A0}"/>
    <cellStyle name="40% - Énfasis5 52 4" xfId="35745" xr:uid="{B504A544-C4BC-41B4-8999-A9F5B5E811C3}"/>
    <cellStyle name="40% - Énfasis5 52 5" xfId="41604" xr:uid="{52B31EB4-5F80-49E0-8B19-D00834A47F32}"/>
    <cellStyle name="40% - Énfasis5 53" xfId="15796" xr:uid="{3BA39887-59A0-432B-9F19-21B16C6B1F5D}"/>
    <cellStyle name="40% - Énfasis5 53 2" xfId="24013" xr:uid="{2A499A1A-1BFA-4599-A5D8-0856EFDF1FCA}"/>
    <cellStyle name="40% - Énfasis5 53 3" xfId="29888" xr:uid="{B80E9935-16DC-4BC2-913F-84DBD5D2B3F8}"/>
    <cellStyle name="40% - Énfasis5 53 4" xfId="35769" xr:uid="{DA2674E3-12BF-47E0-B467-73AFC3E7D536}"/>
    <cellStyle name="40% - Énfasis5 53 5" xfId="41629" xr:uid="{C197118B-7127-4E57-AE1F-7F5B8728B884}"/>
    <cellStyle name="40% - Énfasis5 54" xfId="15830" xr:uid="{3CEC3EE3-A40C-447C-8213-F49CB0F0CB20}"/>
    <cellStyle name="40% - Énfasis5 55" xfId="18305" xr:uid="{3507E6BE-7C95-46E2-9513-973FA777045F}"/>
    <cellStyle name="40% - Énfasis5 56" xfId="18328" xr:uid="{C980B2B9-BA23-4FDD-9533-AABB21C5E0C8}"/>
    <cellStyle name="40% - Énfasis5 57" xfId="24040" xr:uid="{7AC0D01C-914B-41E8-A421-44DEA31F89EC}"/>
    <cellStyle name="40% - Énfasis5 58" xfId="29918" xr:uid="{BEFCD471-0A18-4619-9695-29979533D774}"/>
    <cellStyle name="40% - Énfasis5 59" xfId="35799" xr:uid="{A192F8FB-E2B4-47B7-89C4-BEA46842DAB6}"/>
    <cellStyle name="40% - Énfasis5 6" xfId="3947" xr:uid="{392E2669-442D-4FFC-A1AD-323DFE1E429B}"/>
    <cellStyle name="40% - Énfasis5 6 10" xfId="35938" xr:uid="{B5BD6EAF-4786-4405-B1E2-A41ABC0DBC17}"/>
    <cellStyle name="40% - Énfasis5 6 2" xfId="4139" xr:uid="{54D28434-7B9B-4FAB-8FA0-336A8177D813}"/>
    <cellStyle name="40% - Énfasis5 6 2 2" xfId="4617" xr:uid="{435C3519-48E4-495F-BEA4-A3610B880298}"/>
    <cellStyle name="40% - Énfasis5 6 2 2 2" xfId="5585" xr:uid="{19AA4F49-A1C6-4AB5-80E7-5B007F174C57}"/>
    <cellStyle name="40% - Énfasis5 6 2 2 2 2" xfId="8452" xr:uid="{603B5AF5-6B4E-48AB-B0A6-AFCA0FC0BAC5}"/>
    <cellStyle name="40% - Énfasis5 6 2 2 2 2 2" xfId="22827" xr:uid="{B9BDD7E1-C398-4E57-9997-093E702D02EA}"/>
    <cellStyle name="40% - Énfasis5 6 2 2 2 2 3" xfId="28685" xr:uid="{04602D0C-8984-4B79-B1AE-FB4013BA2820}"/>
    <cellStyle name="40% - Énfasis5 6 2 2 2 2 4" xfId="34567" xr:uid="{B0485FFA-BFF0-4C29-9437-1456FDC8CA22}"/>
    <cellStyle name="40% - Énfasis5 6 2 2 2 2 5" xfId="40431" xr:uid="{63790A2B-E20D-4702-BC4E-D8CADFF9AB4E}"/>
    <cellStyle name="40% - Énfasis5 6 2 2 2 3" xfId="20045" xr:uid="{B5D87F38-2929-4069-99F1-43B3AEEA80FC}"/>
    <cellStyle name="40% - Énfasis5 6 2 2 2 4" xfId="25836" xr:uid="{2BA369E0-FF95-4E9B-882F-425F00158EA1}"/>
    <cellStyle name="40% - Énfasis5 6 2 2 2 5" xfId="31710" xr:uid="{C4C67591-4146-43EE-BDAE-2C86F533F4A4}"/>
    <cellStyle name="40% - Énfasis5 6 2 2 2 6" xfId="37580" xr:uid="{EFCA65EA-9BFF-4F99-B349-12C04C6AC804}"/>
    <cellStyle name="40% - Énfasis5 6 2 2 3" xfId="7480" xr:uid="{D07D4283-A658-40C5-B299-8E9C1CF78805}"/>
    <cellStyle name="40% - Énfasis5 6 2 2 3 2" xfId="21882" xr:uid="{29E11642-A5FB-434A-9268-BF54DCFF38C3}"/>
    <cellStyle name="40% - Énfasis5 6 2 2 3 3" xfId="27714" xr:uid="{1E4BF3F8-AA87-4B9F-B072-D492980964C0}"/>
    <cellStyle name="40% - Énfasis5 6 2 2 3 4" xfId="33596" xr:uid="{AEF9D056-8D08-4C50-A7F0-CBBB7AE2467F}"/>
    <cellStyle name="40% - Énfasis5 6 2 2 3 5" xfId="39460" xr:uid="{B9D2018B-B3B1-4CAC-B280-9975B805DA25}"/>
    <cellStyle name="40% - Énfasis5 6 2 2 4" xfId="19112" xr:uid="{E4E417D4-077D-4A69-B45A-77A200F5D807}"/>
    <cellStyle name="40% - Énfasis5 6 2 2 5" xfId="24865" xr:uid="{049FB760-30E7-40C2-9952-FD0151FD8D20}"/>
    <cellStyle name="40% - Énfasis5 6 2 2 6" xfId="30742" xr:uid="{A77CB918-08C7-4D2F-92AF-8BCB17BE3854}"/>
    <cellStyle name="40% - Énfasis5 6 2 2 7" xfId="36623" xr:uid="{1B475165-8C7A-47DE-ACF6-89FB2939017C}"/>
    <cellStyle name="40% - Énfasis5 6 2 3" xfId="5100" xr:uid="{A3A4F1B9-D677-4F2B-A385-92E901AE2397}"/>
    <cellStyle name="40% - Énfasis5 6 2 3 2" xfId="7967" xr:uid="{04BDBEEE-8212-47A7-8735-2806E6CD0043}"/>
    <cellStyle name="40% - Énfasis5 6 2 3 2 2" xfId="22352" xr:uid="{1352841D-BAD3-42AC-ABEE-299153BC2E50}"/>
    <cellStyle name="40% - Énfasis5 6 2 3 2 3" xfId="28200" xr:uid="{5C359F6C-B0AF-4809-AD88-F7D19E8DBBB8}"/>
    <cellStyle name="40% - Énfasis5 6 2 3 2 4" xfId="34082" xr:uid="{6E0F73B0-4C87-4B0B-8797-B9A8D893B0BC}"/>
    <cellStyle name="40% - Énfasis5 6 2 3 2 5" xfId="39946" xr:uid="{B6B4E031-0110-4D7F-9A1B-E1F54F7FD092}"/>
    <cellStyle name="40% - Énfasis5 6 2 3 3" xfId="19577" xr:uid="{B3FFE8DE-183D-43A7-9167-9F566632CEDE}"/>
    <cellStyle name="40% - Énfasis5 6 2 3 4" xfId="25351" xr:uid="{4FE4EA40-B559-4F9A-B94D-4394F898C0BD}"/>
    <cellStyle name="40% - Énfasis5 6 2 3 5" xfId="31225" xr:uid="{14012222-8547-4DCC-88D3-4FD58626C1BC}"/>
    <cellStyle name="40% - Énfasis5 6 2 3 6" xfId="37103" xr:uid="{7A1CD785-04C5-4312-B94E-1942C259877D}"/>
    <cellStyle name="40% - Énfasis5 6 2 4" xfId="6995" xr:uid="{C1E0E334-D9F8-4616-B82A-E7A83D479B85}"/>
    <cellStyle name="40% - Énfasis5 6 2 4 2" xfId="21414" xr:uid="{59D55E1D-5821-42D6-A662-B1A56DCDBBA8}"/>
    <cellStyle name="40% - Énfasis5 6 2 4 3" xfId="27233" xr:uid="{01531422-EFFA-48C4-B03D-0671101A21D2}"/>
    <cellStyle name="40% - Énfasis5 6 2 4 4" xfId="33111" xr:uid="{18930ED4-3106-4918-A151-C4C3C6B7594C}"/>
    <cellStyle name="40% - Énfasis5 6 2 4 5" xfId="38975" xr:uid="{CCDB6E83-F161-4798-BE45-8A4614D15AEB}"/>
    <cellStyle name="40% - Énfasis5 6 2 5" xfId="18668" xr:uid="{A94047DF-983D-4F43-9597-8505BABC115F}"/>
    <cellStyle name="40% - Énfasis5 6 2 6" xfId="24382" xr:uid="{C310D884-1FE9-4960-8C57-E89E0B954A9C}"/>
    <cellStyle name="40% - Énfasis5 6 2 7" xfId="30260" xr:uid="{8C843254-A917-40D7-807D-F1D746A58423}"/>
    <cellStyle name="40% - Énfasis5 6 2 8" xfId="36139" xr:uid="{5BF91359-0328-4A77-9121-7B4325AFB838}"/>
    <cellStyle name="40% - Énfasis5 6 3" xfId="4423" xr:uid="{993B1370-15C0-4A8E-A975-959D7B3196DD}"/>
    <cellStyle name="40% - Énfasis5 6 3 2" xfId="5389" xr:uid="{5F91E59C-C4DA-411C-8392-884BBAC4B3B0}"/>
    <cellStyle name="40% - Énfasis5 6 3 2 2" xfId="8256" xr:uid="{A7A9E8E0-4C26-4680-B3DC-623B9D88FB0C}"/>
    <cellStyle name="40% - Énfasis5 6 3 2 2 2" xfId="22632" xr:uid="{408E5F14-D7D9-4A6C-9AD1-3FBA9C45DC4A}"/>
    <cellStyle name="40% - Énfasis5 6 3 2 2 3" xfId="28489" xr:uid="{AFE3C4C1-B0ED-46C7-A57A-B488D4BDB6E3}"/>
    <cellStyle name="40% - Énfasis5 6 3 2 2 4" xfId="34371" xr:uid="{3A978AE7-2FD2-4D57-B030-5F244A3BAA5C}"/>
    <cellStyle name="40% - Énfasis5 6 3 2 2 5" xfId="40235" xr:uid="{1ACF3EB1-492E-4D61-9F3A-044CB8FA47FF}"/>
    <cellStyle name="40% - Énfasis5 6 3 2 3" xfId="19856" xr:uid="{4F786C44-2489-462F-9A02-BB5BC7E0538C}"/>
    <cellStyle name="40% - Énfasis5 6 3 2 4" xfId="25640" xr:uid="{BB4F8E67-793E-4AE1-BF4E-0B7D2E8C0B42}"/>
    <cellStyle name="40% - Énfasis5 6 3 2 5" xfId="31514" xr:uid="{A4684C00-7EDD-466E-8D7E-7CA12DC6536A}"/>
    <cellStyle name="40% - Énfasis5 6 3 2 6" xfId="37385" xr:uid="{DD8732C1-C103-46A8-8678-D183747EB6F3}"/>
    <cellStyle name="40% - Énfasis5 6 3 3" xfId="7284" xr:uid="{28954BC5-1D95-4D00-ADB0-BAD7E91D29FA}"/>
    <cellStyle name="40% - Énfasis5 6 3 3 2" xfId="21691" xr:uid="{F64A9C63-854C-4F67-BFF4-A24754D32675}"/>
    <cellStyle name="40% - Énfasis5 6 3 3 3" xfId="27518" xr:uid="{6B3B7C50-B348-4DD4-A899-EC460D9BD716}"/>
    <cellStyle name="40% - Énfasis5 6 3 3 4" xfId="33400" xr:uid="{C3246FDC-CE12-49F0-8532-549340EB41D0}"/>
    <cellStyle name="40% - Énfasis5 6 3 3 5" xfId="39264" xr:uid="{238DFFC6-2891-48AF-AA5A-E261FA9D48CB}"/>
    <cellStyle name="40% - Énfasis5 6 3 4" xfId="18925" xr:uid="{4778108D-0BA8-432F-B77C-321A6A689418}"/>
    <cellStyle name="40% - Énfasis5 6 3 5" xfId="24669" xr:uid="{D492372E-18FA-4622-81FF-B04C7AC7F417}"/>
    <cellStyle name="40% - Énfasis5 6 3 6" xfId="30548" xr:uid="{E68B2EB5-4ACF-4EC8-80CC-3EA70135494F}"/>
    <cellStyle name="40% - Énfasis5 6 3 7" xfId="36428" xr:uid="{1E5DD4D8-0C50-4C10-865E-523CEAAF6684}"/>
    <cellStyle name="40% - Énfasis5 6 4" xfId="4904" xr:uid="{35BF648A-6F70-4DDB-880B-712D69E9DD37}"/>
    <cellStyle name="40% - Énfasis5 6 4 2" xfId="7771" xr:uid="{74D97D3D-0413-45C3-B62E-39EBD3F29591}"/>
    <cellStyle name="40% - Énfasis5 6 4 2 2" xfId="22161" xr:uid="{E2BAB7EC-D54B-4047-8363-6504F45071E3}"/>
    <cellStyle name="40% - Énfasis5 6 4 2 3" xfId="28004" xr:uid="{575A5424-E48C-42A4-8DE9-ABA124CC09E8}"/>
    <cellStyle name="40% - Énfasis5 6 4 2 4" xfId="33886" xr:uid="{DA069270-AB9E-4A25-9901-90B840A71CEC}"/>
    <cellStyle name="40% - Énfasis5 6 4 2 5" xfId="39750" xr:uid="{DCFB3802-B5A4-47A8-BA92-F2C9699780F5}"/>
    <cellStyle name="40% - Énfasis5 6 4 3" xfId="19387" xr:uid="{3B2928EE-BCC5-4247-AAFA-FAA02C3F307D}"/>
    <cellStyle name="40% - Énfasis5 6 4 4" xfId="25155" xr:uid="{FC6C9C54-4563-4801-AAB5-5D7710333C28}"/>
    <cellStyle name="40% - Énfasis5 6 4 5" xfId="31029" xr:uid="{9E465FD9-CE33-4EBE-9C4A-055E164DFDA4}"/>
    <cellStyle name="40% - Énfasis5 6 4 6" xfId="36908" xr:uid="{A8C09049-0FAA-4DC9-8261-F06CD993A090}"/>
    <cellStyle name="40% - Énfasis5 6 5" xfId="5914" xr:uid="{BFE7D1DC-3A7C-4BDD-A011-60D924F62203}"/>
    <cellStyle name="40% - Énfasis5 6 5 2" xfId="8783" xr:uid="{17302501-83BD-40B4-9669-23CA0BAA8E4A}"/>
    <cellStyle name="40% - Énfasis5 6 5 2 2" xfId="23151" xr:uid="{9A9C60CB-2064-4871-B940-FB8744B45AC4}"/>
    <cellStyle name="40% - Énfasis5 6 5 2 3" xfId="29015" xr:uid="{F86EDD46-11DC-4001-800E-05A0E387C39B}"/>
    <cellStyle name="40% - Énfasis5 6 5 2 4" xfId="34897" xr:uid="{2277C81E-AF97-49DB-8155-C33BADB4A076}"/>
    <cellStyle name="40% - Énfasis5 6 5 2 5" xfId="40761" xr:uid="{C33D11D4-35C3-45E1-9944-539F62E9BB1E}"/>
    <cellStyle name="40% - Énfasis5 6 5 3" xfId="20365" xr:uid="{23BF0448-F7EE-49D9-B73E-49E0C57C9C8E}"/>
    <cellStyle name="40% - Énfasis5 6 5 4" xfId="26165" xr:uid="{F6A654C4-5FDC-4628-B862-C1C9BEAA1D46}"/>
    <cellStyle name="40% - Énfasis5 6 5 5" xfId="32040" xr:uid="{3175A02C-7BC8-4E37-AD62-A424333A6E11}"/>
    <cellStyle name="40% - Énfasis5 6 5 6" xfId="37906" xr:uid="{5E8BBEA4-0B59-4A9B-8CC1-E0F17C47967D}"/>
    <cellStyle name="40% - Énfasis5 6 6" xfId="6800" xr:uid="{1DD6D93A-2E2F-45A8-A371-BD0901C4296F}"/>
    <cellStyle name="40% - Énfasis5 6 6 2" xfId="21224" xr:uid="{96889287-9A20-4926-85D4-D7055FE10383}"/>
    <cellStyle name="40% - Énfasis5 6 6 3" xfId="27039" xr:uid="{68214130-CB47-4506-8D7E-50A826BCD632}"/>
    <cellStyle name="40% - Énfasis5 6 6 4" xfId="32915" xr:uid="{328E32BE-2C50-47D6-99FD-BB3A17A768FF}"/>
    <cellStyle name="40% - Énfasis5 6 6 5" xfId="38779" xr:uid="{AC12457A-FAEC-472D-A287-48FD57B0D5BD}"/>
    <cellStyle name="40% - Énfasis5 6 7" xfId="18471" xr:uid="{507718C0-72FC-4D9E-9138-888760ABE130}"/>
    <cellStyle name="40% - Énfasis5 6 8" xfId="24179" xr:uid="{C451E219-99C2-435A-A9BC-AE9763B85542}"/>
    <cellStyle name="40% - Énfasis5 6 9" xfId="30057" xr:uid="{BA2F1A0D-2691-4526-AA88-28D820CA0F6B}"/>
    <cellStyle name="40% - Énfasis5 7" xfId="3971" xr:uid="{6F16E4A7-FF60-451A-86B5-F92F3FA19B83}"/>
    <cellStyle name="40% - Énfasis5 7 10" xfId="35963" xr:uid="{0FF8A953-2ED5-438B-A588-622CC23FE411}"/>
    <cellStyle name="40% - Énfasis5 7 2" xfId="4163" xr:uid="{E2EFE69A-3ECF-45AE-8FBE-ED2C2E669025}"/>
    <cellStyle name="40% - Énfasis5 7 2 2" xfId="4641" xr:uid="{6AEF00DF-6E04-497F-83D6-B2C31172524C}"/>
    <cellStyle name="40% - Énfasis5 7 2 2 2" xfId="5609" xr:uid="{84ECE3B5-1458-4EF1-BF1E-DE716476E198}"/>
    <cellStyle name="40% - Énfasis5 7 2 2 2 2" xfId="8476" xr:uid="{85DEB927-879A-4545-9E3F-6B7B27E50F10}"/>
    <cellStyle name="40% - Énfasis5 7 2 2 2 2 2" xfId="22851" xr:uid="{5D70F72B-CDF7-4AE2-AE63-502B13A99FA4}"/>
    <cellStyle name="40% - Énfasis5 7 2 2 2 2 3" xfId="28709" xr:uid="{9949CAC5-F2B3-4C31-8290-A8A1D0A005E5}"/>
    <cellStyle name="40% - Énfasis5 7 2 2 2 2 4" xfId="34591" xr:uid="{DF296BE8-5A0B-45E0-9D95-B4F7416FE87D}"/>
    <cellStyle name="40% - Énfasis5 7 2 2 2 2 5" xfId="40455" xr:uid="{31C6DA2E-AEAE-4F2B-BEB1-5C7D355010CD}"/>
    <cellStyle name="40% - Énfasis5 7 2 2 2 3" xfId="20068" xr:uid="{FB6CEE1B-CC71-42C9-B6F0-6CFE07B64D4D}"/>
    <cellStyle name="40% - Énfasis5 7 2 2 2 4" xfId="25860" xr:uid="{11AD62F1-A045-4CF0-9964-663C2E104431}"/>
    <cellStyle name="40% - Énfasis5 7 2 2 2 5" xfId="31734" xr:uid="{2CB37947-A5A6-4422-88C0-4442CA533307}"/>
    <cellStyle name="40% - Énfasis5 7 2 2 2 6" xfId="37604" xr:uid="{6A2C1327-7539-4E47-B990-FEEA5F98498D}"/>
    <cellStyle name="40% - Énfasis5 7 2 2 3" xfId="7504" xr:uid="{28A94D56-96C0-4CC1-A89B-73C417A79E18}"/>
    <cellStyle name="40% - Énfasis5 7 2 2 3 2" xfId="21905" xr:uid="{A81CCE86-7FA8-4E61-987D-5613588599C4}"/>
    <cellStyle name="40% - Énfasis5 7 2 2 3 3" xfId="27738" xr:uid="{06A2767C-DA10-48FF-AC6C-AB9D3C11B3DA}"/>
    <cellStyle name="40% - Énfasis5 7 2 2 3 4" xfId="33620" xr:uid="{A4444369-E645-4C4A-AB4D-643DD3C7788C}"/>
    <cellStyle name="40% - Énfasis5 7 2 2 3 5" xfId="39484" xr:uid="{31EAF6BD-9AB7-428D-8A33-BE64F59972F6}"/>
    <cellStyle name="40% - Énfasis5 7 2 2 4" xfId="19135" xr:uid="{C7857C01-6E0F-46DA-BD96-FA604717CCD0}"/>
    <cellStyle name="40% - Énfasis5 7 2 2 5" xfId="24889" xr:uid="{6FE6F38D-920E-43AB-8AF4-A9AD733FDAED}"/>
    <cellStyle name="40% - Énfasis5 7 2 2 6" xfId="30765" xr:uid="{C4210129-11C6-49D7-ADDF-B22415AA232C}"/>
    <cellStyle name="40% - Énfasis5 7 2 2 7" xfId="36647" xr:uid="{60D193B1-45A6-4D1D-976B-061101E9D53A}"/>
    <cellStyle name="40% - Énfasis5 7 2 3" xfId="5124" xr:uid="{4408EDDE-8299-447D-A14D-8476A189AB12}"/>
    <cellStyle name="40% - Énfasis5 7 2 3 2" xfId="7991" xr:uid="{D7338024-D33A-4FE2-8F72-9996A6774CF2}"/>
    <cellStyle name="40% - Énfasis5 7 2 3 2 2" xfId="22376" xr:uid="{2B1B840C-1C4A-4C99-B021-8363998125E9}"/>
    <cellStyle name="40% - Énfasis5 7 2 3 2 3" xfId="28224" xr:uid="{8450082B-F7C9-4270-AAAD-8737C32CD51F}"/>
    <cellStyle name="40% - Énfasis5 7 2 3 2 4" xfId="34106" xr:uid="{622D6D2B-A42F-4475-9645-5E978EFE4F30}"/>
    <cellStyle name="40% - Énfasis5 7 2 3 2 5" xfId="39970" xr:uid="{821BA2D9-95CD-4CCB-B9CB-405F5EBD1C49}"/>
    <cellStyle name="40% - Énfasis5 7 2 3 3" xfId="19599" xr:uid="{791E9F77-7DE6-4FB7-ABCB-94145DF37C5E}"/>
    <cellStyle name="40% - Énfasis5 7 2 3 4" xfId="25375" xr:uid="{7402F082-35B0-4AD7-9F63-9BFB8F40D29C}"/>
    <cellStyle name="40% - Énfasis5 7 2 3 5" xfId="31249" xr:uid="{2C67D429-B6B5-4118-85CF-CE963691F703}"/>
    <cellStyle name="40% - Énfasis5 7 2 3 6" xfId="37127" xr:uid="{BD0C9041-276D-4219-87B3-FD9C09CCBE80}"/>
    <cellStyle name="40% - Énfasis5 7 2 4" xfId="7019" xr:uid="{D2D72CE3-FAF8-47A3-9947-7705D49F43BE}"/>
    <cellStyle name="40% - Énfasis5 7 2 4 2" xfId="21436" xr:uid="{C9B120EE-AA78-405B-B9E1-15E034EB6E48}"/>
    <cellStyle name="40% - Énfasis5 7 2 4 3" xfId="27257" xr:uid="{6F0BC6C8-CC87-4D03-ACE7-E7B6489E1B18}"/>
    <cellStyle name="40% - Énfasis5 7 2 4 4" xfId="33135" xr:uid="{1589531B-A39B-4E58-9EF2-636A5791BA9B}"/>
    <cellStyle name="40% - Énfasis5 7 2 4 5" xfId="38999" xr:uid="{C5BDBDAB-4AEB-4580-AAE9-9A855AA7BDAE}"/>
    <cellStyle name="40% - Énfasis5 7 2 5" xfId="18691" xr:uid="{68305F96-3267-4B6F-B957-861203F38EDB}"/>
    <cellStyle name="40% - Énfasis5 7 2 6" xfId="24406" xr:uid="{EBB74C86-A48C-407A-B9FD-3D1DED15E9F8}"/>
    <cellStyle name="40% - Énfasis5 7 2 7" xfId="30283" xr:uid="{0D83F119-7758-4F01-B173-39EB638B8626}"/>
    <cellStyle name="40% - Énfasis5 7 2 8" xfId="36163" xr:uid="{A1BA36AB-2094-44A5-9ACD-E9E3D59C9858}"/>
    <cellStyle name="40% - Énfasis5 7 3" xfId="4446" xr:uid="{87F7E7F9-62FC-454C-BF54-75C3989C110E}"/>
    <cellStyle name="40% - Énfasis5 7 3 2" xfId="5413" xr:uid="{2F281D74-3B15-4BC8-B3AE-D9F4D1F47F4A}"/>
    <cellStyle name="40% - Énfasis5 7 3 2 2" xfId="8280" xr:uid="{1D3DC642-0918-4B98-A794-AB2E75F89DC1}"/>
    <cellStyle name="40% - Énfasis5 7 3 2 2 2" xfId="22656" xr:uid="{4F037C31-D2AD-44ED-97BD-50845BE7AA9A}"/>
    <cellStyle name="40% - Énfasis5 7 3 2 2 3" xfId="28513" xr:uid="{FCA0B9DF-B9B0-4CD2-879D-D26763727B1A}"/>
    <cellStyle name="40% - Énfasis5 7 3 2 2 4" xfId="34395" xr:uid="{0F4282F0-EA38-4E05-9CDF-47F36F4DF832}"/>
    <cellStyle name="40% - Énfasis5 7 3 2 2 5" xfId="40259" xr:uid="{0AD0C9E7-1FA8-491F-9AE2-508E971F268E}"/>
    <cellStyle name="40% - Énfasis5 7 3 2 3" xfId="19878" xr:uid="{AA8DC112-0092-47F4-9180-E6C4275DCEE1}"/>
    <cellStyle name="40% - Énfasis5 7 3 2 4" xfId="25664" xr:uid="{5BF7D370-1C43-4CCC-8F63-C542DB76E58D}"/>
    <cellStyle name="40% - Énfasis5 7 3 2 5" xfId="31538" xr:uid="{D78E6B63-C5CE-4390-83E1-0BB00B4245EA}"/>
    <cellStyle name="40% - Énfasis5 7 3 2 6" xfId="37409" xr:uid="{B95C6FC2-C9FF-4633-95C4-2041778AB22B}"/>
    <cellStyle name="40% - Énfasis5 7 3 3" xfId="7308" xr:uid="{9F3B97BE-C2B9-49AE-A0AC-377392BA473D}"/>
    <cellStyle name="40% - Énfasis5 7 3 3 2" xfId="21713" xr:uid="{C05CD42E-5FBB-48F8-8F42-981DD3F20266}"/>
    <cellStyle name="40% - Énfasis5 7 3 3 3" xfId="27542" xr:uid="{3CD4904E-7617-4F39-AA25-131082D3A2CF}"/>
    <cellStyle name="40% - Énfasis5 7 3 3 4" xfId="33424" xr:uid="{C7D62A8D-7B7A-46E8-8B23-D4D1276DB100}"/>
    <cellStyle name="40% - Énfasis5 7 3 3 5" xfId="39288" xr:uid="{E7916C2F-5862-4297-BBBD-7DFD08FE4BF6}"/>
    <cellStyle name="40% - Énfasis5 7 3 4" xfId="18949" xr:uid="{E82E3D6A-743E-4429-B6DF-B7D90309431A}"/>
    <cellStyle name="40% - Énfasis5 7 3 5" xfId="24693" xr:uid="{F12E0AA1-00EB-42BD-9CC3-D3543BA19897}"/>
    <cellStyle name="40% - Énfasis5 7 3 6" xfId="30571" xr:uid="{D6B4A48C-B14F-4BB6-B907-9ABB33148EDA}"/>
    <cellStyle name="40% - Énfasis5 7 3 7" xfId="36452" xr:uid="{D194FEEE-5C52-4146-8749-405C2D8E61CC}"/>
    <cellStyle name="40% - Énfasis5 7 4" xfId="4928" xr:uid="{4FA25E1F-CF45-4F90-BC96-156122676280}"/>
    <cellStyle name="40% - Énfasis5 7 4 2" xfId="7795" xr:uid="{6B8653C5-B054-415F-A398-C361619F44AB}"/>
    <cellStyle name="40% - Énfasis5 7 4 2 2" xfId="22183" xr:uid="{06EC9F90-1A93-431A-A3FF-5434A3DF9FBE}"/>
    <cellStyle name="40% - Énfasis5 7 4 2 3" xfId="28028" xr:uid="{D27E98B3-AC49-480D-B4BD-53EC6E9751D9}"/>
    <cellStyle name="40% - Énfasis5 7 4 2 4" xfId="33910" xr:uid="{198D84D3-8BDD-4387-A395-D7A662C3A518}"/>
    <cellStyle name="40% - Énfasis5 7 4 2 5" xfId="39774" xr:uid="{7029A7A6-996F-4B87-9E97-B731401B2EDB}"/>
    <cellStyle name="40% - Énfasis5 7 4 3" xfId="19410" xr:uid="{0AD6355B-E86A-4C84-8DA9-196A9DCF8E67}"/>
    <cellStyle name="40% - Énfasis5 7 4 4" xfId="25179" xr:uid="{F2A19232-905F-4AD1-B127-A42EDF4D57AD}"/>
    <cellStyle name="40% - Énfasis5 7 4 5" xfId="31053" xr:uid="{544730BF-8326-4E57-A162-D2BAACC07E70}"/>
    <cellStyle name="40% - Énfasis5 7 4 6" xfId="36932" xr:uid="{F6FBE202-0029-45CE-B545-64D11CAC4F39}"/>
    <cellStyle name="40% - Énfasis5 7 5" xfId="5938" xr:uid="{792BA6FD-6C4C-40DD-AE5B-7FD2F5D35664}"/>
    <cellStyle name="40% - Énfasis5 7 5 2" xfId="8807" xr:uid="{5B178C1E-B8D7-4A5F-91E9-E1395E157BBE}"/>
    <cellStyle name="40% - Énfasis5 7 5 2 2" xfId="23174" xr:uid="{577EF800-E20F-4F39-9918-6087FC87E18F}"/>
    <cellStyle name="40% - Énfasis5 7 5 2 3" xfId="29039" xr:uid="{1058D25E-65D7-4016-ABD1-3978C83004C6}"/>
    <cellStyle name="40% - Énfasis5 7 5 2 4" xfId="34921" xr:uid="{76DA0B46-55E3-4F8D-92E2-6D480068A9A3}"/>
    <cellStyle name="40% - Énfasis5 7 5 2 5" xfId="40785" xr:uid="{ED472D2B-DA1B-4426-98C0-5A167FD591FD}"/>
    <cellStyle name="40% - Énfasis5 7 5 3" xfId="20388" xr:uid="{271F4186-47AF-4AA2-9FB3-3541F91CD66C}"/>
    <cellStyle name="40% - Énfasis5 7 5 4" xfId="26189" xr:uid="{C99D2233-5E0E-47F9-AC27-29CCA2F524AD}"/>
    <cellStyle name="40% - Énfasis5 7 5 5" xfId="32064" xr:uid="{7F33140F-6817-4CD4-8A92-A04AC262CC92}"/>
    <cellStyle name="40% - Énfasis5 7 5 6" xfId="37930" xr:uid="{DA2F297F-6739-4F5B-8AC9-C7BB74788666}"/>
    <cellStyle name="40% - Énfasis5 7 6" xfId="6824" xr:uid="{2F5CE764-BE3D-4C05-B67B-6AAFB7FA038A}"/>
    <cellStyle name="40% - Énfasis5 7 6 2" xfId="21247" xr:uid="{A0B532A2-3F39-4BD9-89AF-6F5520BC4FB6}"/>
    <cellStyle name="40% - Énfasis5 7 6 3" xfId="27063" xr:uid="{1ECD51CC-87E8-4C1A-BFEB-4CD30A32803B}"/>
    <cellStyle name="40% - Énfasis5 7 6 4" xfId="32939" xr:uid="{07F84CFC-F4C8-480C-9F54-9B726568C2C8}"/>
    <cellStyle name="40% - Énfasis5 7 6 5" xfId="38803" xr:uid="{4D5A7623-F1F2-4A76-897F-0B01551711B2}"/>
    <cellStyle name="40% - Énfasis5 7 7" xfId="18497" xr:uid="{38F1F788-D574-45FC-8C76-D010E94AD64C}"/>
    <cellStyle name="40% - Énfasis5 7 8" xfId="24205" xr:uid="{902866CC-4489-497C-8945-45E308932EBC}"/>
    <cellStyle name="40% - Énfasis5 7 9" xfId="30083" xr:uid="{0C579229-50C1-4167-B777-504772C096F5}"/>
    <cellStyle name="40% - Énfasis5 8" xfId="3997" xr:uid="{1668B5E7-AA21-423A-8E26-01F684BA8E0E}"/>
    <cellStyle name="40% - Énfasis5 8 10" xfId="35991" xr:uid="{238A8A30-8C6E-4159-85F0-53318DDD5B90}"/>
    <cellStyle name="40% - Énfasis5 8 2" xfId="4189" xr:uid="{614018C7-5DCE-47C7-AA24-1318C0713A36}"/>
    <cellStyle name="40% - Énfasis5 8 2 2" xfId="4667" xr:uid="{B52F6283-50D3-444A-910E-B4F691F86420}"/>
    <cellStyle name="40% - Énfasis5 8 2 2 2" xfId="5635" xr:uid="{2F1D65F3-FA15-47EE-873A-801279F8EB74}"/>
    <cellStyle name="40% - Énfasis5 8 2 2 2 2" xfId="8502" xr:uid="{A96816EE-BA51-459A-86B8-4E56DFD051D9}"/>
    <cellStyle name="40% - Énfasis5 8 2 2 2 2 2" xfId="22876" xr:uid="{B6E94928-7023-4EAC-87EB-400B83705083}"/>
    <cellStyle name="40% - Énfasis5 8 2 2 2 2 3" xfId="28735" xr:uid="{465FF6DC-32C4-47B9-9D2C-C4FDE8EE9C4F}"/>
    <cellStyle name="40% - Énfasis5 8 2 2 2 2 4" xfId="34617" xr:uid="{BB945EAA-2DB7-4AD3-AFA7-7273D04C42BE}"/>
    <cellStyle name="40% - Énfasis5 8 2 2 2 2 5" xfId="40481" xr:uid="{07A0C64E-62A9-45AE-9DBC-B284D2ED6861}"/>
    <cellStyle name="40% - Énfasis5 8 2 2 2 3" xfId="20094" xr:uid="{EE28CB18-DDE7-4253-83B0-9C075FC0FA15}"/>
    <cellStyle name="40% - Énfasis5 8 2 2 2 4" xfId="25886" xr:uid="{8A717125-CF16-466E-8E9E-A391784F3F91}"/>
    <cellStyle name="40% - Énfasis5 8 2 2 2 5" xfId="31760" xr:uid="{8549DA06-1D46-4D1E-B43D-F3216A7EC84A}"/>
    <cellStyle name="40% - Énfasis5 8 2 2 2 6" xfId="37629" xr:uid="{8B028439-57BD-4CA0-8370-C33C571AD877}"/>
    <cellStyle name="40% - Énfasis5 8 2 2 3" xfId="7530" xr:uid="{8FAC9984-063C-4660-BC66-FDE94FEF27B0}"/>
    <cellStyle name="40% - Énfasis5 8 2 2 3 2" xfId="21930" xr:uid="{AE99D0F5-6B92-415D-8E9C-09C3BDEBC402}"/>
    <cellStyle name="40% - Énfasis5 8 2 2 3 3" xfId="27764" xr:uid="{75F8E699-3FD8-4CAC-8BA1-9374EB4AB825}"/>
    <cellStyle name="40% - Énfasis5 8 2 2 3 4" xfId="33646" xr:uid="{C358D213-4107-49B7-A2D7-48620BC698B5}"/>
    <cellStyle name="40% - Énfasis5 8 2 2 3 5" xfId="39510" xr:uid="{0CAA69FA-57B0-4675-BCCC-778F4B6E6CE2}"/>
    <cellStyle name="40% - Énfasis5 8 2 2 4" xfId="19159" xr:uid="{91C43A67-1AC7-40CD-B0E9-402069AC06BC}"/>
    <cellStyle name="40% - Énfasis5 8 2 2 5" xfId="24915" xr:uid="{E56BFC8B-81C5-451F-B592-F65EF2CF2642}"/>
    <cellStyle name="40% - Énfasis5 8 2 2 6" xfId="30791" xr:uid="{7EED8B09-71B0-443E-9970-F294FB14F233}"/>
    <cellStyle name="40% - Énfasis5 8 2 2 7" xfId="36672" xr:uid="{C9FC4CF4-FA5E-49D8-B509-E6080C43E5DE}"/>
    <cellStyle name="40% - Énfasis5 8 2 3" xfId="5150" xr:uid="{F3F616B1-5DE8-4694-B789-3A28219EBC0F}"/>
    <cellStyle name="40% - Énfasis5 8 2 3 2" xfId="8017" xr:uid="{13189CB4-5F18-44BB-B15E-3E9DB65D4A1E}"/>
    <cellStyle name="40% - Énfasis5 8 2 3 2 2" xfId="22401" xr:uid="{338FE0F7-5798-4EFD-9E52-864EF4961621}"/>
    <cellStyle name="40% - Énfasis5 8 2 3 2 3" xfId="28250" xr:uid="{CACC1BD2-6589-4E19-B171-E0B40015CEC7}"/>
    <cellStyle name="40% - Énfasis5 8 2 3 2 4" xfId="34132" xr:uid="{42DABD86-8D6B-494F-AF60-EFB6A850A64A}"/>
    <cellStyle name="40% - Énfasis5 8 2 3 2 5" xfId="39996" xr:uid="{EF3B0CBD-06FC-40DC-B3C9-41BDFFBC2CD3}"/>
    <cellStyle name="40% - Énfasis5 8 2 3 3" xfId="19624" xr:uid="{BB61DE03-CC23-4B87-9449-9B32752C0676}"/>
    <cellStyle name="40% - Énfasis5 8 2 3 4" xfId="25401" xr:uid="{823F865E-FE52-4401-9649-1231DB146311}"/>
    <cellStyle name="40% - Énfasis5 8 2 3 5" xfId="31275" xr:uid="{6377F893-8EBC-44E5-A055-23746DA58EA9}"/>
    <cellStyle name="40% - Énfasis5 8 2 3 6" xfId="37152" xr:uid="{0AEA435A-502A-4E94-90B6-E77AFC866151}"/>
    <cellStyle name="40% - Énfasis5 8 2 4" xfId="7045" xr:uid="{09D6171D-A670-436F-8750-A6F9D1719F08}"/>
    <cellStyle name="40% - Énfasis5 8 2 4 2" xfId="21461" xr:uid="{96CE7DEB-5369-47DD-AAE6-EA2E94F47FD3}"/>
    <cellStyle name="40% - Énfasis5 8 2 4 3" xfId="27282" xr:uid="{A31539C7-1842-418D-830C-041AE22F1ABF}"/>
    <cellStyle name="40% - Énfasis5 8 2 4 4" xfId="33161" xr:uid="{238A520F-5C81-44B1-A44A-9DAF777F49B1}"/>
    <cellStyle name="40% - Énfasis5 8 2 4 5" xfId="39025" xr:uid="{A69A3E3E-03DA-4D53-8C48-E3A7C9A18426}"/>
    <cellStyle name="40% - Énfasis5 8 2 5" xfId="18716" xr:uid="{FA53A65C-45F6-48B2-B9A7-6FC907520395}"/>
    <cellStyle name="40% - Énfasis5 8 2 6" xfId="24432" xr:uid="{2073D2A1-A99E-4DB6-A6B1-696167970463}"/>
    <cellStyle name="40% - Énfasis5 8 2 7" xfId="30309" xr:uid="{6A7B60D7-8534-4480-8FF3-F3E09543E583}"/>
    <cellStyle name="40% - Énfasis5 8 2 8" xfId="36189" xr:uid="{39996675-EEEB-458F-BF40-26633405CA91}"/>
    <cellStyle name="40% - Énfasis5 8 3" xfId="4471" xr:uid="{20E3A59B-716F-48A8-9DA7-950744B98747}"/>
    <cellStyle name="40% - Énfasis5 8 3 2" xfId="5439" xr:uid="{0D2B2C50-F202-4B97-8CE3-7859E7EC9C34}"/>
    <cellStyle name="40% - Énfasis5 8 3 2 2" xfId="8306" xr:uid="{E351860E-5DE7-49E2-A976-E9AB089D9908}"/>
    <cellStyle name="40% - Énfasis5 8 3 2 2 2" xfId="22682" xr:uid="{D3891CDF-F5DA-463D-A24A-2BF0917B783E}"/>
    <cellStyle name="40% - Énfasis5 8 3 2 2 3" xfId="28539" xr:uid="{82CAB77E-29A3-461E-A015-1D8776015B33}"/>
    <cellStyle name="40% - Énfasis5 8 3 2 2 4" xfId="34421" xr:uid="{1D7E2213-DA90-4D4C-AECE-09BDACE8637E}"/>
    <cellStyle name="40% - Énfasis5 8 3 2 2 5" xfId="40285" xr:uid="{7F952933-E6FC-4F6E-88C5-775D79D19C35}"/>
    <cellStyle name="40% - Énfasis5 8 3 2 3" xfId="19903" xr:uid="{DC08704D-2EAA-46E2-9BB6-AA23EF62AC46}"/>
    <cellStyle name="40% - Énfasis5 8 3 2 4" xfId="25690" xr:uid="{D5A94219-7995-4969-AF48-80FA33F2287C}"/>
    <cellStyle name="40% - Énfasis5 8 3 2 5" xfId="31564" xr:uid="{6F3EF2A8-BA4A-47DA-A967-1F51C35FE953}"/>
    <cellStyle name="40% - Énfasis5 8 3 2 6" xfId="37435" xr:uid="{34A2631D-0F66-4680-8327-36C1B34BC8C1}"/>
    <cellStyle name="40% - Énfasis5 8 3 3" xfId="7334" xr:uid="{D7C49401-C07D-441A-BD48-0C0AA8586769}"/>
    <cellStyle name="40% - Énfasis5 8 3 3 2" xfId="21738" xr:uid="{CD743A21-EB27-440A-A740-FE6647719852}"/>
    <cellStyle name="40% - Énfasis5 8 3 3 3" xfId="27568" xr:uid="{C63E3C61-C68C-4032-AC4C-CBB0DC0FD7E7}"/>
    <cellStyle name="40% - Énfasis5 8 3 3 4" xfId="33450" xr:uid="{0A9DC610-C000-43F4-9D29-901E622D2429}"/>
    <cellStyle name="40% - Énfasis5 8 3 3 5" xfId="39314" xr:uid="{04F6DF56-D27E-47BF-9752-F3130B22CAC7}"/>
    <cellStyle name="40% - Énfasis5 8 3 4" xfId="18975" xr:uid="{8D3E5928-DD10-418B-ABB8-3BA94536E14B}"/>
    <cellStyle name="40% - Énfasis5 8 3 5" xfId="24719" xr:uid="{C90FC8F6-71CF-4FFE-A5B6-C5C7A9C13130}"/>
    <cellStyle name="40% - Énfasis5 8 3 6" xfId="30597" xr:uid="{952E3585-1EDB-427B-A3E9-09D10E31897A}"/>
    <cellStyle name="40% - Énfasis5 8 3 7" xfId="36478" xr:uid="{82164FA4-2FC4-40C0-A941-B6D4F2ABF46C}"/>
    <cellStyle name="40% - Énfasis5 8 4" xfId="4954" xr:uid="{5F39B0AD-22EC-4BD2-87D3-E7B7FD603E0C}"/>
    <cellStyle name="40% - Énfasis5 8 4 2" xfId="7821" xr:uid="{D72CE162-6946-4BD6-B9FB-36796A3D58C3}"/>
    <cellStyle name="40% - Énfasis5 8 4 2 2" xfId="22208" xr:uid="{A50641A1-E685-47BF-80B4-79C4A4CBE62D}"/>
    <cellStyle name="40% - Énfasis5 8 4 2 3" xfId="28054" xr:uid="{BE5256FE-449B-4436-9301-CB515B5AB3D6}"/>
    <cellStyle name="40% - Énfasis5 8 4 2 4" xfId="33936" xr:uid="{224205AF-88E2-459A-ABC0-CD8501E21A01}"/>
    <cellStyle name="40% - Énfasis5 8 4 2 5" xfId="39800" xr:uid="{63FEB21A-BCF0-4F3C-80D9-5504ED1E7F9F}"/>
    <cellStyle name="40% - Énfasis5 8 4 3" xfId="19436" xr:uid="{A89756B2-670D-4A84-81E1-0672A458FF3B}"/>
    <cellStyle name="40% - Énfasis5 8 4 4" xfId="25205" xr:uid="{FEEE828C-1ADE-4957-A547-CD9D4F9E9444}"/>
    <cellStyle name="40% - Énfasis5 8 4 5" xfId="31079" xr:uid="{B315DFF6-A6F9-4032-9217-D5D65498478C}"/>
    <cellStyle name="40% - Énfasis5 8 4 6" xfId="36958" xr:uid="{B54C783A-A62B-4C87-ACA5-56A1ABB7B6D1}"/>
    <cellStyle name="40% - Énfasis5 8 5" xfId="5964" xr:uid="{744B244C-7664-4C31-91A9-2F368A7144F7}"/>
    <cellStyle name="40% - Énfasis5 8 5 2" xfId="8833" xr:uid="{11D2B2D9-7EF8-4516-8CDA-56DB9D60C77F}"/>
    <cellStyle name="40% - Énfasis5 8 5 2 2" xfId="23198" xr:uid="{BC9EFB52-311B-4C01-9559-A4EFCD650223}"/>
    <cellStyle name="40% - Énfasis5 8 5 2 3" xfId="29065" xr:uid="{DB47A82E-BC96-442C-A6EE-1FFD7ABFDF3D}"/>
    <cellStyle name="40% - Énfasis5 8 5 2 4" xfId="34947" xr:uid="{26E970A1-8C8A-46CD-8AA8-E221DF120130}"/>
    <cellStyle name="40% - Énfasis5 8 5 2 5" xfId="40811" xr:uid="{8BDA8D44-2478-4CD8-8BDE-94D63CA0662E}"/>
    <cellStyle name="40% - Énfasis5 8 5 3" xfId="20414" xr:uid="{BA8CCE47-EA87-402A-8F07-26EF8852D8E1}"/>
    <cellStyle name="40% - Énfasis5 8 5 4" xfId="26215" xr:uid="{F4C586D1-6DB9-47D9-9699-CC3EE3CA7D91}"/>
    <cellStyle name="40% - Énfasis5 8 5 5" xfId="32090" xr:uid="{31481B7D-DEE2-41FD-9DE9-E02D81CFBCC0}"/>
    <cellStyle name="40% - Énfasis5 8 5 6" xfId="37955" xr:uid="{0CA80B8F-6328-45F7-BDB1-DF082E36A795}"/>
    <cellStyle name="40% - Énfasis5 8 6" xfId="6850" xr:uid="{16A29D5A-6BC1-495C-9C77-25AC477B44F0}"/>
    <cellStyle name="40% - Énfasis5 8 6 2" xfId="21273" xr:uid="{33A68BDF-87E2-482B-BA9F-BE93C6A1EE10}"/>
    <cellStyle name="40% - Énfasis5 8 6 3" xfId="27088" xr:uid="{3CA22641-1FEF-4D97-8FBF-772E7E932DDF}"/>
    <cellStyle name="40% - Énfasis5 8 6 4" xfId="32965" xr:uid="{023802B9-7B87-4454-AD54-8443230CA724}"/>
    <cellStyle name="40% - Énfasis5 8 6 5" xfId="38829" xr:uid="{E692AD72-007D-4180-BCE1-E957D470020C}"/>
    <cellStyle name="40% - Énfasis5 8 7" xfId="18524" xr:uid="{A896D3BC-000A-4B56-8BAC-47E3FC60025C}"/>
    <cellStyle name="40% - Énfasis5 8 8" xfId="24233" xr:uid="{51D8FB8C-56E9-4E8E-B41A-14F1FC260ECF}"/>
    <cellStyle name="40% - Énfasis5 8 9" xfId="30111" xr:uid="{F306A64C-88FA-4728-977F-BAD3D688D151}"/>
    <cellStyle name="40% - Énfasis5 9" xfId="4021" xr:uid="{292A8149-B4C0-404F-9C2A-5FDF4DE6493B}"/>
    <cellStyle name="40% - Énfasis5 9 2" xfId="4492" xr:uid="{C5A9E374-EE02-42B2-BDB7-B64DF1EA8CDA}"/>
    <cellStyle name="40% - Énfasis5 9 2 2" xfId="5460" xr:uid="{EBB88FC8-1B2E-440B-9174-51AEBE187D08}"/>
    <cellStyle name="40% - Énfasis5 9 2 2 2" xfId="8327" xr:uid="{94F60843-2F09-4F77-BA09-5A53C9286B87}"/>
    <cellStyle name="40% - Énfasis5 9 2 2 2 2" xfId="22703" xr:uid="{860A5F43-03F5-4D54-AE82-33E6B87F3A69}"/>
    <cellStyle name="40% - Énfasis5 9 2 2 2 3" xfId="28560" xr:uid="{9BFFC70D-43C4-4F7A-BEC4-A5185EFEA8A4}"/>
    <cellStyle name="40% - Énfasis5 9 2 2 2 4" xfId="34442" xr:uid="{FFAE95F6-3579-4977-A2BB-5ED764C6F18E}"/>
    <cellStyle name="40% - Énfasis5 9 2 2 2 5" xfId="40306" xr:uid="{8386D601-2C7D-4C5F-8662-E0384F160133}"/>
    <cellStyle name="40% - Énfasis5 9 2 2 3" xfId="19923" xr:uid="{16D55F7F-E28B-4768-AC12-FF32A3DDC816}"/>
    <cellStyle name="40% - Énfasis5 9 2 2 4" xfId="25711" xr:uid="{4C28D72C-AE16-47B7-AF28-0564307F5A35}"/>
    <cellStyle name="40% - Énfasis5 9 2 2 5" xfId="31585" xr:uid="{28857F8B-5540-43F0-9935-B99A9DA70FD5}"/>
    <cellStyle name="40% - Énfasis5 9 2 2 6" xfId="37456" xr:uid="{DFDC6796-C5C7-492A-BD3F-9F73E0C342D2}"/>
    <cellStyle name="40% - Énfasis5 9 2 3" xfId="7355" xr:uid="{3D40B0F3-276F-4E6D-832D-7A1199726E23}"/>
    <cellStyle name="40% - Énfasis5 9 2 3 2" xfId="21758" xr:uid="{63D099B5-B4F4-45FB-9BC1-8951F2F38342}"/>
    <cellStyle name="40% - Énfasis5 9 2 3 3" xfId="27589" xr:uid="{CFA111AF-E00B-4FBD-9956-72EF8F8EAC50}"/>
    <cellStyle name="40% - Énfasis5 9 2 3 4" xfId="33471" xr:uid="{7D6263F0-1CC2-4E6C-AE00-20A7354C06BC}"/>
    <cellStyle name="40% - Énfasis5 9 2 3 5" xfId="39335" xr:uid="{B956A76B-D7A4-4F7B-8B80-2428146309C8}"/>
    <cellStyle name="40% - Énfasis5 9 2 4" xfId="18996" xr:uid="{D7A769CF-C02D-4E20-A867-79B8CF321AF8}"/>
    <cellStyle name="40% - Énfasis5 9 2 5" xfId="24740" xr:uid="{967117EE-2518-417A-B4AD-24E73483AB25}"/>
    <cellStyle name="40% - Énfasis5 9 2 6" xfId="30617" xr:uid="{B840DCC2-E3B3-4747-ADB5-72BE9CAE9A6D}"/>
    <cellStyle name="40% - Énfasis5 9 2 7" xfId="36499" xr:uid="{82A93D8E-C436-4D95-840D-C8AD6BA7D29B}"/>
    <cellStyle name="40% - Énfasis5 9 3" xfId="4975" xr:uid="{AAC1D606-5165-44DF-B1D6-F25427E69064}"/>
    <cellStyle name="40% - Énfasis5 9 3 2" xfId="7842" xr:uid="{D6BED3DD-48E7-4A12-9A4C-3BBF095881F3}"/>
    <cellStyle name="40% - Énfasis5 9 3 2 2" xfId="22228" xr:uid="{AE7A594C-05ED-4BB6-989A-F75DE7108E56}"/>
    <cellStyle name="40% - Énfasis5 9 3 2 3" xfId="28075" xr:uid="{F36B3D20-AC0C-4AAC-8A4E-FDD4441F4221}"/>
    <cellStyle name="40% - Énfasis5 9 3 2 4" xfId="33957" xr:uid="{A03DC94F-C713-4CB1-9E5E-F174D7061DFD}"/>
    <cellStyle name="40% - Énfasis5 9 3 2 5" xfId="39821" xr:uid="{649A51C8-2B82-47AE-AA23-566D1C56C404}"/>
    <cellStyle name="40% - Énfasis5 9 3 3" xfId="19456" xr:uid="{6150140B-030C-4A6C-A76B-DB73FB117C75}"/>
    <cellStyle name="40% - Énfasis5 9 3 4" xfId="25226" xr:uid="{E78489A0-98E6-4B06-B04B-298681B3CDBF}"/>
    <cellStyle name="40% - Énfasis5 9 3 5" xfId="31100" xr:uid="{C1A22CF6-352F-4A51-939A-3FBCB12F0650}"/>
    <cellStyle name="40% - Énfasis5 9 3 6" xfId="36979" xr:uid="{3A4D84C3-D2F5-4384-832D-A696B4BD7F73}"/>
    <cellStyle name="40% - Énfasis5 9 4" xfId="6871" xr:uid="{6D261096-0876-43EB-9EC7-9AEA5FF47215}"/>
    <cellStyle name="40% - Énfasis5 9 4 2" xfId="21293" xr:uid="{FFC7EBB2-4E3C-461E-99E7-3BC55D11D4F0}"/>
    <cellStyle name="40% - Énfasis5 9 4 3" xfId="27109" xr:uid="{D38019FD-B3BC-4AE4-AA32-255FBA4A4CDC}"/>
    <cellStyle name="40% - Énfasis5 9 4 4" xfId="32986" xr:uid="{E7894445-FCDD-4FC0-9BCB-6BC1D251727E}"/>
    <cellStyle name="40% - Énfasis5 9 4 5" xfId="38850" xr:uid="{84612599-1AAD-40AF-B7D5-B6531EE20FC4}"/>
    <cellStyle name="40% - Énfasis5 9 5" xfId="18547" xr:uid="{E917B73A-EB3A-44BA-89CE-4DB7BD5B0E7E}"/>
    <cellStyle name="40% - Énfasis5 9 6" xfId="24257" xr:uid="{03C6E981-7266-4FAA-A55F-C28AE6A8AB4E}"/>
    <cellStyle name="40% - Énfasis5 9 7" xfId="30135" xr:uid="{F9395E7E-0581-42C5-B6C3-6A38AF4C45D2}"/>
    <cellStyle name="40% - Énfasis5 9 8" xfId="36014" xr:uid="{DF68C210-D32D-492A-A240-9AE4D913C933}"/>
    <cellStyle name="40% - Énfasis6" xfId="40" builtinId="51" customBuiltin="1"/>
    <cellStyle name="40% - Énfasis6 10" xfId="4216" xr:uid="{6A3B03FC-242D-498B-9C44-A2C281FF93C5}"/>
    <cellStyle name="40% - Énfasis6 10 2" xfId="4694" xr:uid="{4A207B0F-97DE-4D8A-B412-BC7A689B75E5}"/>
    <cellStyle name="40% - Énfasis6 10 2 2" xfId="5662" xr:uid="{9EFB30A9-BD93-483D-BF00-CA92CC6EC2E4}"/>
    <cellStyle name="40% - Énfasis6 10 2 2 2" xfId="8530" xr:uid="{A54EF019-1A6F-4D08-ABB7-F0B14E4D4E56}"/>
    <cellStyle name="40% - Énfasis6 10 2 2 2 2" xfId="22904" xr:uid="{8D093D20-CCA6-4A91-940D-FB7CE06ED723}"/>
    <cellStyle name="40% - Énfasis6 10 2 2 2 3" xfId="28763" xr:uid="{DAA412FE-22C0-4DB1-9A06-A1D3BDD04C64}"/>
    <cellStyle name="40% - Énfasis6 10 2 2 2 4" xfId="34645" xr:uid="{66ACE02A-7D4D-4457-B0DC-5016A19C479B}"/>
    <cellStyle name="40% - Énfasis6 10 2 2 2 5" xfId="40509" xr:uid="{596FC3A7-5A35-41D1-BBD0-697CB446658A}"/>
    <cellStyle name="40% - Énfasis6 10 2 2 3" xfId="20121" xr:uid="{191B4AE8-084D-453D-8485-736A2C230FF1}"/>
    <cellStyle name="40% - Énfasis6 10 2 2 4" xfId="25913" xr:uid="{8C831723-A436-4E96-8C4C-F8CFF729040C}"/>
    <cellStyle name="40% - Énfasis6 10 2 2 5" xfId="31788" xr:uid="{1AFD8432-865A-4AD0-A0EA-2D333A1548BB}"/>
    <cellStyle name="40% - Énfasis6 10 2 2 6" xfId="37657" xr:uid="{025C971F-2D8D-48D7-BE2F-ACDCBC452E2C}"/>
    <cellStyle name="40% - Énfasis6 10 2 3" xfId="7558" xr:uid="{3094CFBE-2549-41F2-B78F-98EA274670C6}"/>
    <cellStyle name="40% - Énfasis6 10 2 3 2" xfId="21956" xr:uid="{8FD9E5A4-D7EB-4C7A-AA22-3EDD51D0B163}"/>
    <cellStyle name="40% - Énfasis6 10 2 3 3" xfId="27792" xr:uid="{53456097-7F19-4795-A80C-7480E8BBCB1C}"/>
    <cellStyle name="40% - Énfasis6 10 2 3 4" xfId="33674" xr:uid="{39399AD9-0F26-4B75-A0FF-7F5B8F3C5DDB}"/>
    <cellStyle name="40% - Énfasis6 10 2 3 5" xfId="39538" xr:uid="{4599ADC0-9FBF-4C20-A4BE-F099062DBD55}"/>
    <cellStyle name="40% - Énfasis6 10 2 4" xfId="19187" xr:uid="{559A9E5D-25F8-4956-B5E9-8FA560024235}"/>
    <cellStyle name="40% - Énfasis6 10 2 5" xfId="24943" xr:uid="{0532A1A1-8B4B-490E-8E76-C64210221036}"/>
    <cellStyle name="40% - Énfasis6 10 2 6" xfId="30818" xr:uid="{EAB0205F-11B5-456B-AE10-C940DBFFC693}"/>
    <cellStyle name="40% - Énfasis6 10 2 7" xfId="36700" xr:uid="{B11CC2D1-A873-4F66-8C2A-3FB3D029BD39}"/>
    <cellStyle name="40% - Énfasis6 10 3" xfId="5178" xr:uid="{D178A315-7610-4D53-A276-3E9BF91E18CA}"/>
    <cellStyle name="40% - Énfasis6 10 3 2" xfId="8045" xr:uid="{7E111AFA-EE50-4C43-B4C1-58B1A7C9F335}"/>
    <cellStyle name="40% - Énfasis6 10 3 2 2" xfId="22428" xr:uid="{5767C38C-8C35-4DB3-AE5D-A5EE58C48BEF}"/>
    <cellStyle name="40% - Énfasis6 10 3 2 3" xfId="28278" xr:uid="{90CEF4C9-45C0-4DF0-A7CD-1E6389D4BCF7}"/>
    <cellStyle name="40% - Énfasis6 10 3 2 4" xfId="34160" xr:uid="{86FBE663-B5B8-478F-A005-ACA2A6C5E91C}"/>
    <cellStyle name="40% - Énfasis6 10 3 2 5" xfId="40024" xr:uid="{ADEA832E-A7AB-4B7F-8EF2-89EBED3A0793}"/>
    <cellStyle name="40% - Énfasis6 10 3 3" xfId="19651" xr:uid="{D37B7ADB-963E-4589-9BCE-3606D221C857}"/>
    <cellStyle name="40% - Énfasis6 10 3 4" xfId="25429" xr:uid="{ABB40FBA-1930-48E7-A828-79BF9D004994}"/>
    <cellStyle name="40% - Énfasis6 10 3 5" xfId="31303" xr:uid="{E3CAEB97-54AA-498C-8622-37EDED31DD3A}"/>
    <cellStyle name="40% - Énfasis6 10 3 6" xfId="37180" xr:uid="{97B11594-4AED-4A71-881A-DD28C56DA2EC}"/>
    <cellStyle name="40% - Énfasis6 10 4" xfId="7073" xr:uid="{D4489690-0003-4251-9D8A-7888D8452DF2}"/>
    <cellStyle name="40% - Énfasis6 10 4 2" xfId="21488" xr:uid="{F51B3737-37B6-45B5-8C2E-39C710CF03AC}"/>
    <cellStyle name="40% - Énfasis6 10 4 3" xfId="27310" xr:uid="{E3D12253-9CC0-4AE1-AC32-12666F5D63B1}"/>
    <cellStyle name="40% - Énfasis6 10 4 4" xfId="33189" xr:uid="{9B0AF269-61C1-4B32-B931-C98609583208}"/>
    <cellStyle name="40% - Énfasis6 10 4 5" xfId="39053" xr:uid="{2BB4AE98-F694-4E8A-8A1C-F6AEFD1C8FD3}"/>
    <cellStyle name="40% - Énfasis6 10 5" xfId="18744" xr:uid="{6DEE756F-76B1-4059-BC8B-0E7C9A5E215D}"/>
    <cellStyle name="40% - Énfasis6 10 6" xfId="24460" xr:uid="{70C0A122-C6BA-49E4-B1A6-9F82362EC2E7}"/>
    <cellStyle name="40% - Énfasis6 10 7" xfId="30336" xr:uid="{7DEA9B42-B414-4AA5-9D53-86934DCF1EC2}"/>
    <cellStyle name="40% - Énfasis6 10 8" xfId="36217" xr:uid="{FCCCBB59-FDEF-4A9B-A12E-B96563059FBA}"/>
    <cellStyle name="40% - Énfasis6 11" xfId="4252" xr:uid="{8568555A-1A2F-4D27-9258-9CEE874D29A0}"/>
    <cellStyle name="40% - Énfasis6 11 2" xfId="4731" xr:uid="{5F0FDFFF-A6B3-41C8-88DC-0F11719AD7DB}"/>
    <cellStyle name="40% - Énfasis6 11 2 2" xfId="5699" xr:uid="{A68AE5C0-06D9-4855-8950-25FA147B9A8F}"/>
    <cellStyle name="40% - Énfasis6 11 2 2 2" xfId="8567" xr:uid="{080C9971-7154-4B21-AE02-A8E07CF05632}"/>
    <cellStyle name="40% - Énfasis6 11 2 2 2 2" xfId="22939" xr:uid="{34E36C83-AAE0-4B28-99A2-3BDC938CB53F}"/>
    <cellStyle name="40% - Énfasis6 11 2 2 2 3" xfId="28800" xr:uid="{0C2AFC5F-0210-4F42-AE25-E9E1D36B4323}"/>
    <cellStyle name="40% - Énfasis6 11 2 2 2 4" xfId="34682" xr:uid="{4BB9600C-40ED-46A3-AB77-1604829A27E9}"/>
    <cellStyle name="40% - Énfasis6 11 2 2 2 5" xfId="40546" xr:uid="{8F7D7167-4DB3-4C4E-9DD5-CE8163E59FF7}"/>
    <cellStyle name="40% - Énfasis6 11 2 2 3" xfId="20156" xr:uid="{FFEB5703-DC23-438F-B6B7-6DCE2D57FB3B}"/>
    <cellStyle name="40% - Énfasis6 11 2 2 4" xfId="25950" xr:uid="{717AE39E-F35E-4EDE-B06D-1D262BFFB9DF}"/>
    <cellStyle name="40% - Énfasis6 11 2 2 5" xfId="31825" xr:uid="{6D84F32A-F206-4D65-8517-DEBE3BA8DC1F}"/>
    <cellStyle name="40% - Énfasis6 11 2 2 6" xfId="37692" xr:uid="{F6EBE689-5B3F-4DC8-8AF5-7D088586F143}"/>
    <cellStyle name="40% - Énfasis6 11 2 3" xfId="7595" xr:uid="{A2BDAC8F-50EE-45E3-8BDE-9F3C1D62469D}"/>
    <cellStyle name="40% - Énfasis6 11 2 3 2" xfId="21989" xr:uid="{B6558C3B-12D7-4E5F-A95A-3CF68501961D}"/>
    <cellStyle name="40% - Énfasis6 11 2 3 3" xfId="27829" xr:uid="{11C7DB71-3472-452C-BBE4-DDF87E9529AB}"/>
    <cellStyle name="40% - Énfasis6 11 2 3 4" xfId="33711" xr:uid="{E9C6240E-5BDC-486A-935A-B9C848490DFA}"/>
    <cellStyle name="40% - Énfasis6 11 2 3 5" xfId="39575" xr:uid="{DA1232BF-BE40-40F8-BBB4-AA1858E2CD34}"/>
    <cellStyle name="40% - Énfasis6 11 2 4" xfId="19221" xr:uid="{F30C0E70-11D2-4D75-8125-DED909D80A11}"/>
    <cellStyle name="40% - Énfasis6 11 2 5" xfId="24980" xr:uid="{CC018F06-9E33-431F-BCED-E9CB78BC17ED}"/>
    <cellStyle name="40% - Énfasis6 11 2 6" xfId="30854" xr:uid="{FBC5E6B0-3220-4A27-A26B-2E2FE5118B78}"/>
    <cellStyle name="40% - Énfasis6 11 2 7" xfId="36735" xr:uid="{8026C38A-37CA-4CE3-ABDD-156D5510AF0D}"/>
    <cellStyle name="40% - Énfasis6 11 3" xfId="5215" xr:uid="{F9D9C8BD-B728-420A-AE13-9F614C2F106D}"/>
    <cellStyle name="40% - Énfasis6 11 3 2" xfId="8082" xr:uid="{9E4EFA82-0BE9-4461-8DA7-EE2677DA83AE}"/>
    <cellStyle name="40% - Énfasis6 11 3 2 2" xfId="22460" xr:uid="{7C3C6990-ED81-41A3-9DE7-C21D6ABA3CC3}"/>
    <cellStyle name="40% - Énfasis6 11 3 2 3" xfId="28315" xr:uid="{B2CFB0B8-9F88-4052-B1ED-E9F5A5E7057B}"/>
    <cellStyle name="40% - Énfasis6 11 3 2 4" xfId="34197" xr:uid="{0C3823C0-7124-4BBD-BABE-4270AC0072DB}"/>
    <cellStyle name="40% - Énfasis6 11 3 2 5" xfId="40061" xr:uid="{DAC2DCC8-7B9A-4DB1-BE40-52222D9BEAF0}"/>
    <cellStyle name="40% - Énfasis6 11 3 3" xfId="19686" xr:uid="{1F7841DD-B48F-4401-8B48-99371C5A0376}"/>
    <cellStyle name="40% - Énfasis6 11 3 4" xfId="25466" xr:uid="{FA2213A5-535C-4690-91DC-14DECBA2691D}"/>
    <cellStyle name="40% - Énfasis6 11 3 5" xfId="31340" xr:uid="{0839756D-85F6-4198-B46F-3BD32118071B}"/>
    <cellStyle name="40% - Énfasis6 11 3 6" xfId="37213" xr:uid="{8A7B5B71-5FEB-4C56-9237-656E65D98F13}"/>
    <cellStyle name="40% - Énfasis6 11 4" xfId="7110" xr:uid="{969D33E5-C0A8-4F25-91E9-A141693411F9}"/>
    <cellStyle name="40% - Énfasis6 11 4 2" xfId="21522" xr:uid="{2BBB068E-366C-4476-A94D-75C910207436}"/>
    <cellStyle name="40% - Énfasis6 11 4 3" xfId="27345" xr:uid="{D982E6F1-D4E0-477C-B3F7-58CCD63C343F}"/>
    <cellStyle name="40% - Énfasis6 11 4 4" xfId="33226" xr:uid="{25A80C17-C453-4B47-B82C-764B02F1DF39}"/>
    <cellStyle name="40% - Énfasis6 11 4 5" xfId="39090" xr:uid="{4921CC89-C367-4CDA-9B62-907817B36C0E}"/>
    <cellStyle name="40% - Énfasis6 11 5" xfId="18773" xr:uid="{717469D0-FBC8-4CFF-8A6C-AC745AA76F05}"/>
    <cellStyle name="40% - Énfasis6 11 6" xfId="24495" xr:uid="{33EE034F-7886-478F-8667-C4EF45F2EA67}"/>
    <cellStyle name="40% - Énfasis6 11 7" xfId="30373" xr:uid="{E74B0D5D-03A4-49F4-BF8F-380DAD2106AE}"/>
    <cellStyle name="40% - Énfasis6 11 8" xfId="36254" xr:uid="{A4C12386-228C-4279-A98F-310346CCECF6}"/>
    <cellStyle name="40% - Énfasis6 12" xfId="4301" xr:uid="{4A3642B8-9C4A-4086-8DE4-0BC5C0F2B086}"/>
    <cellStyle name="40% - Énfasis6 12 2" xfId="5267" xr:uid="{E0FF9FE0-B777-4815-9285-5597195844F0}"/>
    <cellStyle name="40% - Énfasis6 12 2 2" xfId="8134" xr:uid="{0E26D82A-F7CC-4FA8-884D-59A7A473F9FB}"/>
    <cellStyle name="40% - Énfasis6 12 2 2 2" xfId="22511" xr:uid="{09FCB1EE-43B6-4482-9E6C-3CC59224CE85}"/>
    <cellStyle name="40% - Énfasis6 12 2 2 3" xfId="28367" xr:uid="{9BB1DE44-5EE4-4113-A28D-C90EED3F290A}"/>
    <cellStyle name="40% - Énfasis6 12 2 2 4" xfId="34249" xr:uid="{7C1AC66F-1155-4A79-BD21-D04D3779B51C}"/>
    <cellStyle name="40% - Énfasis6 12 2 2 5" xfId="40113" xr:uid="{441752FB-E1EF-40BD-93B7-128C56659D69}"/>
    <cellStyle name="40% - Énfasis6 12 2 3" xfId="19737" xr:uid="{25077653-B9B4-4B5E-885D-87F15D584118}"/>
    <cellStyle name="40% - Énfasis6 12 2 4" xfId="25518" xr:uid="{280B0652-D3E4-4B1D-9AAD-4158DADF633F}"/>
    <cellStyle name="40% - Énfasis6 12 2 5" xfId="31392" xr:uid="{E4B9970E-2F27-4CB2-9F86-E4EB6895E863}"/>
    <cellStyle name="40% - Énfasis6 12 2 6" xfId="37264" xr:uid="{649E688E-259E-4D6C-AA27-7B8D1FD50A59}"/>
    <cellStyle name="40% - Énfasis6 12 3" xfId="7162" xr:uid="{0F46D543-1C84-4806-AB18-4C0CED62AA95}"/>
    <cellStyle name="40% - Énfasis6 12 3 2" xfId="21573" xr:uid="{A2D60C8A-E96B-4380-A4FA-BB402A62AD39}"/>
    <cellStyle name="40% - Énfasis6 12 3 3" xfId="27396" xr:uid="{8BE8F881-9933-468E-9B0D-A8E5235EFD23}"/>
    <cellStyle name="40% - Énfasis6 12 3 4" xfId="33278" xr:uid="{76FA7AF7-CB75-48A1-8E08-9AE56691EC48}"/>
    <cellStyle name="40% - Énfasis6 12 3 5" xfId="39142" xr:uid="{213155CD-40A4-40CA-8DEC-F7935C946322}"/>
    <cellStyle name="40% - Énfasis6 12 4" xfId="18809" xr:uid="{73F8FECB-F1A3-4C07-955C-7424C445F2D4}"/>
    <cellStyle name="40% - Énfasis6 12 5" xfId="24547" xr:uid="{C01AEF61-0FED-47C6-A98B-2552A0267F4E}"/>
    <cellStyle name="40% - Énfasis6 12 6" xfId="30426" xr:uid="{B2DCEEAC-19BC-4CC8-A609-24B02DDA04FE}"/>
    <cellStyle name="40% - Énfasis6 12 7" xfId="36307" xr:uid="{C558B09A-A828-4E23-A7FC-28AD409F006F}"/>
    <cellStyle name="40% - Énfasis6 13" xfId="4786" xr:uid="{6E8173E6-F7D4-4012-88F3-AB126C25CA8C}"/>
    <cellStyle name="40% - Énfasis6 13 2" xfId="7649" xr:uid="{8DEFDF3B-8B3A-4E5D-BCF9-60A84B8A7932}"/>
    <cellStyle name="40% - Énfasis6 13 2 2" xfId="22042" xr:uid="{DAFAD609-4FC1-477B-BCD0-C642FE98CD11}"/>
    <cellStyle name="40% - Énfasis6 13 2 3" xfId="27883" xr:uid="{AEE86EFE-6632-41EE-93BF-07FAC014C12D}"/>
    <cellStyle name="40% - Énfasis6 13 2 4" xfId="33765" xr:uid="{4FEE17D2-3961-4FC7-8FDA-6915E564F231}"/>
    <cellStyle name="40% - Énfasis6 13 2 5" xfId="39629" xr:uid="{0EE55104-9ED4-466F-B03F-01694F1D9F65}"/>
    <cellStyle name="40% - Énfasis6 13 3" xfId="19268" xr:uid="{2F8181E4-9E85-48B5-BBFF-DC475F6E50E2}"/>
    <cellStyle name="40% - Énfasis6 13 4" xfId="25034" xr:uid="{8884165A-D1B9-4407-BB89-DF3AAF2A1161}"/>
    <cellStyle name="40% - Énfasis6 13 5" xfId="30908" xr:uid="{4EA8A052-8A06-44F4-8F7B-2708DCA32EC6}"/>
    <cellStyle name="40% - Énfasis6 13 6" xfId="36788" xr:uid="{5B0261ED-19C7-422D-8552-FE658585EA18}"/>
    <cellStyle name="40% - Énfasis6 14" xfId="5752" xr:uid="{EFED2439-3600-41F0-88DB-D2AB6A78DA26}"/>
    <cellStyle name="40% - Énfasis6 14 2" xfId="8621" xr:uid="{14F667E7-494A-4898-951A-E6CAF667DCD9}"/>
    <cellStyle name="40% - Énfasis6 14 2 2" xfId="22992" xr:uid="{5D77C7C5-AF33-4C78-B2F5-07CCD5E3137E}"/>
    <cellStyle name="40% - Énfasis6 14 2 3" xfId="28854" xr:uid="{36DF54F0-816D-4E93-B1B7-0CC5061D093E}"/>
    <cellStyle name="40% - Énfasis6 14 2 4" xfId="34736" xr:uid="{778B8402-A489-44E0-8AC9-6489E311220D}"/>
    <cellStyle name="40% - Énfasis6 14 2 5" xfId="40600" xr:uid="{FDF7672E-1182-4E16-9795-426263562BA4}"/>
    <cellStyle name="40% - Énfasis6 14 3" xfId="20210" xr:uid="{9DC31E37-3025-4BC9-8C4B-E634036A5A3C}"/>
    <cellStyle name="40% - Énfasis6 14 4" xfId="26004" xr:uid="{5FC1C836-B018-42A5-B335-5825B283E659}"/>
    <cellStyle name="40% - Énfasis6 14 5" xfId="31879" xr:uid="{A316C42B-FB85-4684-9102-CB3478709F79}"/>
    <cellStyle name="40% - Énfasis6 14 6" xfId="37745" xr:uid="{F3B9EDB2-DA8C-44E0-BF8B-B4BC172A0B78}"/>
    <cellStyle name="40% - Énfasis6 15" xfId="5772" xr:uid="{B151A54A-9171-4277-9C05-0092250337C2}"/>
    <cellStyle name="40% - Énfasis6 15 2" xfId="8641" xr:uid="{B897A4B2-7CF8-479B-B6D8-9324B7731B9F}"/>
    <cellStyle name="40% - Énfasis6 15 2 2" xfId="23012" xr:uid="{4108088E-794D-42AB-8498-D7887D6AD865}"/>
    <cellStyle name="40% - Énfasis6 15 2 3" xfId="28874" xr:uid="{EAA5C485-E0B9-43A8-8D4A-B6229FAA11AE}"/>
    <cellStyle name="40% - Énfasis6 15 2 4" xfId="34756" xr:uid="{A757962D-C8B4-4D09-ACCC-394CDA9758BA}"/>
    <cellStyle name="40% - Énfasis6 15 2 5" xfId="40620" xr:uid="{CFA5D66E-475C-4AD4-B9C8-4EC27A8B46B3}"/>
    <cellStyle name="40% - Énfasis6 15 3" xfId="20229" xr:uid="{F0326EC2-CB44-4F79-A4BA-F6B50642911E}"/>
    <cellStyle name="40% - Énfasis6 15 4" xfId="26024" xr:uid="{543A9F49-EF78-4356-94F0-1929B857987F}"/>
    <cellStyle name="40% - Énfasis6 15 5" xfId="31899" xr:uid="{34482DF1-66C1-47E4-842C-EDCC9FC873E2}"/>
    <cellStyle name="40% - Énfasis6 15 6" xfId="37765" xr:uid="{C19AA9C8-20E5-4CFB-84BE-01CBA8287BF4}"/>
    <cellStyle name="40% - Énfasis6 16" xfId="5792" xr:uid="{64065562-E60D-43A4-9FF2-465EE61E735C}"/>
    <cellStyle name="40% - Énfasis6 16 2" xfId="8661" xr:uid="{9193D352-6D95-4784-AB8B-4DCECD94DEFE}"/>
    <cellStyle name="40% - Énfasis6 16 2 2" xfId="23032" xr:uid="{A811AA9C-AFFB-49E6-8C86-869B14843CE6}"/>
    <cellStyle name="40% - Énfasis6 16 2 3" xfId="28894" xr:uid="{1DA2745A-4D7A-44AB-BBF6-A21BB334F45B}"/>
    <cellStyle name="40% - Énfasis6 16 2 4" xfId="34776" xr:uid="{01D7A766-540C-44FF-8C70-FDAB54E5203A}"/>
    <cellStyle name="40% - Énfasis6 16 2 5" xfId="40640" xr:uid="{89651400-D879-4353-900A-0F0D7C20FB59}"/>
    <cellStyle name="40% - Énfasis6 16 3" xfId="20247" xr:uid="{1CBD1A31-517B-4C1C-9F7C-EFB4EB74A0D7}"/>
    <cellStyle name="40% - Énfasis6 16 4" xfId="26044" xr:uid="{9F6E7566-419F-48A5-BBEE-FFCECC5BEBFC}"/>
    <cellStyle name="40% - Énfasis6 16 5" xfId="31919" xr:uid="{D9E4B14D-793A-4F98-B5CF-FEDE7A078042}"/>
    <cellStyle name="40% - Énfasis6 16 6" xfId="37785" xr:uid="{573F9482-8788-4D32-B3A8-0868D4E1EAC0}"/>
    <cellStyle name="40% - Énfasis6 17" xfId="5991" xr:uid="{5771E210-9AE5-4021-8CF7-E9E4D3A7860F}"/>
    <cellStyle name="40% - Énfasis6 17 2" xfId="8860" xr:uid="{F9DA0DF8-21D7-4F20-91D0-95A3842D19C4}"/>
    <cellStyle name="40% - Énfasis6 17 2 2" xfId="23224" xr:uid="{95302D0B-4430-4F55-8147-CE13A9853353}"/>
    <cellStyle name="40% - Énfasis6 17 2 3" xfId="29091" xr:uid="{E46D8EEA-98FF-49DD-8788-AD44C98195A4}"/>
    <cellStyle name="40% - Énfasis6 17 2 4" xfId="34973" xr:uid="{04FFFB04-D4BC-43B9-96EB-B55E321F57B3}"/>
    <cellStyle name="40% - Énfasis6 17 2 5" xfId="40837" xr:uid="{D6CC2762-0F58-4666-A7BC-713D70B1ED12}"/>
    <cellStyle name="40% - Énfasis6 17 3" xfId="20439" xr:uid="{A968E865-43A0-488B-ADE8-D51F8098B801}"/>
    <cellStyle name="40% - Énfasis6 17 4" xfId="26241" xr:uid="{55D39722-D872-4F4C-8C25-71A4970274B0}"/>
    <cellStyle name="40% - Énfasis6 17 5" xfId="32116" xr:uid="{5395CF60-9793-4873-8460-5F192A667456}"/>
    <cellStyle name="40% - Énfasis6 17 6" xfId="37981" xr:uid="{5EC5EBBB-4257-42F1-B90B-8FF7B80C6AB0}"/>
    <cellStyle name="40% - Énfasis6 18" xfId="6011" xr:uid="{834A0271-D220-49A2-BA91-A8F61BBE99A2}"/>
    <cellStyle name="40% - Énfasis6 18 2" xfId="8880" xr:uid="{42387CA3-785F-460A-91AD-6DF702C9AEA0}"/>
    <cellStyle name="40% - Énfasis6 18 2 2" xfId="23244" xr:uid="{242DA834-5BD9-451B-8976-510E05DAF0E6}"/>
    <cellStyle name="40% - Énfasis6 18 2 3" xfId="29111" xr:uid="{58A73651-B02A-44A0-9709-66275790BEEA}"/>
    <cellStyle name="40% - Énfasis6 18 2 4" xfId="34993" xr:uid="{2FE5739B-BDB1-43F4-9AEF-E26E8A888270}"/>
    <cellStyle name="40% - Énfasis6 18 2 5" xfId="40857" xr:uid="{9BAAC70B-1909-443D-B79B-CCE14BC291EF}"/>
    <cellStyle name="40% - Énfasis6 18 3" xfId="20459" xr:uid="{116EF98A-7956-4FAE-8902-B7C450BA14B0}"/>
    <cellStyle name="40% - Énfasis6 18 4" xfId="26261" xr:uid="{4CE2F67C-0B4B-4F90-AD31-2F7772205675}"/>
    <cellStyle name="40% - Énfasis6 18 5" xfId="32136" xr:uid="{6CDCD05B-D416-4419-B41F-CEB3B754A291}"/>
    <cellStyle name="40% - Énfasis6 18 6" xfId="38001" xr:uid="{F93C1B50-BBC8-4308-866D-FA3D9A83D2FD}"/>
    <cellStyle name="40% - Énfasis6 19" xfId="6031" xr:uid="{60DBA322-4EEF-4A75-BC04-8E1AE185D83F}"/>
    <cellStyle name="40% - Énfasis6 19 2" xfId="8900" xr:uid="{EEF33BDB-FFEF-4B2B-B60E-151BEFCC779B}"/>
    <cellStyle name="40% - Énfasis6 19 2 2" xfId="23264" xr:uid="{AF09F5D1-02FD-46AB-B456-4DCB83BB9934}"/>
    <cellStyle name="40% - Énfasis6 19 2 3" xfId="29131" xr:uid="{DB47BA6C-4636-4F8F-820F-6B0B5924B4EA}"/>
    <cellStyle name="40% - Énfasis6 19 2 4" xfId="35013" xr:uid="{A0D2627B-2439-46BD-BCDE-C3991309EB9E}"/>
    <cellStyle name="40% - Énfasis6 19 2 5" xfId="40877" xr:uid="{9DCEE4DA-1EA3-4A65-A91C-7FF14C312625}"/>
    <cellStyle name="40% - Énfasis6 19 3" xfId="20479" xr:uid="{89ED34C1-568C-4773-B233-AFF23D0557B3}"/>
    <cellStyle name="40% - Énfasis6 19 4" xfId="26281" xr:uid="{53CDDA07-6E27-4467-8910-18FB4648EF48}"/>
    <cellStyle name="40% - Énfasis6 19 5" xfId="32156" xr:uid="{811437A7-7F2D-492F-98C4-E3EEAD825805}"/>
    <cellStyle name="40% - Énfasis6 19 6" xfId="38021" xr:uid="{F74F0D69-CB9C-4E15-9B67-BEAB1EBCE600}"/>
    <cellStyle name="40% - Énfasis6 2" xfId="3851" xr:uid="{6C9447F6-00FF-45B0-A253-A73C0689B2BB}"/>
    <cellStyle name="40% - Énfasis6 2 10" xfId="35836" xr:uid="{7DA76354-5892-4E78-A614-3C67EF71B266}"/>
    <cellStyle name="40% - Énfasis6 2 2" xfId="4051" xr:uid="{637BAF12-21E6-462C-A9CE-12009267FDE6}"/>
    <cellStyle name="40% - Énfasis6 2 2 2" xfId="4525" xr:uid="{807ABAA6-9184-40C0-98DA-9C0CC1A235CE}"/>
    <cellStyle name="40% - Énfasis6 2 2 2 2" xfId="5493" xr:uid="{7F75B183-6CB8-46DA-92F8-51D6505333FE}"/>
    <cellStyle name="40% - Énfasis6 2 2 2 2 2" xfId="8360" xr:uid="{5F19D60A-88DF-42C5-9740-92C5655BEFBD}"/>
    <cellStyle name="40% - Énfasis6 2 2 2 2 2 2" xfId="22735" xr:uid="{71B0126F-DBDF-4FBA-8110-B4D5038DC82D}"/>
    <cellStyle name="40% - Énfasis6 2 2 2 2 2 3" xfId="28593" xr:uid="{184484CC-1F0E-4CE4-A4A9-D1BC3AE3FB34}"/>
    <cellStyle name="40% - Énfasis6 2 2 2 2 2 4" xfId="34475" xr:uid="{4B5CDD84-5AE8-4C82-8A60-DE63C17EA413}"/>
    <cellStyle name="40% - Énfasis6 2 2 2 2 2 5" xfId="40339" xr:uid="{B340780E-70A2-4274-9A63-165ACDE6CD38}"/>
    <cellStyle name="40% - Énfasis6 2 2 2 2 3" xfId="19954" xr:uid="{AF7503B4-42CB-4EB7-B392-EC3229E43303}"/>
    <cellStyle name="40% - Énfasis6 2 2 2 2 4" xfId="25744" xr:uid="{49296D57-A84A-4D6A-A556-EE8016362D75}"/>
    <cellStyle name="40% - Énfasis6 2 2 2 2 5" xfId="31618" xr:uid="{305D9B20-34A7-46FD-95D4-6D6EF2B599FD}"/>
    <cellStyle name="40% - Énfasis6 2 2 2 2 6" xfId="37488" xr:uid="{4C689A87-B473-4281-9CE6-5BC68D25FA26}"/>
    <cellStyle name="40% - Énfasis6 2 2 2 3" xfId="7388" xr:uid="{B68ECE17-0494-49E2-A4E4-61CE71E511EE}"/>
    <cellStyle name="40% - Énfasis6 2 2 2 3 2" xfId="21790" xr:uid="{E2E0148C-A4DC-46D4-B78F-E9C0F9CCC849}"/>
    <cellStyle name="40% - Énfasis6 2 2 2 3 3" xfId="27622" xr:uid="{C786A986-9B75-4EF5-B902-A6396F35252E}"/>
    <cellStyle name="40% - Énfasis6 2 2 2 3 4" xfId="33504" xr:uid="{3067ACD8-6C7F-4901-993B-42E42BE92F69}"/>
    <cellStyle name="40% - Énfasis6 2 2 2 3 5" xfId="39368" xr:uid="{66CDFB52-862B-4162-B477-24F4C454C493}"/>
    <cellStyle name="40% - Énfasis6 2 2 2 4" xfId="19024" xr:uid="{7ADD5EFB-B3C1-45F2-90FA-8AB288796377}"/>
    <cellStyle name="40% - Énfasis6 2 2 2 5" xfId="24773" xr:uid="{90739677-FE6F-4F97-B978-2139CAC06CC0}"/>
    <cellStyle name="40% - Énfasis6 2 2 2 6" xfId="30650" xr:uid="{222B5D89-52B5-4AD7-A045-D94CD4B7B9DA}"/>
    <cellStyle name="40% - Énfasis6 2 2 2 7" xfId="36531" xr:uid="{1EF84790-CD13-4D05-8333-AA8BAE70E6FA}"/>
    <cellStyle name="40% - Énfasis6 2 2 3" xfId="5008" xr:uid="{6414976D-1069-4D2D-A32B-6C447D8983B4}"/>
    <cellStyle name="40% - Énfasis6 2 2 3 2" xfId="7875" xr:uid="{8685534E-7688-44CE-B6AE-CEB55E0B218D}"/>
    <cellStyle name="40% - Énfasis6 2 2 3 2 2" xfId="22260" xr:uid="{6BD61837-0162-46C1-8291-5D5C23BAFFDF}"/>
    <cellStyle name="40% - Énfasis6 2 2 3 2 3" xfId="28108" xr:uid="{544620A0-C1AE-4037-91BC-1B4B3CEFB61D}"/>
    <cellStyle name="40% - Énfasis6 2 2 3 2 4" xfId="33990" xr:uid="{6B805EF9-BF29-4030-B2A5-5F50338E123D}"/>
    <cellStyle name="40% - Énfasis6 2 2 3 2 5" xfId="39854" xr:uid="{BCA083B0-06BB-43EB-97BA-157E8029FB72}"/>
    <cellStyle name="40% - Énfasis6 2 2 3 3" xfId="19487" xr:uid="{D995889D-4236-4749-ADE4-5C90B607459C}"/>
    <cellStyle name="40% - Énfasis6 2 2 3 4" xfId="25259" xr:uid="{C7E1E249-8876-4B3F-B79D-D44C5046FFDF}"/>
    <cellStyle name="40% - Énfasis6 2 2 3 5" xfId="31133" xr:uid="{38A82842-AA00-460D-8ADD-700F5FCD82A6}"/>
    <cellStyle name="40% - Énfasis6 2 2 3 6" xfId="37011" xr:uid="{0A1978E7-0AFC-4EC3-8638-FA8A95E3A1E1}"/>
    <cellStyle name="40% - Énfasis6 2 2 4" xfId="6903" xr:uid="{06D76F7F-9A0E-466E-95B3-E4E0FCF31F04}"/>
    <cellStyle name="40% - Énfasis6 2 2 4 2" xfId="21324" xr:uid="{A20ABCC3-D9C1-434A-B829-C2BE86B697CF}"/>
    <cellStyle name="40% - Énfasis6 2 2 4 3" xfId="27141" xr:uid="{7644DF25-555A-4806-BE1C-FF6438EF073F}"/>
    <cellStyle name="40% - Énfasis6 2 2 4 4" xfId="33019" xr:uid="{04175FD3-1A25-4F85-BD79-257163427EFB}"/>
    <cellStyle name="40% - Énfasis6 2 2 4 5" xfId="38883" xr:uid="{45F297BC-FEE7-4844-930E-F9741622BEE2}"/>
    <cellStyle name="40% - Énfasis6 2 2 5" xfId="18578" xr:uid="{3384E528-DFC3-482B-BA5C-54A50787A903}"/>
    <cellStyle name="40% - Énfasis6 2 2 6" xfId="24290" xr:uid="{44BADD14-B505-4F69-9FB6-9187AA382DC5}"/>
    <cellStyle name="40% - Énfasis6 2 2 7" xfId="30168" xr:uid="{3F9886C8-0F8F-4345-909E-2DE1ECEA080F}"/>
    <cellStyle name="40% - Énfasis6 2 2 8" xfId="36047" xr:uid="{BCEE77B8-4487-44FF-9EA1-84956FC11DD0}"/>
    <cellStyle name="40% - Énfasis6 2 3" xfId="4331" xr:uid="{F6115A0A-7346-4050-A782-3DC2F2ED4CCD}"/>
    <cellStyle name="40% - Énfasis6 2 3 2" xfId="5297" xr:uid="{A44C10E5-D090-4F84-8B90-198DE62FD4CB}"/>
    <cellStyle name="40% - Énfasis6 2 3 2 2" xfId="8164" xr:uid="{400BF249-25D0-47A9-95A4-BB09F057F76B}"/>
    <cellStyle name="40% - Énfasis6 2 3 2 2 2" xfId="22540" xr:uid="{D270909A-3A45-47A4-90C9-EA3E14C73F6E}"/>
    <cellStyle name="40% - Énfasis6 2 3 2 2 3" xfId="28397" xr:uid="{052CE8C8-B174-4A7A-B259-A16C3E1A3D70}"/>
    <cellStyle name="40% - Énfasis6 2 3 2 2 4" xfId="34279" xr:uid="{6418DC5C-B41B-4250-9ADE-0B61535AEFFB}"/>
    <cellStyle name="40% - Énfasis6 2 3 2 2 5" xfId="40143" xr:uid="{2B3648E2-6175-4A61-BB92-645BBAEFBE29}"/>
    <cellStyle name="40% - Énfasis6 2 3 2 3" xfId="19765" xr:uid="{492976F4-4A9C-40E3-AEE1-E16D17C03B4B}"/>
    <cellStyle name="40% - Énfasis6 2 3 2 4" xfId="25548" xr:uid="{B4CD1C3D-D321-435F-95E4-372FBA6A66F2}"/>
    <cellStyle name="40% - Énfasis6 2 3 2 5" xfId="31422" xr:uid="{513E526E-6C40-4639-B236-D0557CF9B7E0}"/>
    <cellStyle name="40% - Énfasis6 2 3 2 6" xfId="37293" xr:uid="{9620E2F5-39A2-449B-9209-68E5C5DD565B}"/>
    <cellStyle name="40% - Énfasis6 2 3 3" xfId="7192" xr:uid="{53E2B30D-F4D8-4D48-8E2D-86290B3A619E}"/>
    <cellStyle name="40% - Énfasis6 2 3 3 2" xfId="21599" xr:uid="{814C7FED-F0E9-4405-9E93-AF94091682B8}"/>
    <cellStyle name="40% - Énfasis6 2 3 3 3" xfId="27426" xr:uid="{B133F5EE-6240-4A72-A0EF-6F978FEA8D53}"/>
    <cellStyle name="40% - Énfasis6 2 3 3 4" xfId="33308" xr:uid="{2B845E5B-7A3E-4FE4-9080-343F08B6CC19}"/>
    <cellStyle name="40% - Énfasis6 2 3 3 5" xfId="39172" xr:uid="{F66BD603-2A0B-44FA-8B8C-FA5ADE9E4543}"/>
    <cellStyle name="40% - Énfasis6 2 3 4" xfId="18836" xr:uid="{4661B6BC-8142-420D-9ECF-845F634E7911}"/>
    <cellStyle name="40% - Énfasis6 2 3 5" xfId="24577" xr:uid="{D5D63DDB-2C31-4915-8611-3CC7EF774BD2}"/>
    <cellStyle name="40% - Énfasis6 2 3 6" xfId="30456" xr:uid="{8B8D3338-FE42-4CA4-8578-BEE2FC93AEFF}"/>
    <cellStyle name="40% - Énfasis6 2 3 7" xfId="36336" xr:uid="{8EC9F715-C3EE-4428-8DDA-181D566268EC}"/>
    <cellStyle name="40% - Énfasis6 2 4" xfId="4816" xr:uid="{D8E24C9D-FCF9-42AD-9091-F4A4C6D0AD3A}"/>
    <cellStyle name="40% - Énfasis6 2 4 2" xfId="7679" xr:uid="{FCD68932-B76D-4A0C-BF37-AB047E4B4A94}"/>
    <cellStyle name="40% - Énfasis6 2 4 2 2" xfId="22070" xr:uid="{B05A9C7F-094C-467F-9C26-7F152BE6B6C2}"/>
    <cellStyle name="40% - Énfasis6 2 4 2 3" xfId="27912" xr:uid="{6B9C01CA-A4F9-45FA-8A24-508D3E00ADBC}"/>
    <cellStyle name="40% - Énfasis6 2 4 2 4" xfId="33794" xr:uid="{5F15F92A-A17E-4641-A4D9-C65A712FF601}"/>
    <cellStyle name="40% - Énfasis6 2 4 2 5" xfId="39658" xr:uid="{DB967992-AB0E-4517-B1CC-A19121BBD4A7}"/>
    <cellStyle name="40% - Énfasis6 2 4 3" xfId="19295" xr:uid="{B1ABCFFD-FBE4-4BC3-BB48-91F6C7807672}"/>
    <cellStyle name="40% - Énfasis6 2 4 4" xfId="25063" xr:uid="{156949E3-5F00-4816-8299-8E5B7B9A797B}"/>
    <cellStyle name="40% - Énfasis6 2 4 5" xfId="30937" xr:uid="{5A2CE334-5C33-4824-AD7F-4D0873219511}"/>
    <cellStyle name="40% - Énfasis6 2 4 6" xfId="36816" xr:uid="{7A0E9575-EB6C-476A-AF3C-7A42D494CC45}"/>
    <cellStyle name="40% - Énfasis6 2 5" xfId="5822" xr:uid="{65507FB4-4993-4C69-8046-C29C42732722}"/>
    <cellStyle name="40% - Énfasis6 2 5 2" xfId="8691" xr:uid="{ABB5AA2D-3B71-4575-9458-F2E92C7080CE}"/>
    <cellStyle name="40% - Énfasis6 2 5 2 2" xfId="23059" xr:uid="{50BE83D4-BD97-4C01-BAC9-27316A14E062}"/>
    <cellStyle name="40% - Énfasis6 2 5 2 3" xfId="28923" xr:uid="{B5C86C8D-022A-40AB-B904-596F83BAB162}"/>
    <cellStyle name="40% - Énfasis6 2 5 2 4" xfId="34805" xr:uid="{D1BD6ED0-A1FC-431B-995F-2D5FBD2AC6A9}"/>
    <cellStyle name="40% - Énfasis6 2 5 2 5" xfId="40669" xr:uid="{95D82139-9DC5-4A6E-B338-6DEC93C572F1}"/>
    <cellStyle name="40% - Énfasis6 2 5 3" xfId="20274" xr:uid="{0F08AB4B-187E-4E94-8D2B-3B6093EB605D}"/>
    <cellStyle name="40% - Énfasis6 2 5 4" xfId="26073" xr:uid="{8636F78B-86D5-4D22-880C-759727BA5959}"/>
    <cellStyle name="40% - Énfasis6 2 5 5" xfId="31948" xr:uid="{5A8CAB52-2D4A-46DB-A4A2-D7C30E1EA21E}"/>
    <cellStyle name="40% - Énfasis6 2 5 6" xfId="37814" xr:uid="{E29634BA-19CF-4FD4-A66A-64CEA59A6BD8}"/>
    <cellStyle name="40% - Énfasis6 2 6" xfId="6708" xr:uid="{0CCBD36C-9A2E-43A4-B7FC-24B42BC6BC58}"/>
    <cellStyle name="40% - Énfasis6 2 6 2" xfId="21135" xr:uid="{C21499E4-682F-4988-8247-6008C95B4DEB}"/>
    <cellStyle name="40% - Énfasis6 2 6 3" xfId="26947" xr:uid="{6241DA56-D4A4-4413-9BD6-604A5BD1CB71}"/>
    <cellStyle name="40% - Énfasis6 2 6 4" xfId="32823" xr:uid="{E98078D8-8D7A-47C2-898C-66779430517C}"/>
    <cellStyle name="40% - Énfasis6 2 6 5" xfId="38687" xr:uid="{BDF99C44-C2EA-4DB4-BC65-40C3B07620ED}"/>
    <cellStyle name="40% - Énfasis6 2 7" xfId="18369" xr:uid="{6E10ED65-773A-4670-937E-7D7E9ED1D9D7}"/>
    <cellStyle name="40% - Énfasis6 2 8" xfId="24077" xr:uid="{586829BB-B0B6-439F-81C9-8DAD2E3D62F5}"/>
    <cellStyle name="40% - Énfasis6 2 9" xfId="29955" xr:uid="{CA3948BB-8CD0-4676-9171-20600DDCC46B}"/>
    <cellStyle name="40% - Énfasis6 20" xfId="6051" xr:uid="{AC9CE72D-BEEC-40D3-9F28-C0560E4BD4A2}"/>
    <cellStyle name="40% - Énfasis6 20 2" xfId="8920" xr:uid="{EA6A5116-9EA7-4F58-B807-15CA33AD73CF}"/>
    <cellStyle name="40% - Énfasis6 20 2 2" xfId="23284" xr:uid="{1EAA1D4D-4F8C-4D96-8717-2F44D61013F2}"/>
    <cellStyle name="40% - Énfasis6 20 2 3" xfId="29151" xr:uid="{FE90184A-6624-419D-9196-9E7688154B05}"/>
    <cellStyle name="40% - Énfasis6 20 2 4" xfId="35033" xr:uid="{EC46AAB2-85FF-4048-A16C-053014CB62B1}"/>
    <cellStyle name="40% - Énfasis6 20 2 5" xfId="40897" xr:uid="{FF03723F-E0A6-429B-8B03-4796D84E5EEF}"/>
    <cellStyle name="40% - Énfasis6 20 3" xfId="20499" xr:uid="{B5622902-09F9-4C82-A0E9-65622A553E48}"/>
    <cellStyle name="40% - Énfasis6 20 4" xfId="26301" xr:uid="{DC24DB34-814B-4ABF-B1DF-75FB112B628F}"/>
    <cellStyle name="40% - Énfasis6 20 5" xfId="32176" xr:uid="{53EE126C-B0A9-4477-BBB5-7BA533998BA0}"/>
    <cellStyle name="40% - Énfasis6 20 6" xfId="38041" xr:uid="{4595072A-9EE7-4923-8411-40A0386AF800}"/>
    <cellStyle name="40% - Énfasis6 21" xfId="6071" xr:uid="{33250558-F54B-41C4-8A24-EF818F82F7E4}"/>
    <cellStyle name="40% - Énfasis6 21 2" xfId="8940" xr:uid="{E7FD3DCC-FEB0-4605-8883-750AE6D60F4B}"/>
    <cellStyle name="40% - Énfasis6 21 2 2" xfId="23304" xr:uid="{46CE220F-094F-4C2C-9FE4-AF152D3FBF8F}"/>
    <cellStyle name="40% - Énfasis6 21 2 3" xfId="29171" xr:uid="{BD23640F-BE2F-4C4F-8376-45C10818EC47}"/>
    <cellStyle name="40% - Énfasis6 21 2 4" xfId="35053" xr:uid="{2A036CD6-7A73-43F2-984F-5E93F3D1B4B6}"/>
    <cellStyle name="40% - Énfasis6 21 2 5" xfId="40917" xr:uid="{C9E4AEE9-584E-4BC2-BE2D-5E77FEF816AE}"/>
    <cellStyle name="40% - Énfasis6 21 3" xfId="20519" xr:uid="{30D72727-DA46-4FD7-9BA6-57E67DAD1F5C}"/>
    <cellStyle name="40% - Énfasis6 21 4" xfId="26321" xr:uid="{2BAF5AB2-E5B0-43D7-863D-D30173509D07}"/>
    <cellStyle name="40% - Énfasis6 21 5" xfId="32196" xr:uid="{B7F917F0-BC66-4B3E-9284-80EBCF38C9B9}"/>
    <cellStyle name="40% - Énfasis6 21 6" xfId="38061" xr:uid="{2D4B603B-3209-416F-8937-C9F913FB97D0}"/>
    <cellStyle name="40% - Énfasis6 22" xfId="6091" xr:uid="{AC4B1365-C0C3-494D-AEC7-C6326926C4F8}"/>
    <cellStyle name="40% - Énfasis6 22 2" xfId="8960" xr:uid="{021C8300-D124-4795-8C1E-F35A6BFCED92}"/>
    <cellStyle name="40% - Énfasis6 22 2 2" xfId="23324" xr:uid="{0DC1A354-7415-4E45-A8C6-E28A77EABDD0}"/>
    <cellStyle name="40% - Énfasis6 22 2 3" xfId="29191" xr:uid="{80556586-B99C-4A2D-9560-3BD61EBC793C}"/>
    <cellStyle name="40% - Énfasis6 22 2 4" xfId="35073" xr:uid="{49D4C16E-B15F-496B-BF66-63902A7C3262}"/>
    <cellStyle name="40% - Énfasis6 22 2 5" xfId="40937" xr:uid="{3F325229-9739-4AB9-937F-D849840F8B3E}"/>
    <cellStyle name="40% - Énfasis6 22 3" xfId="20539" xr:uid="{067FC54B-3445-4FE4-BB75-1102A11EE49B}"/>
    <cellStyle name="40% - Énfasis6 22 4" xfId="26341" xr:uid="{AAEDA2EF-907D-4B4C-8723-44C24639DEBE}"/>
    <cellStyle name="40% - Énfasis6 22 5" xfId="32216" xr:uid="{00A42078-2A0C-4D1F-885A-1BE78C87A864}"/>
    <cellStyle name="40% - Énfasis6 22 6" xfId="38081" xr:uid="{1F6ABA4A-AD69-4823-BFEF-9DE440CF39AD}"/>
    <cellStyle name="40% - Énfasis6 23" xfId="6111" xr:uid="{8B487A99-E444-4176-B3FB-11F549D382B3}"/>
    <cellStyle name="40% - Énfasis6 23 2" xfId="8980" xr:uid="{3D63D1C9-6C42-4131-A985-9F245E0D8DDC}"/>
    <cellStyle name="40% - Énfasis6 23 2 2" xfId="23344" xr:uid="{D9C76051-B461-4CF2-8405-CD5B620A6FAA}"/>
    <cellStyle name="40% - Énfasis6 23 2 3" xfId="29211" xr:uid="{7F5052C3-6AE5-4C07-B925-B0DDDED89800}"/>
    <cellStyle name="40% - Énfasis6 23 2 4" xfId="35093" xr:uid="{191DE4AB-C0D7-437B-BDC0-82D169F4C41A}"/>
    <cellStyle name="40% - Énfasis6 23 2 5" xfId="40957" xr:uid="{5A65615C-D086-4366-B6BE-3A3F2524070C}"/>
    <cellStyle name="40% - Énfasis6 23 3" xfId="20559" xr:uid="{F19DCA11-1F98-4281-A270-43E5180112EE}"/>
    <cellStyle name="40% - Énfasis6 23 4" xfId="26361" xr:uid="{5414D12C-4C42-4BF8-9BFB-1EF06D0345D8}"/>
    <cellStyle name="40% - Énfasis6 23 5" xfId="32236" xr:uid="{954DCFA6-9BD9-4C53-8BE3-9A5985CA5460}"/>
    <cellStyle name="40% - Énfasis6 23 6" xfId="38101" xr:uid="{21C2E7B6-0756-490D-85D2-2A323F2BE2BC}"/>
    <cellStyle name="40% - Énfasis6 24" xfId="6131" xr:uid="{8DB5DAD0-BA3F-445C-9D5E-D3C775414A2F}"/>
    <cellStyle name="40% - Énfasis6 24 2" xfId="9000" xr:uid="{7CACDAF7-4453-4628-B7A5-BC0973809DDD}"/>
    <cellStyle name="40% - Énfasis6 24 2 2" xfId="23364" xr:uid="{4E6CE4B0-C801-41B6-A682-5C5292779AED}"/>
    <cellStyle name="40% - Énfasis6 24 2 3" xfId="29231" xr:uid="{4C2F9528-C977-4900-B46D-C4A02837C68D}"/>
    <cellStyle name="40% - Énfasis6 24 2 4" xfId="35113" xr:uid="{ADF6A1E8-0C65-4E03-A0E6-621D5635CAA0}"/>
    <cellStyle name="40% - Énfasis6 24 2 5" xfId="40977" xr:uid="{00081B97-BF1E-4036-90FF-7550D97A26F8}"/>
    <cellStyle name="40% - Énfasis6 24 3" xfId="20579" xr:uid="{85E43B26-BAA4-47F8-AD4E-2FB57961112D}"/>
    <cellStyle name="40% - Énfasis6 24 4" xfId="26381" xr:uid="{C6FD3B12-EAF9-43FF-B304-9191BA8EC670}"/>
    <cellStyle name="40% - Énfasis6 24 5" xfId="32256" xr:uid="{1935DCCA-3F3D-4CC7-9DE7-8081C74E8EBF}"/>
    <cellStyle name="40% - Énfasis6 24 6" xfId="38121" xr:uid="{088534F4-0C46-4621-A9E1-2DC9E83CFB9E}"/>
    <cellStyle name="40% - Énfasis6 25" xfId="6151" xr:uid="{FA570663-0C6A-4D00-B2E4-DBC871E3035E}"/>
    <cellStyle name="40% - Énfasis6 25 2" xfId="9020" xr:uid="{E01D35E8-C2FA-44B7-AFEE-77D557A72560}"/>
    <cellStyle name="40% - Énfasis6 25 2 2" xfId="23384" xr:uid="{FB566DB8-E15B-4F7A-8B26-E6C2559652EF}"/>
    <cellStyle name="40% - Énfasis6 25 2 3" xfId="29251" xr:uid="{33AA51B4-8938-449F-8CDE-4E79411FEC83}"/>
    <cellStyle name="40% - Énfasis6 25 2 4" xfId="35133" xr:uid="{2FE370B8-D20C-444F-B7CB-BF83EE3CC0A3}"/>
    <cellStyle name="40% - Énfasis6 25 2 5" xfId="40996" xr:uid="{7628C5DF-CC9C-4FA1-8351-B88CD54C2388}"/>
    <cellStyle name="40% - Énfasis6 25 3" xfId="20599" xr:uid="{32B2CAA2-4429-48B4-A2D6-824C8235CB1A}"/>
    <cellStyle name="40% - Énfasis6 25 4" xfId="26401" xr:uid="{042601D1-6719-4B45-9213-5D8AC60ECB9C}"/>
    <cellStyle name="40% - Énfasis6 25 5" xfId="32276" xr:uid="{DEE1BBC5-9B96-4E97-9E91-DDB9EE62A12D}"/>
    <cellStyle name="40% - Énfasis6 25 6" xfId="38141" xr:uid="{502733EB-E353-4620-9F19-3E0A2829D218}"/>
    <cellStyle name="40% - Énfasis6 26" xfId="6171" xr:uid="{A6366DD8-E834-48E2-840C-B8B6855146B9}"/>
    <cellStyle name="40% - Énfasis6 26 2" xfId="9040" xr:uid="{E5CEA761-9D5B-4952-9735-F98F55B68BB0}"/>
    <cellStyle name="40% - Énfasis6 26 2 2" xfId="23404" xr:uid="{C5A8A7F0-69A9-4173-A9D3-AF7AC909D9CF}"/>
    <cellStyle name="40% - Énfasis6 26 2 3" xfId="29271" xr:uid="{5C85DF5C-90A3-40C9-98B0-AE0B64653833}"/>
    <cellStyle name="40% - Énfasis6 26 2 4" xfId="35153" xr:uid="{B231EA68-AB43-4DFB-B6D5-D644211BB4E5}"/>
    <cellStyle name="40% - Énfasis6 26 2 5" xfId="41015" xr:uid="{CB1C635A-8FDB-427B-B126-CE224A82D060}"/>
    <cellStyle name="40% - Énfasis6 26 3" xfId="20619" xr:uid="{4AACD9DE-D3CF-41A2-B61F-7DCE4AF3E731}"/>
    <cellStyle name="40% - Énfasis6 26 4" xfId="26421" xr:uid="{D558671D-3DD2-402F-A6C9-4FFBCC2C3841}"/>
    <cellStyle name="40% - Énfasis6 26 5" xfId="32296" xr:uid="{FC0146A7-213D-4C0D-A108-BD2AD1D7C41F}"/>
    <cellStyle name="40% - Énfasis6 26 6" xfId="38161" xr:uid="{F1FC93C3-8556-4CAF-A941-4A8136F41707}"/>
    <cellStyle name="40% - Énfasis6 27" xfId="6191" xr:uid="{EC38068C-AFB7-42AB-862D-30BB5D8AFC37}"/>
    <cellStyle name="40% - Énfasis6 27 2" xfId="9060" xr:uid="{C029AF18-0F7B-4D6C-89AA-A79EB12D4C51}"/>
    <cellStyle name="40% - Énfasis6 27 2 2" xfId="23424" xr:uid="{0081FCC6-2041-4743-B56E-78D776888487}"/>
    <cellStyle name="40% - Énfasis6 27 2 3" xfId="29291" xr:uid="{7D9909F3-B512-4413-A127-5468B1F6D909}"/>
    <cellStyle name="40% - Énfasis6 27 2 4" xfId="35173" xr:uid="{F53CA6FD-D7BC-409B-9821-2108AAB0EA7D}"/>
    <cellStyle name="40% - Énfasis6 27 2 5" xfId="41035" xr:uid="{AB20BA4E-9993-45EF-9E6D-B8B192DA5136}"/>
    <cellStyle name="40% - Énfasis6 27 3" xfId="20639" xr:uid="{6828D185-47D7-4B81-9C6F-D93FBE95B032}"/>
    <cellStyle name="40% - Énfasis6 27 4" xfId="26441" xr:uid="{3513D4E2-63CB-44E1-A58E-8AED0B967C40}"/>
    <cellStyle name="40% - Énfasis6 27 5" xfId="32316" xr:uid="{250EA2AF-C9AE-4BE3-B01E-57895805A2DA}"/>
    <cellStyle name="40% - Énfasis6 27 6" xfId="38181" xr:uid="{91276FCB-D6D0-48E0-B8D7-5584F5521FA2}"/>
    <cellStyle name="40% - Énfasis6 28" xfId="6213" xr:uid="{C3FC7316-F8A8-4751-9F6E-959F0E8F9344}"/>
    <cellStyle name="40% - Énfasis6 28 2" xfId="9082" xr:uid="{E3DCC00C-7550-4AAA-AC72-1493E4BFB0F3}"/>
    <cellStyle name="40% - Énfasis6 28 2 2" xfId="23446" xr:uid="{C87758A5-7382-4954-9BEF-95C79BDF34AF}"/>
    <cellStyle name="40% - Énfasis6 28 2 3" xfId="29313" xr:uid="{E975FFA9-B875-4EF5-A84A-B66B946E2882}"/>
    <cellStyle name="40% - Énfasis6 28 2 4" xfId="35195" xr:uid="{6A23C06E-B7B4-4B06-A8AA-73EC3D5AB923}"/>
    <cellStyle name="40% - Énfasis6 28 2 5" xfId="41056" xr:uid="{EDB8884C-789D-4097-9501-AAD52E710231}"/>
    <cellStyle name="40% - Énfasis6 28 3" xfId="20661" xr:uid="{2F4392DD-FA6B-4EBC-8C76-D5FB37ECFDC5}"/>
    <cellStyle name="40% - Énfasis6 28 4" xfId="26463" xr:uid="{90B7EEBE-5F89-483B-AB5B-B46AE8D8CA00}"/>
    <cellStyle name="40% - Énfasis6 28 5" xfId="32338" xr:uid="{A64774CB-BB8C-4DC1-A073-ECF735929645}"/>
    <cellStyle name="40% - Énfasis6 28 6" xfId="38203" xr:uid="{47D69818-DAC2-4CCB-931E-2F667C1A50CA}"/>
    <cellStyle name="40% - Énfasis6 29" xfId="6250" xr:uid="{06278736-F3A5-43FD-97E1-F1E44E4BA762}"/>
    <cellStyle name="40% - Énfasis6 29 2" xfId="9119" xr:uid="{0CB32234-00B3-4006-A0CF-BD6B23EE5885}"/>
    <cellStyle name="40% - Énfasis6 29 2 2" xfId="23483" xr:uid="{CC319043-4C5D-4D23-B2C7-D103414116B3}"/>
    <cellStyle name="40% - Énfasis6 29 2 3" xfId="29350" xr:uid="{57AF71A9-24D5-4E84-9F88-238ADA04044F}"/>
    <cellStyle name="40% - Énfasis6 29 2 4" xfId="35232" xr:uid="{E5406623-3E60-49D6-B44D-1675F5C8E712}"/>
    <cellStyle name="40% - Énfasis6 29 2 5" xfId="41092" xr:uid="{AEE4B1DC-706D-469A-83B7-14962E648C4D}"/>
    <cellStyle name="40% - Énfasis6 29 3" xfId="20691" xr:uid="{E12949CA-1F3B-41B6-BB99-76E4A5065E79}"/>
    <cellStyle name="40% - Énfasis6 29 4" xfId="26500" xr:uid="{ECD71794-5D8D-49E9-8A1C-4662ED3EA592}"/>
    <cellStyle name="40% - Énfasis6 29 5" xfId="32375" xr:uid="{CC956E5E-432A-477C-88A8-548529DA082E}"/>
    <cellStyle name="40% - Énfasis6 29 6" xfId="38240" xr:uid="{260E758B-1C28-48D0-AF72-25D96CF33F82}"/>
    <cellStyle name="40% - Énfasis6 3" xfId="3873" xr:uid="{BFEEE1C5-9BC2-4834-A8C7-7BEEE75E4D3E}"/>
    <cellStyle name="40% - Énfasis6 3 10" xfId="35863" xr:uid="{AC80AC09-BF41-4497-8346-FAA9C6804717}"/>
    <cellStyle name="40% - Énfasis6 3 2" xfId="4072" xr:uid="{B147095C-D268-481C-BE2E-DC99D7123660}"/>
    <cellStyle name="40% - Énfasis6 3 2 2" xfId="4550" xr:uid="{E247B8DA-B967-4C02-AE7D-4CFAED4338B1}"/>
    <cellStyle name="40% - Énfasis6 3 2 2 2" xfId="5518" xr:uid="{D18A4C29-96B1-4ED9-AC1A-A34586494D86}"/>
    <cellStyle name="40% - Énfasis6 3 2 2 2 2" xfId="8385" xr:uid="{3E881A1B-B618-4251-948A-F3BE91E08AB4}"/>
    <cellStyle name="40% - Énfasis6 3 2 2 2 2 2" xfId="22760" xr:uid="{5BB5FEAA-26BA-47B6-8438-167DAAF73598}"/>
    <cellStyle name="40% - Énfasis6 3 2 2 2 2 3" xfId="28618" xr:uid="{CD22E357-FC79-470C-98A7-0372708BF056}"/>
    <cellStyle name="40% - Énfasis6 3 2 2 2 2 4" xfId="34500" xr:uid="{2266A3C6-4C6A-46AF-BC47-10F222F8528D}"/>
    <cellStyle name="40% - Énfasis6 3 2 2 2 2 5" xfId="40364" xr:uid="{1C6992B7-635A-4987-9366-3364E9DA240E}"/>
    <cellStyle name="40% - Énfasis6 3 2 2 2 3" xfId="19978" xr:uid="{58CB0FA6-C181-4813-B8EB-9E20B3FD8F47}"/>
    <cellStyle name="40% - Énfasis6 3 2 2 2 4" xfId="25769" xr:uid="{A9647C01-6966-4238-860C-80212C11F03E}"/>
    <cellStyle name="40% - Énfasis6 3 2 2 2 5" xfId="31643" xr:uid="{E606BB64-C355-4138-A435-DB18A5425B86}"/>
    <cellStyle name="40% - Énfasis6 3 2 2 2 6" xfId="37513" xr:uid="{715AC202-0462-48A8-B5A7-11AA82958DF3}"/>
    <cellStyle name="40% - Énfasis6 3 2 2 3" xfId="7413" xr:uid="{2E0A3B4F-4E6B-4916-BD81-9B351C6BF3F3}"/>
    <cellStyle name="40% - Énfasis6 3 2 2 3 2" xfId="21815" xr:uid="{FE335556-B247-42E2-B1A8-8A29866375E0}"/>
    <cellStyle name="40% - Énfasis6 3 2 2 3 3" xfId="27647" xr:uid="{99C95CA9-9C6C-4B1E-AD73-DC4305712724}"/>
    <cellStyle name="40% - Énfasis6 3 2 2 3 4" xfId="33529" xr:uid="{907DDF0D-0174-4E26-B197-1D8993C09195}"/>
    <cellStyle name="40% - Énfasis6 3 2 2 3 5" xfId="39393" xr:uid="{1C5CDD10-2455-4CD5-9736-BE080DA9A9D7}"/>
    <cellStyle name="40% - Énfasis6 3 2 2 4" xfId="19046" xr:uid="{7CF68CF0-C607-4E00-A4E1-E091EDB87D88}"/>
    <cellStyle name="40% - Énfasis6 3 2 2 5" xfId="24798" xr:uid="{C8A0FA88-03C4-4FA2-B51D-5F28E0EA0F21}"/>
    <cellStyle name="40% - Énfasis6 3 2 2 6" xfId="30675" xr:uid="{5775452B-3B1C-4A69-87EB-41A04EAFE864}"/>
    <cellStyle name="40% - Énfasis6 3 2 2 7" xfId="36556" xr:uid="{ED2E6FDF-22AB-42FA-B733-390D756A0F8C}"/>
    <cellStyle name="40% - Énfasis6 3 2 3" xfId="5033" xr:uid="{3D010762-3D76-4A86-B60D-6DB72469E500}"/>
    <cellStyle name="40% - Énfasis6 3 2 3 2" xfId="7900" xr:uid="{CAEBC898-4247-4027-ADA6-489A35875DA7}"/>
    <cellStyle name="40% - Énfasis6 3 2 3 2 2" xfId="22285" xr:uid="{E7A2BAB2-96C7-4142-8F56-46DD082AAEEE}"/>
    <cellStyle name="40% - Énfasis6 3 2 3 2 3" xfId="28133" xr:uid="{91A9D797-43AD-474D-882A-8C916C51050B}"/>
    <cellStyle name="40% - Énfasis6 3 2 3 2 4" xfId="34015" xr:uid="{87C98A0E-D701-44DC-9A36-A0AB161CE636}"/>
    <cellStyle name="40% - Énfasis6 3 2 3 2 5" xfId="39879" xr:uid="{77C20442-1C25-457C-B98B-A6BD0724B80B}"/>
    <cellStyle name="40% - Énfasis6 3 2 3 3" xfId="19511" xr:uid="{FE100481-718D-44AD-9D75-73D4EDF6D7CD}"/>
    <cellStyle name="40% - Énfasis6 3 2 3 4" xfId="25284" xr:uid="{18D01603-950A-49BE-8C80-85D395D34F1F}"/>
    <cellStyle name="40% - Énfasis6 3 2 3 5" xfId="31158" xr:uid="{E2DB9570-5343-4EF7-8450-05E6F770EEB0}"/>
    <cellStyle name="40% - Énfasis6 3 2 3 6" xfId="37036" xr:uid="{9F629FF6-B8E3-45FC-990A-907BD3F01EAF}"/>
    <cellStyle name="40% - Énfasis6 3 2 4" xfId="6928" xr:uid="{8408CBD8-7842-4377-8BB8-60E0B058880D}"/>
    <cellStyle name="40% - Énfasis6 3 2 4 2" xfId="21348" xr:uid="{03F5498D-A917-45C1-9E5B-59669CCC4D97}"/>
    <cellStyle name="40% - Énfasis6 3 2 4 3" xfId="27166" xr:uid="{C920E3A6-D0C1-4353-80D7-574D748D168C}"/>
    <cellStyle name="40% - Énfasis6 3 2 4 4" xfId="33044" xr:uid="{F9A14E63-25E4-4447-B6CA-9FDB95785220}"/>
    <cellStyle name="40% - Énfasis6 3 2 4 5" xfId="38908" xr:uid="{5DEBED62-418B-4BE6-A3F3-E629830B402B}"/>
    <cellStyle name="40% - Énfasis6 3 2 5" xfId="18603" xr:uid="{974E3138-C3D1-460F-8DBC-180EFA13139E}"/>
    <cellStyle name="40% - Énfasis6 3 2 6" xfId="24315" xr:uid="{96422849-60AB-4FAB-ADB4-23A3D49087FB}"/>
    <cellStyle name="40% - Énfasis6 3 2 7" xfId="30193" xr:uid="{9061F7F5-BC21-446B-8CB6-D3D1C4E55973}"/>
    <cellStyle name="40% - Énfasis6 3 2 8" xfId="36072" xr:uid="{931A43BE-56E4-4130-86C5-D73A425C4346}"/>
    <cellStyle name="40% - Énfasis6 3 3" xfId="4356" xr:uid="{11479168-73DE-48B6-A755-84A590E5DE66}"/>
    <cellStyle name="40% - Énfasis6 3 3 2" xfId="5322" xr:uid="{54EB640D-360C-4CD1-943D-01CF34C425E6}"/>
    <cellStyle name="40% - Énfasis6 3 3 2 2" xfId="8189" xr:uid="{F888526C-7C0C-4762-A5F7-84902BD2B46B}"/>
    <cellStyle name="40% - Énfasis6 3 3 2 2 2" xfId="22565" xr:uid="{5C04F46A-4907-4B85-A316-759E18EE2247}"/>
    <cellStyle name="40% - Énfasis6 3 3 2 2 3" xfId="28422" xr:uid="{687AD152-B3F1-45D9-B7CC-019976973921}"/>
    <cellStyle name="40% - Énfasis6 3 3 2 2 4" xfId="34304" xr:uid="{CE5393EA-399A-46DD-9BA7-1EF6798ECDF6}"/>
    <cellStyle name="40% - Énfasis6 3 3 2 2 5" xfId="40168" xr:uid="{30F79842-29A3-4FD1-ACE5-06F70C12751F}"/>
    <cellStyle name="40% - Énfasis6 3 3 2 3" xfId="19790" xr:uid="{0087E8A8-660D-41F7-9BB6-D442A06B7186}"/>
    <cellStyle name="40% - Énfasis6 3 3 2 4" xfId="25573" xr:uid="{69CF93A4-9327-40E7-9AC5-399B496DB1DC}"/>
    <cellStyle name="40% - Énfasis6 3 3 2 5" xfId="31447" xr:uid="{360201EC-A06D-4D21-B843-F4AAF92151F9}"/>
    <cellStyle name="40% - Énfasis6 3 3 2 6" xfId="37318" xr:uid="{3ABDB9D0-12F0-438C-A8C4-7104EEC4721B}"/>
    <cellStyle name="40% - Énfasis6 3 3 3" xfId="7217" xr:uid="{85242D6D-F4A3-44FA-B7FC-188CB5417991}"/>
    <cellStyle name="40% - Énfasis6 3 3 3 2" xfId="21624" xr:uid="{678F3461-9A22-4CE6-8195-98C9169B0D58}"/>
    <cellStyle name="40% - Énfasis6 3 3 3 3" xfId="27451" xr:uid="{CBCE1FB8-E67A-4BE4-81BA-05501584A533}"/>
    <cellStyle name="40% - Énfasis6 3 3 3 4" xfId="33333" xr:uid="{8FDEE307-1B06-4D7D-97B5-8E6308613123}"/>
    <cellStyle name="40% - Énfasis6 3 3 3 5" xfId="39197" xr:uid="{DBB8301C-46F7-4016-AF3B-FD4F293F31A5}"/>
    <cellStyle name="40% - Énfasis6 3 3 4" xfId="18861" xr:uid="{A7C9031E-812E-496D-A51E-F67F23F72A7E}"/>
    <cellStyle name="40% - Énfasis6 3 3 5" xfId="24602" xr:uid="{0270D4C5-E450-4DBA-AB0B-A490B8553BB8}"/>
    <cellStyle name="40% - Énfasis6 3 3 6" xfId="30481" xr:uid="{26A22C9B-9A2C-46AF-8CCD-6438DC0B0BC1}"/>
    <cellStyle name="40% - Énfasis6 3 3 7" xfId="36361" xr:uid="{A758E956-5C16-4BE5-A411-FF173F392451}"/>
    <cellStyle name="40% - Énfasis6 3 4" xfId="4838" xr:uid="{41E8370F-05CE-42C7-94AB-3367ED620705}"/>
    <cellStyle name="40% - Énfasis6 3 4 2" xfId="7704" xr:uid="{50377624-2BB4-453F-8293-930D850FC7B0}"/>
    <cellStyle name="40% - Énfasis6 3 4 2 2" xfId="22094" xr:uid="{A76BE0D6-23F9-4555-89EA-5A2AC5B4E15C}"/>
    <cellStyle name="40% - Énfasis6 3 4 2 3" xfId="27937" xr:uid="{75EC9345-AEF4-4C86-9FC8-11666EE5D084}"/>
    <cellStyle name="40% - Énfasis6 3 4 2 4" xfId="33819" xr:uid="{5EB7655C-BD67-4325-BEE7-30AF943174FF}"/>
    <cellStyle name="40% - Énfasis6 3 4 2 5" xfId="39683" xr:uid="{B4C33758-52CB-4189-B244-F0B0DF282343}"/>
    <cellStyle name="40% - Énfasis6 3 4 3" xfId="19320" xr:uid="{0F958A8A-2FFB-47C6-9ADB-9C3AABD2BC89}"/>
    <cellStyle name="40% - Énfasis6 3 4 4" xfId="25088" xr:uid="{269A07E2-DFEF-41BA-B726-9525A79EF503}"/>
    <cellStyle name="40% - Énfasis6 3 4 5" xfId="30962" xr:uid="{6091AE41-2E56-4D69-B966-E6583A0C3D59}"/>
    <cellStyle name="40% - Énfasis6 3 4 6" xfId="36841" xr:uid="{8FDA4108-760D-449A-8581-D21B28F827EB}"/>
    <cellStyle name="40% - Énfasis6 3 5" xfId="5847" xr:uid="{E904F8B6-2B19-4E89-9977-C1A832C69A75}"/>
    <cellStyle name="40% - Énfasis6 3 5 2" xfId="8716" xr:uid="{7CDAFB74-875A-4962-813B-0393D6B6AD37}"/>
    <cellStyle name="40% - Énfasis6 3 5 2 2" xfId="23084" xr:uid="{D2781A60-FD5C-46AD-A878-938B29C74DC8}"/>
    <cellStyle name="40% - Énfasis6 3 5 2 3" xfId="28948" xr:uid="{350866D7-CECB-480D-A57D-43064DDCAB74}"/>
    <cellStyle name="40% - Énfasis6 3 5 2 4" xfId="34830" xr:uid="{12923F70-8E9C-4D24-B8A4-26D1B432BC11}"/>
    <cellStyle name="40% - Énfasis6 3 5 2 5" xfId="40694" xr:uid="{8C83F328-E5E8-453D-BBA4-1CFF67DE073B}"/>
    <cellStyle name="40% - Énfasis6 3 5 3" xfId="20299" xr:uid="{4455AF1D-5C58-4AA7-ADE3-6F5D25DF99B2}"/>
    <cellStyle name="40% - Énfasis6 3 5 4" xfId="26098" xr:uid="{EE795A54-700F-4CB0-8EC0-B0490B829C70}"/>
    <cellStyle name="40% - Énfasis6 3 5 5" xfId="31973" xr:uid="{EB54CE0B-A060-4D51-9F38-AEBA6D17BA6E}"/>
    <cellStyle name="40% - Énfasis6 3 5 6" xfId="37839" xr:uid="{8176C901-3DA4-452A-B158-CCFA6DB67352}"/>
    <cellStyle name="40% - Énfasis6 3 6" xfId="6733" xr:uid="{2A5C67FD-75A9-4DF9-8614-1A097254178D}"/>
    <cellStyle name="40% - Énfasis6 3 6 2" xfId="21157" xr:uid="{5B198D6F-F294-41C4-B68E-E42C68CFDB66}"/>
    <cellStyle name="40% - Énfasis6 3 6 3" xfId="26972" xr:uid="{C2693F43-D0CE-4EF7-9600-37C6C8554104}"/>
    <cellStyle name="40% - Énfasis6 3 6 4" xfId="32848" xr:uid="{0655735E-B4E8-40B1-98F8-731362B4057D}"/>
    <cellStyle name="40% - Énfasis6 3 6 5" xfId="38712" xr:uid="{9C18CECF-F33D-42D5-9796-452138438ED2}"/>
    <cellStyle name="40% - Énfasis6 3 7" xfId="18395" xr:uid="{62D8AD1A-9E39-4ED7-A5AB-917EE64DD542}"/>
    <cellStyle name="40% - Énfasis6 3 8" xfId="24104" xr:uid="{565BEF47-0AD1-4FF6-84E6-46737735A6B8}"/>
    <cellStyle name="40% - Énfasis6 3 9" xfId="29982" xr:uid="{CE4B5662-CF57-4211-9C96-09145B82F9D2}"/>
    <cellStyle name="40% - Énfasis6 30" xfId="6270" xr:uid="{1FCFEE03-E3A5-4460-9470-F114E4408578}"/>
    <cellStyle name="40% - Énfasis6 30 2" xfId="9139" xr:uid="{28C7EB4E-543E-49A0-838C-264794100C4E}"/>
    <cellStyle name="40% - Énfasis6 30 2 2" xfId="23503" xr:uid="{19FDF6DA-A221-40A8-8DF9-17B8AF31112A}"/>
    <cellStyle name="40% - Énfasis6 30 2 3" xfId="29370" xr:uid="{BE4250A1-927D-4EA9-AC3A-97823658F16E}"/>
    <cellStyle name="40% - Énfasis6 30 2 4" xfId="35252" xr:uid="{C8CA765E-F016-423E-9D89-72B5A925D84D}"/>
    <cellStyle name="40% - Énfasis6 30 2 5" xfId="41111" xr:uid="{A5925B31-FC51-4E10-BFB0-BD1657756B27}"/>
    <cellStyle name="40% - Énfasis6 30 3" xfId="20711" xr:uid="{6F4FF603-25D2-4457-A67D-6B5E14FFCBB3}"/>
    <cellStyle name="40% - Énfasis6 30 4" xfId="26520" xr:uid="{F82C5C01-08AF-49B2-AE33-B95C0AD79475}"/>
    <cellStyle name="40% - Énfasis6 30 5" xfId="32395" xr:uid="{CBF35808-C037-419B-B1A9-50EED2568709}"/>
    <cellStyle name="40% - Énfasis6 30 6" xfId="38260" xr:uid="{38BA6EE8-1704-4204-8758-9C8107397CA3}"/>
    <cellStyle name="40% - Énfasis6 31" xfId="6290" xr:uid="{5125480F-5C51-4481-A1FF-FFCC778EA361}"/>
    <cellStyle name="40% - Énfasis6 31 2" xfId="9159" xr:uid="{6A9380C2-E4E5-4219-93E9-09F0DC3A1C7C}"/>
    <cellStyle name="40% - Énfasis6 31 2 2" xfId="23523" xr:uid="{BC578BAE-00C5-4DB3-BF14-41C4A2A1D4CD}"/>
    <cellStyle name="40% - Énfasis6 31 2 3" xfId="29390" xr:uid="{7565A6AA-6BB3-4C7B-8E64-DC627CAEF970}"/>
    <cellStyle name="40% - Énfasis6 31 2 4" xfId="35272" xr:uid="{874D3DE5-BA97-417F-96DA-CA04B8065B2D}"/>
    <cellStyle name="40% - Énfasis6 31 2 5" xfId="41131" xr:uid="{E52CFC9B-31A2-4F9D-BBC9-61DB45272EFA}"/>
    <cellStyle name="40% - Énfasis6 31 3" xfId="20731" xr:uid="{5CB3689B-7478-4C85-9F8D-3A50FE09BE14}"/>
    <cellStyle name="40% - Énfasis6 31 4" xfId="26540" xr:uid="{E57043E5-5A16-4BD4-8B71-FF267CA0CD4E}"/>
    <cellStyle name="40% - Énfasis6 31 5" xfId="32415" xr:uid="{3B69BAB4-6456-4D6A-BFB1-69263369DFEE}"/>
    <cellStyle name="40% - Énfasis6 31 6" xfId="38280" xr:uid="{17FB4E26-58AD-4800-BEB5-BFEC2F07196D}"/>
    <cellStyle name="40% - Énfasis6 32" xfId="6314" xr:uid="{259C80ED-8D85-401A-9646-651175C7E4AD}"/>
    <cellStyle name="40% - Énfasis6 32 2" xfId="9182" xr:uid="{3CA4CF2E-5478-4EDD-88C9-DFE53B9DF047}"/>
    <cellStyle name="40% - Énfasis6 32 2 2" xfId="23546" xr:uid="{0AEBF4FF-670E-49DC-87AA-115DC8A96E64}"/>
    <cellStyle name="40% - Énfasis6 32 2 3" xfId="29413" xr:uid="{D5CE5C1B-D17C-4F92-9CB9-E54A7F02C3FD}"/>
    <cellStyle name="40% - Énfasis6 32 2 4" xfId="35295" xr:uid="{25831EBF-C2D6-4495-AEE8-B0CCFAB78601}"/>
    <cellStyle name="40% - Énfasis6 32 2 5" xfId="41154" xr:uid="{15D0C164-F938-42DE-9173-858CB5417625}"/>
    <cellStyle name="40% - Énfasis6 32 3" xfId="20755" xr:uid="{EB61E2AD-3DB5-4100-AC59-3AB7C77561E6}"/>
    <cellStyle name="40% - Énfasis6 32 4" xfId="26564" xr:uid="{D9A3F8C7-C318-4944-AED2-97200216BA15}"/>
    <cellStyle name="40% - Énfasis6 32 5" xfId="32439" xr:uid="{25DBF28B-23E3-4769-B209-D207B26CBA35}"/>
    <cellStyle name="40% - Énfasis6 32 6" xfId="38304" xr:uid="{403310D0-5ECA-4471-8678-3C30C7A247FE}"/>
    <cellStyle name="40% - Énfasis6 33" xfId="6346" xr:uid="{255FE893-D7A2-48FF-9497-1C220C7BF9B6}"/>
    <cellStyle name="40% - Énfasis6 33 2" xfId="9211" xr:uid="{429EDB78-4D1B-4E5A-8F69-6F57924B1D92}"/>
    <cellStyle name="40% - Énfasis6 33 2 2" xfId="23574" xr:uid="{DCA4444A-484C-4FDD-AF20-F166DF99F5C1}"/>
    <cellStyle name="40% - Énfasis6 33 2 3" xfId="29442" xr:uid="{3F3DA6D4-39F2-4F1C-96A6-48B815CDAF54}"/>
    <cellStyle name="40% - Énfasis6 33 2 4" xfId="35324" xr:uid="{F1DCEDFE-4560-41B7-B8B0-02B809174769}"/>
    <cellStyle name="40% - Énfasis6 33 2 5" xfId="41183" xr:uid="{21F2F064-750A-4C7E-B53C-81A26A61D071}"/>
    <cellStyle name="40% - Énfasis6 33 3" xfId="20787" xr:uid="{F022720D-439B-4432-AC81-F7F540A9D3C3}"/>
    <cellStyle name="40% - Énfasis6 33 4" xfId="26596" xr:uid="{54282BDE-F199-4A3C-B9CE-4317073CCE6F}"/>
    <cellStyle name="40% - Énfasis6 33 5" xfId="32471" xr:uid="{D3A369A6-86D2-4F20-A2A5-8AA1E7D32666}"/>
    <cellStyle name="40% - Énfasis6 33 6" xfId="38335" xr:uid="{1302932D-697B-4EE8-B3A0-0CC075957B19}"/>
    <cellStyle name="40% - Énfasis6 34" xfId="6366" xr:uid="{ECC940D0-8C48-4A15-AE3E-61996740B800}"/>
    <cellStyle name="40% - Énfasis6 34 2" xfId="9231" xr:uid="{546916CA-27A3-4427-A8E3-80FD2D9BC3F7}"/>
    <cellStyle name="40% - Énfasis6 34 2 2" xfId="23594" xr:uid="{CDB7E0C1-91A8-4846-BE5C-A8B9D7A94100}"/>
    <cellStyle name="40% - Énfasis6 34 2 3" xfId="29462" xr:uid="{56C7AB71-214A-4848-B22E-F9862325E4DD}"/>
    <cellStyle name="40% - Énfasis6 34 2 4" xfId="35344" xr:uid="{E2E0C498-4544-408F-9ADD-DE6B997F30EC}"/>
    <cellStyle name="40% - Énfasis6 34 2 5" xfId="41203" xr:uid="{FFEE59E5-BC98-4AB9-9BA2-C30987E00CD6}"/>
    <cellStyle name="40% - Énfasis6 34 3" xfId="20807" xr:uid="{63E110C7-7D58-4585-B792-BD6A5FAB8E8A}"/>
    <cellStyle name="40% - Énfasis6 34 4" xfId="26616" xr:uid="{935AC9A3-B358-48BE-82B3-6DA8611DA59B}"/>
    <cellStyle name="40% - Énfasis6 34 5" xfId="32491" xr:uid="{FBB07300-F59C-410E-840D-3812A7C84395}"/>
    <cellStyle name="40% - Énfasis6 34 6" xfId="38355" xr:uid="{6DB67E31-6928-4594-AFAC-19B7A98B1CA9}"/>
    <cellStyle name="40% - Énfasis6 35" xfId="6386" xr:uid="{E7D08EB2-41A0-44CD-B845-58D070C5F502}"/>
    <cellStyle name="40% - Énfasis6 35 2" xfId="9251" xr:uid="{9562807E-7243-4B0A-A5F4-AD5B4E55A8AF}"/>
    <cellStyle name="40% - Énfasis6 35 2 2" xfId="23614" xr:uid="{5B597055-2440-44B9-9E5B-FD1E49CDA189}"/>
    <cellStyle name="40% - Énfasis6 35 2 3" xfId="29482" xr:uid="{F8742E22-815B-43EB-A4D4-D0EEE9F75470}"/>
    <cellStyle name="40% - Énfasis6 35 2 4" xfId="35364" xr:uid="{7B7D5CDB-460F-4E28-A5CD-A74AD5C933C5}"/>
    <cellStyle name="40% - Énfasis6 35 2 5" xfId="41223" xr:uid="{73864A6D-5457-4000-89EB-66AF638C139F}"/>
    <cellStyle name="40% - Énfasis6 35 3" xfId="20827" xr:uid="{F92CD5A0-6161-481A-A679-9F6AFBC77620}"/>
    <cellStyle name="40% - Énfasis6 35 4" xfId="26636" xr:uid="{6B589D5D-6E7A-4F94-892C-20E3646C1841}"/>
    <cellStyle name="40% - Énfasis6 35 5" xfId="32511" xr:uid="{746D3173-698B-4359-9404-A41492A6689A}"/>
    <cellStyle name="40% - Énfasis6 35 6" xfId="38375" xr:uid="{87A90363-C7F9-4C7F-AD73-99AE23CDA5A3}"/>
    <cellStyle name="40% - Énfasis6 36" xfId="6407" xr:uid="{078F5E61-E726-420C-8AC1-6615B949FFFC}"/>
    <cellStyle name="40% - Énfasis6 36 2" xfId="9272" xr:uid="{752A8D01-EFB9-456E-9D7F-78AF1999DB61}"/>
    <cellStyle name="40% - Énfasis6 36 2 2" xfId="23635" xr:uid="{118FA427-46B8-4A01-A886-D976A06B3035}"/>
    <cellStyle name="40% - Énfasis6 36 2 3" xfId="29503" xr:uid="{10EAF189-B7A1-4EAB-A425-08B9C8F7EC34}"/>
    <cellStyle name="40% - Énfasis6 36 2 4" xfId="35385" xr:uid="{595755E9-3B6B-44EE-96BD-3EF4B5EAA68F}"/>
    <cellStyle name="40% - Énfasis6 36 2 5" xfId="41244" xr:uid="{A6EDEE24-4510-433B-9902-2FF5CD91BC98}"/>
    <cellStyle name="40% - Énfasis6 36 3" xfId="20848" xr:uid="{FF558E0C-6D9B-40C5-A915-FAB5DF6FBC59}"/>
    <cellStyle name="40% - Énfasis6 36 4" xfId="26657" xr:uid="{219210B8-0A82-41B6-8A76-C6A4EA4697DE}"/>
    <cellStyle name="40% - Énfasis6 36 5" xfId="32532" xr:uid="{E3FFBF78-36D4-48D9-8733-6058CB5748A3}"/>
    <cellStyle name="40% - Énfasis6 36 6" xfId="38396" xr:uid="{C6DDEFAC-1175-4409-99D7-3D23E886E70E}"/>
    <cellStyle name="40% - Énfasis6 37" xfId="6436" xr:uid="{53D8E860-508F-469E-A223-77A176210D76}"/>
    <cellStyle name="40% - Énfasis6 37 2" xfId="9298" xr:uid="{B8317835-5813-4D1D-AC23-E14A4251F2F4}"/>
    <cellStyle name="40% - Énfasis6 37 2 2" xfId="23661" xr:uid="{A0CDB3B1-B8A3-4B60-8E60-A2F0CE6DCA4F}"/>
    <cellStyle name="40% - Énfasis6 37 2 3" xfId="29529" xr:uid="{C6DAA40F-2449-4D71-9E6E-C4AEA468B1A2}"/>
    <cellStyle name="40% - Énfasis6 37 2 4" xfId="35411" xr:uid="{3A2E5E09-9D23-436E-BB12-63019D3CF382}"/>
    <cellStyle name="40% - Énfasis6 37 2 5" xfId="41270" xr:uid="{A364B238-937C-43B6-971A-42CC800EB233}"/>
    <cellStyle name="40% - Énfasis6 37 3" xfId="20877" xr:uid="{91420B22-6A77-4EA1-9DDD-6928231D0171}"/>
    <cellStyle name="40% - Énfasis6 37 4" xfId="26686" xr:uid="{D61163EE-FFAF-4CE5-BB5C-429BA2249EF0}"/>
    <cellStyle name="40% - Énfasis6 37 5" xfId="32561" xr:uid="{D28F3142-26D9-46AE-9248-2E0218E314CE}"/>
    <cellStyle name="40% - Énfasis6 37 6" xfId="38425" xr:uid="{F5401C8D-BE32-4B1C-97AD-2A06C38BDD42}"/>
    <cellStyle name="40% - Énfasis6 38" xfId="6470" xr:uid="{241BCA65-2986-4EA6-AD50-87B9C8392B6F}"/>
    <cellStyle name="40% - Énfasis6 38 2" xfId="9330" xr:uid="{08EBF3DF-4886-4363-8D6E-572186118BD9}"/>
    <cellStyle name="40% - Énfasis6 38 2 2" xfId="23693" xr:uid="{0AC947E5-D479-4F30-912A-16348B558E95}"/>
    <cellStyle name="40% - Énfasis6 38 2 3" xfId="29561" xr:uid="{1E62F184-63AD-4C0B-959E-3B0664674CDF}"/>
    <cellStyle name="40% - Énfasis6 38 2 4" xfId="35443" xr:uid="{C6C862FA-DF31-4510-A276-0C7BEB853EF3}"/>
    <cellStyle name="40% - Énfasis6 38 2 5" xfId="41302" xr:uid="{75FA9CAB-9946-481A-AF42-126D79EC9267}"/>
    <cellStyle name="40% - Énfasis6 38 3" xfId="20908" xr:uid="{899158DD-1CB2-4F60-94BE-C5C1C94399AF}"/>
    <cellStyle name="40% - Énfasis6 38 4" xfId="26719" xr:uid="{15BB6E7C-3EA1-4D85-8402-2423A72C5591}"/>
    <cellStyle name="40% - Énfasis6 38 5" xfId="32594" xr:uid="{2187213C-F92E-4121-BB86-C838544DA5C9}"/>
    <cellStyle name="40% - Énfasis6 38 6" xfId="38458" xr:uid="{3309707D-575F-4D62-BA06-DF3C30FFF31B}"/>
    <cellStyle name="40% - Énfasis6 39" xfId="6490" xr:uid="{900C5B96-3CEB-417E-AD78-89F0D660A5C9}"/>
    <cellStyle name="40% - Énfasis6 39 2" xfId="9350" xr:uid="{78D32BEF-1C1C-40EA-96DB-EC66E93B53A6}"/>
    <cellStyle name="40% - Énfasis6 39 2 2" xfId="23713" xr:uid="{B1F1036A-45BF-4815-BFCD-79A19731BF4F}"/>
    <cellStyle name="40% - Énfasis6 39 2 3" xfId="29581" xr:uid="{2AAFDC90-20CB-4C5C-899D-A80BDF3C6BA7}"/>
    <cellStyle name="40% - Énfasis6 39 2 4" xfId="35463" xr:uid="{C3F74227-AB8B-445A-9B19-1A4307B47944}"/>
    <cellStyle name="40% - Énfasis6 39 2 5" xfId="41322" xr:uid="{D799106D-C7ED-4FCF-905D-D991908F76F9}"/>
    <cellStyle name="40% - Énfasis6 39 3" xfId="20928" xr:uid="{3B033410-B781-44D5-8895-C5C47559AD08}"/>
    <cellStyle name="40% - Énfasis6 39 4" xfId="26739" xr:uid="{BBD3A559-CE8D-41E3-900D-EA526BE63F43}"/>
    <cellStyle name="40% - Énfasis6 39 5" xfId="32614" xr:uid="{51644122-8CF2-4E32-8047-C6566797F3C2}"/>
    <cellStyle name="40% - Énfasis6 39 6" xfId="38478" xr:uid="{E6B5F3CC-69FF-43F8-BFEE-F05261C5647E}"/>
    <cellStyle name="40% - Énfasis6 4" xfId="3900" xr:uid="{FDD74BDF-7B39-49D0-B5B7-F62EBB5C8601}"/>
    <cellStyle name="40% - Énfasis6 4 10" xfId="35892" xr:uid="{6A42221F-F0A9-4EF0-8CA4-11AFE39CB01B}"/>
    <cellStyle name="40% - Énfasis6 4 2" xfId="4097" xr:uid="{2A690341-CE26-4811-BA93-F3D504270459}"/>
    <cellStyle name="40% - Énfasis6 4 2 2" xfId="4575" xr:uid="{CD661DA1-87B7-4A9E-AF2C-810C2D4E97BA}"/>
    <cellStyle name="40% - Énfasis6 4 2 2 2" xfId="5543" xr:uid="{53F0FB92-DA72-40A4-9CC3-73776C03014A}"/>
    <cellStyle name="40% - Énfasis6 4 2 2 2 2" xfId="8410" xr:uid="{31F61B54-62FD-4ACD-98E4-218DEFB5C389}"/>
    <cellStyle name="40% - Énfasis6 4 2 2 2 2 2" xfId="22785" xr:uid="{075E9E93-4BB4-439A-A78C-F7824132AB3B}"/>
    <cellStyle name="40% - Énfasis6 4 2 2 2 2 3" xfId="28643" xr:uid="{56CD4CD2-D246-4871-B64C-6E6F8A547374}"/>
    <cellStyle name="40% - Énfasis6 4 2 2 2 2 4" xfId="34525" xr:uid="{AE6A6B37-A03C-40CE-BFF3-B90164EE6D9F}"/>
    <cellStyle name="40% - Énfasis6 4 2 2 2 2 5" xfId="40389" xr:uid="{8212D3D2-A014-4028-95DF-7B50681088DC}"/>
    <cellStyle name="40% - Énfasis6 4 2 2 2 3" xfId="20003" xr:uid="{1629E378-7C4B-48E6-8257-6BA8214663BA}"/>
    <cellStyle name="40% - Énfasis6 4 2 2 2 4" xfId="25794" xr:uid="{4E400F63-5701-40D5-A11D-01C7E192F8DD}"/>
    <cellStyle name="40% - Énfasis6 4 2 2 2 5" xfId="31668" xr:uid="{F6E54E33-0065-4A36-9D4D-AD86FD9388F2}"/>
    <cellStyle name="40% - Énfasis6 4 2 2 2 6" xfId="37538" xr:uid="{2E8BA937-A616-4A19-B885-115DF0993793}"/>
    <cellStyle name="40% - Énfasis6 4 2 2 3" xfId="7438" xr:uid="{B00B78ED-2A73-4916-A4B1-E8ED1F9A6AD1}"/>
    <cellStyle name="40% - Énfasis6 4 2 2 3 2" xfId="21840" xr:uid="{658789E8-C084-42F6-B3B9-AFC7E88D9218}"/>
    <cellStyle name="40% - Énfasis6 4 2 2 3 3" xfId="27672" xr:uid="{7D252FB4-38B9-43CB-886B-2159A5FAFC13}"/>
    <cellStyle name="40% - Énfasis6 4 2 2 3 4" xfId="33554" xr:uid="{B62A39C6-17B1-4525-8FD4-36691AF92341}"/>
    <cellStyle name="40% - Énfasis6 4 2 2 3 5" xfId="39418" xr:uid="{41EB5B08-9D93-4C3C-9EBF-F592EC429E3B}"/>
    <cellStyle name="40% - Énfasis6 4 2 2 4" xfId="19071" xr:uid="{90937433-E759-44CE-85DA-AEA0745DA321}"/>
    <cellStyle name="40% - Énfasis6 4 2 2 5" xfId="24823" xr:uid="{48495CDA-40D7-4903-8697-16C27AD043DE}"/>
    <cellStyle name="40% - Énfasis6 4 2 2 6" xfId="30700" xr:uid="{63566C6C-6E58-42EA-B5D2-BD38D4B2C51F}"/>
    <cellStyle name="40% - Énfasis6 4 2 2 7" xfId="36581" xr:uid="{FF6B5010-8E03-4598-A7D9-1FDC8844F237}"/>
    <cellStyle name="40% - Énfasis6 4 2 3" xfId="5058" xr:uid="{3B41DAD1-6EE5-4272-85C9-172DFCEAEC7A}"/>
    <cellStyle name="40% - Énfasis6 4 2 3 2" xfId="7925" xr:uid="{0DFE2640-250E-4A60-AA93-E44E26509DE6}"/>
    <cellStyle name="40% - Énfasis6 4 2 3 2 2" xfId="22310" xr:uid="{C2774C33-BFFA-49FE-9FFE-36E1334FE857}"/>
    <cellStyle name="40% - Énfasis6 4 2 3 2 3" xfId="28158" xr:uid="{657A65E7-7D3F-45C8-A05C-F202CD1253E8}"/>
    <cellStyle name="40% - Énfasis6 4 2 3 2 4" xfId="34040" xr:uid="{EF42D3AF-7DD1-41A4-BFAE-F9D36AEECC6C}"/>
    <cellStyle name="40% - Énfasis6 4 2 3 2 5" xfId="39904" xr:uid="{19F93919-2A40-4D2F-84EE-78F44A25C3AB}"/>
    <cellStyle name="40% - Énfasis6 4 2 3 3" xfId="19535" xr:uid="{73481AF8-2D51-40B9-838C-E3048C3CF1C2}"/>
    <cellStyle name="40% - Énfasis6 4 2 3 4" xfId="25309" xr:uid="{333A3E41-3695-47C8-B203-6E2DF4FCEDFF}"/>
    <cellStyle name="40% - Énfasis6 4 2 3 5" xfId="31183" xr:uid="{ECD3FA14-751B-4ECB-822E-C504FE9C767C}"/>
    <cellStyle name="40% - Énfasis6 4 2 3 6" xfId="37061" xr:uid="{4CFBDE51-2297-43D6-8861-B48C430D518A}"/>
    <cellStyle name="40% - Énfasis6 4 2 4" xfId="6953" xr:uid="{0011FCE6-89C7-447F-B90C-0C8699C8DD0F}"/>
    <cellStyle name="40% - Énfasis6 4 2 4 2" xfId="21373" xr:uid="{70185F4B-DC8E-4CE3-830E-428351E65E10}"/>
    <cellStyle name="40% - Énfasis6 4 2 4 3" xfId="27191" xr:uid="{4C04C128-F255-4180-90FA-54E1DC999AAC}"/>
    <cellStyle name="40% - Énfasis6 4 2 4 4" xfId="33069" xr:uid="{9E38670E-054E-4F7F-ABD5-3042C877A5E6}"/>
    <cellStyle name="40% - Énfasis6 4 2 4 5" xfId="38933" xr:uid="{FDBAF8C1-DFD5-483C-9ABB-4DC5EFC7C4CA}"/>
    <cellStyle name="40% - Énfasis6 4 2 5" xfId="18627" xr:uid="{F0DD8BA8-E651-4B2D-9E39-974C738276EA}"/>
    <cellStyle name="40% - Énfasis6 4 2 6" xfId="24340" xr:uid="{DBA24F45-E76F-41F2-8B12-AD23A2F2BA94}"/>
    <cellStyle name="40% - Énfasis6 4 2 7" xfId="30218" xr:uid="{4829C37F-AB82-4321-8BFC-E8745FBA93ED}"/>
    <cellStyle name="40% - Énfasis6 4 2 8" xfId="36097" xr:uid="{6DDF9EA2-CBFE-443A-BB92-65C597E23FE7}"/>
    <cellStyle name="40% - Énfasis6 4 3" xfId="4381" xr:uid="{A697E316-EB67-4BEA-9646-31D971BCFD43}"/>
    <cellStyle name="40% - Énfasis6 4 3 2" xfId="5347" xr:uid="{547B942F-99EF-41CD-B580-1F028DF7F792}"/>
    <cellStyle name="40% - Énfasis6 4 3 2 2" xfId="8214" xr:uid="{7F421FB5-3F31-4577-952A-1C9081C737DB}"/>
    <cellStyle name="40% - Énfasis6 4 3 2 2 2" xfId="22590" xr:uid="{B652E134-8A16-471A-8BDF-14DA9933984D}"/>
    <cellStyle name="40% - Énfasis6 4 3 2 2 3" xfId="28447" xr:uid="{4A8F77E9-D06A-41B0-A64F-633406B6C3EB}"/>
    <cellStyle name="40% - Énfasis6 4 3 2 2 4" xfId="34329" xr:uid="{9FB62991-B7F7-4D97-8CF0-53ACD46E5F71}"/>
    <cellStyle name="40% - Énfasis6 4 3 2 2 5" xfId="40193" xr:uid="{3D63B207-DDF5-46FD-BC49-200500CC30BA}"/>
    <cellStyle name="40% - Énfasis6 4 3 2 3" xfId="19814" xr:uid="{8E280E2C-1673-47A8-B7B4-EB3C15D5788D}"/>
    <cellStyle name="40% - Énfasis6 4 3 2 4" xfId="25598" xr:uid="{8BB8B008-4E58-4AF3-BCE4-6E1F6836A060}"/>
    <cellStyle name="40% - Énfasis6 4 3 2 5" xfId="31472" xr:uid="{E97D6FA9-3C28-4E6C-9C00-BCE77AA89B81}"/>
    <cellStyle name="40% - Énfasis6 4 3 2 6" xfId="37343" xr:uid="{BCA55EB0-33E8-45D6-8188-BEFDA5618670}"/>
    <cellStyle name="40% - Énfasis6 4 3 3" xfId="7242" xr:uid="{E5BDCEE9-65F8-47D3-A3B1-D76FF9DD87D4}"/>
    <cellStyle name="40% - Énfasis6 4 3 3 2" xfId="21649" xr:uid="{B8E1C613-9D34-48E3-95B4-E62BDC5C4585}"/>
    <cellStyle name="40% - Énfasis6 4 3 3 3" xfId="27476" xr:uid="{6A8513DA-D700-4A00-B412-82E3D9745C9A}"/>
    <cellStyle name="40% - Énfasis6 4 3 3 4" xfId="33358" xr:uid="{A72CD29F-DCB5-4A83-A427-B6326F2678AB}"/>
    <cellStyle name="40% - Énfasis6 4 3 3 5" xfId="39222" xr:uid="{644B9104-DAD0-42CB-80AF-2BB2A320E0E7}"/>
    <cellStyle name="40% - Énfasis6 4 3 4" xfId="18884" xr:uid="{6CA785DA-2DE6-4B9D-AC35-A7CB887BA70D}"/>
    <cellStyle name="40% - Énfasis6 4 3 5" xfId="24627" xr:uid="{A1DFFD36-56D0-428F-8E6A-2CDD89617FEC}"/>
    <cellStyle name="40% - Énfasis6 4 3 6" xfId="30506" xr:uid="{9418F8EC-97DE-4EEB-9E9B-57551376B665}"/>
    <cellStyle name="40% - Énfasis6 4 3 7" xfId="36386" xr:uid="{E90E70D9-5C7E-45FB-AECC-74CD8598B596}"/>
    <cellStyle name="40% - Énfasis6 4 4" xfId="4863" xr:uid="{747D5179-9F4F-4C65-9F6D-9F829F9F02EC}"/>
    <cellStyle name="40% - Énfasis6 4 4 2" xfId="7729" xr:uid="{E4297D72-01D7-415B-AE71-C89846D817C0}"/>
    <cellStyle name="40% - Énfasis6 4 4 2 2" xfId="22119" xr:uid="{68628A76-2ED8-4761-9C88-C4F90000C09D}"/>
    <cellStyle name="40% - Énfasis6 4 4 2 3" xfId="27962" xr:uid="{10FFAB37-0924-42C3-AC89-D08A3E6792EC}"/>
    <cellStyle name="40% - Énfasis6 4 4 2 4" xfId="33844" xr:uid="{EA91B595-68A8-4F39-8CB2-B711E2928CCA}"/>
    <cellStyle name="40% - Énfasis6 4 4 2 5" xfId="39708" xr:uid="{BE3E451B-2233-45AB-920C-8AF1FF26DBBD}"/>
    <cellStyle name="40% - Énfasis6 4 4 3" xfId="19345" xr:uid="{A7F7DF70-1E5D-4468-BE30-7E564060BE95}"/>
    <cellStyle name="40% - Énfasis6 4 4 4" xfId="25113" xr:uid="{4858A620-2ABC-4768-A708-C797D1F90944}"/>
    <cellStyle name="40% - Énfasis6 4 4 5" xfId="30987" xr:uid="{E600327F-0E26-41E0-8E48-F2278EA82ADF}"/>
    <cellStyle name="40% - Énfasis6 4 4 6" xfId="36866" xr:uid="{69C8A9C4-B8FF-45AC-85B5-666A9548F98B}"/>
    <cellStyle name="40% - Énfasis6 4 5" xfId="5872" xr:uid="{346F67E4-7CA5-4796-B724-C66385D86060}"/>
    <cellStyle name="40% - Énfasis6 4 5 2" xfId="8741" xr:uid="{A524B52D-0041-4849-8C26-410BC16973ED}"/>
    <cellStyle name="40% - Énfasis6 4 5 2 2" xfId="23109" xr:uid="{F2BA2B55-0696-4150-A908-3D37DA8139A6}"/>
    <cellStyle name="40% - Énfasis6 4 5 2 3" xfId="28973" xr:uid="{BA440CD2-9D9C-40CD-A527-D0B0F6029C66}"/>
    <cellStyle name="40% - Énfasis6 4 5 2 4" xfId="34855" xr:uid="{2ED7EA87-C6D0-46BE-A386-D9734969094A}"/>
    <cellStyle name="40% - Énfasis6 4 5 2 5" xfId="40719" xr:uid="{E1139D7F-D2BC-4CF0-BA5F-8EC24B68F7D9}"/>
    <cellStyle name="40% - Énfasis6 4 5 3" xfId="20324" xr:uid="{6052FE05-3A2D-4BAF-92E7-6B24CBAF8D85}"/>
    <cellStyle name="40% - Énfasis6 4 5 4" xfId="26123" xr:uid="{55F7E34C-616B-4059-B6AF-4B42976C8761}"/>
    <cellStyle name="40% - Énfasis6 4 5 5" xfId="31998" xr:uid="{00079FCF-EE64-4950-867E-F8D48CBB8341}"/>
    <cellStyle name="40% - Énfasis6 4 5 6" xfId="37864" xr:uid="{C04883AB-03C7-48F7-8C4B-7956DF4AF359}"/>
    <cellStyle name="40% - Énfasis6 4 6" xfId="6758" xr:uid="{FBEFF5DE-B59F-43DF-9F68-7DB59D35B4BA}"/>
    <cellStyle name="40% - Énfasis6 4 6 2" xfId="21182" xr:uid="{48718124-5D1C-4BB5-B084-72BCDF17C14A}"/>
    <cellStyle name="40% - Énfasis6 4 6 3" xfId="26997" xr:uid="{8AEF77F9-16A5-4E1E-A670-5E46D71E194A}"/>
    <cellStyle name="40% - Énfasis6 4 6 4" xfId="32873" xr:uid="{B04ECBCE-0D60-41C9-ACAD-76D7CB39BB1B}"/>
    <cellStyle name="40% - Énfasis6 4 6 5" xfId="38737" xr:uid="{4B1BBE9F-D58B-431C-AEFA-FB47A9F040C9}"/>
    <cellStyle name="40% - Énfasis6 4 7" xfId="18424" xr:uid="{BC98BECB-6472-47A9-ADC9-1CAD7A38214C}"/>
    <cellStyle name="40% - Énfasis6 4 8" xfId="24133" xr:uid="{5AF97ACD-2697-4B31-A00B-70AF5EAE7217}"/>
    <cellStyle name="40% - Énfasis6 4 9" xfId="30011" xr:uid="{AE610213-166D-4E6D-B1BE-1BB70DA95873}"/>
    <cellStyle name="40% - Énfasis6 40" xfId="6510" xr:uid="{E6D19CBE-FA59-44C4-8F96-CE558BA3C510}"/>
    <cellStyle name="40% - Énfasis6 40 2" xfId="9370" xr:uid="{A14B5D92-A221-4DAA-A09B-68DDC0427D2C}"/>
    <cellStyle name="40% - Énfasis6 40 2 2" xfId="23733" xr:uid="{EBD0C7B5-3EF0-43E9-AF65-4FB24E01099E}"/>
    <cellStyle name="40% - Énfasis6 40 2 3" xfId="29601" xr:uid="{526A59E6-6B90-44F0-88AF-70FB29A88A99}"/>
    <cellStyle name="40% - Énfasis6 40 2 4" xfId="35483" xr:uid="{1D514F40-B97F-4A4A-9BE5-3E37B20EA263}"/>
    <cellStyle name="40% - Énfasis6 40 2 5" xfId="41342" xr:uid="{9683057F-3296-4CBC-B3F9-F5A4123F1216}"/>
    <cellStyle name="40% - Énfasis6 40 3" xfId="20948" xr:uid="{3903853C-E446-4966-BC94-6CDB519D7D0C}"/>
    <cellStyle name="40% - Énfasis6 40 4" xfId="26759" xr:uid="{B217B6BC-8D72-4B9D-9494-7B7AF4EB476C}"/>
    <cellStyle name="40% - Énfasis6 40 5" xfId="32634" xr:uid="{7E07FAEE-4443-47F0-AD39-0746ECF9E5BB}"/>
    <cellStyle name="40% - Énfasis6 40 6" xfId="38498" xr:uid="{F241E308-507A-4A10-93B7-5A75B8EDA475}"/>
    <cellStyle name="40% - Énfasis6 41" xfId="6530" xr:uid="{357F6BD0-CB07-45E8-AE07-CA35DD529321}"/>
    <cellStyle name="40% - Énfasis6 41 2" xfId="9390" xr:uid="{1F1D2937-9249-488E-BEBF-CAC4E8CED464}"/>
    <cellStyle name="40% - Énfasis6 41 2 2" xfId="23753" xr:uid="{9EAC9B26-810D-4B26-908B-5CCBFC469930}"/>
    <cellStyle name="40% - Énfasis6 41 2 3" xfId="29621" xr:uid="{B99F6BDA-7DCD-4A84-B3F8-DB9389BE5E93}"/>
    <cellStyle name="40% - Énfasis6 41 2 4" xfId="35503" xr:uid="{5F425387-12EB-4D4E-BF0C-D88EE59D2762}"/>
    <cellStyle name="40% - Énfasis6 41 2 5" xfId="41362" xr:uid="{94774338-3F99-4602-B46A-56A9DA7A344D}"/>
    <cellStyle name="40% - Énfasis6 41 3" xfId="20968" xr:uid="{FF93086E-2CCE-4CA4-BBF2-3626B254F64B}"/>
    <cellStyle name="40% - Énfasis6 41 4" xfId="26779" xr:uid="{E5079336-2DE0-421C-AD69-BC4C69F56354}"/>
    <cellStyle name="40% - Énfasis6 41 5" xfId="32654" xr:uid="{86797DC2-7991-4DC8-9F8F-49EB7D4D57A3}"/>
    <cellStyle name="40% - Énfasis6 41 6" xfId="38518" xr:uid="{BDE04560-A0F4-4FB1-B8FC-13A888A84EDF}"/>
    <cellStyle name="40% - Énfasis6 42" xfId="6550" xr:uid="{93FF24C2-CFA5-4BDA-BE15-C2A375318B48}"/>
    <cellStyle name="40% - Énfasis6 42 2" xfId="9410" xr:uid="{8C9EBAEB-D291-417F-BF53-55F0AD8D15BF}"/>
    <cellStyle name="40% - Énfasis6 42 2 2" xfId="23773" xr:uid="{220B0770-16EA-4B1A-92C6-AC4963B728DC}"/>
    <cellStyle name="40% - Énfasis6 42 2 3" xfId="29641" xr:uid="{41E6215B-1DD3-42F6-AC01-94E064B90408}"/>
    <cellStyle name="40% - Énfasis6 42 2 4" xfId="35523" xr:uid="{5A852FCB-BCFC-42E8-B0B8-175A000D7974}"/>
    <cellStyle name="40% - Énfasis6 42 2 5" xfId="41382" xr:uid="{F80C0EAB-0E3F-427A-8842-DCAA56846205}"/>
    <cellStyle name="40% - Énfasis6 42 3" xfId="20988" xr:uid="{ED4D1B77-2D12-49A6-A1C5-9985989B47E8}"/>
    <cellStyle name="40% - Énfasis6 42 4" xfId="26799" xr:uid="{9617371B-ABB8-4221-AF8B-1478FDF3F0B3}"/>
    <cellStyle name="40% - Énfasis6 42 5" xfId="32674" xr:uid="{5D4BA916-A8B7-4D68-9388-5D7AF95F3E85}"/>
    <cellStyle name="40% - Énfasis6 42 6" xfId="38538" xr:uid="{4A40B214-6B57-4FB0-99F0-11B89F26689D}"/>
    <cellStyle name="40% - Énfasis6 43" xfId="6571" xr:uid="{3BFC4DBB-F5FB-4F89-B619-5E5B6686C13A}"/>
    <cellStyle name="40% - Énfasis6 43 2" xfId="9432" xr:uid="{D9D61AB8-F0F6-474D-8035-16D031F98A38}"/>
    <cellStyle name="40% - Énfasis6 43 2 2" xfId="23795" xr:uid="{0BCE8979-9818-4CD8-8AD4-BEC24B169B5D}"/>
    <cellStyle name="40% - Énfasis6 43 2 3" xfId="29663" xr:uid="{57DD1EE0-4CB1-438F-A957-0BE4AB475D75}"/>
    <cellStyle name="40% - Énfasis6 43 2 4" xfId="35545" xr:uid="{2E03F3A1-35EA-47D4-9E52-AD6CE8769D0B}"/>
    <cellStyle name="40% - Énfasis6 43 2 5" xfId="41404" xr:uid="{5007CBDF-55D0-4925-A8D2-121BE5521527}"/>
    <cellStyle name="40% - Énfasis6 43 3" xfId="21010" xr:uid="{C115D4BD-7A97-4CAE-BBCA-2B0FE8E12D29}"/>
    <cellStyle name="40% - Énfasis6 43 4" xfId="26821" xr:uid="{04581302-206F-4DD8-BC86-9ABF851751DC}"/>
    <cellStyle name="40% - Énfasis6 43 5" xfId="32696" xr:uid="{A782A7D8-9FED-4135-A300-4FA968981F37}"/>
    <cellStyle name="40% - Énfasis6 43 6" xfId="38560" xr:uid="{C13CEA79-C883-40C9-9331-6040C639078D}"/>
    <cellStyle name="40% - Énfasis6 44" xfId="6601" xr:uid="{FBB76829-E712-4D8B-B516-66041361620E}"/>
    <cellStyle name="40% - Énfasis6 44 2" xfId="9461" xr:uid="{7A17F141-32F6-4DB6-81A9-3F71C82DB224}"/>
    <cellStyle name="40% - Énfasis6 44 2 2" xfId="23823" xr:uid="{181E3692-FFDA-4F32-8D89-251187E78039}"/>
    <cellStyle name="40% - Énfasis6 44 2 3" xfId="29692" xr:uid="{A3840740-F9DC-4EB2-A55D-63B77D3ED325}"/>
    <cellStyle name="40% - Énfasis6 44 2 4" xfId="35574" xr:uid="{DBF9592F-3265-4FE6-A7DE-3FC49D751E1A}"/>
    <cellStyle name="40% - Énfasis6 44 2 5" xfId="41433" xr:uid="{2F6A0C05-42FE-4AF9-AA89-3B977F7AD772}"/>
    <cellStyle name="40% - Énfasis6 44 3" xfId="21039" xr:uid="{FC9816D1-2E84-4939-86F3-F73837B2D1B5}"/>
    <cellStyle name="40% - Énfasis6 44 4" xfId="26850" xr:uid="{31527B3A-CAAD-4235-B31F-5428569B63A1}"/>
    <cellStyle name="40% - Énfasis6 44 5" xfId="32725" xr:uid="{F2132158-2328-4018-B8C3-C9ABFAEB32D7}"/>
    <cellStyle name="40% - Énfasis6 44 6" xfId="38589" xr:uid="{3C75337E-0E13-4354-876F-8625540FB1C3}"/>
    <cellStyle name="40% - Énfasis6 45" xfId="6626" xr:uid="{A927D951-8AC8-4278-B11D-AF1CF3DAD8E5}"/>
    <cellStyle name="40% - Énfasis6 45 2" xfId="9486" xr:uid="{573A3906-7418-49C8-88CD-4AD1FCF80BCB}"/>
    <cellStyle name="40% - Énfasis6 45 2 2" xfId="23848" xr:uid="{42D3029C-3F51-47D8-86AA-27AB27110F4E}"/>
    <cellStyle name="40% - Énfasis6 45 2 3" xfId="29717" xr:uid="{DF36AB44-F356-4D49-98EA-ED6B36F1CF6A}"/>
    <cellStyle name="40% - Énfasis6 45 2 4" xfId="35599" xr:uid="{C41B0C6C-3D8D-4C6D-A451-00F5CF328BD0}"/>
    <cellStyle name="40% - Énfasis6 45 2 5" xfId="41458" xr:uid="{02E37453-3E56-439C-A6D4-3E19CBC5F9A9}"/>
    <cellStyle name="40% - Énfasis6 45 3" xfId="21063" xr:uid="{4B3AC323-4F9C-4C35-88A7-81D0B48914E6}"/>
    <cellStyle name="40% - Énfasis6 45 4" xfId="26875" xr:uid="{8121E428-17CA-4405-8399-7F1F01740946}"/>
    <cellStyle name="40% - Énfasis6 45 5" xfId="32750" xr:uid="{43B8E500-83F2-4EDF-BAE2-A65E9767B28B}"/>
    <cellStyle name="40% - Énfasis6 45 6" xfId="38614" xr:uid="{75EE09BB-0F28-4B7D-A502-3A1E27D3B555}"/>
    <cellStyle name="40% - Énfasis6 46" xfId="6648" xr:uid="{DB103C6A-3418-4E8B-80F6-013E9275C923}"/>
    <cellStyle name="40% - Énfasis6 46 2" xfId="21085" xr:uid="{D34D6504-4302-4972-9519-8D6D2E012A50}"/>
    <cellStyle name="40% - Énfasis6 46 3" xfId="26897" xr:uid="{0D2FC181-523D-42CA-AACA-A7BAA1E668DD}"/>
    <cellStyle name="40% - Énfasis6 46 4" xfId="32772" xr:uid="{48E31D25-29E5-47ED-9A90-38727F04DCC7}"/>
    <cellStyle name="40% - Énfasis6 46 5" xfId="38636" xr:uid="{A74282AD-1ABF-49D4-ABCB-A8316A020D71}"/>
    <cellStyle name="40% - Énfasis6 47" xfId="6678" xr:uid="{5589E84D-CC52-4619-A3D4-05D196B320C3}"/>
    <cellStyle name="40% - Énfasis6 47 2" xfId="21107" xr:uid="{F513987D-2A0E-492B-A033-D4B14B0B0950}"/>
    <cellStyle name="40% - Énfasis6 47 3" xfId="26919" xr:uid="{7CEC1D23-74ED-4A4B-B463-600FB63B589A}"/>
    <cellStyle name="40% - Énfasis6 47 4" xfId="32794" xr:uid="{B1724318-9E14-4083-863D-BD4D21A2D3E6}"/>
    <cellStyle name="40% - Énfasis6 47 5" xfId="38658" xr:uid="{369CF0F5-2132-4228-BBA6-FACF44A69608}"/>
    <cellStyle name="40% - Énfasis6 48" xfId="9499" xr:uid="{5F9C0C7B-849D-4B4A-99CE-DE56AAFE7978}"/>
    <cellStyle name="40% - Énfasis6 48 2" xfId="23861" xr:uid="{450ED928-5B86-4B87-B6A5-A81EC347248B}"/>
    <cellStyle name="40% - Énfasis6 48 3" xfId="29730" xr:uid="{EA51143E-2FDE-4D0D-92F6-99199942FA77}"/>
    <cellStyle name="40% - Énfasis6 48 4" xfId="35612" xr:uid="{19A48C20-9E70-4D0B-BCD1-D12CDBE600E2}"/>
    <cellStyle name="40% - Énfasis6 48 5" xfId="41471" xr:uid="{68DF68DB-ABB6-411E-A2B5-8307D2906416}"/>
    <cellStyle name="40% - Énfasis6 49" xfId="9527" xr:uid="{EF4AA52C-6EA5-48F1-B834-99D6EF69B2F1}"/>
    <cellStyle name="40% - Énfasis6 49 2" xfId="23888" xr:uid="{AFB901B6-BE45-4544-9DF8-0A349B474AF3}"/>
    <cellStyle name="40% - Énfasis6 49 3" xfId="29758" xr:uid="{7ADE0F78-DFF7-4A69-9B46-B2FDCBC3D1AA}"/>
    <cellStyle name="40% - Énfasis6 49 4" xfId="35640" xr:uid="{AB0BCBEC-B120-49C8-AAEA-F8EF2665C7F9}"/>
    <cellStyle name="40% - Énfasis6 49 5" xfId="41499" xr:uid="{64211776-4FCC-4E8D-AFFA-89A1E899553B}"/>
    <cellStyle name="40% - Énfasis6 5" xfId="3926" xr:uid="{9D0E7CA7-6CD3-434B-8783-9D31445F7E8F}"/>
    <cellStyle name="40% - Énfasis6 5 10" xfId="35918" xr:uid="{254FA044-7037-4E12-B4DF-A02F7B6E0984}"/>
    <cellStyle name="40% - Énfasis6 5 2" xfId="4120" xr:uid="{4F0410B3-3824-4E6B-A03D-35233A8E2988}"/>
    <cellStyle name="40% - Énfasis6 5 2 2" xfId="4598" xr:uid="{9D4CBED1-D12F-4EFD-8188-1C801CF3712B}"/>
    <cellStyle name="40% - Énfasis6 5 2 2 2" xfId="5566" xr:uid="{02E56711-D4A5-47FA-810A-8999D0217C10}"/>
    <cellStyle name="40% - Énfasis6 5 2 2 2 2" xfId="8433" xr:uid="{0305D479-39F2-4008-904F-2B701DD08FAB}"/>
    <cellStyle name="40% - Énfasis6 5 2 2 2 2 2" xfId="22808" xr:uid="{105B28BB-FF51-491A-A676-FACF5EF1C783}"/>
    <cellStyle name="40% - Énfasis6 5 2 2 2 2 3" xfId="28666" xr:uid="{21A6B597-27DB-49C9-B2F7-B616CDFC27BA}"/>
    <cellStyle name="40% - Énfasis6 5 2 2 2 2 4" xfId="34548" xr:uid="{7F72DF9D-C12B-40F6-AAB7-C6476AA0745E}"/>
    <cellStyle name="40% - Énfasis6 5 2 2 2 2 5" xfId="40412" xr:uid="{880BB20C-75BE-4027-9A86-EAB00E4E6531}"/>
    <cellStyle name="40% - Énfasis6 5 2 2 2 3" xfId="20026" xr:uid="{CF1C124F-A146-4716-A20A-3AD392607A33}"/>
    <cellStyle name="40% - Énfasis6 5 2 2 2 4" xfId="25817" xr:uid="{F732AB5E-7A64-4C30-BDB7-3176F01A6B94}"/>
    <cellStyle name="40% - Énfasis6 5 2 2 2 5" xfId="31691" xr:uid="{A4980856-17A2-4E86-B5F9-FB3B47B15BED}"/>
    <cellStyle name="40% - Énfasis6 5 2 2 2 6" xfId="37561" xr:uid="{B4C32758-4686-4519-8B38-F17BD086A356}"/>
    <cellStyle name="40% - Énfasis6 5 2 2 3" xfId="7461" xr:uid="{652F884E-7F4D-4B3A-A65C-671B345C0FE6}"/>
    <cellStyle name="40% - Énfasis6 5 2 2 3 2" xfId="21863" xr:uid="{17FB55D6-4975-4816-8DF7-C385FBAC1C26}"/>
    <cellStyle name="40% - Énfasis6 5 2 2 3 3" xfId="27695" xr:uid="{8CD10668-188A-4E40-B696-FE4194DB4DA1}"/>
    <cellStyle name="40% - Énfasis6 5 2 2 3 4" xfId="33577" xr:uid="{3A585894-CB23-491F-9B8D-A2192917F1C5}"/>
    <cellStyle name="40% - Énfasis6 5 2 2 3 5" xfId="39441" xr:uid="{75F581F4-A7E6-4838-A23A-9AEE48ABCFCB}"/>
    <cellStyle name="40% - Énfasis6 5 2 2 4" xfId="19093" xr:uid="{02D38559-8A2A-4E80-B930-40ED93F0F8A4}"/>
    <cellStyle name="40% - Énfasis6 5 2 2 5" xfId="24846" xr:uid="{2ED1EE13-4561-4860-BD31-FDA3D35FA31D}"/>
    <cellStyle name="40% - Énfasis6 5 2 2 6" xfId="30723" xr:uid="{FC119A07-21B0-488A-8226-7A25B959032E}"/>
    <cellStyle name="40% - Énfasis6 5 2 2 7" xfId="36604" xr:uid="{843D98F1-61F0-4010-8153-B6F2BE601463}"/>
    <cellStyle name="40% - Énfasis6 5 2 3" xfId="5081" xr:uid="{89E96F37-3FBB-4EA7-84CC-7447C21326D7}"/>
    <cellStyle name="40% - Énfasis6 5 2 3 2" xfId="7948" xr:uid="{BEB4FCE4-1C02-4A27-B865-435D9627015D}"/>
    <cellStyle name="40% - Énfasis6 5 2 3 2 2" xfId="22333" xr:uid="{B5AE2261-45EC-4691-955B-E758CC0444BB}"/>
    <cellStyle name="40% - Énfasis6 5 2 3 2 3" xfId="28181" xr:uid="{7A6F072E-4352-4345-97B0-48BE0A234F11}"/>
    <cellStyle name="40% - Énfasis6 5 2 3 2 4" xfId="34063" xr:uid="{4FA59CF3-B5EE-4FEE-9795-314A79F91F2F}"/>
    <cellStyle name="40% - Énfasis6 5 2 3 2 5" xfId="39927" xr:uid="{31143BA5-0F38-415E-9173-57F0FDFA2043}"/>
    <cellStyle name="40% - Énfasis6 5 2 3 3" xfId="19558" xr:uid="{7076F614-C866-4566-AC4F-08D2D9482F2D}"/>
    <cellStyle name="40% - Énfasis6 5 2 3 4" xfId="25332" xr:uid="{CFCBD8B6-F5AE-4A1D-94B2-06646DAC2FD4}"/>
    <cellStyle name="40% - Énfasis6 5 2 3 5" xfId="31206" xr:uid="{25495959-F4FE-474D-BAD8-4BD6211F54A7}"/>
    <cellStyle name="40% - Énfasis6 5 2 3 6" xfId="37084" xr:uid="{0E057233-561A-4C70-854E-19A4734C018B}"/>
    <cellStyle name="40% - Énfasis6 5 2 4" xfId="6976" xr:uid="{3EFF6095-7463-439A-B22B-C3911B11FEA4}"/>
    <cellStyle name="40% - Énfasis6 5 2 4 2" xfId="21395" xr:uid="{F51C5024-272B-4BD3-82AD-3C64E2B786C4}"/>
    <cellStyle name="40% - Énfasis6 5 2 4 3" xfId="27214" xr:uid="{6E29D0C3-9C08-4D59-9BA5-6E022EFC8E7F}"/>
    <cellStyle name="40% - Énfasis6 5 2 4 4" xfId="33092" xr:uid="{53C1D4A2-A88E-4D0F-82F5-923943D0B23A}"/>
    <cellStyle name="40% - Énfasis6 5 2 4 5" xfId="38956" xr:uid="{13FFD6F1-69EB-4D71-ADC9-289BAD859C49}"/>
    <cellStyle name="40% - Énfasis6 5 2 5" xfId="18649" xr:uid="{27E928E5-6220-4985-9B4F-AC5485069C84}"/>
    <cellStyle name="40% - Énfasis6 5 2 6" xfId="24363" xr:uid="{D9D20176-6287-4E4E-8867-D461BF2E0A62}"/>
    <cellStyle name="40% - Énfasis6 5 2 7" xfId="30241" xr:uid="{A23DCF6B-0F18-49D8-8D48-6A028C1810FD}"/>
    <cellStyle name="40% - Énfasis6 5 2 8" xfId="36120" xr:uid="{5B47BE85-74B3-450B-94ED-EFB14EAED4C1}"/>
    <cellStyle name="40% - Énfasis6 5 3" xfId="4404" xr:uid="{FC1F3B0D-4071-4531-8424-D03D47C00136}"/>
    <cellStyle name="40% - Énfasis6 5 3 2" xfId="5370" xr:uid="{C8A888AD-D323-496D-8C23-4B59B8E63677}"/>
    <cellStyle name="40% - Énfasis6 5 3 2 2" xfId="8237" xr:uid="{35670CDA-FC47-4BDE-B34F-658898D55495}"/>
    <cellStyle name="40% - Énfasis6 5 3 2 2 2" xfId="22613" xr:uid="{A11C64CA-118C-4369-9F9A-DFF2DA08D422}"/>
    <cellStyle name="40% - Énfasis6 5 3 2 2 3" xfId="28470" xr:uid="{E7C017ED-A1EE-4C4A-8B95-813CAAD699CC}"/>
    <cellStyle name="40% - Énfasis6 5 3 2 2 4" xfId="34352" xr:uid="{4AA1BBC1-D6DC-4EED-81E3-6DDBB3801F76}"/>
    <cellStyle name="40% - Énfasis6 5 3 2 2 5" xfId="40216" xr:uid="{B19DCC8F-5A77-4824-87CB-4C4E04CEEEC5}"/>
    <cellStyle name="40% - Énfasis6 5 3 2 3" xfId="19837" xr:uid="{0C6278CD-B10A-49BE-AE6D-A4F912BB2FD1}"/>
    <cellStyle name="40% - Énfasis6 5 3 2 4" xfId="25621" xr:uid="{375EAACE-BBAD-4ECD-8AAC-FF0789F501D0}"/>
    <cellStyle name="40% - Énfasis6 5 3 2 5" xfId="31495" xr:uid="{F6A1FDDC-ED29-4A41-B281-06A0DF40D069}"/>
    <cellStyle name="40% - Énfasis6 5 3 2 6" xfId="37366" xr:uid="{748B9670-59C5-4334-BE86-B963D25D15BD}"/>
    <cellStyle name="40% - Énfasis6 5 3 3" xfId="7265" xr:uid="{19F3A415-2F3F-43AF-B2C3-54770175682C}"/>
    <cellStyle name="40% - Énfasis6 5 3 3 2" xfId="21672" xr:uid="{9B8B689B-F381-4171-A910-CE4916D6B49B}"/>
    <cellStyle name="40% - Énfasis6 5 3 3 3" xfId="27499" xr:uid="{54B3BDE4-1532-4147-884F-CE0C21189673}"/>
    <cellStyle name="40% - Énfasis6 5 3 3 4" xfId="33381" xr:uid="{0B5CA09B-2569-41AC-9F3B-625A291408D4}"/>
    <cellStyle name="40% - Énfasis6 5 3 3 5" xfId="39245" xr:uid="{7DCA5AA6-0E5A-4F08-876D-5781E16F94D3}"/>
    <cellStyle name="40% - Énfasis6 5 3 4" xfId="18906" xr:uid="{50A9C221-7FAC-45DF-8F24-115669024CFD}"/>
    <cellStyle name="40% - Énfasis6 5 3 5" xfId="24650" xr:uid="{BF973B84-813A-4204-86D8-8A783C47C5BA}"/>
    <cellStyle name="40% - Énfasis6 5 3 6" xfId="30529" xr:uid="{95748588-6188-47B9-916B-58AE8B36E6DB}"/>
    <cellStyle name="40% - Énfasis6 5 3 7" xfId="36409" xr:uid="{C6D32DFA-150F-48EC-BB52-933EDD2B1DE6}"/>
    <cellStyle name="40% - Énfasis6 5 4" xfId="4885" xr:uid="{A0AF01AE-A991-4107-9441-5B848259307B}"/>
    <cellStyle name="40% - Énfasis6 5 4 2" xfId="7752" xr:uid="{6BECB920-916B-4988-AC3F-2789BC960697}"/>
    <cellStyle name="40% - Énfasis6 5 4 2 2" xfId="22142" xr:uid="{55E54D18-E197-4734-9186-7C9676B3F13C}"/>
    <cellStyle name="40% - Énfasis6 5 4 2 3" xfId="27985" xr:uid="{E4FEBF0F-E27E-4673-8237-09D3E098EDE0}"/>
    <cellStyle name="40% - Énfasis6 5 4 2 4" xfId="33867" xr:uid="{4A44E63F-CDDB-4E58-B496-AAD83CB10B0C}"/>
    <cellStyle name="40% - Énfasis6 5 4 2 5" xfId="39731" xr:uid="{F81898E2-A86B-4842-9E2B-01B3D51B62B1}"/>
    <cellStyle name="40% - Énfasis6 5 4 3" xfId="19368" xr:uid="{CF0D9A2C-6628-4360-A3F9-3CFE00B722F9}"/>
    <cellStyle name="40% - Énfasis6 5 4 4" xfId="25136" xr:uid="{ECC71A9F-CAF3-40AF-B35A-1F6165BDFD3D}"/>
    <cellStyle name="40% - Énfasis6 5 4 5" xfId="31010" xr:uid="{7AB9F901-D21C-4A99-B710-A8FB9BB8E8F6}"/>
    <cellStyle name="40% - Énfasis6 5 4 6" xfId="36889" xr:uid="{2E1DB516-7E7B-4558-A7A9-02B9283D6126}"/>
    <cellStyle name="40% - Énfasis6 5 5" xfId="5895" xr:uid="{8B20920F-D6A2-4FC6-8CC5-8C1577E33D0E}"/>
    <cellStyle name="40% - Énfasis6 5 5 2" xfId="8764" xr:uid="{5EE2856B-77EB-4FDF-8949-73E3A065B838}"/>
    <cellStyle name="40% - Énfasis6 5 5 2 2" xfId="23132" xr:uid="{43F17D2C-CE03-4445-A6CA-4E0E0252DE36}"/>
    <cellStyle name="40% - Énfasis6 5 5 2 3" xfId="28996" xr:uid="{C592306D-12F5-45DE-B7DB-ADB43FA1DEB1}"/>
    <cellStyle name="40% - Énfasis6 5 5 2 4" xfId="34878" xr:uid="{E0265AB5-203B-486A-9220-C43095F1607A}"/>
    <cellStyle name="40% - Énfasis6 5 5 2 5" xfId="40742" xr:uid="{67D3583E-A7FF-437E-BB43-3A7B01B8D787}"/>
    <cellStyle name="40% - Énfasis6 5 5 3" xfId="20346" xr:uid="{24F1D865-AFE7-4AF1-8040-5724D5491242}"/>
    <cellStyle name="40% - Énfasis6 5 5 4" xfId="26146" xr:uid="{B7454B45-5753-4969-AA23-607E2EFC22CF}"/>
    <cellStyle name="40% - Énfasis6 5 5 5" xfId="32021" xr:uid="{78FDEC65-33E1-4C6B-B17F-1C8CB218E2F0}"/>
    <cellStyle name="40% - Énfasis6 5 5 6" xfId="37887" xr:uid="{5575A1B7-49C5-4C8E-ACB8-EC049DFDECE9}"/>
    <cellStyle name="40% - Énfasis6 5 6" xfId="6781" xr:uid="{1AB6AB3D-9909-4E16-A16C-64EBBFCBF180}"/>
    <cellStyle name="40% - Énfasis6 5 6 2" xfId="21205" xr:uid="{07EC0068-A8E4-49A8-811D-CD7E014244FC}"/>
    <cellStyle name="40% - Énfasis6 5 6 3" xfId="27020" xr:uid="{38255DF8-7E21-4D83-A388-9686F894CE25}"/>
    <cellStyle name="40% - Énfasis6 5 6 4" xfId="32896" xr:uid="{CC9F6936-2973-49EC-AD43-1470D35517F1}"/>
    <cellStyle name="40% - Énfasis6 5 6 5" xfId="38760" xr:uid="{129AFFB2-1809-46DE-9E26-AC4F98548814}"/>
    <cellStyle name="40% - Énfasis6 5 7" xfId="18451" xr:uid="{F5EDE03A-9539-4BBB-BF8E-8A41EDF51875}"/>
    <cellStyle name="40% - Énfasis6 5 8" xfId="24159" xr:uid="{D9B1A64F-7CA4-4DE1-B295-AA7747EEE309}"/>
    <cellStyle name="40% - Énfasis6 5 9" xfId="30037" xr:uid="{6030E0DB-5438-47AD-9437-C7969F32C4D8}"/>
    <cellStyle name="40% - Énfasis6 50" xfId="9546" xr:uid="{41268DE6-FD3B-4D2A-B03D-4486A85227EF}"/>
    <cellStyle name="40% - Énfasis6 50 2" xfId="23908" xr:uid="{A0C228D8-04B9-4CCF-9A9A-2D09AB3CE095}"/>
    <cellStyle name="40% - Énfasis6 50 3" xfId="29778" xr:uid="{A3B5987C-6BBC-4249-9411-3E4A164BE3C1}"/>
    <cellStyle name="40% - Énfasis6 50 4" xfId="35660" xr:uid="{077A43B3-0AD0-4ABC-AC50-41E6E8F72EF3}"/>
    <cellStyle name="40% - Énfasis6 50 5" xfId="41519" xr:uid="{95E94642-8099-4615-9097-00A939648322}"/>
    <cellStyle name="40% - Énfasis6 51" xfId="9573" xr:uid="{C053BD0B-A744-499E-A50D-8A236B78DC89}"/>
    <cellStyle name="40% - Énfasis6 51 2" xfId="23935" xr:uid="{8B28F483-2E26-46BB-B0C2-12E7B299125C}"/>
    <cellStyle name="40% - Énfasis6 51 3" xfId="29805" xr:uid="{2F09B71F-1EF8-4C53-9CE4-5D35A0529652}"/>
    <cellStyle name="40% - Énfasis6 51 4" xfId="35687" xr:uid="{04C50891-DF3F-4985-A005-B8E93FD476CA}"/>
    <cellStyle name="40% - Énfasis6 51 5" xfId="41546" xr:uid="{84D215B8-D50F-402F-AB1D-47947E27AEAF}"/>
    <cellStyle name="40% - Énfasis6 52" xfId="15774" xr:uid="{6F78BAB5-C489-456A-949B-21300E7B596B}"/>
    <cellStyle name="40% - Énfasis6 52 2" xfId="23994" xr:uid="{AD782B7F-1C48-40CC-971E-CFB6116D3FDA}"/>
    <cellStyle name="40% - Énfasis6 52 3" xfId="29866" xr:uid="{7A5E30B8-B041-42B9-B392-1CC856ACD929}"/>
    <cellStyle name="40% - Énfasis6 52 4" xfId="35748" xr:uid="{088A5EF5-B5D7-42BE-ACE8-AD7497CEDAA5}"/>
    <cellStyle name="40% - Énfasis6 52 5" xfId="41607" xr:uid="{E2F80E64-971C-4CA4-84EE-A0A70EA2CEAD}"/>
    <cellStyle name="40% - Énfasis6 53" xfId="15799" xr:uid="{1CCF7981-0F8D-4855-81A5-5179D5AD7051}"/>
    <cellStyle name="40% - Énfasis6 53 2" xfId="24016" xr:uid="{0F588852-67A8-47EA-96F1-45568749D9C4}"/>
    <cellStyle name="40% - Énfasis6 53 3" xfId="29891" xr:uid="{E36E4C2D-7ACE-449F-B346-EDD790C6885B}"/>
    <cellStyle name="40% - Énfasis6 53 4" xfId="35772" xr:uid="{FB183B6C-3417-45DC-A459-2BA517DAE4CA}"/>
    <cellStyle name="40% - Énfasis6 53 5" xfId="41632" xr:uid="{29376AA5-9A6A-4078-A4B8-8DBCA3A44CD4}"/>
    <cellStyle name="40% - Énfasis6 54" xfId="15833" xr:uid="{4DA04A92-4A49-4BD5-AA04-8A17C189E8AE}"/>
    <cellStyle name="40% - Énfasis6 55" xfId="18308" xr:uid="{F6362B40-0652-4F65-BF94-25E6EAB2D4FF}"/>
    <cellStyle name="40% - Énfasis6 56" xfId="18331" xr:uid="{18F2BB97-A8F7-45AC-9878-D3A74815BE0E}"/>
    <cellStyle name="40% - Énfasis6 57" xfId="24043" xr:uid="{4D10C0E6-3045-43A8-80FD-CC6E27510FB0}"/>
    <cellStyle name="40% - Énfasis6 58" xfId="29921" xr:uid="{C8D165E7-8042-470C-B02F-B80ABB155C6B}"/>
    <cellStyle name="40% - Énfasis6 59" xfId="35802" xr:uid="{452E1210-8A46-4ACA-B857-97E20C82D080}"/>
    <cellStyle name="40% - Énfasis6 6" xfId="3950" xr:uid="{3ECC13F0-41E4-4A85-95AB-D91C38A9DCFD}"/>
    <cellStyle name="40% - Énfasis6 6 10" xfId="35941" xr:uid="{5961463F-CDD3-49B5-9EF5-604A980AAB5A}"/>
    <cellStyle name="40% - Énfasis6 6 2" xfId="4142" xr:uid="{C71DF068-DB10-4F86-A416-C3F81E05B68E}"/>
    <cellStyle name="40% - Énfasis6 6 2 2" xfId="4620" xr:uid="{DB530291-549B-4BCC-AC93-D2A0D84377B9}"/>
    <cellStyle name="40% - Énfasis6 6 2 2 2" xfId="5588" xr:uid="{9581B1DB-1DF8-4735-8E05-0CD551997CEC}"/>
    <cellStyle name="40% - Énfasis6 6 2 2 2 2" xfId="8455" xr:uid="{C93B80FA-2F67-4F9C-A2EF-B30612DFBCBB}"/>
    <cellStyle name="40% - Énfasis6 6 2 2 2 2 2" xfId="22830" xr:uid="{C6FDC366-9FC7-4E7A-AD00-4B8201CB5204}"/>
    <cellStyle name="40% - Énfasis6 6 2 2 2 2 3" xfId="28688" xr:uid="{FDAB15E8-FC49-4893-9694-21CE00B3CC03}"/>
    <cellStyle name="40% - Énfasis6 6 2 2 2 2 4" xfId="34570" xr:uid="{13AE216D-930F-49BC-8594-C92CF2F7B03B}"/>
    <cellStyle name="40% - Énfasis6 6 2 2 2 2 5" xfId="40434" xr:uid="{DFDEC678-DEBC-4341-AF83-9D943CBD0909}"/>
    <cellStyle name="40% - Énfasis6 6 2 2 2 3" xfId="20048" xr:uid="{8A1CD5EF-7D9D-4374-BF0A-6AA8534F01C9}"/>
    <cellStyle name="40% - Énfasis6 6 2 2 2 4" xfId="25839" xr:uid="{97216A5F-CC8A-485A-A969-489618739220}"/>
    <cellStyle name="40% - Énfasis6 6 2 2 2 5" xfId="31713" xr:uid="{231635C2-FA3D-4054-8AA1-1FC7C6824D77}"/>
    <cellStyle name="40% - Énfasis6 6 2 2 2 6" xfId="37583" xr:uid="{0AD9B990-A38A-4A93-A1F8-8285BF359E29}"/>
    <cellStyle name="40% - Énfasis6 6 2 2 3" xfId="7483" xr:uid="{74E79724-C76C-4CFF-A0E3-57D6EE810550}"/>
    <cellStyle name="40% - Énfasis6 6 2 2 3 2" xfId="21885" xr:uid="{1DB0C0BD-E140-4F6B-B4E7-21A03E206327}"/>
    <cellStyle name="40% - Énfasis6 6 2 2 3 3" xfId="27717" xr:uid="{60B6B8AA-9ED6-49A8-B0F4-AE03EBE01B79}"/>
    <cellStyle name="40% - Énfasis6 6 2 2 3 4" xfId="33599" xr:uid="{69961F83-2681-4135-B661-BA7BB20FA134}"/>
    <cellStyle name="40% - Énfasis6 6 2 2 3 5" xfId="39463" xr:uid="{025FD30C-9826-4586-948A-2FEF04F002B1}"/>
    <cellStyle name="40% - Énfasis6 6 2 2 4" xfId="19115" xr:uid="{FF676609-DC45-4D98-AC28-552317BE60B7}"/>
    <cellStyle name="40% - Énfasis6 6 2 2 5" xfId="24868" xr:uid="{92BFD515-CDD0-4720-8906-C1E3BC9A264A}"/>
    <cellStyle name="40% - Énfasis6 6 2 2 6" xfId="30745" xr:uid="{92A0C815-FC2B-4E9B-9784-0956F2D07BF2}"/>
    <cellStyle name="40% - Énfasis6 6 2 2 7" xfId="36626" xr:uid="{636EE3F4-FB00-4889-961A-B49592428506}"/>
    <cellStyle name="40% - Énfasis6 6 2 3" xfId="5103" xr:uid="{368DB8E5-4B00-4FC2-9DCD-8CE7A6923946}"/>
    <cellStyle name="40% - Énfasis6 6 2 3 2" xfId="7970" xr:uid="{784AE4F8-3A8C-4EF8-A3AE-21D5DFF6CA6A}"/>
    <cellStyle name="40% - Énfasis6 6 2 3 2 2" xfId="22355" xr:uid="{27C3A5BA-D16C-47FD-85DD-0B24ACF68DCD}"/>
    <cellStyle name="40% - Énfasis6 6 2 3 2 3" xfId="28203" xr:uid="{16548CB9-CF13-46DF-A062-C99E9623386F}"/>
    <cellStyle name="40% - Énfasis6 6 2 3 2 4" xfId="34085" xr:uid="{0C93618F-1140-4105-8D5C-C9069FAAF04D}"/>
    <cellStyle name="40% - Énfasis6 6 2 3 2 5" xfId="39949" xr:uid="{ACA17EAB-1038-4237-888A-055FCD4C1F8C}"/>
    <cellStyle name="40% - Énfasis6 6 2 3 3" xfId="19580" xr:uid="{C96601F8-D464-4329-8F0A-4E1C87583A77}"/>
    <cellStyle name="40% - Énfasis6 6 2 3 4" xfId="25354" xr:uid="{3FD36CED-12D4-4AED-9061-9047E1014451}"/>
    <cellStyle name="40% - Énfasis6 6 2 3 5" xfId="31228" xr:uid="{06B08243-715D-4E0B-98C9-34545FD4F8E7}"/>
    <cellStyle name="40% - Énfasis6 6 2 3 6" xfId="37106" xr:uid="{98A8052F-885F-4002-A657-0CCE968FF497}"/>
    <cellStyle name="40% - Énfasis6 6 2 4" xfId="6998" xr:uid="{144D927E-306F-4501-B8C8-9BF043A69384}"/>
    <cellStyle name="40% - Énfasis6 6 2 4 2" xfId="21417" xr:uid="{5BDC1B99-1C7A-44B0-B620-8C297E952024}"/>
    <cellStyle name="40% - Énfasis6 6 2 4 3" xfId="27236" xr:uid="{E5807F46-6289-4074-80E5-BE8AF84ACC2E}"/>
    <cellStyle name="40% - Énfasis6 6 2 4 4" xfId="33114" xr:uid="{9F4DB11E-F96C-4A7A-8244-AF9A21EE4308}"/>
    <cellStyle name="40% - Énfasis6 6 2 4 5" xfId="38978" xr:uid="{C8BEDDE6-2B5D-4F86-899D-5CF123865E21}"/>
    <cellStyle name="40% - Énfasis6 6 2 5" xfId="18671" xr:uid="{51ACC727-8987-4FA5-AF3E-DD01368D71D5}"/>
    <cellStyle name="40% - Énfasis6 6 2 6" xfId="24385" xr:uid="{1020FF35-5E5A-4E98-BC52-6DEE92DAD420}"/>
    <cellStyle name="40% - Énfasis6 6 2 7" xfId="30263" xr:uid="{8631B2DA-61AA-4D15-920A-58AFF96A6086}"/>
    <cellStyle name="40% - Énfasis6 6 2 8" xfId="36142" xr:uid="{D857B530-6364-4C40-8C67-E7928A67AEEA}"/>
    <cellStyle name="40% - Énfasis6 6 3" xfId="4426" xr:uid="{85B7B888-EA57-42F7-915B-EAEB53945C5E}"/>
    <cellStyle name="40% - Énfasis6 6 3 2" xfId="5392" xr:uid="{942D152E-4725-48AF-921C-FFD29FE93BF2}"/>
    <cellStyle name="40% - Énfasis6 6 3 2 2" xfId="8259" xr:uid="{D891F407-A790-4D49-BC30-F17078CB3342}"/>
    <cellStyle name="40% - Énfasis6 6 3 2 2 2" xfId="22635" xr:uid="{CB99EC21-BC1D-43DB-9B9A-10F2414C8D42}"/>
    <cellStyle name="40% - Énfasis6 6 3 2 2 3" xfId="28492" xr:uid="{DAB41CE4-AA87-4F82-BBEE-8AE574E8B6A3}"/>
    <cellStyle name="40% - Énfasis6 6 3 2 2 4" xfId="34374" xr:uid="{D29BDB0C-5A40-41CF-B1AE-74813AA740C8}"/>
    <cellStyle name="40% - Énfasis6 6 3 2 2 5" xfId="40238" xr:uid="{AD3DF5A6-94C6-4617-91AC-7489BCBAE00E}"/>
    <cellStyle name="40% - Énfasis6 6 3 2 3" xfId="19859" xr:uid="{D442384E-CA88-456C-A318-BA6C94241ED3}"/>
    <cellStyle name="40% - Énfasis6 6 3 2 4" xfId="25643" xr:uid="{CE4C6618-148A-4A2C-971B-E088E4B667C8}"/>
    <cellStyle name="40% - Énfasis6 6 3 2 5" xfId="31517" xr:uid="{4765E6AD-4DE4-47D9-91FF-81AA07A2C16A}"/>
    <cellStyle name="40% - Énfasis6 6 3 2 6" xfId="37388" xr:uid="{1644723B-F079-4851-A6BE-A4EBF512F7AF}"/>
    <cellStyle name="40% - Énfasis6 6 3 3" xfId="7287" xr:uid="{C6B47C79-3B86-41DF-9B17-28F6BDCBA478}"/>
    <cellStyle name="40% - Énfasis6 6 3 3 2" xfId="21694" xr:uid="{D6D420BD-B259-444C-ACAF-7213AD5B1FFC}"/>
    <cellStyle name="40% - Énfasis6 6 3 3 3" xfId="27521" xr:uid="{81528BF3-51CD-4A85-A673-DC6FD41D163F}"/>
    <cellStyle name="40% - Énfasis6 6 3 3 4" xfId="33403" xr:uid="{E4C9E29A-55BF-48CE-9E52-A2955F14FBC6}"/>
    <cellStyle name="40% - Énfasis6 6 3 3 5" xfId="39267" xr:uid="{6A361B00-FEFE-48C1-8ED4-ADC7B9C8E46E}"/>
    <cellStyle name="40% - Énfasis6 6 3 4" xfId="18928" xr:uid="{C468197C-7955-480F-BA0B-D9BB447C0FCF}"/>
    <cellStyle name="40% - Énfasis6 6 3 5" xfId="24672" xr:uid="{C9E36C1A-6207-4BC9-AA4D-8E287287A6B9}"/>
    <cellStyle name="40% - Énfasis6 6 3 6" xfId="30551" xr:uid="{E0DF081E-B14F-42D8-8422-CA73778FF7B8}"/>
    <cellStyle name="40% - Énfasis6 6 3 7" xfId="36431" xr:uid="{53B15241-1221-44F1-BC9A-FFC00403EFF3}"/>
    <cellStyle name="40% - Énfasis6 6 4" xfId="4907" xr:uid="{7449DF76-109C-4D82-B0DF-61C54AA7417D}"/>
    <cellStyle name="40% - Énfasis6 6 4 2" xfId="7774" xr:uid="{72B2C634-954B-43E0-8BD2-04CD94C03B5C}"/>
    <cellStyle name="40% - Énfasis6 6 4 2 2" xfId="22164" xr:uid="{99C0D8BE-06D7-4246-AF81-C85E6D8F221B}"/>
    <cellStyle name="40% - Énfasis6 6 4 2 3" xfId="28007" xr:uid="{79F55B83-4E98-48A1-B034-9BA4B2C15414}"/>
    <cellStyle name="40% - Énfasis6 6 4 2 4" xfId="33889" xr:uid="{BF36A7C5-4227-4C18-9D29-FE7181C04D36}"/>
    <cellStyle name="40% - Énfasis6 6 4 2 5" xfId="39753" xr:uid="{40DBA4DD-C6ED-411E-BDCA-FEB086A45B57}"/>
    <cellStyle name="40% - Énfasis6 6 4 3" xfId="19390" xr:uid="{FA7F7DE1-1EFE-4DDF-9346-6BBF416779F8}"/>
    <cellStyle name="40% - Énfasis6 6 4 4" xfId="25158" xr:uid="{C20EBFC0-9F18-438F-BE05-510824C8A18B}"/>
    <cellStyle name="40% - Énfasis6 6 4 5" xfId="31032" xr:uid="{8C963CC8-8ED4-4714-8680-02C6729F289D}"/>
    <cellStyle name="40% - Énfasis6 6 4 6" xfId="36911" xr:uid="{BCFE0654-CA45-49F4-876E-EDB73AC188A2}"/>
    <cellStyle name="40% - Énfasis6 6 5" xfId="5917" xr:uid="{3451D640-6C17-48F2-A543-926EA7D83536}"/>
    <cellStyle name="40% - Énfasis6 6 5 2" xfId="8786" xr:uid="{EFD255F8-B43A-46B8-AA44-8CF0B9FC0618}"/>
    <cellStyle name="40% - Énfasis6 6 5 2 2" xfId="23154" xr:uid="{FABE6F58-A842-4C17-9F9B-F517B0647F87}"/>
    <cellStyle name="40% - Énfasis6 6 5 2 3" xfId="29018" xr:uid="{4A11A583-EC1A-4F26-9FBC-FCD5ACF436DF}"/>
    <cellStyle name="40% - Énfasis6 6 5 2 4" xfId="34900" xr:uid="{A02F4696-EBB8-4795-9F20-B58491577F3D}"/>
    <cellStyle name="40% - Énfasis6 6 5 2 5" xfId="40764" xr:uid="{E9C09EA0-517E-4F8D-9E7B-4CF2AD178031}"/>
    <cellStyle name="40% - Énfasis6 6 5 3" xfId="20368" xr:uid="{D39AC834-E3D3-4E25-AD99-08C665EBACD5}"/>
    <cellStyle name="40% - Énfasis6 6 5 4" xfId="26168" xr:uid="{FDE12A84-1F5B-4C7B-887A-A65CF7378F08}"/>
    <cellStyle name="40% - Énfasis6 6 5 5" xfId="32043" xr:uid="{B5A6AFCB-3CA1-4055-A349-BDDAD8D46586}"/>
    <cellStyle name="40% - Énfasis6 6 5 6" xfId="37909" xr:uid="{A13E6A65-B496-4659-B802-7591248CC710}"/>
    <cellStyle name="40% - Énfasis6 6 6" xfId="6803" xr:uid="{95CF5340-1EBB-4290-A1AA-629415ED3297}"/>
    <cellStyle name="40% - Énfasis6 6 6 2" xfId="21227" xr:uid="{D687C9D7-4DE1-4962-A760-C9A0331CD363}"/>
    <cellStyle name="40% - Énfasis6 6 6 3" xfId="27042" xr:uid="{67686BCB-D2DA-4575-857F-1CCA79EFD2BC}"/>
    <cellStyle name="40% - Énfasis6 6 6 4" xfId="32918" xr:uid="{E504EAB5-0EDA-41CD-895F-BCD776118EB1}"/>
    <cellStyle name="40% - Énfasis6 6 6 5" xfId="38782" xr:uid="{23C61FA6-9F60-44BD-A8CE-18D766289902}"/>
    <cellStyle name="40% - Énfasis6 6 7" xfId="18474" xr:uid="{73E8DD2A-2DB3-4410-9686-8E6109208A93}"/>
    <cellStyle name="40% - Énfasis6 6 8" xfId="24182" xr:uid="{CF940D19-CDBE-4212-9D8E-1424784CC794}"/>
    <cellStyle name="40% - Énfasis6 6 9" xfId="30060" xr:uid="{F367A75B-DB16-43EC-9121-0AC27C949D69}"/>
    <cellStyle name="40% - Énfasis6 7" xfId="3974" xr:uid="{74CA1750-8627-406F-A7C1-BF31BA64CEE4}"/>
    <cellStyle name="40% - Énfasis6 7 10" xfId="35966" xr:uid="{DCDA871F-5C20-4771-88BD-FE5F6E17B3EC}"/>
    <cellStyle name="40% - Énfasis6 7 2" xfId="4166" xr:uid="{F67F8F58-ED14-4585-9381-9F9F5A801464}"/>
    <cellStyle name="40% - Énfasis6 7 2 2" xfId="4644" xr:uid="{F76B494D-35C4-4C04-90B4-6D31DD3332F4}"/>
    <cellStyle name="40% - Énfasis6 7 2 2 2" xfId="5612" xr:uid="{6E554E79-A20A-40CB-BEB5-3BCDE3E0B0E4}"/>
    <cellStyle name="40% - Énfasis6 7 2 2 2 2" xfId="8479" xr:uid="{45BF4191-61C0-4618-BBA3-E504ADFFE123}"/>
    <cellStyle name="40% - Énfasis6 7 2 2 2 2 2" xfId="22854" xr:uid="{4AF831A1-78D4-4C3B-AC76-2E6C49645B1C}"/>
    <cellStyle name="40% - Énfasis6 7 2 2 2 2 3" xfId="28712" xr:uid="{DC77F152-AA4D-4365-9CF9-51D6FB421E91}"/>
    <cellStyle name="40% - Énfasis6 7 2 2 2 2 4" xfId="34594" xr:uid="{7341C655-C1F0-4162-9D63-F5D2D2022A59}"/>
    <cellStyle name="40% - Énfasis6 7 2 2 2 2 5" xfId="40458" xr:uid="{B032430F-8100-4EDE-9D26-23A478DA3C48}"/>
    <cellStyle name="40% - Énfasis6 7 2 2 2 3" xfId="20071" xr:uid="{B538D81F-C74A-49B8-946F-381C722E1347}"/>
    <cellStyle name="40% - Énfasis6 7 2 2 2 4" xfId="25863" xr:uid="{763631F6-BB9C-4875-A57F-07DF79B30381}"/>
    <cellStyle name="40% - Énfasis6 7 2 2 2 5" xfId="31737" xr:uid="{E5409AF1-B282-4928-A836-9A2737375124}"/>
    <cellStyle name="40% - Énfasis6 7 2 2 2 6" xfId="37607" xr:uid="{845B4851-B9EF-4F7D-B705-377E94AE9B4D}"/>
    <cellStyle name="40% - Énfasis6 7 2 2 3" xfId="7507" xr:uid="{FE1ADA1B-6847-4233-8AD0-6F748BE4362D}"/>
    <cellStyle name="40% - Énfasis6 7 2 2 3 2" xfId="21908" xr:uid="{F1B008E4-D101-4A15-BC01-D05FB2EA98B4}"/>
    <cellStyle name="40% - Énfasis6 7 2 2 3 3" xfId="27741" xr:uid="{66B2DB12-DD95-4664-865D-F20CECF863B4}"/>
    <cellStyle name="40% - Énfasis6 7 2 2 3 4" xfId="33623" xr:uid="{1E3BCD57-59EE-4454-814E-780DAD175B72}"/>
    <cellStyle name="40% - Énfasis6 7 2 2 3 5" xfId="39487" xr:uid="{0582C749-7EFF-44E2-BE4C-3FA1801277B6}"/>
    <cellStyle name="40% - Énfasis6 7 2 2 4" xfId="19138" xr:uid="{457A10C3-7A13-4CB8-9DAF-3392845D31FC}"/>
    <cellStyle name="40% - Énfasis6 7 2 2 5" xfId="24892" xr:uid="{DFC63532-3CCD-4211-9A56-CF639F80F97A}"/>
    <cellStyle name="40% - Énfasis6 7 2 2 6" xfId="30768" xr:uid="{EE0BAB92-65C7-46FC-A633-8A167EB92F0C}"/>
    <cellStyle name="40% - Énfasis6 7 2 2 7" xfId="36650" xr:uid="{4EEFC83B-C038-480D-A87B-F08958FBF409}"/>
    <cellStyle name="40% - Énfasis6 7 2 3" xfId="5127" xr:uid="{47E800BD-AB6A-4192-8940-BF5C5CDB67EA}"/>
    <cellStyle name="40% - Énfasis6 7 2 3 2" xfId="7994" xr:uid="{0A9E7F85-A862-4D47-B814-9D42A4A752E8}"/>
    <cellStyle name="40% - Énfasis6 7 2 3 2 2" xfId="22379" xr:uid="{EC8DF98D-693B-4E44-A3FC-EB77344DFE97}"/>
    <cellStyle name="40% - Énfasis6 7 2 3 2 3" xfId="28227" xr:uid="{E4B1AE4D-BF58-4995-A53B-AFD8A62943A5}"/>
    <cellStyle name="40% - Énfasis6 7 2 3 2 4" xfId="34109" xr:uid="{81B3A33F-B113-4955-B7B8-B789C11ABDBA}"/>
    <cellStyle name="40% - Énfasis6 7 2 3 2 5" xfId="39973" xr:uid="{8D30C481-12FC-4A28-BB2D-97811A47FBC8}"/>
    <cellStyle name="40% - Énfasis6 7 2 3 3" xfId="19602" xr:uid="{325D157A-64F0-4AF6-B422-DA854690390D}"/>
    <cellStyle name="40% - Énfasis6 7 2 3 4" xfId="25378" xr:uid="{392D2F45-E00C-459D-8B2A-030309E7FF74}"/>
    <cellStyle name="40% - Énfasis6 7 2 3 5" xfId="31252" xr:uid="{CE14BF68-942A-4517-B43C-5FDF6274EAB6}"/>
    <cellStyle name="40% - Énfasis6 7 2 3 6" xfId="37130" xr:uid="{6D9453AF-D2BD-4F9C-A361-343DB1540D8E}"/>
    <cellStyle name="40% - Énfasis6 7 2 4" xfId="7022" xr:uid="{1DA85301-B9C7-4B69-95B8-AB40FD45BA6C}"/>
    <cellStyle name="40% - Énfasis6 7 2 4 2" xfId="21439" xr:uid="{B216C1FC-C8E8-4CFB-B205-484191821411}"/>
    <cellStyle name="40% - Énfasis6 7 2 4 3" xfId="27260" xr:uid="{9F81400E-FA7F-4EB9-B519-33A4647873FA}"/>
    <cellStyle name="40% - Énfasis6 7 2 4 4" xfId="33138" xr:uid="{2F7E3306-F7B6-46A9-80E5-F4B9BBD38741}"/>
    <cellStyle name="40% - Énfasis6 7 2 4 5" xfId="39002" xr:uid="{7511A8E9-C29C-472E-9C1F-6CAD3618F825}"/>
    <cellStyle name="40% - Énfasis6 7 2 5" xfId="18694" xr:uid="{3AFCC386-4D4E-43AD-A7AA-53688439D67C}"/>
    <cellStyle name="40% - Énfasis6 7 2 6" xfId="24409" xr:uid="{5D6678B4-A043-4EED-9224-D68C5B469EA1}"/>
    <cellStyle name="40% - Énfasis6 7 2 7" xfId="30286" xr:uid="{E728A1AE-48F2-4148-AEBD-4898812027E1}"/>
    <cellStyle name="40% - Énfasis6 7 2 8" xfId="36166" xr:uid="{246284B2-0214-477A-ACBB-D4942B76AAF5}"/>
    <cellStyle name="40% - Énfasis6 7 3" xfId="4449" xr:uid="{13CD9A84-8EC7-494F-9EFA-C4486228697E}"/>
    <cellStyle name="40% - Énfasis6 7 3 2" xfId="5416" xr:uid="{EC934423-55A8-4956-A639-4EA4B83D45E0}"/>
    <cellStyle name="40% - Énfasis6 7 3 2 2" xfId="8283" xr:uid="{FEF45AA1-8C1B-4385-952B-C2EAEFC1A391}"/>
    <cellStyle name="40% - Énfasis6 7 3 2 2 2" xfId="22659" xr:uid="{386AD93B-3A72-419F-992A-47A8CF99B99C}"/>
    <cellStyle name="40% - Énfasis6 7 3 2 2 3" xfId="28516" xr:uid="{38210883-55CA-47F1-AC8E-0ED5257562C2}"/>
    <cellStyle name="40% - Énfasis6 7 3 2 2 4" xfId="34398" xr:uid="{D9C5421D-CD9A-41FE-AD62-CD52D14E4B16}"/>
    <cellStyle name="40% - Énfasis6 7 3 2 2 5" xfId="40262" xr:uid="{ADD47ED4-4168-457E-8725-C4777B6752F7}"/>
    <cellStyle name="40% - Énfasis6 7 3 2 3" xfId="19881" xr:uid="{CC6F4133-E81E-4F6E-803E-4C8E19591A3C}"/>
    <cellStyle name="40% - Énfasis6 7 3 2 4" xfId="25667" xr:uid="{90063D7C-2670-4ECA-A1D1-72591B8DB545}"/>
    <cellStyle name="40% - Énfasis6 7 3 2 5" xfId="31541" xr:uid="{199249CF-F84F-43DF-9592-78334339F0C4}"/>
    <cellStyle name="40% - Énfasis6 7 3 2 6" xfId="37412" xr:uid="{725D1DB8-B209-4D53-BE04-D3BC32FA9A3A}"/>
    <cellStyle name="40% - Énfasis6 7 3 3" xfId="7311" xr:uid="{C948C73E-9F45-429E-8669-14652BA895DE}"/>
    <cellStyle name="40% - Énfasis6 7 3 3 2" xfId="21716" xr:uid="{19D7A07C-7AA7-4A1B-A85D-7B02CFFDCFBE}"/>
    <cellStyle name="40% - Énfasis6 7 3 3 3" xfId="27545" xr:uid="{B83F137B-306E-47F5-82EC-CB4D2781EC1E}"/>
    <cellStyle name="40% - Énfasis6 7 3 3 4" xfId="33427" xr:uid="{2C1CAAD4-B7EF-419F-8CCC-E867FB0BA1A1}"/>
    <cellStyle name="40% - Énfasis6 7 3 3 5" xfId="39291" xr:uid="{71C0E427-7856-49EE-A0AD-2B78BDAE57DA}"/>
    <cellStyle name="40% - Énfasis6 7 3 4" xfId="18952" xr:uid="{39510FA6-025D-4496-BDD2-05CD74A67B36}"/>
    <cellStyle name="40% - Énfasis6 7 3 5" xfId="24696" xr:uid="{C914E444-80D2-4494-9A85-AAB9044CA3B7}"/>
    <cellStyle name="40% - Énfasis6 7 3 6" xfId="30574" xr:uid="{A2CDC7FD-FAF7-41E2-8CA4-814DFF6BFF86}"/>
    <cellStyle name="40% - Énfasis6 7 3 7" xfId="36455" xr:uid="{E78C1106-5B82-4152-840D-7F4B49334E1D}"/>
    <cellStyle name="40% - Énfasis6 7 4" xfId="4931" xr:uid="{27631400-73FA-4788-B853-E43E2723E9B1}"/>
    <cellStyle name="40% - Énfasis6 7 4 2" xfId="7798" xr:uid="{F78B8370-621A-42BA-BEC9-EC84EC4DBCD7}"/>
    <cellStyle name="40% - Énfasis6 7 4 2 2" xfId="22186" xr:uid="{F539278D-D37E-4860-851C-B3E8868FE817}"/>
    <cellStyle name="40% - Énfasis6 7 4 2 3" xfId="28031" xr:uid="{5C85A9F5-AEAB-4A30-9613-B85A3DEAB6A2}"/>
    <cellStyle name="40% - Énfasis6 7 4 2 4" xfId="33913" xr:uid="{9974FF0B-D71F-4A85-A65C-A90D7C37C4C9}"/>
    <cellStyle name="40% - Énfasis6 7 4 2 5" xfId="39777" xr:uid="{5BE68638-DE17-410C-8B0E-21649375235A}"/>
    <cellStyle name="40% - Énfasis6 7 4 3" xfId="19413" xr:uid="{6649E31E-52DA-405E-BA6D-0160B9987F41}"/>
    <cellStyle name="40% - Énfasis6 7 4 4" xfId="25182" xr:uid="{1CB9A512-683E-4220-A3EB-0924C8D434DE}"/>
    <cellStyle name="40% - Énfasis6 7 4 5" xfId="31056" xr:uid="{1FC219C9-5F1B-426B-B9CC-B87CE0A57AAE}"/>
    <cellStyle name="40% - Énfasis6 7 4 6" xfId="36935" xr:uid="{CF6410B5-1741-4646-BFE0-ED6953C91AB0}"/>
    <cellStyle name="40% - Énfasis6 7 5" xfId="5941" xr:uid="{BE654DA5-DDD8-40FD-A7C0-628224422AA1}"/>
    <cellStyle name="40% - Énfasis6 7 5 2" xfId="8810" xr:uid="{674B73B9-795B-4ACD-8C69-10E7FCE965A4}"/>
    <cellStyle name="40% - Énfasis6 7 5 2 2" xfId="23177" xr:uid="{4207082E-EFE4-4FFC-AADF-0A387B893D31}"/>
    <cellStyle name="40% - Énfasis6 7 5 2 3" xfId="29042" xr:uid="{23F7FFAC-E66C-44BE-9DF8-1E93E1419AFD}"/>
    <cellStyle name="40% - Énfasis6 7 5 2 4" xfId="34924" xr:uid="{38ADF6D7-98BC-4E15-B212-90095819ED8C}"/>
    <cellStyle name="40% - Énfasis6 7 5 2 5" xfId="40788" xr:uid="{3DB7D48E-2573-49F2-A48C-C3664C097E06}"/>
    <cellStyle name="40% - Énfasis6 7 5 3" xfId="20391" xr:uid="{DDBC7B4D-DBBF-498A-90D0-C2C1468989EE}"/>
    <cellStyle name="40% - Énfasis6 7 5 4" xfId="26192" xr:uid="{DE8A063A-C2BB-4638-9C85-24B544D81EF7}"/>
    <cellStyle name="40% - Énfasis6 7 5 5" xfId="32067" xr:uid="{19348C4F-A0DD-416F-BB4A-F3899DF84B97}"/>
    <cellStyle name="40% - Énfasis6 7 5 6" xfId="37933" xr:uid="{824C2E93-3BEC-4779-8A62-706C5B6A1B46}"/>
    <cellStyle name="40% - Énfasis6 7 6" xfId="6827" xr:uid="{985BED97-6BB5-4A27-B534-37C574875ADC}"/>
    <cellStyle name="40% - Énfasis6 7 6 2" xfId="21250" xr:uid="{D8C9D531-C987-4257-8C74-A019F11C8394}"/>
    <cellStyle name="40% - Énfasis6 7 6 3" xfId="27066" xr:uid="{E0DE326A-9A9D-460B-98FB-5996393536B7}"/>
    <cellStyle name="40% - Énfasis6 7 6 4" xfId="32942" xr:uid="{5D719952-C479-4288-94BC-6B0D6D987617}"/>
    <cellStyle name="40% - Énfasis6 7 6 5" xfId="38806" xr:uid="{24735D5E-17ED-4F91-8E46-5D682A2655F7}"/>
    <cellStyle name="40% - Énfasis6 7 7" xfId="18500" xr:uid="{91A2BFA3-589F-4042-BB53-A82FA8A089A3}"/>
    <cellStyle name="40% - Énfasis6 7 8" xfId="24208" xr:uid="{B3AEE167-C050-42CC-A457-B3160D17AE2C}"/>
    <cellStyle name="40% - Énfasis6 7 9" xfId="30086" xr:uid="{96AC16C8-48AC-4CDF-B878-DBB0B67A69D2}"/>
    <cellStyle name="40% - Énfasis6 8" xfId="4000" xr:uid="{6BC3357A-52BF-4CF5-A3C2-D05F74FC1A10}"/>
    <cellStyle name="40% - Énfasis6 8 10" xfId="35994" xr:uid="{FE7E17B5-B9F3-4AF1-B8EB-5F4F4E947343}"/>
    <cellStyle name="40% - Énfasis6 8 2" xfId="4192" xr:uid="{29FD1AFE-24E4-42DF-BD3B-42A9921A1AE8}"/>
    <cellStyle name="40% - Énfasis6 8 2 2" xfId="4670" xr:uid="{071CA5A3-0CED-47B7-9DA7-BF43043199BB}"/>
    <cellStyle name="40% - Énfasis6 8 2 2 2" xfId="5638" xr:uid="{998422B6-F65C-4541-A30F-CAB5163FF62A}"/>
    <cellStyle name="40% - Énfasis6 8 2 2 2 2" xfId="8505" xr:uid="{168924B4-555E-436C-BF55-83D0399096E4}"/>
    <cellStyle name="40% - Énfasis6 8 2 2 2 2 2" xfId="22879" xr:uid="{8D233B1E-08BC-4B9E-B892-F4436654CDB8}"/>
    <cellStyle name="40% - Énfasis6 8 2 2 2 2 3" xfId="28738" xr:uid="{1AA47446-D220-4590-8DAB-A365823EC85D}"/>
    <cellStyle name="40% - Énfasis6 8 2 2 2 2 4" xfId="34620" xr:uid="{D2B033B5-9F2C-4634-A5EA-1DE284336220}"/>
    <cellStyle name="40% - Énfasis6 8 2 2 2 2 5" xfId="40484" xr:uid="{B0873EFD-B0D7-40F4-A036-402BD80B8BA2}"/>
    <cellStyle name="40% - Énfasis6 8 2 2 2 3" xfId="20097" xr:uid="{33231D56-F44D-4404-9993-A90C3B758DC1}"/>
    <cellStyle name="40% - Énfasis6 8 2 2 2 4" xfId="25889" xr:uid="{8C37C246-96FB-477E-A9CA-374208448DE9}"/>
    <cellStyle name="40% - Énfasis6 8 2 2 2 5" xfId="31763" xr:uid="{410A816E-8F3E-42B4-A8E8-EB23E7CA24EB}"/>
    <cellStyle name="40% - Énfasis6 8 2 2 2 6" xfId="37632" xr:uid="{CE8B3024-3F62-4776-A534-2254744CA541}"/>
    <cellStyle name="40% - Énfasis6 8 2 2 3" xfId="7533" xr:uid="{F8B8164F-44E0-4C37-81A2-B70270B34FB9}"/>
    <cellStyle name="40% - Énfasis6 8 2 2 3 2" xfId="21933" xr:uid="{CA409BED-751B-41C7-A275-29FF71AAD2AA}"/>
    <cellStyle name="40% - Énfasis6 8 2 2 3 3" xfId="27767" xr:uid="{7A691E28-BC08-43F5-8CCE-F7083D81DFA1}"/>
    <cellStyle name="40% - Énfasis6 8 2 2 3 4" xfId="33649" xr:uid="{FF85DABA-A634-4FB7-933E-D8B62F74B43B}"/>
    <cellStyle name="40% - Énfasis6 8 2 2 3 5" xfId="39513" xr:uid="{E6BC9EF4-7FED-4F1C-8AF3-79D428DB946E}"/>
    <cellStyle name="40% - Énfasis6 8 2 2 4" xfId="19162" xr:uid="{CEF23DB7-7BA7-4EBF-A47B-530A43DDD569}"/>
    <cellStyle name="40% - Énfasis6 8 2 2 5" xfId="24918" xr:uid="{FD855784-744E-42AB-88FB-6401E03EA988}"/>
    <cellStyle name="40% - Énfasis6 8 2 2 6" xfId="30794" xr:uid="{154C1AF4-829D-4783-8213-AAE1852DC525}"/>
    <cellStyle name="40% - Énfasis6 8 2 2 7" xfId="36675" xr:uid="{1E776269-9839-45A8-97E4-7A8E65983815}"/>
    <cellStyle name="40% - Énfasis6 8 2 3" xfId="5153" xr:uid="{0F40FFE8-80A8-4B75-AD07-25312C940468}"/>
    <cellStyle name="40% - Énfasis6 8 2 3 2" xfId="8020" xr:uid="{E284658C-7BB1-453A-BAD9-3D2E11411CAB}"/>
    <cellStyle name="40% - Énfasis6 8 2 3 2 2" xfId="22404" xr:uid="{C753C377-9284-4AF0-AB1C-88001ACA2CDC}"/>
    <cellStyle name="40% - Énfasis6 8 2 3 2 3" xfId="28253" xr:uid="{639771F7-800A-4422-8BB4-5D86CA85CCB1}"/>
    <cellStyle name="40% - Énfasis6 8 2 3 2 4" xfId="34135" xr:uid="{67CFE32B-6347-42E5-92A5-0D983C5F766E}"/>
    <cellStyle name="40% - Énfasis6 8 2 3 2 5" xfId="39999" xr:uid="{8EE54414-686F-4171-9B00-D7413673565C}"/>
    <cellStyle name="40% - Énfasis6 8 2 3 3" xfId="19627" xr:uid="{C3F542BF-E4EA-4B40-8233-78418C27B9D6}"/>
    <cellStyle name="40% - Énfasis6 8 2 3 4" xfId="25404" xr:uid="{40CEEFB8-A15D-4F32-A894-ADF9E0BC63F9}"/>
    <cellStyle name="40% - Énfasis6 8 2 3 5" xfId="31278" xr:uid="{A42DF51D-F68A-460A-BFF8-12399B9DDDEB}"/>
    <cellStyle name="40% - Énfasis6 8 2 3 6" xfId="37155" xr:uid="{CF4F4F8D-EB9E-4500-B0B4-D12E899372FF}"/>
    <cellStyle name="40% - Énfasis6 8 2 4" xfId="7048" xr:uid="{84648A73-B9AA-408E-AD6C-E7D226D224C9}"/>
    <cellStyle name="40% - Énfasis6 8 2 4 2" xfId="21464" xr:uid="{6AA1FF66-8C42-4484-BB56-17221DCB4701}"/>
    <cellStyle name="40% - Énfasis6 8 2 4 3" xfId="27285" xr:uid="{00DE0AC1-6F18-4F85-BD75-4CEA45508507}"/>
    <cellStyle name="40% - Énfasis6 8 2 4 4" xfId="33164" xr:uid="{6C527825-0533-4EBA-A040-DADA03F293FA}"/>
    <cellStyle name="40% - Énfasis6 8 2 4 5" xfId="39028" xr:uid="{E4AD8453-6F38-4D9E-B12F-AF257233588D}"/>
    <cellStyle name="40% - Énfasis6 8 2 5" xfId="18719" xr:uid="{A39A2E5B-453F-495C-BE10-414256FB1B22}"/>
    <cellStyle name="40% - Énfasis6 8 2 6" xfId="24435" xr:uid="{C3556978-9F2F-4AD8-9AA8-79C2C82189C0}"/>
    <cellStyle name="40% - Énfasis6 8 2 7" xfId="30312" xr:uid="{602A6C56-B2E8-411F-98F6-FA0F9DD66C38}"/>
    <cellStyle name="40% - Énfasis6 8 2 8" xfId="36192" xr:uid="{4FB8876E-B7D2-45D9-8679-FCF45C9DEF8F}"/>
    <cellStyle name="40% - Énfasis6 8 3" xfId="4474" xr:uid="{BBBAEFFD-3B8C-4F07-A5DE-73A727746118}"/>
    <cellStyle name="40% - Énfasis6 8 3 2" xfId="5442" xr:uid="{CBA9C4AC-7021-4ABC-BFF0-FBDD31B21D77}"/>
    <cellStyle name="40% - Énfasis6 8 3 2 2" xfId="8309" xr:uid="{3D1F431A-D22A-4B2E-8D80-3F77AE74579C}"/>
    <cellStyle name="40% - Énfasis6 8 3 2 2 2" xfId="22685" xr:uid="{C0286832-E524-4E6E-89AF-6078BFC2033D}"/>
    <cellStyle name="40% - Énfasis6 8 3 2 2 3" xfId="28542" xr:uid="{B8C21F1F-D2A6-47D8-B4AA-27E67E7FC85A}"/>
    <cellStyle name="40% - Énfasis6 8 3 2 2 4" xfId="34424" xr:uid="{2F42796F-64E7-485B-9B7A-893E15F16D3E}"/>
    <cellStyle name="40% - Énfasis6 8 3 2 2 5" xfId="40288" xr:uid="{D2B2AAFB-F793-4285-8B56-F40EB7702A55}"/>
    <cellStyle name="40% - Énfasis6 8 3 2 3" xfId="19906" xr:uid="{5D8E4629-A474-465F-B704-BC66585FAB8D}"/>
    <cellStyle name="40% - Énfasis6 8 3 2 4" xfId="25693" xr:uid="{829AFFF0-FBF5-43AB-8E9C-E95EE0243F14}"/>
    <cellStyle name="40% - Énfasis6 8 3 2 5" xfId="31567" xr:uid="{86B53224-6F2F-435D-A003-EE3163A3B5A1}"/>
    <cellStyle name="40% - Énfasis6 8 3 2 6" xfId="37438" xr:uid="{4CC81255-5C3E-4D07-BB66-076B7F28A95F}"/>
    <cellStyle name="40% - Énfasis6 8 3 3" xfId="7337" xr:uid="{A5D9F4D6-43A5-4332-BD70-32C6EBE4EFF3}"/>
    <cellStyle name="40% - Énfasis6 8 3 3 2" xfId="21741" xr:uid="{72C423FD-B116-429B-98AF-A5E77B082810}"/>
    <cellStyle name="40% - Énfasis6 8 3 3 3" xfId="27571" xr:uid="{C4B11021-2E3D-4428-889E-519AB192BAAB}"/>
    <cellStyle name="40% - Énfasis6 8 3 3 4" xfId="33453" xr:uid="{4055FC01-0605-49C6-8F87-1E83E8496610}"/>
    <cellStyle name="40% - Énfasis6 8 3 3 5" xfId="39317" xr:uid="{62E13EC7-90E4-4798-8AB1-3B48744D88A6}"/>
    <cellStyle name="40% - Énfasis6 8 3 4" xfId="18978" xr:uid="{56F855E8-ED39-4C85-90E3-A43AE28D78DD}"/>
    <cellStyle name="40% - Énfasis6 8 3 5" xfId="24722" xr:uid="{EEC3135E-FBC9-4C45-AF6C-804135A38E1D}"/>
    <cellStyle name="40% - Énfasis6 8 3 6" xfId="30600" xr:uid="{89D67461-4EBE-4FD9-87F4-A7CF23990714}"/>
    <cellStyle name="40% - Énfasis6 8 3 7" xfId="36481" xr:uid="{2B9C2131-12B5-4E2D-8E89-BEC34B06D830}"/>
    <cellStyle name="40% - Énfasis6 8 4" xfId="4957" xr:uid="{5BCD9363-789F-4EB4-AE03-57988E5C2DD1}"/>
    <cellStyle name="40% - Énfasis6 8 4 2" xfId="7824" xr:uid="{65906E99-5077-4126-BF21-9AFA82F95621}"/>
    <cellStyle name="40% - Énfasis6 8 4 2 2" xfId="22211" xr:uid="{D0AACCEF-B62D-4C77-8162-E48FAF4DE0DD}"/>
    <cellStyle name="40% - Énfasis6 8 4 2 3" xfId="28057" xr:uid="{CD3746C1-1924-4905-980A-2800E5344172}"/>
    <cellStyle name="40% - Énfasis6 8 4 2 4" xfId="33939" xr:uid="{53089139-2769-4CF7-B8E9-B44528202EBB}"/>
    <cellStyle name="40% - Énfasis6 8 4 2 5" xfId="39803" xr:uid="{4DAD4304-75AA-4A8C-BE8C-20D4CA4F692C}"/>
    <cellStyle name="40% - Énfasis6 8 4 3" xfId="19439" xr:uid="{5AB34D25-719A-4D3F-A66F-65DA8D0BA305}"/>
    <cellStyle name="40% - Énfasis6 8 4 4" xfId="25208" xr:uid="{2737783F-C0B6-47F0-ACD0-85B3A2606C4B}"/>
    <cellStyle name="40% - Énfasis6 8 4 5" xfId="31082" xr:uid="{695D1392-890D-407F-9B4C-16210241A0E1}"/>
    <cellStyle name="40% - Énfasis6 8 4 6" xfId="36961" xr:uid="{381FBFA5-2C8B-4A92-8C12-3F5139BD7D66}"/>
    <cellStyle name="40% - Énfasis6 8 5" xfId="5967" xr:uid="{ED161B08-E648-4666-B775-0E09953D9529}"/>
    <cellStyle name="40% - Énfasis6 8 5 2" xfId="8836" xr:uid="{296ABFF8-B0C4-474F-B1B9-DA0353C39C68}"/>
    <cellStyle name="40% - Énfasis6 8 5 2 2" xfId="23201" xr:uid="{F94C6342-5089-4F1C-84CC-07313FF45371}"/>
    <cellStyle name="40% - Énfasis6 8 5 2 3" xfId="29068" xr:uid="{883679DE-206E-4556-B719-3B5A0A051043}"/>
    <cellStyle name="40% - Énfasis6 8 5 2 4" xfId="34950" xr:uid="{633446F3-58AA-4DF7-9037-4BD5E0F679A2}"/>
    <cellStyle name="40% - Énfasis6 8 5 2 5" xfId="40814" xr:uid="{53A13B2E-7359-4633-BD7D-DE96BE734721}"/>
    <cellStyle name="40% - Énfasis6 8 5 3" xfId="20417" xr:uid="{030DC74A-7C90-4518-9DBE-413E5CDD8B79}"/>
    <cellStyle name="40% - Énfasis6 8 5 4" xfId="26218" xr:uid="{005DB846-F907-4A13-B6EF-72387E4C7FD3}"/>
    <cellStyle name="40% - Énfasis6 8 5 5" xfId="32093" xr:uid="{CF35CD63-FAC7-4FBE-ACE8-DDA79E4D133B}"/>
    <cellStyle name="40% - Énfasis6 8 5 6" xfId="37958" xr:uid="{500BADA5-75B4-46F2-904D-24BF632F4D3B}"/>
    <cellStyle name="40% - Énfasis6 8 6" xfId="6853" xr:uid="{0A97B36C-490A-4F05-A69B-7FBF448A2D6E}"/>
    <cellStyle name="40% - Énfasis6 8 6 2" xfId="21276" xr:uid="{5FA987A2-57C4-4463-B7EB-DB0EA392300F}"/>
    <cellStyle name="40% - Énfasis6 8 6 3" xfId="27091" xr:uid="{37C972D2-A3D1-448D-8E5C-DBE9C5E5E047}"/>
    <cellStyle name="40% - Énfasis6 8 6 4" xfId="32968" xr:uid="{E01547B6-070E-4C71-9BAC-02E28ED758A9}"/>
    <cellStyle name="40% - Énfasis6 8 6 5" xfId="38832" xr:uid="{AE2FB2EB-E988-4453-B6BA-A11F1995B8D0}"/>
    <cellStyle name="40% - Énfasis6 8 7" xfId="18527" xr:uid="{E75CBA2A-D607-4871-8E89-94DE99F11777}"/>
    <cellStyle name="40% - Énfasis6 8 8" xfId="24236" xr:uid="{CDBBF210-348E-4675-A2C4-F75306659AD5}"/>
    <cellStyle name="40% - Énfasis6 8 9" xfId="30114" xr:uid="{7B962026-231C-4C8C-BE97-B69C4338D0F5}"/>
    <cellStyle name="40% - Énfasis6 9" xfId="4024" xr:uid="{7A0B65C0-90AA-41B3-BEF7-B1218974D0C2}"/>
    <cellStyle name="40% - Énfasis6 9 2" xfId="4495" xr:uid="{6AEDEB8E-D8EA-4E73-A058-BF5CC1845CEA}"/>
    <cellStyle name="40% - Énfasis6 9 2 2" xfId="5463" xr:uid="{AA00D687-478D-455A-B749-6D45F9C24654}"/>
    <cellStyle name="40% - Énfasis6 9 2 2 2" xfId="8330" xr:uid="{E3FFD591-D996-4DE5-A2FD-751AF4E2550D}"/>
    <cellStyle name="40% - Énfasis6 9 2 2 2 2" xfId="22706" xr:uid="{416005BE-0033-469E-87EA-168A46B8CF6C}"/>
    <cellStyle name="40% - Énfasis6 9 2 2 2 3" xfId="28563" xr:uid="{B0095AA8-A413-418A-A864-E7455E175963}"/>
    <cellStyle name="40% - Énfasis6 9 2 2 2 4" xfId="34445" xr:uid="{C2641653-C270-48A8-8617-239FA3608FFD}"/>
    <cellStyle name="40% - Énfasis6 9 2 2 2 5" xfId="40309" xr:uid="{C5CC99DC-69F3-48EC-96A0-18F9834E73C2}"/>
    <cellStyle name="40% - Énfasis6 9 2 2 3" xfId="19926" xr:uid="{2927428C-646D-4E6C-8601-79730E37AD2A}"/>
    <cellStyle name="40% - Énfasis6 9 2 2 4" xfId="25714" xr:uid="{D9E82CF1-00A6-4805-BB1F-E31A2E2D3BD4}"/>
    <cellStyle name="40% - Énfasis6 9 2 2 5" xfId="31588" xr:uid="{B9CD4D4B-F9F8-4981-9E83-C0CA03A43AD5}"/>
    <cellStyle name="40% - Énfasis6 9 2 2 6" xfId="37459" xr:uid="{7B63753A-8CBC-4098-83C3-BE6E1FC387AD}"/>
    <cellStyle name="40% - Énfasis6 9 2 3" xfId="7358" xr:uid="{364A8972-F5B8-4F03-804C-F07E37B402E7}"/>
    <cellStyle name="40% - Énfasis6 9 2 3 2" xfId="21761" xr:uid="{1167BDFE-0731-4FCE-A83E-8DB61DBAE3DE}"/>
    <cellStyle name="40% - Énfasis6 9 2 3 3" xfId="27592" xr:uid="{19296DAA-9EB3-4ED4-B7E9-9FF6EE505B7A}"/>
    <cellStyle name="40% - Énfasis6 9 2 3 4" xfId="33474" xr:uid="{0CAB7311-F9CE-4FFC-A559-138EC5485507}"/>
    <cellStyle name="40% - Énfasis6 9 2 3 5" xfId="39338" xr:uid="{CA6E2EC6-46A2-444F-97D4-E28C882499BB}"/>
    <cellStyle name="40% - Énfasis6 9 2 4" xfId="18999" xr:uid="{0181C150-4FF1-49C0-83AC-61C80ADDA5F9}"/>
    <cellStyle name="40% - Énfasis6 9 2 5" xfId="24743" xr:uid="{6749B9ED-2F67-4ABB-A9F3-A4ADCB685141}"/>
    <cellStyle name="40% - Énfasis6 9 2 6" xfId="30620" xr:uid="{EBD55C82-2085-4EBA-A7E7-554153478BBE}"/>
    <cellStyle name="40% - Énfasis6 9 2 7" xfId="36502" xr:uid="{63BB7091-DD9E-41E5-9C85-925C842B2CB4}"/>
    <cellStyle name="40% - Énfasis6 9 3" xfId="4978" xr:uid="{EE10DE66-3AC4-47F3-8726-D3484F9AEFBB}"/>
    <cellStyle name="40% - Énfasis6 9 3 2" xfId="7845" xr:uid="{E6EBF2CA-4A2C-4230-8F77-7D33F3B6184F}"/>
    <cellStyle name="40% - Énfasis6 9 3 2 2" xfId="22231" xr:uid="{AF80C3AB-DC91-4D15-8546-22E263F1981E}"/>
    <cellStyle name="40% - Énfasis6 9 3 2 3" xfId="28078" xr:uid="{800A990E-FE08-4434-99E2-65FEC00DE51B}"/>
    <cellStyle name="40% - Énfasis6 9 3 2 4" xfId="33960" xr:uid="{6E43ECE0-D0BB-423B-A6E9-062BFBEAD451}"/>
    <cellStyle name="40% - Énfasis6 9 3 2 5" xfId="39824" xr:uid="{383EF3CE-6A9D-4D11-A805-8CE62BDBF513}"/>
    <cellStyle name="40% - Énfasis6 9 3 3" xfId="19459" xr:uid="{CA99D0A1-93EE-45C2-BBC0-7C82CDEC670E}"/>
    <cellStyle name="40% - Énfasis6 9 3 4" xfId="25229" xr:uid="{7C601F0C-F306-47B8-A8DD-8AA0A91C578A}"/>
    <cellStyle name="40% - Énfasis6 9 3 5" xfId="31103" xr:uid="{0C8DDD97-A9F8-4CFF-94F6-70B357B8F80B}"/>
    <cellStyle name="40% - Énfasis6 9 3 6" xfId="36982" xr:uid="{F723D4F9-3085-4487-A18E-A72045266E03}"/>
    <cellStyle name="40% - Énfasis6 9 4" xfId="6874" xr:uid="{2292FFC7-5E92-4DD4-B84D-FF21883EA59C}"/>
    <cellStyle name="40% - Énfasis6 9 4 2" xfId="21296" xr:uid="{3056BB64-F0EF-474B-989E-0A7EE0380634}"/>
    <cellStyle name="40% - Énfasis6 9 4 3" xfId="27112" xr:uid="{2B58DE6C-D553-4528-AD04-199821C2A3F2}"/>
    <cellStyle name="40% - Énfasis6 9 4 4" xfId="32989" xr:uid="{5AB7BB06-6A4B-451B-9AC3-E29E49DB887F}"/>
    <cellStyle name="40% - Énfasis6 9 4 5" xfId="38853" xr:uid="{81A07687-E35E-435E-A294-83BB669C1136}"/>
    <cellStyle name="40% - Énfasis6 9 5" xfId="18550" xr:uid="{73D653B6-D6F8-4BED-8A71-3C47AC58BBC4}"/>
    <cellStyle name="40% - Énfasis6 9 6" xfId="24260" xr:uid="{F1226582-8B39-4602-9C3A-8AFAB70D59F6}"/>
    <cellStyle name="40% - Énfasis6 9 7" xfId="30138" xr:uid="{10A075C7-059B-4B63-BE3C-1E118F58A0F1}"/>
    <cellStyle name="40% - Énfasis6 9 8" xfId="36017" xr:uid="{8678392A-4C44-4487-BDCC-2B80CF522214}"/>
    <cellStyle name="60% - Énfasis1" xfId="21" builtinId="32" customBuiltin="1"/>
    <cellStyle name="60% - Énfasis1 10" xfId="4202" xr:uid="{88208B18-C55B-499D-80B4-67ED85EB4E96}"/>
    <cellStyle name="60% - Énfasis1 10 2" xfId="4680" xr:uid="{A3FEEAB5-01FA-4430-B58A-4F15093FDB40}"/>
    <cellStyle name="60% - Énfasis1 10 2 2" xfId="5648" xr:uid="{0164D682-5F56-42FE-A340-64A30B35C60A}"/>
    <cellStyle name="60% - Énfasis1 10 2 2 2" xfId="8516" xr:uid="{72CE71F0-8B3F-4A31-818E-299463CC5120}"/>
    <cellStyle name="60% - Énfasis1 10 2 2 2 2" xfId="22890" xr:uid="{165BE04C-F8CC-4055-A877-E40B46368407}"/>
    <cellStyle name="60% - Énfasis1 10 2 2 2 3" xfId="28749" xr:uid="{A6D1F21C-68CE-4650-8A55-CCFB3A92C404}"/>
    <cellStyle name="60% - Énfasis1 10 2 2 2 4" xfId="34631" xr:uid="{7872C87F-0239-4233-B72F-F6356B33E3A4}"/>
    <cellStyle name="60% - Énfasis1 10 2 2 2 5" xfId="40495" xr:uid="{41C4CD27-6A42-4DDE-92A4-9FA911992930}"/>
    <cellStyle name="60% - Énfasis1 10 2 2 3" xfId="20107" xr:uid="{AF0C9D53-A88B-4F5E-90E4-942CC13BA415}"/>
    <cellStyle name="60% - Énfasis1 10 2 2 4" xfId="25899" xr:uid="{234C4BD8-B32B-4DA8-BF85-F963F72D354E}"/>
    <cellStyle name="60% - Énfasis1 10 2 2 5" xfId="31774" xr:uid="{C598AD3A-7093-4D18-8FD6-9FC933B85F42}"/>
    <cellStyle name="60% - Énfasis1 10 2 2 6" xfId="37643" xr:uid="{2C5325E4-2986-44A2-90C0-A3C2F65CB714}"/>
    <cellStyle name="60% - Énfasis1 10 2 3" xfId="7544" xr:uid="{6A3F66AB-0A2C-43C3-89CD-26B5ACBCE80D}"/>
    <cellStyle name="60% - Énfasis1 10 2 3 2" xfId="21942" xr:uid="{25F39A89-6540-482F-842B-F84743CF1616}"/>
    <cellStyle name="60% - Énfasis1 10 2 3 3" xfId="27778" xr:uid="{D66AF58C-E566-4B6F-B519-746C4E96303D}"/>
    <cellStyle name="60% - Énfasis1 10 2 3 4" xfId="33660" xr:uid="{BA12A75A-3F18-48CC-AC0F-D97EC1204FA7}"/>
    <cellStyle name="60% - Énfasis1 10 2 3 5" xfId="39524" xr:uid="{200EC56C-27CF-4932-9F69-A2AAE6D95663}"/>
    <cellStyle name="60% - Énfasis1 10 2 4" xfId="19173" xr:uid="{163D81A2-CE12-4C73-8FA5-44B57905ACA5}"/>
    <cellStyle name="60% - Énfasis1 10 2 5" xfId="24929" xr:uid="{AFAC0AD1-C788-4BDC-BD8C-ACE34A021F30}"/>
    <cellStyle name="60% - Énfasis1 10 2 6" xfId="30804" xr:uid="{F007373E-0C72-40FA-9A40-B16C4240E79F}"/>
    <cellStyle name="60% - Énfasis1 10 2 7" xfId="36686" xr:uid="{C6FFE125-2487-45C9-B36C-A7DFC8629A42}"/>
    <cellStyle name="60% - Énfasis1 10 3" xfId="5164" xr:uid="{8F26609D-FFA0-4C25-A1C9-D593C5CBC8B7}"/>
    <cellStyle name="60% - Énfasis1 10 3 2" xfId="8031" xr:uid="{59F44156-463B-4EA4-A3EF-4CD8725D7054}"/>
    <cellStyle name="60% - Énfasis1 10 3 2 2" xfId="22414" xr:uid="{10F0F97F-3C92-4BA4-9A98-1F7E05A85693}"/>
    <cellStyle name="60% - Énfasis1 10 3 2 3" xfId="28264" xr:uid="{F8EEB49A-3DC7-4A4E-A601-F77538174E19}"/>
    <cellStyle name="60% - Énfasis1 10 3 2 4" xfId="34146" xr:uid="{7D1BD499-3266-4D39-81DB-5BBC1F5D20F5}"/>
    <cellStyle name="60% - Énfasis1 10 3 2 5" xfId="40010" xr:uid="{DD2D6905-3D34-416A-A15B-24EBF8C89E33}"/>
    <cellStyle name="60% - Énfasis1 10 3 3" xfId="19637" xr:uid="{E3FA68D7-DA86-4252-ACF7-ACC8A63FCD8C}"/>
    <cellStyle name="60% - Énfasis1 10 3 4" xfId="25415" xr:uid="{E6FB34E9-CB62-44FE-A414-A72671F655BD}"/>
    <cellStyle name="60% - Énfasis1 10 3 5" xfId="31289" xr:uid="{E61E0D89-0E71-4A84-B3D0-A12C3543AFEE}"/>
    <cellStyle name="60% - Énfasis1 10 3 6" xfId="37166" xr:uid="{D652C142-1FD7-4912-89F6-29C02E91E5F1}"/>
    <cellStyle name="60% - Énfasis1 10 4" xfId="7059" xr:uid="{04492ACB-25FD-4DC3-8369-45D314A4CF31}"/>
    <cellStyle name="60% - Énfasis1 10 4 2" xfId="21474" xr:uid="{E2492D25-A59C-4F57-9CA4-6068A4E16CED}"/>
    <cellStyle name="60% - Énfasis1 10 4 3" xfId="27296" xr:uid="{B8DEB091-D1C4-4ED8-8923-4EF083CE5B13}"/>
    <cellStyle name="60% - Énfasis1 10 4 4" xfId="33175" xr:uid="{172319D3-2A7D-4B6F-93AD-ED495F27F289}"/>
    <cellStyle name="60% - Énfasis1 10 4 5" xfId="39039" xr:uid="{EE841F5B-2105-4EEA-A009-33C55A930735}"/>
    <cellStyle name="60% - Énfasis1 10 5" xfId="18730" xr:uid="{C9008DED-0769-4C57-B90A-EEA7FF915FD9}"/>
    <cellStyle name="60% - Énfasis1 10 6" xfId="24446" xr:uid="{95CDE664-707C-4079-843F-9879624E6D30}"/>
    <cellStyle name="60% - Énfasis1 10 7" xfId="30322" xr:uid="{2C32806D-3186-48E4-9B39-E0757ECB8CAB}"/>
    <cellStyle name="60% - Énfasis1 10 8" xfId="36203" xr:uid="{A07B43DD-0293-47AF-9E80-752A8D6FF37A}"/>
    <cellStyle name="60% - Énfasis1 11" xfId="4237" xr:uid="{C81840FE-2827-4694-B1F5-68F4A708399F}"/>
    <cellStyle name="60% - Énfasis1 11 2" xfId="4716" xr:uid="{0D214151-4D37-4EB7-B9A2-F1F75B61FFDA}"/>
    <cellStyle name="60% - Énfasis1 11 2 2" xfId="5684" xr:uid="{7C59FD95-1F01-4A6F-B22B-C1C7F38A2B31}"/>
    <cellStyle name="60% - Énfasis1 11 2 2 2" xfId="8552" xr:uid="{83FD0875-EADF-4790-A4C1-87BD07F94063}"/>
    <cellStyle name="60% - Énfasis1 11 2 2 2 2" xfId="22924" xr:uid="{E2C6C325-9DA2-4B47-A3D4-E5CFF5DABE31}"/>
    <cellStyle name="60% - Énfasis1 11 2 2 2 3" xfId="28785" xr:uid="{3EFC3802-FE79-436E-BAF2-CFE06483C071}"/>
    <cellStyle name="60% - Énfasis1 11 2 2 2 4" xfId="34667" xr:uid="{852C9E59-0094-4095-858D-9F9C9D2A1784}"/>
    <cellStyle name="60% - Énfasis1 11 2 2 2 5" xfId="40531" xr:uid="{2E2771E9-DC13-4B5E-9FA0-46EE04829EED}"/>
    <cellStyle name="60% - Énfasis1 11 2 2 3" xfId="20141" xr:uid="{35113C7D-10A5-43A9-84A0-8B164C0C300E}"/>
    <cellStyle name="60% - Énfasis1 11 2 2 4" xfId="25935" xr:uid="{5E04BC20-65F8-4BC3-8A80-09BFD3D2396A}"/>
    <cellStyle name="60% - Énfasis1 11 2 2 5" xfId="31810" xr:uid="{EF75FA0A-6533-4283-85DE-0A5F06254A2A}"/>
    <cellStyle name="60% - Énfasis1 11 2 2 6" xfId="37677" xr:uid="{774AAF1A-DEEA-4279-8177-699A97202A9E}"/>
    <cellStyle name="60% - Énfasis1 11 2 3" xfId="7580" xr:uid="{99288D0B-57D4-49F6-8D71-3CF9567054CC}"/>
    <cellStyle name="60% - Énfasis1 11 2 3 2" xfId="21974" xr:uid="{29BC76C2-AFB6-427E-BC93-07BD7CD35C0A}"/>
    <cellStyle name="60% - Énfasis1 11 2 3 3" xfId="27814" xr:uid="{F6C6BE9F-5D53-4698-B962-3CFE34F300A4}"/>
    <cellStyle name="60% - Énfasis1 11 2 3 4" xfId="33696" xr:uid="{0FBE92B3-EE58-41CF-8E8C-21FF4CE0E0B9}"/>
    <cellStyle name="60% - Énfasis1 11 2 3 5" xfId="39560" xr:uid="{FDADA9E6-7DAB-4092-8551-E6E98812833A}"/>
    <cellStyle name="60% - Énfasis1 11 2 4" xfId="19206" xr:uid="{A757993A-EE0D-4754-8995-90C88D6BE0CE}"/>
    <cellStyle name="60% - Énfasis1 11 2 5" xfId="24965" xr:uid="{EE7166D5-B70A-479C-A8F0-92995A5C4A1C}"/>
    <cellStyle name="60% - Énfasis1 11 2 6" xfId="30839" xr:uid="{15A36B26-E79C-44AA-B63F-E3D2458E12FF}"/>
    <cellStyle name="60% - Énfasis1 11 2 7" xfId="36720" xr:uid="{C77F2DD5-A06D-4DE9-9281-465108C167FA}"/>
    <cellStyle name="60% - Énfasis1 11 3" xfId="5200" xr:uid="{41769354-631F-4A51-913D-B4C62B95634A}"/>
    <cellStyle name="60% - Énfasis1 11 3 2" xfId="8067" xr:uid="{0AAA2CD6-BB46-48E2-B99D-6D84AF54BEDF}"/>
    <cellStyle name="60% - Énfasis1 11 3 2 2" xfId="22445" xr:uid="{D70EE6D8-CA69-4BE0-8ECA-B1909B9FB045}"/>
    <cellStyle name="60% - Énfasis1 11 3 2 3" xfId="28300" xr:uid="{4CD6BCAD-4967-4CD8-88CC-A909E672ABFF}"/>
    <cellStyle name="60% - Énfasis1 11 3 2 4" xfId="34182" xr:uid="{6A0E38AA-7F97-4315-A34C-B79D6CFDE2AC}"/>
    <cellStyle name="60% - Énfasis1 11 3 2 5" xfId="40046" xr:uid="{1F3E7300-445A-47E2-8A6E-C4DAC3F95F44}"/>
    <cellStyle name="60% - Énfasis1 11 3 3" xfId="19671" xr:uid="{A709A5FB-5F3B-4EE7-9110-51A59DAFCE0C}"/>
    <cellStyle name="60% - Énfasis1 11 3 4" xfId="25451" xr:uid="{A95BEDDA-BEEF-4BEE-B7C3-42CEEDECD586}"/>
    <cellStyle name="60% - Énfasis1 11 3 5" xfId="31325" xr:uid="{24C1FDB9-1BD9-4A58-B341-EBC1468029A4}"/>
    <cellStyle name="60% - Énfasis1 11 3 6" xfId="37198" xr:uid="{0D44F50C-B7E1-4FFD-A23B-7A22609D31CF}"/>
    <cellStyle name="60% - Énfasis1 11 4" xfId="7095" xr:uid="{EE0E0271-4111-4558-A66E-1E0B30C9EAF8}"/>
    <cellStyle name="60% - Énfasis1 11 4 2" xfId="21507" xr:uid="{1FB401F1-79B6-47F8-8F86-50B580B0A89E}"/>
    <cellStyle name="60% - Énfasis1 11 4 3" xfId="27330" xr:uid="{E8FD8F1F-BC4E-4182-AA83-8E9C30ADB165}"/>
    <cellStyle name="60% - Énfasis1 11 4 4" xfId="33211" xr:uid="{DEF8770C-8B84-48A6-AF41-2EBE1EAFBA8C}"/>
    <cellStyle name="60% - Énfasis1 11 4 5" xfId="39075" xr:uid="{48DC50A1-638C-458A-B1DF-D63A1C74DA63}"/>
    <cellStyle name="60% - Énfasis1 11 5" xfId="18759" xr:uid="{6B8BE69B-79D7-4856-B9D8-CE59C49EA956}"/>
    <cellStyle name="60% - Énfasis1 11 6" xfId="24480" xr:uid="{D1BE776E-0C3B-450F-A3F6-8C928D1A13F8}"/>
    <cellStyle name="60% - Énfasis1 11 7" xfId="30358" xr:uid="{F10EC91D-9CDB-46FE-AF70-4390A34D303C}"/>
    <cellStyle name="60% - Énfasis1 11 8" xfId="36239" xr:uid="{37657693-4794-4EEE-B2E5-AA5E840B9558}"/>
    <cellStyle name="60% - Énfasis1 12" xfId="4287" xr:uid="{85C0A4D7-AAFD-4FCA-8562-71EA2A7042ED}"/>
    <cellStyle name="60% - Énfasis1 12 2" xfId="5253" xr:uid="{E5A789DB-F651-4524-B3CE-71E7B87ADA76}"/>
    <cellStyle name="60% - Énfasis1 12 2 2" xfId="8120" xr:uid="{310C5F4B-4239-45C0-BD17-3EBF0498A436}"/>
    <cellStyle name="60% - Énfasis1 12 2 2 2" xfId="22497" xr:uid="{45B32C12-B445-41A6-A68D-FEE1D77F6633}"/>
    <cellStyle name="60% - Énfasis1 12 2 2 3" xfId="28353" xr:uid="{7534F077-D80B-4F35-AB32-06514815B096}"/>
    <cellStyle name="60% - Énfasis1 12 2 2 4" xfId="34235" xr:uid="{295A3639-7960-4FD5-8407-2B29BCBA73F6}"/>
    <cellStyle name="60% - Énfasis1 12 2 2 5" xfId="40099" xr:uid="{96E3F6D5-1EB3-459C-BA9C-9828634A6E77}"/>
    <cellStyle name="60% - Énfasis1 12 2 3" xfId="19723" xr:uid="{2A78C4EB-9AFD-403D-A9C3-20BC4BA9FFC1}"/>
    <cellStyle name="60% - Énfasis1 12 2 4" xfId="25504" xr:uid="{89834BA6-6E8E-4CF5-A9DE-085095FD4DDC}"/>
    <cellStyle name="60% - Énfasis1 12 2 5" xfId="31378" xr:uid="{9FFD09A9-0F02-47E8-8211-E4537D2CA933}"/>
    <cellStyle name="60% - Énfasis1 12 2 6" xfId="37250" xr:uid="{9BDFE298-77E1-45E8-A0E4-867ABD51C54A}"/>
    <cellStyle name="60% - Énfasis1 12 3" xfId="7148" xr:uid="{6D32058A-8D99-44A2-B1A8-3C088B939373}"/>
    <cellStyle name="60% - Énfasis1 12 3 2" xfId="21559" xr:uid="{70EADF8F-CC0D-489B-81CA-616F74C6C831}"/>
    <cellStyle name="60% - Énfasis1 12 3 3" xfId="27382" xr:uid="{C6D3A018-C287-4304-8A39-6319B9AB8CA2}"/>
    <cellStyle name="60% - Énfasis1 12 3 4" xfId="33264" xr:uid="{2503AEA3-E238-4163-A6BE-222EB9B26163}"/>
    <cellStyle name="60% - Énfasis1 12 3 5" xfId="39128" xr:uid="{6E7D9C24-1F92-4A96-9DC5-5F43AA1292B4}"/>
    <cellStyle name="60% - Énfasis1 12 4" xfId="18795" xr:uid="{5F28F775-6830-4CFA-A391-97A31971D7C8}"/>
    <cellStyle name="60% - Énfasis1 12 5" xfId="24533" xr:uid="{1C8439F3-29EA-4950-898F-BC17E2F213D0}"/>
    <cellStyle name="60% - Énfasis1 12 6" xfId="30412" xr:uid="{18B4780F-1D85-4607-A971-DBC6B086ADFC}"/>
    <cellStyle name="60% - Énfasis1 12 7" xfId="36293" xr:uid="{5F2B62DA-8F81-4011-9BB3-204C6B548581}"/>
    <cellStyle name="60% - Énfasis1 13" xfId="4772" xr:uid="{AF531E02-DD01-432A-BE08-85A9E9B08D35}"/>
    <cellStyle name="60% - Énfasis1 13 2" xfId="7635" xr:uid="{B3394AC2-5CC3-46EA-AA77-DDCC69E83412}"/>
    <cellStyle name="60% - Énfasis1 13 2 2" xfId="22028" xr:uid="{13BEA8A7-47B0-44A6-8CC7-838185E4982B}"/>
    <cellStyle name="60% - Énfasis1 13 2 3" xfId="27869" xr:uid="{BC583890-03EE-4BA2-AF57-D7D4802C38CC}"/>
    <cellStyle name="60% - Énfasis1 13 2 4" xfId="33751" xr:uid="{F1231789-4CE2-4EA5-97DF-D9CCA6ACA7F4}"/>
    <cellStyle name="60% - Énfasis1 13 2 5" xfId="39615" xr:uid="{6B5AE8AE-7CC9-4233-8CFB-CFDE9A8B0521}"/>
    <cellStyle name="60% - Énfasis1 13 3" xfId="19254" xr:uid="{350CDC44-A7B5-4CB8-B547-D90918025209}"/>
    <cellStyle name="60% - Énfasis1 13 4" xfId="25020" xr:uid="{F25904C2-E3EF-4BCC-912A-589E9ABF25E5}"/>
    <cellStyle name="60% - Énfasis1 13 5" xfId="30894" xr:uid="{2B297154-9E0B-4E53-8689-6E31ACBDE449}"/>
    <cellStyle name="60% - Énfasis1 13 6" xfId="36774" xr:uid="{4101CBA0-84D5-4546-BD5C-53B745458327}"/>
    <cellStyle name="60% - Énfasis1 14" xfId="5738" xr:uid="{78E21FEA-057E-4797-A9F1-55A9979A55D0}"/>
    <cellStyle name="60% - Énfasis1 14 2" xfId="8607" xr:uid="{B2CF6453-B82B-4111-B19C-6C8B0A6CB1C3}"/>
    <cellStyle name="60% - Énfasis1 14 2 2" xfId="22978" xr:uid="{864D6D74-426B-44E0-A9E0-4C3C6BB55A88}"/>
    <cellStyle name="60% - Énfasis1 14 2 3" xfId="28840" xr:uid="{FC23533E-11FD-4064-91C0-4B681EEBCCC5}"/>
    <cellStyle name="60% - Énfasis1 14 2 4" xfId="34722" xr:uid="{D42CA8FF-83BC-4B48-A737-13387D99B2A9}"/>
    <cellStyle name="60% - Énfasis1 14 2 5" xfId="40586" xr:uid="{7F788EB8-F53C-4643-A436-D3A19D732DF6}"/>
    <cellStyle name="60% - Énfasis1 14 3" xfId="20196" xr:uid="{D781A3C4-F679-4D1D-81C5-054202B34EB1}"/>
    <cellStyle name="60% - Énfasis1 14 4" xfId="25990" xr:uid="{0CBC9F7A-7DB6-41CC-85E3-E44B864167A1}"/>
    <cellStyle name="60% - Énfasis1 14 5" xfId="31865" xr:uid="{A4922692-99AF-4A2F-8B25-3F2A686A85E5}"/>
    <cellStyle name="60% - Énfasis1 14 6" xfId="37731" xr:uid="{57E6D1E6-39B1-47C8-9D87-61883261E5B7}"/>
    <cellStyle name="60% - Énfasis1 15" xfId="5758" xr:uid="{8AB510F2-6C69-4A6D-ACC2-5079133E2FBB}"/>
    <cellStyle name="60% - Énfasis1 15 2" xfId="8627" xr:uid="{75CFFA75-6EAB-4B47-A618-C885EDAB0F6D}"/>
    <cellStyle name="60% - Énfasis1 15 2 2" xfId="22998" xr:uid="{37BEC68C-8A01-498B-BAD7-969D9B1C1B10}"/>
    <cellStyle name="60% - Énfasis1 15 2 3" xfId="28860" xr:uid="{CF5B1E94-0A2E-4F6D-A8DF-4C3ECC556A1A}"/>
    <cellStyle name="60% - Énfasis1 15 2 4" xfId="34742" xr:uid="{C4780FDF-5E95-4700-A8A8-5035FCE78A7D}"/>
    <cellStyle name="60% - Énfasis1 15 2 5" xfId="40606" xr:uid="{522824E7-567E-45D9-8641-D30ACF6D69B1}"/>
    <cellStyle name="60% - Énfasis1 15 3" xfId="20215" xr:uid="{EF2E8D5A-180F-48BF-9443-084C0D0C9515}"/>
    <cellStyle name="60% - Énfasis1 15 4" xfId="26010" xr:uid="{2D5D806E-1742-46AB-A735-F3BE7FA42F34}"/>
    <cellStyle name="60% - Énfasis1 15 5" xfId="31885" xr:uid="{78957ADC-36B4-4FF1-8335-490E8B55ED02}"/>
    <cellStyle name="60% - Énfasis1 15 6" xfId="37751" xr:uid="{EA3D594C-2D49-4A14-A830-3FEA14BD5CCA}"/>
    <cellStyle name="60% - Énfasis1 16" xfId="5778" xr:uid="{C33CB627-C9B2-448E-B34D-86CDA96C34DA}"/>
    <cellStyle name="60% - Énfasis1 16 2" xfId="8647" xr:uid="{391F9E6A-A67D-4B99-8CBC-FFCACE41EB86}"/>
    <cellStyle name="60% - Énfasis1 16 2 2" xfId="23018" xr:uid="{41294E4F-AE44-47DB-9F23-44A84974F11C}"/>
    <cellStyle name="60% - Énfasis1 16 2 3" xfId="28880" xr:uid="{CE3E699A-3F4F-4C63-B41B-77F431C40428}"/>
    <cellStyle name="60% - Énfasis1 16 2 4" xfId="34762" xr:uid="{26F96416-4014-4A21-B6BE-4FF770166D69}"/>
    <cellStyle name="60% - Énfasis1 16 2 5" xfId="40626" xr:uid="{BC403F04-3314-4B44-A68A-08AB646B6D4F}"/>
    <cellStyle name="60% - Énfasis1 16 3" xfId="20233" xr:uid="{B1C486BA-9769-4338-8200-F78E722FFA9B}"/>
    <cellStyle name="60% - Énfasis1 16 4" xfId="26030" xr:uid="{09D15613-3C9F-4144-B15F-88622974D821}"/>
    <cellStyle name="60% - Énfasis1 16 5" xfId="31905" xr:uid="{2FC07D13-C62D-4206-A5D3-CB245E77E79F}"/>
    <cellStyle name="60% - Énfasis1 16 6" xfId="37771" xr:uid="{2B731C4C-96B5-41C5-B512-ED3C01CE83C8}"/>
    <cellStyle name="60% - Énfasis1 17" xfId="5977" xr:uid="{DF3DE286-4A2D-4444-B987-2919AB7B2BB5}"/>
    <cellStyle name="60% - Énfasis1 17 2" xfId="8846" xr:uid="{3B018F31-DE76-4DA9-B595-074033FEA759}"/>
    <cellStyle name="60% - Énfasis1 17 2 2" xfId="23210" xr:uid="{D1A8464C-8238-4671-9FEF-7C7D4708E304}"/>
    <cellStyle name="60% - Énfasis1 17 2 3" xfId="29077" xr:uid="{6A4ABC42-AAFB-4EC5-9D81-597100681F82}"/>
    <cellStyle name="60% - Énfasis1 17 2 4" xfId="34959" xr:uid="{A3A118BA-02B3-4CEA-B15F-EF43C1D26DDE}"/>
    <cellStyle name="60% - Énfasis1 17 2 5" xfId="40823" xr:uid="{1F0E6854-95D6-449B-9D3C-F315A44816EC}"/>
    <cellStyle name="60% - Énfasis1 17 3" xfId="20425" xr:uid="{AFEA86E7-3C6B-4C73-BC98-08D532555FC6}"/>
    <cellStyle name="60% - Énfasis1 17 4" xfId="26227" xr:uid="{B38EEA9C-F22D-4566-8763-48EC4F0D7D7F}"/>
    <cellStyle name="60% - Énfasis1 17 5" xfId="32102" xr:uid="{82840787-A853-42E8-BB4D-B7940782C770}"/>
    <cellStyle name="60% - Énfasis1 17 6" xfId="37967" xr:uid="{884B7488-C698-48CA-947D-2F7BD286AB1B}"/>
    <cellStyle name="60% - Énfasis1 18" xfId="5997" xr:uid="{276036C1-8B37-41C7-AC2C-05CD7FC91515}"/>
    <cellStyle name="60% - Énfasis1 18 2" xfId="8866" xr:uid="{ED2C9B9E-EF37-4565-B87E-E56C09B2B732}"/>
    <cellStyle name="60% - Énfasis1 18 2 2" xfId="23230" xr:uid="{03D7BE7B-B8DD-4F38-AB26-4F197AEC0733}"/>
    <cellStyle name="60% - Énfasis1 18 2 3" xfId="29097" xr:uid="{D8A21521-1073-403F-B064-969B73F4A97C}"/>
    <cellStyle name="60% - Énfasis1 18 2 4" xfId="34979" xr:uid="{7085F823-DF8C-4C5F-9740-F7127AEA8882}"/>
    <cellStyle name="60% - Énfasis1 18 2 5" xfId="40843" xr:uid="{E3C7C70D-8393-4B0A-9859-C6490B2ADF76}"/>
    <cellStyle name="60% - Énfasis1 18 3" xfId="20445" xr:uid="{03ACD222-D86F-4F1F-83DD-77446976C95B}"/>
    <cellStyle name="60% - Énfasis1 18 4" xfId="26247" xr:uid="{9F1B6D03-F082-4816-80D8-F2AC15CB2857}"/>
    <cellStyle name="60% - Énfasis1 18 5" xfId="32122" xr:uid="{44C30C51-07F2-4DE8-BB03-05C1460C5117}"/>
    <cellStyle name="60% - Énfasis1 18 6" xfId="37987" xr:uid="{C130CAF6-C662-4F3A-9E12-D0416C6BBAB0}"/>
    <cellStyle name="60% - Énfasis1 19" xfId="6017" xr:uid="{40B9DFBA-6B14-4FEE-8D63-080F236097C9}"/>
    <cellStyle name="60% - Énfasis1 19 2" xfId="8886" xr:uid="{0F12CAAE-C485-4AB4-9140-26AE03B6D943}"/>
    <cellStyle name="60% - Énfasis1 19 2 2" xfId="23250" xr:uid="{D25D9B6F-879D-4C9E-A828-893B82E7DB22}"/>
    <cellStyle name="60% - Énfasis1 19 2 3" xfId="29117" xr:uid="{1D0FA884-00C0-4FF8-8974-928A9D369D22}"/>
    <cellStyle name="60% - Énfasis1 19 2 4" xfId="34999" xr:uid="{8DA9F0EA-8916-435C-87B8-A3208B3EDDF8}"/>
    <cellStyle name="60% - Énfasis1 19 2 5" xfId="40863" xr:uid="{122D6757-406E-4F9B-9C00-FF179B53A352}"/>
    <cellStyle name="60% - Énfasis1 19 3" xfId="20465" xr:uid="{A01C269C-8362-4C86-B39F-3E98AE4CFEA0}"/>
    <cellStyle name="60% - Énfasis1 19 4" xfId="26267" xr:uid="{629A0A4C-68DC-4BEF-BE19-7C096D8077C1}"/>
    <cellStyle name="60% - Énfasis1 19 5" xfId="32142" xr:uid="{A8386A4C-CB6D-49EB-B0EF-F0457335F9FF}"/>
    <cellStyle name="60% - Énfasis1 19 6" xfId="38007" xr:uid="{8530C76F-1997-4539-840B-A164932E76AF}"/>
    <cellStyle name="60% - Énfasis1 2" xfId="325" xr:uid="{00000000-0005-0000-0000-000010000000}"/>
    <cellStyle name="60% - Énfasis1 2 10" xfId="29941" xr:uid="{A712A485-6C10-479F-A0EB-60C318C4E297}"/>
    <cellStyle name="60% - Énfasis1 2 11" xfId="35822" xr:uid="{5F895ED9-0F20-4BA8-87B0-7AFBFCBA611B}"/>
    <cellStyle name="60% - Énfasis1 2 2" xfId="3349" xr:uid="{22E5BA26-5FAB-4FE9-B112-8443A14C29DA}"/>
    <cellStyle name="60% - Énfasis1 2 3" xfId="4037" xr:uid="{535FF213-2439-4E36-A44C-2E1CA2D3F615}"/>
    <cellStyle name="60% - Énfasis1 2 3 2" xfId="4511" xr:uid="{4327EFFF-6532-4E30-BF8C-D2D8C647A98B}"/>
    <cellStyle name="60% - Énfasis1 2 3 2 2" xfId="5479" xr:uid="{4719A3B2-7C32-43F1-9C5F-90BDFA3432D4}"/>
    <cellStyle name="60% - Énfasis1 2 3 2 2 2" xfId="8346" xr:uid="{458B13CD-8734-48A9-A13F-D4EA74DE95C4}"/>
    <cellStyle name="60% - Énfasis1 2 3 2 2 2 2" xfId="22721" xr:uid="{3D24D601-1F8F-497B-A6D7-07ECD60D65F1}"/>
    <cellStyle name="60% - Énfasis1 2 3 2 2 2 3" xfId="28579" xr:uid="{152ECCB6-9397-4D59-84EF-44B0518CCF4D}"/>
    <cellStyle name="60% - Énfasis1 2 3 2 2 2 4" xfId="34461" xr:uid="{4B51D9CC-0C7D-4A04-A771-43E32C53386F}"/>
    <cellStyle name="60% - Énfasis1 2 3 2 2 2 5" xfId="40325" xr:uid="{E4CC6BBD-586D-40BB-9E24-ED906C08FE9C}"/>
    <cellStyle name="60% - Énfasis1 2 3 2 2 3" xfId="19940" xr:uid="{1E4D828A-794C-4B0C-AE64-16EA0E1B71B4}"/>
    <cellStyle name="60% - Énfasis1 2 3 2 2 4" xfId="25730" xr:uid="{052FC1B6-8920-4B71-9235-AEEB74A1E504}"/>
    <cellStyle name="60% - Énfasis1 2 3 2 2 5" xfId="31604" xr:uid="{74B8C4EB-A2A4-4DBA-A9FA-C291187A45D4}"/>
    <cellStyle name="60% - Énfasis1 2 3 2 2 6" xfId="37474" xr:uid="{2D754289-53AC-42CF-B3F8-1E405FE1AAC8}"/>
    <cellStyle name="60% - Énfasis1 2 3 2 3" xfId="7374" xr:uid="{12B5E03B-5C46-49A3-AE2C-BA2AD46DF4C8}"/>
    <cellStyle name="60% - Énfasis1 2 3 2 3 2" xfId="21776" xr:uid="{DB83D4BA-2BB3-46AB-89E0-A4FBD59C596F}"/>
    <cellStyle name="60% - Énfasis1 2 3 2 3 3" xfId="27608" xr:uid="{C921EF31-EEA8-41CB-88BB-A920346BD568}"/>
    <cellStyle name="60% - Énfasis1 2 3 2 3 4" xfId="33490" xr:uid="{23A646AD-03EB-493D-9EF0-496D1FC7AD64}"/>
    <cellStyle name="60% - Énfasis1 2 3 2 3 5" xfId="39354" xr:uid="{60ACB6AD-D740-4386-8515-75043CBB4576}"/>
    <cellStyle name="60% - Énfasis1 2 3 2 4" xfId="19010" xr:uid="{A40309BF-A0AC-4E3C-8124-0DCE70CFD605}"/>
    <cellStyle name="60% - Énfasis1 2 3 2 5" xfId="24759" xr:uid="{CFED105C-0741-4870-BF69-A0673525A318}"/>
    <cellStyle name="60% - Énfasis1 2 3 2 6" xfId="30636" xr:uid="{1F542049-C360-4E24-A3D0-7E4B44E66691}"/>
    <cellStyle name="60% - Énfasis1 2 3 2 7" xfId="36517" xr:uid="{838559DC-8F76-4EFD-812D-7171C36D5AEA}"/>
    <cellStyle name="60% - Énfasis1 2 3 3" xfId="4994" xr:uid="{F96452CF-19FA-41ED-A2D7-55AE0F98BF3E}"/>
    <cellStyle name="60% - Énfasis1 2 3 3 2" xfId="7861" xr:uid="{4C8BCC1C-FD66-463B-B31B-24B0930DF09F}"/>
    <cellStyle name="60% - Énfasis1 2 3 3 2 2" xfId="22246" xr:uid="{498E8038-69BA-4188-A6C1-90E7F3BB24E8}"/>
    <cellStyle name="60% - Énfasis1 2 3 3 2 3" xfId="28094" xr:uid="{0B2618D7-18FE-47E1-BFCB-30CDB32066A1}"/>
    <cellStyle name="60% - Énfasis1 2 3 3 2 4" xfId="33976" xr:uid="{4FD819E0-7187-46C2-927A-B0439EC5E711}"/>
    <cellStyle name="60% - Énfasis1 2 3 3 2 5" xfId="39840" xr:uid="{AC66B963-3104-4805-80EE-5B185261713A}"/>
    <cellStyle name="60% - Énfasis1 2 3 3 3" xfId="19473" xr:uid="{C4390B99-5EF4-4913-AB21-95CB1E93A3B7}"/>
    <cellStyle name="60% - Énfasis1 2 3 3 4" xfId="25245" xr:uid="{BBFFD958-90A9-4EC7-A3D6-38DB3C914EFC}"/>
    <cellStyle name="60% - Énfasis1 2 3 3 5" xfId="31119" xr:uid="{EAF3C86F-3681-4C8E-ABF5-12C74C45415F}"/>
    <cellStyle name="60% - Énfasis1 2 3 3 6" xfId="36997" xr:uid="{8932895F-B893-41B8-B7D2-751099BB790D}"/>
    <cellStyle name="60% - Énfasis1 2 3 4" xfId="6889" xr:uid="{AAE69992-972F-4364-8DE3-D0210C96870A}"/>
    <cellStyle name="60% - Énfasis1 2 3 4 2" xfId="21310" xr:uid="{84800291-6A2E-4C0A-B9A6-BFCC701424A2}"/>
    <cellStyle name="60% - Énfasis1 2 3 4 3" xfId="27127" xr:uid="{5E9647B2-F1C1-4B79-9370-3B60CF431CAA}"/>
    <cellStyle name="60% - Énfasis1 2 3 4 4" xfId="33005" xr:uid="{3D7047B1-C394-4C96-BB3E-EAC9E10CC87A}"/>
    <cellStyle name="60% - Énfasis1 2 3 4 5" xfId="38869" xr:uid="{1A4F6796-979F-41C5-9F2A-5E73A7163AA0}"/>
    <cellStyle name="60% - Énfasis1 2 3 5" xfId="18564" xr:uid="{115BD7F6-4548-49F0-9678-1B5412D21DF9}"/>
    <cellStyle name="60% - Énfasis1 2 3 6" xfId="24276" xr:uid="{55CC84C1-266D-4FAE-B994-67DF8E656838}"/>
    <cellStyle name="60% - Énfasis1 2 3 7" xfId="30154" xr:uid="{8165DDEF-AF44-4C93-93D9-6C6EE0308994}"/>
    <cellStyle name="60% - Énfasis1 2 3 8" xfId="36033" xr:uid="{0AE4C271-93D4-4C61-AFA3-53D53F0029F1}"/>
    <cellStyle name="60% - Énfasis1 2 4" xfId="4317" xr:uid="{875C8799-609C-4806-A89D-68A406BE8E38}"/>
    <cellStyle name="60% - Énfasis1 2 4 2" xfId="5283" xr:uid="{AA7A1E08-0851-416F-8AAE-11BCC44AC3E8}"/>
    <cellStyle name="60% - Énfasis1 2 4 2 2" xfId="8150" xr:uid="{02287148-19C1-4D71-BF9C-3E106A4A3151}"/>
    <cellStyle name="60% - Énfasis1 2 4 2 2 2" xfId="22526" xr:uid="{B3001644-C189-46C7-81FC-F2E9DC7C6305}"/>
    <cellStyle name="60% - Énfasis1 2 4 2 2 3" xfId="28383" xr:uid="{19940D53-D0A8-493B-B8FD-03663AAA20FA}"/>
    <cellStyle name="60% - Énfasis1 2 4 2 2 4" xfId="34265" xr:uid="{B2FB7CF5-1F6F-48EB-91BF-2E1B6C21D6F3}"/>
    <cellStyle name="60% - Énfasis1 2 4 2 2 5" xfId="40129" xr:uid="{1858C30E-8632-4011-B582-239138EDCED3}"/>
    <cellStyle name="60% - Énfasis1 2 4 2 3" xfId="19751" xr:uid="{B5763FBD-CD52-47DC-BC3F-893B410A300D}"/>
    <cellStyle name="60% - Énfasis1 2 4 2 4" xfId="25534" xr:uid="{9A0648A0-A452-4E29-B3A2-099D13BB560A}"/>
    <cellStyle name="60% - Énfasis1 2 4 2 5" xfId="31408" xr:uid="{07F4B172-B9FC-4A5E-BC8D-81E021ED168A}"/>
    <cellStyle name="60% - Énfasis1 2 4 2 6" xfId="37279" xr:uid="{CB2269BF-1783-4DE0-A48C-40E3195F3C3A}"/>
    <cellStyle name="60% - Énfasis1 2 4 3" xfId="7178" xr:uid="{92B1D69C-E799-4614-A714-06404E97219B}"/>
    <cellStyle name="60% - Énfasis1 2 4 3 2" xfId="21585" xr:uid="{7D42C1FA-1676-4F33-8C21-30090CD45379}"/>
    <cellStyle name="60% - Énfasis1 2 4 3 3" xfId="27412" xr:uid="{12B9ACC8-6DCB-459C-BE37-BBC61B99C427}"/>
    <cellStyle name="60% - Énfasis1 2 4 3 4" xfId="33294" xr:uid="{301BC8DB-7733-42EE-B65D-A44A31C42FB9}"/>
    <cellStyle name="60% - Énfasis1 2 4 3 5" xfId="39158" xr:uid="{C2E61B9A-078F-44B9-A757-C1850A6C11DC}"/>
    <cellStyle name="60% - Énfasis1 2 4 4" xfId="18822" xr:uid="{9B22153D-9AB6-41E3-95F4-64931C160895}"/>
    <cellStyle name="60% - Énfasis1 2 4 5" xfId="24563" xr:uid="{1AAE2F5A-EC36-4FE5-A15E-B9BAF8AD78EC}"/>
    <cellStyle name="60% - Énfasis1 2 4 6" xfId="30442" xr:uid="{1D41E02D-AD93-47C6-BCE8-1EF5C595E428}"/>
    <cellStyle name="60% - Énfasis1 2 4 7" xfId="36322" xr:uid="{5C86346F-AF42-411F-9428-D0B0B17618C3}"/>
    <cellStyle name="60% - Énfasis1 2 5" xfId="4802" xr:uid="{10B7544F-7174-49D4-B782-A28D7B02DA1E}"/>
    <cellStyle name="60% - Énfasis1 2 5 2" xfId="7665" xr:uid="{F548EDAE-4E45-4F44-B0F9-F96EC887B949}"/>
    <cellStyle name="60% - Énfasis1 2 5 2 2" xfId="22056" xr:uid="{C55EF96C-C1F9-4BA7-B7CD-B0B562AC5627}"/>
    <cellStyle name="60% - Énfasis1 2 5 2 3" xfId="27898" xr:uid="{01B1268D-F027-4A39-88AD-0908135CCA74}"/>
    <cellStyle name="60% - Énfasis1 2 5 2 4" xfId="33780" xr:uid="{AE01C5F8-D203-4DAA-9389-302D7D206D7B}"/>
    <cellStyle name="60% - Énfasis1 2 5 2 5" xfId="39644" xr:uid="{ADB38DB7-7DEB-4F90-B53F-8ACAF3717E53}"/>
    <cellStyle name="60% - Énfasis1 2 5 3" xfId="19281" xr:uid="{556B6086-95DB-4297-BED2-96809A5248FE}"/>
    <cellStyle name="60% - Énfasis1 2 5 4" xfId="25049" xr:uid="{967522B3-EC16-44B4-96AD-C63BB3E5EFAA}"/>
    <cellStyle name="60% - Énfasis1 2 5 5" xfId="30923" xr:uid="{5A5BE3FC-8B13-4E1E-AEE0-A98AD12F1EAB}"/>
    <cellStyle name="60% - Énfasis1 2 5 6" xfId="36802" xr:uid="{1D8CE5D7-8DE9-4663-AFD8-9CF8CCF63B55}"/>
    <cellStyle name="60% - Énfasis1 2 6" xfId="5808" xr:uid="{F0075C6F-9B00-485B-AE32-55D214A120D5}"/>
    <cellStyle name="60% - Énfasis1 2 6 2" xfId="8677" xr:uid="{3BFB0F1A-198F-4F0E-8B71-4A8EDBEDAC27}"/>
    <cellStyle name="60% - Énfasis1 2 6 2 2" xfId="23045" xr:uid="{D275E8F7-13AD-4825-AD30-714BD1573125}"/>
    <cellStyle name="60% - Énfasis1 2 6 2 3" xfId="28909" xr:uid="{2E67AD5D-D9AC-44EE-94DF-36C3BB9EFAD8}"/>
    <cellStyle name="60% - Énfasis1 2 6 2 4" xfId="34791" xr:uid="{3A0DB1D1-80C6-4954-8937-44926B361062}"/>
    <cellStyle name="60% - Énfasis1 2 6 2 5" xfId="40655" xr:uid="{9B1B603D-A453-4916-8818-205307D69BFB}"/>
    <cellStyle name="60% - Énfasis1 2 6 3" xfId="20260" xr:uid="{B174758E-A1C4-4CAB-B7A2-C98073A9A275}"/>
    <cellStyle name="60% - Énfasis1 2 6 4" xfId="26059" xr:uid="{4AAFC41C-BBBE-451A-9442-35823675324A}"/>
    <cellStyle name="60% - Énfasis1 2 6 5" xfId="31934" xr:uid="{AF3D2FF5-F3A2-47B0-A1D2-CE4CF0C056D7}"/>
    <cellStyle name="60% - Énfasis1 2 6 6" xfId="37800" xr:uid="{33BBA4F1-0B50-49C2-B14A-2A517C7EAE15}"/>
    <cellStyle name="60% - Énfasis1 2 7" xfId="6694" xr:uid="{FB6874C8-A973-4573-8748-EA9EF1E4A384}"/>
    <cellStyle name="60% - Énfasis1 2 7 2" xfId="21121" xr:uid="{10969AAA-DABE-4E44-95B2-3F8CDB4B2DF8}"/>
    <cellStyle name="60% - Énfasis1 2 7 3" xfId="26933" xr:uid="{636F68BB-22DF-40C8-B7F4-1B2C7FFE4B92}"/>
    <cellStyle name="60% - Énfasis1 2 7 4" xfId="32809" xr:uid="{E0470FCA-CC68-466C-96D4-8FF3B0B27267}"/>
    <cellStyle name="60% - Énfasis1 2 7 5" xfId="38673" xr:uid="{D254DD28-FE9A-4404-B043-7DF83F615385}"/>
    <cellStyle name="60% - Énfasis1 2 8" xfId="18355" xr:uid="{6BE8330D-B250-4597-8A02-F4678800155F}"/>
    <cellStyle name="60% - Énfasis1 2 9" xfId="24063" xr:uid="{95AD6BA1-8323-4674-BEB3-E98AEF2C41C2}"/>
    <cellStyle name="60% - Énfasis1 20" xfId="6037" xr:uid="{73115A14-E244-4FBE-BC7E-583CAF34C385}"/>
    <cellStyle name="60% - Énfasis1 20 2" xfId="8906" xr:uid="{69EAF400-5AEA-4EB8-A79D-64170A1F8451}"/>
    <cellStyle name="60% - Énfasis1 20 2 2" xfId="23270" xr:uid="{D76DA9BA-072F-469A-96D1-75A931347FD2}"/>
    <cellStyle name="60% - Énfasis1 20 2 3" xfId="29137" xr:uid="{6BE52063-D471-4FD0-8797-C18FCBFF28C3}"/>
    <cellStyle name="60% - Énfasis1 20 2 4" xfId="35019" xr:uid="{DBB37C33-6E8F-45F6-8D94-04E0144CD6DD}"/>
    <cellStyle name="60% - Énfasis1 20 2 5" xfId="40883" xr:uid="{2D858029-56BC-4FAF-A8A4-F7561B0555A6}"/>
    <cellStyle name="60% - Énfasis1 20 3" xfId="20485" xr:uid="{CABF7A96-A2F3-4867-B228-143B0233E35E}"/>
    <cellStyle name="60% - Énfasis1 20 4" xfId="26287" xr:uid="{2791D920-19B9-4CC5-9257-5A64C2D3BE76}"/>
    <cellStyle name="60% - Énfasis1 20 5" xfId="32162" xr:uid="{74D9B202-D8AB-4008-92BC-8204A4DBF20D}"/>
    <cellStyle name="60% - Énfasis1 20 6" xfId="38027" xr:uid="{56225258-A143-4563-BFEB-D7450CC2E94D}"/>
    <cellStyle name="60% - Énfasis1 21" xfId="6057" xr:uid="{6A931660-64C4-412A-88EA-C6DB3CBFB250}"/>
    <cellStyle name="60% - Énfasis1 21 2" xfId="8926" xr:uid="{0224FD2E-9294-4024-BBEB-4C4E2C5B8FFC}"/>
    <cellStyle name="60% - Énfasis1 21 2 2" xfId="23290" xr:uid="{8685CC3F-5C74-457B-A234-1FEDD3705C2B}"/>
    <cellStyle name="60% - Énfasis1 21 2 3" xfId="29157" xr:uid="{45489C26-6545-4EC7-B3C6-17B7373B385D}"/>
    <cellStyle name="60% - Énfasis1 21 2 4" xfId="35039" xr:uid="{53B0061E-0D60-48D5-B408-C2F05C0878AC}"/>
    <cellStyle name="60% - Énfasis1 21 2 5" xfId="40903" xr:uid="{6C87E8A9-A557-462D-9894-A07666EA8367}"/>
    <cellStyle name="60% - Énfasis1 21 3" xfId="20505" xr:uid="{D2FA72DD-D8E4-4DA2-9D41-C3A9B757908E}"/>
    <cellStyle name="60% - Énfasis1 21 4" xfId="26307" xr:uid="{4BD140E1-7D06-411C-9291-70D046621C84}"/>
    <cellStyle name="60% - Énfasis1 21 5" xfId="32182" xr:uid="{79334AEF-A32B-4B52-BD7F-F1B8B6F480CC}"/>
    <cellStyle name="60% - Énfasis1 21 6" xfId="38047" xr:uid="{F0557A15-1E76-4E5F-876D-234D9FDB8406}"/>
    <cellStyle name="60% - Énfasis1 22" xfId="6077" xr:uid="{003678A8-832D-4BA5-B1A0-0BEF87DFE372}"/>
    <cellStyle name="60% - Énfasis1 22 2" xfId="8946" xr:uid="{43AD769D-6478-45AA-A6C6-8995F86ADB62}"/>
    <cellStyle name="60% - Énfasis1 22 2 2" xfId="23310" xr:uid="{FD527983-3B2F-4977-996C-1983D5B5AB19}"/>
    <cellStyle name="60% - Énfasis1 22 2 3" xfId="29177" xr:uid="{5A45B0EF-2EC3-48FD-9E47-486602F8A40F}"/>
    <cellStyle name="60% - Énfasis1 22 2 4" xfId="35059" xr:uid="{B3255AE6-71B0-49C4-8978-22241BA48195}"/>
    <cellStyle name="60% - Énfasis1 22 2 5" xfId="40923" xr:uid="{833490BF-72D9-45BC-9C2D-2E4FA0DC8053}"/>
    <cellStyle name="60% - Énfasis1 22 3" xfId="20525" xr:uid="{DC5E9434-D67A-4CC4-822B-4CEE6F1CD556}"/>
    <cellStyle name="60% - Énfasis1 22 4" xfId="26327" xr:uid="{E9BB28DC-D882-4142-BF35-F9718C645F31}"/>
    <cellStyle name="60% - Énfasis1 22 5" xfId="32202" xr:uid="{7A1EA7D9-28D2-4188-9D3D-BC4D9E2885DD}"/>
    <cellStyle name="60% - Énfasis1 22 6" xfId="38067" xr:uid="{DBBFDAAC-B8ED-4BF3-B2D7-2B0C3EFE291D}"/>
    <cellStyle name="60% - Énfasis1 23" xfId="6097" xr:uid="{727A7948-7300-4E2B-8FBA-677C20C3663D}"/>
    <cellStyle name="60% - Énfasis1 23 2" xfId="8966" xr:uid="{240BD685-94C0-481D-BC1A-334797603173}"/>
    <cellStyle name="60% - Énfasis1 23 2 2" xfId="23330" xr:uid="{FBCF51B9-0EBA-4E47-911A-18053F38325F}"/>
    <cellStyle name="60% - Énfasis1 23 2 3" xfId="29197" xr:uid="{693CAA4D-3925-4BEB-9678-D5C0AF578B19}"/>
    <cellStyle name="60% - Énfasis1 23 2 4" xfId="35079" xr:uid="{AB8E1581-CB06-471D-B399-9019F28BF302}"/>
    <cellStyle name="60% - Énfasis1 23 2 5" xfId="40943" xr:uid="{003503FA-A966-4D8D-A7DE-5572E74FB7D4}"/>
    <cellStyle name="60% - Énfasis1 23 3" xfId="20545" xr:uid="{B42F8395-D712-4D08-B46D-BDAB132E58D9}"/>
    <cellStyle name="60% - Énfasis1 23 4" xfId="26347" xr:uid="{8E441237-AD71-4E6E-945B-D64527D9FA6C}"/>
    <cellStyle name="60% - Énfasis1 23 5" xfId="32222" xr:uid="{B74D6877-DA4F-421F-A0BC-8D84B1561503}"/>
    <cellStyle name="60% - Énfasis1 23 6" xfId="38087" xr:uid="{7C95BA22-38DF-4D4E-A51F-076AA7CF8291}"/>
    <cellStyle name="60% - Énfasis1 24" xfId="6117" xr:uid="{F1F54A0E-DE19-4760-AC9D-33626EE70CA8}"/>
    <cellStyle name="60% - Énfasis1 24 2" xfId="8986" xr:uid="{11C8B9E4-6839-4A26-BEFA-C249043C4BE9}"/>
    <cellStyle name="60% - Énfasis1 24 2 2" xfId="23350" xr:uid="{AFD96394-6CCA-4624-B765-E08372C0F1DE}"/>
    <cellStyle name="60% - Énfasis1 24 2 3" xfId="29217" xr:uid="{34B9D37C-8200-40DC-8F1B-685844B42ED3}"/>
    <cellStyle name="60% - Énfasis1 24 2 4" xfId="35099" xr:uid="{00D62F77-129D-4421-B773-F5D211582D85}"/>
    <cellStyle name="60% - Énfasis1 24 2 5" xfId="40963" xr:uid="{EA80D8AC-16DF-4383-8CC9-A679A7B2811B}"/>
    <cellStyle name="60% - Énfasis1 24 3" xfId="20565" xr:uid="{F1A37382-D7A6-41FA-B210-A6A0C3CC5D5D}"/>
    <cellStyle name="60% - Énfasis1 24 4" xfId="26367" xr:uid="{F869D29C-1B36-4365-8D8E-72B67ECCCB40}"/>
    <cellStyle name="60% - Énfasis1 24 5" xfId="32242" xr:uid="{100A54A2-3FD6-4528-BD3A-D9906E4079E4}"/>
    <cellStyle name="60% - Énfasis1 24 6" xfId="38107" xr:uid="{A2D9B841-F110-4B0A-9090-F7941A1B65A4}"/>
    <cellStyle name="60% - Énfasis1 25" xfId="6137" xr:uid="{613387C7-D319-46BA-8622-67D8DB18F15C}"/>
    <cellStyle name="60% - Énfasis1 25 2" xfId="9006" xr:uid="{636C863C-40F3-4EA9-9F93-4273C67A672B}"/>
    <cellStyle name="60% - Énfasis1 25 2 2" xfId="23370" xr:uid="{DE9ADE70-8165-4CBD-95B6-5FE2C63EF592}"/>
    <cellStyle name="60% - Énfasis1 25 2 3" xfId="29237" xr:uid="{46372B8E-E745-4832-BA41-1D861D146121}"/>
    <cellStyle name="60% - Énfasis1 25 2 4" xfId="35119" xr:uid="{BC40D8B1-2D1F-48C3-AE8D-6A27D477DE54}"/>
    <cellStyle name="60% - Énfasis1 25 2 5" xfId="40982" xr:uid="{7CECA4B0-4B60-4390-9C61-E3D783E74160}"/>
    <cellStyle name="60% - Énfasis1 25 3" xfId="20585" xr:uid="{968D37C9-6693-48BE-87C6-2649ECB7CB19}"/>
    <cellStyle name="60% - Énfasis1 25 4" xfId="26387" xr:uid="{3371DDAB-4EF2-4C5E-9B68-FD7ABFE98C85}"/>
    <cellStyle name="60% - Énfasis1 25 5" xfId="32262" xr:uid="{12415CFC-A978-488B-85F1-F4DF0E6E1DAC}"/>
    <cellStyle name="60% - Énfasis1 25 6" xfId="38127" xr:uid="{F0F6FA06-EB45-4D1C-AA05-4BCA03B557ED}"/>
    <cellStyle name="60% - Énfasis1 26" xfId="6157" xr:uid="{EF1C7C4A-B251-4C08-A4D2-CAFAB643A15B}"/>
    <cellStyle name="60% - Énfasis1 26 2" xfId="9026" xr:uid="{907B4060-6ABE-4F5F-8A8A-6FEAEAF9510F}"/>
    <cellStyle name="60% - Énfasis1 26 2 2" xfId="23390" xr:uid="{9157B928-CD66-4A0C-AF16-66D6ACA0F0F5}"/>
    <cellStyle name="60% - Énfasis1 26 2 3" xfId="29257" xr:uid="{D9F6460D-33EB-4EF9-9901-8926827D5464}"/>
    <cellStyle name="60% - Énfasis1 26 2 4" xfId="35139" xr:uid="{0E1E91F9-BAFF-4375-B453-1A7C45862840}"/>
    <cellStyle name="60% - Énfasis1 26 2 5" xfId="41001" xr:uid="{91A9B01E-41F8-4C53-9CFA-3EE2CE3E1111}"/>
    <cellStyle name="60% - Énfasis1 26 3" xfId="20605" xr:uid="{6EB133E3-7CCA-488B-B514-2C67E9BBB83F}"/>
    <cellStyle name="60% - Énfasis1 26 4" xfId="26407" xr:uid="{23418D03-DDB2-4D01-B45D-D48B1F33C353}"/>
    <cellStyle name="60% - Énfasis1 26 5" xfId="32282" xr:uid="{9AE0F8D1-968F-4ED6-91C7-0BB49F5F9BBD}"/>
    <cellStyle name="60% - Énfasis1 26 6" xfId="38147" xr:uid="{21D180A4-1AC2-4BA8-8815-0CE1D3F9066F}"/>
    <cellStyle name="60% - Énfasis1 27" xfId="6177" xr:uid="{C923CB64-B856-4DED-8BA2-9D23FCBD7CCB}"/>
    <cellStyle name="60% - Énfasis1 27 2" xfId="9046" xr:uid="{797DAF3C-70CC-40B9-8F16-169196DBBA24}"/>
    <cellStyle name="60% - Énfasis1 27 2 2" xfId="23410" xr:uid="{95E77686-5AC3-4E14-8D34-709BB76E2C1D}"/>
    <cellStyle name="60% - Énfasis1 27 2 3" xfId="29277" xr:uid="{33743129-ED7B-4F96-9353-32A483DBFEFD}"/>
    <cellStyle name="60% - Énfasis1 27 2 4" xfId="35159" xr:uid="{BD02B644-9B1C-4EFF-B392-3A8ED054B4BF}"/>
    <cellStyle name="60% - Énfasis1 27 2 5" xfId="41021" xr:uid="{FCF0E5C2-C598-4B67-B4B4-13714A04809D}"/>
    <cellStyle name="60% - Énfasis1 27 3" xfId="20625" xr:uid="{59047BD9-F397-465B-840C-31F3B803C9A9}"/>
    <cellStyle name="60% - Énfasis1 27 4" xfId="26427" xr:uid="{3C384BBD-0188-4F36-8F56-20E5821DA20F}"/>
    <cellStyle name="60% - Énfasis1 27 5" xfId="32302" xr:uid="{1BD01E4F-3440-4201-BEA8-6420EF9B27FF}"/>
    <cellStyle name="60% - Énfasis1 27 6" xfId="38167" xr:uid="{5CD69A51-042C-4E4C-8C85-E6E03300E4C2}"/>
    <cellStyle name="60% - Énfasis1 28" xfId="6199" xr:uid="{A4B7FD08-9DC7-4CD8-880A-7490D497837D}"/>
    <cellStyle name="60% - Énfasis1 28 2" xfId="9068" xr:uid="{81B05BA7-5A66-4695-9B12-412F74B813D3}"/>
    <cellStyle name="60% - Énfasis1 28 2 2" xfId="23432" xr:uid="{6C1FB3EB-3ABC-41B7-A7C4-B6E9D59CE80F}"/>
    <cellStyle name="60% - Énfasis1 28 2 3" xfId="29299" xr:uid="{2F660822-5B4D-4BBB-A5D2-18FC96177D5C}"/>
    <cellStyle name="60% - Énfasis1 28 2 4" xfId="35181" xr:uid="{95F04CC3-4F77-462F-9F67-6FF7974EECC3}"/>
    <cellStyle name="60% - Énfasis1 28 2 5" xfId="41042" xr:uid="{12D4E8FA-FA2E-4A76-8CC2-32164329ED77}"/>
    <cellStyle name="60% - Énfasis1 28 3" xfId="20647" xr:uid="{F6B2430F-C5D0-476F-B63D-9AA4B063D8C7}"/>
    <cellStyle name="60% - Énfasis1 28 4" xfId="26449" xr:uid="{0711B003-DB8C-4650-867C-03B167B4A604}"/>
    <cellStyle name="60% - Énfasis1 28 5" xfId="32324" xr:uid="{AFC50C6D-A1C1-438A-BCB8-AC1992A48A7D}"/>
    <cellStyle name="60% - Énfasis1 28 6" xfId="38189" xr:uid="{6C04E193-C81B-4ADF-8F6B-1E516FE2C4BD}"/>
    <cellStyle name="60% - Énfasis1 29" xfId="6236" xr:uid="{77BFC718-A9F3-4A5C-B600-4175EA3D5D60}"/>
    <cellStyle name="60% - Énfasis1 29 2" xfId="9105" xr:uid="{762E9AE0-8AC0-4C23-A56C-91DA25C3597D}"/>
    <cellStyle name="60% - Énfasis1 29 2 2" xfId="23469" xr:uid="{BC099A95-C2C8-48AC-8E9A-569BE9E747E7}"/>
    <cellStyle name="60% - Énfasis1 29 2 3" xfId="29336" xr:uid="{07EFB525-6FF0-47AF-B8CB-683320D54C99}"/>
    <cellStyle name="60% - Énfasis1 29 2 4" xfId="35218" xr:uid="{E242057E-E9C3-4974-B5FF-EF1DD833EC31}"/>
    <cellStyle name="60% - Énfasis1 29 2 5" xfId="41078" xr:uid="{8B134F57-9D7B-4E5B-ABDC-A83B93C1F677}"/>
    <cellStyle name="60% - Énfasis1 29 3" xfId="20677" xr:uid="{B6557B3F-4813-49E4-8E77-3B0D5A606D52}"/>
    <cellStyle name="60% - Énfasis1 29 4" xfId="26486" xr:uid="{C656E129-16F0-4652-AE35-7D65DEEBA4EE}"/>
    <cellStyle name="60% - Énfasis1 29 5" xfId="32361" xr:uid="{804B1358-BDCE-438D-9A3D-39CA8C1892F3}"/>
    <cellStyle name="60% - Énfasis1 29 6" xfId="38226" xr:uid="{8E205451-9E9C-49B4-9FB6-53953053125A}"/>
    <cellStyle name="60% - Énfasis1 3" xfId="3859" xr:uid="{298E4B77-5120-449F-A40D-DE815CFEB7FA}"/>
    <cellStyle name="60% - Énfasis1 3 10" xfId="29968" xr:uid="{EB955FE0-2E97-4896-86C0-4BB71342F492}"/>
    <cellStyle name="60% - Énfasis1 3 11" xfId="35849" xr:uid="{CE443633-7F68-4EEE-958B-22ACE0B9A09B}"/>
    <cellStyle name="60% - Énfasis1 3 2" xfId="4058" xr:uid="{943212BD-0C99-4C4F-AE8A-E29E33BD0304}"/>
    <cellStyle name="60% - Énfasis1 3 2 2" xfId="4536" xr:uid="{23F5AA0E-90D1-48DB-90DA-CEC2E9C050B7}"/>
    <cellStyle name="60% - Énfasis1 3 2 2 2" xfId="5504" xr:uid="{EFF3C209-418E-4B0D-9E82-D4B5510EF655}"/>
    <cellStyle name="60% - Énfasis1 3 2 2 2 2" xfId="8371" xr:uid="{D63EBAC2-6F8D-44F8-897F-2355AF73495C}"/>
    <cellStyle name="60% - Énfasis1 3 2 2 2 2 2" xfId="22746" xr:uid="{399F51FE-B770-4580-9973-4A847458A975}"/>
    <cellStyle name="60% - Énfasis1 3 2 2 2 2 3" xfId="28604" xr:uid="{A5A4CD99-01E5-42C0-BC84-E629CAFAC9A0}"/>
    <cellStyle name="60% - Énfasis1 3 2 2 2 2 4" xfId="34486" xr:uid="{8D7ED948-0C4B-4709-89FD-25F0C6C67D00}"/>
    <cellStyle name="60% - Énfasis1 3 2 2 2 2 5" xfId="40350" xr:uid="{FE5A9580-1AEF-4836-A877-6D4AEC626D95}"/>
    <cellStyle name="60% - Énfasis1 3 2 2 2 3" xfId="19964" xr:uid="{FAE34246-B83A-42F7-9E14-5B36BBDA04A9}"/>
    <cellStyle name="60% - Énfasis1 3 2 2 2 4" xfId="25755" xr:uid="{E89B4936-4AC5-4F3B-BE59-F346F39C25E9}"/>
    <cellStyle name="60% - Énfasis1 3 2 2 2 5" xfId="31629" xr:uid="{23C1ED99-9022-438D-9C16-FDBB49EC793B}"/>
    <cellStyle name="60% - Énfasis1 3 2 2 2 6" xfId="37499" xr:uid="{21ED94C6-6ABE-4BFE-822C-F45912D9E84D}"/>
    <cellStyle name="60% - Énfasis1 3 2 2 3" xfId="7399" xr:uid="{149E3A62-0718-4B2F-9075-8C8DBA24958A}"/>
    <cellStyle name="60% - Énfasis1 3 2 2 3 2" xfId="21801" xr:uid="{84DF3CE0-6B69-4BB5-BD0C-4A610EA1C6A3}"/>
    <cellStyle name="60% - Énfasis1 3 2 2 3 3" xfId="27633" xr:uid="{F3F47B98-283C-423F-AB8B-AB960EF4D2EF}"/>
    <cellStyle name="60% - Énfasis1 3 2 2 3 4" xfId="33515" xr:uid="{34CB0BE9-E7A2-483B-A952-7485FED3ED44}"/>
    <cellStyle name="60% - Énfasis1 3 2 2 3 5" xfId="39379" xr:uid="{8901A1C2-7F65-4C52-BE4C-6E4AF3A9CA55}"/>
    <cellStyle name="60% - Énfasis1 3 2 2 4" xfId="19032" xr:uid="{E7646E68-3D35-4E7A-96FC-3D76695AB087}"/>
    <cellStyle name="60% - Énfasis1 3 2 2 5" xfId="24784" xr:uid="{4518C90F-D689-4D0F-8796-F3B61C7DE441}"/>
    <cellStyle name="60% - Énfasis1 3 2 2 6" xfId="30661" xr:uid="{DE575ED5-3629-425B-B7C8-D9182FDAE81B}"/>
    <cellStyle name="60% - Énfasis1 3 2 2 7" xfId="36542" xr:uid="{D8174291-9AD7-49E9-978C-F425E4B10A5B}"/>
    <cellStyle name="60% - Énfasis1 3 2 3" xfId="5019" xr:uid="{FA3118BA-9040-419A-B32E-288B8A73C673}"/>
    <cellStyle name="60% - Énfasis1 3 2 3 2" xfId="7886" xr:uid="{2B80C349-D930-4A68-BE09-1F0B17B8B624}"/>
    <cellStyle name="60% - Énfasis1 3 2 3 2 2" xfId="22271" xr:uid="{42CD0AF8-6A12-4882-B888-DF6D917834B2}"/>
    <cellStyle name="60% - Énfasis1 3 2 3 2 3" xfId="28119" xr:uid="{DAB648EC-4D63-4B34-8DDE-B832D7C5BB9A}"/>
    <cellStyle name="60% - Énfasis1 3 2 3 2 4" xfId="34001" xr:uid="{93E0AE91-0393-41C9-8817-9FFF8EE9BC60}"/>
    <cellStyle name="60% - Énfasis1 3 2 3 2 5" xfId="39865" xr:uid="{581BA545-D4D3-4862-B788-03BF8C0F9C3A}"/>
    <cellStyle name="60% - Énfasis1 3 2 3 3" xfId="19497" xr:uid="{822ED24C-C0E5-4A8C-A46E-B93199E6F1DB}"/>
    <cellStyle name="60% - Énfasis1 3 2 3 4" xfId="25270" xr:uid="{9C07F56C-C9DF-41F1-A362-4BFB47B8235A}"/>
    <cellStyle name="60% - Énfasis1 3 2 3 5" xfId="31144" xr:uid="{19250BCC-E99A-4494-87AB-29D47FFDE132}"/>
    <cellStyle name="60% - Énfasis1 3 2 3 6" xfId="37022" xr:uid="{9322AAD6-0539-4BD7-B848-A8D428E76B93}"/>
    <cellStyle name="60% - Énfasis1 3 2 4" xfId="6914" xr:uid="{7A4CAD65-0E65-4110-9F52-4E1B581AF9A4}"/>
    <cellStyle name="60% - Énfasis1 3 2 4 2" xfId="21334" xr:uid="{878F1215-A44E-47C1-A160-63553205CFF2}"/>
    <cellStyle name="60% - Énfasis1 3 2 4 3" xfId="27152" xr:uid="{67C225DC-9DE9-4AAF-9950-9FF912D45954}"/>
    <cellStyle name="60% - Énfasis1 3 2 4 4" xfId="33030" xr:uid="{A45A9167-9833-4B86-8DC2-2B042B88F150}"/>
    <cellStyle name="60% - Énfasis1 3 2 4 5" xfId="38894" xr:uid="{98C45AB5-72BA-4D01-BBAD-44C03B88E34C}"/>
    <cellStyle name="60% - Énfasis1 3 2 5" xfId="18589" xr:uid="{CF6E8B12-90DF-4EF5-A6B3-E39E4601C872}"/>
    <cellStyle name="60% - Énfasis1 3 2 6" xfId="24301" xr:uid="{8C518876-7DDC-48F8-ADBA-27F5C35119DD}"/>
    <cellStyle name="60% - Énfasis1 3 2 7" xfId="30179" xr:uid="{A90C218E-C675-49A4-89CF-24352D6797C9}"/>
    <cellStyle name="60% - Énfasis1 3 2 8" xfId="36058" xr:uid="{729B072A-BD13-40A7-BBBE-31E4E55A35B8}"/>
    <cellStyle name="60% - Énfasis1 3 3" xfId="4342" xr:uid="{084B26CC-55B4-4A73-BC65-7FF0B4DD60BD}"/>
    <cellStyle name="60% - Énfasis1 3 3 2" xfId="5308" xr:uid="{07EA31BA-E116-4744-9075-008CEF4C0445}"/>
    <cellStyle name="60% - Énfasis1 3 3 2 2" xfId="8175" xr:uid="{FF71B8E2-6CB2-428F-B31D-ED904FEF0166}"/>
    <cellStyle name="60% - Énfasis1 3 3 2 2 2" xfId="22551" xr:uid="{D6429F60-F7F8-4D3B-8ED5-471825C3A2B7}"/>
    <cellStyle name="60% - Énfasis1 3 3 2 2 3" xfId="28408" xr:uid="{E3C66C05-B81B-4C53-89BD-9107DF8CDA5F}"/>
    <cellStyle name="60% - Énfasis1 3 3 2 2 4" xfId="34290" xr:uid="{3D1BACA8-FCC2-4A49-98AE-5C85AA2479A4}"/>
    <cellStyle name="60% - Énfasis1 3 3 2 2 5" xfId="40154" xr:uid="{DC1D1DA8-D38F-47B4-928B-A3BA2B583915}"/>
    <cellStyle name="60% - Énfasis1 3 3 2 3" xfId="19776" xr:uid="{D667C996-4E7A-4356-B77F-0323999FC884}"/>
    <cellStyle name="60% - Énfasis1 3 3 2 4" xfId="25559" xr:uid="{A0475E6B-09E6-4AF8-B80A-DBAE05D1D3C1}"/>
    <cellStyle name="60% - Énfasis1 3 3 2 5" xfId="31433" xr:uid="{D236E8E8-E310-4EEA-A980-91B712F42BDF}"/>
    <cellStyle name="60% - Énfasis1 3 3 2 6" xfId="37304" xr:uid="{28982FB4-F1BC-45FB-8FB3-5B59639D6C30}"/>
    <cellStyle name="60% - Énfasis1 3 3 3" xfId="7203" xr:uid="{85CB8040-170E-4D57-AF80-F2F749A676F2}"/>
    <cellStyle name="60% - Énfasis1 3 3 3 2" xfId="21610" xr:uid="{55E188E5-BEBD-4CE8-A70D-B290967F2397}"/>
    <cellStyle name="60% - Énfasis1 3 3 3 3" xfId="27437" xr:uid="{1B199064-A554-4C20-9F6C-79363D80B277}"/>
    <cellStyle name="60% - Énfasis1 3 3 3 4" xfId="33319" xr:uid="{8A391156-3BB2-49FC-B214-6EFAAFA81147}"/>
    <cellStyle name="60% - Énfasis1 3 3 3 5" xfId="39183" xr:uid="{75DDE2BA-2A31-451B-B0E9-F739B757B292}"/>
    <cellStyle name="60% - Énfasis1 3 3 4" xfId="18847" xr:uid="{63AF6C2C-8131-4162-9E46-D50C67ED48CA}"/>
    <cellStyle name="60% - Énfasis1 3 3 5" xfId="24588" xr:uid="{8D9D4D50-6C84-490E-B2B8-B5A8D5C70824}"/>
    <cellStyle name="60% - Énfasis1 3 3 6" xfId="30467" xr:uid="{89A5CCB7-D5DA-4395-AB7B-19C3184D92A4}"/>
    <cellStyle name="60% - Énfasis1 3 3 7" xfId="36347" xr:uid="{3A0944D2-27D7-490F-A536-2284F1CEAF70}"/>
    <cellStyle name="60% - Énfasis1 3 4" xfId="4824" xr:uid="{D48B8311-2CFC-4828-85BC-15E03879791D}"/>
    <cellStyle name="60% - Énfasis1 3 4 2" xfId="7690" xr:uid="{2E62AFF4-6D95-4449-9A59-0014D25C9E8A}"/>
    <cellStyle name="60% - Énfasis1 3 4 2 2" xfId="22080" xr:uid="{F0AD4639-B1A6-45D4-AE72-49EE51A7E11E}"/>
    <cellStyle name="60% - Énfasis1 3 4 2 3" xfId="27923" xr:uid="{28C201B1-FC17-47E0-B8BE-7D42F02957A2}"/>
    <cellStyle name="60% - Énfasis1 3 4 2 4" xfId="33805" xr:uid="{D3D88AEF-7434-4FF6-A7E2-79D650BA0A0F}"/>
    <cellStyle name="60% - Énfasis1 3 4 2 5" xfId="39669" xr:uid="{43F937F8-B97C-465A-B3A1-516F72E22655}"/>
    <cellStyle name="60% - Énfasis1 3 4 3" xfId="19306" xr:uid="{C933A4D3-94E3-410A-94D4-7F0486C8A307}"/>
    <cellStyle name="60% - Énfasis1 3 4 4" xfId="25074" xr:uid="{B739C7CC-2ED5-4718-AFAF-669DDDBACE23}"/>
    <cellStyle name="60% - Énfasis1 3 4 5" xfId="30948" xr:uid="{5407FC17-F33A-4F8A-A1F0-5CB3288CA108}"/>
    <cellStyle name="60% - Énfasis1 3 4 6" xfId="36827" xr:uid="{28DACDB4-5A14-415B-9F03-CA368AFEF54F}"/>
    <cellStyle name="60% - Énfasis1 3 5" xfId="5833" xr:uid="{5F667B74-3FAC-458D-861D-14B591C68CB5}"/>
    <cellStyle name="60% - Énfasis1 3 5 2" xfId="8702" xr:uid="{517EAF34-A2DB-445F-8935-FC08EF4A975A}"/>
    <cellStyle name="60% - Énfasis1 3 5 2 2" xfId="23070" xr:uid="{83B4C3D6-0DCA-4F1B-81CC-F40118DE6819}"/>
    <cellStyle name="60% - Énfasis1 3 5 2 3" xfId="28934" xr:uid="{4FE99910-70AF-4226-BC36-937D72865E30}"/>
    <cellStyle name="60% - Énfasis1 3 5 2 4" xfId="34816" xr:uid="{611DF1D8-4163-4AE8-BCB2-B73ED7680407}"/>
    <cellStyle name="60% - Énfasis1 3 5 2 5" xfId="40680" xr:uid="{34F76B7E-20B8-4698-A8C4-9EE497709581}"/>
    <cellStyle name="60% - Énfasis1 3 5 3" xfId="20285" xr:uid="{FA728B11-A3F7-493D-8EEF-4C4D157DE79F}"/>
    <cellStyle name="60% - Énfasis1 3 5 4" xfId="26084" xr:uid="{CFD6A1D0-3DA7-4C74-B968-710B50DA407D}"/>
    <cellStyle name="60% - Énfasis1 3 5 5" xfId="31959" xr:uid="{2122B03D-1D8C-4434-A8E3-547CAAC22589}"/>
    <cellStyle name="60% - Énfasis1 3 5 6" xfId="37825" xr:uid="{CBCDC4D2-FF16-434F-A9D7-C368527BA1E8}"/>
    <cellStyle name="60% - Énfasis1 3 6" xfId="6444" xr:uid="{7634F7DC-E393-4030-96CD-92CBA91CEA51}"/>
    <cellStyle name="60% - Énfasis1 3 6 2" xfId="9304" xr:uid="{FB05CDE1-9A2D-43E2-8CA1-C819F1BA2C43}"/>
    <cellStyle name="60% - Énfasis1 3 6 2 2" xfId="23667" xr:uid="{66D5ADB4-C6CB-4013-B58E-C8EB08BE6EAC}"/>
    <cellStyle name="60% - Énfasis1 3 6 2 3" xfId="29535" xr:uid="{187302DA-A19C-42D9-90F3-91B3FD2966C5}"/>
    <cellStyle name="60% - Énfasis1 3 6 2 4" xfId="35417" xr:uid="{89F80D4E-FC8B-4812-8E43-2893D897042B}"/>
    <cellStyle name="60% - Énfasis1 3 6 2 5" xfId="41276" xr:uid="{7053AF20-D120-4A61-A90B-8013AC4F964F}"/>
    <cellStyle name="60% - Énfasis1 3 6 3" xfId="20883" xr:uid="{A16BB597-DC48-48C4-9EF3-3BA13D916106}"/>
    <cellStyle name="60% - Énfasis1 3 6 4" xfId="26693" xr:uid="{B54C965A-3B8B-4ECA-B814-BBFF311F1182}"/>
    <cellStyle name="60% - Énfasis1 3 6 5" xfId="32568" xr:uid="{E3503271-2445-49C9-9152-3669539DC3F9}"/>
    <cellStyle name="60% - Énfasis1 3 6 6" xfId="38432" xr:uid="{D518EE90-6911-4A65-835F-B81358B99430}"/>
    <cellStyle name="60% - Énfasis1 3 7" xfId="6719" xr:uid="{04732B20-E784-4671-92C0-6C9921390787}"/>
    <cellStyle name="60% - Énfasis1 3 7 2" xfId="21143" xr:uid="{E9CEA8A3-EFAB-49BF-B72F-BCB430993A55}"/>
    <cellStyle name="60% - Énfasis1 3 7 3" xfId="26958" xr:uid="{91794F3B-02F6-47CA-A588-5933967F2E70}"/>
    <cellStyle name="60% - Énfasis1 3 7 4" xfId="32834" xr:uid="{0AF844A5-567B-4BF2-A1BD-28EE8F707F50}"/>
    <cellStyle name="60% - Énfasis1 3 7 5" xfId="38698" xr:uid="{A9B13540-6F9E-4060-AA01-8531DFBCBC25}"/>
    <cellStyle name="60% - Énfasis1 3 8" xfId="18381" xr:uid="{40F86FA3-C767-4792-8358-E9C11DC3EF50}"/>
    <cellStyle name="60% - Énfasis1 3 9" xfId="24090" xr:uid="{FABFD85D-C822-4073-BD36-F70DB02141F6}"/>
    <cellStyle name="60% - Énfasis1 30" xfId="6256" xr:uid="{7DA6D91B-14E5-4981-865D-B440133A80AE}"/>
    <cellStyle name="60% - Énfasis1 30 2" xfId="9125" xr:uid="{16D204E0-52B8-42B4-94A0-950844946158}"/>
    <cellStyle name="60% - Énfasis1 30 2 2" xfId="23489" xr:uid="{D07A2B10-69A4-4201-B786-FA80EB4D93C1}"/>
    <cellStyle name="60% - Énfasis1 30 2 3" xfId="29356" xr:uid="{78B56011-390F-4CFE-8D67-16F034BCA324}"/>
    <cellStyle name="60% - Énfasis1 30 2 4" xfId="35238" xr:uid="{DF31C6E6-B5E4-48F7-AAB5-840AA1865E47}"/>
    <cellStyle name="60% - Énfasis1 30 2 5" xfId="41097" xr:uid="{B7A0FFEA-6677-492A-A9E4-CCE5741A2EA0}"/>
    <cellStyle name="60% - Énfasis1 30 3" xfId="20697" xr:uid="{C39C07DA-ADE7-4433-8F35-1F7BA17180A9}"/>
    <cellStyle name="60% - Énfasis1 30 4" xfId="26506" xr:uid="{BF01BB14-E601-4A68-B7E7-830B7E38CA53}"/>
    <cellStyle name="60% - Énfasis1 30 5" xfId="32381" xr:uid="{C48C3763-A9AE-4575-90EE-6F8023E2C37A}"/>
    <cellStyle name="60% - Énfasis1 30 6" xfId="38246" xr:uid="{B8D9CF4B-D899-4EB0-A398-BA504CBE6471}"/>
    <cellStyle name="60% - Énfasis1 31" xfId="6276" xr:uid="{C7A4C84A-528D-4429-9E79-4830339A3C9A}"/>
    <cellStyle name="60% - Énfasis1 31 2" xfId="9145" xr:uid="{EB5891BC-D3A9-45B5-9B7D-137ED638238B}"/>
    <cellStyle name="60% - Énfasis1 31 2 2" xfId="23509" xr:uid="{36CFBD7D-52AB-4CEC-B593-1A143331A282}"/>
    <cellStyle name="60% - Énfasis1 31 2 3" xfId="29376" xr:uid="{B07DADBB-E9D4-4F0E-B1C7-A84A8773670B}"/>
    <cellStyle name="60% - Énfasis1 31 2 4" xfId="35258" xr:uid="{B73746C5-3EA9-46B7-ADDA-C193A2B8D4AB}"/>
    <cellStyle name="60% - Énfasis1 31 2 5" xfId="41117" xr:uid="{A071F156-A831-4270-B8A4-6F4FD1B3D081}"/>
    <cellStyle name="60% - Énfasis1 31 3" xfId="20717" xr:uid="{68A95E2C-7F8E-49D9-BE10-6D8163F1E0C4}"/>
    <cellStyle name="60% - Énfasis1 31 4" xfId="26526" xr:uid="{76A616B8-5C51-48A8-AEDE-66B25606694C}"/>
    <cellStyle name="60% - Énfasis1 31 5" xfId="32401" xr:uid="{B4CB62E0-C3D9-434D-8407-3C5C53F8484B}"/>
    <cellStyle name="60% - Énfasis1 31 6" xfId="38266" xr:uid="{0AA2DE2C-26E8-4E0C-B5CC-D0902D9C396B}"/>
    <cellStyle name="60% - Énfasis1 32" xfId="6300" xr:uid="{BF8447DD-D429-4259-8EC2-687D805A3725}"/>
    <cellStyle name="60% - Énfasis1 32 2" xfId="9168" xr:uid="{1698A97C-3AAC-47EA-BCE9-84F2ED4D3967}"/>
    <cellStyle name="60% - Énfasis1 32 2 2" xfId="23532" xr:uid="{6A7672D3-D25A-4A70-BD1D-8FDF49631EE1}"/>
    <cellStyle name="60% - Énfasis1 32 2 3" xfId="29399" xr:uid="{ECF930A2-6777-474E-9009-22178358CE78}"/>
    <cellStyle name="60% - Énfasis1 32 2 4" xfId="35281" xr:uid="{9C52E11C-D25E-431D-BA3D-717B3DEE1393}"/>
    <cellStyle name="60% - Énfasis1 32 2 5" xfId="41140" xr:uid="{54980294-157C-4E11-8678-E92E188BC8EA}"/>
    <cellStyle name="60% - Énfasis1 32 3" xfId="20741" xr:uid="{55ACF817-443E-413F-BE05-E2B373FF7910}"/>
    <cellStyle name="60% - Énfasis1 32 4" xfId="26550" xr:uid="{1C669312-DDFA-495C-815C-326A2371AFF5}"/>
    <cellStyle name="60% - Énfasis1 32 5" xfId="32425" xr:uid="{FA7419A7-A8FF-4FDC-9FD0-8B90D36691EB}"/>
    <cellStyle name="60% - Énfasis1 32 6" xfId="38290" xr:uid="{77FD5BD1-7EEE-450D-A0B3-D424B7DFAEDD}"/>
    <cellStyle name="60% - Énfasis1 33" xfId="6332" xr:uid="{4D52307A-6A2C-481B-BD60-B10E3AF1BA21}"/>
    <cellStyle name="60% - Énfasis1 33 2" xfId="9197" xr:uid="{59F58943-AB84-4DC1-99FC-3BF864F43C42}"/>
    <cellStyle name="60% - Énfasis1 33 2 2" xfId="23560" xr:uid="{8C0BD0B2-1466-4EE9-917F-38F77268CCD9}"/>
    <cellStyle name="60% - Énfasis1 33 2 3" xfId="29428" xr:uid="{CCD66BA5-2DD9-484B-8BBD-72E7CFDC23D6}"/>
    <cellStyle name="60% - Énfasis1 33 2 4" xfId="35310" xr:uid="{3E3736A6-610D-43E2-9964-E1BA48501DBE}"/>
    <cellStyle name="60% - Énfasis1 33 2 5" xfId="41169" xr:uid="{88A0A7D5-60E5-41BB-A4B1-B075A9ED712E}"/>
    <cellStyle name="60% - Énfasis1 33 3" xfId="20773" xr:uid="{D15D3415-8C64-44C0-A61F-B97C21C87491}"/>
    <cellStyle name="60% - Énfasis1 33 4" xfId="26582" xr:uid="{B3EF3F05-EDBE-48AE-838E-BE476D9E25F9}"/>
    <cellStyle name="60% - Énfasis1 33 5" xfId="32457" xr:uid="{4E72373A-ABF1-4261-B9E6-D827EED62DEB}"/>
    <cellStyle name="60% - Énfasis1 33 6" xfId="38321" xr:uid="{A57070C0-EC21-4F7D-AE99-CE5970D5A0C3}"/>
    <cellStyle name="60% - Énfasis1 34" xfId="6352" xr:uid="{534C7C5A-8B76-4D20-971D-872764813E60}"/>
    <cellStyle name="60% - Énfasis1 34 2" xfId="9217" xr:uid="{74E4230B-7228-4289-8CD1-505A312FE703}"/>
    <cellStyle name="60% - Énfasis1 34 2 2" xfId="23580" xr:uid="{D5079312-E64F-4B36-A4BE-A0813B95B083}"/>
    <cellStyle name="60% - Énfasis1 34 2 3" xfId="29448" xr:uid="{1E3A9327-7AC1-4247-B271-2E432BEDD899}"/>
    <cellStyle name="60% - Énfasis1 34 2 4" xfId="35330" xr:uid="{0C25432E-2FE4-4E43-86CD-65364E17A056}"/>
    <cellStyle name="60% - Énfasis1 34 2 5" xfId="41189" xr:uid="{39721DCE-3BBA-4260-9186-82A635D06E29}"/>
    <cellStyle name="60% - Énfasis1 34 3" xfId="20793" xr:uid="{6A6DF85C-F183-46CC-853D-1FABA4776F01}"/>
    <cellStyle name="60% - Énfasis1 34 4" xfId="26602" xr:uid="{0B91B60F-3269-4298-8F34-AA2274396216}"/>
    <cellStyle name="60% - Énfasis1 34 5" xfId="32477" xr:uid="{C35B8735-B475-4703-A565-4360B978CEAB}"/>
    <cellStyle name="60% - Énfasis1 34 6" xfId="38341" xr:uid="{E8FD28E4-F2D2-4D66-AC44-F6C7B47B6670}"/>
    <cellStyle name="60% - Énfasis1 35" xfId="6372" xr:uid="{16AF691F-7492-4777-808A-E1E4FC49D78D}"/>
    <cellStyle name="60% - Énfasis1 35 2" xfId="9237" xr:uid="{CC9B5EDD-CE16-453A-9B7A-7974E0E32662}"/>
    <cellStyle name="60% - Énfasis1 35 2 2" xfId="23600" xr:uid="{A5C2ECC3-C02A-448E-8053-A748B3D1E2DF}"/>
    <cellStyle name="60% - Énfasis1 35 2 3" xfId="29468" xr:uid="{70FCD1B1-E30A-4593-8805-1F44176C8A22}"/>
    <cellStyle name="60% - Énfasis1 35 2 4" xfId="35350" xr:uid="{208D228F-5FF2-4F1E-A35A-60081A05D207}"/>
    <cellStyle name="60% - Énfasis1 35 2 5" xfId="41209" xr:uid="{CA0F10F6-F2BD-4D73-B753-920404B6791B}"/>
    <cellStyle name="60% - Énfasis1 35 3" xfId="20813" xr:uid="{E8DB07DB-571A-493B-965D-C9792946DA74}"/>
    <cellStyle name="60% - Énfasis1 35 4" xfId="26622" xr:uid="{F983AF90-AEC7-42A9-A190-BC8DDBAD5E97}"/>
    <cellStyle name="60% - Énfasis1 35 5" xfId="32497" xr:uid="{F8D5E4CD-6FC4-446E-B725-6145B717F22E}"/>
    <cellStyle name="60% - Énfasis1 35 6" xfId="38361" xr:uid="{CF50F1A2-2E8E-4115-97C6-405B86A31B7F}"/>
    <cellStyle name="60% - Énfasis1 36" xfId="6393" xr:uid="{02211772-F438-4B67-B4F7-FFBC907EBB89}"/>
    <cellStyle name="60% - Énfasis1 36 2" xfId="9258" xr:uid="{7D570CF4-6C00-4564-AAFB-309A0BF84651}"/>
    <cellStyle name="60% - Énfasis1 36 2 2" xfId="23621" xr:uid="{4E2212A4-BD0D-4774-9C1D-ACD515DFB1D3}"/>
    <cellStyle name="60% - Énfasis1 36 2 3" xfId="29489" xr:uid="{0A11E1EB-5298-4645-A40C-346D8CA608EB}"/>
    <cellStyle name="60% - Énfasis1 36 2 4" xfId="35371" xr:uid="{C9EC6AC1-F986-40E0-BE74-B7FE1BEAB4AC}"/>
    <cellStyle name="60% - Énfasis1 36 2 5" xfId="41230" xr:uid="{0BD8BDD2-1B4C-4131-8B70-7B3F885DC252}"/>
    <cellStyle name="60% - Énfasis1 36 3" xfId="20834" xr:uid="{48E28FD6-6E56-406E-AFBE-43C0579D947A}"/>
    <cellStyle name="60% - Énfasis1 36 4" xfId="26643" xr:uid="{6D8140AD-1757-4B31-A9EA-8F1286E71CBE}"/>
    <cellStyle name="60% - Énfasis1 36 5" xfId="32518" xr:uid="{372F5E38-C10D-4B08-A622-1F956FC99F7F}"/>
    <cellStyle name="60% - Énfasis1 36 6" xfId="38382" xr:uid="{E79A6B3E-6C17-42F4-99BD-D1039F664421}"/>
    <cellStyle name="60% - Énfasis1 37" xfId="6422" xr:uid="{02080E48-DB7C-40DF-A1F5-A0C7618CD577}"/>
    <cellStyle name="60% - Énfasis1 37 2" xfId="9284" xr:uid="{9E8B6125-4E8E-4113-A9ED-324B6C672A88}"/>
    <cellStyle name="60% - Énfasis1 37 2 2" xfId="23647" xr:uid="{F0D3287C-EB07-4497-940D-2C3F63F5E92B}"/>
    <cellStyle name="60% - Énfasis1 37 2 3" xfId="29515" xr:uid="{9D38411F-DEBF-4C94-8DCA-32911C11B068}"/>
    <cellStyle name="60% - Énfasis1 37 2 4" xfId="35397" xr:uid="{11759264-F419-4F7D-AF29-24BB22DD9E9F}"/>
    <cellStyle name="60% - Énfasis1 37 2 5" xfId="41256" xr:uid="{5C6D3A12-23E1-4877-BF8B-1D435468B57E}"/>
    <cellStyle name="60% - Énfasis1 37 3" xfId="20863" xr:uid="{C8C4C5B0-BDB1-4D73-855C-0C1509D2D994}"/>
    <cellStyle name="60% - Énfasis1 37 4" xfId="26672" xr:uid="{88CAAEC9-F6A2-47E5-BB18-8C80EB116006}"/>
    <cellStyle name="60% - Énfasis1 37 5" xfId="32547" xr:uid="{410A425E-EE90-4B7A-A259-F2884F969C44}"/>
    <cellStyle name="60% - Énfasis1 37 6" xfId="38411" xr:uid="{3B3E8611-69F5-447E-B569-A1A8B7FDC4DC}"/>
    <cellStyle name="60% - Énfasis1 38" xfId="6456" xr:uid="{B64D7B90-BD72-4BBF-9B20-56D530576A60}"/>
    <cellStyle name="60% - Énfasis1 38 2" xfId="9316" xr:uid="{6601E085-622B-4051-A9E2-5DA55084F4B2}"/>
    <cellStyle name="60% - Énfasis1 38 2 2" xfId="23679" xr:uid="{07EBF726-F373-46DE-8704-B6C750479859}"/>
    <cellStyle name="60% - Énfasis1 38 2 3" xfId="29547" xr:uid="{3C897345-94BA-4E1F-9EBD-7B45843BA1C0}"/>
    <cellStyle name="60% - Énfasis1 38 2 4" xfId="35429" xr:uid="{8699B6CD-C79D-4B2A-8A40-CAC4690B495A}"/>
    <cellStyle name="60% - Énfasis1 38 2 5" xfId="41288" xr:uid="{35716BD8-9844-4A4C-A8D2-633C82981C9C}"/>
    <cellStyle name="60% - Énfasis1 38 3" xfId="20894" xr:uid="{752D1280-3135-4168-BC7D-3F2C26ECC351}"/>
    <cellStyle name="60% - Énfasis1 38 4" xfId="26705" xr:uid="{1B10767E-38A4-4D56-BB30-0D7291C2B7EC}"/>
    <cellStyle name="60% - Énfasis1 38 5" xfId="32580" xr:uid="{1EF8A70C-C271-464E-A75C-DF784C670A7D}"/>
    <cellStyle name="60% - Énfasis1 38 6" xfId="38444" xr:uid="{3B64911C-6910-4F59-A93C-1BD791225A8C}"/>
    <cellStyle name="60% - Énfasis1 39" xfId="6476" xr:uid="{36673BD1-22CB-436D-9C89-7EC64308A659}"/>
    <cellStyle name="60% - Énfasis1 39 2" xfId="9336" xr:uid="{7141FEBD-F238-4CFA-A1D2-3C55FE0B5160}"/>
    <cellStyle name="60% - Énfasis1 39 2 2" xfId="23699" xr:uid="{91813977-8DD6-4977-B5C0-1ECDA15D1043}"/>
    <cellStyle name="60% - Énfasis1 39 2 3" xfId="29567" xr:uid="{3B401E30-D3FB-498A-B628-87F59A513155}"/>
    <cellStyle name="60% - Énfasis1 39 2 4" xfId="35449" xr:uid="{1B2F5BF5-E52B-4494-B3F7-2138A72E9E50}"/>
    <cellStyle name="60% - Énfasis1 39 2 5" xfId="41308" xr:uid="{DCADB161-B15F-42FA-9AAD-E4CB9AA22837}"/>
    <cellStyle name="60% - Énfasis1 39 3" xfId="20914" xr:uid="{3CFD1E90-BB23-4A89-A48A-90BE950C0131}"/>
    <cellStyle name="60% - Énfasis1 39 4" xfId="26725" xr:uid="{FDCDA20B-0552-45DC-B20D-2C7AE386FC3C}"/>
    <cellStyle name="60% - Énfasis1 39 5" xfId="32600" xr:uid="{52CBCD3B-B30A-4728-A954-FBE9C71AA0EE}"/>
    <cellStyle name="60% - Énfasis1 39 6" xfId="38464" xr:uid="{8D678115-AB40-489B-9F31-7C54C5350298}"/>
    <cellStyle name="60% - Énfasis1 4" xfId="3886" xr:uid="{70F8EADC-6F53-41F0-807F-70C7C2C11069}"/>
    <cellStyle name="60% - Énfasis1 4 10" xfId="35878" xr:uid="{C8C08872-7D1A-4EA4-9391-BB3E328B67CA}"/>
    <cellStyle name="60% - Énfasis1 4 2" xfId="4083" xr:uid="{C16FAED4-9DF1-4582-884D-B1F5709480E4}"/>
    <cellStyle name="60% - Énfasis1 4 2 2" xfId="4561" xr:uid="{DDEEEF9E-4624-497E-B823-816FBAB4F83F}"/>
    <cellStyle name="60% - Énfasis1 4 2 2 2" xfId="5529" xr:uid="{04A2A903-F27F-479E-9717-5BA3076D8DF4}"/>
    <cellStyle name="60% - Énfasis1 4 2 2 2 2" xfId="8396" xr:uid="{F6EEC1E5-B089-497F-AE2F-1827D956E810}"/>
    <cellStyle name="60% - Énfasis1 4 2 2 2 2 2" xfId="22771" xr:uid="{7690F9D5-B5F8-4707-A7E7-6A6A9D9F5EE4}"/>
    <cellStyle name="60% - Énfasis1 4 2 2 2 2 3" xfId="28629" xr:uid="{B2F36FC8-6D1A-419A-8490-00B95F4FB297}"/>
    <cellStyle name="60% - Énfasis1 4 2 2 2 2 4" xfId="34511" xr:uid="{AECA19F3-1250-4D06-9F6E-EB7EE10EF962}"/>
    <cellStyle name="60% - Énfasis1 4 2 2 2 2 5" xfId="40375" xr:uid="{3BEF2607-EB22-4EF8-90D5-A6488C46F9D7}"/>
    <cellStyle name="60% - Énfasis1 4 2 2 2 3" xfId="19989" xr:uid="{360C7D87-B196-478D-B22C-6CD797B1C5BA}"/>
    <cellStyle name="60% - Énfasis1 4 2 2 2 4" xfId="25780" xr:uid="{B0ED5492-3D1A-40E9-8478-1B019F18A445}"/>
    <cellStyle name="60% - Énfasis1 4 2 2 2 5" xfId="31654" xr:uid="{B12D8F21-7F5C-4831-B697-CA85ECF76340}"/>
    <cellStyle name="60% - Énfasis1 4 2 2 2 6" xfId="37524" xr:uid="{2048EFD8-963F-4C93-B1BB-9F20A17757A6}"/>
    <cellStyle name="60% - Énfasis1 4 2 2 3" xfId="7424" xr:uid="{33F244C0-7129-4770-8459-E29A9A12EB2F}"/>
    <cellStyle name="60% - Énfasis1 4 2 2 3 2" xfId="21826" xr:uid="{1C50B6AD-C83A-4211-A002-D8076390E433}"/>
    <cellStyle name="60% - Énfasis1 4 2 2 3 3" xfId="27658" xr:uid="{7BA7D44B-DB9E-43CC-96F2-8C03EC8AFDE5}"/>
    <cellStyle name="60% - Énfasis1 4 2 2 3 4" xfId="33540" xr:uid="{954391D5-C6B7-4D1C-A04B-98DDFA37520E}"/>
    <cellStyle name="60% - Énfasis1 4 2 2 3 5" xfId="39404" xr:uid="{8D592321-0A3C-483F-B5BF-1EC67B47DA88}"/>
    <cellStyle name="60% - Énfasis1 4 2 2 4" xfId="19057" xr:uid="{597C5D4F-104A-4194-BBCD-DEAB8548A3E7}"/>
    <cellStyle name="60% - Énfasis1 4 2 2 5" xfId="24809" xr:uid="{80B5EF2F-628F-4996-8B86-26FFA420D54D}"/>
    <cellStyle name="60% - Énfasis1 4 2 2 6" xfId="30686" xr:uid="{C0DC5240-87B0-473C-A7FE-FDB796329979}"/>
    <cellStyle name="60% - Énfasis1 4 2 2 7" xfId="36567" xr:uid="{A9A7FE95-CEDB-47D3-8C2E-9763F1F85489}"/>
    <cellStyle name="60% - Énfasis1 4 2 3" xfId="5044" xr:uid="{27080A66-DF2F-43F0-9314-8B3678C6AC4F}"/>
    <cellStyle name="60% - Énfasis1 4 2 3 2" xfId="7911" xr:uid="{06E5D109-FA58-49FF-865A-CB8A2F97F863}"/>
    <cellStyle name="60% - Énfasis1 4 2 3 2 2" xfId="22296" xr:uid="{A3F9B539-F46C-488E-B215-3F0281235D7F}"/>
    <cellStyle name="60% - Énfasis1 4 2 3 2 3" xfId="28144" xr:uid="{B58E01BC-F434-4754-B7EF-C01BB5303BBD}"/>
    <cellStyle name="60% - Énfasis1 4 2 3 2 4" xfId="34026" xr:uid="{21DE09B6-46F1-417E-83C0-DFC61E96A255}"/>
    <cellStyle name="60% - Énfasis1 4 2 3 2 5" xfId="39890" xr:uid="{345DF496-E2BF-4D27-A0CD-2EB444E9F0CC}"/>
    <cellStyle name="60% - Énfasis1 4 2 3 3" xfId="19521" xr:uid="{826A5525-5E0F-4B02-9103-86401BFEFBAE}"/>
    <cellStyle name="60% - Énfasis1 4 2 3 4" xfId="25295" xr:uid="{D507FAEA-3373-4336-A7D2-752ED12F13AB}"/>
    <cellStyle name="60% - Énfasis1 4 2 3 5" xfId="31169" xr:uid="{97977C61-941C-4DE9-9A8D-2BF1CAFF0B03}"/>
    <cellStyle name="60% - Énfasis1 4 2 3 6" xfId="37047" xr:uid="{C4F9D934-4E48-46C3-854D-5A734033AB94}"/>
    <cellStyle name="60% - Énfasis1 4 2 4" xfId="6939" xr:uid="{204A620C-102D-495F-ACA0-164B5642FE39}"/>
    <cellStyle name="60% - Énfasis1 4 2 4 2" xfId="21359" xr:uid="{B7F98578-ED38-40B5-8DDB-8E23554DE1B8}"/>
    <cellStyle name="60% - Énfasis1 4 2 4 3" xfId="27177" xr:uid="{067BB4DC-7A54-4EB8-9942-A43CB8610B9B}"/>
    <cellStyle name="60% - Énfasis1 4 2 4 4" xfId="33055" xr:uid="{1750B49E-0C4C-4FFE-93FE-0DB71AFD7029}"/>
    <cellStyle name="60% - Énfasis1 4 2 4 5" xfId="38919" xr:uid="{EDCF0453-948F-4E92-8E9C-F32D5255C3C1}"/>
    <cellStyle name="60% - Énfasis1 4 2 5" xfId="18613" xr:uid="{66307C59-E2EA-471F-98B5-E1D63BF2FF19}"/>
    <cellStyle name="60% - Énfasis1 4 2 6" xfId="24326" xr:uid="{809717DD-8374-415B-BFF6-BCD6A123D4C2}"/>
    <cellStyle name="60% - Énfasis1 4 2 7" xfId="30204" xr:uid="{0A264C27-60F6-49A6-A7F0-E428BFFBFD91}"/>
    <cellStyle name="60% - Énfasis1 4 2 8" xfId="36083" xr:uid="{6106B895-DAF1-439B-A830-B0BC4E19C1A8}"/>
    <cellStyle name="60% - Énfasis1 4 3" xfId="4367" xr:uid="{6431B044-1E76-4E53-AF54-57134F7D3952}"/>
    <cellStyle name="60% - Énfasis1 4 3 2" xfId="5333" xr:uid="{F84DE306-2DD0-4B35-BBAD-41E590BBFE01}"/>
    <cellStyle name="60% - Énfasis1 4 3 2 2" xfId="8200" xr:uid="{E6F63606-CE8C-4A51-B450-F89CC6F076FD}"/>
    <cellStyle name="60% - Énfasis1 4 3 2 2 2" xfId="22576" xr:uid="{7A60DAD7-8346-40A2-807A-A94100E5C213}"/>
    <cellStyle name="60% - Énfasis1 4 3 2 2 3" xfId="28433" xr:uid="{70727255-7F36-4AF3-BAE2-ECA8F38DFE8F}"/>
    <cellStyle name="60% - Énfasis1 4 3 2 2 4" xfId="34315" xr:uid="{051567B6-D3F0-4BF4-8EA7-290B0C773552}"/>
    <cellStyle name="60% - Énfasis1 4 3 2 2 5" xfId="40179" xr:uid="{51E07B7F-4FBA-4091-85BA-4491A5D79EF1}"/>
    <cellStyle name="60% - Énfasis1 4 3 2 3" xfId="19800" xr:uid="{676F0AEB-C3A4-43A7-AD31-A2E51BD6E50A}"/>
    <cellStyle name="60% - Énfasis1 4 3 2 4" xfId="25584" xr:uid="{3A583689-F4D2-4A2A-8E36-5E6AE5E8F9E6}"/>
    <cellStyle name="60% - Énfasis1 4 3 2 5" xfId="31458" xr:uid="{7912BA6E-B109-47D0-8F9B-76D277715A2C}"/>
    <cellStyle name="60% - Énfasis1 4 3 2 6" xfId="37329" xr:uid="{019876B9-E589-4775-BF28-44784A3F9685}"/>
    <cellStyle name="60% - Énfasis1 4 3 3" xfId="7228" xr:uid="{0D322CDB-F995-42FB-B635-13356B693FCD}"/>
    <cellStyle name="60% - Énfasis1 4 3 3 2" xfId="21635" xr:uid="{81A3D10D-A122-4AC1-A95B-FF67A22C4338}"/>
    <cellStyle name="60% - Énfasis1 4 3 3 3" xfId="27462" xr:uid="{16B3EF46-C29E-4DB1-B9EB-7C88DC64A345}"/>
    <cellStyle name="60% - Énfasis1 4 3 3 4" xfId="33344" xr:uid="{06A9A154-8B4D-402B-A166-67A77740BC35}"/>
    <cellStyle name="60% - Énfasis1 4 3 3 5" xfId="39208" xr:uid="{D29DDF81-6893-4C63-AF9D-D9E5E97E0C11}"/>
    <cellStyle name="60% - Énfasis1 4 3 4" xfId="18870" xr:uid="{DA2F3CF9-2D82-4BE8-B6F7-18ECDEFD0650}"/>
    <cellStyle name="60% - Énfasis1 4 3 5" xfId="24613" xr:uid="{5887A31D-7AB6-4973-8C86-7F43F7047B1E}"/>
    <cellStyle name="60% - Énfasis1 4 3 6" xfId="30492" xr:uid="{428CB125-38E2-4B41-9A36-8604E5562C1F}"/>
    <cellStyle name="60% - Énfasis1 4 3 7" xfId="36372" xr:uid="{65081371-E700-40E1-B726-8E436F196FFD}"/>
    <cellStyle name="60% - Énfasis1 4 4" xfId="4849" xr:uid="{2A9B8BAD-BC5B-4194-BD96-0136E55D4CD4}"/>
    <cellStyle name="60% - Énfasis1 4 4 2" xfId="7715" xr:uid="{A62337DB-A045-4D88-AC2D-CA563C9B0F56}"/>
    <cellStyle name="60% - Énfasis1 4 4 2 2" xfId="22105" xr:uid="{5FA06C3B-8791-495A-9A9B-C282045184FA}"/>
    <cellStyle name="60% - Énfasis1 4 4 2 3" xfId="27948" xr:uid="{28F46557-C02E-41BD-A46E-1915F94C84A8}"/>
    <cellStyle name="60% - Énfasis1 4 4 2 4" xfId="33830" xr:uid="{0900A0C9-D0F7-4F7B-A49D-7166F89997E1}"/>
    <cellStyle name="60% - Énfasis1 4 4 2 5" xfId="39694" xr:uid="{2D8D6BDF-95D4-4552-BDF7-B69FCD50BF66}"/>
    <cellStyle name="60% - Énfasis1 4 4 3" xfId="19331" xr:uid="{49585590-9CAA-458B-B10B-E2E3E5723030}"/>
    <cellStyle name="60% - Énfasis1 4 4 4" xfId="25099" xr:uid="{CE8128E5-35DE-4CFC-AFED-837D2D954171}"/>
    <cellStyle name="60% - Énfasis1 4 4 5" xfId="30973" xr:uid="{8C1F6C52-03DC-42E9-ACF0-4B97A76EF7B7}"/>
    <cellStyle name="60% - Énfasis1 4 4 6" xfId="36852" xr:uid="{FF819BE3-F2B6-475E-BB8E-EA0E39EF9EF3}"/>
    <cellStyle name="60% - Énfasis1 4 5" xfId="5858" xr:uid="{25A58369-6346-4D5B-AFF8-67EFE53C5FE6}"/>
    <cellStyle name="60% - Énfasis1 4 5 2" xfId="8727" xr:uid="{AD225DE7-4749-4B47-823F-AC1C2FF895C4}"/>
    <cellStyle name="60% - Énfasis1 4 5 2 2" xfId="23095" xr:uid="{25D53881-FB7E-4658-8822-05E0B4D5A48F}"/>
    <cellStyle name="60% - Énfasis1 4 5 2 3" xfId="28959" xr:uid="{FDCD0916-A89A-488E-8C05-BD47B3CF9CB2}"/>
    <cellStyle name="60% - Énfasis1 4 5 2 4" xfId="34841" xr:uid="{20A0B9A4-2E88-48E7-9CEE-266802FA34C9}"/>
    <cellStyle name="60% - Énfasis1 4 5 2 5" xfId="40705" xr:uid="{BE2B08CA-49E0-4365-ADCA-15A01FA7F4E9}"/>
    <cellStyle name="60% - Énfasis1 4 5 3" xfId="20310" xr:uid="{3137DA2C-A597-4844-A12F-DA4E4B8BAC6F}"/>
    <cellStyle name="60% - Énfasis1 4 5 4" xfId="26109" xr:uid="{91C704CA-F87D-49DC-B62A-92325E03A903}"/>
    <cellStyle name="60% - Énfasis1 4 5 5" xfId="31984" xr:uid="{4DC31D2A-AA16-4334-B226-899D45B4CA50}"/>
    <cellStyle name="60% - Énfasis1 4 5 6" xfId="37850" xr:uid="{52CC76B4-8F90-4CCE-BA47-CE59B7D4B766}"/>
    <cellStyle name="60% - Énfasis1 4 6" xfId="6744" xr:uid="{199FBB9D-355B-4166-B8B1-ABF9B02830C7}"/>
    <cellStyle name="60% - Énfasis1 4 6 2" xfId="21168" xr:uid="{74255B84-9F7D-45CC-B24E-4C88D33D130C}"/>
    <cellStyle name="60% - Énfasis1 4 6 3" xfId="26983" xr:uid="{ABBB1D91-0619-46DA-B043-BB1FB27E98EF}"/>
    <cellStyle name="60% - Énfasis1 4 6 4" xfId="32859" xr:uid="{D0770E4B-CF34-4B7F-8432-94DC44F9589B}"/>
    <cellStyle name="60% - Énfasis1 4 6 5" xfId="38723" xr:uid="{D4D5A91A-3EED-4D2D-A6DA-9D16C2ABFA19}"/>
    <cellStyle name="60% - Énfasis1 4 7" xfId="18410" xr:uid="{D3803116-99B6-417D-BD6B-A6EB90417C98}"/>
    <cellStyle name="60% - Énfasis1 4 8" xfId="24119" xr:uid="{6C5E5EE4-A1BE-40F6-B30D-DC9990101CEA}"/>
    <cellStyle name="60% - Énfasis1 4 9" xfId="29997" xr:uid="{AFEC62DE-4270-4468-A404-C03509699109}"/>
    <cellStyle name="60% - Énfasis1 40" xfId="6496" xr:uid="{212618DF-663D-43B4-B95E-C8C9AACC0171}"/>
    <cellStyle name="60% - Énfasis1 40 2" xfId="9356" xr:uid="{1B0F23F7-FE6C-4E18-AFE2-62B73A98E02A}"/>
    <cellStyle name="60% - Énfasis1 40 2 2" xfId="23719" xr:uid="{1B68961A-93F0-4803-B56D-B804E7813954}"/>
    <cellStyle name="60% - Énfasis1 40 2 3" xfId="29587" xr:uid="{872D1C0F-B447-4A5F-9B96-BE7197D63AB0}"/>
    <cellStyle name="60% - Énfasis1 40 2 4" xfId="35469" xr:uid="{1A1C6D29-A3A4-4ABD-A3C1-6105DAB8F73B}"/>
    <cellStyle name="60% - Énfasis1 40 2 5" xfId="41328" xr:uid="{73A4DF45-E351-409A-9213-DBCD8F79BA6E}"/>
    <cellStyle name="60% - Énfasis1 40 3" xfId="20934" xr:uid="{59E34B11-94B1-441C-A7FA-87B992B3027B}"/>
    <cellStyle name="60% - Énfasis1 40 4" xfId="26745" xr:uid="{6B5C40B6-E684-4B88-88AF-2E89EBE19976}"/>
    <cellStyle name="60% - Énfasis1 40 5" xfId="32620" xr:uid="{B5164161-A52D-48B3-8358-C4827B111177}"/>
    <cellStyle name="60% - Énfasis1 40 6" xfId="38484" xr:uid="{06AE48C4-AC8B-483F-B374-6B3919D101BE}"/>
    <cellStyle name="60% - Énfasis1 41" xfId="6516" xr:uid="{A4ECD0A3-31FE-46F4-AA23-8C338D39B698}"/>
    <cellStyle name="60% - Énfasis1 41 2" xfId="9376" xr:uid="{A3D88068-1A82-4331-8452-1D964B810526}"/>
    <cellStyle name="60% - Énfasis1 41 2 2" xfId="23739" xr:uid="{9117BEEB-6823-497B-A2B6-0AFEEBBEE229}"/>
    <cellStyle name="60% - Énfasis1 41 2 3" xfId="29607" xr:uid="{C94FF907-41BC-4190-9F93-17280F7928F6}"/>
    <cellStyle name="60% - Énfasis1 41 2 4" xfId="35489" xr:uid="{02BE4E52-FD8A-4F16-97CE-A637BCB2C94B}"/>
    <cellStyle name="60% - Énfasis1 41 2 5" xfId="41348" xr:uid="{A011AC38-818A-40E0-BD90-4EAB782E8C36}"/>
    <cellStyle name="60% - Énfasis1 41 3" xfId="20954" xr:uid="{40957881-D227-43F9-BEA0-2F30F04631F8}"/>
    <cellStyle name="60% - Énfasis1 41 4" xfId="26765" xr:uid="{7E9E8CB7-1143-4875-8821-357823CFBA7A}"/>
    <cellStyle name="60% - Énfasis1 41 5" xfId="32640" xr:uid="{CDC2C77A-D8FE-418A-8133-B01FBAFB9D5A}"/>
    <cellStyle name="60% - Énfasis1 41 6" xfId="38504" xr:uid="{2A37AF80-6423-4426-910C-BB6831FB68FC}"/>
    <cellStyle name="60% - Énfasis1 42" xfId="6536" xr:uid="{25000C6C-7C5E-46E7-BD67-3B5A24D7C3DC}"/>
    <cellStyle name="60% - Énfasis1 42 2" xfId="9396" xr:uid="{424E1FB3-35A0-4600-B471-46F0F2238888}"/>
    <cellStyle name="60% - Énfasis1 42 2 2" xfId="23759" xr:uid="{7466E629-B3AD-4197-B283-F6873B3989A2}"/>
    <cellStyle name="60% - Énfasis1 42 2 3" xfId="29627" xr:uid="{BF4C58BD-7ED6-4156-9D5C-62D4F6451019}"/>
    <cellStyle name="60% - Énfasis1 42 2 4" xfId="35509" xr:uid="{2B3CE8B1-CDCE-43DC-9012-5B3943796057}"/>
    <cellStyle name="60% - Énfasis1 42 2 5" xfId="41368" xr:uid="{5B00F11A-2D11-4517-8664-310B085449BA}"/>
    <cellStyle name="60% - Énfasis1 42 3" xfId="20974" xr:uid="{F22A2BD2-0179-41CB-9D73-28A9904C2B5A}"/>
    <cellStyle name="60% - Énfasis1 42 4" xfId="26785" xr:uid="{066F751F-66F5-42A5-825F-81DED0D425D5}"/>
    <cellStyle name="60% - Énfasis1 42 5" xfId="32660" xr:uid="{BBDF663C-3B4C-458A-8D41-4D6C193B3C98}"/>
    <cellStyle name="60% - Énfasis1 42 6" xfId="38524" xr:uid="{F89BA224-B2CD-43BF-A487-4F08FF555D89}"/>
    <cellStyle name="60% - Énfasis1 43" xfId="6557" xr:uid="{50636244-86C9-42B8-9352-7D8288E1E39E}"/>
    <cellStyle name="60% - Énfasis1 43 2" xfId="9418" xr:uid="{0B0BC793-E2C6-44A9-8922-A49CCF7E8EB6}"/>
    <cellStyle name="60% - Énfasis1 43 2 2" xfId="23781" xr:uid="{324D0980-E658-41F1-A5D8-407C11E9554F}"/>
    <cellStyle name="60% - Énfasis1 43 2 3" xfId="29649" xr:uid="{A84D9356-8F83-417A-8362-FD0AFFF3B735}"/>
    <cellStyle name="60% - Énfasis1 43 2 4" xfId="35531" xr:uid="{55701DB6-8C3A-49AC-AA12-1FC3B6B3263E}"/>
    <cellStyle name="60% - Énfasis1 43 2 5" xfId="41390" xr:uid="{DF5BAEFC-2BA6-4D10-8B0D-B376F2589C51}"/>
    <cellStyle name="60% - Énfasis1 43 3" xfId="20996" xr:uid="{9088976E-0525-4A0C-966A-A96B8DC19DCF}"/>
    <cellStyle name="60% - Énfasis1 43 4" xfId="26807" xr:uid="{AD99C85D-8818-4E19-8493-030177AC2BF3}"/>
    <cellStyle name="60% - Énfasis1 43 5" xfId="32682" xr:uid="{02C8412E-30EB-4D06-83F4-B362C3312F59}"/>
    <cellStyle name="60% - Énfasis1 43 6" xfId="38546" xr:uid="{0AB1913A-62F9-46FA-88DD-1F06193B74AC}"/>
    <cellStyle name="60% - Énfasis1 44" xfId="6587" xr:uid="{2999A58C-71B5-4219-ACAA-0021E70F673F}"/>
    <cellStyle name="60% - Énfasis1 44 2" xfId="9447" xr:uid="{57A50E30-FE21-4838-8F04-F62F7C87FED5}"/>
    <cellStyle name="60% - Énfasis1 44 2 2" xfId="23809" xr:uid="{3AFACF28-4AF7-4586-9461-637A4352F6E4}"/>
    <cellStyle name="60% - Énfasis1 44 2 3" xfId="29678" xr:uid="{F7146477-FB24-4E05-8A13-EDC76C156632}"/>
    <cellStyle name="60% - Énfasis1 44 2 4" xfId="35560" xr:uid="{18D3246D-424A-49A0-BBAD-CEC40A8B61AA}"/>
    <cellStyle name="60% - Énfasis1 44 2 5" xfId="41419" xr:uid="{2185244F-ED8B-4A17-B558-28D503F4E6FC}"/>
    <cellStyle name="60% - Énfasis1 44 3" xfId="21025" xr:uid="{524E5D97-EF56-416E-A4FD-5B1A7C14E3CA}"/>
    <cellStyle name="60% - Énfasis1 44 4" xfId="26836" xr:uid="{9C88CADF-2C07-41EC-B857-299A415170E3}"/>
    <cellStyle name="60% - Énfasis1 44 5" xfId="32711" xr:uid="{BBF5F2B4-4394-4C7E-AB4A-248216DDB220}"/>
    <cellStyle name="60% - Énfasis1 44 6" xfId="38575" xr:uid="{869F8D60-498A-4328-BB0E-FD63D963A65E}"/>
    <cellStyle name="60% - Énfasis1 45" xfId="6612" xr:uid="{AF7226FB-AE98-42EF-88AF-2FA1A43223F8}"/>
    <cellStyle name="60% - Énfasis1 45 2" xfId="9472" xr:uid="{DF7E663E-83AE-4B35-8E75-3C51C5C7740A}"/>
    <cellStyle name="60% - Énfasis1 45 2 2" xfId="23834" xr:uid="{96B4FD01-9929-42A1-B287-ECBD5EB21FE1}"/>
    <cellStyle name="60% - Énfasis1 45 2 3" xfId="29703" xr:uid="{72D98DDA-AE00-4E9D-83C5-99AC5691CBC2}"/>
    <cellStyle name="60% - Énfasis1 45 2 4" xfId="35585" xr:uid="{A08B7D36-7CDC-4313-A1E1-7E79C585E775}"/>
    <cellStyle name="60% - Énfasis1 45 2 5" xfId="41444" xr:uid="{B30B4E07-1911-4731-8378-7B4A61384544}"/>
    <cellStyle name="60% - Énfasis1 45 3" xfId="21049" xr:uid="{5CCF773A-E17B-4583-A147-81E5A6979BBC}"/>
    <cellStyle name="60% - Énfasis1 45 4" xfId="26861" xr:uid="{675FBD2A-3921-4691-9FDA-9421562375AE}"/>
    <cellStyle name="60% - Énfasis1 45 5" xfId="32736" xr:uid="{97074323-9843-4879-BF6C-725DBE5F9A70}"/>
    <cellStyle name="60% - Énfasis1 45 6" xfId="38600" xr:uid="{45E627AB-C144-4F53-BD9D-942F1A7066ED}"/>
    <cellStyle name="60% - Énfasis1 46" xfId="6634" xr:uid="{B3536AB9-161D-4D05-B200-5BCCB69CBC5F}"/>
    <cellStyle name="60% - Énfasis1 46 2" xfId="21071" xr:uid="{C760AC98-91E6-4579-B89E-4CD98EADB8F0}"/>
    <cellStyle name="60% - Énfasis1 46 3" xfId="26883" xr:uid="{BAFF4DA3-14CE-4ED1-BC85-887AE3D08791}"/>
    <cellStyle name="60% - Énfasis1 46 4" xfId="32758" xr:uid="{1A7E6809-3361-4472-8DAD-3580567A3417}"/>
    <cellStyle name="60% - Énfasis1 46 5" xfId="38622" xr:uid="{5414F6BE-B9E1-48DB-AF0B-018ADF6DD357}"/>
    <cellStyle name="60% - Énfasis1 47" xfId="6664" xr:uid="{184376B6-AFB3-4C68-B3D7-9D16655F6FE7}"/>
    <cellStyle name="60% - Énfasis1 47 2" xfId="21093" xr:uid="{9580E099-D046-45F8-AB7F-EEC912C1C075}"/>
    <cellStyle name="60% - Énfasis1 47 3" xfId="26905" xr:uid="{3A014E79-333B-4859-BA3B-DEC0653214FF}"/>
    <cellStyle name="60% - Énfasis1 47 4" xfId="32780" xr:uid="{F338A3DA-CF59-4B84-B970-C9E952EC64DF}"/>
    <cellStyle name="60% - Énfasis1 47 5" xfId="38644" xr:uid="{DC28A4E2-09F0-4C44-899C-1635C816C864}"/>
    <cellStyle name="60% - Énfasis1 48" xfId="9500" xr:uid="{A0C06DD8-282F-407C-9CBC-9901E791E678}"/>
    <cellStyle name="60% - Énfasis1 48 2" xfId="23862" xr:uid="{BC11BFDB-EA4F-4948-BACC-09895AD72F4C}"/>
    <cellStyle name="60% - Énfasis1 48 3" xfId="29731" xr:uid="{8D957421-96B0-4B2A-AD98-193F926DFC60}"/>
    <cellStyle name="60% - Énfasis1 48 4" xfId="35613" xr:uid="{7D02DE36-20D0-49B5-859B-AFBF970B01EA}"/>
    <cellStyle name="60% - Énfasis1 48 5" xfId="41472" xr:uid="{58972B9D-8F6D-4773-A6DE-16C2B0AED7A5}"/>
    <cellStyle name="60% - Énfasis1 49" xfId="9513" xr:uid="{CB3795C6-BA0B-48D9-8DD4-17F00BD82919}"/>
    <cellStyle name="60% - Énfasis1 49 2" xfId="23874" xr:uid="{C82A3CE0-4456-4040-9203-4910362E8BE6}"/>
    <cellStyle name="60% - Énfasis1 49 3" xfId="29744" xr:uid="{401010D8-2CDE-4FD2-8585-6B398285EF12}"/>
    <cellStyle name="60% - Énfasis1 49 4" xfId="35626" xr:uid="{3702A213-9C69-476E-9E0C-DD2BDFF84EA0}"/>
    <cellStyle name="60% - Énfasis1 49 5" xfId="41485" xr:uid="{0A83B97C-CDD9-41A5-AADD-D51652E5A493}"/>
    <cellStyle name="60% - Énfasis1 5" xfId="3912" xr:uid="{3F22E933-F690-4F29-B389-481635BE8852}"/>
    <cellStyle name="60% - Énfasis1 5 10" xfId="35904" xr:uid="{CDD76DB4-40B2-4092-B915-B5A8203ADA8F}"/>
    <cellStyle name="60% - Énfasis1 5 2" xfId="4106" xr:uid="{4642C48F-9300-4954-879D-4CE910C6ACC2}"/>
    <cellStyle name="60% - Énfasis1 5 2 2" xfId="4584" xr:uid="{A7BE4E40-C7A7-488F-A312-9510C4FE38C3}"/>
    <cellStyle name="60% - Énfasis1 5 2 2 2" xfId="5552" xr:uid="{DE68037B-5BA7-4C6E-914F-4407117BC121}"/>
    <cellStyle name="60% - Énfasis1 5 2 2 2 2" xfId="8419" xr:uid="{A6C2417C-539C-4EB6-BE85-EBAB9286E60F}"/>
    <cellStyle name="60% - Énfasis1 5 2 2 2 2 2" xfId="22794" xr:uid="{D019BE4B-A8E3-4661-9BF3-E1205FD68CE9}"/>
    <cellStyle name="60% - Énfasis1 5 2 2 2 2 3" xfId="28652" xr:uid="{8B13E60B-3332-45A6-A896-B874AD4A6065}"/>
    <cellStyle name="60% - Énfasis1 5 2 2 2 2 4" xfId="34534" xr:uid="{1155CA36-E7A1-4439-801A-05E934041BA8}"/>
    <cellStyle name="60% - Énfasis1 5 2 2 2 2 5" xfId="40398" xr:uid="{B0B80BE6-B904-4427-9BF7-6D4A75A2FD0E}"/>
    <cellStyle name="60% - Énfasis1 5 2 2 2 3" xfId="20012" xr:uid="{ED54B822-508C-4D38-A1C2-0C150A405797}"/>
    <cellStyle name="60% - Énfasis1 5 2 2 2 4" xfId="25803" xr:uid="{B0D16CAB-BAB9-4E82-AF5D-C6FDA7426B4A}"/>
    <cellStyle name="60% - Énfasis1 5 2 2 2 5" xfId="31677" xr:uid="{6084AA33-B97A-4AEA-8F5C-0106E55B3BE0}"/>
    <cellStyle name="60% - Énfasis1 5 2 2 2 6" xfId="37547" xr:uid="{AB8C898C-1FD6-43CC-8E89-ACED4A3B9AE3}"/>
    <cellStyle name="60% - Énfasis1 5 2 2 3" xfId="7447" xr:uid="{561A0E83-A12F-499F-9B78-46C7A7707163}"/>
    <cellStyle name="60% - Énfasis1 5 2 2 3 2" xfId="21849" xr:uid="{964FD7C9-92EE-4819-B848-DDF4E66EB927}"/>
    <cellStyle name="60% - Énfasis1 5 2 2 3 3" xfId="27681" xr:uid="{2DD5F9E7-CBAD-409F-9756-9432741FA64E}"/>
    <cellStyle name="60% - Énfasis1 5 2 2 3 4" xfId="33563" xr:uid="{33CE7E29-5C23-4B77-B1A2-778A44A84E70}"/>
    <cellStyle name="60% - Énfasis1 5 2 2 3 5" xfId="39427" xr:uid="{7C71B9C5-309F-4EB4-9030-604CEAA073BC}"/>
    <cellStyle name="60% - Énfasis1 5 2 2 4" xfId="19079" xr:uid="{73A68B8D-3922-44EA-819D-BEB794AEE44B}"/>
    <cellStyle name="60% - Énfasis1 5 2 2 5" xfId="24832" xr:uid="{9825D3F1-6C7F-4168-B8B0-A523BD5B0E45}"/>
    <cellStyle name="60% - Énfasis1 5 2 2 6" xfId="30709" xr:uid="{EA24B6DB-17A2-4C91-A708-A30442A38BCB}"/>
    <cellStyle name="60% - Énfasis1 5 2 2 7" xfId="36590" xr:uid="{8694DEEC-6D6E-48CA-867E-6ED8D271D16B}"/>
    <cellStyle name="60% - Énfasis1 5 2 3" xfId="5067" xr:uid="{10E96D25-A7DC-4BF3-AE8D-AAA51B5A388E}"/>
    <cellStyle name="60% - Énfasis1 5 2 3 2" xfId="7934" xr:uid="{D5696CCA-7BFA-43CC-A344-CFDEB3FD9860}"/>
    <cellStyle name="60% - Énfasis1 5 2 3 2 2" xfId="22319" xr:uid="{2D71DC99-86A0-44A3-BB6B-030E08B1819F}"/>
    <cellStyle name="60% - Énfasis1 5 2 3 2 3" xfId="28167" xr:uid="{086C4029-8832-4FA8-B358-BDFD0327BD35}"/>
    <cellStyle name="60% - Énfasis1 5 2 3 2 4" xfId="34049" xr:uid="{C84A8427-5C66-4847-8B84-B2A5C5A894AA}"/>
    <cellStyle name="60% - Énfasis1 5 2 3 2 5" xfId="39913" xr:uid="{330EF69A-A097-4437-9BCC-E91F3453039C}"/>
    <cellStyle name="60% - Énfasis1 5 2 3 3" xfId="19544" xr:uid="{3FCD3C28-504F-430B-BFD9-527FA10BD06A}"/>
    <cellStyle name="60% - Énfasis1 5 2 3 4" xfId="25318" xr:uid="{9843F87E-2A96-445B-A2C1-643B0B78AC95}"/>
    <cellStyle name="60% - Énfasis1 5 2 3 5" xfId="31192" xr:uid="{6DD43CAF-8DE4-49ED-9AF7-EB0CD4F7F2F7}"/>
    <cellStyle name="60% - Énfasis1 5 2 3 6" xfId="37070" xr:uid="{97CF683B-7E83-4F52-AB58-8886C86AD444}"/>
    <cellStyle name="60% - Énfasis1 5 2 4" xfId="6962" xr:uid="{8628E257-82F8-4B1E-AE6F-9BD95D477F99}"/>
    <cellStyle name="60% - Énfasis1 5 2 4 2" xfId="21381" xr:uid="{B6C2E86F-9FA0-49F9-B00E-CC0B522E9352}"/>
    <cellStyle name="60% - Énfasis1 5 2 4 3" xfId="27200" xr:uid="{481AD427-E2A7-4366-9EA3-1263A18F29F6}"/>
    <cellStyle name="60% - Énfasis1 5 2 4 4" xfId="33078" xr:uid="{C9442B78-E6E0-409A-B6F6-C9559263021E}"/>
    <cellStyle name="60% - Énfasis1 5 2 4 5" xfId="38942" xr:uid="{A0C05081-11F4-4BD0-8864-501FDD99C799}"/>
    <cellStyle name="60% - Énfasis1 5 2 5" xfId="18635" xr:uid="{09C76646-2745-4581-AFAC-3D0E605E6E14}"/>
    <cellStyle name="60% - Énfasis1 5 2 6" xfId="24349" xr:uid="{AA514F50-F185-4253-BEB4-27F9F13F26E1}"/>
    <cellStyle name="60% - Énfasis1 5 2 7" xfId="30227" xr:uid="{613670C2-EA24-446C-9085-3107B0178F8A}"/>
    <cellStyle name="60% - Énfasis1 5 2 8" xfId="36106" xr:uid="{8F1F9689-24E1-4FFF-88E6-09ADD507C7BE}"/>
    <cellStyle name="60% - Énfasis1 5 3" xfId="4390" xr:uid="{74DC93F4-CB8C-4706-AF68-72954CF805B9}"/>
    <cellStyle name="60% - Énfasis1 5 3 2" xfId="5356" xr:uid="{C564E664-149D-4A54-A421-5B10C8560FF5}"/>
    <cellStyle name="60% - Énfasis1 5 3 2 2" xfId="8223" xr:uid="{3D99C84A-CE08-4DEA-AD35-9064C15F4F2E}"/>
    <cellStyle name="60% - Énfasis1 5 3 2 2 2" xfId="22599" xr:uid="{6380F614-AAA9-410C-80D6-703872200C3C}"/>
    <cellStyle name="60% - Énfasis1 5 3 2 2 3" xfId="28456" xr:uid="{14FFB058-0F3F-4E76-8433-B3E5A89013D5}"/>
    <cellStyle name="60% - Énfasis1 5 3 2 2 4" xfId="34338" xr:uid="{656DCA20-99B9-474D-9A49-B122562BC3FC}"/>
    <cellStyle name="60% - Énfasis1 5 3 2 2 5" xfId="40202" xr:uid="{9E0EE7F7-8212-4401-87C7-B0A8448D078B}"/>
    <cellStyle name="60% - Énfasis1 5 3 2 3" xfId="19823" xr:uid="{787CD659-DFDB-404A-B113-840C96C49555}"/>
    <cellStyle name="60% - Énfasis1 5 3 2 4" xfId="25607" xr:uid="{647F0A88-9984-4C21-A17A-48C3ED503346}"/>
    <cellStyle name="60% - Énfasis1 5 3 2 5" xfId="31481" xr:uid="{BD07FFFE-F619-40F6-82AC-47185108C713}"/>
    <cellStyle name="60% - Énfasis1 5 3 2 6" xfId="37352" xr:uid="{95FDBB2D-D963-446D-86D1-5022D663B52F}"/>
    <cellStyle name="60% - Énfasis1 5 3 3" xfId="7251" xr:uid="{7C71FF18-0B2A-4896-8283-73936A0B2411}"/>
    <cellStyle name="60% - Énfasis1 5 3 3 2" xfId="21658" xr:uid="{CB556B33-D387-4278-8576-D381030FDFA1}"/>
    <cellStyle name="60% - Énfasis1 5 3 3 3" xfId="27485" xr:uid="{A61F0511-7AE4-4A20-B1C1-DE9AB71596AD}"/>
    <cellStyle name="60% - Énfasis1 5 3 3 4" xfId="33367" xr:uid="{D6FF863F-DF6A-4993-93A5-A1FA2FA5E9BA}"/>
    <cellStyle name="60% - Énfasis1 5 3 3 5" xfId="39231" xr:uid="{A00D10BF-C198-4B6A-8FF5-8801E3184008}"/>
    <cellStyle name="60% - Énfasis1 5 3 4" xfId="18892" xr:uid="{A6170D27-6489-45AF-87CD-52CF96C2CF61}"/>
    <cellStyle name="60% - Énfasis1 5 3 5" xfId="24636" xr:uid="{265CF3AF-CF46-4B58-85BC-3E9B29CF5556}"/>
    <cellStyle name="60% - Énfasis1 5 3 6" xfId="30515" xr:uid="{103412CF-324D-4882-A737-3B58FB72F251}"/>
    <cellStyle name="60% - Énfasis1 5 3 7" xfId="36395" xr:uid="{963295BB-35BC-4104-A453-99EF0A7BB22F}"/>
    <cellStyle name="60% - Énfasis1 5 4" xfId="4871" xr:uid="{637BF68D-986A-42DD-99DD-1F7547FA0892}"/>
    <cellStyle name="60% - Énfasis1 5 4 2" xfId="7738" xr:uid="{9A2131A6-6857-477A-8A15-E73208C69E12}"/>
    <cellStyle name="60% - Énfasis1 5 4 2 2" xfId="22128" xr:uid="{B511B7C3-670B-4685-997D-BF9F0D125FE1}"/>
    <cellStyle name="60% - Énfasis1 5 4 2 3" xfId="27971" xr:uid="{641F95E5-3E69-45B0-A6C3-C80A902B9A21}"/>
    <cellStyle name="60% - Énfasis1 5 4 2 4" xfId="33853" xr:uid="{42305026-9A79-4486-8F07-5818B27A87AC}"/>
    <cellStyle name="60% - Énfasis1 5 4 2 5" xfId="39717" xr:uid="{978342B3-2D90-4C04-BCE7-3E0EF3CF1E4E}"/>
    <cellStyle name="60% - Énfasis1 5 4 3" xfId="19354" xr:uid="{0B84DCF5-BC72-4F2F-A37D-378F5F25F841}"/>
    <cellStyle name="60% - Énfasis1 5 4 4" xfId="25122" xr:uid="{AB7B465A-0AAE-435C-BD3D-110EF843D0BD}"/>
    <cellStyle name="60% - Énfasis1 5 4 5" xfId="30996" xr:uid="{724A93BE-BC8E-45D3-9A77-CC19ADF902BE}"/>
    <cellStyle name="60% - Énfasis1 5 4 6" xfId="36875" xr:uid="{CF128281-CD8A-41B3-9F5B-218F6CBFD971}"/>
    <cellStyle name="60% - Énfasis1 5 5" xfId="5881" xr:uid="{C635B003-101E-44F0-8273-6BA5281579CD}"/>
    <cellStyle name="60% - Énfasis1 5 5 2" xfId="8750" xr:uid="{EADACCB6-8377-4B92-8797-506A412B3B6C}"/>
    <cellStyle name="60% - Énfasis1 5 5 2 2" xfId="23118" xr:uid="{4E705F6B-E64A-4383-971D-0A03780A75D9}"/>
    <cellStyle name="60% - Énfasis1 5 5 2 3" xfId="28982" xr:uid="{DB46D8AC-27C5-4369-9376-69588E31D915}"/>
    <cellStyle name="60% - Énfasis1 5 5 2 4" xfId="34864" xr:uid="{3679D7CC-96AB-448F-9923-7E3138CE1393}"/>
    <cellStyle name="60% - Énfasis1 5 5 2 5" xfId="40728" xr:uid="{E60AAA46-F6BA-42C3-A7FB-9B06159086A5}"/>
    <cellStyle name="60% - Énfasis1 5 5 3" xfId="20332" xr:uid="{9AF26872-E450-4C3A-AA91-8D7C527FBA46}"/>
    <cellStyle name="60% - Énfasis1 5 5 4" xfId="26132" xr:uid="{1CCF481D-890D-4830-BBE6-40CC10D3DCBE}"/>
    <cellStyle name="60% - Énfasis1 5 5 5" xfId="32007" xr:uid="{6F883268-5F23-4184-9D6B-7532124B5A3A}"/>
    <cellStyle name="60% - Énfasis1 5 5 6" xfId="37873" xr:uid="{CA0DA3CC-5CDD-45BC-A829-12BF10F8BAD2}"/>
    <cellStyle name="60% - Énfasis1 5 6" xfId="6767" xr:uid="{4B11A2F7-D9A9-4897-BF78-1349BF97CBC2}"/>
    <cellStyle name="60% - Énfasis1 5 6 2" xfId="21191" xr:uid="{FBBB6C29-7ED6-4E56-B313-5123FED824AF}"/>
    <cellStyle name="60% - Énfasis1 5 6 3" xfId="27006" xr:uid="{C1207327-6A97-4E8A-9D0A-34DC56B3E048}"/>
    <cellStyle name="60% - Énfasis1 5 6 4" xfId="32882" xr:uid="{F65366B9-3233-41C2-8F58-F53444D1889B}"/>
    <cellStyle name="60% - Énfasis1 5 6 5" xfId="38746" xr:uid="{327E2FE3-46EB-4DEE-9880-E5D8EC2F06FA}"/>
    <cellStyle name="60% - Énfasis1 5 7" xfId="18437" xr:uid="{3534F1AE-4F66-48C4-BC50-27F3D656FFE3}"/>
    <cellStyle name="60% - Énfasis1 5 8" xfId="24145" xr:uid="{181F13DF-16F8-40ED-AC18-A1F2A782E156}"/>
    <cellStyle name="60% - Énfasis1 5 9" xfId="30023" xr:uid="{8BB4B294-39E3-4D8B-BC5A-8BED3394F3FE}"/>
    <cellStyle name="60% - Énfasis1 50" xfId="9532" xr:uid="{E2CBD746-4DF0-4936-89A5-EFD024A0D3DC}"/>
    <cellStyle name="60% - Énfasis1 50 2" xfId="23894" xr:uid="{CA4E33AC-DE4B-480D-9F00-0138B8392E28}"/>
    <cellStyle name="60% - Énfasis1 50 3" xfId="29764" xr:uid="{539B8EB7-CE8F-4802-A50A-157C8631BE0E}"/>
    <cellStyle name="60% - Énfasis1 50 4" xfId="35646" xr:uid="{AF2DE812-6ACA-4583-BC0D-9AFA67F29029}"/>
    <cellStyle name="60% - Énfasis1 50 5" xfId="41505" xr:uid="{9446FB88-889C-41DD-86A2-9EC14AABEBEF}"/>
    <cellStyle name="60% - Énfasis1 51" xfId="9558" xr:uid="{FC25953B-7389-42FC-8D12-58AA8B122574}"/>
    <cellStyle name="60% - Énfasis1 51 2" xfId="23920" xr:uid="{113691EB-AE64-4FC1-808F-ABA1F778267C}"/>
    <cellStyle name="60% - Énfasis1 51 3" xfId="29790" xr:uid="{B0059E2E-4C6B-4487-A4D6-5CBA14734DAF}"/>
    <cellStyle name="60% - Énfasis1 51 4" xfId="35672" xr:uid="{ED31BBDD-645D-483B-A77B-43E07FB38812}"/>
    <cellStyle name="60% - Énfasis1 51 5" xfId="41531" xr:uid="{58D39677-3E4E-48A7-9CCF-C41666704F2A}"/>
    <cellStyle name="60% - Énfasis1 52" xfId="15760" xr:uid="{77B82E65-E31E-490B-8611-F070AAC66F52}"/>
    <cellStyle name="60% - Énfasis1 52 2" xfId="23980" xr:uid="{80F01E5E-FFE8-461F-807D-EAA4A274AE5A}"/>
    <cellStyle name="60% - Énfasis1 52 3" xfId="29852" xr:uid="{760505C6-5359-4C3C-AE5E-7A1F91AE20E1}"/>
    <cellStyle name="60% - Énfasis1 52 4" xfId="35734" xr:uid="{10D317DA-65D4-43A3-B002-27E2C5F6014D}"/>
    <cellStyle name="60% - Énfasis1 52 5" xfId="41593" xr:uid="{95E91EA3-5650-4588-B9BF-D510AA8B3926}"/>
    <cellStyle name="60% - Énfasis1 53" xfId="15784" xr:uid="{20F12402-A10A-4A6D-9094-EC56E986BCBD}"/>
    <cellStyle name="60% - Énfasis1 53 2" xfId="24001" xr:uid="{A10B55D3-B498-4B64-B923-FEDC1D40000B}"/>
    <cellStyle name="60% - Énfasis1 53 3" xfId="29876" xr:uid="{288DEDBB-957C-4EA4-9B37-5422CFB7B13C}"/>
    <cellStyle name="60% - Énfasis1 53 4" xfId="35758" xr:uid="{AC9BDE89-09F3-4B8D-BB0C-03AA05BD21D8}"/>
    <cellStyle name="60% - Énfasis1 53 5" xfId="41617" xr:uid="{80E7E9DB-2D81-451B-A400-DCA4EF5C548E}"/>
    <cellStyle name="60% - Énfasis1 54" xfId="15819" xr:uid="{2CE297EA-44C7-4AA1-92A5-B3D3488D0476}"/>
    <cellStyle name="60% - Énfasis1 55" xfId="18294" xr:uid="{F84EE558-80F2-4826-8C50-E6D445B8F1DB}"/>
    <cellStyle name="60% - Énfasis1 56" xfId="18317" xr:uid="{3D45F215-BC52-43E5-AF56-53B17A128CC0}"/>
    <cellStyle name="60% - Énfasis1 57" xfId="24029" xr:uid="{CC3B86A6-97EB-4EFD-86A1-FC8316DD0702}"/>
    <cellStyle name="60% - Énfasis1 58" xfId="29907" xr:uid="{9759048F-6A00-4324-BE22-6A73D360395C}"/>
    <cellStyle name="60% - Énfasis1 59" xfId="35788" xr:uid="{18BF6B43-F0AA-4DCF-8CCA-48F14CD19E07}"/>
    <cellStyle name="60% - Énfasis1 6" xfId="3936" xr:uid="{D28D611E-314B-4A55-ACA6-1E30964C06AF}"/>
    <cellStyle name="60% - Énfasis1 6 10" xfId="35927" xr:uid="{76C7E517-DF5B-473B-A183-DEB84B5D581E}"/>
    <cellStyle name="60% - Énfasis1 6 2" xfId="4128" xr:uid="{92EC028F-BBA7-45B5-B699-28292C000464}"/>
    <cellStyle name="60% - Énfasis1 6 2 2" xfId="4606" xr:uid="{84B3B982-3D57-4901-AA11-A250CC923F00}"/>
    <cellStyle name="60% - Énfasis1 6 2 2 2" xfId="5574" xr:uid="{33B32039-4619-44ED-AEDE-5B6669F846F1}"/>
    <cellStyle name="60% - Énfasis1 6 2 2 2 2" xfId="8441" xr:uid="{C2F3DB5C-CCD6-4A72-B0D8-28EE92F3AE74}"/>
    <cellStyle name="60% - Énfasis1 6 2 2 2 2 2" xfId="22816" xr:uid="{32D9088D-A55A-45D9-8059-73EC437C0F5B}"/>
    <cellStyle name="60% - Énfasis1 6 2 2 2 2 3" xfId="28674" xr:uid="{22EDF02D-B953-4DB0-87DE-648D1FF29125}"/>
    <cellStyle name="60% - Énfasis1 6 2 2 2 2 4" xfId="34556" xr:uid="{8BA599F6-1461-4B34-AC55-EA0391161D69}"/>
    <cellStyle name="60% - Énfasis1 6 2 2 2 2 5" xfId="40420" xr:uid="{E0D74EF1-E663-4682-B4DF-BA48113E11A6}"/>
    <cellStyle name="60% - Énfasis1 6 2 2 2 3" xfId="20034" xr:uid="{13DA6175-03A2-49F7-89DD-52EC02612278}"/>
    <cellStyle name="60% - Énfasis1 6 2 2 2 4" xfId="25825" xr:uid="{C2B44E7E-D462-4559-AFDD-893A645C07DD}"/>
    <cellStyle name="60% - Énfasis1 6 2 2 2 5" xfId="31699" xr:uid="{F6DCFBEF-2065-4B40-9D1F-6CA248942377}"/>
    <cellStyle name="60% - Énfasis1 6 2 2 2 6" xfId="37569" xr:uid="{D6E157C0-6FC3-4B7B-AACC-34BF3FDE4A91}"/>
    <cellStyle name="60% - Énfasis1 6 2 2 3" xfId="7469" xr:uid="{5CB01BEF-B6C8-4536-A522-2F8D7C2279C3}"/>
    <cellStyle name="60% - Énfasis1 6 2 2 3 2" xfId="21871" xr:uid="{ECD50BEE-D551-4111-AADB-AA28AA5A7247}"/>
    <cellStyle name="60% - Énfasis1 6 2 2 3 3" xfId="27703" xr:uid="{D907A62C-B2DA-407E-84CE-CE110EF45E50}"/>
    <cellStyle name="60% - Énfasis1 6 2 2 3 4" xfId="33585" xr:uid="{68C70C8F-77E8-45B9-86DA-12E0CD84D08A}"/>
    <cellStyle name="60% - Énfasis1 6 2 2 3 5" xfId="39449" xr:uid="{2000899A-620F-4930-B024-1296622AD180}"/>
    <cellStyle name="60% - Énfasis1 6 2 2 4" xfId="19101" xr:uid="{56536673-DC02-4A3D-A647-7BF46998125F}"/>
    <cellStyle name="60% - Énfasis1 6 2 2 5" xfId="24854" xr:uid="{43F4C7FB-8CC6-462B-8E52-1C60F797A7A2}"/>
    <cellStyle name="60% - Énfasis1 6 2 2 6" xfId="30731" xr:uid="{13AE6B4E-C518-49E1-A143-4C23853EF00E}"/>
    <cellStyle name="60% - Énfasis1 6 2 2 7" xfId="36612" xr:uid="{1B0E411F-CBF2-41FA-9CCC-F042F1F4469F}"/>
    <cellStyle name="60% - Énfasis1 6 2 3" xfId="5089" xr:uid="{F91064B5-4DF4-4284-981F-1BEDA2DC8127}"/>
    <cellStyle name="60% - Énfasis1 6 2 3 2" xfId="7956" xr:uid="{DE430E29-C218-4470-BB4E-A934712B971B}"/>
    <cellStyle name="60% - Énfasis1 6 2 3 2 2" xfId="22341" xr:uid="{9B494BD5-0F6F-4724-B663-9946896E47E1}"/>
    <cellStyle name="60% - Énfasis1 6 2 3 2 3" xfId="28189" xr:uid="{B09353A6-8D90-460B-AC01-75C648DB708E}"/>
    <cellStyle name="60% - Énfasis1 6 2 3 2 4" xfId="34071" xr:uid="{3FC8F8B7-4B9B-4536-B339-4025BE9A1399}"/>
    <cellStyle name="60% - Énfasis1 6 2 3 2 5" xfId="39935" xr:uid="{7314FE21-B7A3-4F9B-870F-5BFB25512325}"/>
    <cellStyle name="60% - Énfasis1 6 2 3 3" xfId="19566" xr:uid="{634C6520-718D-4E7D-826F-37CDC533F4A4}"/>
    <cellStyle name="60% - Énfasis1 6 2 3 4" xfId="25340" xr:uid="{13B82708-9D13-40BA-A4FD-40DF4EC65E84}"/>
    <cellStyle name="60% - Énfasis1 6 2 3 5" xfId="31214" xr:uid="{C191B3E9-4B2E-41D4-B9EF-6AC904E3597E}"/>
    <cellStyle name="60% - Énfasis1 6 2 3 6" xfId="37092" xr:uid="{D3CF7A55-107B-415A-9167-9C2798D67C2F}"/>
    <cellStyle name="60% - Énfasis1 6 2 4" xfId="6984" xr:uid="{01F0A921-8062-48F2-9BD1-66C8AB8C6ABA}"/>
    <cellStyle name="60% - Énfasis1 6 2 4 2" xfId="21403" xr:uid="{FCD97733-E491-48A4-A245-DC13E0D4CF4C}"/>
    <cellStyle name="60% - Énfasis1 6 2 4 3" xfId="27222" xr:uid="{3B7CE83B-2D76-41EB-81C7-FAC09233DDCB}"/>
    <cellStyle name="60% - Énfasis1 6 2 4 4" xfId="33100" xr:uid="{E746947A-B659-406A-9C0E-4CCA309B3CA7}"/>
    <cellStyle name="60% - Énfasis1 6 2 4 5" xfId="38964" xr:uid="{6E99BBDF-204E-460E-8E77-35C26F68B1A1}"/>
    <cellStyle name="60% - Énfasis1 6 2 5" xfId="18657" xr:uid="{CDF1CDEC-A203-4AE2-B4F9-F5778E82A433}"/>
    <cellStyle name="60% - Énfasis1 6 2 6" xfId="24371" xr:uid="{183A5529-5E5E-43DF-87B6-F812031F960D}"/>
    <cellStyle name="60% - Énfasis1 6 2 7" xfId="30249" xr:uid="{89F109BD-E0B7-4DAD-B321-734BD7C1CA8F}"/>
    <cellStyle name="60% - Énfasis1 6 2 8" xfId="36128" xr:uid="{1AB8EA90-0C95-4F7C-ADC0-99D1DB683159}"/>
    <cellStyle name="60% - Énfasis1 6 3" xfId="4412" xr:uid="{518AD189-2214-4638-A6D0-DB024EA677EE}"/>
    <cellStyle name="60% - Énfasis1 6 3 2" xfId="5378" xr:uid="{9FA32FE5-54E7-46AA-AAD6-BF6E747DDC90}"/>
    <cellStyle name="60% - Énfasis1 6 3 2 2" xfId="8245" xr:uid="{1C9FF158-A65C-40A6-A39C-0A05AE7CB343}"/>
    <cellStyle name="60% - Énfasis1 6 3 2 2 2" xfId="22621" xr:uid="{4B13186C-B847-4160-937A-1A7C3241013C}"/>
    <cellStyle name="60% - Énfasis1 6 3 2 2 3" xfId="28478" xr:uid="{DEBB927F-E667-481F-8637-5FBEFBA0A631}"/>
    <cellStyle name="60% - Énfasis1 6 3 2 2 4" xfId="34360" xr:uid="{348DFEF3-DD36-41AF-961A-F620A5958E88}"/>
    <cellStyle name="60% - Énfasis1 6 3 2 2 5" xfId="40224" xr:uid="{E0C15083-708D-436F-BB3B-5E333F716BC0}"/>
    <cellStyle name="60% - Énfasis1 6 3 2 3" xfId="19845" xr:uid="{845DEFA3-1A31-48E8-8AFC-D246715417F2}"/>
    <cellStyle name="60% - Énfasis1 6 3 2 4" xfId="25629" xr:uid="{ACE731F6-2175-41E9-A29D-BEF6612789AC}"/>
    <cellStyle name="60% - Énfasis1 6 3 2 5" xfId="31503" xr:uid="{05693ABE-5060-47C6-9FCF-55E65DBAE235}"/>
    <cellStyle name="60% - Énfasis1 6 3 2 6" xfId="37374" xr:uid="{106E2BDD-257B-42EB-9448-F56159FE8ED9}"/>
    <cellStyle name="60% - Énfasis1 6 3 3" xfId="7273" xr:uid="{CBF6E3E4-43AF-44B5-8727-B6AEEDF3ACAF}"/>
    <cellStyle name="60% - Énfasis1 6 3 3 2" xfId="21680" xr:uid="{37C40E37-9C55-4912-BF86-F1505EA5916B}"/>
    <cellStyle name="60% - Énfasis1 6 3 3 3" xfId="27507" xr:uid="{66519ED3-B5B7-4DEC-B26E-C124CCA025C2}"/>
    <cellStyle name="60% - Énfasis1 6 3 3 4" xfId="33389" xr:uid="{7614E717-3C8C-478F-B02D-02CDB2354FE0}"/>
    <cellStyle name="60% - Énfasis1 6 3 3 5" xfId="39253" xr:uid="{DDBA5FC9-5553-4B2D-8D9A-97B17DAA160D}"/>
    <cellStyle name="60% - Énfasis1 6 3 4" xfId="18914" xr:uid="{4F170918-1676-417F-8729-8BF44A90172E}"/>
    <cellStyle name="60% - Énfasis1 6 3 5" xfId="24658" xr:uid="{3EEA5645-C55B-4944-85E4-55E1B822E2EC}"/>
    <cellStyle name="60% - Énfasis1 6 3 6" xfId="30537" xr:uid="{54582C70-7F6F-44FA-B377-4749568A1ADD}"/>
    <cellStyle name="60% - Énfasis1 6 3 7" xfId="36417" xr:uid="{3BCF6248-8E50-4077-8BDE-F285A51D7476}"/>
    <cellStyle name="60% - Énfasis1 6 4" xfId="4893" xr:uid="{1AF440A2-E9B3-4A66-97B2-B05C3F3A0A55}"/>
    <cellStyle name="60% - Énfasis1 6 4 2" xfId="7760" xr:uid="{1752996B-AD37-45B7-8D4C-D4C89E883CB5}"/>
    <cellStyle name="60% - Énfasis1 6 4 2 2" xfId="22150" xr:uid="{DF6F614C-606E-40FC-9475-A1B3EA77EC34}"/>
    <cellStyle name="60% - Énfasis1 6 4 2 3" xfId="27993" xr:uid="{6CD05B18-ECD3-470C-A18A-AC8E7B924724}"/>
    <cellStyle name="60% - Énfasis1 6 4 2 4" xfId="33875" xr:uid="{1DCF41E7-4C72-4ADF-B6DF-D46C5F9A686C}"/>
    <cellStyle name="60% - Énfasis1 6 4 2 5" xfId="39739" xr:uid="{B6D39613-EEEB-4A7B-B70C-B82A9429F527}"/>
    <cellStyle name="60% - Énfasis1 6 4 3" xfId="19376" xr:uid="{A19E6682-33AB-4836-86B9-71DD31177198}"/>
    <cellStyle name="60% - Énfasis1 6 4 4" xfId="25144" xr:uid="{7B32FA05-0285-44AB-A2A5-6BCD3290312D}"/>
    <cellStyle name="60% - Énfasis1 6 4 5" xfId="31018" xr:uid="{869C8EA0-E4FA-4098-B511-1024ADD4EFD7}"/>
    <cellStyle name="60% - Énfasis1 6 4 6" xfId="36897" xr:uid="{88D72A9D-0B17-413E-ADE8-D31EC886B578}"/>
    <cellStyle name="60% - Énfasis1 6 5" xfId="5903" xr:uid="{4A37DE93-A588-44C0-9049-822924706F10}"/>
    <cellStyle name="60% - Énfasis1 6 5 2" xfId="8772" xr:uid="{B54CAE40-C840-4239-9373-95D673D992D4}"/>
    <cellStyle name="60% - Énfasis1 6 5 2 2" xfId="23140" xr:uid="{524BE269-706C-4B04-B78A-26A2AE98534A}"/>
    <cellStyle name="60% - Énfasis1 6 5 2 3" xfId="29004" xr:uid="{3BF308FE-FE98-4803-8A8A-693A49EAF719}"/>
    <cellStyle name="60% - Énfasis1 6 5 2 4" xfId="34886" xr:uid="{5AF25438-4990-4341-9EE1-A2DEA47A5D1C}"/>
    <cellStyle name="60% - Énfasis1 6 5 2 5" xfId="40750" xr:uid="{7094FDD8-FF0B-4525-BEE7-B8513863C46B}"/>
    <cellStyle name="60% - Énfasis1 6 5 3" xfId="20354" xr:uid="{D3BD7FF0-60BD-4119-BFF0-BF6264267CDA}"/>
    <cellStyle name="60% - Énfasis1 6 5 4" xfId="26154" xr:uid="{3D4FBF37-E4A9-4737-8A62-0E23E71FF80F}"/>
    <cellStyle name="60% - Énfasis1 6 5 5" xfId="32029" xr:uid="{58FC2CE5-065E-47B8-875B-C25514462203}"/>
    <cellStyle name="60% - Énfasis1 6 5 6" xfId="37895" xr:uid="{8C0CC34A-7E50-4736-876B-6DB9A296522A}"/>
    <cellStyle name="60% - Énfasis1 6 6" xfId="6789" xr:uid="{9A652BE2-73FE-45FD-9DF6-33A268A81407}"/>
    <cellStyle name="60% - Énfasis1 6 6 2" xfId="21213" xr:uid="{08C0E22D-1957-4060-9CEA-6E3A8A8BA380}"/>
    <cellStyle name="60% - Énfasis1 6 6 3" xfId="27028" xr:uid="{9AB94659-1608-4EBA-87AB-6F21A605C070}"/>
    <cellStyle name="60% - Énfasis1 6 6 4" xfId="32904" xr:uid="{84E97BC0-0D47-42A0-899A-64CB178A7DA5}"/>
    <cellStyle name="60% - Énfasis1 6 6 5" xfId="38768" xr:uid="{C416C145-D45E-4091-A335-438EE37BFE8E}"/>
    <cellStyle name="60% - Énfasis1 6 7" xfId="18460" xr:uid="{D27FDF5A-0B11-4E3A-AA4A-7B0D668B9F24}"/>
    <cellStyle name="60% - Énfasis1 6 8" xfId="24168" xr:uid="{85999D73-B018-4ECD-9961-1333DD5486C8}"/>
    <cellStyle name="60% - Énfasis1 6 9" xfId="30046" xr:uid="{04F31791-DF70-4B48-93E2-4774AF843040}"/>
    <cellStyle name="60% - Énfasis1 7" xfId="3960" xr:uid="{A2B083DF-7598-469D-A592-00F45AF7C5D9}"/>
    <cellStyle name="60% - Énfasis1 7 10" xfId="35952" xr:uid="{4A262946-7A40-4EE8-892A-21DF922D0FB2}"/>
    <cellStyle name="60% - Énfasis1 7 2" xfId="4152" xr:uid="{94BADF44-177B-4268-A59D-74D9F5006478}"/>
    <cellStyle name="60% - Énfasis1 7 2 2" xfId="4630" xr:uid="{1085DC55-5D49-4C5C-AE74-D5BE954D8F06}"/>
    <cellStyle name="60% - Énfasis1 7 2 2 2" xfId="5598" xr:uid="{5A808B32-28D3-40E1-B20E-62DF1B3FDB91}"/>
    <cellStyle name="60% - Énfasis1 7 2 2 2 2" xfId="8465" xr:uid="{9227E58A-F751-4E59-9144-4BDC38E3705F}"/>
    <cellStyle name="60% - Énfasis1 7 2 2 2 2 2" xfId="22840" xr:uid="{3A397FC1-DD13-4D9A-B42D-22F9FD5D5F41}"/>
    <cellStyle name="60% - Énfasis1 7 2 2 2 2 3" xfId="28698" xr:uid="{AA7E41F1-906D-443F-925B-88509481DA76}"/>
    <cellStyle name="60% - Énfasis1 7 2 2 2 2 4" xfId="34580" xr:uid="{92AB6FFA-65FB-4CF7-8584-9A416324E630}"/>
    <cellStyle name="60% - Énfasis1 7 2 2 2 2 5" xfId="40444" xr:uid="{9A0CEB42-5BBD-4AA8-9A22-0C2B8270C69A}"/>
    <cellStyle name="60% - Énfasis1 7 2 2 2 3" xfId="20057" xr:uid="{B2714F5C-F2B0-4008-B286-4944690673AF}"/>
    <cellStyle name="60% - Énfasis1 7 2 2 2 4" xfId="25849" xr:uid="{A0DAB9D2-B3C9-4F7B-8662-4B901629CDA1}"/>
    <cellStyle name="60% - Énfasis1 7 2 2 2 5" xfId="31723" xr:uid="{3B707C7D-31DF-4002-AB5B-F192C79313C5}"/>
    <cellStyle name="60% - Énfasis1 7 2 2 2 6" xfId="37593" xr:uid="{A9B06EE0-25B0-4A71-A8F2-C4816FB78D0C}"/>
    <cellStyle name="60% - Énfasis1 7 2 2 3" xfId="7493" xr:uid="{32F8EF6D-AB27-411D-91E1-6AE1CDA9C06F}"/>
    <cellStyle name="60% - Énfasis1 7 2 2 3 2" xfId="21894" xr:uid="{466E9E87-7492-4A3E-AAB7-C5178ED26461}"/>
    <cellStyle name="60% - Énfasis1 7 2 2 3 3" xfId="27727" xr:uid="{03108931-B3D8-4709-8073-A482E2222C31}"/>
    <cellStyle name="60% - Énfasis1 7 2 2 3 4" xfId="33609" xr:uid="{BF95F894-62DD-44A1-98DE-57417EC16ABD}"/>
    <cellStyle name="60% - Énfasis1 7 2 2 3 5" xfId="39473" xr:uid="{46632085-7E48-4672-AD04-A469FF604BB9}"/>
    <cellStyle name="60% - Énfasis1 7 2 2 4" xfId="19124" xr:uid="{645832B2-4F4D-4285-A391-9AF6A9AD7DAC}"/>
    <cellStyle name="60% - Énfasis1 7 2 2 5" xfId="24878" xr:uid="{896F6C99-072A-4F1C-A457-CC389AB9D0B8}"/>
    <cellStyle name="60% - Énfasis1 7 2 2 6" xfId="30754" xr:uid="{9C0D9686-CE4B-4635-9589-15115EB362E7}"/>
    <cellStyle name="60% - Énfasis1 7 2 2 7" xfId="36636" xr:uid="{D46D1C26-AC14-4BD9-A69F-A6DDD37859D7}"/>
    <cellStyle name="60% - Énfasis1 7 2 3" xfId="5113" xr:uid="{9AE86BBA-18B4-42F3-9A81-7DDD25CE11B3}"/>
    <cellStyle name="60% - Énfasis1 7 2 3 2" xfId="7980" xr:uid="{8B93E100-091E-4C31-A198-F58390AE4263}"/>
    <cellStyle name="60% - Énfasis1 7 2 3 2 2" xfId="22365" xr:uid="{1C8F3501-5D1E-4F68-ACCE-C83E81C7F122}"/>
    <cellStyle name="60% - Énfasis1 7 2 3 2 3" xfId="28213" xr:uid="{CBFA1FA0-8741-489F-8A2E-BCE9A89067CD}"/>
    <cellStyle name="60% - Énfasis1 7 2 3 2 4" xfId="34095" xr:uid="{892DF4C0-E720-40CF-B639-35EA438111FE}"/>
    <cellStyle name="60% - Énfasis1 7 2 3 2 5" xfId="39959" xr:uid="{15CD60B7-08C6-4C2B-BE14-DF0930A60C9E}"/>
    <cellStyle name="60% - Énfasis1 7 2 3 3" xfId="19588" xr:uid="{CC9B5A64-AA28-425D-9BD3-041A0C1EF4C9}"/>
    <cellStyle name="60% - Énfasis1 7 2 3 4" xfId="25364" xr:uid="{F594F854-56C7-4081-BC74-A80669B83272}"/>
    <cellStyle name="60% - Énfasis1 7 2 3 5" xfId="31238" xr:uid="{9EA11A5E-1DAA-4DB8-9FBC-25B66117B597}"/>
    <cellStyle name="60% - Énfasis1 7 2 3 6" xfId="37116" xr:uid="{4010FEA0-4E93-4DAB-810A-3266D45E23F0}"/>
    <cellStyle name="60% - Énfasis1 7 2 4" xfId="7008" xr:uid="{FFE1905C-F389-4A9C-93A8-CDEF1F1972F1}"/>
    <cellStyle name="60% - Énfasis1 7 2 4 2" xfId="21425" xr:uid="{A533C5BF-A0A2-4314-8D18-68084DA8B269}"/>
    <cellStyle name="60% - Énfasis1 7 2 4 3" xfId="27246" xr:uid="{1D0480AB-CF0E-4109-BD10-AFAE48B721FF}"/>
    <cellStyle name="60% - Énfasis1 7 2 4 4" xfId="33124" xr:uid="{4105F116-BE5E-4F95-875F-91B1F38ED482}"/>
    <cellStyle name="60% - Énfasis1 7 2 4 5" xfId="38988" xr:uid="{E27873FA-892F-4ED1-97FF-3EA726B7F511}"/>
    <cellStyle name="60% - Énfasis1 7 2 5" xfId="18680" xr:uid="{0B6BB690-C55B-469F-9314-A1F89D1299C8}"/>
    <cellStyle name="60% - Énfasis1 7 2 6" xfId="24395" xr:uid="{A1C4CB80-2E8B-49AA-9916-64E3E9838A3C}"/>
    <cellStyle name="60% - Énfasis1 7 2 7" xfId="30272" xr:uid="{463789BA-9B51-4CCA-9BEC-5A72F43DD667}"/>
    <cellStyle name="60% - Énfasis1 7 2 8" xfId="36152" xr:uid="{503BFA9A-B617-4C50-B4C7-E6FAD3302026}"/>
    <cellStyle name="60% - Énfasis1 7 3" xfId="4435" xr:uid="{636EBC0A-88C8-4702-90E4-442435646DBC}"/>
    <cellStyle name="60% - Énfasis1 7 3 2" xfId="5402" xr:uid="{4FF8C76B-9AB6-4745-BD36-CC0227F97B1E}"/>
    <cellStyle name="60% - Énfasis1 7 3 2 2" xfId="8269" xr:uid="{04482612-0D43-4D31-91C5-F68BFE295EA9}"/>
    <cellStyle name="60% - Énfasis1 7 3 2 2 2" xfId="22645" xr:uid="{40607C67-E6CF-47C1-A94C-B668719A0E0F}"/>
    <cellStyle name="60% - Énfasis1 7 3 2 2 3" xfId="28502" xr:uid="{7BB35316-932C-422A-86C7-7CB60EE2D803}"/>
    <cellStyle name="60% - Énfasis1 7 3 2 2 4" xfId="34384" xr:uid="{57A9A1D0-0EF7-4DEA-9016-2C7915262F3F}"/>
    <cellStyle name="60% - Énfasis1 7 3 2 2 5" xfId="40248" xr:uid="{9021C6AA-EC2D-428E-844F-AFAE0705A1F6}"/>
    <cellStyle name="60% - Énfasis1 7 3 2 3" xfId="19867" xr:uid="{5B923CEA-491B-48AD-93C5-077DB478A812}"/>
    <cellStyle name="60% - Énfasis1 7 3 2 4" xfId="25653" xr:uid="{C31AE0FF-BE9B-458E-85CF-51DF9799ECD1}"/>
    <cellStyle name="60% - Énfasis1 7 3 2 5" xfId="31527" xr:uid="{9DDCD8E9-73DC-474A-80E1-287434DC5152}"/>
    <cellStyle name="60% - Énfasis1 7 3 2 6" xfId="37398" xr:uid="{2BDC86BF-61B6-4639-AB80-9B80EC090E60}"/>
    <cellStyle name="60% - Énfasis1 7 3 3" xfId="7297" xr:uid="{C02667ED-C71C-423C-BFF7-E0E73802F31E}"/>
    <cellStyle name="60% - Énfasis1 7 3 3 2" xfId="21702" xr:uid="{194F8DD6-9BCD-489C-85BB-30EFF75E9134}"/>
    <cellStyle name="60% - Énfasis1 7 3 3 3" xfId="27531" xr:uid="{7BF6693F-BFC2-4F98-9B9D-197322D82BF3}"/>
    <cellStyle name="60% - Énfasis1 7 3 3 4" xfId="33413" xr:uid="{32CA153F-F701-42D3-A1E3-9C8A21F63D16}"/>
    <cellStyle name="60% - Énfasis1 7 3 3 5" xfId="39277" xr:uid="{F1B8FC21-BDF5-4623-B8DB-B0DF94E5D0CB}"/>
    <cellStyle name="60% - Énfasis1 7 3 4" xfId="18938" xr:uid="{54AB50D0-D9D3-441A-B9D4-C4C8CDB9502C}"/>
    <cellStyle name="60% - Énfasis1 7 3 5" xfId="24682" xr:uid="{95E14625-D48D-4FA6-A056-8F8299BA1776}"/>
    <cellStyle name="60% - Énfasis1 7 3 6" xfId="30560" xr:uid="{5EB3F4F7-E439-475C-B405-91FABC6FBB40}"/>
    <cellStyle name="60% - Énfasis1 7 3 7" xfId="36441" xr:uid="{B91EDD10-B849-466A-BBC9-287E40264038}"/>
    <cellStyle name="60% - Énfasis1 7 4" xfId="4917" xr:uid="{C9320F02-8C64-4847-A47D-099792FCE490}"/>
    <cellStyle name="60% - Énfasis1 7 4 2" xfId="7784" xr:uid="{154998B0-D755-4F72-9D5A-E28A82CBC938}"/>
    <cellStyle name="60% - Énfasis1 7 4 2 2" xfId="22172" xr:uid="{A6FE9ED3-A401-4C64-A07D-C9257ABBCC8B}"/>
    <cellStyle name="60% - Énfasis1 7 4 2 3" xfId="28017" xr:uid="{17E73059-510F-4675-BFD0-0EB5DE9680CE}"/>
    <cellStyle name="60% - Énfasis1 7 4 2 4" xfId="33899" xr:uid="{96509D5E-EEE0-4ED2-9619-803CB8878583}"/>
    <cellStyle name="60% - Énfasis1 7 4 2 5" xfId="39763" xr:uid="{37CF82E7-2C15-4F90-979E-72171181A79D}"/>
    <cellStyle name="60% - Énfasis1 7 4 3" xfId="19399" xr:uid="{34E546F8-D3AB-45E9-B41A-CF1037B32F2C}"/>
    <cellStyle name="60% - Énfasis1 7 4 4" xfId="25168" xr:uid="{DF796422-635C-45B7-AC77-79F63E1201BD}"/>
    <cellStyle name="60% - Énfasis1 7 4 5" xfId="31042" xr:uid="{BADC05B7-97C3-4756-B555-AFFA58A8EFED}"/>
    <cellStyle name="60% - Énfasis1 7 4 6" xfId="36921" xr:uid="{8E50C1CB-7E27-4EB7-BA2E-D034665D386A}"/>
    <cellStyle name="60% - Énfasis1 7 5" xfId="5927" xr:uid="{AAC4C5B7-10D6-4056-AFE4-74DB456C5EFB}"/>
    <cellStyle name="60% - Énfasis1 7 5 2" xfId="8796" xr:uid="{E7A1A9D1-9151-4D35-9E17-DB0249CD28F5}"/>
    <cellStyle name="60% - Énfasis1 7 5 2 2" xfId="23163" xr:uid="{05C18648-2B71-4A0F-AA43-67499ED68956}"/>
    <cellStyle name="60% - Énfasis1 7 5 2 3" xfId="29028" xr:uid="{0149EABC-CEF3-4554-978B-637991F2737E}"/>
    <cellStyle name="60% - Énfasis1 7 5 2 4" xfId="34910" xr:uid="{FBCC781B-C344-4873-AE95-83734C1A77A7}"/>
    <cellStyle name="60% - Énfasis1 7 5 2 5" xfId="40774" xr:uid="{674DEC15-41C9-45E3-AF0C-81E0DB8F169F}"/>
    <cellStyle name="60% - Énfasis1 7 5 3" xfId="20377" xr:uid="{C18944FA-A57F-47E6-B98E-E96AE6ACF59D}"/>
    <cellStyle name="60% - Énfasis1 7 5 4" xfId="26178" xr:uid="{03021205-023B-49E1-9B49-09DF15AB72D8}"/>
    <cellStyle name="60% - Énfasis1 7 5 5" xfId="32053" xr:uid="{D6FFE3AC-C7C3-42F4-85D5-75E21B4E3AF9}"/>
    <cellStyle name="60% - Énfasis1 7 5 6" xfId="37919" xr:uid="{8171BC78-965E-4E29-A606-4335D6CDC99A}"/>
    <cellStyle name="60% - Énfasis1 7 6" xfId="6813" xr:uid="{B35168B2-CB3A-41F6-8AF6-75C2109658BA}"/>
    <cellStyle name="60% - Énfasis1 7 6 2" xfId="21236" xr:uid="{7DCCD981-B8B0-415F-B6E3-978FECD94F89}"/>
    <cellStyle name="60% - Énfasis1 7 6 3" xfId="27052" xr:uid="{80078A27-F56F-42B0-85B4-D3D80F053682}"/>
    <cellStyle name="60% - Énfasis1 7 6 4" xfId="32928" xr:uid="{92FA6223-F651-4A7A-8E7D-C2CB1F2C7E2D}"/>
    <cellStyle name="60% - Énfasis1 7 6 5" xfId="38792" xr:uid="{B89AF2F0-6A96-41C4-A5C1-E60B52B4038A}"/>
    <cellStyle name="60% - Énfasis1 7 7" xfId="18486" xr:uid="{09A13E9A-A415-47D0-B1E5-F793EACEB6AC}"/>
    <cellStyle name="60% - Énfasis1 7 8" xfId="24194" xr:uid="{F5B33EA2-3765-4F53-86A3-1333596BF3D6}"/>
    <cellStyle name="60% - Énfasis1 7 9" xfId="30072" xr:uid="{98566955-2F3E-4E35-B8D7-838A942BF3D0}"/>
    <cellStyle name="60% - Énfasis1 8" xfId="3986" xr:uid="{246C4E11-E4F8-4C7D-94F9-A7A4BD32590B}"/>
    <cellStyle name="60% - Énfasis1 8 10" xfId="35980" xr:uid="{EE629F86-6DB4-45DC-829F-F4251F06FDF4}"/>
    <cellStyle name="60% - Énfasis1 8 2" xfId="4178" xr:uid="{A31B89E7-156C-415A-89E0-D2ED31857CF6}"/>
    <cellStyle name="60% - Énfasis1 8 2 2" xfId="4656" xr:uid="{694967BC-D6CC-4184-A1B8-088F04B29D1C}"/>
    <cellStyle name="60% - Énfasis1 8 2 2 2" xfId="5624" xr:uid="{CAA8FFD7-C12F-4BAE-AED2-ECA21155C90A}"/>
    <cellStyle name="60% - Énfasis1 8 2 2 2 2" xfId="8491" xr:uid="{2F70B51E-0DAB-4ADE-B943-6AFDCCCAFB2D}"/>
    <cellStyle name="60% - Énfasis1 8 2 2 2 2 2" xfId="22865" xr:uid="{340F8644-BE5B-40D4-8FF3-44F4493F5206}"/>
    <cellStyle name="60% - Énfasis1 8 2 2 2 2 3" xfId="28724" xr:uid="{BCFFFFEE-31C6-4EBE-9B86-88E0FAD5481A}"/>
    <cellStyle name="60% - Énfasis1 8 2 2 2 2 4" xfId="34606" xr:uid="{F2C13818-A15D-4C71-85CA-F7FA00F80A1C}"/>
    <cellStyle name="60% - Énfasis1 8 2 2 2 2 5" xfId="40470" xr:uid="{9B6DE0FA-337F-4189-B170-1A0F85641098}"/>
    <cellStyle name="60% - Énfasis1 8 2 2 2 3" xfId="20083" xr:uid="{6A468761-8B11-4CF7-B35E-DD6A0F53A401}"/>
    <cellStyle name="60% - Énfasis1 8 2 2 2 4" xfId="25875" xr:uid="{FE8DC9F7-334A-4E56-89E5-499BD1597C29}"/>
    <cellStyle name="60% - Énfasis1 8 2 2 2 5" xfId="31749" xr:uid="{5D5BDCC0-D6FC-4BA1-BB6F-AC62FA583335}"/>
    <cellStyle name="60% - Énfasis1 8 2 2 2 6" xfId="37618" xr:uid="{FDD85EC9-5471-4E3F-A31B-21B50FFCF661}"/>
    <cellStyle name="60% - Énfasis1 8 2 2 3" xfId="7519" xr:uid="{359E35E3-966B-469E-A15F-B8D27BEE111C}"/>
    <cellStyle name="60% - Énfasis1 8 2 2 3 2" xfId="21919" xr:uid="{F9C6F8EC-47B0-4FF8-BBA9-FC3FB0BA1A87}"/>
    <cellStyle name="60% - Énfasis1 8 2 2 3 3" xfId="27753" xr:uid="{799245A4-D8F6-4CCA-8AD8-A729CDEE3B37}"/>
    <cellStyle name="60% - Énfasis1 8 2 2 3 4" xfId="33635" xr:uid="{BD47F741-EAC4-4D92-9743-62D4815904A0}"/>
    <cellStyle name="60% - Énfasis1 8 2 2 3 5" xfId="39499" xr:uid="{3AD09E2F-29C5-4C51-9233-5F22A0AF6483}"/>
    <cellStyle name="60% - Énfasis1 8 2 2 4" xfId="19148" xr:uid="{E2531BE5-E144-4F76-A690-59736EA8F5FF}"/>
    <cellStyle name="60% - Énfasis1 8 2 2 5" xfId="24904" xr:uid="{A6FF3423-40A8-4EB8-A998-0B901FE89C3F}"/>
    <cellStyle name="60% - Énfasis1 8 2 2 6" xfId="30780" xr:uid="{1263D2CD-9C4F-4C6D-AFEA-16210E27CBB2}"/>
    <cellStyle name="60% - Énfasis1 8 2 2 7" xfId="36661" xr:uid="{F4CB17AF-809F-4A97-AA0C-4EA4C8E6CD67}"/>
    <cellStyle name="60% - Énfasis1 8 2 3" xfId="5139" xr:uid="{DBE6AE97-1FC1-49F3-AEFF-6B94FEFF83C4}"/>
    <cellStyle name="60% - Énfasis1 8 2 3 2" xfId="8006" xr:uid="{FF202AC1-7860-4314-B042-ED182E1A175E}"/>
    <cellStyle name="60% - Énfasis1 8 2 3 2 2" xfId="22390" xr:uid="{6D7E21DC-F35E-436A-B777-18504A09320C}"/>
    <cellStyle name="60% - Énfasis1 8 2 3 2 3" xfId="28239" xr:uid="{AC1E1D5F-E0C2-468F-8ABC-C7D31E1DEA2D}"/>
    <cellStyle name="60% - Énfasis1 8 2 3 2 4" xfId="34121" xr:uid="{ACB46FD6-13FC-4363-8FFF-3CFF033770C6}"/>
    <cellStyle name="60% - Énfasis1 8 2 3 2 5" xfId="39985" xr:uid="{24774945-E497-4182-8823-244A4CE5950F}"/>
    <cellStyle name="60% - Énfasis1 8 2 3 3" xfId="19613" xr:uid="{276D5EB9-A63D-4936-A137-D88ED82C40A4}"/>
    <cellStyle name="60% - Énfasis1 8 2 3 4" xfId="25390" xr:uid="{8C9CDBBA-E389-4688-9BE1-01123804F73D}"/>
    <cellStyle name="60% - Énfasis1 8 2 3 5" xfId="31264" xr:uid="{8BAF9AC9-64C1-4987-9628-E9E8D34F04EF}"/>
    <cellStyle name="60% - Énfasis1 8 2 3 6" xfId="37141" xr:uid="{F57542A6-63B7-44B3-85E5-F6EB9A2EF90B}"/>
    <cellStyle name="60% - Énfasis1 8 2 4" xfId="7034" xr:uid="{96A76143-13E1-46AB-96E2-6BA7BEB762B3}"/>
    <cellStyle name="60% - Énfasis1 8 2 4 2" xfId="21450" xr:uid="{F9E91B9B-99A5-49FB-80A9-DABD30BF95D7}"/>
    <cellStyle name="60% - Énfasis1 8 2 4 3" xfId="27271" xr:uid="{C0FE067D-ED72-4570-914D-367DF1914C2F}"/>
    <cellStyle name="60% - Énfasis1 8 2 4 4" xfId="33150" xr:uid="{ADC84C1A-6DE9-41E8-8270-9E73859E354A}"/>
    <cellStyle name="60% - Énfasis1 8 2 4 5" xfId="39014" xr:uid="{78C64A5A-A310-482D-89ED-79A8AB31C88C}"/>
    <cellStyle name="60% - Énfasis1 8 2 5" xfId="18705" xr:uid="{B1347AC5-860C-4BFC-9FD8-124DFAE58EE6}"/>
    <cellStyle name="60% - Énfasis1 8 2 6" xfId="24421" xr:uid="{EBB560F6-1DFD-4D31-8738-D890C7DCC298}"/>
    <cellStyle name="60% - Énfasis1 8 2 7" xfId="30298" xr:uid="{0950BBD5-8D18-44BF-926D-D19E98ABD425}"/>
    <cellStyle name="60% - Énfasis1 8 2 8" xfId="36178" xr:uid="{2FCE1B80-26A1-494B-8698-2EB78EA8DF29}"/>
    <cellStyle name="60% - Énfasis1 8 3" xfId="4460" xr:uid="{528CEBE5-C965-4495-BC70-C5F2412403AB}"/>
    <cellStyle name="60% - Énfasis1 8 3 2" xfId="5428" xr:uid="{D64A39D2-4A30-4418-96C7-17AAFE3EFBA4}"/>
    <cellStyle name="60% - Énfasis1 8 3 2 2" xfId="8295" xr:uid="{645435FD-DE0F-4E71-AAEC-9B24D6FEEA2C}"/>
    <cellStyle name="60% - Énfasis1 8 3 2 2 2" xfId="22671" xr:uid="{1ADDC175-F534-4C08-9331-7CDCF18EF11B}"/>
    <cellStyle name="60% - Énfasis1 8 3 2 2 3" xfId="28528" xr:uid="{9502DF36-987C-4E95-B5A5-EBBA5ACAE3FA}"/>
    <cellStyle name="60% - Énfasis1 8 3 2 2 4" xfId="34410" xr:uid="{93492458-1AE4-4DB2-8AA0-A48FAC33DF94}"/>
    <cellStyle name="60% - Énfasis1 8 3 2 2 5" xfId="40274" xr:uid="{84F263D3-0699-4240-91E2-BC2BDABA3BA5}"/>
    <cellStyle name="60% - Énfasis1 8 3 2 3" xfId="19892" xr:uid="{5A8E3C81-9FB3-4979-8D6C-27672AEE718A}"/>
    <cellStyle name="60% - Énfasis1 8 3 2 4" xfId="25679" xr:uid="{6B004E84-012E-4B16-996B-C3B538F92033}"/>
    <cellStyle name="60% - Énfasis1 8 3 2 5" xfId="31553" xr:uid="{077F04EE-61CC-4264-825D-33F4AF32D630}"/>
    <cellStyle name="60% - Énfasis1 8 3 2 6" xfId="37424" xr:uid="{7618C9B8-8680-4CFD-BD04-EAECD5CF29CC}"/>
    <cellStyle name="60% - Énfasis1 8 3 3" xfId="7323" xr:uid="{36D426D1-D37D-4C06-937F-FF5BEB799F00}"/>
    <cellStyle name="60% - Énfasis1 8 3 3 2" xfId="21727" xr:uid="{2D9C14C7-07D5-440B-AAAD-42CF6BEEBE09}"/>
    <cellStyle name="60% - Énfasis1 8 3 3 3" xfId="27557" xr:uid="{04FFCE4E-0C4E-41F4-9399-FFA2E0391E86}"/>
    <cellStyle name="60% - Énfasis1 8 3 3 4" xfId="33439" xr:uid="{6D9CC788-1C3B-4B64-A797-54312CC0D62D}"/>
    <cellStyle name="60% - Énfasis1 8 3 3 5" xfId="39303" xr:uid="{6DEFADF3-71B0-4383-925A-4F1639A2BB7E}"/>
    <cellStyle name="60% - Énfasis1 8 3 4" xfId="18964" xr:uid="{79583356-FC61-4EC8-9B66-FDBF167F4ABF}"/>
    <cellStyle name="60% - Énfasis1 8 3 5" xfId="24708" xr:uid="{4188B683-5D56-4D16-8FC1-5B768C3DB6BA}"/>
    <cellStyle name="60% - Énfasis1 8 3 6" xfId="30586" xr:uid="{E8F86D35-2FAD-40B0-9B2C-56C4815F838C}"/>
    <cellStyle name="60% - Énfasis1 8 3 7" xfId="36467" xr:uid="{E97FD12A-17E7-4974-9B81-56962E8E1AFA}"/>
    <cellStyle name="60% - Énfasis1 8 4" xfId="4943" xr:uid="{EFB3FC12-8040-4EDE-8014-2FB65E9C0744}"/>
    <cellStyle name="60% - Énfasis1 8 4 2" xfId="7810" xr:uid="{C2DCB097-6878-4A8A-9549-AF5502A5B903}"/>
    <cellStyle name="60% - Énfasis1 8 4 2 2" xfId="22197" xr:uid="{93C77309-0985-4285-95DE-1819D4DF5A96}"/>
    <cellStyle name="60% - Énfasis1 8 4 2 3" xfId="28043" xr:uid="{C0998183-0F17-46B1-87BD-8466B2D91DD1}"/>
    <cellStyle name="60% - Énfasis1 8 4 2 4" xfId="33925" xr:uid="{63AB2DD8-777A-4931-909B-3AB3C8BFFC60}"/>
    <cellStyle name="60% - Énfasis1 8 4 2 5" xfId="39789" xr:uid="{E1010137-03AB-47A1-852F-558BE0372A9D}"/>
    <cellStyle name="60% - Énfasis1 8 4 3" xfId="19425" xr:uid="{E5C9C1E0-A3AA-42ED-B9ED-C8D9311CF147}"/>
    <cellStyle name="60% - Énfasis1 8 4 4" xfId="25194" xr:uid="{0A3A3073-D36D-4684-8278-8A4AFB689260}"/>
    <cellStyle name="60% - Énfasis1 8 4 5" xfId="31068" xr:uid="{E4550F37-AF95-40A7-A95B-CAA2F17DDD1C}"/>
    <cellStyle name="60% - Énfasis1 8 4 6" xfId="36947" xr:uid="{ABF07D26-2D2F-4EC1-934D-8D6F0B15F877}"/>
    <cellStyle name="60% - Énfasis1 8 5" xfId="5953" xr:uid="{6B9D670B-8F51-4876-A3EC-772CD05BBF6D}"/>
    <cellStyle name="60% - Énfasis1 8 5 2" xfId="8822" xr:uid="{57246685-F884-429B-AC56-5330692182A3}"/>
    <cellStyle name="60% - Énfasis1 8 5 2 2" xfId="23187" xr:uid="{9FEAD331-9566-45AB-A5FD-8D504B82B544}"/>
    <cellStyle name="60% - Énfasis1 8 5 2 3" xfId="29054" xr:uid="{3A6A6BE7-2CC9-455F-9D39-29E460B7209F}"/>
    <cellStyle name="60% - Énfasis1 8 5 2 4" xfId="34936" xr:uid="{8F4DE3EC-B9DE-461F-8FBD-28E33E086F65}"/>
    <cellStyle name="60% - Énfasis1 8 5 2 5" xfId="40800" xr:uid="{BD9CB49E-4042-4723-9668-9B3B89B864D4}"/>
    <cellStyle name="60% - Énfasis1 8 5 3" xfId="20403" xr:uid="{E247A65B-6916-4A00-AECC-B835E2095C23}"/>
    <cellStyle name="60% - Énfasis1 8 5 4" xfId="26204" xr:uid="{7A02977A-AF89-42A5-A433-F36686F24CF8}"/>
    <cellStyle name="60% - Énfasis1 8 5 5" xfId="32079" xr:uid="{521B630D-D085-4327-9192-BD16F0534BEB}"/>
    <cellStyle name="60% - Énfasis1 8 5 6" xfId="37944" xr:uid="{DF861F64-D434-4F24-8449-244723E83A6F}"/>
    <cellStyle name="60% - Énfasis1 8 6" xfId="6839" xr:uid="{02F87739-D33B-436C-8A2C-CF4763CA2B12}"/>
    <cellStyle name="60% - Énfasis1 8 6 2" xfId="21262" xr:uid="{26591D0B-CFBE-4A86-8CDD-7C051DEDC8A6}"/>
    <cellStyle name="60% - Énfasis1 8 6 3" xfId="27077" xr:uid="{0736F46A-5E9F-48A5-B59B-87EB277CE9C7}"/>
    <cellStyle name="60% - Énfasis1 8 6 4" xfId="32954" xr:uid="{B7BCC9B1-9C03-4DD5-8D6C-DF94247173B9}"/>
    <cellStyle name="60% - Énfasis1 8 6 5" xfId="38818" xr:uid="{F1548097-9EA3-404D-B2FB-17F8932FF478}"/>
    <cellStyle name="60% - Énfasis1 8 7" xfId="18513" xr:uid="{A994964A-2E70-49BA-A823-C1FC6C834C2A}"/>
    <cellStyle name="60% - Énfasis1 8 8" xfId="24222" xr:uid="{8E24775E-3B6F-4E0C-B3F8-B8EA8BFD306C}"/>
    <cellStyle name="60% - Énfasis1 8 9" xfId="30100" xr:uid="{FFC2A3C6-D0CD-4EBB-A18E-6AE8D31E30CC}"/>
    <cellStyle name="60% - Énfasis1 9" xfId="4010" xr:uid="{753F4734-E613-4B12-8C3D-D00087EBBAAE}"/>
    <cellStyle name="60% - Énfasis1 9 2" xfId="4481" xr:uid="{E00BCA48-F54A-4CB2-AD0B-7EA5C132D71C}"/>
    <cellStyle name="60% - Énfasis1 9 2 2" xfId="5449" xr:uid="{EE780CE8-DB78-4708-BA6E-2E686C8E09EA}"/>
    <cellStyle name="60% - Énfasis1 9 2 2 2" xfId="8316" xr:uid="{02946CF8-9B0D-4D31-96D3-B084CD7C678C}"/>
    <cellStyle name="60% - Énfasis1 9 2 2 2 2" xfId="22692" xr:uid="{89851168-EAB0-499D-B3CA-684B331F3C37}"/>
    <cellStyle name="60% - Énfasis1 9 2 2 2 3" xfId="28549" xr:uid="{4AADAAFF-D0AA-4960-8904-93991F0687FD}"/>
    <cellStyle name="60% - Énfasis1 9 2 2 2 4" xfId="34431" xr:uid="{CAEABF34-A928-4DC0-AB1A-5E29FB491FE3}"/>
    <cellStyle name="60% - Énfasis1 9 2 2 2 5" xfId="40295" xr:uid="{BD0BB636-858E-4EF5-88B7-3AC3717BDAB4}"/>
    <cellStyle name="60% - Énfasis1 9 2 2 3" xfId="19912" xr:uid="{C64B869E-39EF-4393-8BED-19A45462A084}"/>
    <cellStyle name="60% - Énfasis1 9 2 2 4" xfId="25700" xr:uid="{1E82A471-F561-4707-B34B-F1632B7A8608}"/>
    <cellStyle name="60% - Énfasis1 9 2 2 5" xfId="31574" xr:uid="{A5C5C7B7-BB4D-4D08-88EF-E4FC3873BF63}"/>
    <cellStyle name="60% - Énfasis1 9 2 2 6" xfId="37445" xr:uid="{2A1327CB-0139-4E97-8445-E13482730BF6}"/>
    <cellStyle name="60% - Énfasis1 9 2 3" xfId="7344" xr:uid="{077D5B07-39AE-4711-9295-0440189AD93A}"/>
    <cellStyle name="60% - Énfasis1 9 2 3 2" xfId="21747" xr:uid="{5B45FEBD-BF7B-417D-8087-36512ABC7AE7}"/>
    <cellStyle name="60% - Énfasis1 9 2 3 3" xfId="27578" xr:uid="{D1F51CD1-A07D-4649-BF13-61D78192413A}"/>
    <cellStyle name="60% - Énfasis1 9 2 3 4" xfId="33460" xr:uid="{A2C2E664-6196-4D05-9069-A9658E3F8D25}"/>
    <cellStyle name="60% - Énfasis1 9 2 3 5" xfId="39324" xr:uid="{15AA1927-1897-4773-9160-FE653D837CE0}"/>
    <cellStyle name="60% - Énfasis1 9 2 4" xfId="18985" xr:uid="{21D10C6F-435A-4DF0-BD91-5DE09AC7E8A4}"/>
    <cellStyle name="60% - Énfasis1 9 2 5" xfId="24729" xr:uid="{D00EDD13-A4C0-4CB5-A83C-F7680FDF7EE9}"/>
    <cellStyle name="60% - Énfasis1 9 2 6" xfId="30606" xr:uid="{790BF336-0BD2-494A-A595-295A135CDD10}"/>
    <cellStyle name="60% - Énfasis1 9 2 7" xfId="36488" xr:uid="{A7DEE26D-C69E-41FA-94EF-D5C6A341E9B1}"/>
    <cellStyle name="60% - Énfasis1 9 3" xfId="4964" xr:uid="{669E935A-2ADC-4FC2-AB4C-F1E4ADF33094}"/>
    <cellStyle name="60% - Énfasis1 9 3 2" xfId="7831" xr:uid="{3548A484-D501-4510-99D3-55C2ABE32C83}"/>
    <cellStyle name="60% - Énfasis1 9 3 2 2" xfId="22217" xr:uid="{909AD9AB-38C9-477B-8609-006BE6450A15}"/>
    <cellStyle name="60% - Énfasis1 9 3 2 3" xfId="28064" xr:uid="{18E90E14-EF43-4C61-A9CB-890E92674709}"/>
    <cellStyle name="60% - Énfasis1 9 3 2 4" xfId="33946" xr:uid="{15273739-154F-4A0D-BFB6-02CF478F3A73}"/>
    <cellStyle name="60% - Énfasis1 9 3 2 5" xfId="39810" xr:uid="{AF6BB9D1-808A-4A29-8360-EFA01A634E29}"/>
    <cellStyle name="60% - Énfasis1 9 3 3" xfId="19445" xr:uid="{DB860ECE-7518-4EFD-80D2-9560335000FB}"/>
    <cellStyle name="60% - Énfasis1 9 3 4" xfId="25215" xr:uid="{5091F46F-961E-4BBB-80BC-8BC101965FB3}"/>
    <cellStyle name="60% - Énfasis1 9 3 5" xfId="31089" xr:uid="{14661FCC-0F39-4625-A561-6F9D4DA0C3FE}"/>
    <cellStyle name="60% - Énfasis1 9 3 6" xfId="36968" xr:uid="{99A65BEF-661A-48FE-9CA3-39E33515307B}"/>
    <cellStyle name="60% - Énfasis1 9 4" xfId="6860" xr:uid="{8F56CC5F-3F73-4336-847A-19911775E568}"/>
    <cellStyle name="60% - Énfasis1 9 4 2" xfId="21282" xr:uid="{5CC159D2-8676-473D-A13B-CEFB4C126D74}"/>
    <cellStyle name="60% - Énfasis1 9 4 3" xfId="27098" xr:uid="{AB31F99A-DA89-42A3-A9E7-D3EC09111D4A}"/>
    <cellStyle name="60% - Énfasis1 9 4 4" xfId="32975" xr:uid="{E99C86D3-D618-4E6E-ADB9-90B044D785F5}"/>
    <cellStyle name="60% - Énfasis1 9 4 5" xfId="38839" xr:uid="{75F26223-72DC-4AD7-8FF4-048872DF3AAD}"/>
    <cellStyle name="60% - Énfasis1 9 5" xfId="18536" xr:uid="{C5CAB006-AC52-4CE8-8712-A17625706598}"/>
    <cellStyle name="60% - Énfasis1 9 6" xfId="24246" xr:uid="{A105A3F8-AF6D-48D9-9A30-352A6A889FFE}"/>
    <cellStyle name="60% - Énfasis1 9 7" xfId="30124" xr:uid="{327499F3-3047-4C05-B170-070B2F74E775}"/>
    <cellStyle name="60% - Énfasis1 9 8" xfId="36003" xr:uid="{081A3B03-7861-4E13-B446-9D0EAB996770}"/>
    <cellStyle name="60% - Énfasis2" xfId="25" builtinId="36" customBuiltin="1"/>
    <cellStyle name="60% - Énfasis2 10" xfId="4205" xr:uid="{146A1DB6-9910-4BA2-910A-C35ED91948D1}"/>
    <cellStyle name="60% - Énfasis2 10 2" xfId="4683" xr:uid="{646D13EC-440E-43C2-8236-75B14EDDCF00}"/>
    <cellStyle name="60% - Énfasis2 10 2 2" xfId="5651" xr:uid="{F6B71DDE-0805-4148-B9A3-201B7463DD3A}"/>
    <cellStyle name="60% - Énfasis2 10 2 2 2" xfId="8519" xr:uid="{572BB894-292C-4F13-9EFD-5CEFAD12B922}"/>
    <cellStyle name="60% - Énfasis2 10 2 2 2 2" xfId="22893" xr:uid="{4CE3C0C1-5C39-49F2-AE55-315F32860D2C}"/>
    <cellStyle name="60% - Énfasis2 10 2 2 2 3" xfId="28752" xr:uid="{489B0A1E-7E30-4A4F-99BA-5ADFEB51DD3F}"/>
    <cellStyle name="60% - Énfasis2 10 2 2 2 4" xfId="34634" xr:uid="{D885141F-856D-4D06-9C00-8EC519A9AFEF}"/>
    <cellStyle name="60% - Énfasis2 10 2 2 2 5" xfId="40498" xr:uid="{B779F1E6-5427-48E3-99EA-AE05904D9A54}"/>
    <cellStyle name="60% - Énfasis2 10 2 2 3" xfId="20110" xr:uid="{1748AD14-F073-4D12-8A3B-E8B193F4C1D7}"/>
    <cellStyle name="60% - Énfasis2 10 2 2 4" xfId="25902" xr:uid="{6BC7501A-2479-41F9-9675-19F00ADF4843}"/>
    <cellStyle name="60% - Énfasis2 10 2 2 5" xfId="31777" xr:uid="{6C53AAA1-3726-48C1-AE88-9F171D00A9FB}"/>
    <cellStyle name="60% - Énfasis2 10 2 2 6" xfId="37646" xr:uid="{80D4219D-1334-4428-B3E2-58603C850586}"/>
    <cellStyle name="60% - Énfasis2 10 2 3" xfId="7547" xr:uid="{C573A182-1C2A-46E8-AE46-4FDBAE027858}"/>
    <cellStyle name="60% - Énfasis2 10 2 3 2" xfId="21945" xr:uid="{3FFB1811-9846-4385-882F-C77E70D9A557}"/>
    <cellStyle name="60% - Énfasis2 10 2 3 3" xfId="27781" xr:uid="{6284DEAF-40BC-43E3-A1A0-A5966EC66EED}"/>
    <cellStyle name="60% - Énfasis2 10 2 3 4" xfId="33663" xr:uid="{8D80D332-56E2-4915-A0A0-C5711F4960BB}"/>
    <cellStyle name="60% - Énfasis2 10 2 3 5" xfId="39527" xr:uid="{F5BF2574-FB5B-4694-BBE1-2F73FD472351}"/>
    <cellStyle name="60% - Énfasis2 10 2 4" xfId="19176" xr:uid="{A569B47A-49A4-44DF-9216-66E0249DFCE0}"/>
    <cellStyle name="60% - Énfasis2 10 2 5" xfId="24932" xr:uid="{3EED3D9B-27AE-43AF-96BD-849372692D60}"/>
    <cellStyle name="60% - Énfasis2 10 2 6" xfId="30807" xr:uid="{19A3B9C9-FFB9-4677-9144-1991F606B13F}"/>
    <cellStyle name="60% - Énfasis2 10 2 7" xfId="36689" xr:uid="{DF27A77F-5182-43B4-98FE-5BF3DD51B6F5}"/>
    <cellStyle name="60% - Énfasis2 10 3" xfId="5167" xr:uid="{37BE6C65-6914-4412-9C36-D0E29B2B047A}"/>
    <cellStyle name="60% - Énfasis2 10 3 2" xfId="8034" xr:uid="{69E96416-3E52-419D-9FD1-331D1B67EC49}"/>
    <cellStyle name="60% - Énfasis2 10 3 2 2" xfId="22417" xr:uid="{EC95FC96-7D6F-4EE6-9D2F-D5E159DE79FD}"/>
    <cellStyle name="60% - Énfasis2 10 3 2 3" xfId="28267" xr:uid="{C07C8EFE-5DA2-4C94-B1F5-CCE77FCAC6E4}"/>
    <cellStyle name="60% - Énfasis2 10 3 2 4" xfId="34149" xr:uid="{7816D72A-23E7-45D3-8D0B-D0CC89FC387C}"/>
    <cellStyle name="60% - Énfasis2 10 3 2 5" xfId="40013" xr:uid="{0D2044C6-0BC1-4662-BE63-0D524551A5D2}"/>
    <cellStyle name="60% - Énfasis2 10 3 3" xfId="19640" xr:uid="{D2B01F45-9A38-4E32-8F61-009DEC25E085}"/>
    <cellStyle name="60% - Énfasis2 10 3 4" xfId="25418" xr:uid="{F6049AE9-DD87-492A-BC8A-C0A21ED26795}"/>
    <cellStyle name="60% - Énfasis2 10 3 5" xfId="31292" xr:uid="{4E9E900C-1D30-4B9A-AF18-5B6892CD4AEA}"/>
    <cellStyle name="60% - Énfasis2 10 3 6" xfId="37169" xr:uid="{A503C3EC-864B-4B2C-AF11-C5D02331A8FB}"/>
    <cellStyle name="60% - Énfasis2 10 4" xfId="7062" xr:uid="{78A61E5E-0E20-4999-ADAF-1FEE0F9B0A3F}"/>
    <cellStyle name="60% - Énfasis2 10 4 2" xfId="21477" xr:uid="{79BE7994-CBDB-4ADC-96FB-96090C912FEC}"/>
    <cellStyle name="60% - Énfasis2 10 4 3" xfId="27299" xr:uid="{5452484F-C79C-4D92-A200-D2C9D5C03BCB}"/>
    <cellStyle name="60% - Énfasis2 10 4 4" xfId="33178" xr:uid="{37253D2B-51D6-457D-9FFD-7A5CB475D1E1}"/>
    <cellStyle name="60% - Énfasis2 10 4 5" xfId="39042" xr:uid="{1E08FDCB-E887-43E2-838B-21209B22B4F1}"/>
    <cellStyle name="60% - Énfasis2 10 5" xfId="18733" xr:uid="{81B9934C-132E-4BC7-B68E-B9E35713F560}"/>
    <cellStyle name="60% - Énfasis2 10 6" xfId="24449" xr:uid="{DC26F813-8991-4C23-83E6-E5381A2DDA8E}"/>
    <cellStyle name="60% - Énfasis2 10 7" xfId="30325" xr:uid="{B45E1D17-BF49-4E88-8266-0FD79A7FEFF5}"/>
    <cellStyle name="60% - Énfasis2 10 8" xfId="36206" xr:uid="{A5A80F14-00DE-486C-AA05-1CA224EF7EA7}"/>
    <cellStyle name="60% - Énfasis2 11" xfId="4240" xr:uid="{E73C4630-B35A-48E7-9121-1179A50A3414}"/>
    <cellStyle name="60% - Énfasis2 11 2" xfId="4719" xr:uid="{7F1B75FE-778D-4BF2-96F2-74E3874BB38D}"/>
    <cellStyle name="60% - Énfasis2 11 2 2" xfId="5687" xr:uid="{C25C6E32-0183-4BCF-A2E5-CA9103B771E9}"/>
    <cellStyle name="60% - Énfasis2 11 2 2 2" xfId="8555" xr:uid="{2126055C-3C8F-45C2-98D1-7F42C94054E0}"/>
    <cellStyle name="60% - Énfasis2 11 2 2 2 2" xfId="22927" xr:uid="{5ADF082D-502E-4436-ABDD-893B65300E56}"/>
    <cellStyle name="60% - Énfasis2 11 2 2 2 3" xfId="28788" xr:uid="{1FD13689-2726-4902-97BE-CFFF8C1A0B4A}"/>
    <cellStyle name="60% - Énfasis2 11 2 2 2 4" xfId="34670" xr:uid="{75B94433-8820-4C6B-A729-0C8AF81B5F48}"/>
    <cellStyle name="60% - Énfasis2 11 2 2 2 5" xfId="40534" xr:uid="{FE9B0738-4A14-4E9B-A040-3D1F5C4CC3F1}"/>
    <cellStyle name="60% - Énfasis2 11 2 2 3" xfId="20144" xr:uid="{230D3577-0F12-40E1-B728-C6ADC192D621}"/>
    <cellStyle name="60% - Énfasis2 11 2 2 4" xfId="25938" xr:uid="{FC0ECA59-C4E0-42C6-B384-37BC930A8193}"/>
    <cellStyle name="60% - Énfasis2 11 2 2 5" xfId="31813" xr:uid="{9053035A-A157-4DC6-B5B3-A04178F43CD8}"/>
    <cellStyle name="60% - Énfasis2 11 2 2 6" xfId="37680" xr:uid="{4C5D64AD-CB76-4A9A-BDB1-ADC8A3BB6C10}"/>
    <cellStyle name="60% - Énfasis2 11 2 3" xfId="7583" xr:uid="{250B568F-E2F0-4874-A056-7BD8E9EEA0A5}"/>
    <cellStyle name="60% - Énfasis2 11 2 3 2" xfId="21977" xr:uid="{F17CBFFF-1C5A-4EBA-AECE-0A051B98CD68}"/>
    <cellStyle name="60% - Énfasis2 11 2 3 3" xfId="27817" xr:uid="{46FC3F4B-C9FD-4A8A-B0E4-1CD935B86F7D}"/>
    <cellStyle name="60% - Énfasis2 11 2 3 4" xfId="33699" xr:uid="{DD2C620D-508B-487C-A52F-B75CEE7CB87D}"/>
    <cellStyle name="60% - Énfasis2 11 2 3 5" xfId="39563" xr:uid="{461E4062-EFB5-468B-8139-A110BEE312ED}"/>
    <cellStyle name="60% - Énfasis2 11 2 4" xfId="19209" xr:uid="{8D941238-BF46-49E4-AF8E-FD5ADC6CE974}"/>
    <cellStyle name="60% - Énfasis2 11 2 5" xfId="24968" xr:uid="{71BF798A-8F0B-41B0-8338-A3BCBEDA10D5}"/>
    <cellStyle name="60% - Énfasis2 11 2 6" xfId="30842" xr:uid="{9883F738-C745-4CBD-B664-503A7638F0D9}"/>
    <cellStyle name="60% - Énfasis2 11 2 7" xfId="36723" xr:uid="{3FB40275-AE0A-4224-914C-F16F80503C8C}"/>
    <cellStyle name="60% - Énfasis2 11 3" xfId="5203" xr:uid="{DD428CA3-97BE-4768-90F4-5001D83D655B}"/>
    <cellStyle name="60% - Énfasis2 11 3 2" xfId="8070" xr:uid="{C9DB9C79-9C8A-4CAB-9CAA-7CC8014E5F83}"/>
    <cellStyle name="60% - Énfasis2 11 3 2 2" xfId="22448" xr:uid="{E422AB08-E8E8-45B4-ACCB-5359CCAC2E3D}"/>
    <cellStyle name="60% - Énfasis2 11 3 2 3" xfId="28303" xr:uid="{6FE63EB6-BA24-415A-A9F5-700D955761FF}"/>
    <cellStyle name="60% - Énfasis2 11 3 2 4" xfId="34185" xr:uid="{CE135CEA-5F83-4FD4-A5A8-0417FE49C55E}"/>
    <cellStyle name="60% - Énfasis2 11 3 2 5" xfId="40049" xr:uid="{2B76F7B0-C939-4AEE-8703-99EAEAB1714E}"/>
    <cellStyle name="60% - Énfasis2 11 3 3" xfId="19674" xr:uid="{D13E8049-7B4F-44AC-B401-C7DC8D44905A}"/>
    <cellStyle name="60% - Énfasis2 11 3 4" xfId="25454" xr:uid="{DF2FD504-111D-4C27-A9AA-8AC962BD3003}"/>
    <cellStyle name="60% - Énfasis2 11 3 5" xfId="31328" xr:uid="{797FE0F8-1695-4C67-AD61-D2B4BE3EF194}"/>
    <cellStyle name="60% - Énfasis2 11 3 6" xfId="37201" xr:uid="{50D01E0F-F5AE-4195-A3E0-5771F39B0E5F}"/>
    <cellStyle name="60% - Énfasis2 11 4" xfId="7098" xr:uid="{EA0BA401-1C4F-4D34-AB46-5DAADBC2B17F}"/>
    <cellStyle name="60% - Énfasis2 11 4 2" xfId="21510" xr:uid="{1E3616DA-992F-42B9-86B6-84F3DAAA69D9}"/>
    <cellStyle name="60% - Énfasis2 11 4 3" xfId="27333" xr:uid="{6B429C3F-CEC6-4538-BC36-D5BFAA4726BB}"/>
    <cellStyle name="60% - Énfasis2 11 4 4" xfId="33214" xr:uid="{E119A314-1CE4-4ED1-9B77-B87BF9A409E4}"/>
    <cellStyle name="60% - Énfasis2 11 4 5" xfId="39078" xr:uid="{A5619B50-15C9-4926-A651-68EB427B6884}"/>
    <cellStyle name="60% - Énfasis2 11 5" xfId="18762" xr:uid="{392C0135-A3BA-42D3-B36B-B23CC334442E}"/>
    <cellStyle name="60% - Énfasis2 11 6" xfId="24483" xr:uid="{2911A38A-8EA5-4975-A680-3C2B665A9992}"/>
    <cellStyle name="60% - Énfasis2 11 7" xfId="30361" xr:uid="{546A44CF-594C-4A6C-B072-A47B3709887B}"/>
    <cellStyle name="60% - Énfasis2 11 8" xfId="36242" xr:uid="{43FAE4F8-ACB2-49AE-98E9-9E08CEB5C43A}"/>
    <cellStyle name="60% - Énfasis2 12" xfId="4290" xr:uid="{61DFEE00-600F-4D58-A109-C90399E47D97}"/>
    <cellStyle name="60% - Énfasis2 12 2" xfId="5256" xr:uid="{F549611E-56A3-40DF-9468-2494CECA2E1E}"/>
    <cellStyle name="60% - Énfasis2 12 2 2" xfId="8123" xr:uid="{F4A1496A-92B5-4F95-8689-38826E6BAA97}"/>
    <cellStyle name="60% - Énfasis2 12 2 2 2" xfId="22500" xr:uid="{3B008FFB-8F65-40B6-993B-7255EE4DC299}"/>
    <cellStyle name="60% - Énfasis2 12 2 2 3" xfId="28356" xr:uid="{B224D5BF-2EDA-42F9-9CEA-231D9E7814C5}"/>
    <cellStyle name="60% - Énfasis2 12 2 2 4" xfId="34238" xr:uid="{628D900E-A1F8-4A06-97FB-B3C1589718CC}"/>
    <cellStyle name="60% - Énfasis2 12 2 2 5" xfId="40102" xr:uid="{DF3ACA55-CFFA-486C-B6E0-1FE3A6F00DE2}"/>
    <cellStyle name="60% - Énfasis2 12 2 3" xfId="19726" xr:uid="{4854D706-6F20-4C9A-A0B0-5DADD0B5C88B}"/>
    <cellStyle name="60% - Énfasis2 12 2 4" xfId="25507" xr:uid="{B4A4A898-5A13-44B8-A1BB-57363FED108F}"/>
    <cellStyle name="60% - Énfasis2 12 2 5" xfId="31381" xr:uid="{131A3EF2-11AD-4C79-B512-A25B9EF8540A}"/>
    <cellStyle name="60% - Énfasis2 12 2 6" xfId="37253" xr:uid="{5CED7EDA-3A75-49B5-85C0-3D5983D20B39}"/>
    <cellStyle name="60% - Énfasis2 12 3" xfId="7151" xr:uid="{C5967892-FBA9-4D40-86E0-1DAED19C9996}"/>
    <cellStyle name="60% - Énfasis2 12 3 2" xfId="21562" xr:uid="{64DB7E5A-95B0-4EB7-A173-B8340EBD9FAA}"/>
    <cellStyle name="60% - Énfasis2 12 3 3" xfId="27385" xr:uid="{7CF0309F-533B-490F-89F9-5C75F5BE15BB}"/>
    <cellStyle name="60% - Énfasis2 12 3 4" xfId="33267" xr:uid="{69CD27F7-D8D8-4DE0-92D9-EF3B1C1895FE}"/>
    <cellStyle name="60% - Énfasis2 12 3 5" xfId="39131" xr:uid="{8CE69E8D-466F-48D6-81C6-2196696DBE7D}"/>
    <cellStyle name="60% - Énfasis2 12 4" xfId="18798" xr:uid="{CEF960F9-55C7-408C-AC17-46B53618578D}"/>
    <cellStyle name="60% - Énfasis2 12 5" xfId="24536" xr:uid="{9011BBA3-72B9-4603-A0DB-B2DF27AD64F4}"/>
    <cellStyle name="60% - Énfasis2 12 6" xfId="30415" xr:uid="{5ED2D054-680A-4C96-81C1-4BCE07BA59EA}"/>
    <cellStyle name="60% - Énfasis2 12 7" xfId="36296" xr:uid="{62BFBFFE-F5E7-445D-A9DA-C9E925DA94EB}"/>
    <cellStyle name="60% - Énfasis2 13" xfId="4775" xr:uid="{1A387C0F-F549-42CE-B2A0-2DDC38C114DD}"/>
    <cellStyle name="60% - Énfasis2 13 2" xfId="7638" xr:uid="{7E4A666E-2C87-44A4-BFC0-BAF631B84291}"/>
    <cellStyle name="60% - Énfasis2 13 2 2" xfId="22031" xr:uid="{43C8B9BE-6E33-4209-8D20-E4575EDA82DD}"/>
    <cellStyle name="60% - Énfasis2 13 2 3" xfId="27872" xr:uid="{4BF684C6-0FFE-463C-B294-1E82B8D90F4D}"/>
    <cellStyle name="60% - Énfasis2 13 2 4" xfId="33754" xr:uid="{5BFD141A-1D88-4A07-80AD-DB0CD54375D6}"/>
    <cellStyle name="60% - Énfasis2 13 2 5" xfId="39618" xr:uid="{2077A263-C93E-4329-AC96-EAAA8794E2B8}"/>
    <cellStyle name="60% - Énfasis2 13 3" xfId="19257" xr:uid="{0D47EAC1-8E9B-4D97-B692-3CAB86504996}"/>
    <cellStyle name="60% - Énfasis2 13 4" xfId="25023" xr:uid="{CAE897C3-21CB-4BE8-845F-29090E5C8662}"/>
    <cellStyle name="60% - Énfasis2 13 5" xfId="30897" xr:uid="{C7D488C0-1B3E-4BA4-AA40-C0E7E5E25106}"/>
    <cellStyle name="60% - Énfasis2 13 6" xfId="36777" xr:uid="{0FC29562-484B-4F7D-B8EB-0EA91F4CAB4F}"/>
    <cellStyle name="60% - Énfasis2 14" xfId="5741" xr:uid="{6F9CBD68-A783-400E-A040-66C56AD33590}"/>
    <cellStyle name="60% - Énfasis2 14 2" xfId="8610" xr:uid="{362B019E-2B5B-4661-A0BB-D103C5A96D49}"/>
    <cellStyle name="60% - Énfasis2 14 2 2" xfId="22981" xr:uid="{A172E6C5-97CD-4C78-8B25-9F0BB27B6A31}"/>
    <cellStyle name="60% - Énfasis2 14 2 3" xfId="28843" xr:uid="{4F76AE30-8930-4BBB-B2D6-346AE6AC734D}"/>
    <cellStyle name="60% - Énfasis2 14 2 4" xfId="34725" xr:uid="{ACD35980-7813-4598-8CA4-2E73095090B1}"/>
    <cellStyle name="60% - Énfasis2 14 2 5" xfId="40589" xr:uid="{618A405B-81AF-40B3-AB5E-67548FADFDAA}"/>
    <cellStyle name="60% - Énfasis2 14 3" xfId="20199" xr:uid="{E626A3B9-474C-457F-8F10-C0D26D949453}"/>
    <cellStyle name="60% - Énfasis2 14 4" xfId="25993" xr:uid="{6BB42B3A-262B-49CA-98E9-B5F7A5F7448F}"/>
    <cellStyle name="60% - Énfasis2 14 5" xfId="31868" xr:uid="{0DDFAE43-7D77-43B0-952A-F28F539C74B6}"/>
    <cellStyle name="60% - Énfasis2 14 6" xfId="37734" xr:uid="{1D1589E3-FBE7-4E09-9DDA-B62D70D6941C}"/>
    <cellStyle name="60% - Énfasis2 15" xfId="5761" xr:uid="{5F6E4A2E-A8E2-4153-8458-E37631826869}"/>
    <cellStyle name="60% - Énfasis2 15 2" xfId="8630" xr:uid="{DCA4B8FC-0FE2-4D07-BEEE-81E21652CBF7}"/>
    <cellStyle name="60% - Énfasis2 15 2 2" xfId="23001" xr:uid="{FA3F5903-06EA-4725-B4B0-D5E5F320A25A}"/>
    <cellStyle name="60% - Énfasis2 15 2 3" xfId="28863" xr:uid="{DEF94802-C54D-48AC-A0BB-063A87F7C220}"/>
    <cellStyle name="60% - Énfasis2 15 2 4" xfId="34745" xr:uid="{32D24CF8-4CA9-4941-B575-BED106039329}"/>
    <cellStyle name="60% - Énfasis2 15 2 5" xfId="40609" xr:uid="{58B9F5E1-8401-49ED-8C77-91CC763EC1EA}"/>
    <cellStyle name="60% - Énfasis2 15 3" xfId="20218" xr:uid="{AAB838F7-6D19-433E-99A7-345080A92A39}"/>
    <cellStyle name="60% - Énfasis2 15 4" xfId="26013" xr:uid="{B1F11F0F-B78A-424F-8F96-1B1A490671B6}"/>
    <cellStyle name="60% - Énfasis2 15 5" xfId="31888" xr:uid="{1FAC1392-77DB-4650-AD8C-89914AE5795B}"/>
    <cellStyle name="60% - Énfasis2 15 6" xfId="37754" xr:uid="{BBBE60BD-1963-4B16-984A-49AA4581B30B}"/>
    <cellStyle name="60% - Énfasis2 16" xfId="5781" xr:uid="{15897DC7-9091-47D6-9828-995271EE1261}"/>
    <cellStyle name="60% - Énfasis2 16 2" xfId="8650" xr:uid="{ACC03AD5-B030-4517-B48D-665C5CB3BBB3}"/>
    <cellStyle name="60% - Énfasis2 16 2 2" xfId="23021" xr:uid="{2A8C5735-02C4-48CC-937F-D73E67BC1DCD}"/>
    <cellStyle name="60% - Énfasis2 16 2 3" xfId="28883" xr:uid="{42CAA027-C28E-4EB0-A9AA-2C7F38235302}"/>
    <cellStyle name="60% - Énfasis2 16 2 4" xfId="34765" xr:uid="{72954F69-D8D5-411C-84A6-AAACBC870D64}"/>
    <cellStyle name="60% - Énfasis2 16 2 5" xfId="40629" xr:uid="{D255C569-074D-460B-A812-8C0E136DC9A7}"/>
    <cellStyle name="60% - Énfasis2 16 3" xfId="20236" xr:uid="{1733CBC7-ADC5-4699-9776-C1F101D3F0C2}"/>
    <cellStyle name="60% - Énfasis2 16 4" xfId="26033" xr:uid="{40A392DF-9E3C-4063-92E0-8625994D56A6}"/>
    <cellStyle name="60% - Énfasis2 16 5" xfId="31908" xr:uid="{570CB3B7-D57F-4AD4-8F84-C25B4BC46775}"/>
    <cellStyle name="60% - Énfasis2 16 6" xfId="37774" xr:uid="{5CB909E9-AFE1-4A36-95FB-7CEA100D9E6A}"/>
    <cellStyle name="60% - Énfasis2 17" xfId="5980" xr:uid="{F3E70544-0557-492C-9FAB-8139B059A975}"/>
    <cellStyle name="60% - Énfasis2 17 2" xfId="8849" xr:uid="{BD43FA9C-EA75-4748-8E66-CBE9F340EA7A}"/>
    <cellStyle name="60% - Énfasis2 17 2 2" xfId="23213" xr:uid="{1779EFBF-1AAD-4542-A995-E1E0D6A83B6D}"/>
    <cellStyle name="60% - Énfasis2 17 2 3" xfId="29080" xr:uid="{0DDA3B26-E927-479B-B3BF-41D604912D89}"/>
    <cellStyle name="60% - Énfasis2 17 2 4" xfId="34962" xr:uid="{F9CDB807-F7CA-4C05-A2DB-EFFF12FF15C0}"/>
    <cellStyle name="60% - Énfasis2 17 2 5" xfId="40826" xr:uid="{1D86430A-0CA9-4E4D-9BA6-574B1B096E38}"/>
    <cellStyle name="60% - Énfasis2 17 3" xfId="20428" xr:uid="{09C43C58-20D2-4835-B3BE-797058DEE093}"/>
    <cellStyle name="60% - Énfasis2 17 4" xfId="26230" xr:uid="{6EEC6832-2AFD-4BE4-BCEE-2873DDA95543}"/>
    <cellStyle name="60% - Énfasis2 17 5" xfId="32105" xr:uid="{5FABCFE6-400C-4F88-B9AC-215C038E0767}"/>
    <cellStyle name="60% - Énfasis2 17 6" xfId="37970" xr:uid="{412223AC-9323-49E7-A9B0-052405321225}"/>
    <cellStyle name="60% - Énfasis2 18" xfId="6000" xr:uid="{BD1678D5-BF77-4698-8341-09C44EF57151}"/>
    <cellStyle name="60% - Énfasis2 18 2" xfId="8869" xr:uid="{9859A014-A6C2-4EC8-BC7E-B23895992ACE}"/>
    <cellStyle name="60% - Énfasis2 18 2 2" xfId="23233" xr:uid="{F8B359D3-E29F-40E8-BF6E-DD63AE7791CD}"/>
    <cellStyle name="60% - Énfasis2 18 2 3" xfId="29100" xr:uid="{B5B1E2CB-CB97-4E68-8D55-AA49BB19C2B3}"/>
    <cellStyle name="60% - Énfasis2 18 2 4" xfId="34982" xr:uid="{F9E31FF7-CB81-45FC-AEC6-1899DA2E1BB1}"/>
    <cellStyle name="60% - Énfasis2 18 2 5" xfId="40846" xr:uid="{CC62C358-57C6-41FC-B96B-D0B3C0CBDB20}"/>
    <cellStyle name="60% - Énfasis2 18 3" xfId="20448" xr:uid="{F333CFCE-B6C5-4AF6-A064-CF1EAEB2AA42}"/>
    <cellStyle name="60% - Énfasis2 18 4" xfId="26250" xr:uid="{4B6195E5-7E77-4AD0-BE38-423EBC59898D}"/>
    <cellStyle name="60% - Énfasis2 18 5" xfId="32125" xr:uid="{74635DC9-CD86-459E-92FA-9D20DAEA04AD}"/>
    <cellStyle name="60% - Énfasis2 18 6" xfId="37990" xr:uid="{AD0AC7D5-17B5-4B44-99B2-45B23530AF1D}"/>
    <cellStyle name="60% - Énfasis2 19" xfId="6020" xr:uid="{6218CF9B-3C0E-400B-98BC-4AA53D715D81}"/>
    <cellStyle name="60% - Énfasis2 19 2" xfId="8889" xr:uid="{CE5A8BB7-C38A-4606-83CC-7AF7F917BB06}"/>
    <cellStyle name="60% - Énfasis2 19 2 2" xfId="23253" xr:uid="{5C771824-25B9-4989-9965-34071B5F7722}"/>
    <cellStyle name="60% - Énfasis2 19 2 3" xfId="29120" xr:uid="{1564015E-1496-487D-8051-9C47E3BB1231}"/>
    <cellStyle name="60% - Énfasis2 19 2 4" xfId="35002" xr:uid="{2FBC4839-90AD-4CB0-A1F0-21F34A638CC6}"/>
    <cellStyle name="60% - Énfasis2 19 2 5" xfId="40866" xr:uid="{D9B41DC9-35BD-45BE-AF9E-99C29023CC9C}"/>
    <cellStyle name="60% - Énfasis2 19 3" xfId="20468" xr:uid="{36113C0A-3BCB-4877-A53F-6D900DD3576A}"/>
    <cellStyle name="60% - Énfasis2 19 4" xfId="26270" xr:uid="{53D974DA-38E6-4863-8B8D-3991F9331C4B}"/>
    <cellStyle name="60% - Énfasis2 19 5" xfId="32145" xr:uid="{2052AA4D-006E-4931-A7A8-3F90D9091838}"/>
    <cellStyle name="60% - Énfasis2 19 6" xfId="38010" xr:uid="{229278A0-D19F-48A6-B858-CF794036AF7A}"/>
    <cellStyle name="60% - Énfasis2 2" xfId="326" xr:uid="{00000000-0005-0000-0000-000012000000}"/>
    <cellStyle name="60% - Énfasis2 2 10" xfId="29944" xr:uid="{54CAAF27-93FF-444E-AE76-B85A70AD79B2}"/>
    <cellStyle name="60% - Énfasis2 2 11" xfId="35825" xr:uid="{D806BA5B-3FD7-4009-85DE-75D4EC0018F5}"/>
    <cellStyle name="60% - Énfasis2 2 2" xfId="3350" xr:uid="{684DC2B6-45A6-4F00-98B9-7ECE01D8DFB4}"/>
    <cellStyle name="60% - Énfasis2 2 3" xfId="4040" xr:uid="{96B37236-FDB0-4B2A-B967-7215C6B150C1}"/>
    <cellStyle name="60% - Énfasis2 2 3 2" xfId="4514" xr:uid="{967C99A2-A4AB-4447-999A-F078C09A8A4C}"/>
    <cellStyle name="60% - Énfasis2 2 3 2 2" xfId="5482" xr:uid="{6B42497B-6821-4769-83E7-7C0B90054F83}"/>
    <cellStyle name="60% - Énfasis2 2 3 2 2 2" xfId="8349" xr:uid="{696E0A88-DAEC-4A17-BDD9-3633AFB33E51}"/>
    <cellStyle name="60% - Énfasis2 2 3 2 2 2 2" xfId="22724" xr:uid="{9F20AE45-1559-4589-82BA-BC95758D4842}"/>
    <cellStyle name="60% - Énfasis2 2 3 2 2 2 3" xfId="28582" xr:uid="{8C02A512-2A08-4A76-AE75-DC4D7780C012}"/>
    <cellStyle name="60% - Énfasis2 2 3 2 2 2 4" xfId="34464" xr:uid="{A14A1751-4F1B-4F25-A21C-6FF8CBD9E88B}"/>
    <cellStyle name="60% - Énfasis2 2 3 2 2 2 5" xfId="40328" xr:uid="{58DEF023-8DDF-479E-AAC1-0B03233D79ED}"/>
    <cellStyle name="60% - Énfasis2 2 3 2 2 3" xfId="19943" xr:uid="{78A11752-8866-45A8-96DC-CD30A9D96FAA}"/>
    <cellStyle name="60% - Énfasis2 2 3 2 2 4" xfId="25733" xr:uid="{1E1A331F-1E9D-444B-897B-37E7004D3382}"/>
    <cellStyle name="60% - Énfasis2 2 3 2 2 5" xfId="31607" xr:uid="{27524A75-1E1E-4D6E-8B59-B16069A52798}"/>
    <cellStyle name="60% - Énfasis2 2 3 2 2 6" xfId="37477" xr:uid="{BBDFCD34-6F9E-4570-B098-8C7256A2CDD4}"/>
    <cellStyle name="60% - Énfasis2 2 3 2 3" xfId="7377" xr:uid="{A7CC842F-740C-40A6-8FC4-C558E91C48EE}"/>
    <cellStyle name="60% - Énfasis2 2 3 2 3 2" xfId="21779" xr:uid="{04963669-0A80-4941-B80F-10B70BE53769}"/>
    <cellStyle name="60% - Énfasis2 2 3 2 3 3" xfId="27611" xr:uid="{2DD75186-A5FF-4D5A-8FBB-F35B3FE0D3FE}"/>
    <cellStyle name="60% - Énfasis2 2 3 2 3 4" xfId="33493" xr:uid="{AA072A67-B1A4-425C-8672-819FF98475F2}"/>
    <cellStyle name="60% - Énfasis2 2 3 2 3 5" xfId="39357" xr:uid="{594BCA90-70D0-4E2B-8B29-DA67FC1841B4}"/>
    <cellStyle name="60% - Énfasis2 2 3 2 4" xfId="19013" xr:uid="{16F790AD-AAA8-48C3-8D42-47657E6C78B8}"/>
    <cellStyle name="60% - Énfasis2 2 3 2 5" xfId="24762" xr:uid="{10BB021E-A839-4D0A-ACD3-6F57D86A12DE}"/>
    <cellStyle name="60% - Énfasis2 2 3 2 6" xfId="30639" xr:uid="{CB5DC52F-FD66-4625-8D3E-1404BC59F70F}"/>
    <cellStyle name="60% - Énfasis2 2 3 2 7" xfId="36520" xr:uid="{3C573600-08FD-4673-B386-E1499F33E235}"/>
    <cellStyle name="60% - Énfasis2 2 3 3" xfId="4997" xr:uid="{8E369966-08EE-49A2-9999-EE5D930BF1CB}"/>
    <cellStyle name="60% - Énfasis2 2 3 3 2" xfId="7864" xr:uid="{82D36461-8F65-40FD-BABA-45F38876620B}"/>
    <cellStyle name="60% - Énfasis2 2 3 3 2 2" xfId="22249" xr:uid="{3C6B22E4-C005-4CA1-8B86-8FD20B324449}"/>
    <cellStyle name="60% - Énfasis2 2 3 3 2 3" xfId="28097" xr:uid="{B5E4AC92-2125-46C7-B880-867383F839A9}"/>
    <cellStyle name="60% - Énfasis2 2 3 3 2 4" xfId="33979" xr:uid="{3D9A7550-5956-4B34-9B89-80A4116FF3D9}"/>
    <cellStyle name="60% - Énfasis2 2 3 3 2 5" xfId="39843" xr:uid="{A329C1B0-0AD4-43E0-B36E-DF00DBAF6670}"/>
    <cellStyle name="60% - Énfasis2 2 3 3 3" xfId="19476" xr:uid="{A3B2B9C9-B125-43D6-B8E2-9D8F1B1982CC}"/>
    <cellStyle name="60% - Énfasis2 2 3 3 4" xfId="25248" xr:uid="{248F1073-219F-41B3-92B8-C54B56A6B855}"/>
    <cellStyle name="60% - Énfasis2 2 3 3 5" xfId="31122" xr:uid="{5DEA924C-6019-457A-813E-F44EE7D77C6C}"/>
    <cellStyle name="60% - Énfasis2 2 3 3 6" xfId="37000" xr:uid="{4C3AC3CB-06C1-4B47-B180-F4586BA778F4}"/>
    <cellStyle name="60% - Énfasis2 2 3 4" xfId="6892" xr:uid="{5C0B38FC-D4A7-479D-A9A7-9A505F38F40A}"/>
    <cellStyle name="60% - Énfasis2 2 3 4 2" xfId="21313" xr:uid="{AADA2E30-CEAB-429F-85A4-C140ADC10BE0}"/>
    <cellStyle name="60% - Énfasis2 2 3 4 3" xfId="27130" xr:uid="{1C61981B-CC5B-48C6-8E34-D965C74AC7F1}"/>
    <cellStyle name="60% - Énfasis2 2 3 4 4" xfId="33008" xr:uid="{B78253F3-D3AA-414D-8093-4ED0CC8F49CE}"/>
    <cellStyle name="60% - Énfasis2 2 3 4 5" xfId="38872" xr:uid="{F04896AE-DD75-4C61-B77F-007C7BF672C2}"/>
    <cellStyle name="60% - Énfasis2 2 3 5" xfId="18567" xr:uid="{FA3F8627-35C6-4488-984F-1D19CB07AA39}"/>
    <cellStyle name="60% - Énfasis2 2 3 6" xfId="24279" xr:uid="{8C4891B3-C1F8-4125-B910-D1ED4246BDCC}"/>
    <cellStyle name="60% - Énfasis2 2 3 7" xfId="30157" xr:uid="{0266E5A6-0842-4038-992F-2927AA3E41A6}"/>
    <cellStyle name="60% - Énfasis2 2 3 8" xfId="36036" xr:uid="{80B3D805-73D2-44EF-A20F-5EF536FDEDDF}"/>
    <cellStyle name="60% - Énfasis2 2 4" xfId="4320" xr:uid="{41F83DE5-B7A5-47C3-878C-3CF36D168961}"/>
    <cellStyle name="60% - Énfasis2 2 4 2" xfId="5286" xr:uid="{E720DF73-7924-4145-AB07-B73C61B43E3E}"/>
    <cellStyle name="60% - Énfasis2 2 4 2 2" xfId="8153" xr:uid="{6D204071-1DD7-4BAB-8767-6BDF8AFB2C7E}"/>
    <cellStyle name="60% - Énfasis2 2 4 2 2 2" xfId="22529" xr:uid="{247AA908-C90F-44E6-B454-F6189E4A9D33}"/>
    <cellStyle name="60% - Énfasis2 2 4 2 2 3" xfId="28386" xr:uid="{72802A36-A188-4645-ACB5-09E67E8BD279}"/>
    <cellStyle name="60% - Énfasis2 2 4 2 2 4" xfId="34268" xr:uid="{015FA9DB-1008-411C-9B5F-EC29664DA9A2}"/>
    <cellStyle name="60% - Énfasis2 2 4 2 2 5" xfId="40132" xr:uid="{60F3C7D0-6A86-483D-A27C-CC4FC9BEA01B}"/>
    <cellStyle name="60% - Énfasis2 2 4 2 3" xfId="19754" xr:uid="{3A97F6DD-B353-45FE-AB78-81AB0BC1C29A}"/>
    <cellStyle name="60% - Énfasis2 2 4 2 4" xfId="25537" xr:uid="{C6EEB27F-2D03-4497-858C-98116A67F6E1}"/>
    <cellStyle name="60% - Énfasis2 2 4 2 5" xfId="31411" xr:uid="{0CD897DD-3786-4621-A905-35296A1205F7}"/>
    <cellStyle name="60% - Énfasis2 2 4 2 6" xfId="37282" xr:uid="{3A584089-D745-4B16-B830-103AEE48F34D}"/>
    <cellStyle name="60% - Énfasis2 2 4 3" xfId="7181" xr:uid="{A4929406-CCC9-4238-ADA0-2AAB2C75BC1F}"/>
    <cellStyle name="60% - Énfasis2 2 4 3 2" xfId="21588" xr:uid="{985B925F-C85E-4756-AB43-8A5A17578CF6}"/>
    <cellStyle name="60% - Énfasis2 2 4 3 3" xfId="27415" xr:uid="{243CF31B-5082-4A71-8557-F57D3DDE6C19}"/>
    <cellStyle name="60% - Énfasis2 2 4 3 4" xfId="33297" xr:uid="{809E17CF-5087-408F-92BA-BF44B4B9E534}"/>
    <cellStyle name="60% - Énfasis2 2 4 3 5" xfId="39161" xr:uid="{DE1D4B95-8AC4-45C1-BBBB-DD162868524A}"/>
    <cellStyle name="60% - Énfasis2 2 4 4" xfId="18825" xr:uid="{35DC75CE-1A5A-47ED-B1FB-88C5F2CB257E}"/>
    <cellStyle name="60% - Énfasis2 2 4 5" xfId="24566" xr:uid="{123FD622-353D-43C3-83DE-2C7C0071BD33}"/>
    <cellStyle name="60% - Énfasis2 2 4 6" xfId="30445" xr:uid="{699D25C9-9ED9-4B55-A0C2-29F3F24A0991}"/>
    <cellStyle name="60% - Énfasis2 2 4 7" xfId="36325" xr:uid="{637143E0-4119-44E8-9F44-DB35B0A322DF}"/>
    <cellStyle name="60% - Énfasis2 2 5" xfId="4805" xr:uid="{1BAA722E-A1B8-43A0-A11A-48242F34DB67}"/>
    <cellStyle name="60% - Énfasis2 2 5 2" xfId="7668" xr:uid="{A31BD8B7-1F18-46FA-B36D-FCFB493A8A7E}"/>
    <cellStyle name="60% - Énfasis2 2 5 2 2" xfId="22059" xr:uid="{5A3A8FD8-1E8B-47ED-9939-831AED7D5ECF}"/>
    <cellStyle name="60% - Énfasis2 2 5 2 3" xfId="27901" xr:uid="{F8A85B2E-BEBF-4E10-8223-99F12DA308B7}"/>
    <cellStyle name="60% - Énfasis2 2 5 2 4" xfId="33783" xr:uid="{11687B6D-08E7-40B6-88AD-87D046A89253}"/>
    <cellStyle name="60% - Énfasis2 2 5 2 5" xfId="39647" xr:uid="{27929938-6EDF-4908-AA8C-238561678EB4}"/>
    <cellStyle name="60% - Énfasis2 2 5 3" xfId="19284" xr:uid="{F9B4D8C6-F3BF-446F-819C-78EDB1CA51F5}"/>
    <cellStyle name="60% - Énfasis2 2 5 4" xfId="25052" xr:uid="{414CA761-5215-4805-8069-CBB28A2233FA}"/>
    <cellStyle name="60% - Énfasis2 2 5 5" xfId="30926" xr:uid="{2FEB47B8-2975-47F3-A35F-B45891E316D9}"/>
    <cellStyle name="60% - Énfasis2 2 5 6" xfId="36805" xr:uid="{32D19F7B-2F45-4521-AD61-F5BD9EC79E0B}"/>
    <cellStyle name="60% - Énfasis2 2 6" xfId="5811" xr:uid="{B0FE6479-B3B3-4500-9A40-71FFE7BA236B}"/>
    <cellStyle name="60% - Énfasis2 2 6 2" xfId="8680" xr:uid="{FFA1FF5C-DE11-40BB-97EC-4D16118A8835}"/>
    <cellStyle name="60% - Énfasis2 2 6 2 2" xfId="23048" xr:uid="{20A85997-B6C9-4B68-B959-72F5E1E710A2}"/>
    <cellStyle name="60% - Énfasis2 2 6 2 3" xfId="28912" xr:uid="{B3868B4F-6B16-4FEC-B8B6-BA0A320E5C0F}"/>
    <cellStyle name="60% - Énfasis2 2 6 2 4" xfId="34794" xr:uid="{102E6C71-81C7-4099-954F-2026CF5B94D1}"/>
    <cellStyle name="60% - Énfasis2 2 6 2 5" xfId="40658" xr:uid="{57E0A045-556C-4103-8AC5-177A3563B1FB}"/>
    <cellStyle name="60% - Énfasis2 2 6 3" xfId="20263" xr:uid="{B4B79570-124B-4197-BF59-C4525C45C092}"/>
    <cellStyle name="60% - Énfasis2 2 6 4" xfId="26062" xr:uid="{A98A3DDE-1CFC-4332-BE3E-BABC63315578}"/>
    <cellStyle name="60% - Énfasis2 2 6 5" xfId="31937" xr:uid="{B082E5A8-8F22-4BC2-8453-89291E317A14}"/>
    <cellStyle name="60% - Énfasis2 2 6 6" xfId="37803" xr:uid="{834747C3-A91F-4676-B4D1-606283A38E38}"/>
    <cellStyle name="60% - Énfasis2 2 7" xfId="6697" xr:uid="{45DBFE1D-A654-4D63-8B64-E7C830A073DF}"/>
    <cellStyle name="60% - Énfasis2 2 7 2" xfId="21124" xr:uid="{14562AE3-BEA2-46EA-BB56-AF347107BE40}"/>
    <cellStyle name="60% - Énfasis2 2 7 3" xfId="26936" xr:uid="{3C5E1C24-AA97-4487-A4D9-9D981108D779}"/>
    <cellStyle name="60% - Énfasis2 2 7 4" xfId="32812" xr:uid="{4EE5D64B-DC34-449F-8286-42EA69325A34}"/>
    <cellStyle name="60% - Énfasis2 2 7 5" xfId="38676" xr:uid="{AD831106-EF95-4AA1-B394-C82F4CDA2760}"/>
    <cellStyle name="60% - Énfasis2 2 8" xfId="18358" xr:uid="{68AB64B8-3A86-42A9-AA68-1F1B962D4D02}"/>
    <cellStyle name="60% - Énfasis2 2 9" xfId="24066" xr:uid="{AADA6DE4-15A8-44F1-93E5-12E1F948ABD5}"/>
    <cellStyle name="60% - Énfasis2 20" xfId="6040" xr:uid="{6175B76D-4D17-47D5-A5E8-113A6D7A5C75}"/>
    <cellStyle name="60% - Énfasis2 20 2" xfId="8909" xr:uid="{1E4663C1-BA02-46D9-9009-5EEE90BA8D05}"/>
    <cellStyle name="60% - Énfasis2 20 2 2" xfId="23273" xr:uid="{D7CD643D-7AAE-415A-AD42-45F36F65B317}"/>
    <cellStyle name="60% - Énfasis2 20 2 3" xfId="29140" xr:uid="{D122613D-FEAE-40D9-B741-1767E372582E}"/>
    <cellStyle name="60% - Énfasis2 20 2 4" xfId="35022" xr:uid="{8487AF4A-8561-4FE8-BEC6-F245BA276F80}"/>
    <cellStyle name="60% - Énfasis2 20 2 5" xfId="40886" xr:uid="{863EAF82-D51E-4924-939E-29F39853ADDC}"/>
    <cellStyle name="60% - Énfasis2 20 3" xfId="20488" xr:uid="{3E151104-DAA7-4DF5-8349-A42EC3FCE24D}"/>
    <cellStyle name="60% - Énfasis2 20 4" xfId="26290" xr:uid="{A66CBE25-3220-427A-941C-771B868181F2}"/>
    <cellStyle name="60% - Énfasis2 20 5" xfId="32165" xr:uid="{F22ACF5F-9DAC-4F61-8914-7AD52B85022F}"/>
    <cellStyle name="60% - Énfasis2 20 6" xfId="38030" xr:uid="{DC4A2C71-E59C-4153-AFB8-B024253501E4}"/>
    <cellStyle name="60% - Énfasis2 21" xfId="6060" xr:uid="{EF09ADC2-9E80-4AB3-844E-747141A1045D}"/>
    <cellStyle name="60% - Énfasis2 21 2" xfId="8929" xr:uid="{1F63F523-D323-41D9-83BA-7B3C739B1307}"/>
    <cellStyle name="60% - Énfasis2 21 2 2" xfId="23293" xr:uid="{EF75F6FC-FE6F-4C70-A13F-2876CCA04146}"/>
    <cellStyle name="60% - Énfasis2 21 2 3" xfId="29160" xr:uid="{A4814CA7-0A0A-4BC3-ADE1-0847E1020491}"/>
    <cellStyle name="60% - Énfasis2 21 2 4" xfId="35042" xr:uid="{347EEE60-98C0-4854-A200-D635A17EF66A}"/>
    <cellStyle name="60% - Énfasis2 21 2 5" xfId="40906" xr:uid="{F9B4A3C5-754C-49B8-94A3-B09FEE97BAAC}"/>
    <cellStyle name="60% - Énfasis2 21 3" xfId="20508" xr:uid="{3F0538A6-D18F-4900-A7BE-A690917441F1}"/>
    <cellStyle name="60% - Énfasis2 21 4" xfId="26310" xr:uid="{F0F45225-4686-44EC-962B-C662A84824E2}"/>
    <cellStyle name="60% - Énfasis2 21 5" xfId="32185" xr:uid="{286D5A79-CFFB-477F-B799-B76B9DC92B51}"/>
    <cellStyle name="60% - Énfasis2 21 6" xfId="38050" xr:uid="{89245C0F-296E-4713-8438-3939F2B6B0FC}"/>
    <cellStyle name="60% - Énfasis2 22" xfId="6080" xr:uid="{906FD2CE-19F7-4921-99D8-D38079329F14}"/>
    <cellStyle name="60% - Énfasis2 22 2" xfId="8949" xr:uid="{CD7A4D19-9206-407B-873D-4A3F0C96027D}"/>
    <cellStyle name="60% - Énfasis2 22 2 2" xfId="23313" xr:uid="{1B2E6B97-57FB-4236-8B9D-BF54A723C766}"/>
    <cellStyle name="60% - Énfasis2 22 2 3" xfId="29180" xr:uid="{8022F7D8-B042-4C18-9C86-ECD54D018278}"/>
    <cellStyle name="60% - Énfasis2 22 2 4" xfId="35062" xr:uid="{576BBDFB-EF7F-4E36-B8AF-50937423ECEC}"/>
    <cellStyle name="60% - Énfasis2 22 2 5" xfId="40926" xr:uid="{B4C3730E-4548-4E56-8629-F41178F867B3}"/>
    <cellStyle name="60% - Énfasis2 22 3" xfId="20528" xr:uid="{89278371-F6C5-4085-87FA-BA9484232C5E}"/>
    <cellStyle name="60% - Énfasis2 22 4" xfId="26330" xr:uid="{49D125D0-9421-469E-B2F6-7B40D5A01167}"/>
    <cellStyle name="60% - Énfasis2 22 5" xfId="32205" xr:uid="{27349A21-E9B2-4DB5-A97C-F1E931D7F978}"/>
    <cellStyle name="60% - Énfasis2 22 6" xfId="38070" xr:uid="{00E790A9-1CE4-47D0-BB42-C8A29939D412}"/>
    <cellStyle name="60% - Énfasis2 23" xfId="6100" xr:uid="{A36F0707-78F0-427A-92E6-AFE87BE87AFE}"/>
    <cellStyle name="60% - Énfasis2 23 2" xfId="8969" xr:uid="{31F0D36C-3A1D-41B0-8B48-6B304CC80C65}"/>
    <cellStyle name="60% - Énfasis2 23 2 2" xfId="23333" xr:uid="{976A26F3-EAFE-4FE9-9A30-0A658912766D}"/>
    <cellStyle name="60% - Énfasis2 23 2 3" xfId="29200" xr:uid="{16D09F8B-25E1-4823-8F0D-BF58D15FE145}"/>
    <cellStyle name="60% - Énfasis2 23 2 4" xfId="35082" xr:uid="{031CB741-416B-4B67-B31D-7A4B056FEE92}"/>
    <cellStyle name="60% - Énfasis2 23 2 5" xfId="40946" xr:uid="{CA4A72CA-B65B-4285-88C6-33C47E6EDEDA}"/>
    <cellStyle name="60% - Énfasis2 23 3" xfId="20548" xr:uid="{D3FC7EA1-9253-475D-8B82-984CF51F246C}"/>
    <cellStyle name="60% - Énfasis2 23 4" xfId="26350" xr:uid="{1781F02E-2644-43B2-AE8E-45502B350315}"/>
    <cellStyle name="60% - Énfasis2 23 5" xfId="32225" xr:uid="{7E2DC7D6-94F7-4392-8505-B28CC3524A11}"/>
    <cellStyle name="60% - Énfasis2 23 6" xfId="38090" xr:uid="{D8806188-1B9B-45E1-A347-047DCD9281C5}"/>
    <cellStyle name="60% - Énfasis2 24" xfId="6120" xr:uid="{B38C4B4E-D21F-4136-B8B4-5E5B1A60B8B4}"/>
    <cellStyle name="60% - Énfasis2 24 2" xfId="8989" xr:uid="{30C4093B-CA56-4C5F-B63B-477E46B13958}"/>
    <cellStyle name="60% - Énfasis2 24 2 2" xfId="23353" xr:uid="{7AE90905-8820-47B3-A56D-E1A58D02028A}"/>
    <cellStyle name="60% - Énfasis2 24 2 3" xfId="29220" xr:uid="{BEB33454-44A9-4CEB-8A5A-B11AE0EDB532}"/>
    <cellStyle name="60% - Énfasis2 24 2 4" xfId="35102" xr:uid="{AD71BCF5-3BD2-4075-8BD9-A4D8405E219A}"/>
    <cellStyle name="60% - Énfasis2 24 2 5" xfId="40966" xr:uid="{A8D3E962-DE12-4519-B751-5B035A6F1C9A}"/>
    <cellStyle name="60% - Énfasis2 24 3" xfId="20568" xr:uid="{4F09BEE8-06DF-4156-98E1-5DC8D226EA7C}"/>
    <cellStyle name="60% - Énfasis2 24 4" xfId="26370" xr:uid="{CF669ABA-4C91-4FB5-941A-BED936365BCF}"/>
    <cellStyle name="60% - Énfasis2 24 5" xfId="32245" xr:uid="{6193F3BC-B20B-4EF2-92CE-672F8A7D3066}"/>
    <cellStyle name="60% - Énfasis2 24 6" xfId="38110" xr:uid="{9AF18E1A-AFB4-4722-A836-5812E1AD905F}"/>
    <cellStyle name="60% - Énfasis2 25" xfId="6140" xr:uid="{7914324A-15AA-4886-9B0E-778CFA4A7861}"/>
    <cellStyle name="60% - Énfasis2 25 2" xfId="9009" xr:uid="{766AD9CA-59AA-4111-A330-8E0FCECEF5EF}"/>
    <cellStyle name="60% - Énfasis2 25 2 2" xfId="23373" xr:uid="{BB614798-B095-4167-BE73-8A1589E24B31}"/>
    <cellStyle name="60% - Énfasis2 25 2 3" xfId="29240" xr:uid="{BE981170-BD7F-4895-984C-73D9755E6759}"/>
    <cellStyle name="60% - Énfasis2 25 2 4" xfId="35122" xr:uid="{4ECB6866-A9EA-47E2-8CB7-41EB78FDCA5E}"/>
    <cellStyle name="60% - Énfasis2 25 2 5" xfId="40985" xr:uid="{D1FBF016-1424-41C8-A318-1142BE78D71D}"/>
    <cellStyle name="60% - Énfasis2 25 3" xfId="20588" xr:uid="{745C311F-A924-4F67-B742-E3BD5FEAAB25}"/>
    <cellStyle name="60% - Énfasis2 25 4" xfId="26390" xr:uid="{8A203AD8-1451-4AD8-9399-7276310AD3B4}"/>
    <cellStyle name="60% - Énfasis2 25 5" xfId="32265" xr:uid="{D89E711B-9FB5-4C81-BF50-ABAFD614F510}"/>
    <cellStyle name="60% - Énfasis2 25 6" xfId="38130" xr:uid="{9301848A-B17F-4C84-A6AE-8D64E92412A6}"/>
    <cellStyle name="60% - Énfasis2 26" xfId="6160" xr:uid="{BE440741-8D0B-47C2-8220-C2A3EF02C8B6}"/>
    <cellStyle name="60% - Énfasis2 26 2" xfId="9029" xr:uid="{757FF8C2-870D-4AD9-9A56-BA456982D37A}"/>
    <cellStyle name="60% - Énfasis2 26 2 2" xfId="23393" xr:uid="{F508AAF5-5F69-409B-BD50-9522E4FFA96A}"/>
    <cellStyle name="60% - Énfasis2 26 2 3" xfId="29260" xr:uid="{06850757-CDBF-43D7-B375-B35FD3FB2254}"/>
    <cellStyle name="60% - Énfasis2 26 2 4" xfId="35142" xr:uid="{35B8BC99-7E17-4A71-9814-F481D77F574B}"/>
    <cellStyle name="60% - Énfasis2 26 2 5" xfId="41004" xr:uid="{82F4FF38-5C98-40B6-BF7A-D82754884A01}"/>
    <cellStyle name="60% - Énfasis2 26 3" xfId="20608" xr:uid="{BE2EDA63-B9CD-44E4-9408-0660C93400E9}"/>
    <cellStyle name="60% - Énfasis2 26 4" xfId="26410" xr:uid="{F43918EA-BC4E-4D1D-AE00-2174374DFD8F}"/>
    <cellStyle name="60% - Énfasis2 26 5" xfId="32285" xr:uid="{C9ED1F02-18C6-486A-BFDC-DA74BD9C464D}"/>
    <cellStyle name="60% - Énfasis2 26 6" xfId="38150" xr:uid="{5609EA84-6957-4C3D-B309-E896C356BD3A}"/>
    <cellStyle name="60% - Énfasis2 27" xfId="6180" xr:uid="{246D096E-5BCE-47EB-8B33-5A1BB885CF12}"/>
    <cellStyle name="60% - Énfasis2 27 2" xfId="9049" xr:uid="{2377CFBB-3130-49E1-8B0C-EF5E56B70176}"/>
    <cellStyle name="60% - Énfasis2 27 2 2" xfId="23413" xr:uid="{8361739E-3F41-4E41-B5C0-FE6441C4A455}"/>
    <cellStyle name="60% - Énfasis2 27 2 3" xfId="29280" xr:uid="{47D28C4A-D4CB-4E68-937B-D9E283AA8572}"/>
    <cellStyle name="60% - Énfasis2 27 2 4" xfId="35162" xr:uid="{E0DAB9CF-C3E7-4DC3-AF30-E4B24A933302}"/>
    <cellStyle name="60% - Énfasis2 27 2 5" xfId="41024" xr:uid="{EE147DB8-DA55-4640-8AFD-FDBC5D2312DD}"/>
    <cellStyle name="60% - Énfasis2 27 3" xfId="20628" xr:uid="{7A2F84FE-1C34-4A79-8652-F8ACF24E2BB5}"/>
    <cellStyle name="60% - Énfasis2 27 4" xfId="26430" xr:uid="{564420C7-388B-4B2A-8732-576D492FB324}"/>
    <cellStyle name="60% - Énfasis2 27 5" xfId="32305" xr:uid="{23D4B0C9-A6BB-4A4F-B2A4-17801F682B9F}"/>
    <cellStyle name="60% - Énfasis2 27 6" xfId="38170" xr:uid="{40EBC2FA-2CB9-40B4-89A8-DB062C08D784}"/>
    <cellStyle name="60% - Énfasis2 28" xfId="6202" xr:uid="{9BF8AFF0-9A39-4237-B3DA-F56DF28D5E22}"/>
    <cellStyle name="60% - Énfasis2 28 2" xfId="9071" xr:uid="{CCA7B4A8-3160-4D3A-8EF7-9EB02BE34729}"/>
    <cellStyle name="60% - Énfasis2 28 2 2" xfId="23435" xr:uid="{1C825D09-455C-45F7-9F59-8526D5CE8411}"/>
    <cellStyle name="60% - Énfasis2 28 2 3" xfId="29302" xr:uid="{DFB17FE2-355D-423E-B940-52C9560C8CCF}"/>
    <cellStyle name="60% - Énfasis2 28 2 4" xfId="35184" xr:uid="{9B4BE7D9-0C9E-4404-993D-92AF14E63FC1}"/>
    <cellStyle name="60% - Énfasis2 28 2 5" xfId="41045" xr:uid="{D5435B37-561F-4209-B6F8-A9F7D63381FA}"/>
    <cellStyle name="60% - Énfasis2 28 3" xfId="20650" xr:uid="{4F7F8650-9FEF-4373-AECC-11CC0FE973C2}"/>
    <cellStyle name="60% - Énfasis2 28 4" xfId="26452" xr:uid="{158B614D-8BBE-4C75-B6B8-0AED68954E79}"/>
    <cellStyle name="60% - Énfasis2 28 5" xfId="32327" xr:uid="{B987A109-57CF-480C-8A20-B569A9B4D8D4}"/>
    <cellStyle name="60% - Énfasis2 28 6" xfId="38192" xr:uid="{11E713B7-0082-4743-9833-68D36E6836C4}"/>
    <cellStyle name="60% - Énfasis2 29" xfId="6239" xr:uid="{C1717BF0-7D6F-4AFF-913E-0EB9E5ADF534}"/>
    <cellStyle name="60% - Énfasis2 29 2" xfId="9108" xr:uid="{EA47FCD1-99DB-4132-A45F-153BE9FEFFB8}"/>
    <cellStyle name="60% - Énfasis2 29 2 2" xfId="23472" xr:uid="{60CE950B-7C21-437D-81B2-A337734F7496}"/>
    <cellStyle name="60% - Énfasis2 29 2 3" xfId="29339" xr:uid="{1069DA6D-CD99-4207-964D-5803F906740D}"/>
    <cellStyle name="60% - Énfasis2 29 2 4" xfId="35221" xr:uid="{542E5ECC-43DF-4CCF-9E44-BF787A272E30}"/>
    <cellStyle name="60% - Énfasis2 29 2 5" xfId="41081" xr:uid="{78A3EF1D-D885-4E12-B50C-A5F654DC6496}"/>
    <cellStyle name="60% - Énfasis2 29 3" xfId="20680" xr:uid="{6A3A7719-0735-4F14-BAE7-1FF60446370E}"/>
    <cellStyle name="60% - Énfasis2 29 4" xfId="26489" xr:uid="{AECB77C4-5F4C-487C-8E0C-12A6A50B4F60}"/>
    <cellStyle name="60% - Énfasis2 29 5" xfId="32364" xr:uid="{49ED74E3-F33C-4022-8942-5F69426BA83F}"/>
    <cellStyle name="60% - Énfasis2 29 6" xfId="38229" xr:uid="{D8D31E57-DC72-4A83-9AC0-718BDEB4A6F7}"/>
    <cellStyle name="60% - Énfasis2 3" xfId="3862" xr:uid="{C02E9993-3F5C-4B75-ADB0-BA97FE7CAF70}"/>
    <cellStyle name="60% - Énfasis2 3 10" xfId="29971" xr:uid="{3595E048-BDBF-4424-A250-40A594CB0B7D}"/>
    <cellStyle name="60% - Énfasis2 3 11" xfId="35852" xr:uid="{990A03B9-74BA-4A3C-98E3-E018F9EA4A88}"/>
    <cellStyle name="60% - Énfasis2 3 2" xfId="4061" xr:uid="{FCDDB95E-0299-4B12-A263-5A4A99E5D735}"/>
    <cellStyle name="60% - Énfasis2 3 2 2" xfId="4539" xr:uid="{76ED5CD7-AB72-419D-BC6F-6D291335C300}"/>
    <cellStyle name="60% - Énfasis2 3 2 2 2" xfId="5507" xr:uid="{A5933A7A-C829-4030-81A8-6155D4DABED3}"/>
    <cellStyle name="60% - Énfasis2 3 2 2 2 2" xfId="8374" xr:uid="{6DB32D29-8EE7-43ED-A116-8CFA40AF9216}"/>
    <cellStyle name="60% - Énfasis2 3 2 2 2 2 2" xfId="22749" xr:uid="{8AD2A37A-6FF5-4EE1-9DBB-DBBB3F70EFB6}"/>
    <cellStyle name="60% - Énfasis2 3 2 2 2 2 3" xfId="28607" xr:uid="{C4E57D1C-FC91-4E22-B20F-81AE79D51DF3}"/>
    <cellStyle name="60% - Énfasis2 3 2 2 2 2 4" xfId="34489" xr:uid="{EBADBB60-74E8-4C11-BDC4-457CDE0A0EBE}"/>
    <cellStyle name="60% - Énfasis2 3 2 2 2 2 5" xfId="40353" xr:uid="{0CF7D351-B292-45AE-91C1-DD644E3BC9D0}"/>
    <cellStyle name="60% - Énfasis2 3 2 2 2 3" xfId="19967" xr:uid="{D1B60137-0BB2-4F54-9FA5-BEFC1AC8B802}"/>
    <cellStyle name="60% - Énfasis2 3 2 2 2 4" xfId="25758" xr:uid="{759E4A0C-EA09-430D-BCFA-A1DC118F8AF8}"/>
    <cellStyle name="60% - Énfasis2 3 2 2 2 5" xfId="31632" xr:uid="{31438479-99CD-4DAE-9BF4-B50826C0C625}"/>
    <cellStyle name="60% - Énfasis2 3 2 2 2 6" xfId="37502" xr:uid="{6C7EF9E7-33DC-42ED-B208-C3E8CB19EA02}"/>
    <cellStyle name="60% - Énfasis2 3 2 2 3" xfId="7402" xr:uid="{A31306E7-9EB4-4774-BAD4-66028DB291A9}"/>
    <cellStyle name="60% - Énfasis2 3 2 2 3 2" xfId="21804" xr:uid="{0B4F10D8-7BEA-4195-BE7E-4FDF87285974}"/>
    <cellStyle name="60% - Énfasis2 3 2 2 3 3" xfId="27636" xr:uid="{75CCD372-BEED-4AEE-800C-A1157197B696}"/>
    <cellStyle name="60% - Énfasis2 3 2 2 3 4" xfId="33518" xr:uid="{13B8D11B-3239-45C7-909D-A5E52271CDFF}"/>
    <cellStyle name="60% - Énfasis2 3 2 2 3 5" xfId="39382" xr:uid="{AEB3E214-2F87-4295-8E9E-82C9F2652ADF}"/>
    <cellStyle name="60% - Énfasis2 3 2 2 4" xfId="19035" xr:uid="{4DE06BDA-C7B8-4350-A9D1-E60FDFC22207}"/>
    <cellStyle name="60% - Énfasis2 3 2 2 5" xfId="24787" xr:uid="{61DBF467-14A5-4AFF-9251-5F6FE8A5BDE3}"/>
    <cellStyle name="60% - Énfasis2 3 2 2 6" xfId="30664" xr:uid="{DD561747-CFF2-4FCD-827C-32377C236DBC}"/>
    <cellStyle name="60% - Énfasis2 3 2 2 7" xfId="36545" xr:uid="{8C8757D7-8106-4A46-9620-AEE0B9E9FFFB}"/>
    <cellStyle name="60% - Énfasis2 3 2 3" xfId="5022" xr:uid="{C4D7183C-B0D6-4DD8-A64E-1149EDE0312D}"/>
    <cellStyle name="60% - Énfasis2 3 2 3 2" xfId="7889" xr:uid="{9E922467-2C3A-44E9-9F3D-D04E043C08D5}"/>
    <cellStyle name="60% - Énfasis2 3 2 3 2 2" xfId="22274" xr:uid="{B2D1B187-690E-4147-8E21-5494A57B2729}"/>
    <cellStyle name="60% - Énfasis2 3 2 3 2 3" xfId="28122" xr:uid="{52860D1E-C87C-4FE0-ABD2-BBA4B8A4C276}"/>
    <cellStyle name="60% - Énfasis2 3 2 3 2 4" xfId="34004" xr:uid="{68480870-5627-4A9C-B133-53241817F265}"/>
    <cellStyle name="60% - Énfasis2 3 2 3 2 5" xfId="39868" xr:uid="{27BBA50C-6142-4BAD-999A-9B51F4441E46}"/>
    <cellStyle name="60% - Énfasis2 3 2 3 3" xfId="19500" xr:uid="{168CAEC3-0DEE-4A68-89DE-50A8B9B48E3D}"/>
    <cellStyle name="60% - Énfasis2 3 2 3 4" xfId="25273" xr:uid="{A5170E9F-66FA-4989-80E5-F2EFE1DF1F2B}"/>
    <cellStyle name="60% - Énfasis2 3 2 3 5" xfId="31147" xr:uid="{E3803C02-BED9-4387-B9C9-6ECC966EFA31}"/>
    <cellStyle name="60% - Énfasis2 3 2 3 6" xfId="37025" xr:uid="{F2179FB0-6814-49F8-8CCF-A9077C8D6521}"/>
    <cellStyle name="60% - Énfasis2 3 2 4" xfId="6917" xr:uid="{F82AA24B-C465-4F46-9E10-DF8DF6F4EEE6}"/>
    <cellStyle name="60% - Énfasis2 3 2 4 2" xfId="21337" xr:uid="{69E8D68F-4B04-46EA-9575-C639A9AFACF1}"/>
    <cellStyle name="60% - Énfasis2 3 2 4 3" xfId="27155" xr:uid="{C0711DCB-573B-4390-853E-00EA9669EDA1}"/>
    <cellStyle name="60% - Énfasis2 3 2 4 4" xfId="33033" xr:uid="{53260BD5-1C86-43FE-8DED-E5CD3638D6E6}"/>
    <cellStyle name="60% - Énfasis2 3 2 4 5" xfId="38897" xr:uid="{4EA740EF-4268-4A28-928B-B437F7ABFB03}"/>
    <cellStyle name="60% - Énfasis2 3 2 5" xfId="18592" xr:uid="{A1C93A0D-70F6-496A-8868-C604E706083D}"/>
    <cellStyle name="60% - Énfasis2 3 2 6" xfId="24304" xr:uid="{CC50F809-38A5-4800-BFAF-61AA74BC8FE1}"/>
    <cellStyle name="60% - Énfasis2 3 2 7" xfId="30182" xr:uid="{4C78C592-4D8A-4F2C-8335-53A3B2BD68B2}"/>
    <cellStyle name="60% - Énfasis2 3 2 8" xfId="36061" xr:uid="{3136A842-BD0A-4514-AF20-9678BBA4B47A}"/>
    <cellStyle name="60% - Énfasis2 3 3" xfId="4345" xr:uid="{D411C26B-C90E-4038-B738-78AFCC1B0BB9}"/>
    <cellStyle name="60% - Énfasis2 3 3 2" xfId="5311" xr:uid="{5C915002-3D9C-4495-873F-385AF086FCDC}"/>
    <cellStyle name="60% - Énfasis2 3 3 2 2" xfId="8178" xr:uid="{1C6C6D83-F806-47AE-BC01-3145A1A42AC2}"/>
    <cellStyle name="60% - Énfasis2 3 3 2 2 2" xfId="22554" xr:uid="{96E016D5-5B29-45AA-9F3B-8EBF2476FB5A}"/>
    <cellStyle name="60% - Énfasis2 3 3 2 2 3" xfId="28411" xr:uid="{10193A7C-758D-4EBE-926F-9281BF5D426E}"/>
    <cellStyle name="60% - Énfasis2 3 3 2 2 4" xfId="34293" xr:uid="{EC536DED-03CB-40A2-9499-AEF444C681DB}"/>
    <cellStyle name="60% - Énfasis2 3 3 2 2 5" xfId="40157" xr:uid="{8C44C287-4BA0-4D40-8C9F-9A061212EBE5}"/>
    <cellStyle name="60% - Énfasis2 3 3 2 3" xfId="19779" xr:uid="{55AEE302-1EEC-4919-A01D-9B40BF6EDADC}"/>
    <cellStyle name="60% - Énfasis2 3 3 2 4" xfId="25562" xr:uid="{AB3E6EDB-356B-4F51-9135-0156F6D170F2}"/>
    <cellStyle name="60% - Énfasis2 3 3 2 5" xfId="31436" xr:uid="{DABAADBD-712E-4CC8-984C-F488447E3350}"/>
    <cellStyle name="60% - Énfasis2 3 3 2 6" xfId="37307" xr:uid="{130A6E93-265E-482B-B456-8E571E2EF9E3}"/>
    <cellStyle name="60% - Énfasis2 3 3 3" xfId="7206" xr:uid="{235130A3-D386-4CC7-BA01-D17BD7367BBA}"/>
    <cellStyle name="60% - Énfasis2 3 3 3 2" xfId="21613" xr:uid="{A0A4EDA8-E640-4DA1-B6EE-1C340B1A33B5}"/>
    <cellStyle name="60% - Énfasis2 3 3 3 3" xfId="27440" xr:uid="{621AEA45-B95F-41C8-BFBA-AD4573F9BA2B}"/>
    <cellStyle name="60% - Énfasis2 3 3 3 4" xfId="33322" xr:uid="{7462C3CF-7190-40E5-96E8-A88E2ABC18A0}"/>
    <cellStyle name="60% - Énfasis2 3 3 3 5" xfId="39186" xr:uid="{5C0882F2-4955-41B6-BEB4-7CDE24D3DE99}"/>
    <cellStyle name="60% - Énfasis2 3 3 4" xfId="18850" xr:uid="{C54145FB-D1D4-4C10-BF12-45B2A5A68F9A}"/>
    <cellStyle name="60% - Énfasis2 3 3 5" xfId="24591" xr:uid="{A5F1F45C-1D79-4263-B39E-43E397A04177}"/>
    <cellStyle name="60% - Énfasis2 3 3 6" xfId="30470" xr:uid="{420A154F-EE1A-40FC-A17A-0489E9561444}"/>
    <cellStyle name="60% - Énfasis2 3 3 7" xfId="36350" xr:uid="{8FEFDBCC-0A14-4A40-8EFD-49E71405A379}"/>
    <cellStyle name="60% - Énfasis2 3 4" xfId="4827" xr:uid="{8267DFDE-17ED-47ED-8F6D-2B8FDF9B381D}"/>
    <cellStyle name="60% - Énfasis2 3 4 2" xfId="7693" xr:uid="{4A885A71-2833-4421-943C-CF2CF118118A}"/>
    <cellStyle name="60% - Énfasis2 3 4 2 2" xfId="22083" xr:uid="{D70B2919-2F73-4010-AAB5-BA9B89C6AD72}"/>
    <cellStyle name="60% - Énfasis2 3 4 2 3" xfId="27926" xr:uid="{D2CA39FC-4B24-41BC-8373-C3E43A6FC8CC}"/>
    <cellStyle name="60% - Énfasis2 3 4 2 4" xfId="33808" xr:uid="{C2CDEC16-4C12-4613-8DE9-67AE30DA86ED}"/>
    <cellStyle name="60% - Énfasis2 3 4 2 5" xfId="39672" xr:uid="{DE682B9D-5B28-494F-81A7-A8B8012B7817}"/>
    <cellStyle name="60% - Énfasis2 3 4 3" xfId="19309" xr:uid="{28B1429F-C755-4F25-8065-333F56129B70}"/>
    <cellStyle name="60% - Énfasis2 3 4 4" xfId="25077" xr:uid="{1A233A57-8AC1-4EC1-AFD0-13082079F27C}"/>
    <cellStyle name="60% - Énfasis2 3 4 5" xfId="30951" xr:uid="{C7B95E33-D540-42B9-903F-1B6D3F34DA7D}"/>
    <cellStyle name="60% - Énfasis2 3 4 6" xfId="36830" xr:uid="{6A047A35-D48A-4894-8D1C-68631A25266A}"/>
    <cellStyle name="60% - Énfasis2 3 5" xfId="5836" xr:uid="{6153F742-5375-4358-A168-2B71A46B871A}"/>
    <cellStyle name="60% - Énfasis2 3 5 2" xfId="8705" xr:uid="{2ABC5D67-103D-4430-805D-DCD821D1260C}"/>
    <cellStyle name="60% - Énfasis2 3 5 2 2" xfId="23073" xr:uid="{317CFF90-C749-4294-BB66-05FE2109C13A}"/>
    <cellStyle name="60% - Énfasis2 3 5 2 3" xfId="28937" xr:uid="{B4B7DF64-A729-4E3F-8DE4-F4D3100F937E}"/>
    <cellStyle name="60% - Énfasis2 3 5 2 4" xfId="34819" xr:uid="{A6F43678-C20B-4D0B-BBA8-AAE75237B88C}"/>
    <cellStyle name="60% - Énfasis2 3 5 2 5" xfId="40683" xr:uid="{75F4B23C-B4DE-4C8A-B3D6-8E8B0540B339}"/>
    <cellStyle name="60% - Énfasis2 3 5 3" xfId="20288" xr:uid="{5834334A-BE90-4753-BB18-EE114A83BECA}"/>
    <cellStyle name="60% - Énfasis2 3 5 4" xfId="26087" xr:uid="{532FBC15-554E-49D7-AA34-7CFF2A0A29DF}"/>
    <cellStyle name="60% - Énfasis2 3 5 5" xfId="31962" xr:uid="{48716786-A18C-45A5-9E3F-5B7048A59E55}"/>
    <cellStyle name="60% - Énfasis2 3 5 6" xfId="37828" xr:uid="{B455A36E-B54A-4CED-8BBE-9811A0FA99EB}"/>
    <cellStyle name="60% - Énfasis2 3 6" xfId="6445" xr:uid="{BE426942-89D7-4446-A92B-F262F856A311}"/>
    <cellStyle name="60% - Énfasis2 3 6 2" xfId="9305" xr:uid="{FA14B0DC-E49C-4478-8738-F9C2BBC7F4B1}"/>
    <cellStyle name="60% - Énfasis2 3 6 2 2" xfId="23668" xr:uid="{F4285645-43A3-40F5-A3DD-C34E5D80BD47}"/>
    <cellStyle name="60% - Énfasis2 3 6 2 3" xfId="29536" xr:uid="{6830B983-E05B-49BC-B267-9E2C059F027E}"/>
    <cellStyle name="60% - Énfasis2 3 6 2 4" xfId="35418" xr:uid="{A7F4C8DA-86E4-4C58-9566-65767F49A6AA}"/>
    <cellStyle name="60% - Énfasis2 3 6 2 5" xfId="41277" xr:uid="{101F1B4D-6C55-4C02-8E84-1C5DE0F36D41}"/>
    <cellStyle name="60% - Énfasis2 3 6 3" xfId="20884" xr:uid="{0D67B0C1-7B19-47C7-A465-B4F94B04B849}"/>
    <cellStyle name="60% - Énfasis2 3 6 4" xfId="26694" xr:uid="{F4196620-9C87-4BDA-8F0A-BFE920C70BE5}"/>
    <cellStyle name="60% - Énfasis2 3 6 5" xfId="32569" xr:uid="{C717AF2B-01DB-4F7D-A26D-FD14B157979A}"/>
    <cellStyle name="60% - Énfasis2 3 6 6" xfId="38433" xr:uid="{C0EF6A4D-357C-473C-83D5-6AF59C2FC2B7}"/>
    <cellStyle name="60% - Énfasis2 3 7" xfId="6722" xr:uid="{772D8090-45F7-4AC1-AB08-6107D6D6D6C4}"/>
    <cellStyle name="60% - Énfasis2 3 7 2" xfId="21146" xr:uid="{7511136A-65AF-45DC-8A6A-920AF94B773A}"/>
    <cellStyle name="60% - Énfasis2 3 7 3" xfId="26961" xr:uid="{C8D3232D-C826-45C3-B1A5-CAAA7D765373}"/>
    <cellStyle name="60% - Énfasis2 3 7 4" xfId="32837" xr:uid="{D92F8834-2EC4-47AF-9067-FCE0F183125C}"/>
    <cellStyle name="60% - Énfasis2 3 7 5" xfId="38701" xr:uid="{FE74B25C-70D0-43BD-940D-72C32BA244FD}"/>
    <cellStyle name="60% - Énfasis2 3 8" xfId="18384" xr:uid="{7DC26A74-5E52-4B7F-A28C-ADC122F5F06E}"/>
    <cellStyle name="60% - Énfasis2 3 9" xfId="24093" xr:uid="{F88CAE7C-A41E-42CB-B94D-06A7BF0A1BE2}"/>
    <cellStyle name="60% - Énfasis2 30" xfId="6259" xr:uid="{AF342060-292F-432B-9528-ECC68746CC90}"/>
    <cellStyle name="60% - Énfasis2 30 2" xfId="9128" xr:uid="{81101F80-61D7-4315-9C6F-06DAD6E99F75}"/>
    <cellStyle name="60% - Énfasis2 30 2 2" xfId="23492" xr:uid="{68F61271-F2F5-4E07-A646-A6BD8E0EDBC1}"/>
    <cellStyle name="60% - Énfasis2 30 2 3" xfId="29359" xr:uid="{27059721-CCCD-42D3-9869-C24FCDA766F9}"/>
    <cellStyle name="60% - Énfasis2 30 2 4" xfId="35241" xr:uid="{53B955F0-2BA6-4EA4-A1A0-C0B872537DA5}"/>
    <cellStyle name="60% - Énfasis2 30 2 5" xfId="41100" xr:uid="{6B933023-3280-45E1-A731-A28C00C79280}"/>
    <cellStyle name="60% - Énfasis2 30 3" xfId="20700" xr:uid="{D07064AF-94F2-4587-BE53-0269F5EAFBDD}"/>
    <cellStyle name="60% - Énfasis2 30 4" xfId="26509" xr:uid="{840C8F70-FB73-4619-BA41-3BDF2FACD8AD}"/>
    <cellStyle name="60% - Énfasis2 30 5" xfId="32384" xr:uid="{44B818AA-BF01-445F-A7D5-4A862E9E8A9A}"/>
    <cellStyle name="60% - Énfasis2 30 6" xfId="38249" xr:uid="{E27FED33-09B5-4E64-A391-44F3A0DF26F9}"/>
    <cellStyle name="60% - Énfasis2 31" xfId="6279" xr:uid="{586C05C0-7BA3-4A77-B4C7-6F519E0C42AF}"/>
    <cellStyle name="60% - Énfasis2 31 2" xfId="9148" xr:uid="{7C33CE06-C9E5-4026-A152-6F63DDCBF162}"/>
    <cellStyle name="60% - Énfasis2 31 2 2" xfId="23512" xr:uid="{337E2EE3-6E4C-494B-BDFC-80E791056E4F}"/>
    <cellStyle name="60% - Énfasis2 31 2 3" xfId="29379" xr:uid="{555531B9-1771-491A-A9BF-513D9E9AF52F}"/>
    <cellStyle name="60% - Énfasis2 31 2 4" xfId="35261" xr:uid="{723B87F5-8E5C-4B43-B180-E35E6C6C0148}"/>
    <cellStyle name="60% - Énfasis2 31 2 5" xfId="41120" xr:uid="{91ED03D1-516C-419F-B6B7-C7F97D161647}"/>
    <cellStyle name="60% - Énfasis2 31 3" xfId="20720" xr:uid="{88678182-3F91-4E1A-BF9F-590EAE0C96D9}"/>
    <cellStyle name="60% - Énfasis2 31 4" xfId="26529" xr:uid="{4CE50B8D-18BB-4EE6-8CEA-5F2DC08DBE3F}"/>
    <cellStyle name="60% - Énfasis2 31 5" xfId="32404" xr:uid="{1CF2772A-571C-40FF-8F2F-AC3226042353}"/>
    <cellStyle name="60% - Énfasis2 31 6" xfId="38269" xr:uid="{77271812-53D1-4EBD-B01C-EE93C52EA82C}"/>
    <cellStyle name="60% - Énfasis2 32" xfId="6303" xr:uid="{70C01C04-6D88-496F-A7D3-9D74BB418B2C}"/>
    <cellStyle name="60% - Énfasis2 32 2" xfId="9171" xr:uid="{9E0AAE65-28DD-401E-8935-565690E749EC}"/>
    <cellStyle name="60% - Énfasis2 32 2 2" xfId="23535" xr:uid="{6C46A5CC-3808-4272-93F1-81844A73626E}"/>
    <cellStyle name="60% - Énfasis2 32 2 3" xfId="29402" xr:uid="{984E6807-6668-4C69-BAF3-63F0D9028BE0}"/>
    <cellStyle name="60% - Énfasis2 32 2 4" xfId="35284" xr:uid="{91B2C4A0-822C-4F96-9E4E-DC5676A9766B}"/>
    <cellStyle name="60% - Énfasis2 32 2 5" xfId="41143" xr:uid="{10DD723E-E8E3-4949-A7D5-5DE4C96BE329}"/>
    <cellStyle name="60% - Énfasis2 32 3" xfId="20744" xr:uid="{6771E959-33AF-4F11-BA78-C713A8AC7500}"/>
    <cellStyle name="60% - Énfasis2 32 4" xfId="26553" xr:uid="{F946BE29-9E8A-45F6-939D-FAD4E36A2D55}"/>
    <cellStyle name="60% - Énfasis2 32 5" xfId="32428" xr:uid="{C06EDA97-136B-4876-A511-EE526CF79D15}"/>
    <cellStyle name="60% - Énfasis2 32 6" xfId="38293" xr:uid="{B7D48758-F6A1-4207-BB86-E41252E43C08}"/>
    <cellStyle name="60% - Énfasis2 33" xfId="6335" xr:uid="{16CF2DFC-516C-42C7-A99C-F8D88CF19E79}"/>
    <cellStyle name="60% - Énfasis2 33 2" xfId="9200" xr:uid="{586F5707-0988-4F5A-A60B-E3186257E612}"/>
    <cellStyle name="60% - Énfasis2 33 2 2" xfId="23563" xr:uid="{DFE75AD4-8012-452C-9A82-67B0B28A4156}"/>
    <cellStyle name="60% - Énfasis2 33 2 3" xfId="29431" xr:uid="{330C2232-7562-40C2-B7BC-19E2B89A92C5}"/>
    <cellStyle name="60% - Énfasis2 33 2 4" xfId="35313" xr:uid="{E08C3642-B655-44C0-9103-6C0BDA767F84}"/>
    <cellStyle name="60% - Énfasis2 33 2 5" xfId="41172" xr:uid="{A18984EB-C3EE-4464-B4EE-03967CA87BB7}"/>
    <cellStyle name="60% - Énfasis2 33 3" xfId="20776" xr:uid="{3DDE0686-D988-47C0-AAAB-73DBBC4E9464}"/>
    <cellStyle name="60% - Énfasis2 33 4" xfId="26585" xr:uid="{0EE0F3A5-92FA-4388-9ECE-A3811E644E21}"/>
    <cellStyle name="60% - Énfasis2 33 5" xfId="32460" xr:uid="{5B67FD9B-0E88-4C85-82C4-C1371C575AD3}"/>
    <cellStyle name="60% - Énfasis2 33 6" xfId="38324" xr:uid="{D2A6078A-F7D2-40A5-9944-8A2FDF2ED6C8}"/>
    <cellStyle name="60% - Énfasis2 34" xfId="6355" xr:uid="{3A2BF0A6-F83F-4E05-AD5C-6FEFC2B2A492}"/>
    <cellStyle name="60% - Énfasis2 34 2" xfId="9220" xr:uid="{3BAEC7B3-DFEF-4CCC-9D71-925E0F12F4AB}"/>
    <cellStyle name="60% - Énfasis2 34 2 2" xfId="23583" xr:uid="{94C11F15-1C3F-4ACF-827C-345B9D88E043}"/>
    <cellStyle name="60% - Énfasis2 34 2 3" xfId="29451" xr:uid="{9AC8E397-03EC-4B36-8582-6DE9161F6C87}"/>
    <cellStyle name="60% - Énfasis2 34 2 4" xfId="35333" xr:uid="{E3B7B252-E7CE-4D72-A1E3-B13B3C4FE7A9}"/>
    <cellStyle name="60% - Énfasis2 34 2 5" xfId="41192" xr:uid="{36F1525F-4D54-4267-AF39-64B03B85BCBA}"/>
    <cellStyle name="60% - Énfasis2 34 3" xfId="20796" xr:uid="{DD5E1051-75BA-46FE-B52F-EBF2C6B3B5EB}"/>
    <cellStyle name="60% - Énfasis2 34 4" xfId="26605" xr:uid="{F90561AC-2779-431E-85E6-7B2CC524E858}"/>
    <cellStyle name="60% - Énfasis2 34 5" xfId="32480" xr:uid="{AAAD191F-B6E3-4FFC-B94A-5CF0D3641BA5}"/>
    <cellStyle name="60% - Énfasis2 34 6" xfId="38344" xr:uid="{FD980F92-BDF7-4BBA-A3E2-09CAB31D6A83}"/>
    <cellStyle name="60% - Énfasis2 35" xfId="6375" xr:uid="{E9AF4BBE-920C-4E92-9D02-788E4F83621F}"/>
    <cellStyle name="60% - Énfasis2 35 2" xfId="9240" xr:uid="{AD10DB6D-4520-453B-A2B9-D83E6805467D}"/>
    <cellStyle name="60% - Énfasis2 35 2 2" xfId="23603" xr:uid="{2258390F-609E-41C7-BA86-9E8147D43C73}"/>
    <cellStyle name="60% - Énfasis2 35 2 3" xfId="29471" xr:uid="{24FE6D37-15A3-405B-B8EA-D01EF15B202B}"/>
    <cellStyle name="60% - Énfasis2 35 2 4" xfId="35353" xr:uid="{451A6514-20E8-416E-AA0A-3B91A0944A8A}"/>
    <cellStyle name="60% - Énfasis2 35 2 5" xfId="41212" xr:uid="{D50EF9C8-5BAA-4280-ABDE-1A244FCCDA32}"/>
    <cellStyle name="60% - Énfasis2 35 3" xfId="20816" xr:uid="{45D3D987-B21B-413B-910B-526123D9AD68}"/>
    <cellStyle name="60% - Énfasis2 35 4" xfId="26625" xr:uid="{054A08C6-C6AD-44A0-AB6F-0632D07BF3CD}"/>
    <cellStyle name="60% - Énfasis2 35 5" xfId="32500" xr:uid="{3C3B6D4A-B516-43F3-8428-7A558941CEB0}"/>
    <cellStyle name="60% - Énfasis2 35 6" xfId="38364" xr:uid="{5FB4214C-B63C-457A-B148-052580C51316}"/>
    <cellStyle name="60% - Énfasis2 36" xfId="6396" xr:uid="{D8F2BC8F-CC18-45FC-818D-0C355896B02C}"/>
    <cellStyle name="60% - Énfasis2 36 2" xfId="9261" xr:uid="{8A8B2C26-5F49-4189-87D1-A1F0AA23E71C}"/>
    <cellStyle name="60% - Énfasis2 36 2 2" xfId="23624" xr:uid="{F3C2E234-A20E-4AA1-8783-32914613B95F}"/>
    <cellStyle name="60% - Énfasis2 36 2 3" xfId="29492" xr:uid="{AF01C5E2-97D7-45D1-B1BA-60D0EBE80B11}"/>
    <cellStyle name="60% - Énfasis2 36 2 4" xfId="35374" xr:uid="{416FE9AA-2012-4699-A010-6C7DBC6FB82C}"/>
    <cellStyle name="60% - Énfasis2 36 2 5" xfId="41233" xr:uid="{58F82692-6DD4-4376-A055-0EF2BF490E1C}"/>
    <cellStyle name="60% - Énfasis2 36 3" xfId="20837" xr:uid="{88ED4FB8-41AA-4684-AC40-7AB328CD51CC}"/>
    <cellStyle name="60% - Énfasis2 36 4" xfId="26646" xr:uid="{6FFBD41D-B5FA-4F93-B8CE-CACC4A837005}"/>
    <cellStyle name="60% - Énfasis2 36 5" xfId="32521" xr:uid="{4C06CA13-DE9A-4C69-A34A-9A6B9CEC6CE9}"/>
    <cellStyle name="60% - Énfasis2 36 6" xfId="38385" xr:uid="{9DFCAFFC-34AB-4E5A-880B-71AB1C0E4542}"/>
    <cellStyle name="60% - Énfasis2 37" xfId="6425" xr:uid="{36709A38-2DD4-41A0-8712-064EF86BAB17}"/>
    <cellStyle name="60% - Énfasis2 37 2" xfId="9287" xr:uid="{5BBF06B8-772C-4242-AF74-A62A415756CD}"/>
    <cellStyle name="60% - Énfasis2 37 2 2" xfId="23650" xr:uid="{9039B994-0D73-41E0-94BB-2EBCC86E73FC}"/>
    <cellStyle name="60% - Énfasis2 37 2 3" xfId="29518" xr:uid="{86A6B39D-C27A-496D-A74C-002A2AD02708}"/>
    <cellStyle name="60% - Énfasis2 37 2 4" xfId="35400" xr:uid="{FDEB75AE-E626-4D45-9B04-3963718D6D5B}"/>
    <cellStyle name="60% - Énfasis2 37 2 5" xfId="41259" xr:uid="{1BC7EA13-5015-410D-A190-3BC3190A01B6}"/>
    <cellStyle name="60% - Énfasis2 37 3" xfId="20866" xr:uid="{FF1E23C7-1E46-4EE9-84DA-97BDBC4F6AA9}"/>
    <cellStyle name="60% - Énfasis2 37 4" xfId="26675" xr:uid="{4D3FEF8F-6001-46D8-B77B-91589E8469F2}"/>
    <cellStyle name="60% - Énfasis2 37 5" xfId="32550" xr:uid="{6CA14B0B-95C0-42A8-B3E3-39D8B9493DE3}"/>
    <cellStyle name="60% - Énfasis2 37 6" xfId="38414" xr:uid="{61BD7027-080C-474C-A4C3-6B56D0C61327}"/>
    <cellStyle name="60% - Énfasis2 38" xfId="6459" xr:uid="{3502F264-DBE8-4BB6-A5F7-F71C5724CB10}"/>
    <cellStyle name="60% - Énfasis2 38 2" xfId="9319" xr:uid="{1DA69275-C8FC-4A12-B49C-6C88380ADBE1}"/>
    <cellStyle name="60% - Énfasis2 38 2 2" xfId="23682" xr:uid="{8B171583-F920-4F2C-ABC3-6D5423464EAE}"/>
    <cellStyle name="60% - Énfasis2 38 2 3" xfId="29550" xr:uid="{8770661A-8B15-41A9-9FD8-A4727726A557}"/>
    <cellStyle name="60% - Énfasis2 38 2 4" xfId="35432" xr:uid="{F8B06190-D93F-442F-BAF1-5E91AD235B2A}"/>
    <cellStyle name="60% - Énfasis2 38 2 5" xfId="41291" xr:uid="{3B065EEE-8069-4ACA-8CF4-E029A7075F3B}"/>
    <cellStyle name="60% - Énfasis2 38 3" xfId="20897" xr:uid="{8413A2B6-D840-495C-819F-E051EA7B3DE6}"/>
    <cellStyle name="60% - Énfasis2 38 4" xfId="26708" xr:uid="{68CD357C-1774-41CA-B0C6-CD7257FE1966}"/>
    <cellStyle name="60% - Énfasis2 38 5" xfId="32583" xr:uid="{C271E72C-1A66-4FA7-800F-A3942F2C83AD}"/>
    <cellStyle name="60% - Énfasis2 38 6" xfId="38447" xr:uid="{3D6F43A4-457B-4173-901E-53E5BD10671F}"/>
    <cellStyle name="60% - Énfasis2 39" xfId="6479" xr:uid="{D74AD4B8-70F7-497C-A2C0-4CD744DE126D}"/>
    <cellStyle name="60% - Énfasis2 39 2" xfId="9339" xr:uid="{C2B2F63F-781C-40ED-8447-49D175C4B741}"/>
    <cellStyle name="60% - Énfasis2 39 2 2" xfId="23702" xr:uid="{B48E71B9-8E92-4662-AD29-2C1EF26953C8}"/>
    <cellStyle name="60% - Énfasis2 39 2 3" xfId="29570" xr:uid="{510226A6-1C3A-452B-B9A5-AEF681A393AD}"/>
    <cellStyle name="60% - Énfasis2 39 2 4" xfId="35452" xr:uid="{26AD75D4-F492-4F5F-B9CD-5FE967F6E164}"/>
    <cellStyle name="60% - Énfasis2 39 2 5" xfId="41311" xr:uid="{BF426A6F-536D-4DE9-B36A-64A3A1D33BFA}"/>
    <cellStyle name="60% - Énfasis2 39 3" xfId="20917" xr:uid="{FB80F2E4-6C29-468E-84E1-05D87A6AD188}"/>
    <cellStyle name="60% - Énfasis2 39 4" xfId="26728" xr:uid="{1D056189-4DDA-4F89-A24C-CD9AC1C7082E}"/>
    <cellStyle name="60% - Énfasis2 39 5" xfId="32603" xr:uid="{CEF2E484-38BA-430B-8CCD-F3D426A52F70}"/>
    <cellStyle name="60% - Énfasis2 39 6" xfId="38467" xr:uid="{AAB8CA40-81DE-45B6-A483-17B1ACBFA96A}"/>
    <cellStyle name="60% - Énfasis2 4" xfId="3889" xr:uid="{BC246F8F-D8F4-41D6-BC30-6DD854E69EB7}"/>
    <cellStyle name="60% - Énfasis2 4 10" xfId="35881" xr:uid="{718F66B9-EB41-4D90-9055-0AC2F8B390D7}"/>
    <cellStyle name="60% - Énfasis2 4 2" xfId="4086" xr:uid="{DC7024AF-D528-419A-AE88-28ABA53E807B}"/>
    <cellStyle name="60% - Énfasis2 4 2 2" xfId="4564" xr:uid="{5AF9F5C8-596A-4F4E-B7C9-084816438AC0}"/>
    <cellStyle name="60% - Énfasis2 4 2 2 2" xfId="5532" xr:uid="{B388E332-BE24-4B4E-8640-9FE5B907520A}"/>
    <cellStyle name="60% - Énfasis2 4 2 2 2 2" xfId="8399" xr:uid="{C4563C96-9B1D-4756-9D24-A228463C42FD}"/>
    <cellStyle name="60% - Énfasis2 4 2 2 2 2 2" xfId="22774" xr:uid="{53140953-1A3E-4DCC-BF63-0556A3ADE301}"/>
    <cellStyle name="60% - Énfasis2 4 2 2 2 2 3" xfId="28632" xr:uid="{FAC51229-6486-44F8-93B9-DCB099104CE4}"/>
    <cellStyle name="60% - Énfasis2 4 2 2 2 2 4" xfId="34514" xr:uid="{7A9D579C-7B46-41C4-AFB5-EBE0498F6A2E}"/>
    <cellStyle name="60% - Énfasis2 4 2 2 2 2 5" xfId="40378" xr:uid="{06BDB788-2234-4CD3-883F-43B87B4945CA}"/>
    <cellStyle name="60% - Énfasis2 4 2 2 2 3" xfId="19992" xr:uid="{9FF13B56-12BE-48CC-97AE-77D08F61002E}"/>
    <cellStyle name="60% - Énfasis2 4 2 2 2 4" xfId="25783" xr:uid="{443D0D6E-A55C-4F87-B534-1FFA70BD0BAE}"/>
    <cellStyle name="60% - Énfasis2 4 2 2 2 5" xfId="31657" xr:uid="{A372FCC3-513B-49C2-AE58-C194CC195687}"/>
    <cellStyle name="60% - Énfasis2 4 2 2 2 6" xfId="37527" xr:uid="{787407F4-4752-4E8B-A02E-2AC71B39747A}"/>
    <cellStyle name="60% - Énfasis2 4 2 2 3" xfId="7427" xr:uid="{74CA463B-6501-4835-AECA-FB275F85F7A5}"/>
    <cellStyle name="60% - Énfasis2 4 2 2 3 2" xfId="21829" xr:uid="{BA7DBA9F-DACE-4400-B43B-63C58349EF54}"/>
    <cellStyle name="60% - Énfasis2 4 2 2 3 3" xfId="27661" xr:uid="{9626930F-4C5B-4DDD-B08C-6DBC34D4643B}"/>
    <cellStyle name="60% - Énfasis2 4 2 2 3 4" xfId="33543" xr:uid="{96D82859-C260-4D36-BC44-ADB36526374D}"/>
    <cellStyle name="60% - Énfasis2 4 2 2 3 5" xfId="39407" xr:uid="{CE79C018-743D-4D44-8910-73CE9FFB483C}"/>
    <cellStyle name="60% - Énfasis2 4 2 2 4" xfId="19060" xr:uid="{AC28DE66-8148-46BB-B614-A452CF01E483}"/>
    <cellStyle name="60% - Énfasis2 4 2 2 5" xfId="24812" xr:uid="{E4B6E3CA-A81C-4774-9A68-538CEEB408C4}"/>
    <cellStyle name="60% - Énfasis2 4 2 2 6" xfId="30689" xr:uid="{CC7AB173-B1FB-4C48-BFF1-E6A39046A800}"/>
    <cellStyle name="60% - Énfasis2 4 2 2 7" xfId="36570" xr:uid="{E0FC6C14-55EF-461F-96A7-594BDA8D0A51}"/>
    <cellStyle name="60% - Énfasis2 4 2 3" xfId="5047" xr:uid="{16E03D8F-8684-4092-9EAD-A5AF4C6804A7}"/>
    <cellStyle name="60% - Énfasis2 4 2 3 2" xfId="7914" xr:uid="{F41369AD-DEDC-4174-AB52-4B808F8C9E71}"/>
    <cellStyle name="60% - Énfasis2 4 2 3 2 2" xfId="22299" xr:uid="{8965FE6E-8006-4AFB-9AD8-6FCBB7C0F1D7}"/>
    <cellStyle name="60% - Énfasis2 4 2 3 2 3" xfId="28147" xr:uid="{B159E369-8FB8-48DF-B326-D24E2E4ACFAC}"/>
    <cellStyle name="60% - Énfasis2 4 2 3 2 4" xfId="34029" xr:uid="{BC2ECEF3-20B6-4191-8346-9A8B7A4CE92F}"/>
    <cellStyle name="60% - Énfasis2 4 2 3 2 5" xfId="39893" xr:uid="{5CFBA72B-39E9-472E-833A-FEE32CFB8244}"/>
    <cellStyle name="60% - Énfasis2 4 2 3 3" xfId="19524" xr:uid="{C443A248-1EEE-4F50-9CA9-9C803E684534}"/>
    <cellStyle name="60% - Énfasis2 4 2 3 4" xfId="25298" xr:uid="{55CAC37C-A3E1-4C9C-9C10-EB47F29BDBA9}"/>
    <cellStyle name="60% - Énfasis2 4 2 3 5" xfId="31172" xr:uid="{749C81F7-F210-4638-B39C-A537601C8A99}"/>
    <cellStyle name="60% - Énfasis2 4 2 3 6" xfId="37050" xr:uid="{2D9275A4-3BC6-4367-AFCE-BFD733C000F1}"/>
    <cellStyle name="60% - Énfasis2 4 2 4" xfId="6942" xr:uid="{6B1961F1-F19C-41F1-9A1B-CB10861659AF}"/>
    <cellStyle name="60% - Énfasis2 4 2 4 2" xfId="21362" xr:uid="{2637918D-0D74-47B6-9D6E-DF9F739683A5}"/>
    <cellStyle name="60% - Énfasis2 4 2 4 3" xfId="27180" xr:uid="{73498F6D-D623-4AEF-813C-2D47D0009BCD}"/>
    <cellStyle name="60% - Énfasis2 4 2 4 4" xfId="33058" xr:uid="{7FB9FE6E-CD5D-4226-8030-7E7DEB2A8EB9}"/>
    <cellStyle name="60% - Énfasis2 4 2 4 5" xfId="38922" xr:uid="{15E798D7-2F80-4B95-A9F5-0F923C78042F}"/>
    <cellStyle name="60% - Énfasis2 4 2 5" xfId="18616" xr:uid="{791D9880-91D9-40C5-8FEC-D56A5F95432A}"/>
    <cellStyle name="60% - Énfasis2 4 2 6" xfId="24329" xr:uid="{9314F8EB-26D7-46A5-B040-1D08F6730AC0}"/>
    <cellStyle name="60% - Énfasis2 4 2 7" xfId="30207" xr:uid="{7BD70F93-8605-4F0F-99F2-80B48A0FDFB6}"/>
    <cellStyle name="60% - Énfasis2 4 2 8" xfId="36086" xr:uid="{F54981B1-E9AF-4AED-8D54-838F78EBCC84}"/>
    <cellStyle name="60% - Énfasis2 4 3" xfId="4370" xr:uid="{7AD4FB15-FFD5-403F-ABF6-97352A9ADCFC}"/>
    <cellStyle name="60% - Énfasis2 4 3 2" xfId="5336" xr:uid="{6351F717-7795-4382-88BE-362D6836E8BA}"/>
    <cellStyle name="60% - Énfasis2 4 3 2 2" xfId="8203" xr:uid="{9DDDBB16-2312-4064-8E89-9FC1CC7DF1D2}"/>
    <cellStyle name="60% - Énfasis2 4 3 2 2 2" xfId="22579" xr:uid="{AF67C73E-5A6E-4D1E-99CE-ACEF61220B87}"/>
    <cellStyle name="60% - Énfasis2 4 3 2 2 3" xfId="28436" xr:uid="{FDBE6F4D-0D3A-41E0-A9DC-8C7A5A972026}"/>
    <cellStyle name="60% - Énfasis2 4 3 2 2 4" xfId="34318" xr:uid="{D02139A4-99E1-4D3D-AF8F-5D8C37A6004A}"/>
    <cellStyle name="60% - Énfasis2 4 3 2 2 5" xfId="40182" xr:uid="{6E5639A0-BEC7-4A87-94CB-4AB89C4455D8}"/>
    <cellStyle name="60% - Énfasis2 4 3 2 3" xfId="19803" xr:uid="{5733F2F8-55D2-468F-B6D4-523BD66533EE}"/>
    <cellStyle name="60% - Énfasis2 4 3 2 4" xfId="25587" xr:uid="{81E6B5A0-5951-4E54-8A82-1E887A76E9E3}"/>
    <cellStyle name="60% - Énfasis2 4 3 2 5" xfId="31461" xr:uid="{19EBE30D-DE77-4797-AE07-2D97E5BA9A0A}"/>
    <cellStyle name="60% - Énfasis2 4 3 2 6" xfId="37332" xr:uid="{4CF60F66-1A77-453E-877F-ABA87AEDEAB2}"/>
    <cellStyle name="60% - Énfasis2 4 3 3" xfId="7231" xr:uid="{138E6636-83B7-4DCD-BD88-45FE4791EB26}"/>
    <cellStyle name="60% - Énfasis2 4 3 3 2" xfId="21638" xr:uid="{7B93891D-0A61-4632-8983-7E97EE51E6DB}"/>
    <cellStyle name="60% - Énfasis2 4 3 3 3" xfId="27465" xr:uid="{E01D03C1-7D4C-41BA-B0E1-D36E9771B522}"/>
    <cellStyle name="60% - Énfasis2 4 3 3 4" xfId="33347" xr:uid="{33E78C69-AB5B-4A45-8AEC-664B86D74C6B}"/>
    <cellStyle name="60% - Énfasis2 4 3 3 5" xfId="39211" xr:uid="{C7D4F0C0-3AA2-4980-8E89-75BB06575A6A}"/>
    <cellStyle name="60% - Énfasis2 4 3 4" xfId="18873" xr:uid="{AC468A12-04BF-4A9B-A868-9295B5041F7D}"/>
    <cellStyle name="60% - Énfasis2 4 3 5" xfId="24616" xr:uid="{531E8B95-DF45-4084-8957-AA61668BA222}"/>
    <cellStyle name="60% - Énfasis2 4 3 6" xfId="30495" xr:uid="{D1692932-8F0C-4283-9ABD-DDFB739C9E22}"/>
    <cellStyle name="60% - Énfasis2 4 3 7" xfId="36375" xr:uid="{F41945A7-7E3F-4786-999B-5ACC5C41287A}"/>
    <cellStyle name="60% - Énfasis2 4 4" xfId="4852" xr:uid="{7B69AA93-7027-4C94-9321-C8B03951A389}"/>
    <cellStyle name="60% - Énfasis2 4 4 2" xfId="7718" xr:uid="{79B19F90-E355-4497-B517-59446ACCFAFC}"/>
    <cellStyle name="60% - Énfasis2 4 4 2 2" xfId="22108" xr:uid="{E6F2212F-B917-4C00-B552-8122B997BEE5}"/>
    <cellStyle name="60% - Énfasis2 4 4 2 3" xfId="27951" xr:uid="{227875B6-E6B7-4CE1-9ED4-1D0D0B3919C8}"/>
    <cellStyle name="60% - Énfasis2 4 4 2 4" xfId="33833" xr:uid="{E8F0F7A7-2675-4ED8-A446-CE71616417C8}"/>
    <cellStyle name="60% - Énfasis2 4 4 2 5" xfId="39697" xr:uid="{9454BAA5-68E0-42ED-929E-053448FA875F}"/>
    <cellStyle name="60% - Énfasis2 4 4 3" xfId="19334" xr:uid="{94EDE860-942E-4B68-BC78-7E633875EB65}"/>
    <cellStyle name="60% - Énfasis2 4 4 4" xfId="25102" xr:uid="{1253BFB5-03E8-4854-845C-0A342C8D7810}"/>
    <cellStyle name="60% - Énfasis2 4 4 5" xfId="30976" xr:uid="{0C5AB4DE-179C-4BDE-B6DE-87EF18C0529A}"/>
    <cellStyle name="60% - Énfasis2 4 4 6" xfId="36855" xr:uid="{F8B94BB0-689C-431A-B405-846D40ADF618}"/>
    <cellStyle name="60% - Énfasis2 4 5" xfId="5861" xr:uid="{78A86667-4FCD-49E4-A437-D9EB30F20EEF}"/>
    <cellStyle name="60% - Énfasis2 4 5 2" xfId="8730" xr:uid="{FDC2B453-442A-423C-93EE-D06FB0D15974}"/>
    <cellStyle name="60% - Énfasis2 4 5 2 2" xfId="23098" xr:uid="{03E7F5DA-E366-4DB4-902C-D2D305C5B8EC}"/>
    <cellStyle name="60% - Énfasis2 4 5 2 3" xfId="28962" xr:uid="{5A62F070-4787-4839-AA2B-92D02B032BA4}"/>
    <cellStyle name="60% - Énfasis2 4 5 2 4" xfId="34844" xr:uid="{77188D8C-1155-4555-B6E4-A2EE3DBA33BF}"/>
    <cellStyle name="60% - Énfasis2 4 5 2 5" xfId="40708" xr:uid="{D1F9AEBA-DAB3-499D-982C-440DC0FC568D}"/>
    <cellStyle name="60% - Énfasis2 4 5 3" xfId="20313" xr:uid="{F1708560-A876-4EFE-9568-DF933F600322}"/>
    <cellStyle name="60% - Énfasis2 4 5 4" xfId="26112" xr:uid="{FD795986-304B-4C22-8CD6-E7FAF9EC35B2}"/>
    <cellStyle name="60% - Énfasis2 4 5 5" xfId="31987" xr:uid="{BE9B5CFE-76B0-41AD-B09B-F63D4CDB6944}"/>
    <cellStyle name="60% - Énfasis2 4 5 6" xfId="37853" xr:uid="{A270851A-BBF0-48A7-87F5-74BFE95C008B}"/>
    <cellStyle name="60% - Énfasis2 4 6" xfId="6747" xr:uid="{E9C295D3-31BB-46F5-85C7-B0A58FC0BF06}"/>
    <cellStyle name="60% - Énfasis2 4 6 2" xfId="21171" xr:uid="{42D69385-FA80-4268-AC56-ED7CB9A79579}"/>
    <cellStyle name="60% - Énfasis2 4 6 3" xfId="26986" xr:uid="{DAB95A25-F1E0-4F2E-AFEA-49976C2B32D3}"/>
    <cellStyle name="60% - Énfasis2 4 6 4" xfId="32862" xr:uid="{05FB9FD1-00AD-4A3C-9B3E-B6AB78FDB266}"/>
    <cellStyle name="60% - Énfasis2 4 6 5" xfId="38726" xr:uid="{9C17D63C-0185-4A1B-9ECC-9C9942ADB502}"/>
    <cellStyle name="60% - Énfasis2 4 7" xfId="18413" xr:uid="{B2D9F651-EDC1-4177-86BF-4106FE163902}"/>
    <cellStyle name="60% - Énfasis2 4 8" xfId="24122" xr:uid="{4DE019E3-936A-4C7C-B675-7DC3045D1871}"/>
    <cellStyle name="60% - Énfasis2 4 9" xfId="30000" xr:uid="{4AEE5699-D77C-424B-9017-7C1C0BEE40CD}"/>
    <cellStyle name="60% - Énfasis2 40" xfId="6499" xr:uid="{84FFD77D-E95B-4B15-BF0B-71930E9809E5}"/>
    <cellStyle name="60% - Énfasis2 40 2" xfId="9359" xr:uid="{CE5058EE-7FAF-4939-81CF-68E4657C7E85}"/>
    <cellStyle name="60% - Énfasis2 40 2 2" xfId="23722" xr:uid="{95933F2D-3A5C-4B25-B725-2674320080CB}"/>
    <cellStyle name="60% - Énfasis2 40 2 3" xfId="29590" xr:uid="{4C025C94-AFA8-40E1-9693-B4F5946280A0}"/>
    <cellStyle name="60% - Énfasis2 40 2 4" xfId="35472" xr:uid="{901BC857-D003-48D6-956C-E0177FE2BE2C}"/>
    <cellStyle name="60% - Énfasis2 40 2 5" xfId="41331" xr:uid="{E2E193C1-265F-42D2-A1AB-70543BC19FD1}"/>
    <cellStyle name="60% - Énfasis2 40 3" xfId="20937" xr:uid="{7B3C8165-9C6F-46E4-A6FF-F4D036205B18}"/>
    <cellStyle name="60% - Énfasis2 40 4" xfId="26748" xr:uid="{D3770F60-522E-4E0D-A729-3618894C1F8C}"/>
    <cellStyle name="60% - Énfasis2 40 5" xfId="32623" xr:uid="{7C9030BD-50D6-45C1-B5B2-D1AD5B2E5209}"/>
    <cellStyle name="60% - Énfasis2 40 6" xfId="38487" xr:uid="{2D507571-7309-4E90-B9C5-5FCD16E1AE64}"/>
    <cellStyle name="60% - Énfasis2 41" xfId="6519" xr:uid="{18A5114A-8791-416A-ACFF-0C5BC7EE5C5B}"/>
    <cellStyle name="60% - Énfasis2 41 2" xfId="9379" xr:uid="{6D5783DD-766B-48ED-8A56-BC09353D6C0F}"/>
    <cellStyle name="60% - Énfasis2 41 2 2" xfId="23742" xr:uid="{84972665-C55F-4F31-B2DD-E0772B132D5E}"/>
    <cellStyle name="60% - Énfasis2 41 2 3" xfId="29610" xr:uid="{D8198303-1E5F-429C-AF90-A6744AB863EC}"/>
    <cellStyle name="60% - Énfasis2 41 2 4" xfId="35492" xr:uid="{379E5CB4-04E3-40A8-987B-75256A1A65E0}"/>
    <cellStyle name="60% - Énfasis2 41 2 5" xfId="41351" xr:uid="{F546AFE5-944F-4AB6-A31D-3F80AB5E92D1}"/>
    <cellStyle name="60% - Énfasis2 41 3" xfId="20957" xr:uid="{E4695B1A-F2D6-45A9-95DC-CA0CBE8E04BA}"/>
    <cellStyle name="60% - Énfasis2 41 4" xfId="26768" xr:uid="{1388462A-1469-4B3A-B0B8-E5F7EA7EF600}"/>
    <cellStyle name="60% - Énfasis2 41 5" xfId="32643" xr:uid="{0CF63073-402A-44E3-AF15-BB66DE9DEF0A}"/>
    <cellStyle name="60% - Énfasis2 41 6" xfId="38507" xr:uid="{57D2B73E-0BA0-4396-AD40-AF2A9F5C98FE}"/>
    <cellStyle name="60% - Énfasis2 42" xfId="6539" xr:uid="{7ACF5F1A-1E9D-4D39-B7BB-F98FB4B95237}"/>
    <cellStyle name="60% - Énfasis2 42 2" xfId="9399" xr:uid="{5A662216-7DB0-4718-9FF0-6202A2C2F408}"/>
    <cellStyle name="60% - Énfasis2 42 2 2" xfId="23762" xr:uid="{9CB18DD2-4121-4645-BB70-BB590CED5F1F}"/>
    <cellStyle name="60% - Énfasis2 42 2 3" xfId="29630" xr:uid="{A405A5C7-7A96-4D0F-A3CB-02880197273F}"/>
    <cellStyle name="60% - Énfasis2 42 2 4" xfId="35512" xr:uid="{3B4BD40F-E106-427B-8E41-5340EF7EB4C8}"/>
    <cellStyle name="60% - Énfasis2 42 2 5" xfId="41371" xr:uid="{AE80AA49-640C-41C7-A837-9E62A741FE1F}"/>
    <cellStyle name="60% - Énfasis2 42 3" xfId="20977" xr:uid="{3ED71BCF-CB0B-4F54-B679-7EBB61A18B08}"/>
    <cellStyle name="60% - Énfasis2 42 4" xfId="26788" xr:uid="{38778E11-3919-4C48-A579-6D8644986BBC}"/>
    <cellStyle name="60% - Énfasis2 42 5" xfId="32663" xr:uid="{238D8E0E-55D4-478E-B51C-984A11172BF7}"/>
    <cellStyle name="60% - Énfasis2 42 6" xfId="38527" xr:uid="{F2B646B8-3923-4E37-BC62-0539F76D352E}"/>
    <cellStyle name="60% - Énfasis2 43" xfId="6560" xr:uid="{99B1935E-6C78-4CC6-8BA2-48858A10860B}"/>
    <cellStyle name="60% - Énfasis2 43 2" xfId="9421" xr:uid="{6EA8D5BD-A90A-44AA-8D4A-978E6E1DE7BA}"/>
    <cellStyle name="60% - Énfasis2 43 2 2" xfId="23784" xr:uid="{11AEA5E6-382C-4A8C-9735-841684E5F579}"/>
    <cellStyle name="60% - Énfasis2 43 2 3" xfId="29652" xr:uid="{E2AC370E-7A76-4CDD-9BF4-D1C961DBF150}"/>
    <cellStyle name="60% - Énfasis2 43 2 4" xfId="35534" xr:uid="{93F10543-ABDE-4EC7-ABD3-D2A70253D5FB}"/>
    <cellStyle name="60% - Énfasis2 43 2 5" xfId="41393" xr:uid="{3EA22C48-4544-4ACF-A6F6-65C3F6C7DE04}"/>
    <cellStyle name="60% - Énfasis2 43 3" xfId="20999" xr:uid="{7FC4F98B-444E-48C2-9911-DA105DA0ECAE}"/>
    <cellStyle name="60% - Énfasis2 43 4" xfId="26810" xr:uid="{A9DC4FCB-AF83-44E0-8F9C-A3AB252B92EA}"/>
    <cellStyle name="60% - Énfasis2 43 5" xfId="32685" xr:uid="{F7B72D80-B240-4087-A515-DB654A3B8B39}"/>
    <cellStyle name="60% - Énfasis2 43 6" xfId="38549" xr:uid="{103CE832-B3EE-4432-A078-9A4BB77C4A07}"/>
    <cellStyle name="60% - Énfasis2 44" xfId="6590" xr:uid="{C70C7D22-EB26-4355-97A5-0106679B2730}"/>
    <cellStyle name="60% - Énfasis2 44 2" xfId="9450" xr:uid="{4772ABB7-2CAA-4FA4-8C2A-54514F6AEAE6}"/>
    <cellStyle name="60% - Énfasis2 44 2 2" xfId="23812" xr:uid="{3A9A20F3-DD1A-4028-BD14-00372ABFC548}"/>
    <cellStyle name="60% - Énfasis2 44 2 3" xfId="29681" xr:uid="{855AFC99-0E04-4F79-AE12-238B4AADB4F7}"/>
    <cellStyle name="60% - Énfasis2 44 2 4" xfId="35563" xr:uid="{DBA0586F-6691-4A59-95E0-708430D8CDE2}"/>
    <cellStyle name="60% - Énfasis2 44 2 5" xfId="41422" xr:uid="{A157292A-97D7-4BF0-BDD6-81A60FCF18F8}"/>
    <cellStyle name="60% - Énfasis2 44 3" xfId="21028" xr:uid="{D3B1F095-C73F-42C4-BC8B-186D51BCD5A6}"/>
    <cellStyle name="60% - Énfasis2 44 4" xfId="26839" xr:uid="{86F5C1FE-EFE1-446F-BFD0-DEB08FE5AA65}"/>
    <cellStyle name="60% - Énfasis2 44 5" xfId="32714" xr:uid="{27296552-70C7-4C92-B4BC-053B9631AC97}"/>
    <cellStyle name="60% - Énfasis2 44 6" xfId="38578" xr:uid="{8B3FC879-E570-47FD-BD55-CDFBD51CB9A7}"/>
    <cellStyle name="60% - Énfasis2 45" xfId="6615" xr:uid="{43AFC416-9377-4893-A872-4C955006C175}"/>
    <cellStyle name="60% - Énfasis2 45 2" xfId="9475" xr:uid="{770AED1F-AA88-405D-8265-3BC9066700E9}"/>
    <cellStyle name="60% - Énfasis2 45 2 2" xfId="23837" xr:uid="{DA3061E2-9BEF-49B8-BE4C-FE539C161818}"/>
    <cellStyle name="60% - Énfasis2 45 2 3" xfId="29706" xr:uid="{3FBBE5F3-7F04-43AD-A286-384663B46F1D}"/>
    <cellStyle name="60% - Énfasis2 45 2 4" xfId="35588" xr:uid="{D4975518-3B09-45CF-A72E-B7E281C37823}"/>
    <cellStyle name="60% - Énfasis2 45 2 5" xfId="41447" xr:uid="{9902B45D-30BA-48D4-9019-722A76FE476E}"/>
    <cellStyle name="60% - Énfasis2 45 3" xfId="21052" xr:uid="{B6786840-5078-43AD-A174-FD32A72AEC0B}"/>
    <cellStyle name="60% - Énfasis2 45 4" xfId="26864" xr:uid="{BEC3FF16-FCDD-44B4-8336-26C18D69E27D}"/>
    <cellStyle name="60% - Énfasis2 45 5" xfId="32739" xr:uid="{D306372D-DE9E-40EE-8F2F-FF1396A40A31}"/>
    <cellStyle name="60% - Énfasis2 45 6" xfId="38603" xr:uid="{E3BD2C09-2AEF-4CB3-A263-321FCBAD6B59}"/>
    <cellStyle name="60% - Énfasis2 46" xfId="6637" xr:uid="{4E8B3971-9454-4F62-B279-FAC1DE759F5C}"/>
    <cellStyle name="60% - Énfasis2 46 2" xfId="21074" xr:uid="{86A1ED5B-D3D2-448B-ADE6-D0F0DDDDF5C9}"/>
    <cellStyle name="60% - Énfasis2 46 3" xfId="26886" xr:uid="{4087123C-DA68-472E-9350-46B6EC5DB410}"/>
    <cellStyle name="60% - Énfasis2 46 4" xfId="32761" xr:uid="{26AB1943-CFED-41C1-95FD-AB79EE6B9723}"/>
    <cellStyle name="60% - Énfasis2 46 5" xfId="38625" xr:uid="{ACFF7D02-D99C-403C-85B5-542BAA417924}"/>
    <cellStyle name="60% - Énfasis2 47" xfId="6667" xr:uid="{0CD177A3-BA70-43DA-BF37-26717F2589EB}"/>
    <cellStyle name="60% - Énfasis2 47 2" xfId="21096" xr:uid="{E7B6B28F-1AD5-49AD-BBCB-A8D70F3DA685}"/>
    <cellStyle name="60% - Énfasis2 47 3" xfId="26908" xr:uid="{958EBE35-B247-404A-A0DB-434FB4A0A415}"/>
    <cellStyle name="60% - Énfasis2 47 4" xfId="32783" xr:uid="{421DBFDE-4AA9-46C0-BDF4-49093A98E316}"/>
    <cellStyle name="60% - Énfasis2 47 5" xfId="38647" xr:uid="{C64C9BF6-6A8F-45F4-9028-B827D81D262B}"/>
    <cellStyle name="60% - Énfasis2 48" xfId="9501" xr:uid="{3009EDBD-C019-4E91-8753-8CC524B03A92}"/>
    <cellStyle name="60% - Énfasis2 48 2" xfId="23863" xr:uid="{1A876EBC-6858-463D-BAD8-EA4A19832C9A}"/>
    <cellStyle name="60% - Énfasis2 48 3" xfId="29732" xr:uid="{6A28E78C-5BB7-4CC7-95D7-370D15F90C8C}"/>
    <cellStyle name="60% - Énfasis2 48 4" xfId="35614" xr:uid="{B25CB033-4292-4A92-A30C-12792A77DB6A}"/>
    <cellStyle name="60% - Énfasis2 48 5" xfId="41473" xr:uid="{AFE98075-7E8C-41BA-8E15-4A5E243C2F28}"/>
    <cellStyle name="60% - Énfasis2 49" xfId="9516" xr:uid="{E5129518-7315-4B71-A16A-2BBEAE328D51}"/>
    <cellStyle name="60% - Énfasis2 49 2" xfId="23877" xr:uid="{B3C606A6-591C-484F-B396-51CD6B2B8A9E}"/>
    <cellStyle name="60% - Énfasis2 49 3" xfId="29747" xr:uid="{E49E5457-D9DB-4FEB-8817-0D45DB28AEC6}"/>
    <cellStyle name="60% - Énfasis2 49 4" xfId="35629" xr:uid="{9299A8FF-A035-4C09-B7EE-BE0F3E94920B}"/>
    <cellStyle name="60% - Énfasis2 49 5" xfId="41488" xr:uid="{660F6001-4C08-43FF-877D-5D55DFDD4D28}"/>
    <cellStyle name="60% - Énfasis2 5" xfId="3915" xr:uid="{6E94CC39-C60E-4705-8124-6D99F9CB8D99}"/>
    <cellStyle name="60% - Énfasis2 5 10" xfId="35907" xr:uid="{C1E72242-40C6-4FBA-901B-4D35CE29CDA8}"/>
    <cellStyle name="60% - Énfasis2 5 2" xfId="4109" xr:uid="{C1425711-F842-494E-A621-C324B4CFDA06}"/>
    <cellStyle name="60% - Énfasis2 5 2 2" xfId="4587" xr:uid="{F9691B08-4FDE-4F68-ADAA-543651E5EB93}"/>
    <cellStyle name="60% - Énfasis2 5 2 2 2" xfId="5555" xr:uid="{7E9B2993-B941-4E7A-A49A-8F579A7AB7F7}"/>
    <cellStyle name="60% - Énfasis2 5 2 2 2 2" xfId="8422" xr:uid="{CA06E2A3-5EB1-4A6B-8393-34DA94229C8B}"/>
    <cellStyle name="60% - Énfasis2 5 2 2 2 2 2" xfId="22797" xr:uid="{67AE3915-03DE-4D37-A611-7DA0FE3695A2}"/>
    <cellStyle name="60% - Énfasis2 5 2 2 2 2 3" xfId="28655" xr:uid="{E1B4C0C2-3A09-445D-A479-2843BBACA078}"/>
    <cellStyle name="60% - Énfasis2 5 2 2 2 2 4" xfId="34537" xr:uid="{62480603-01A4-4CAD-A4F7-F89F460C5627}"/>
    <cellStyle name="60% - Énfasis2 5 2 2 2 2 5" xfId="40401" xr:uid="{2C982A28-7467-4AE7-97D1-02F3CF097708}"/>
    <cellStyle name="60% - Énfasis2 5 2 2 2 3" xfId="20015" xr:uid="{1A991DD0-49F4-4AC9-8EEE-EEB3DC985893}"/>
    <cellStyle name="60% - Énfasis2 5 2 2 2 4" xfId="25806" xr:uid="{461A5747-2FF4-43A4-A039-387937100BBB}"/>
    <cellStyle name="60% - Énfasis2 5 2 2 2 5" xfId="31680" xr:uid="{1F25243A-0766-4D66-B56E-3B89B8D01DC9}"/>
    <cellStyle name="60% - Énfasis2 5 2 2 2 6" xfId="37550" xr:uid="{FDE4FD41-81B4-4ED5-99CD-D9E98154D6D9}"/>
    <cellStyle name="60% - Énfasis2 5 2 2 3" xfId="7450" xr:uid="{87DF8D0F-14FB-4150-ABB4-BF57660D591E}"/>
    <cellStyle name="60% - Énfasis2 5 2 2 3 2" xfId="21852" xr:uid="{5FC034F9-6453-4D66-81E4-BD97E8ACE804}"/>
    <cellStyle name="60% - Énfasis2 5 2 2 3 3" xfId="27684" xr:uid="{A30AEE3F-AF2A-403A-BE64-57F050C0E7A3}"/>
    <cellStyle name="60% - Énfasis2 5 2 2 3 4" xfId="33566" xr:uid="{C622E68E-274C-4928-A0E2-D46B79012212}"/>
    <cellStyle name="60% - Énfasis2 5 2 2 3 5" xfId="39430" xr:uid="{E6D876CE-A64F-4E18-A072-74EB0C38E9E0}"/>
    <cellStyle name="60% - Énfasis2 5 2 2 4" xfId="19082" xr:uid="{F1DD4D81-2D2D-461B-B159-8DA79F453F12}"/>
    <cellStyle name="60% - Énfasis2 5 2 2 5" xfId="24835" xr:uid="{64791132-FE13-4A68-BAE4-842E834E4762}"/>
    <cellStyle name="60% - Énfasis2 5 2 2 6" xfId="30712" xr:uid="{8FDC1486-B5CF-487C-8CD4-8637F5CB6755}"/>
    <cellStyle name="60% - Énfasis2 5 2 2 7" xfId="36593" xr:uid="{77E54806-2A5C-4205-BBA9-06B1EFA48022}"/>
    <cellStyle name="60% - Énfasis2 5 2 3" xfId="5070" xr:uid="{7A66D6DD-1DB4-41AB-B0D2-B339454BEF25}"/>
    <cellStyle name="60% - Énfasis2 5 2 3 2" xfId="7937" xr:uid="{65B45AB9-2A4C-472D-920D-99F8D5D3D1CF}"/>
    <cellStyle name="60% - Énfasis2 5 2 3 2 2" xfId="22322" xr:uid="{B86B4425-A618-438D-B198-04B5079C9992}"/>
    <cellStyle name="60% - Énfasis2 5 2 3 2 3" xfId="28170" xr:uid="{E5788A34-2744-4182-AA67-B70704FBC18D}"/>
    <cellStyle name="60% - Énfasis2 5 2 3 2 4" xfId="34052" xr:uid="{58DEA425-9435-41D5-9873-F69DA56029F4}"/>
    <cellStyle name="60% - Énfasis2 5 2 3 2 5" xfId="39916" xr:uid="{C83DB39B-0287-498B-9570-1B5B6E21B9A7}"/>
    <cellStyle name="60% - Énfasis2 5 2 3 3" xfId="19547" xr:uid="{9CEBE936-E151-4020-B6D2-66543A9E34B8}"/>
    <cellStyle name="60% - Énfasis2 5 2 3 4" xfId="25321" xr:uid="{540F6413-4C69-437A-A98B-D83D4225760B}"/>
    <cellStyle name="60% - Énfasis2 5 2 3 5" xfId="31195" xr:uid="{13E42B03-A55F-4F12-8CC3-24EE26A0B659}"/>
    <cellStyle name="60% - Énfasis2 5 2 3 6" xfId="37073" xr:uid="{023551AE-F182-4679-B342-5028B2DDBD37}"/>
    <cellStyle name="60% - Énfasis2 5 2 4" xfId="6965" xr:uid="{F03FE864-7D78-4FBD-A114-D84C9F918D3C}"/>
    <cellStyle name="60% - Énfasis2 5 2 4 2" xfId="21384" xr:uid="{65BA2BF2-6845-4552-A324-13B16181EF9C}"/>
    <cellStyle name="60% - Énfasis2 5 2 4 3" xfId="27203" xr:uid="{E67477AC-DB3A-4321-9001-03AFEBC6A5CC}"/>
    <cellStyle name="60% - Énfasis2 5 2 4 4" xfId="33081" xr:uid="{C58CA0D9-FC38-4869-8C78-248962B8852B}"/>
    <cellStyle name="60% - Énfasis2 5 2 4 5" xfId="38945" xr:uid="{4638A9B7-D5E2-42EE-B45F-E3B53F8C401E}"/>
    <cellStyle name="60% - Énfasis2 5 2 5" xfId="18638" xr:uid="{57FFD289-8D51-4EC1-B4D2-D7249B335F9D}"/>
    <cellStyle name="60% - Énfasis2 5 2 6" xfId="24352" xr:uid="{D7B1D427-2AA9-4B01-97C0-E611723FE644}"/>
    <cellStyle name="60% - Énfasis2 5 2 7" xfId="30230" xr:uid="{33439BCF-DCF6-4DD4-9381-A61BC2B7648D}"/>
    <cellStyle name="60% - Énfasis2 5 2 8" xfId="36109" xr:uid="{0BE06B8B-6E36-4256-B775-F45E42D6B1A2}"/>
    <cellStyle name="60% - Énfasis2 5 3" xfId="4393" xr:uid="{734829BA-2C24-4EB1-9AD2-22874C8276C7}"/>
    <cellStyle name="60% - Énfasis2 5 3 2" xfId="5359" xr:uid="{12AA461B-5035-43D3-936B-413316DC87AB}"/>
    <cellStyle name="60% - Énfasis2 5 3 2 2" xfId="8226" xr:uid="{31E8ED8F-0157-4A11-AFF8-303AF9461648}"/>
    <cellStyle name="60% - Énfasis2 5 3 2 2 2" xfId="22602" xr:uid="{52993E1D-6C28-4DA8-AB52-D45204F15810}"/>
    <cellStyle name="60% - Énfasis2 5 3 2 2 3" xfId="28459" xr:uid="{82B03026-E7B4-447E-AF18-C452F5949B28}"/>
    <cellStyle name="60% - Énfasis2 5 3 2 2 4" xfId="34341" xr:uid="{C448F442-591E-4B75-9376-1F453D01E7B6}"/>
    <cellStyle name="60% - Énfasis2 5 3 2 2 5" xfId="40205" xr:uid="{CDC5C1F6-B29E-4EFF-B55E-70AC60780917}"/>
    <cellStyle name="60% - Énfasis2 5 3 2 3" xfId="19826" xr:uid="{03B78213-33D3-4549-B722-6B5E7487C0AB}"/>
    <cellStyle name="60% - Énfasis2 5 3 2 4" xfId="25610" xr:uid="{F514FE21-1585-4517-AA8B-2E1881BA93CF}"/>
    <cellStyle name="60% - Énfasis2 5 3 2 5" xfId="31484" xr:uid="{BF586484-AAD2-47B3-A08E-D391166A6EA6}"/>
    <cellStyle name="60% - Énfasis2 5 3 2 6" xfId="37355" xr:uid="{85F20264-0E15-4AD7-80E7-E964B918AD5B}"/>
    <cellStyle name="60% - Énfasis2 5 3 3" xfId="7254" xr:uid="{0D173A40-F161-45A5-95AF-695EBC476E27}"/>
    <cellStyle name="60% - Énfasis2 5 3 3 2" xfId="21661" xr:uid="{058E5A8F-A626-4B9D-83CF-8C2261415DE9}"/>
    <cellStyle name="60% - Énfasis2 5 3 3 3" xfId="27488" xr:uid="{279F170F-1148-44CF-A780-1927CE8592B3}"/>
    <cellStyle name="60% - Énfasis2 5 3 3 4" xfId="33370" xr:uid="{F2819DED-B316-4BFB-A472-C4BFCD72FA21}"/>
    <cellStyle name="60% - Énfasis2 5 3 3 5" xfId="39234" xr:uid="{A591215B-4E90-4BFF-B9C7-69FB4FD4C73C}"/>
    <cellStyle name="60% - Énfasis2 5 3 4" xfId="18895" xr:uid="{DC7E2F81-E430-4356-9F76-59337F00EB48}"/>
    <cellStyle name="60% - Énfasis2 5 3 5" xfId="24639" xr:uid="{E974F498-0259-4DCD-A7E3-58BA724C7493}"/>
    <cellStyle name="60% - Énfasis2 5 3 6" xfId="30518" xr:uid="{C5EEE406-9CF6-4CBC-B37B-DB19A8DAB7A4}"/>
    <cellStyle name="60% - Énfasis2 5 3 7" xfId="36398" xr:uid="{2E7FFC44-198D-42AC-A4AA-1F84DADD35D6}"/>
    <cellStyle name="60% - Énfasis2 5 4" xfId="4874" xr:uid="{19BFBAE1-EF76-47F5-A070-49BB0D13D9DC}"/>
    <cellStyle name="60% - Énfasis2 5 4 2" xfId="7741" xr:uid="{AC82E3A7-5938-475B-A39A-A65937D262A6}"/>
    <cellStyle name="60% - Énfasis2 5 4 2 2" xfId="22131" xr:uid="{D62E0067-EED3-4E26-845C-10A83EE601D4}"/>
    <cellStyle name="60% - Énfasis2 5 4 2 3" xfId="27974" xr:uid="{80159CDD-2D9C-4BA5-A91D-A1225586C390}"/>
    <cellStyle name="60% - Énfasis2 5 4 2 4" xfId="33856" xr:uid="{9AB5D1B2-BADF-4B98-AAD1-63F7DB833602}"/>
    <cellStyle name="60% - Énfasis2 5 4 2 5" xfId="39720" xr:uid="{5398B68C-F066-4C97-8F3E-9BAAE0E4EFFD}"/>
    <cellStyle name="60% - Énfasis2 5 4 3" xfId="19357" xr:uid="{E423E320-593D-4E2D-A1D7-B94423D0D0C2}"/>
    <cellStyle name="60% - Énfasis2 5 4 4" xfId="25125" xr:uid="{C0D10E7E-1C15-49FE-BB90-156D101C0F5A}"/>
    <cellStyle name="60% - Énfasis2 5 4 5" xfId="30999" xr:uid="{BC1950EA-A968-479D-A73B-1661C0B04034}"/>
    <cellStyle name="60% - Énfasis2 5 4 6" xfId="36878" xr:uid="{34090E91-4513-478A-96AC-CB20E1EC38F9}"/>
    <cellStyle name="60% - Énfasis2 5 5" xfId="5884" xr:uid="{9295FFB8-61A8-4753-9B13-9F7912660864}"/>
    <cellStyle name="60% - Énfasis2 5 5 2" xfId="8753" xr:uid="{27973A4E-D422-4ECE-8113-A507E434B6AA}"/>
    <cellStyle name="60% - Énfasis2 5 5 2 2" xfId="23121" xr:uid="{E3526C82-7269-4374-8342-F2AB0B401A04}"/>
    <cellStyle name="60% - Énfasis2 5 5 2 3" xfId="28985" xr:uid="{4A8AC818-FB7E-48DC-A29E-7120FFCCFC5A}"/>
    <cellStyle name="60% - Énfasis2 5 5 2 4" xfId="34867" xr:uid="{84573307-6595-4B26-A724-FAA23DE303EC}"/>
    <cellStyle name="60% - Énfasis2 5 5 2 5" xfId="40731" xr:uid="{AA8240FA-2230-4C67-A2E3-E9420563B57D}"/>
    <cellStyle name="60% - Énfasis2 5 5 3" xfId="20335" xr:uid="{E4529893-902D-4E2C-AB40-23421CA5FA68}"/>
    <cellStyle name="60% - Énfasis2 5 5 4" xfId="26135" xr:uid="{88D85DE4-C8D4-446F-AE49-ED65114B84F7}"/>
    <cellStyle name="60% - Énfasis2 5 5 5" xfId="32010" xr:uid="{98E46013-F518-49E8-9B3A-15535F9AF1F4}"/>
    <cellStyle name="60% - Énfasis2 5 5 6" xfId="37876" xr:uid="{D053493F-4D69-42A1-A997-CF0996F63E81}"/>
    <cellStyle name="60% - Énfasis2 5 6" xfId="6770" xr:uid="{D88A5CB1-8D4D-4DE4-888F-557001C3BDF9}"/>
    <cellStyle name="60% - Énfasis2 5 6 2" xfId="21194" xr:uid="{8E00FC62-6DE8-4A09-8277-CADEC2518388}"/>
    <cellStyle name="60% - Énfasis2 5 6 3" xfId="27009" xr:uid="{3F3757DB-A181-491B-9903-0B86CC4EE449}"/>
    <cellStyle name="60% - Énfasis2 5 6 4" xfId="32885" xr:uid="{2A0030CA-2CE3-434E-8582-245403A14BC4}"/>
    <cellStyle name="60% - Énfasis2 5 6 5" xfId="38749" xr:uid="{CAB1BE96-6D24-4D04-8344-8BE8CD1C092C}"/>
    <cellStyle name="60% - Énfasis2 5 7" xfId="18440" xr:uid="{032FFEFE-3899-4307-984D-C6EBACF3D93A}"/>
    <cellStyle name="60% - Énfasis2 5 8" xfId="24148" xr:uid="{64B765A5-9F34-437E-9F04-A576F952D5AE}"/>
    <cellStyle name="60% - Énfasis2 5 9" xfId="30026" xr:uid="{C84C60AA-5ED1-4AB4-B348-F1CFFCAB19A7}"/>
    <cellStyle name="60% - Énfasis2 50" xfId="9535" xr:uid="{0FB5BEA1-3BBA-44CC-BAAE-CFBC9316F81B}"/>
    <cellStyle name="60% - Énfasis2 50 2" xfId="23897" xr:uid="{8E81B3E4-BE5A-4819-8892-74B0DA96AB3F}"/>
    <cellStyle name="60% - Énfasis2 50 3" xfId="29767" xr:uid="{472CB131-1DFA-455B-843D-9F5AA7CBE68C}"/>
    <cellStyle name="60% - Énfasis2 50 4" xfId="35649" xr:uid="{63B3871E-0093-4CC6-9C1C-BA5D52A581CF}"/>
    <cellStyle name="60% - Énfasis2 50 5" xfId="41508" xr:uid="{6A5A2447-4136-4397-B082-C9DE34274952}"/>
    <cellStyle name="60% - Énfasis2 51" xfId="9561" xr:uid="{2E7176C4-5DE3-40A8-8D86-8E0E0666BBDC}"/>
    <cellStyle name="60% - Énfasis2 51 2" xfId="23923" xr:uid="{97962242-DA6D-47C4-975A-E2BDA0FF19E7}"/>
    <cellStyle name="60% - Énfasis2 51 3" xfId="29793" xr:uid="{67F0014C-FE0E-4386-9BE2-405EC7911891}"/>
    <cellStyle name="60% - Énfasis2 51 4" xfId="35675" xr:uid="{A7742C3F-C782-4391-8AC9-C94CF79C2E35}"/>
    <cellStyle name="60% - Énfasis2 51 5" xfId="41534" xr:uid="{4EDF2F01-5540-4FF0-B361-83B18DF28D29}"/>
    <cellStyle name="60% - Énfasis2 52" xfId="15763" xr:uid="{D01AFF2E-3E5A-4C55-9443-F84D162A370E}"/>
    <cellStyle name="60% - Énfasis2 52 2" xfId="23983" xr:uid="{378C59CD-A10D-4EB2-9187-EA215E35F3D5}"/>
    <cellStyle name="60% - Énfasis2 52 3" xfId="29855" xr:uid="{D4B713D0-90B0-455B-BF19-00FFAC40095C}"/>
    <cellStyle name="60% - Énfasis2 52 4" xfId="35737" xr:uid="{1441F046-1919-489E-A814-5414B2BBE605}"/>
    <cellStyle name="60% - Énfasis2 52 5" xfId="41596" xr:uid="{2C530309-DDBE-4348-9DB5-A0422A0A2B0E}"/>
    <cellStyle name="60% - Énfasis2 53" xfId="15787" xr:uid="{97B9493B-F9D2-4D15-934D-947CFBA052C7}"/>
    <cellStyle name="60% - Énfasis2 53 2" xfId="24004" xr:uid="{5ED6112C-E599-4ED0-91F9-ED73E501E129}"/>
    <cellStyle name="60% - Énfasis2 53 3" xfId="29879" xr:uid="{0F5BC73C-5237-432D-A7D2-0E966D7BD1C8}"/>
    <cellStyle name="60% - Énfasis2 53 4" xfId="35761" xr:uid="{560FAB49-5B70-4021-8984-C668D8CEC81B}"/>
    <cellStyle name="60% - Énfasis2 53 5" xfId="41620" xr:uid="{3F356417-5059-47C7-8D51-9026D0F0AEB5}"/>
    <cellStyle name="60% - Énfasis2 54" xfId="15822" xr:uid="{AC1EB9BE-FCCD-4080-B100-3F0538EA3CED}"/>
    <cellStyle name="60% - Énfasis2 55" xfId="18297" xr:uid="{F74BDE25-CEF5-4673-8A24-C5025C234FB4}"/>
    <cellStyle name="60% - Énfasis2 56" xfId="18320" xr:uid="{B3AF96B4-9DB8-40FE-A4F8-26B74EECF064}"/>
    <cellStyle name="60% - Énfasis2 57" xfId="24032" xr:uid="{746BD2B1-FC67-457B-92DE-C61C3EE09445}"/>
    <cellStyle name="60% - Énfasis2 58" xfId="29910" xr:uid="{69E97711-D4AB-4057-8BC6-CD9FAED132B1}"/>
    <cellStyle name="60% - Énfasis2 59" xfId="35791" xr:uid="{E1403AD5-2695-41BE-9F30-DD9E2EBF45E2}"/>
    <cellStyle name="60% - Énfasis2 6" xfId="3939" xr:uid="{2A5CE68A-98DE-4D02-9BD9-FDEFA1D96AFE}"/>
    <cellStyle name="60% - Énfasis2 6 10" xfId="35930" xr:uid="{D1A12BD2-0919-4DF9-9484-A09295321B49}"/>
    <cellStyle name="60% - Énfasis2 6 2" xfId="4131" xr:uid="{597E7407-D11D-4695-8DA2-50CD56ABAA4A}"/>
    <cellStyle name="60% - Énfasis2 6 2 2" xfId="4609" xr:uid="{C3858585-21A8-46AB-8603-1EFD789977E2}"/>
    <cellStyle name="60% - Énfasis2 6 2 2 2" xfId="5577" xr:uid="{211D60E8-C6B6-450F-906A-ABB204AA323D}"/>
    <cellStyle name="60% - Énfasis2 6 2 2 2 2" xfId="8444" xr:uid="{D580F096-FC95-4472-BD97-5EAAD582CA23}"/>
    <cellStyle name="60% - Énfasis2 6 2 2 2 2 2" xfId="22819" xr:uid="{C5BC7ED4-9DA3-4EEF-A304-15640B3CFD7C}"/>
    <cellStyle name="60% - Énfasis2 6 2 2 2 2 3" xfId="28677" xr:uid="{27AE35FA-3091-4E9B-921D-9FC152B8171A}"/>
    <cellStyle name="60% - Énfasis2 6 2 2 2 2 4" xfId="34559" xr:uid="{6407D0ED-AC8A-4FF2-8A6C-34E4A1CFACBF}"/>
    <cellStyle name="60% - Énfasis2 6 2 2 2 2 5" xfId="40423" xr:uid="{950592D4-4633-41E9-A5F7-6A8A10D49E7B}"/>
    <cellStyle name="60% - Énfasis2 6 2 2 2 3" xfId="20037" xr:uid="{10ABE89C-22F2-4BC7-8B86-568829D02DDB}"/>
    <cellStyle name="60% - Énfasis2 6 2 2 2 4" xfId="25828" xr:uid="{84EC2883-FF80-46A5-9FA7-D69D8CF62A90}"/>
    <cellStyle name="60% - Énfasis2 6 2 2 2 5" xfId="31702" xr:uid="{69A6D4E9-EBCC-490D-99B0-E94E7E4B76A5}"/>
    <cellStyle name="60% - Énfasis2 6 2 2 2 6" xfId="37572" xr:uid="{52981B2A-E5C9-44D8-A4E9-B135C47EE715}"/>
    <cellStyle name="60% - Énfasis2 6 2 2 3" xfId="7472" xr:uid="{D3C8502A-051D-49FE-8023-225069E4D076}"/>
    <cellStyle name="60% - Énfasis2 6 2 2 3 2" xfId="21874" xr:uid="{B39F932B-C5F0-485D-AE03-A28EB0B2E840}"/>
    <cellStyle name="60% - Énfasis2 6 2 2 3 3" xfId="27706" xr:uid="{4985EBC1-8543-45FF-A829-F8A3F27A6774}"/>
    <cellStyle name="60% - Énfasis2 6 2 2 3 4" xfId="33588" xr:uid="{7BD616F6-E581-4035-B143-220198473A83}"/>
    <cellStyle name="60% - Énfasis2 6 2 2 3 5" xfId="39452" xr:uid="{E7102C9D-E162-4820-9C2A-8B07D808637E}"/>
    <cellStyle name="60% - Énfasis2 6 2 2 4" xfId="19104" xr:uid="{6C173B80-542F-4850-B0A2-15C46D727C0F}"/>
    <cellStyle name="60% - Énfasis2 6 2 2 5" xfId="24857" xr:uid="{A5AD0BA9-0497-4572-81A4-61BE3B2D62FD}"/>
    <cellStyle name="60% - Énfasis2 6 2 2 6" xfId="30734" xr:uid="{6202F098-73C0-4192-B446-0DD4CCC9AF98}"/>
    <cellStyle name="60% - Énfasis2 6 2 2 7" xfId="36615" xr:uid="{70570ABD-8BC2-4DBB-902D-A31C4C4195A8}"/>
    <cellStyle name="60% - Énfasis2 6 2 3" xfId="5092" xr:uid="{2B2C93FF-FB76-4A94-A7E1-FAA7AA855909}"/>
    <cellStyle name="60% - Énfasis2 6 2 3 2" xfId="7959" xr:uid="{E173EDD1-6C26-4BA3-9439-51B972E138D5}"/>
    <cellStyle name="60% - Énfasis2 6 2 3 2 2" xfId="22344" xr:uid="{BB5E5947-C562-4A26-9E8B-DE2BB31212AB}"/>
    <cellStyle name="60% - Énfasis2 6 2 3 2 3" xfId="28192" xr:uid="{C6D127CE-892A-41BF-958C-2B736BCD9F11}"/>
    <cellStyle name="60% - Énfasis2 6 2 3 2 4" xfId="34074" xr:uid="{A5898452-F155-45EA-AF3D-969502F82165}"/>
    <cellStyle name="60% - Énfasis2 6 2 3 2 5" xfId="39938" xr:uid="{D6BF2A29-141E-4A10-87B3-0FFAFBA90FAA}"/>
    <cellStyle name="60% - Énfasis2 6 2 3 3" xfId="19569" xr:uid="{C3375B94-D4BD-4BB1-8D33-2C0C1A168405}"/>
    <cellStyle name="60% - Énfasis2 6 2 3 4" xfId="25343" xr:uid="{57B57F4D-048B-4AC8-9775-4E32A92FD3F8}"/>
    <cellStyle name="60% - Énfasis2 6 2 3 5" xfId="31217" xr:uid="{1C2E1BFB-356B-4A8F-920E-0D519DFFD27E}"/>
    <cellStyle name="60% - Énfasis2 6 2 3 6" xfId="37095" xr:uid="{92C730D5-15F6-4433-B7CC-2A421DBFB779}"/>
    <cellStyle name="60% - Énfasis2 6 2 4" xfId="6987" xr:uid="{3FB2E503-3386-4488-97C0-68ED1628BA69}"/>
    <cellStyle name="60% - Énfasis2 6 2 4 2" xfId="21406" xr:uid="{2DA4B847-4BFB-43CE-A42B-7CFEEEE2C41F}"/>
    <cellStyle name="60% - Énfasis2 6 2 4 3" xfId="27225" xr:uid="{2A013360-8776-46F8-841A-9CF7CDAEB9A3}"/>
    <cellStyle name="60% - Énfasis2 6 2 4 4" xfId="33103" xr:uid="{BAC82E3A-D5FD-4AB2-9B71-63E2DAAE7533}"/>
    <cellStyle name="60% - Énfasis2 6 2 4 5" xfId="38967" xr:uid="{173381E1-CBDB-4821-889B-3876D2619210}"/>
    <cellStyle name="60% - Énfasis2 6 2 5" xfId="18660" xr:uid="{1B05EEBD-A70A-404A-B073-3CDE68D9B512}"/>
    <cellStyle name="60% - Énfasis2 6 2 6" xfId="24374" xr:uid="{684EC4E2-1E58-42D6-9F78-8F6445018650}"/>
    <cellStyle name="60% - Énfasis2 6 2 7" xfId="30252" xr:uid="{F92EE25C-52D5-4FCF-A0EA-1A4514EF9824}"/>
    <cellStyle name="60% - Énfasis2 6 2 8" xfId="36131" xr:uid="{0058E791-A8D7-4207-BC3B-654CC36981B9}"/>
    <cellStyle name="60% - Énfasis2 6 3" xfId="4415" xr:uid="{2C2DD31E-C62A-4859-8076-262AA798BAE7}"/>
    <cellStyle name="60% - Énfasis2 6 3 2" xfId="5381" xr:uid="{3C5C589F-3C87-43DE-82A7-3D178A84E17E}"/>
    <cellStyle name="60% - Énfasis2 6 3 2 2" xfId="8248" xr:uid="{B4711153-9E4A-40FB-B9E1-0429627F94D5}"/>
    <cellStyle name="60% - Énfasis2 6 3 2 2 2" xfId="22624" xr:uid="{F4D10C3B-CEFC-4C88-8147-18A37D4786F5}"/>
    <cellStyle name="60% - Énfasis2 6 3 2 2 3" xfId="28481" xr:uid="{A401DBCE-6DD8-406D-BE4A-21AF9ADA5D17}"/>
    <cellStyle name="60% - Énfasis2 6 3 2 2 4" xfId="34363" xr:uid="{A8535B01-A9CC-4B75-8CF8-3F6A74533C1B}"/>
    <cellStyle name="60% - Énfasis2 6 3 2 2 5" xfId="40227" xr:uid="{BCA832DA-B2ED-4678-BA32-F28E312A98E6}"/>
    <cellStyle name="60% - Énfasis2 6 3 2 3" xfId="19848" xr:uid="{F203F539-9859-45C7-80FE-9C8035FA1007}"/>
    <cellStyle name="60% - Énfasis2 6 3 2 4" xfId="25632" xr:uid="{C562982E-81AC-4CA6-BB88-DB89AF298C9D}"/>
    <cellStyle name="60% - Énfasis2 6 3 2 5" xfId="31506" xr:uid="{76434C7E-5873-4B79-A754-3EA7BCD7E401}"/>
    <cellStyle name="60% - Énfasis2 6 3 2 6" xfId="37377" xr:uid="{CA95E4FD-98B6-45AB-9B13-80973B2E52E5}"/>
    <cellStyle name="60% - Énfasis2 6 3 3" xfId="7276" xr:uid="{79690277-0A99-4E35-83F6-EFD33AC9A5B2}"/>
    <cellStyle name="60% - Énfasis2 6 3 3 2" xfId="21683" xr:uid="{D4C59015-934B-4D0F-AEC1-0B86A4E87C67}"/>
    <cellStyle name="60% - Énfasis2 6 3 3 3" xfId="27510" xr:uid="{B6C29CD3-6D58-47CF-98B5-1F97675E4BCF}"/>
    <cellStyle name="60% - Énfasis2 6 3 3 4" xfId="33392" xr:uid="{E18704D5-BFEB-40A5-89F5-FFA1365C5325}"/>
    <cellStyle name="60% - Énfasis2 6 3 3 5" xfId="39256" xr:uid="{8F911A64-703C-40AF-8AC0-4C95F994AB91}"/>
    <cellStyle name="60% - Énfasis2 6 3 4" xfId="18917" xr:uid="{BFF335DE-88B0-4789-9338-515FE08E4CA9}"/>
    <cellStyle name="60% - Énfasis2 6 3 5" xfId="24661" xr:uid="{69744308-F8FA-4673-A5B2-BA9300EAF7BC}"/>
    <cellStyle name="60% - Énfasis2 6 3 6" xfId="30540" xr:uid="{900A0C28-60D2-4A6E-8824-EF3941C19408}"/>
    <cellStyle name="60% - Énfasis2 6 3 7" xfId="36420" xr:uid="{61D454C8-E7F5-427A-8792-9CA46DC12C6D}"/>
    <cellStyle name="60% - Énfasis2 6 4" xfId="4896" xr:uid="{FB7132BB-B4B8-41DB-9299-716E9075E95C}"/>
    <cellStyle name="60% - Énfasis2 6 4 2" xfId="7763" xr:uid="{C24B3802-7F8C-442C-99E8-D14F1476749C}"/>
    <cellStyle name="60% - Énfasis2 6 4 2 2" xfId="22153" xr:uid="{438DDDDA-2D63-490D-92E6-4A550C05E5CD}"/>
    <cellStyle name="60% - Énfasis2 6 4 2 3" xfId="27996" xr:uid="{5AC1F374-7EE2-4B8B-9D43-579995425AC4}"/>
    <cellStyle name="60% - Énfasis2 6 4 2 4" xfId="33878" xr:uid="{9F73A528-E79F-417C-AC98-1129F2FF0720}"/>
    <cellStyle name="60% - Énfasis2 6 4 2 5" xfId="39742" xr:uid="{6CE492A5-FB87-406E-998A-769CC80ED341}"/>
    <cellStyle name="60% - Énfasis2 6 4 3" xfId="19379" xr:uid="{D8FB5627-8F6A-45F9-BD13-65E639A53411}"/>
    <cellStyle name="60% - Énfasis2 6 4 4" xfId="25147" xr:uid="{171B15FC-539C-4AD8-873F-4C2E9CA71F86}"/>
    <cellStyle name="60% - Énfasis2 6 4 5" xfId="31021" xr:uid="{B48086E4-8527-4D74-AF74-0CE0D77BC6FE}"/>
    <cellStyle name="60% - Énfasis2 6 4 6" xfId="36900" xr:uid="{B672C21E-A8A7-472C-9156-1D964660AFC3}"/>
    <cellStyle name="60% - Énfasis2 6 5" xfId="5906" xr:uid="{60B5A52D-9542-43E5-9255-465B4E4C86A6}"/>
    <cellStyle name="60% - Énfasis2 6 5 2" xfId="8775" xr:uid="{54FB7664-27CB-45C1-9A57-C410B12698FA}"/>
    <cellStyle name="60% - Énfasis2 6 5 2 2" xfId="23143" xr:uid="{CDC2AC7C-606C-4D05-B70A-C748BCBFA0AA}"/>
    <cellStyle name="60% - Énfasis2 6 5 2 3" xfId="29007" xr:uid="{F95A1669-150D-485C-B077-57533CF36113}"/>
    <cellStyle name="60% - Énfasis2 6 5 2 4" xfId="34889" xr:uid="{10B975FA-041B-4B93-BF6C-0279314B8C86}"/>
    <cellStyle name="60% - Énfasis2 6 5 2 5" xfId="40753" xr:uid="{96D39BD8-4BD2-45B2-A276-D793A85EDD2E}"/>
    <cellStyle name="60% - Énfasis2 6 5 3" xfId="20357" xr:uid="{A5E15163-9D27-4292-90F7-250A20AE93A3}"/>
    <cellStyle name="60% - Énfasis2 6 5 4" xfId="26157" xr:uid="{6205C9B8-D3E0-4F66-AA05-1A22FE8E9BA3}"/>
    <cellStyle name="60% - Énfasis2 6 5 5" xfId="32032" xr:uid="{DBED1A4B-271A-4FDA-9456-2E85F86FFE2F}"/>
    <cellStyle name="60% - Énfasis2 6 5 6" xfId="37898" xr:uid="{34E50755-8F67-4CC2-926C-CCC4D63659B2}"/>
    <cellStyle name="60% - Énfasis2 6 6" xfId="6792" xr:uid="{BA056EA1-BD09-4D42-9CAA-2CF2E6C1693F}"/>
    <cellStyle name="60% - Énfasis2 6 6 2" xfId="21216" xr:uid="{0E4C7095-A355-4CCD-B9F8-6B5787585CF4}"/>
    <cellStyle name="60% - Énfasis2 6 6 3" xfId="27031" xr:uid="{ADBB562F-7A73-4EC8-BD0F-1D284488728F}"/>
    <cellStyle name="60% - Énfasis2 6 6 4" xfId="32907" xr:uid="{EA85C7FE-6F9B-4ACC-8322-32DF15BDB836}"/>
    <cellStyle name="60% - Énfasis2 6 6 5" xfId="38771" xr:uid="{4D9D356F-5BB9-4F78-B681-0814C9327288}"/>
    <cellStyle name="60% - Énfasis2 6 7" xfId="18463" xr:uid="{FC746346-C5D2-4A99-BEF7-E7B2CC7367F1}"/>
    <cellStyle name="60% - Énfasis2 6 8" xfId="24171" xr:uid="{1B03121D-6591-418E-A6B2-27A1488F9C8D}"/>
    <cellStyle name="60% - Énfasis2 6 9" xfId="30049" xr:uid="{F0A71D19-C96D-411C-8F0F-E148489EB139}"/>
    <cellStyle name="60% - Énfasis2 7" xfId="3963" xr:uid="{70847087-AA1F-47D0-8EF5-D1901805AED9}"/>
    <cellStyle name="60% - Énfasis2 7 10" xfId="35955" xr:uid="{64A04AF1-6618-4A01-B8A1-D050BD8AD0CD}"/>
    <cellStyle name="60% - Énfasis2 7 2" xfId="4155" xr:uid="{DF66CE7A-B8F4-4F21-9A46-A805DBEF2BE0}"/>
    <cellStyle name="60% - Énfasis2 7 2 2" xfId="4633" xr:uid="{8BA5CB19-8103-4B8C-B14D-77A69AA22FCE}"/>
    <cellStyle name="60% - Énfasis2 7 2 2 2" xfId="5601" xr:uid="{ADD5AC6F-8744-4D6C-ADB6-88757EF8832D}"/>
    <cellStyle name="60% - Énfasis2 7 2 2 2 2" xfId="8468" xr:uid="{9B521783-09FB-445E-A4F4-76367B841519}"/>
    <cellStyle name="60% - Énfasis2 7 2 2 2 2 2" xfId="22843" xr:uid="{C082D64D-E8FF-4695-88D4-DDEE2B83C5BF}"/>
    <cellStyle name="60% - Énfasis2 7 2 2 2 2 3" xfId="28701" xr:uid="{F4581665-F0D1-4718-82BD-BAB1E96ED78C}"/>
    <cellStyle name="60% - Énfasis2 7 2 2 2 2 4" xfId="34583" xr:uid="{C0F1FDD8-8E88-41D8-9E51-095D55B75037}"/>
    <cellStyle name="60% - Énfasis2 7 2 2 2 2 5" xfId="40447" xr:uid="{8AF88B54-B05D-4C2E-8689-B897CF1885DF}"/>
    <cellStyle name="60% - Énfasis2 7 2 2 2 3" xfId="20060" xr:uid="{14A9EA24-D42C-4669-957D-08605DA32502}"/>
    <cellStyle name="60% - Énfasis2 7 2 2 2 4" xfId="25852" xr:uid="{F9879766-4EDA-408C-A97B-B7301F9F35A0}"/>
    <cellStyle name="60% - Énfasis2 7 2 2 2 5" xfId="31726" xr:uid="{617FEBDE-F678-4946-BF65-76753232C6DA}"/>
    <cellStyle name="60% - Énfasis2 7 2 2 2 6" xfId="37596" xr:uid="{1FA3EF8B-1C20-4480-88A1-76160D5BCD14}"/>
    <cellStyle name="60% - Énfasis2 7 2 2 3" xfId="7496" xr:uid="{B76CBBCC-A9F7-4BFB-95A8-52A0EA1839EF}"/>
    <cellStyle name="60% - Énfasis2 7 2 2 3 2" xfId="21897" xr:uid="{B9787CF4-91A8-4DAE-9520-1E6421FF208D}"/>
    <cellStyle name="60% - Énfasis2 7 2 2 3 3" xfId="27730" xr:uid="{44797B3E-17B4-47FF-9AE4-1D3C1BEDD9D8}"/>
    <cellStyle name="60% - Énfasis2 7 2 2 3 4" xfId="33612" xr:uid="{2B7313D1-87CA-4119-ABA4-9B309EBFAA06}"/>
    <cellStyle name="60% - Énfasis2 7 2 2 3 5" xfId="39476" xr:uid="{C58665B6-77EE-456B-9AA9-F2FAB1711C25}"/>
    <cellStyle name="60% - Énfasis2 7 2 2 4" xfId="19127" xr:uid="{929BF471-231D-431A-A452-7C7BE635E426}"/>
    <cellStyle name="60% - Énfasis2 7 2 2 5" xfId="24881" xr:uid="{03991D12-9F19-4A96-B25D-338D8773FB94}"/>
    <cellStyle name="60% - Énfasis2 7 2 2 6" xfId="30757" xr:uid="{3F1C1776-B9AB-4FC7-8FB5-33CCAB760BD8}"/>
    <cellStyle name="60% - Énfasis2 7 2 2 7" xfId="36639" xr:uid="{143AF98D-07E9-4B84-86BA-E85023E6C08A}"/>
    <cellStyle name="60% - Énfasis2 7 2 3" xfId="5116" xr:uid="{7B28BAF0-90EB-49CC-959A-C38A7BDB9CCD}"/>
    <cellStyle name="60% - Énfasis2 7 2 3 2" xfId="7983" xr:uid="{B6016048-384B-4DD8-B940-3E13AE5B3CB4}"/>
    <cellStyle name="60% - Énfasis2 7 2 3 2 2" xfId="22368" xr:uid="{D82BADCA-0ABB-463E-815D-80789EEE1E1D}"/>
    <cellStyle name="60% - Énfasis2 7 2 3 2 3" xfId="28216" xr:uid="{3569A8EB-185F-49A9-ABF8-E461E12E5DD4}"/>
    <cellStyle name="60% - Énfasis2 7 2 3 2 4" xfId="34098" xr:uid="{3B64E540-B01A-4465-A9FC-E0E3163103BA}"/>
    <cellStyle name="60% - Énfasis2 7 2 3 2 5" xfId="39962" xr:uid="{CE37B6E2-BFBE-4695-AC39-099AFD75295C}"/>
    <cellStyle name="60% - Énfasis2 7 2 3 3" xfId="19591" xr:uid="{FCF82E87-808C-4D18-BE90-4D0F65CB2CD9}"/>
    <cellStyle name="60% - Énfasis2 7 2 3 4" xfId="25367" xr:uid="{08EAD5C3-17CA-485E-85F6-8633F994150F}"/>
    <cellStyle name="60% - Énfasis2 7 2 3 5" xfId="31241" xr:uid="{60D42838-23D0-4DFF-8032-1D91887FAEDE}"/>
    <cellStyle name="60% - Énfasis2 7 2 3 6" xfId="37119" xr:uid="{AD682711-5BEE-49F5-B4E9-4CD1E445A0C3}"/>
    <cellStyle name="60% - Énfasis2 7 2 4" xfId="7011" xr:uid="{A25AFF08-0910-4B67-A4EA-61A26CA5B9D8}"/>
    <cellStyle name="60% - Énfasis2 7 2 4 2" xfId="21428" xr:uid="{7A62BDFA-5E99-42A5-9AC2-9D4CB9AA09E4}"/>
    <cellStyle name="60% - Énfasis2 7 2 4 3" xfId="27249" xr:uid="{41779226-53E3-4835-920B-948436F9E591}"/>
    <cellStyle name="60% - Énfasis2 7 2 4 4" xfId="33127" xr:uid="{76B2E00F-9ACA-4A64-8CF8-487E8C5DF016}"/>
    <cellStyle name="60% - Énfasis2 7 2 4 5" xfId="38991" xr:uid="{7533AD7A-F703-4B1A-866D-9CFDDA48B253}"/>
    <cellStyle name="60% - Énfasis2 7 2 5" xfId="18683" xr:uid="{C51FC7B5-3E01-483C-87A3-DE1935B31866}"/>
    <cellStyle name="60% - Énfasis2 7 2 6" xfId="24398" xr:uid="{64279A98-B7A1-4989-A3DE-F81DBC0353B5}"/>
    <cellStyle name="60% - Énfasis2 7 2 7" xfId="30275" xr:uid="{2282D0AD-E85C-40F8-8B1B-1BA8CD16D458}"/>
    <cellStyle name="60% - Énfasis2 7 2 8" xfId="36155" xr:uid="{CCFD66BA-0827-4340-A187-1F6BDA188A2E}"/>
    <cellStyle name="60% - Énfasis2 7 3" xfId="4438" xr:uid="{CA68F570-6870-41EB-B6F6-295E17F461CF}"/>
    <cellStyle name="60% - Énfasis2 7 3 2" xfId="5405" xr:uid="{9A73BD9C-DDD2-4024-AD0B-DD9D57E6BB5B}"/>
    <cellStyle name="60% - Énfasis2 7 3 2 2" xfId="8272" xr:uid="{ACB3E3AC-2834-4C5A-BAF7-B8C557F62F00}"/>
    <cellStyle name="60% - Énfasis2 7 3 2 2 2" xfId="22648" xr:uid="{639737A2-115A-49C5-B729-1686DF2D6F92}"/>
    <cellStyle name="60% - Énfasis2 7 3 2 2 3" xfId="28505" xr:uid="{78B0E81F-33CD-44A0-A978-94C607886660}"/>
    <cellStyle name="60% - Énfasis2 7 3 2 2 4" xfId="34387" xr:uid="{1FFC935C-BD9D-45F5-8006-B462979ED9B8}"/>
    <cellStyle name="60% - Énfasis2 7 3 2 2 5" xfId="40251" xr:uid="{ECF8E84C-AEF0-4D12-B3B5-0E728288328A}"/>
    <cellStyle name="60% - Énfasis2 7 3 2 3" xfId="19870" xr:uid="{5C42CAB7-5669-4A67-A4F0-BFF583A771DC}"/>
    <cellStyle name="60% - Énfasis2 7 3 2 4" xfId="25656" xr:uid="{FE782CA9-9369-4352-AE77-75F1C46E5034}"/>
    <cellStyle name="60% - Énfasis2 7 3 2 5" xfId="31530" xr:uid="{7F043CD5-5689-47C7-A28F-F88EF6D31C85}"/>
    <cellStyle name="60% - Énfasis2 7 3 2 6" xfId="37401" xr:uid="{A88EAE2A-D163-433F-8F0E-9A7C08F17A24}"/>
    <cellStyle name="60% - Énfasis2 7 3 3" xfId="7300" xr:uid="{3997799B-128A-40C0-BBE7-6EC606CC0C96}"/>
    <cellStyle name="60% - Énfasis2 7 3 3 2" xfId="21705" xr:uid="{27302562-11AD-409E-8182-ED203EF96333}"/>
    <cellStyle name="60% - Énfasis2 7 3 3 3" xfId="27534" xr:uid="{66460822-B2D8-49B4-B12E-CC4087622179}"/>
    <cellStyle name="60% - Énfasis2 7 3 3 4" xfId="33416" xr:uid="{3947893B-CC7D-4231-8657-832A4289A5ED}"/>
    <cellStyle name="60% - Énfasis2 7 3 3 5" xfId="39280" xr:uid="{36DEC8DF-F986-441C-B7DC-EC8869AB9008}"/>
    <cellStyle name="60% - Énfasis2 7 3 4" xfId="18941" xr:uid="{7D95B7A2-DDB9-4DB6-9B78-5660471E8CA5}"/>
    <cellStyle name="60% - Énfasis2 7 3 5" xfId="24685" xr:uid="{642D27DA-0A2F-4C1F-A71C-8FF3869CC860}"/>
    <cellStyle name="60% - Énfasis2 7 3 6" xfId="30563" xr:uid="{FFCB74A7-9CF4-47ED-AC9D-69199CD3DC38}"/>
    <cellStyle name="60% - Énfasis2 7 3 7" xfId="36444" xr:uid="{BA0DBA31-6AF7-4D4F-8569-4026C4504EDE}"/>
    <cellStyle name="60% - Énfasis2 7 4" xfId="4920" xr:uid="{E96EF8C9-2307-4A1F-9A2D-C1BE48C40159}"/>
    <cellStyle name="60% - Énfasis2 7 4 2" xfId="7787" xr:uid="{C8052D45-3FFA-425F-8073-6A2F687D94E2}"/>
    <cellStyle name="60% - Énfasis2 7 4 2 2" xfId="22175" xr:uid="{1CB75B40-41B9-4E72-BC2F-A10AB0B84C13}"/>
    <cellStyle name="60% - Énfasis2 7 4 2 3" xfId="28020" xr:uid="{F5BE35BF-1E10-4EDA-943C-D0A31019C05C}"/>
    <cellStyle name="60% - Énfasis2 7 4 2 4" xfId="33902" xr:uid="{E3D27393-C902-4618-9A41-7DC306D094F4}"/>
    <cellStyle name="60% - Énfasis2 7 4 2 5" xfId="39766" xr:uid="{3D7C8727-A741-4691-8194-BE0D834277B6}"/>
    <cellStyle name="60% - Énfasis2 7 4 3" xfId="19402" xr:uid="{E3E8E1B6-6876-4CD7-97AE-FC9A7FAFC245}"/>
    <cellStyle name="60% - Énfasis2 7 4 4" xfId="25171" xr:uid="{B07DE5AC-B4B1-4A5C-AD6A-50EF5CF1AEFD}"/>
    <cellStyle name="60% - Énfasis2 7 4 5" xfId="31045" xr:uid="{72B05D1B-56B6-4970-A775-896B5D3D984D}"/>
    <cellStyle name="60% - Énfasis2 7 4 6" xfId="36924" xr:uid="{D9D2A863-E896-44FC-8C42-A1462CC3FB89}"/>
    <cellStyle name="60% - Énfasis2 7 5" xfId="5930" xr:uid="{197ED084-67E8-4079-B5BB-678C6EA83D41}"/>
    <cellStyle name="60% - Énfasis2 7 5 2" xfId="8799" xr:uid="{F6E1FF47-9243-4C88-A8C0-B5C593475668}"/>
    <cellStyle name="60% - Énfasis2 7 5 2 2" xfId="23166" xr:uid="{9FEB62BE-3C48-4D57-AD16-2E80537CA54D}"/>
    <cellStyle name="60% - Énfasis2 7 5 2 3" xfId="29031" xr:uid="{D9AD8F11-9C60-424B-BA90-A99F1F262B57}"/>
    <cellStyle name="60% - Énfasis2 7 5 2 4" xfId="34913" xr:uid="{7AB51363-6A43-470F-AD66-E2881414E252}"/>
    <cellStyle name="60% - Énfasis2 7 5 2 5" xfId="40777" xr:uid="{7827C8AF-FBBA-4AD3-98FD-452B52EDD6DD}"/>
    <cellStyle name="60% - Énfasis2 7 5 3" xfId="20380" xr:uid="{311AB643-40A8-47E3-A20B-3BA236F7B5B2}"/>
    <cellStyle name="60% - Énfasis2 7 5 4" xfId="26181" xr:uid="{5CFC66BA-1BD5-42E0-AFD3-DBEEE3FE9A33}"/>
    <cellStyle name="60% - Énfasis2 7 5 5" xfId="32056" xr:uid="{FE64B761-F140-4621-B692-092220B8F41E}"/>
    <cellStyle name="60% - Énfasis2 7 5 6" xfId="37922" xr:uid="{B326A33B-25DA-47DE-8CEF-6EA171EAE325}"/>
    <cellStyle name="60% - Énfasis2 7 6" xfId="6816" xr:uid="{32B2BEB0-4A25-4D72-A2D2-C9417C36B524}"/>
    <cellStyle name="60% - Énfasis2 7 6 2" xfId="21239" xr:uid="{4622592E-41DF-4EA3-AEB9-53B6D61DE14B}"/>
    <cellStyle name="60% - Énfasis2 7 6 3" xfId="27055" xr:uid="{671074F3-1BE7-4D9E-8528-DC5C24BA1A15}"/>
    <cellStyle name="60% - Énfasis2 7 6 4" xfId="32931" xr:uid="{E0EF728C-2D93-472E-AFA0-79C224B37D81}"/>
    <cellStyle name="60% - Énfasis2 7 6 5" xfId="38795" xr:uid="{F49529EC-8DEE-4F3A-886E-F19A2CB84D88}"/>
    <cellStyle name="60% - Énfasis2 7 7" xfId="18489" xr:uid="{AA834F11-A689-4605-9395-9B773D716A21}"/>
    <cellStyle name="60% - Énfasis2 7 8" xfId="24197" xr:uid="{A0A4B902-7F2D-45A5-9480-0F6E9E1E086C}"/>
    <cellStyle name="60% - Énfasis2 7 9" xfId="30075" xr:uid="{7256719A-1BAB-4D6C-892F-6097EE36AD56}"/>
    <cellStyle name="60% - Énfasis2 8" xfId="3989" xr:uid="{86802E39-6F9B-4CC1-AD28-4412618D6A6F}"/>
    <cellStyle name="60% - Énfasis2 8 10" xfId="35983" xr:uid="{C8D1A793-32BE-4B18-A1FF-BDB5BFED7E45}"/>
    <cellStyle name="60% - Énfasis2 8 2" xfId="4181" xr:uid="{C1B62A13-9624-466E-B1A8-909269356BEB}"/>
    <cellStyle name="60% - Énfasis2 8 2 2" xfId="4659" xr:uid="{7974266A-1B17-40FD-B0BE-BD40E6D5D215}"/>
    <cellStyle name="60% - Énfasis2 8 2 2 2" xfId="5627" xr:uid="{041A9F4F-6952-4730-BC23-68E728352170}"/>
    <cellStyle name="60% - Énfasis2 8 2 2 2 2" xfId="8494" xr:uid="{BBF631DB-5D9E-4EBE-8DCB-F7B753F3B622}"/>
    <cellStyle name="60% - Énfasis2 8 2 2 2 2 2" xfId="22868" xr:uid="{E87C618D-F7D3-4D44-B7EB-5D27467715E1}"/>
    <cellStyle name="60% - Énfasis2 8 2 2 2 2 3" xfId="28727" xr:uid="{982CD08F-4757-4612-938A-127EDAFE0CA1}"/>
    <cellStyle name="60% - Énfasis2 8 2 2 2 2 4" xfId="34609" xr:uid="{21C7A9F3-A72E-4232-95A0-7E55A49BD390}"/>
    <cellStyle name="60% - Énfasis2 8 2 2 2 2 5" xfId="40473" xr:uid="{50536646-ACAE-40FB-88CB-7C49600FD72A}"/>
    <cellStyle name="60% - Énfasis2 8 2 2 2 3" xfId="20086" xr:uid="{287D2237-1F63-4D1B-8EA1-1C6C94B7CAB8}"/>
    <cellStyle name="60% - Énfasis2 8 2 2 2 4" xfId="25878" xr:uid="{9209772D-667B-45A3-9162-FAC04A46DDB8}"/>
    <cellStyle name="60% - Énfasis2 8 2 2 2 5" xfId="31752" xr:uid="{63278ABF-625E-44BF-A955-B801280A36D8}"/>
    <cellStyle name="60% - Énfasis2 8 2 2 2 6" xfId="37621" xr:uid="{5A4F5B68-6017-4674-95E7-BD9A20FF7896}"/>
    <cellStyle name="60% - Énfasis2 8 2 2 3" xfId="7522" xr:uid="{E6FE080F-2625-4524-B1D1-4224AAD7EA60}"/>
    <cellStyle name="60% - Énfasis2 8 2 2 3 2" xfId="21922" xr:uid="{DA5C44B7-B9B3-4597-BC6F-6CF57B46330A}"/>
    <cellStyle name="60% - Énfasis2 8 2 2 3 3" xfId="27756" xr:uid="{244B5487-3196-4402-A300-272DAF264D76}"/>
    <cellStyle name="60% - Énfasis2 8 2 2 3 4" xfId="33638" xr:uid="{2D8CD5AF-C4F0-4A0A-B13E-8FB7BF97CCD9}"/>
    <cellStyle name="60% - Énfasis2 8 2 2 3 5" xfId="39502" xr:uid="{12E4134C-A0C9-4D7E-8A19-729A7C28050E}"/>
    <cellStyle name="60% - Énfasis2 8 2 2 4" xfId="19151" xr:uid="{61CAC8A7-3012-4F1E-ABEF-577CF3A168A2}"/>
    <cellStyle name="60% - Énfasis2 8 2 2 5" xfId="24907" xr:uid="{BD8F8054-0C63-4B4F-97D8-A03AA2887B81}"/>
    <cellStyle name="60% - Énfasis2 8 2 2 6" xfId="30783" xr:uid="{30C79F1D-64CA-4AAD-8F86-B9C27E1FDD1E}"/>
    <cellStyle name="60% - Énfasis2 8 2 2 7" xfId="36664" xr:uid="{0C83F5BA-961B-47FA-8520-3CF9D0AB65AD}"/>
    <cellStyle name="60% - Énfasis2 8 2 3" xfId="5142" xr:uid="{13058816-CDC7-4790-BF05-7722A0E53FDB}"/>
    <cellStyle name="60% - Énfasis2 8 2 3 2" xfId="8009" xr:uid="{F1381210-D6E1-47D3-A426-072638D0096E}"/>
    <cellStyle name="60% - Énfasis2 8 2 3 2 2" xfId="22393" xr:uid="{242541B0-B1A1-4BE7-BECF-C87AC67E8CCA}"/>
    <cellStyle name="60% - Énfasis2 8 2 3 2 3" xfId="28242" xr:uid="{1D6245ED-8A21-4F46-A620-C688D6299E8C}"/>
    <cellStyle name="60% - Énfasis2 8 2 3 2 4" xfId="34124" xr:uid="{0F47087B-8D35-4151-9678-6CBC578171BA}"/>
    <cellStyle name="60% - Énfasis2 8 2 3 2 5" xfId="39988" xr:uid="{E5D0DB59-CC85-4E11-8D96-CE5D582E8BA5}"/>
    <cellStyle name="60% - Énfasis2 8 2 3 3" xfId="19616" xr:uid="{5DD110A7-1CBA-4AF9-9DA8-18558C559EA7}"/>
    <cellStyle name="60% - Énfasis2 8 2 3 4" xfId="25393" xr:uid="{25062DC7-4467-4DA2-AE1F-A2EE9B7EBF9B}"/>
    <cellStyle name="60% - Énfasis2 8 2 3 5" xfId="31267" xr:uid="{EC438ECB-DB11-46C0-8C1B-112F2217165B}"/>
    <cellStyle name="60% - Énfasis2 8 2 3 6" xfId="37144" xr:uid="{4E64B3BE-4856-48EF-BB91-11C985C864C0}"/>
    <cellStyle name="60% - Énfasis2 8 2 4" xfId="7037" xr:uid="{652EA52B-67EB-42AB-99FE-F61485A68A2C}"/>
    <cellStyle name="60% - Énfasis2 8 2 4 2" xfId="21453" xr:uid="{73919FBF-CBF6-41BF-ADFC-F2A1CCF8ECAA}"/>
    <cellStyle name="60% - Énfasis2 8 2 4 3" xfId="27274" xr:uid="{77C0C98E-CEAD-4611-99CA-CE0E1DF99804}"/>
    <cellStyle name="60% - Énfasis2 8 2 4 4" xfId="33153" xr:uid="{142AC7BC-6127-4C04-BD6C-C33BB20F60D1}"/>
    <cellStyle name="60% - Énfasis2 8 2 4 5" xfId="39017" xr:uid="{34F31996-7399-4274-8E54-EFA113A23BAB}"/>
    <cellStyle name="60% - Énfasis2 8 2 5" xfId="18708" xr:uid="{25B7FAC4-AE11-4C4F-B995-317856B762DD}"/>
    <cellStyle name="60% - Énfasis2 8 2 6" xfId="24424" xr:uid="{8CFA8347-973F-4CB8-99CA-3BD040ED93C3}"/>
    <cellStyle name="60% - Énfasis2 8 2 7" xfId="30301" xr:uid="{F9E78D3D-809B-4A9B-8511-CB814482FB26}"/>
    <cellStyle name="60% - Énfasis2 8 2 8" xfId="36181" xr:uid="{32DE4C9D-9A1C-469B-8CBF-40A51FDC66FA}"/>
    <cellStyle name="60% - Énfasis2 8 3" xfId="4463" xr:uid="{B0DA4234-A306-41FA-84C8-32A845290FE3}"/>
    <cellStyle name="60% - Énfasis2 8 3 2" xfId="5431" xr:uid="{960D865D-D903-4967-BF2C-13A6FAE3356E}"/>
    <cellStyle name="60% - Énfasis2 8 3 2 2" xfId="8298" xr:uid="{8FE55BD5-A93D-4A98-BD8B-4FEB6130AC2B}"/>
    <cellStyle name="60% - Énfasis2 8 3 2 2 2" xfId="22674" xr:uid="{7A0C0A4A-2434-4ABF-A5AC-AA280A8302E7}"/>
    <cellStyle name="60% - Énfasis2 8 3 2 2 3" xfId="28531" xr:uid="{2B05C9E5-43CF-47B8-B587-86615E2BA7D2}"/>
    <cellStyle name="60% - Énfasis2 8 3 2 2 4" xfId="34413" xr:uid="{8F765553-1B22-4FC5-A0E4-512FA45F99E2}"/>
    <cellStyle name="60% - Énfasis2 8 3 2 2 5" xfId="40277" xr:uid="{7A798B99-56A5-4341-AFE6-9E1D10922C04}"/>
    <cellStyle name="60% - Énfasis2 8 3 2 3" xfId="19895" xr:uid="{17EF9D03-3505-4A8B-BFB2-E6F34FC332A2}"/>
    <cellStyle name="60% - Énfasis2 8 3 2 4" xfId="25682" xr:uid="{7FE83F0D-2E79-4F41-BAB6-ED662132E102}"/>
    <cellStyle name="60% - Énfasis2 8 3 2 5" xfId="31556" xr:uid="{6C119E2A-C555-483D-9D26-F4FEB1AD33F3}"/>
    <cellStyle name="60% - Énfasis2 8 3 2 6" xfId="37427" xr:uid="{1E284590-2D76-4C26-A3FF-1F22E2F1267A}"/>
    <cellStyle name="60% - Énfasis2 8 3 3" xfId="7326" xr:uid="{942792AB-45B3-4696-8232-45B09EF0B737}"/>
    <cellStyle name="60% - Énfasis2 8 3 3 2" xfId="21730" xr:uid="{4C8B1A36-8A53-4BBE-AC28-F96160936932}"/>
    <cellStyle name="60% - Énfasis2 8 3 3 3" xfId="27560" xr:uid="{6890703C-DC3C-4778-BE8B-82054D573EFB}"/>
    <cellStyle name="60% - Énfasis2 8 3 3 4" xfId="33442" xr:uid="{69B95569-7F44-4BC2-ADB7-0E859DE17364}"/>
    <cellStyle name="60% - Énfasis2 8 3 3 5" xfId="39306" xr:uid="{90AC9790-E8CB-4BB2-9246-C093A604C4B6}"/>
    <cellStyle name="60% - Énfasis2 8 3 4" xfId="18967" xr:uid="{3860CB8B-3CB3-4C00-AFA6-8477ECD795D9}"/>
    <cellStyle name="60% - Énfasis2 8 3 5" xfId="24711" xr:uid="{61C17366-DABC-4EF6-A4DB-1CC2398B7E7D}"/>
    <cellStyle name="60% - Énfasis2 8 3 6" xfId="30589" xr:uid="{AB4FCB78-B979-4B17-947C-E503A6648D85}"/>
    <cellStyle name="60% - Énfasis2 8 3 7" xfId="36470" xr:uid="{27D75ACC-F3A3-4A68-B20A-836562AD920A}"/>
    <cellStyle name="60% - Énfasis2 8 4" xfId="4946" xr:uid="{ECB7CCB4-B65A-418C-BEF0-829B4690349E}"/>
    <cellStyle name="60% - Énfasis2 8 4 2" xfId="7813" xr:uid="{605712F0-147E-4ACF-8C37-74F27F0E5B18}"/>
    <cellStyle name="60% - Énfasis2 8 4 2 2" xfId="22200" xr:uid="{26E6152F-B9FA-481E-9141-8E52DA0547ED}"/>
    <cellStyle name="60% - Énfasis2 8 4 2 3" xfId="28046" xr:uid="{DDC8073E-8985-416E-91E9-9BFEBE9ABFBC}"/>
    <cellStyle name="60% - Énfasis2 8 4 2 4" xfId="33928" xr:uid="{00C48078-27B5-4EA3-9CEB-F9F71FB860B3}"/>
    <cellStyle name="60% - Énfasis2 8 4 2 5" xfId="39792" xr:uid="{F47FBCE7-2A80-407E-9A1F-BFA71F98727D}"/>
    <cellStyle name="60% - Énfasis2 8 4 3" xfId="19428" xr:uid="{6A8C8923-432F-4712-BD0D-72FF73C10FF2}"/>
    <cellStyle name="60% - Énfasis2 8 4 4" xfId="25197" xr:uid="{32F22AB1-754D-4F64-9E58-2C9F025DAF4E}"/>
    <cellStyle name="60% - Énfasis2 8 4 5" xfId="31071" xr:uid="{043B1C0E-7E5E-4A38-A077-B3E0D1F75289}"/>
    <cellStyle name="60% - Énfasis2 8 4 6" xfId="36950" xr:uid="{A2172F31-1551-40FF-ABB3-7E66DEEA2612}"/>
    <cellStyle name="60% - Énfasis2 8 5" xfId="5956" xr:uid="{D0C0E711-9EC0-41D4-8FDB-34D8C7061857}"/>
    <cellStyle name="60% - Énfasis2 8 5 2" xfId="8825" xr:uid="{207365E0-70C3-4E56-B502-F387573B4633}"/>
    <cellStyle name="60% - Énfasis2 8 5 2 2" xfId="23190" xr:uid="{1337C630-D8B6-462A-B04F-09FE956A66A0}"/>
    <cellStyle name="60% - Énfasis2 8 5 2 3" xfId="29057" xr:uid="{F1A68121-563B-4AD9-8EB0-41A2111978D6}"/>
    <cellStyle name="60% - Énfasis2 8 5 2 4" xfId="34939" xr:uid="{36A4A682-06CC-4AE2-9EEE-0E0C21FA2680}"/>
    <cellStyle name="60% - Énfasis2 8 5 2 5" xfId="40803" xr:uid="{31D110AE-899B-4FE0-A2F1-F562097B604B}"/>
    <cellStyle name="60% - Énfasis2 8 5 3" xfId="20406" xr:uid="{DA48AD61-081E-4DB7-9E01-AA307B7561C5}"/>
    <cellStyle name="60% - Énfasis2 8 5 4" xfId="26207" xr:uid="{0FCFAAA1-A697-44B1-A82E-64C446A367F3}"/>
    <cellStyle name="60% - Énfasis2 8 5 5" xfId="32082" xr:uid="{3FF950F2-3A3A-46D8-8CF7-C14549BFAA8B}"/>
    <cellStyle name="60% - Énfasis2 8 5 6" xfId="37947" xr:uid="{1C136CD9-1F3E-46DD-BD9C-2F6DEE7A11C7}"/>
    <cellStyle name="60% - Énfasis2 8 6" xfId="6842" xr:uid="{E4BEE4D7-377A-4394-A9DD-0FB2CDD962A1}"/>
    <cellStyle name="60% - Énfasis2 8 6 2" xfId="21265" xr:uid="{4B9B8326-9F9E-4E32-913F-EBB45E5872E3}"/>
    <cellStyle name="60% - Énfasis2 8 6 3" xfId="27080" xr:uid="{0F2D1B65-6402-4E48-8F1A-2F81E52AFBB3}"/>
    <cellStyle name="60% - Énfasis2 8 6 4" xfId="32957" xr:uid="{C4539811-1598-49D3-91AB-FDBCB26A8797}"/>
    <cellStyle name="60% - Énfasis2 8 6 5" xfId="38821" xr:uid="{F8726087-FAA1-41AA-8D1B-33E7A8CA8698}"/>
    <cellStyle name="60% - Énfasis2 8 7" xfId="18516" xr:uid="{475723F6-F68A-4D43-90C9-BCD96F318FF3}"/>
    <cellStyle name="60% - Énfasis2 8 8" xfId="24225" xr:uid="{396D3C98-EED3-44EB-9443-9C0C91BD36E1}"/>
    <cellStyle name="60% - Énfasis2 8 9" xfId="30103" xr:uid="{D3E6C70B-A315-4CCF-AE98-9AA6FD5D3053}"/>
    <cellStyle name="60% - Énfasis2 9" xfId="4013" xr:uid="{204DEF7A-D616-4D44-90F7-53DAAF6D3698}"/>
    <cellStyle name="60% - Énfasis2 9 2" xfId="4484" xr:uid="{2A1E8B35-589E-4FE3-BF89-95BC80789D39}"/>
    <cellStyle name="60% - Énfasis2 9 2 2" xfId="5452" xr:uid="{CF09B518-B43B-495D-8CF2-93A626143BC9}"/>
    <cellStyle name="60% - Énfasis2 9 2 2 2" xfId="8319" xr:uid="{1BFB086D-923F-4E88-AA0E-99CA4D352E79}"/>
    <cellStyle name="60% - Énfasis2 9 2 2 2 2" xfId="22695" xr:uid="{7314D489-253E-42A4-988B-5024CD35A801}"/>
    <cellStyle name="60% - Énfasis2 9 2 2 2 3" xfId="28552" xr:uid="{BB60E079-8D8A-4D40-8223-A3D3DC5C21C6}"/>
    <cellStyle name="60% - Énfasis2 9 2 2 2 4" xfId="34434" xr:uid="{61B16565-6C6D-4DCC-8683-EC9CC12C5444}"/>
    <cellStyle name="60% - Énfasis2 9 2 2 2 5" xfId="40298" xr:uid="{2F2940E3-3D88-485C-869F-3835FEF42783}"/>
    <cellStyle name="60% - Énfasis2 9 2 2 3" xfId="19915" xr:uid="{E97C7530-8862-48FF-8381-CCF4A84ABF4C}"/>
    <cellStyle name="60% - Énfasis2 9 2 2 4" xfId="25703" xr:uid="{52246E7C-FBE1-4260-9C34-9B19F8A7A3D5}"/>
    <cellStyle name="60% - Énfasis2 9 2 2 5" xfId="31577" xr:uid="{78B862A9-8B2B-4E75-9AD8-DDA6F7C65238}"/>
    <cellStyle name="60% - Énfasis2 9 2 2 6" xfId="37448" xr:uid="{88057B5E-C370-4A1C-B7BA-7C4563E28C3C}"/>
    <cellStyle name="60% - Énfasis2 9 2 3" xfId="7347" xr:uid="{82F93E33-4023-4715-BA8E-FE1DA4AF3947}"/>
    <cellStyle name="60% - Énfasis2 9 2 3 2" xfId="21750" xr:uid="{26D6A720-28B2-4649-AE2F-316C39929FEB}"/>
    <cellStyle name="60% - Énfasis2 9 2 3 3" xfId="27581" xr:uid="{82A8FE92-A157-4C4B-97BB-387DE580645D}"/>
    <cellStyle name="60% - Énfasis2 9 2 3 4" xfId="33463" xr:uid="{B80ED55F-DED4-4BBE-AE3B-1CF1F153B246}"/>
    <cellStyle name="60% - Énfasis2 9 2 3 5" xfId="39327" xr:uid="{33DF5C78-BCD3-4647-8550-F81BD35BD487}"/>
    <cellStyle name="60% - Énfasis2 9 2 4" xfId="18988" xr:uid="{F0BE98E0-1109-4212-80B6-BD981BDE8216}"/>
    <cellStyle name="60% - Énfasis2 9 2 5" xfId="24732" xr:uid="{3194002D-5755-4175-9B9E-067F95E0EA4C}"/>
    <cellStyle name="60% - Énfasis2 9 2 6" xfId="30609" xr:uid="{75CAC280-F1C4-4713-9E15-03660D442D48}"/>
    <cellStyle name="60% - Énfasis2 9 2 7" xfId="36491" xr:uid="{169EFA7A-9357-4E36-8F80-7B0E33892645}"/>
    <cellStyle name="60% - Énfasis2 9 3" xfId="4967" xr:uid="{874D3C8F-0A1F-410B-B041-7D7FC16F814C}"/>
    <cellStyle name="60% - Énfasis2 9 3 2" xfId="7834" xr:uid="{543D5AC7-BED9-49E5-BCAA-4F39EFE09A49}"/>
    <cellStyle name="60% - Énfasis2 9 3 2 2" xfId="22220" xr:uid="{1563902F-3D5C-4F27-8713-90E4877EEB14}"/>
    <cellStyle name="60% - Énfasis2 9 3 2 3" xfId="28067" xr:uid="{0F32D9D5-31C0-466C-8ED8-55DFBB925B79}"/>
    <cellStyle name="60% - Énfasis2 9 3 2 4" xfId="33949" xr:uid="{27237E4B-BD6B-4EDD-9034-7B7F15B870B3}"/>
    <cellStyle name="60% - Énfasis2 9 3 2 5" xfId="39813" xr:uid="{617B6928-2245-48CC-9989-7AE462AC3ED0}"/>
    <cellStyle name="60% - Énfasis2 9 3 3" xfId="19448" xr:uid="{412AAA6B-B4FB-47F3-9C6F-FD9E062F34E7}"/>
    <cellStyle name="60% - Énfasis2 9 3 4" xfId="25218" xr:uid="{66357B66-A35A-47A9-9349-C8909A4DCD5E}"/>
    <cellStyle name="60% - Énfasis2 9 3 5" xfId="31092" xr:uid="{7C5C369A-D0E5-4652-B704-CF6D64C557DC}"/>
    <cellStyle name="60% - Énfasis2 9 3 6" xfId="36971" xr:uid="{AB497873-3667-4D4E-8BC0-D044646290B4}"/>
    <cellStyle name="60% - Énfasis2 9 4" xfId="6863" xr:uid="{3DB6C215-4844-472B-84CD-1FA8FCF728D4}"/>
    <cellStyle name="60% - Énfasis2 9 4 2" xfId="21285" xr:uid="{C4938D4D-A97A-4B37-B5D1-06238387195E}"/>
    <cellStyle name="60% - Énfasis2 9 4 3" xfId="27101" xr:uid="{53D8ACE8-BB60-4911-A171-3FFC03997AA8}"/>
    <cellStyle name="60% - Énfasis2 9 4 4" xfId="32978" xr:uid="{0E0426EA-B258-4B12-8395-D501B41FDA26}"/>
    <cellStyle name="60% - Énfasis2 9 4 5" xfId="38842" xr:uid="{C3DE618A-C421-4204-B858-E2DDA9FFD17C}"/>
    <cellStyle name="60% - Énfasis2 9 5" xfId="18539" xr:uid="{55D80C56-6C30-4A64-8949-C054709778FA}"/>
    <cellStyle name="60% - Énfasis2 9 6" xfId="24249" xr:uid="{E1D62576-005C-4BE9-92BC-70FEF9C479F3}"/>
    <cellStyle name="60% - Énfasis2 9 7" xfId="30127" xr:uid="{FA45B7F0-389F-45FF-92E1-E9F48BDDB7B0}"/>
    <cellStyle name="60% - Énfasis2 9 8" xfId="36006" xr:uid="{DAA104C2-4985-433B-88D5-7D4AF381C0C8}"/>
    <cellStyle name="60% - Énfasis3" xfId="29" builtinId="40" customBuiltin="1"/>
    <cellStyle name="60% - Énfasis3 10" xfId="4208" xr:uid="{1BA85589-75AB-4701-8A1F-0F6F498842F0}"/>
    <cellStyle name="60% - Énfasis3 10 2" xfId="4686" xr:uid="{FD0FD423-42EB-4CF2-A491-830816300DB3}"/>
    <cellStyle name="60% - Énfasis3 10 2 2" xfId="5654" xr:uid="{B815E439-19B8-4C54-A3AE-2409BFD65A4A}"/>
    <cellStyle name="60% - Énfasis3 10 2 2 2" xfId="8522" xr:uid="{EA7BAC52-BCD9-4689-9363-A5791A5FC028}"/>
    <cellStyle name="60% - Énfasis3 10 2 2 2 2" xfId="22896" xr:uid="{C3D3D55D-8FD4-47D8-B975-445589266C6E}"/>
    <cellStyle name="60% - Énfasis3 10 2 2 2 3" xfId="28755" xr:uid="{DB1BCB1C-9C54-479D-BFCF-018B52090A57}"/>
    <cellStyle name="60% - Énfasis3 10 2 2 2 4" xfId="34637" xr:uid="{73C75379-7957-4F2F-9306-85B0408463B5}"/>
    <cellStyle name="60% - Énfasis3 10 2 2 2 5" xfId="40501" xr:uid="{BB2B4A01-0947-42C5-96C2-C03FCEA16A5A}"/>
    <cellStyle name="60% - Énfasis3 10 2 2 3" xfId="20113" xr:uid="{43C501DD-6B32-4BC0-A7D4-F8C8AC15C1A6}"/>
    <cellStyle name="60% - Énfasis3 10 2 2 4" xfId="25905" xr:uid="{9D9626F8-7D53-4B2C-8178-F4A159FA5BE8}"/>
    <cellStyle name="60% - Énfasis3 10 2 2 5" xfId="31780" xr:uid="{22E0D06C-F086-41C9-A84D-3FAFB2773C89}"/>
    <cellStyle name="60% - Énfasis3 10 2 2 6" xfId="37649" xr:uid="{BEE0C17D-0966-4B5F-8B40-6A2FAA6DDFED}"/>
    <cellStyle name="60% - Énfasis3 10 2 3" xfId="7550" xr:uid="{2C519BAE-60A5-4F5B-876C-7E9D98B90427}"/>
    <cellStyle name="60% - Énfasis3 10 2 3 2" xfId="21948" xr:uid="{A9CE43EE-63DC-42F8-9586-944C54620922}"/>
    <cellStyle name="60% - Énfasis3 10 2 3 3" xfId="27784" xr:uid="{0CFBD4D0-F900-43CB-823D-5F5AD9109AAD}"/>
    <cellStyle name="60% - Énfasis3 10 2 3 4" xfId="33666" xr:uid="{6F066D7F-3EC3-4442-9B4C-3BD436E39312}"/>
    <cellStyle name="60% - Énfasis3 10 2 3 5" xfId="39530" xr:uid="{0CFE1A49-DA9B-4354-B9E4-850F8D219AA3}"/>
    <cellStyle name="60% - Énfasis3 10 2 4" xfId="19179" xr:uid="{20CE209A-3B88-41F2-B065-88967474F7CC}"/>
    <cellStyle name="60% - Énfasis3 10 2 5" xfId="24935" xr:uid="{11032925-E83E-415A-A2C0-D9FB0C54FF72}"/>
    <cellStyle name="60% - Énfasis3 10 2 6" xfId="30810" xr:uid="{23DD0F86-CBD8-448F-B8F4-65670DD6470A}"/>
    <cellStyle name="60% - Énfasis3 10 2 7" xfId="36692" xr:uid="{357DE43E-8342-4325-B6A5-DA393AD594FC}"/>
    <cellStyle name="60% - Énfasis3 10 3" xfId="5170" xr:uid="{38E33BEA-9547-47E0-BB84-EDEA3584CED9}"/>
    <cellStyle name="60% - Énfasis3 10 3 2" xfId="8037" xr:uid="{01B9AAB4-12CD-4E07-8F4B-139EB75A9A6B}"/>
    <cellStyle name="60% - Énfasis3 10 3 2 2" xfId="22420" xr:uid="{51FA316C-7FE1-461D-9FAD-A46354E205C4}"/>
    <cellStyle name="60% - Énfasis3 10 3 2 3" xfId="28270" xr:uid="{93154E41-9571-45CA-A0DA-06AE99D246C2}"/>
    <cellStyle name="60% - Énfasis3 10 3 2 4" xfId="34152" xr:uid="{6914B695-9E8E-435B-8BA6-2881DF484FC3}"/>
    <cellStyle name="60% - Énfasis3 10 3 2 5" xfId="40016" xr:uid="{8FF38EA4-2928-418A-9F6E-3F2060F84479}"/>
    <cellStyle name="60% - Énfasis3 10 3 3" xfId="19643" xr:uid="{B57F3839-287F-48A9-B741-9D53DE3C74B0}"/>
    <cellStyle name="60% - Énfasis3 10 3 4" xfId="25421" xr:uid="{4FFC02A8-2E63-44B1-86D3-19BD1EE4DF61}"/>
    <cellStyle name="60% - Énfasis3 10 3 5" xfId="31295" xr:uid="{D7AD203C-7504-496C-BD44-0FCF5018364A}"/>
    <cellStyle name="60% - Énfasis3 10 3 6" xfId="37172" xr:uid="{2BB66330-A099-4EDF-9082-406B2C8AF377}"/>
    <cellStyle name="60% - Énfasis3 10 4" xfId="7065" xr:uid="{62BE6875-9A4F-4A48-93B0-D442D1492CC9}"/>
    <cellStyle name="60% - Énfasis3 10 4 2" xfId="21480" xr:uid="{89B8AAD2-AC0F-4474-B5DD-7143F2841222}"/>
    <cellStyle name="60% - Énfasis3 10 4 3" xfId="27302" xr:uid="{04053DF7-5E54-4349-A268-A8BCAC92AA47}"/>
    <cellStyle name="60% - Énfasis3 10 4 4" xfId="33181" xr:uid="{4EF8AE87-0D08-40EF-AD67-F1FC7D29725F}"/>
    <cellStyle name="60% - Énfasis3 10 4 5" xfId="39045" xr:uid="{7DD3EA8B-C5A6-4E3D-A4D4-809102CAB5B8}"/>
    <cellStyle name="60% - Énfasis3 10 5" xfId="18736" xr:uid="{D3B93421-07A3-49A0-BBD8-BDF48BF438ED}"/>
    <cellStyle name="60% - Énfasis3 10 6" xfId="24452" xr:uid="{8F2EE9FE-CF6C-4E75-8A05-AB49C5E3DB49}"/>
    <cellStyle name="60% - Énfasis3 10 7" xfId="30328" xr:uid="{3AFC2D7F-5320-44D0-8822-11698E340B68}"/>
    <cellStyle name="60% - Énfasis3 10 8" xfId="36209" xr:uid="{01CB368F-6A5B-400E-B163-9A36DAA290AA}"/>
    <cellStyle name="60% - Énfasis3 11" xfId="4243" xr:uid="{ED9DEE8E-B5F6-4996-A7A0-3A92AB291CDE}"/>
    <cellStyle name="60% - Énfasis3 11 2" xfId="4722" xr:uid="{80657E8A-C767-4897-A244-B69905C12C0F}"/>
    <cellStyle name="60% - Énfasis3 11 2 2" xfId="5690" xr:uid="{B20D0756-92FB-40DC-B131-A61A3606C82F}"/>
    <cellStyle name="60% - Énfasis3 11 2 2 2" xfId="8558" xr:uid="{086F3E0D-47CE-4915-9336-70B7162EFC77}"/>
    <cellStyle name="60% - Énfasis3 11 2 2 2 2" xfId="22930" xr:uid="{605A4EB5-4038-435A-A7DE-55EEDD5AA981}"/>
    <cellStyle name="60% - Énfasis3 11 2 2 2 3" xfId="28791" xr:uid="{657D321B-88EE-4DEA-941C-409729922522}"/>
    <cellStyle name="60% - Énfasis3 11 2 2 2 4" xfId="34673" xr:uid="{C9036C4A-1DC7-4B1F-B3AF-47A9DA4ED935}"/>
    <cellStyle name="60% - Énfasis3 11 2 2 2 5" xfId="40537" xr:uid="{F16BE5F0-3B6F-4EE1-85A2-15AC77FDB3FD}"/>
    <cellStyle name="60% - Énfasis3 11 2 2 3" xfId="20147" xr:uid="{931A500C-008D-4DC5-8536-1DB34AB7E9DE}"/>
    <cellStyle name="60% - Énfasis3 11 2 2 4" xfId="25941" xr:uid="{208F82B8-63E4-4C15-8218-3491610CE343}"/>
    <cellStyle name="60% - Énfasis3 11 2 2 5" xfId="31816" xr:uid="{845E185F-654E-4180-B0D2-564B5BD15900}"/>
    <cellStyle name="60% - Énfasis3 11 2 2 6" xfId="37683" xr:uid="{7EEB0B60-E190-4867-B965-78D9FD5ADBAE}"/>
    <cellStyle name="60% - Énfasis3 11 2 3" xfId="7586" xr:uid="{32324327-7BE8-4088-BD28-0CF5E0CD25A3}"/>
    <cellStyle name="60% - Énfasis3 11 2 3 2" xfId="21980" xr:uid="{3DD8B641-0634-4839-882C-EA6A67189187}"/>
    <cellStyle name="60% - Énfasis3 11 2 3 3" xfId="27820" xr:uid="{B79A2AB4-CAA4-4176-82F1-C609FFB6DADC}"/>
    <cellStyle name="60% - Énfasis3 11 2 3 4" xfId="33702" xr:uid="{B5AB8848-D027-48A1-88DE-4F1E2C434DC1}"/>
    <cellStyle name="60% - Énfasis3 11 2 3 5" xfId="39566" xr:uid="{58997B3B-6A2C-4A32-B8EC-6EFDBD4A828C}"/>
    <cellStyle name="60% - Énfasis3 11 2 4" xfId="19212" xr:uid="{CC42CA7B-4B8F-4E41-8201-50ADD8470192}"/>
    <cellStyle name="60% - Énfasis3 11 2 5" xfId="24971" xr:uid="{FA9AA168-7816-4C1C-BA90-8894E466925C}"/>
    <cellStyle name="60% - Énfasis3 11 2 6" xfId="30845" xr:uid="{826810A8-BE99-450C-9B26-F59BA7523289}"/>
    <cellStyle name="60% - Énfasis3 11 2 7" xfId="36726" xr:uid="{688222BB-3492-4C92-9A40-1B9998E7BF48}"/>
    <cellStyle name="60% - Énfasis3 11 3" xfId="5206" xr:uid="{D24DA931-F349-4ED0-987C-670046E65CEE}"/>
    <cellStyle name="60% - Énfasis3 11 3 2" xfId="8073" xr:uid="{17D9236C-5FFB-4898-8F11-8E0D9A00F0AB}"/>
    <cellStyle name="60% - Énfasis3 11 3 2 2" xfId="22451" xr:uid="{7B3D90C9-2693-4A25-958B-7970354B74E2}"/>
    <cellStyle name="60% - Énfasis3 11 3 2 3" xfId="28306" xr:uid="{8F3377F3-C559-4CC7-9B58-FD4611326712}"/>
    <cellStyle name="60% - Énfasis3 11 3 2 4" xfId="34188" xr:uid="{AFEEE9AD-EC14-4944-8D23-E2363E90547C}"/>
    <cellStyle name="60% - Énfasis3 11 3 2 5" xfId="40052" xr:uid="{F877F075-C5D6-42E5-B9A4-EC66E813469D}"/>
    <cellStyle name="60% - Énfasis3 11 3 3" xfId="19677" xr:uid="{22930BAC-E3E0-49CE-9656-EB6CBF4DC425}"/>
    <cellStyle name="60% - Énfasis3 11 3 4" xfId="25457" xr:uid="{1AE28418-06EF-4697-A2AC-82C9F499C34B}"/>
    <cellStyle name="60% - Énfasis3 11 3 5" xfId="31331" xr:uid="{B36AE79B-1790-4687-B984-321C43F5529F}"/>
    <cellStyle name="60% - Énfasis3 11 3 6" xfId="37204" xr:uid="{9E1E0E71-BC03-4DA9-9A6D-ACE97ADB473A}"/>
    <cellStyle name="60% - Énfasis3 11 4" xfId="7101" xr:uid="{6FD7B5F2-C26B-494B-840A-F073786E0157}"/>
    <cellStyle name="60% - Énfasis3 11 4 2" xfId="21513" xr:uid="{8E11EBCE-E50E-4328-8AF6-58408FD8FF46}"/>
    <cellStyle name="60% - Énfasis3 11 4 3" xfId="27336" xr:uid="{67DAF239-710D-4576-8A25-30D4A571DE04}"/>
    <cellStyle name="60% - Énfasis3 11 4 4" xfId="33217" xr:uid="{5EC6DBB6-F4BE-4FB3-BD8D-A23F85CBCA3F}"/>
    <cellStyle name="60% - Énfasis3 11 4 5" xfId="39081" xr:uid="{70C1261D-9D1A-4AE2-ADDB-525C79494305}"/>
    <cellStyle name="60% - Énfasis3 11 5" xfId="18765" xr:uid="{592E7C76-76D4-4C77-AE70-F530296FD7FF}"/>
    <cellStyle name="60% - Énfasis3 11 6" xfId="24486" xr:uid="{42E0D51F-2E8A-4415-82AE-003FEE91B03B}"/>
    <cellStyle name="60% - Énfasis3 11 7" xfId="30364" xr:uid="{F61E8E93-4D82-4734-9240-ACF78254F647}"/>
    <cellStyle name="60% - Énfasis3 11 8" xfId="36245" xr:uid="{F49A2A1E-4EEA-4A1D-A629-550067C43952}"/>
    <cellStyle name="60% - Énfasis3 12" xfId="4293" xr:uid="{BD8E3D74-D001-430D-A312-7750A2D19278}"/>
    <cellStyle name="60% - Énfasis3 12 2" xfId="5259" xr:uid="{756BE8A8-1395-4230-8013-EF89005E3DC2}"/>
    <cellStyle name="60% - Énfasis3 12 2 2" xfId="8126" xr:uid="{00689415-80A7-41DE-BE6C-4DEA039C7182}"/>
    <cellStyle name="60% - Énfasis3 12 2 2 2" xfId="22503" xr:uid="{BE022AAF-943C-4CFF-86FF-27E17C7C86D8}"/>
    <cellStyle name="60% - Énfasis3 12 2 2 3" xfId="28359" xr:uid="{3A5115DD-2F8A-45F4-B642-B4423DC9D881}"/>
    <cellStyle name="60% - Énfasis3 12 2 2 4" xfId="34241" xr:uid="{52117373-B3CD-4729-ADA0-735B8301115B}"/>
    <cellStyle name="60% - Énfasis3 12 2 2 5" xfId="40105" xr:uid="{C2115A9A-AC4A-4924-B797-8B0D4AFD5594}"/>
    <cellStyle name="60% - Énfasis3 12 2 3" xfId="19729" xr:uid="{2231607C-48C6-435B-9237-5627E3E56DC1}"/>
    <cellStyle name="60% - Énfasis3 12 2 4" xfId="25510" xr:uid="{193782F9-3385-410C-BBC7-BF9FB1580B3C}"/>
    <cellStyle name="60% - Énfasis3 12 2 5" xfId="31384" xr:uid="{737AE6C2-1E06-4CCC-A540-AFB59F940431}"/>
    <cellStyle name="60% - Énfasis3 12 2 6" xfId="37256" xr:uid="{44D53EA3-9436-43CD-8956-7CA3343FF017}"/>
    <cellStyle name="60% - Énfasis3 12 3" xfId="7154" xr:uid="{7E77BE57-D05F-416A-A0FC-D4B64AD1A548}"/>
    <cellStyle name="60% - Énfasis3 12 3 2" xfId="21565" xr:uid="{6764E080-F120-46A7-9FFF-E620B097E5FC}"/>
    <cellStyle name="60% - Énfasis3 12 3 3" xfId="27388" xr:uid="{5A7BB8DD-99C6-4000-9324-374041646A60}"/>
    <cellStyle name="60% - Énfasis3 12 3 4" xfId="33270" xr:uid="{6DC60468-CAF6-494B-A2AF-EF708BB02D81}"/>
    <cellStyle name="60% - Énfasis3 12 3 5" xfId="39134" xr:uid="{BF81B034-D08A-4794-A911-9E18A6533D2C}"/>
    <cellStyle name="60% - Énfasis3 12 4" xfId="18801" xr:uid="{6BEC9BA3-058E-432E-8148-71A21618AAC9}"/>
    <cellStyle name="60% - Énfasis3 12 5" xfId="24539" xr:uid="{B8FD5E54-1AF6-4378-AA19-915A37B21715}"/>
    <cellStyle name="60% - Énfasis3 12 6" xfId="30418" xr:uid="{49AF93D0-0992-4D54-94DD-A89C1C1D0665}"/>
    <cellStyle name="60% - Énfasis3 12 7" xfId="36299" xr:uid="{6C806999-6CD2-445B-A7CC-A59E5A00FAF8}"/>
    <cellStyle name="60% - Énfasis3 13" xfId="4778" xr:uid="{3F251B91-2D1C-4B88-BD7C-0A24CCAA3E96}"/>
    <cellStyle name="60% - Énfasis3 13 2" xfId="7641" xr:uid="{CC7B943F-2D76-4106-A69C-07C5AB6BC4B4}"/>
    <cellStyle name="60% - Énfasis3 13 2 2" xfId="22034" xr:uid="{A7682BB4-CFC9-4A7B-A5F3-F4CC5D7E6601}"/>
    <cellStyle name="60% - Énfasis3 13 2 3" xfId="27875" xr:uid="{85084C8C-658F-4BF4-AF1E-1A1E97231CA6}"/>
    <cellStyle name="60% - Énfasis3 13 2 4" xfId="33757" xr:uid="{BF7A09D5-AEEB-4126-B1D3-8FA9A7BDF666}"/>
    <cellStyle name="60% - Énfasis3 13 2 5" xfId="39621" xr:uid="{AFFCBF8F-DA21-4FC2-8FEA-0A6EAB0A41EC}"/>
    <cellStyle name="60% - Énfasis3 13 3" xfId="19260" xr:uid="{0323260F-E31F-4D5A-8B3C-B66E53B81855}"/>
    <cellStyle name="60% - Énfasis3 13 4" xfId="25026" xr:uid="{D2195767-744F-4841-BCCB-07775BC35EC3}"/>
    <cellStyle name="60% - Énfasis3 13 5" xfId="30900" xr:uid="{67398D50-5449-444E-AC6D-D1638DE0C731}"/>
    <cellStyle name="60% - Énfasis3 13 6" xfId="36780" xr:uid="{A125A507-8B6E-4FE0-AAD7-2F762C28F5BA}"/>
    <cellStyle name="60% - Énfasis3 14" xfId="5744" xr:uid="{B9C49EE0-69C9-47BB-80B6-A89D0A6E893D}"/>
    <cellStyle name="60% - Énfasis3 14 2" xfId="8613" xr:uid="{DE5CAB28-2A99-4EE7-A95F-6AD32CC8E633}"/>
    <cellStyle name="60% - Énfasis3 14 2 2" xfId="22984" xr:uid="{D8E4F180-AFBA-402A-992C-E76689AE594A}"/>
    <cellStyle name="60% - Énfasis3 14 2 3" xfId="28846" xr:uid="{9E899E9D-C098-4CBB-BBA1-309A63F05AED}"/>
    <cellStyle name="60% - Énfasis3 14 2 4" xfId="34728" xr:uid="{326D2532-D068-487E-B437-A811A0C3E0E5}"/>
    <cellStyle name="60% - Énfasis3 14 2 5" xfId="40592" xr:uid="{4736A22B-3BFB-4EE2-8BED-7D8E04D03CF5}"/>
    <cellStyle name="60% - Énfasis3 14 3" xfId="20202" xr:uid="{06C6B66D-D10C-406D-B2B1-E005E8C7E611}"/>
    <cellStyle name="60% - Énfasis3 14 4" xfId="25996" xr:uid="{4089D5C5-4B1C-426B-9F41-15BFCCF80EA1}"/>
    <cellStyle name="60% - Énfasis3 14 5" xfId="31871" xr:uid="{42D4E5BE-AFDF-4A27-B900-B110315E68DC}"/>
    <cellStyle name="60% - Énfasis3 14 6" xfId="37737" xr:uid="{676F3F9D-92A1-4F12-A454-679910FDD68C}"/>
    <cellStyle name="60% - Énfasis3 15" xfId="5764" xr:uid="{7C0713F2-EB3F-4518-AFE6-3CD6401A7D47}"/>
    <cellStyle name="60% - Énfasis3 15 2" xfId="8633" xr:uid="{599959CB-230F-4C3A-90E4-5FCB8339FAF2}"/>
    <cellStyle name="60% - Énfasis3 15 2 2" xfId="23004" xr:uid="{94816221-B682-477E-84DE-9CDAC9C49D0B}"/>
    <cellStyle name="60% - Énfasis3 15 2 3" xfId="28866" xr:uid="{4B0547C0-02EC-45C3-ABA4-52D4F5662B2B}"/>
    <cellStyle name="60% - Énfasis3 15 2 4" xfId="34748" xr:uid="{7BDBF448-ECA1-4A0A-8003-FF6284EF9793}"/>
    <cellStyle name="60% - Énfasis3 15 2 5" xfId="40612" xr:uid="{0BB089AB-75E7-474B-B61C-D65E22DA0DA7}"/>
    <cellStyle name="60% - Énfasis3 15 3" xfId="20221" xr:uid="{F91BA9BB-EF20-4068-B97D-3B972A82788C}"/>
    <cellStyle name="60% - Énfasis3 15 4" xfId="26016" xr:uid="{A9BF49B7-FD67-4987-A88E-C1F9F56609D7}"/>
    <cellStyle name="60% - Énfasis3 15 5" xfId="31891" xr:uid="{58D95D49-F890-46E3-A66D-225D5367348D}"/>
    <cellStyle name="60% - Énfasis3 15 6" xfId="37757" xr:uid="{2F5831C4-62AB-4F88-9847-53E96E85E9D3}"/>
    <cellStyle name="60% - Énfasis3 16" xfId="5784" xr:uid="{25CF27D3-430B-4D19-AB63-2F51B686FE00}"/>
    <cellStyle name="60% - Énfasis3 16 2" xfId="8653" xr:uid="{58ECFC0F-EA84-4FDE-BFA6-4092A1F369A5}"/>
    <cellStyle name="60% - Énfasis3 16 2 2" xfId="23024" xr:uid="{A2268636-4593-4D57-9ED3-DD0F6DE998ED}"/>
    <cellStyle name="60% - Énfasis3 16 2 3" xfId="28886" xr:uid="{5F67781B-CB6B-4C78-A914-0FC136277068}"/>
    <cellStyle name="60% - Énfasis3 16 2 4" xfId="34768" xr:uid="{7647D2C4-B313-40B3-86E6-4C773CFF02AE}"/>
    <cellStyle name="60% - Énfasis3 16 2 5" xfId="40632" xr:uid="{93DF9199-B93F-442F-88EA-1DE079CFD034}"/>
    <cellStyle name="60% - Énfasis3 16 3" xfId="20239" xr:uid="{54D8F4E5-C0F7-4A08-A5B4-33A8A2469AF0}"/>
    <cellStyle name="60% - Énfasis3 16 4" xfId="26036" xr:uid="{256F100B-487D-4662-B07B-B75D7351D1DF}"/>
    <cellStyle name="60% - Énfasis3 16 5" xfId="31911" xr:uid="{D88FCE86-1772-4BD7-8780-38B7CB37356B}"/>
    <cellStyle name="60% - Énfasis3 16 6" xfId="37777" xr:uid="{7C690579-1C31-48DF-B9CD-44D76BF3FD03}"/>
    <cellStyle name="60% - Énfasis3 17" xfId="5983" xr:uid="{B0E4C216-866E-418C-8E48-E4137071C6EB}"/>
    <cellStyle name="60% - Énfasis3 17 2" xfId="8852" xr:uid="{88575384-516E-4D64-8BC5-B9040D266A9D}"/>
    <cellStyle name="60% - Énfasis3 17 2 2" xfId="23216" xr:uid="{B57A8CB5-8F1D-4E50-ADE3-743E37E799FE}"/>
    <cellStyle name="60% - Énfasis3 17 2 3" xfId="29083" xr:uid="{A63E80F3-C66A-45BE-AE2F-22E227B0F002}"/>
    <cellStyle name="60% - Énfasis3 17 2 4" xfId="34965" xr:uid="{93DB1F5F-6064-4C0E-9F23-90EE3B557465}"/>
    <cellStyle name="60% - Énfasis3 17 2 5" xfId="40829" xr:uid="{739DA254-7C02-496D-B7E9-713BA05AD0BD}"/>
    <cellStyle name="60% - Énfasis3 17 3" xfId="20431" xr:uid="{59C6EB7C-D439-4678-9CE7-79A32E98CF31}"/>
    <cellStyle name="60% - Énfasis3 17 4" xfId="26233" xr:uid="{EB6F7DC9-A330-495C-8FCE-2AC3B92FD337}"/>
    <cellStyle name="60% - Énfasis3 17 5" xfId="32108" xr:uid="{CA24C01C-216C-4815-A8D0-2A9FDC6B1088}"/>
    <cellStyle name="60% - Énfasis3 17 6" xfId="37973" xr:uid="{13C92586-8E93-4BAF-BB43-3B899E5C8B62}"/>
    <cellStyle name="60% - Énfasis3 18" xfId="6003" xr:uid="{1EACA2C9-C526-4D24-AC71-1062C4C7DDE7}"/>
    <cellStyle name="60% - Énfasis3 18 2" xfId="8872" xr:uid="{C033629C-D1B2-4A64-9E9C-DB5F1C389C64}"/>
    <cellStyle name="60% - Énfasis3 18 2 2" xfId="23236" xr:uid="{76F4D213-D4E2-4ED8-9A6B-FAB615D9EA9F}"/>
    <cellStyle name="60% - Énfasis3 18 2 3" xfId="29103" xr:uid="{8F57A1C9-69B7-4012-B7B7-6153EBF1C2B4}"/>
    <cellStyle name="60% - Énfasis3 18 2 4" xfId="34985" xr:uid="{18B6A8DB-5ABF-460D-9B90-9DD0CE3DDD5C}"/>
    <cellStyle name="60% - Énfasis3 18 2 5" xfId="40849" xr:uid="{E5AF7897-4AA7-4C46-ADBB-12B96B2C007C}"/>
    <cellStyle name="60% - Énfasis3 18 3" xfId="20451" xr:uid="{E81C43BF-F58C-4845-9A22-BF936A123E8E}"/>
    <cellStyle name="60% - Énfasis3 18 4" xfId="26253" xr:uid="{B70C1273-8483-49C6-8BB7-7EC0108B5458}"/>
    <cellStyle name="60% - Énfasis3 18 5" xfId="32128" xr:uid="{8A56D2C6-D79A-40F2-8EAD-670E2E67B744}"/>
    <cellStyle name="60% - Énfasis3 18 6" xfId="37993" xr:uid="{E56E6652-4949-4858-B714-1BB5D914758E}"/>
    <cellStyle name="60% - Énfasis3 19" xfId="6023" xr:uid="{A4195538-3EF1-4A25-B021-8C3D1E762FE2}"/>
    <cellStyle name="60% - Énfasis3 19 2" xfId="8892" xr:uid="{925AB712-A989-4139-BFA9-45C54EDBB54B}"/>
    <cellStyle name="60% - Énfasis3 19 2 2" xfId="23256" xr:uid="{09E8D038-8B0B-429D-A86D-D7352E75A5BB}"/>
    <cellStyle name="60% - Énfasis3 19 2 3" xfId="29123" xr:uid="{A873FE42-B7FB-4EB2-8AC0-13994EAD5B73}"/>
    <cellStyle name="60% - Énfasis3 19 2 4" xfId="35005" xr:uid="{C63A51E8-ED43-4B8D-8673-0683636BF13F}"/>
    <cellStyle name="60% - Énfasis3 19 2 5" xfId="40869" xr:uid="{AE59EF92-06F6-4565-AF99-B95789C98C9B}"/>
    <cellStyle name="60% - Énfasis3 19 3" xfId="20471" xr:uid="{1B1D0312-858A-43F8-B7E9-A2B54EDE5F0C}"/>
    <cellStyle name="60% - Énfasis3 19 4" xfId="26273" xr:uid="{D7ACEE4C-DFE7-43F5-9157-1FEA6DB9E5DB}"/>
    <cellStyle name="60% - Énfasis3 19 5" xfId="32148" xr:uid="{FAF1A733-202A-46F7-A2FC-A067523F5B96}"/>
    <cellStyle name="60% - Énfasis3 19 6" xfId="38013" xr:uid="{746C8A68-3DCF-41F6-A315-584902E9DDEB}"/>
    <cellStyle name="60% - Énfasis3 2" xfId="327" xr:uid="{00000000-0005-0000-0000-000014000000}"/>
    <cellStyle name="60% - Énfasis3 2 10" xfId="29947" xr:uid="{022C718F-C029-4B89-99CD-9728667A7DBB}"/>
    <cellStyle name="60% - Énfasis3 2 11" xfId="35828" xr:uid="{49D9FF3D-1D42-416C-8E79-03F6E3CD64D7}"/>
    <cellStyle name="60% - Énfasis3 2 2" xfId="3351" xr:uid="{7C51E436-DFF2-4AE8-945C-834B59D0B396}"/>
    <cellStyle name="60% - Énfasis3 2 3" xfId="4043" xr:uid="{AA3A17F3-3F44-47E1-A701-7881D7D53C4B}"/>
    <cellStyle name="60% - Énfasis3 2 3 2" xfId="4517" xr:uid="{B7D37486-A092-4786-997A-00E3BAD1A8CE}"/>
    <cellStyle name="60% - Énfasis3 2 3 2 2" xfId="5485" xr:uid="{2B5A3235-F791-4DC9-821D-79A03392D5F6}"/>
    <cellStyle name="60% - Énfasis3 2 3 2 2 2" xfId="8352" xr:uid="{B4C23950-FC50-41C4-A057-D1C82DFF9C06}"/>
    <cellStyle name="60% - Énfasis3 2 3 2 2 2 2" xfId="22727" xr:uid="{A22E0A8A-86C1-46C3-97A6-87230939AB6A}"/>
    <cellStyle name="60% - Énfasis3 2 3 2 2 2 3" xfId="28585" xr:uid="{0E4CAF14-1C21-4CBF-A02C-5209DDD64389}"/>
    <cellStyle name="60% - Énfasis3 2 3 2 2 2 4" xfId="34467" xr:uid="{8ACE1944-1B64-4F74-8B88-A6BD02CA2135}"/>
    <cellStyle name="60% - Énfasis3 2 3 2 2 2 5" xfId="40331" xr:uid="{28506018-6515-46B0-8B99-4DD74C2D1CD3}"/>
    <cellStyle name="60% - Énfasis3 2 3 2 2 3" xfId="19946" xr:uid="{74B960EF-848B-494A-91FC-143202ED9869}"/>
    <cellStyle name="60% - Énfasis3 2 3 2 2 4" xfId="25736" xr:uid="{D58DE7F0-0A29-4319-96A7-187826FD4F0C}"/>
    <cellStyle name="60% - Énfasis3 2 3 2 2 5" xfId="31610" xr:uid="{CC5EBFE5-4DA5-4EBA-A09A-32C8EBEDFD6E}"/>
    <cellStyle name="60% - Énfasis3 2 3 2 2 6" xfId="37480" xr:uid="{EA228A1C-A166-4EF1-A205-EC02A45B7D30}"/>
    <cellStyle name="60% - Énfasis3 2 3 2 3" xfId="7380" xr:uid="{BF5C3366-3446-48A3-9A07-81C424F4067C}"/>
    <cellStyle name="60% - Énfasis3 2 3 2 3 2" xfId="21782" xr:uid="{360FBB3A-9543-4333-AAAA-331432F35A2A}"/>
    <cellStyle name="60% - Énfasis3 2 3 2 3 3" xfId="27614" xr:uid="{35CF7308-A5CA-497C-9E62-0D4DC5749B99}"/>
    <cellStyle name="60% - Énfasis3 2 3 2 3 4" xfId="33496" xr:uid="{54521F61-4CE9-418C-8096-8AB011B74B12}"/>
    <cellStyle name="60% - Énfasis3 2 3 2 3 5" xfId="39360" xr:uid="{F4B6C4A9-9C4D-4A51-969C-67DC5635440C}"/>
    <cellStyle name="60% - Énfasis3 2 3 2 4" xfId="19016" xr:uid="{DF32C73A-A27A-46F2-B1A7-EC5ABCE98725}"/>
    <cellStyle name="60% - Énfasis3 2 3 2 5" xfId="24765" xr:uid="{D490442D-87DA-4AD0-822A-D14AEB53026F}"/>
    <cellStyle name="60% - Énfasis3 2 3 2 6" xfId="30642" xr:uid="{BB580CD9-E89C-482D-8ACA-05891AD46978}"/>
    <cellStyle name="60% - Énfasis3 2 3 2 7" xfId="36523" xr:uid="{0CBFDE73-180B-482B-A4CC-5E49F429E2F9}"/>
    <cellStyle name="60% - Énfasis3 2 3 3" xfId="5000" xr:uid="{9CB3FEFC-F8BE-44D4-BBA0-ECE0CA15A5EC}"/>
    <cellStyle name="60% - Énfasis3 2 3 3 2" xfId="7867" xr:uid="{BD38801E-1FBA-4F7C-8E9C-207464F52DBD}"/>
    <cellStyle name="60% - Énfasis3 2 3 3 2 2" xfId="22252" xr:uid="{FD896D4E-19CD-4E10-BAF1-579A6EEB4B78}"/>
    <cellStyle name="60% - Énfasis3 2 3 3 2 3" xfId="28100" xr:uid="{6A4A851B-313E-4FD8-9F73-B0D94510DB01}"/>
    <cellStyle name="60% - Énfasis3 2 3 3 2 4" xfId="33982" xr:uid="{91CA747E-C9B7-4B61-8C6B-55A935CFA8ED}"/>
    <cellStyle name="60% - Énfasis3 2 3 3 2 5" xfId="39846" xr:uid="{E37722A1-31E6-42D6-8134-8854102D75F6}"/>
    <cellStyle name="60% - Énfasis3 2 3 3 3" xfId="19479" xr:uid="{2A2302B7-47F7-436C-9E3D-889EBEAAE174}"/>
    <cellStyle name="60% - Énfasis3 2 3 3 4" xfId="25251" xr:uid="{56620DC3-BAB9-48F6-BD07-CA9E9F27B681}"/>
    <cellStyle name="60% - Énfasis3 2 3 3 5" xfId="31125" xr:uid="{5B143FD0-E221-46AC-B1B4-7491C5932D19}"/>
    <cellStyle name="60% - Énfasis3 2 3 3 6" xfId="37003" xr:uid="{9F8EA4C4-0937-47B9-B507-AC96FEA8DEB6}"/>
    <cellStyle name="60% - Énfasis3 2 3 4" xfId="6895" xr:uid="{89E5B1E1-AD1F-49D6-8013-640CF3B54410}"/>
    <cellStyle name="60% - Énfasis3 2 3 4 2" xfId="21316" xr:uid="{821B122F-6765-4E0C-82F1-CB3059D3BE53}"/>
    <cellStyle name="60% - Énfasis3 2 3 4 3" xfId="27133" xr:uid="{0FAAAB08-934E-4117-B618-9D231EB3A63E}"/>
    <cellStyle name="60% - Énfasis3 2 3 4 4" xfId="33011" xr:uid="{FBFD2FC5-56A8-48B3-BD3D-9E90B15794EA}"/>
    <cellStyle name="60% - Énfasis3 2 3 4 5" xfId="38875" xr:uid="{FED0235D-C823-4923-ADAA-8D4A53CA3B50}"/>
    <cellStyle name="60% - Énfasis3 2 3 5" xfId="18570" xr:uid="{08EDCFD3-D773-4C08-80EF-8D41C2939B60}"/>
    <cellStyle name="60% - Énfasis3 2 3 6" xfId="24282" xr:uid="{07972E16-F53D-4E71-AC7F-C75CEA73BCEE}"/>
    <cellStyle name="60% - Énfasis3 2 3 7" xfId="30160" xr:uid="{0595ECF1-A8CC-4F5A-A7EB-5228F738FDD5}"/>
    <cellStyle name="60% - Énfasis3 2 3 8" xfId="36039" xr:uid="{FC4CD63C-D491-4283-9611-824C57D78E5E}"/>
    <cellStyle name="60% - Énfasis3 2 4" xfId="4323" xr:uid="{B89AB3FE-E9D4-4BC2-AE8A-AB19213F95A0}"/>
    <cellStyle name="60% - Énfasis3 2 4 2" xfId="5289" xr:uid="{C2D80B9F-E71A-4E15-9182-FC3CE40F6D2A}"/>
    <cellStyle name="60% - Énfasis3 2 4 2 2" xfId="8156" xr:uid="{FD924866-DA01-4669-A833-5838742C93E8}"/>
    <cellStyle name="60% - Énfasis3 2 4 2 2 2" xfId="22532" xr:uid="{76EEB5BE-899C-4930-97F4-F6AA7EAAB86A}"/>
    <cellStyle name="60% - Énfasis3 2 4 2 2 3" xfId="28389" xr:uid="{E5593D7B-4EC3-4CA2-97B5-0E4C451F4A6B}"/>
    <cellStyle name="60% - Énfasis3 2 4 2 2 4" xfId="34271" xr:uid="{97DDEC42-A0B2-4BA4-9D74-3E2666C97662}"/>
    <cellStyle name="60% - Énfasis3 2 4 2 2 5" xfId="40135" xr:uid="{E1B4FD33-ABEF-411A-92C0-FAF5E4FC2EA3}"/>
    <cellStyle name="60% - Énfasis3 2 4 2 3" xfId="19757" xr:uid="{F374790F-8356-4928-BC5D-31233A8F9A1B}"/>
    <cellStyle name="60% - Énfasis3 2 4 2 4" xfId="25540" xr:uid="{14E68DDA-494E-4A1F-9EE2-9BD61C006A14}"/>
    <cellStyle name="60% - Énfasis3 2 4 2 5" xfId="31414" xr:uid="{FD0FFB23-C806-4494-9EAE-ECBF4CD3F7B6}"/>
    <cellStyle name="60% - Énfasis3 2 4 2 6" xfId="37285" xr:uid="{55CF48E0-DCCA-4723-AB2A-5F02056640C4}"/>
    <cellStyle name="60% - Énfasis3 2 4 3" xfId="7184" xr:uid="{3E0E3D48-512F-4B6E-AADD-BB15834AF9C1}"/>
    <cellStyle name="60% - Énfasis3 2 4 3 2" xfId="21591" xr:uid="{B26982BE-499A-41E7-B768-6722F9079824}"/>
    <cellStyle name="60% - Énfasis3 2 4 3 3" xfId="27418" xr:uid="{4DF89C94-471D-4D7A-BCD8-F345AA8625CF}"/>
    <cellStyle name="60% - Énfasis3 2 4 3 4" xfId="33300" xr:uid="{2F8B9C6F-1E91-4B0D-828C-D82FD6255D1F}"/>
    <cellStyle name="60% - Énfasis3 2 4 3 5" xfId="39164" xr:uid="{AFD0067B-542B-4D5C-9C2A-79C841BEC2A3}"/>
    <cellStyle name="60% - Énfasis3 2 4 4" xfId="18828" xr:uid="{256474DA-AF79-4328-826C-BA13453DA9A2}"/>
    <cellStyle name="60% - Énfasis3 2 4 5" xfId="24569" xr:uid="{91AEAE23-F171-4C8D-9554-34C901959544}"/>
    <cellStyle name="60% - Énfasis3 2 4 6" xfId="30448" xr:uid="{64743C31-0873-4099-9D8D-041D940CD691}"/>
    <cellStyle name="60% - Énfasis3 2 4 7" xfId="36328" xr:uid="{714B74C8-75FB-4529-84A3-68634C289CCC}"/>
    <cellStyle name="60% - Énfasis3 2 5" xfId="4808" xr:uid="{80AFA710-E80C-4F24-9E46-EAF40B7744E6}"/>
    <cellStyle name="60% - Énfasis3 2 5 2" xfId="7671" xr:uid="{54CBFEE3-39E3-4C35-9BFF-ECF6BE03F36F}"/>
    <cellStyle name="60% - Énfasis3 2 5 2 2" xfId="22062" xr:uid="{27C2A821-1B48-4855-84E8-A757660CB928}"/>
    <cellStyle name="60% - Énfasis3 2 5 2 3" xfId="27904" xr:uid="{6AE750C8-4FD7-43C1-9B0C-B614EC2890F6}"/>
    <cellStyle name="60% - Énfasis3 2 5 2 4" xfId="33786" xr:uid="{FE6A134B-26B9-4208-8480-C0534F030DC6}"/>
    <cellStyle name="60% - Énfasis3 2 5 2 5" xfId="39650" xr:uid="{6F2B6F4D-6A00-4588-9193-2FBCD2271246}"/>
    <cellStyle name="60% - Énfasis3 2 5 3" xfId="19287" xr:uid="{0F2266DF-F449-4058-A079-A8450B09461F}"/>
    <cellStyle name="60% - Énfasis3 2 5 4" xfId="25055" xr:uid="{B3997981-474D-43AE-B534-353CFB5417BC}"/>
    <cellStyle name="60% - Énfasis3 2 5 5" xfId="30929" xr:uid="{8783D7C2-DC86-4D54-B32C-FDF0581FA449}"/>
    <cellStyle name="60% - Énfasis3 2 5 6" xfId="36808" xr:uid="{DE0A6161-0B65-47F6-B1BE-8EF69028F258}"/>
    <cellStyle name="60% - Énfasis3 2 6" xfId="5814" xr:uid="{E488622A-62C2-43FC-95A8-F7864BF43F55}"/>
    <cellStyle name="60% - Énfasis3 2 6 2" xfId="8683" xr:uid="{68DEBB24-E80D-4C36-B56C-F16203CFBF5B}"/>
    <cellStyle name="60% - Énfasis3 2 6 2 2" xfId="23051" xr:uid="{4EA52790-B96A-4FA1-95C3-5CCEF7B0449D}"/>
    <cellStyle name="60% - Énfasis3 2 6 2 3" xfId="28915" xr:uid="{D1533BD8-6ED7-4FF1-8F88-A8ACB6066BF9}"/>
    <cellStyle name="60% - Énfasis3 2 6 2 4" xfId="34797" xr:uid="{E718E481-C082-4D69-AB60-5FA5ECF3C3E1}"/>
    <cellStyle name="60% - Énfasis3 2 6 2 5" xfId="40661" xr:uid="{BFCCBF02-770C-4F49-8A10-8C4F2C41A0C7}"/>
    <cellStyle name="60% - Énfasis3 2 6 3" xfId="20266" xr:uid="{5DFCC8D3-D0CF-4C04-8E7E-253AEA7FB3E9}"/>
    <cellStyle name="60% - Énfasis3 2 6 4" xfId="26065" xr:uid="{19812976-BC24-4DF5-84F2-6628AE949B8E}"/>
    <cellStyle name="60% - Énfasis3 2 6 5" xfId="31940" xr:uid="{1AA9E2CC-832F-4718-802E-D838979D0E1A}"/>
    <cellStyle name="60% - Énfasis3 2 6 6" xfId="37806" xr:uid="{A50F1C61-0DDF-46AB-B1EE-99FB728B76D5}"/>
    <cellStyle name="60% - Énfasis3 2 7" xfId="6700" xr:uid="{149225BE-9031-4E92-89CA-61CC00B3D5C7}"/>
    <cellStyle name="60% - Énfasis3 2 7 2" xfId="21127" xr:uid="{F0FC0F13-A1E7-4086-A3B3-CA6BB53F06B4}"/>
    <cellStyle name="60% - Énfasis3 2 7 3" xfId="26939" xr:uid="{FBB70BFE-A17F-4BF8-BDAE-652D3064E4CE}"/>
    <cellStyle name="60% - Énfasis3 2 7 4" xfId="32815" xr:uid="{9CB609EA-1748-4388-A8C6-F3D8CA2DC4B3}"/>
    <cellStyle name="60% - Énfasis3 2 7 5" xfId="38679" xr:uid="{2EF3A404-543A-416C-98A5-18B6C2801566}"/>
    <cellStyle name="60% - Énfasis3 2 8" xfId="18361" xr:uid="{459F26F9-8AC5-4231-AB1A-26361A8CE30E}"/>
    <cellStyle name="60% - Énfasis3 2 9" xfId="24069" xr:uid="{6FADFCE6-984D-42EF-A48F-843F7C0B637A}"/>
    <cellStyle name="60% - Énfasis3 20" xfId="6043" xr:uid="{AE16308F-3EE2-4A35-9606-0F06FE582DF4}"/>
    <cellStyle name="60% - Énfasis3 20 2" xfId="8912" xr:uid="{6941FCDC-AEB6-42CA-8C21-B2FF3B42571A}"/>
    <cellStyle name="60% - Énfasis3 20 2 2" xfId="23276" xr:uid="{362743B6-A18B-493D-A7AF-B0C35F0D2AED}"/>
    <cellStyle name="60% - Énfasis3 20 2 3" xfId="29143" xr:uid="{06E567DF-C31A-4060-A4B4-8E8F3C311883}"/>
    <cellStyle name="60% - Énfasis3 20 2 4" xfId="35025" xr:uid="{88BBB5FF-1BA7-487F-BF3B-7F34B0AA6D4D}"/>
    <cellStyle name="60% - Énfasis3 20 2 5" xfId="40889" xr:uid="{C9715226-64A8-4C11-A119-E964A2555A4B}"/>
    <cellStyle name="60% - Énfasis3 20 3" xfId="20491" xr:uid="{0E3080DB-2464-4E8C-8C0D-A5C4371EECC7}"/>
    <cellStyle name="60% - Énfasis3 20 4" xfId="26293" xr:uid="{B698B251-44AB-43BC-8D7F-7E69A061CD16}"/>
    <cellStyle name="60% - Énfasis3 20 5" xfId="32168" xr:uid="{FCAC0B35-8243-4B8C-A648-F12BC0493EA9}"/>
    <cellStyle name="60% - Énfasis3 20 6" xfId="38033" xr:uid="{9744F162-7FC2-4C3A-BD18-62CC55EC5C9D}"/>
    <cellStyle name="60% - Énfasis3 21" xfId="6063" xr:uid="{E99E47FD-9222-4DB4-B194-F1EFA0D2CE52}"/>
    <cellStyle name="60% - Énfasis3 21 2" xfId="8932" xr:uid="{BE4B3E5A-3966-4437-8BF9-078CCF7F9A56}"/>
    <cellStyle name="60% - Énfasis3 21 2 2" xfId="23296" xr:uid="{6C6BFDC1-4970-426B-9A29-655AC9B0B39A}"/>
    <cellStyle name="60% - Énfasis3 21 2 3" xfId="29163" xr:uid="{29C299F0-43F7-4EB9-A85D-7EBC562CF0C5}"/>
    <cellStyle name="60% - Énfasis3 21 2 4" xfId="35045" xr:uid="{FA3591B7-2D74-4B25-994A-CBC50F12B009}"/>
    <cellStyle name="60% - Énfasis3 21 2 5" xfId="40909" xr:uid="{4630B46D-6843-45CA-A698-47283CEB5048}"/>
    <cellStyle name="60% - Énfasis3 21 3" xfId="20511" xr:uid="{10082B76-A612-4251-8A84-D053D581C006}"/>
    <cellStyle name="60% - Énfasis3 21 4" xfId="26313" xr:uid="{38C60902-C943-4227-821E-770963624F85}"/>
    <cellStyle name="60% - Énfasis3 21 5" xfId="32188" xr:uid="{65019B22-D4FE-48D7-82DB-21C3B1866514}"/>
    <cellStyle name="60% - Énfasis3 21 6" xfId="38053" xr:uid="{73C0FD21-13B2-4B2F-B60A-68C911771707}"/>
    <cellStyle name="60% - Énfasis3 22" xfId="6083" xr:uid="{C2905691-A400-4EBE-8425-B37AF31DCFAD}"/>
    <cellStyle name="60% - Énfasis3 22 2" xfId="8952" xr:uid="{8BAB7ECC-C85A-4313-A764-4C0454BA10BD}"/>
    <cellStyle name="60% - Énfasis3 22 2 2" xfId="23316" xr:uid="{87D0447C-6449-4680-AC2C-50C154160261}"/>
    <cellStyle name="60% - Énfasis3 22 2 3" xfId="29183" xr:uid="{CA288DB5-68C0-460E-B149-8EBD0D2E748F}"/>
    <cellStyle name="60% - Énfasis3 22 2 4" xfId="35065" xr:uid="{8778EBD0-A49C-42B3-90CA-3369321D5874}"/>
    <cellStyle name="60% - Énfasis3 22 2 5" xfId="40929" xr:uid="{0F5CF049-38D8-4AB6-894F-16B3D2EB152A}"/>
    <cellStyle name="60% - Énfasis3 22 3" xfId="20531" xr:uid="{62718580-D176-4FD4-A2B0-13117CA2869C}"/>
    <cellStyle name="60% - Énfasis3 22 4" xfId="26333" xr:uid="{3F0767B4-8724-4CB6-86C1-F8B87ED8DA4D}"/>
    <cellStyle name="60% - Énfasis3 22 5" xfId="32208" xr:uid="{1AA16151-351A-4F15-80C2-13BBAA59D680}"/>
    <cellStyle name="60% - Énfasis3 22 6" xfId="38073" xr:uid="{335BF9C6-8937-443E-B761-43A1AB57197F}"/>
    <cellStyle name="60% - Énfasis3 23" xfId="6103" xr:uid="{AD98A0CC-1243-46FF-8ABD-FF0B8AADB21C}"/>
    <cellStyle name="60% - Énfasis3 23 2" xfId="8972" xr:uid="{09A054AB-AA72-44EE-9786-AC048632BF53}"/>
    <cellStyle name="60% - Énfasis3 23 2 2" xfId="23336" xr:uid="{0F200BB0-3578-41AE-ADC3-4A923F712A13}"/>
    <cellStyle name="60% - Énfasis3 23 2 3" xfId="29203" xr:uid="{7F264080-38C6-41EC-9374-C10A2299648A}"/>
    <cellStyle name="60% - Énfasis3 23 2 4" xfId="35085" xr:uid="{5B198DDC-6E0A-4E98-979D-C5E986227F60}"/>
    <cellStyle name="60% - Énfasis3 23 2 5" xfId="40949" xr:uid="{5452ACB3-862B-48AE-9004-CD481ECB0807}"/>
    <cellStyle name="60% - Énfasis3 23 3" xfId="20551" xr:uid="{3883A8EB-9808-4305-804F-F69204B0345D}"/>
    <cellStyle name="60% - Énfasis3 23 4" xfId="26353" xr:uid="{411EEB80-E18F-498E-842F-05194A5C574F}"/>
    <cellStyle name="60% - Énfasis3 23 5" xfId="32228" xr:uid="{445D6328-EF3A-4EB3-8484-F17033D4C6EA}"/>
    <cellStyle name="60% - Énfasis3 23 6" xfId="38093" xr:uid="{66F5C18D-C010-44F3-8907-9CA2F629E187}"/>
    <cellStyle name="60% - Énfasis3 24" xfId="6123" xr:uid="{57B54739-9A33-4A0C-8D26-1491DD46815B}"/>
    <cellStyle name="60% - Énfasis3 24 2" xfId="8992" xr:uid="{837BB8C8-0695-4889-B06F-31F9B0A00E89}"/>
    <cellStyle name="60% - Énfasis3 24 2 2" xfId="23356" xr:uid="{DF923496-9860-4B9A-A995-63DD247D9259}"/>
    <cellStyle name="60% - Énfasis3 24 2 3" xfId="29223" xr:uid="{3EE0AD6B-268E-4671-847F-44698805E2C3}"/>
    <cellStyle name="60% - Énfasis3 24 2 4" xfId="35105" xr:uid="{E9184A8E-58A7-4218-ADEB-0CC4C3E071C5}"/>
    <cellStyle name="60% - Énfasis3 24 2 5" xfId="40969" xr:uid="{B04CF5F7-26D4-40D9-A70E-8FAC3147D71C}"/>
    <cellStyle name="60% - Énfasis3 24 3" xfId="20571" xr:uid="{C1886C77-BC83-46A6-86A0-91D86F69243C}"/>
    <cellStyle name="60% - Énfasis3 24 4" xfId="26373" xr:uid="{913AB3DB-92D3-4B7D-890A-9AADE5F96A20}"/>
    <cellStyle name="60% - Énfasis3 24 5" xfId="32248" xr:uid="{2EBE54F8-AECB-43A4-AF72-542BD50246F7}"/>
    <cellStyle name="60% - Énfasis3 24 6" xfId="38113" xr:uid="{05919C4C-0C72-4248-A443-6AFEEC8749EF}"/>
    <cellStyle name="60% - Énfasis3 25" xfId="6143" xr:uid="{A472FD1C-ACC2-4652-AB1B-88306CA58383}"/>
    <cellStyle name="60% - Énfasis3 25 2" xfId="9012" xr:uid="{001EA906-CBEE-43F2-96FC-65781E3EB08B}"/>
    <cellStyle name="60% - Énfasis3 25 2 2" xfId="23376" xr:uid="{EDEEB7BF-97C6-41B1-ACB1-9814C61F1F8A}"/>
    <cellStyle name="60% - Énfasis3 25 2 3" xfId="29243" xr:uid="{977D0387-07D9-4691-9EFB-E0CEC32FB7A5}"/>
    <cellStyle name="60% - Énfasis3 25 2 4" xfId="35125" xr:uid="{C238E72A-200E-4624-A706-718E48BABCEF}"/>
    <cellStyle name="60% - Énfasis3 25 2 5" xfId="40988" xr:uid="{DCEE487F-BFE3-457F-BC37-F0C481696B05}"/>
    <cellStyle name="60% - Énfasis3 25 3" xfId="20591" xr:uid="{29EAB531-FB7C-4FCF-94C7-E40976B51B59}"/>
    <cellStyle name="60% - Énfasis3 25 4" xfId="26393" xr:uid="{8E190C0D-6F08-4831-B1DA-0EF0D55687C7}"/>
    <cellStyle name="60% - Énfasis3 25 5" xfId="32268" xr:uid="{1EDF7176-7BF9-4962-8A9B-6F3495F05BE3}"/>
    <cellStyle name="60% - Énfasis3 25 6" xfId="38133" xr:uid="{D0A66605-4159-43DA-928E-1F522D20BFA7}"/>
    <cellStyle name="60% - Énfasis3 26" xfId="6163" xr:uid="{3CE436BE-5E63-4E37-8F46-603B62BA3CFA}"/>
    <cellStyle name="60% - Énfasis3 26 2" xfId="9032" xr:uid="{E00A93FE-2AB0-4F5E-9254-30391FD68955}"/>
    <cellStyle name="60% - Énfasis3 26 2 2" xfId="23396" xr:uid="{07A4163B-E5FD-4EB3-AE1B-FD89B5A51831}"/>
    <cellStyle name="60% - Énfasis3 26 2 3" xfId="29263" xr:uid="{5810A13F-6F48-4392-B359-960D2A2E367B}"/>
    <cellStyle name="60% - Énfasis3 26 2 4" xfId="35145" xr:uid="{92FEFB65-B2E4-4252-A60D-1CAB8FDDB5C3}"/>
    <cellStyle name="60% - Énfasis3 26 2 5" xfId="41007" xr:uid="{67F45003-9BC7-48BF-BD82-9CDFAF4A14A5}"/>
    <cellStyle name="60% - Énfasis3 26 3" xfId="20611" xr:uid="{AF5F5F99-E2F0-46AE-AD66-F758DB744A97}"/>
    <cellStyle name="60% - Énfasis3 26 4" xfId="26413" xr:uid="{ECA85BDC-2CD9-4887-87F3-459F05BDC689}"/>
    <cellStyle name="60% - Énfasis3 26 5" xfId="32288" xr:uid="{F6A7EF15-4CB7-45E4-9BE8-F5E421C24EC9}"/>
    <cellStyle name="60% - Énfasis3 26 6" xfId="38153" xr:uid="{D787163C-DBD8-43E6-B672-57481B9D4803}"/>
    <cellStyle name="60% - Énfasis3 27" xfId="6183" xr:uid="{144FD8F3-B518-492C-AFC1-4F8A1B9C87E9}"/>
    <cellStyle name="60% - Énfasis3 27 2" xfId="9052" xr:uid="{C699CF78-2CED-4521-B6D7-75DC96AB4397}"/>
    <cellStyle name="60% - Énfasis3 27 2 2" xfId="23416" xr:uid="{FA600D88-2D5E-4EF2-8DB4-EED646B5A3E8}"/>
    <cellStyle name="60% - Énfasis3 27 2 3" xfId="29283" xr:uid="{0EC9A631-0E09-45CA-BDC7-73C474C54E46}"/>
    <cellStyle name="60% - Énfasis3 27 2 4" xfId="35165" xr:uid="{74105C76-0AB1-49F6-90CD-85C69467A175}"/>
    <cellStyle name="60% - Énfasis3 27 2 5" xfId="41027" xr:uid="{7869BB20-CB72-43B6-96CB-8D1B8A261689}"/>
    <cellStyle name="60% - Énfasis3 27 3" xfId="20631" xr:uid="{7778BBF0-772D-4ED1-8B82-1CBA52259146}"/>
    <cellStyle name="60% - Énfasis3 27 4" xfId="26433" xr:uid="{B00F5768-6C5B-488A-B135-365E8DCD03E5}"/>
    <cellStyle name="60% - Énfasis3 27 5" xfId="32308" xr:uid="{144D4C6D-0BFD-4EC9-A7F3-3437FDA839E5}"/>
    <cellStyle name="60% - Énfasis3 27 6" xfId="38173" xr:uid="{EC93FA68-15F4-4F35-8799-9246CC7425DD}"/>
    <cellStyle name="60% - Énfasis3 28" xfId="6205" xr:uid="{6CA98A9C-7266-4B34-AB7D-CA290F4AA8FA}"/>
    <cellStyle name="60% - Énfasis3 28 2" xfId="9074" xr:uid="{5E532373-F27F-425B-8006-07C85D583D52}"/>
    <cellStyle name="60% - Énfasis3 28 2 2" xfId="23438" xr:uid="{02DF8DAE-5F8E-4742-8148-2365A2CA1D95}"/>
    <cellStyle name="60% - Énfasis3 28 2 3" xfId="29305" xr:uid="{23BADD8E-CD06-49C8-B2C1-5EF2BF687060}"/>
    <cellStyle name="60% - Énfasis3 28 2 4" xfId="35187" xr:uid="{1CC34FC4-DB96-4F4F-A4DD-B8EDEAEFF24F}"/>
    <cellStyle name="60% - Énfasis3 28 2 5" xfId="41048" xr:uid="{89EC18E4-F669-4DED-A82C-AF61F60A8350}"/>
    <cellStyle name="60% - Énfasis3 28 3" xfId="20653" xr:uid="{DEF44C2B-7E2B-4775-B97F-A6E8FF77BB18}"/>
    <cellStyle name="60% - Énfasis3 28 4" xfId="26455" xr:uid="{6D12C31B-9349-4AA1-BEC7-B61D17EE9E4F}"/>
    <cellStyle name="60% - Énfasis3 28 5" xfId="32330" xr:uid="{2A95ADD7-F8D5-4B74-A6FC-D78919CFC142}"/>
    <cellStyle name="60% - Énfasis3 28 6" xfId="38195" xr:uid="{50AA84D4-9265-42E4-BE45-1E4B92338D38}"/>
    <cellStyle name="60% - Énfasis3 29" xfId="6242" xr:uid="{6F965336-37F9-4A17-9AB0-E7A0092E4D8E}"/>
    <cellStyle name="60% - Énfasis3 29 2" xfId="9111" xr:uid="{A588AABA-A348-451B-99F9-AD2D2C999416}"/>
    <cellStyle name="60% - Énfasis3 29 2 2" xfId="23475" xr:uid="{4532EFE3-48AC-4358-BF64-7B7572F2A6F7}"/>
    <cellStyle name="60% - Énfasis3 29 2 3" xfId="29342" xr:uid="{73E6D7A3-9FE3-4BA5-B675-85226CF5248F}"/>
    <cellStyle name="60% - Énfasis3 29 2 4" xfId="35224" xr:uid="{0AB2F123-9906-4FDC-8B19-6A193ECC4CDA}"/>
    <cellStyle name="60% - Énfasis3 29 2 5" xfId="41084" xr:uid="{455217DB-93EB-41B3-A0EE-ED6F94BD30B9}"/>
    <cellStyle name="60% - Énfasis3 29 3" xfId="20683" xr:uid="{B49BD7A9-9206-4EB6-B88D-3E9D4F36379A}"/>
    <cellStyle name="60% - Énfasis3 29 4" xfId="26492" xr:uid="{6CE6C59B-A1A1-42D1-BF14-7A2E5A00CBF0}"/>
    <cellStyle name="60% - Énfasis3 29 5" xfId="32367" xr:uid="{4578315F-BD0B-4AFE-9208-FA333D5DE0D6}"/>
    <cellStyle name="60% - Énfasis3 29 6" xfId="38232" xr:uid="{BF6C31F0-898F-451F-B933-1F3D364DC798}"/>
    <cellStyle name="60% - Énfasis3 3" xfId="3865" xr:uid="{3267FBAD-2BE6-48D6-B16E-9FE626BC2E64}"/>
    <cellStyle name="60% - Énfasis3 3 10" xfId="29974" xr:uid="{69548157-5AB4-4DA8-9C28-34C7E3BF0CAB}"/>
    <cellStyle name="60% - Énfasis3 3 11" xfId="35855" xr:uid="{5C30DC40-D7A1-401D-864D-7C182090B7C8}"/>
    <cellStyle name="60% - Énfasis3 3 2" xfId="4064" xr:uid="{A33ED111-0290-4540-BD23-748AE8EECC7F}"/>
    <cellStyle name="60% - Énfasis3 3 2 2" xfId="4542" xr:uid="{9CE99199-61BD-49E7-A7C8-44B2E3F8CC9E}"/>
    <cellStyle name="60% - Énfasis3 3 2 2 2" xfId="5510" xr:uid="{2F4CEEED-6D28-4A89-B500-5DF48DC98360}"/>
    <cellStyle name="60% - Énfasis3 3 2 2 2 2" xfId="8377" xr:uid="{77A29BAB-3332-42BE-8155-0275E3F93C25}"/>
    <cellStyle name="60% - Énfasis3 3 2 2 2 2 2" xfId="22752" xr:uid="{B1DD8DEA-E505-4BCC-AC16-690F783A1D2F}"/>
    <cellStyle name="60% - Énfasis3 3 2 2 2 2 3" xfId="28610" xr:uid="{A343E592-7EBF-4EF3-BCD9-513635D4BFDA}"/>
    <cellStyle name="60% - Énfasis3 3 2 2 2 2 4" xfId="34492" xr:uid="{DFD29A9A-B5F6-4886-87B9-36F57E96FCEC}"/>
    <cellStyle name="60% - Énfasis3 3 2 2 2 2 5" xfId="40356" xr:uid="{C7E6E69A-B69A-430D-A220-5CEB58353A73}"/>
    <cellStyle name="60% - Énfasis3 3 2 2 2 3" xfId="19970" xr:uid="{9089C69E-815D-4218-B740-A5AABBFE4240}"/>
    <cellStyle name="60% - Énfasis3 3 2 2 2 4" xfId="25761" xr:uid="{13092A02-979A-4590-BEC7-B2200023C1F6}"/>
    <cellStyle name="60% - Énfasis3 3 2 2 2 5" xfId="31635" xr:uid="{E3BC00C2-5790-4748-BD36-62577197CAB6}"/>
    <cellStyle name="60% - Énfasis3 3 2 2 2 6" xfId="37505" xr:uid="{5C3C1974-9695-481D-B171-DE5BACB9F4EF}"/>
    <cellStyle name="60% - Énfasis3 3 2 2 3" xfId="7405" xr:uid="{2250159E-AC53-4550-933C-740B5D10F7A5}"/>
    <cellStyle name="60% - Énfasis3 3 2 2 3 2" xfId="21807" xr:uid="{988B0BF1-C81A-4A4E-96EE-3CAD8BB9624C}"/>
    <cellStyle name="60% - Énfasis3 3 2 2 3 3" xfId="27639" xr:uid="{9FE68379-41C9-403D-86D7-3A140B0D6447}"/>
    <cellStyle name="60% - Énfasis3 3 2 2 3 4" xfId="33521" xr:uid="{41F83D85-6AEA-4566-B5E8-94552213166E}"/>
    <cellStyle name="60% - Énfasis3 3 2 2 3 5" xfId="39385" xr:uid="{95EB852C-406E-46AB-BE5C-20EA32EEA660}"/>
    <cellStyle name="60% - Énfasis3 3 2 2 4" xfId="19038" xr:uid="{531EC1FB-B5B3-405F-B3E6-8B908F35FDFB}"/>
    <cellStyle name="60% - Énfasis3 3 2 2 5" xfId="24790" xr:uid="{B7D4B6F7-6ACF-461F-B457-B29CFC19301D}"/>
    <cellStyle name="60% - Énfasis3 3 2 2 6" xfId="30667" xr:uid="{1D71B5F1-36D6-4258-8A9A-A17A9638B71D}"/>
    <cellStyle name="60% - Énfasis3 3 2 2 7" xfId="36548" xr:uid="{9856C63F-89F3-4E14-8D0E-EE5263CA804B}"/>
    <cellStyle name="60% - Énfasis3 3 2 3" xfId="5025" xr:uid="{A101AB64-3057-4227-8240-F30643C1624D}"/>
    <cellStyle name="60% - Énfasis3 3 2 3 2" xfId="7892" xr:uid="{B5E27348-C512-4936-9722-8AC07C15EE27}"/>
    <cellStyle name="60% - Énfasis3 3 2 3 2 2" xfId="22277" xr:uid="{A25142A8-4A51-4C93-8D42-696D0ADDF7E2}"/>
    <cellStyle name="60% - Énfasis3 3 2 3 2 3" xfId="28125" xr:uid="{4F1271E3-11DF-4B42-A8A3-A4360D6F03EF}"/>
    <cellStyle name="60% - Énfasis3 3 2 3 2 4" xfId="34007" xr:uid="{5BC75B7D-A49D-4205-AADA-BB65C87F7764}"/>
    <cellStyle name="60% - Énfasis3 3 2 3 2 5" xfId="39871" xr:uid="{2BDFEB2C-D62F-4595-95EE-652E638EC422}"/>
    <cellStyle name="60% - Énfasis3 3 2 3 3" xfId="19503" xr:uid="{137A78B3-06A0-4F6D-8044-13CDB528C857}"/>
    <cellStyle name="60% - Énfasis3 3 2 3 4" xfId="25276" xr:uid="{24B58B0F-DB46-4EEA-9314-FE8BE0207BDC}"/>
    <cellStyle name="60% - Énfasis3 3 2 3 5" xfId="31150" xr:uid="{410E2D02-1917-4E48-A739-2143EDB656CB}"/>
    <cellStyle name="60% - Énfasis3 3 2 3 6" xfId="37028" xr:uid="{BD644450-E689-4E65-9928-6D505BC36433}"/>
    <cellStyle name="60% - Énfasis3 3 2 4" xfId="6920" xr:uid="{04D28217-DF9F-4139-B112-2FD0975A7950}"/>
    <cellStyle name="60% - Énfasis3 3 2 4 2" xfId="21340" xr:uid="{16DFF2A7-A5AE-4103-8A5E-F8A3A8BB5C09}"/>
    <cellStyle name="60% - Énfasis3 3 2 4 3" xfId="27158" xr:uid="{43A96510-8FE7-48C0-9B22-83F348B06EC6}"/>
    <cellStyle name="60% - Énfasis3 3 2 4 4" xfId="33036" xr:uid="{5A628093-6E19-4984-B657-2CCA3CF65D46}"/>
    <cellStyle name="60% - Énfasis3 3 2 4 5" xfId="38900" xr:uid="{9E0E509A-8EED-4D4C-9EE2-A4F1C6A283F4}"/>
    <cellStyle name="60% - Énfasis3 3 2 5" xfId="18595" xr:uid="{2972A0DD-85F4-4A3E-A10D-57664F38C80A}"/>
    <cellStyle name="60% - Énfasis3 3 2 6" xfId="24307" xr:uid="{FCFEB554-7599-4AFB-9343-5AF5C93CC659}"/>
    <cellStyle name="60% - Énfasis3 3 2 7" xfId="30185" xr:uid="{2EB74B89-D6F5-4298-92BB-9C9031FAAE17}"/>
    <cellStyle name="60% - Énfasis3 3 2 8" xfId="36064" xr:uid="{3D967481-6C31-45DC-AAF9-078C76FFB2F7}"/>
    <cellStyle name="60% - Énfasis3 3 3" xfId="4348" xr:uid="{AA3670B9-2426-4202-9837-D57DFFF141B0}"/>
    <cellStyle name="60% - Énfasis3 3 3 2" xfId="5314" xr:uid="{205B71C3-E220-4BD7-B3CB-DAC3467788F1}"/>
    <cellStyle name="60% - Énfasis3 3 3 2 2" xfId="8181" xr:uid="{8FA6E676-C2AE-4645-A0BA-16CF921F1662}"/>
    <cellStyle name="60% - Énfasis3 3 3 2 2 2" xfId="22557" xr:uid="{954A1D54-BA0C-4DEE-920A-6F355F4A2514}"/>
    <cellStyle name="60% - Énfasis3 3 3 2 2 3" xfId="28414" xr:uid="{A246E03B-B8F2-4489-B2A7-A6A4E0C29691}"/>
    <cellStyle name="60% - Énfasis3 3 3 2 2 4" xfId="34296" xr:uid="{058AE6DA-990D-4102-BA77-897D65099225}"/>
    <cellStyle name="60% - Énfasis3 3 3 2 2 5" xfId="40160" xr:uid="{3B58071E-FAB4-4446-9512-4FF771647A77}"/>
    <cellStyle name="60% - Énfasis3 3 3 2 3" xfId="19782" xr:uid="{2651D1BD-C385-4D52-9D37-E5E6B0C0BAEC}"/>
    <cellStyle name="60% - Énfasis3 3 3 2 4" xfId="25565" xr:uid="{96DCB266-0152-4872-A6D1-4D2C5EDBC44F}"/>
    <cellStyle name="60% - Énfasis3 3 3 2 5" xfId="31439" xr:uid="{19CDB73F-D57C-4924-BDAA-767D22BF8A1A}"/>
    <cellStyle name="60% - Énfasis3 3 3 2 6" xfId="37310" xr:uid="{0FE5450D-353B-43AD-B74A-A79AE3BCE302}"/>
    <cellStyle name="60% - Énfasis3 3 3 3" xfId="7209" xr:uid="{3F44AC24-5DAF-4F90-86C4-2F1FE9F38DD1}"/>
    <cellStyle name="60% - Énfasis3 3 3 3 2" xfId="21616" xr:uid="{288042AC-5EEE-4B0A-83A0-B711B19DECF7}"/>
    <cellStyle name="60% - Énfasis3 3 3 3 3" xfId="27443" xr:uid="{7B2A9240-3299-4D8A-83CC-BBD9FFEAED29}"/>
    <cellStyle name="60% - Énfasis3 3 3 3 4" xfId="33325" xr:uid="{75EBB799-368D-4966-99EB-889E0DF3C938}"/>
    <cellStyle name="60% - Énfasis3 3 3 3 5" xfId="39189" xr:uid="{D44BEF2D-D16F-4839-9AC9-E6E97EFFB31D}"/>
    <cellStyle name="60% - Énfasis3 3 3 4" xfId="18853" xr:uid="{7462E19D-41C3-4A07-AD45-2940B924C737}"/>
    <cellStyle name="60% - Énfasis3 3 3 5" xfId="24594" xr:uid="{13567DC6-1CBF-4D30-90DC-46E1E1F2C0AA}"/>
    <cellStyle name="60% - Énfasis3 3 3 6" xfId="30473" xr:uid="{9BAA0EEE-CA9B-407F-BC33-C3921C861365}"/>
    <cellStyle name="60% - Énfasis3 3 3 7" xfId="36353" xr:uid="{278392B0-A5A2-4BEF-A3AC-639EDE10E5A0}"/>
    <cellStyle name="60% - Énfasis3 3 4" xfId="4830" xr:uid="{7027FEC3-CC96-40BC-91D2-D4CF28C441B0}"/>
    <cellStyle name="60% - Énfasis3 3 4 2" xfId="7696" xr:uid="{FB65B293-7027-4D4C-971E-48904ADC149A}"/>
    <cellStyle name="60% - Énfasis3 3 4 2 2" xfId="22086" xr:uid="{1FBBFDFD-A8CF-43E1-BFC1-2F12AD44CE2B}"/>
    <cellStyle name="60% - Énfasis3 3 4 2 3" xfId="27929" xr:uid="{7A53A220-F5F1-4E23-82A6-42C082B81A01}"/>
    <cellStyle name="60% - Énfasis3 3 4 2 4" xfId="33811" xr:uid="{647EE978-E94A-4EC2-8B0A-88C819FF322C}"/>
    <cellStyle name="60% - Énfasis3 3 4 2 5" xfId="39675" xr:uid="{F8B4CE9B-FE17-40D0-BA70-4F9D98C0DC96}"/>
    <cellStyle name="60% - Énfasis3 3 4 3" xfId="19312" xr:uid="{6D508B6A-3624-47DB-8686-D21D42DFBB81}"/>
    <cellStyle name="60% - Énfasis3 3 4 4" xfId="25080" xr:uid="{A76BC746-2412-4822-BE06-FA90FE5941D7}"/>
    <cellStyle name="60% - Énfasis3 3 4 5" xfId="30954" xr:uid="{EE0510A8-8B98-4072-8556-D13D511EB8E9}"/>
    <cellStyle name="60% - Énfasis3 3 4 6" xfId="36833" xr:uid="{AE38F7E4-A7D1-4587-BD02-B0A82B2A0211}"/>
    <cellStyle name="60% - Énfasis3 3 5" xfId="5839" xr:uid="{A320F956-512D-4B85-A7FC-B62FD6AB2DCD}"/>
    <cellStyle name="60% - Énfasis3 3 5 2" xfId="8708" xr:uid="{893C500C-A273-4DD1-A85C-F05C8779B4B6}"/>
    <cellStyle name="60% - Énfasis3 3 5 2 2" xfId="23076" xr:uid="{5E2BC555-220E-4C29-B416-E9054ECFFC7E}"/>
    <cellStyle name="60% - Énfasis3 3 5 2 3" xfId="28940" xr:uid="{E0642A11-CE65-4E8A-B362-4D0C2C17FEB8}"/>
    <cellStyle name="60% - Énfasis3 3 5 2 4" xfId="34822" xr:uid="{7B215B39-6E19-42BC-BD39-7A1BB2734908}"/>
    <cellStyle name="60% - Énfasis3 3 5 2 5" xfId="40686" xr:uid="{10445216-CCCB-4DFA-8D6E-5ADBCC3F5064}"/>
    <cellStyle name="60% - Énfasis3 3 5 3" xfId="20291" xr:uid="{C05394C5-4CC4-46F0-948F-07FD705F9C16}"/>
    <cellStyle name="60% - Énfasis3 3 5 4" xfId="26090" xr:uid="{63C28310-9288-496E-B98D-29CA3DDF7EE6}"/>
    <cellStyle name="60% - Énfasis3 3 5 5" xfId="31965" xr:uid="{DCDBC8B5-2ABF-4AD4-86A1-319E4598E6ED}"/>
    <cellStyle name="60% - Énfasis3 3 5 6" xfId="37831" xr:uid="{38B66082-4508-4404-BED4-BD5DB69E1760}"/>
    <cellStyle name="60% - Énfasis3 3 6" xfId="6446" xr:uid="{AB822974-ADA4-483E-BD55-B4CF3BB93ED0}"/>
    <cellStyle name="60% - Énfasis3 3 6 2" xfId="9306" xr:uid="{C1720538-D47A-418B-BB99-19EE89ADF868}"/>
    <cellStyle name="60% - Énfasis3 3 6 2 2" xfId="23669" xr:uid="{1448E276-7DE1-448E-A48B-D8AC91A21711}"/>
    <cellStyle name="60% - Énfasis3 3 6 2 3" xfId="29537" xr:uid="{AC0C21EE-1989-45C3-9C7B-9B5C6BC00A29}"/>
    <cellStyle name="60% - Énfasis3 3 6 2 4" xfId="35419" xr:uid="{A26767CC-FB14-471A-BAF7-A0F678CBE387}"/>
    <cellStyle name="60% - Énfasis3 3 6 2 5" xfId="41278" xr:uid="{82725507-D70D-4106-9AB4-E5DD9FFEFEB4}"/>
    <cellStyle name="60% - Énfasis3 3 6 3" xfId="20885" xr:uid="{FF27AA7A-08EB-4E9C-A0C7-970A6678EF89}"/>
    <cellStyle name="60% - Énfasis3 3 6 4" xfId="26695" xr:uid="{0B7A70D0-C94F-495E-88BD-16A37D4960B2}"/>
    <cellStyle name="60% - Énfasis3 3 6 5" xfId="32570" xr:uid="{B771E4DB-58B7-4E04-BD14-E574AC649DAE}"/>
    <cellStyle name="60% - Énfasis3 3 6 6" xfId="38434" xr:uid="{1B779138-59AC-4379-B6DF-B89B6C112181}"/>
    <cellStyle name="60% - Énfasis3 3 7" xfId="6725" xr:uid="{C278964D-C4D9-4F28-A1D3-7BCB126BDF90}"/>
    <cellStyle name="60% - Énfasis3 3 7 2" xfId="21149" xr:uid="{A3EB4706-C925-4DF9-86C6-E93D6D17205E}"/>
    <cellStyle name="60% - Énfasis3 3 7 3" xfId="26964" xr:uid="{D9901EAF-036E-43A6-81DC-8C629C5E66AA}"/>
    <cellStyle name="60% - Énfasis3 3 7 4" xfId="32840" xr:uid="{D429E773-8551-4BC6-96E9-E1993A98E6B3}"/>
    <cellStyle name="60% - Énfasis3 3 7 5" xfId="38704" xr:uid="{B1D88261-C59D-4337-96E0-41B93713F53F}"/>
    <cellStyle name="60% - Énfasis3 3 8" xfId="18387" xr:uid="{28845ECB-4C6F-405B-80A0-174F0185F196}"/>
    <cellStyle name="60% - Énfasis3 3 9" xfId="24096" xr:uid="{4D2CC859-B22F-493B-83D5-B45455AB1ADB}"/>
    <cellStyle name="60% - Énfasis3 30" xfId="6262" xr:uid="{2F001C21-B054-423F-A571-1493B4507326}"/>
    <cellStyle name="60% - Énfasis3 30 2" xfId="9131" xr:uid="{E4BCBBF2-E4F5-484C-A341-75AA8CCB5622}"/>
    <cellStyle name="60% - Énfasis3 30 2 2" xfId="23495" xr:uid="{2B701D59-3BBA-4320-91E9-840005E139AB}"/>
    <cellStyle name="60% - Énfasis3 30 2 3" xfId="29362" xr:uid="{751CA679-7966-4EED-B222-E6AE0E2D8307}"/>
    <cellStyle name="60% - Énfasis3 30 2 4" xfId="35244" xr:uid="{51C38137-463C-4807-ACD5-7010C78A0247}"/>
    <cellStyle name="60% - Énfasis3 30 2 5" xfId="41103" xr:uid="{97FF94D8-79DA-4586-9FA8-E723599407AC}"/>
    <cellStyle name="60% - Énfasis3 30 3" xfId="20703" xr:uid="{2702B020-218A-470E-AF90-013A6FA92186}"/>
    <cellStyle name="60% - Énfasis3 30 4" xfId="26512" xr:uid="{318563F3-5224-4B7B-B047-0E188F746CA3}"/>
    <cellStyle name="60% - Énfasis3 30 5" xfId="32387" xr:uid="{AA1788F7-24EF-4264-BD37-FBAF87CA196F}"/>
    <cellStyle name="60% - Énfasis3 30 6" xfId="38252" xr:uid="{4646E874-CA09-456A-A313-2CE0AEE6AF2E}"/>
    <cellStyle name="60% - Énfasis3 31" xfId="6282" xr:uid="{156A081F-939C-4412-B290-39D4DC54392F}"/>
    <cellStyle name="60% - Énfasis3 31 2" xfId="9151" xr:uid="{54E5EEBF-A3F6-434A-B6C6-94C6CB99B35A}"/>
    <cellStyle name="60% - Énfasis3 31 2 2" xfId="23515" xr:uid="{904EBCD9-5EC4-4D4D-9567-7A7EDD3E2B69}"/>
    <cellStyle name="60% - Énfasis3 31 2 3" xfId="29382" xr:uid="{9BB8C0E5-FC92-47E2-B515-BC682EFC4CF1}"/>
    <cellStyle name="60% - Énfasis3 31 2 4" xfId="35264" xr:uid="{CFBED1EF-6443-42F4-B280-D47759414E28}"/>
    <cellStyle name="60% - Énfasis3 31 2 5" xfId="41123" xr:uid="{38E4CBC5-0334-4F52-B8EE-CDD1A93D3B82}"/>
    <cellStyle name="60% - Énfasis3 31 3" xfId="20723" xr:uid="{4174319C-75D0-49B4-8302-1657FEA45375}"/>
    <cellStyle name="60% - Énfasis3 31 4" xfId="26532" xr:uid="{9CBD4621-8275-40C4-89B6-6C21BDF3067C}"/>
    <cellStyle name="60% - Énfasis3 31 5" xfId="32407" xr:uid="{A15E284D-EF54-4781-82D4-31FFAEDB2A7B}"/>
    <cellStyle name="60% - Énfasis3 31 6" xfId="38272" xr:uid="{BF6C9F32-5993-4E03-864E-D5EA6371F674}"/>
    <cellStyle name="60% - Énfasis3 32" xfId="6306" xr:uid="{A226C41B-484F-4CE7-B2C0-B329566D7383}"/>
    <cellStyle name="60% - Énfasis3 32 2" xfId="9174" xr:uid="{44E6038A-5510-4D5A-B26F-98AE0BA549BF}"/>
    <cellStyle name="60% - Énfasis3 32 2 2" xfId="23538" xr:uid="{E1580579-7C56-41E5-8B15-026D3C4A1D31}"/>
    <cellStyle name="60% - Énfasis3 32 2 3" xfId="29405" xr:uid="{A2B285C8-050A-461D-813C-169D3C0DD88B}"/>
    <cellStyle name="60% - Énfasis3 32 2 4" xfId="35287" xr:uid="{79348AF9-3FD7-4A2E-B38C-AFA434603D2E}"/>
    <cellStyle name="60% - Énfasis3 32 2 5" xfId="41146" xr:uid="{4C41C1EA-32AC-423A-B3AA-07D8C6773BF4}"/>
    <cellStyle name="60% - Énfasis3 32 3" xfId="20747" xr:uid="{75FE5866-D8ED-40C0-BFA6-5B0F785F01AF}"/>
    <cellStyle name="60% - Énfasis3 32 4" xfId="26556" xr:uid="{137E0D93-6673-4D57-BBED-3CFFC95FA6C5}"/>
    <cellStyle name="60% - Énfasis3 32 5" xfId="32431" xr:uid="{13597F9C-DE2B-4D77-B0CD-695ACA16E731}"/>
    <cellStyle name="60% - Énfasis3 32 6" xfId="38296" xr:uid="{5D211961-6234-4374-A33D-5C3DF8A15E42}"/>
    <cellStyle name="60% - Énfasis3 33" xfId="6338" xr:uid="{F466ADB5-D0C3-4BD9-9303-A9A96EF45EB3}"/>
    <cellStyle name="60% - Énfasis3 33 2" xfId="9203" xr:uid="{560F0D09-CB14-4F86-846D-C5F0895171F2}"/>
    <cellStyle name="60% - Énfasis3 33 2 2" xfId="23566" xr:uid="{53448241-4DBA-431D-BD24-426FF8532468}"/>
    <cellStyle name="60% - Énfasis3 33 2 3" xfId="29434" xr:uid="{A1B75ADD-71E4-468F-86DF-2A3250C03BD7}"/>
    <cellStyle name="60% - Énfasis3 33 2 4" xfId="35316" xr:uid="{93EE5FAB-568B-49B5-BDEB-9140561206CF}"/>
    <cellStyle name="60% - Énfasis3 33 2 5" xfId="41175" xr:uid="{A818E4E0-17EA-402B-A93E-886755250163}"/>
    <cellStyle name="60% - Énfasis3 33 3" xfId="20779" xr:uid="{CBE3C84C-FFDC-46B1-A5B3-D0CC93EE4A3D}"/>
    <cellStyle name="60% - Énfasis3 33 4" xfId="26588" xr:uid="{45103F25-04D9-4326-BFCF-B2BED0AC1174}"/>
    <cellStyle name="60% - Énfasis3 33 5" xfId="32463" xr:uid="{4EBFB64E-4CAF-48F7-AF00-5C9C5781CB06}"/>
    <cellStyle name="60% - Énfasis3 33 6" xfId="38327" xr:uid="{A89641EB-C584-4546-B029-85B86A69FC13}"/>
    <cellStyle name="60% - Énfasis3 34" xfId="6358" xr:uid="{495E3480-753C-4F95-A87E-F83F80C2300E}"/>
    <cellStyle name="60% - Énfasis3 34 2" xfId="9223" xr:uid="{0430E2DF-0E55-48ED-8827-77160396CD88}"/>
    <cellStyle name="60% - Énfasis3 34 2 2" xfId="23586" xr:uid="{F8A73F2E-4A16-4F6A-92C7-50A7DAC5A5D7}"/>
    <cellStyle name="60% - Énfasis3 34 2 3" xfId="29454" xr:uid="{5FD9AECA-21B7-4A86-8DCF-7AD9D228B2B2}"/>
    <cellStyle name="60% - Énfasis3 34 2 4" xfId="35336" xr:uid="{91F5DA55-BD77-4942-AFB2-62642AAED47B}"/>
    <cellStyle name="60% - Énfasis3 34 2 5" xfId="41195" xr:uid="{378C64F0-BD53-464A-ACDE-F9EBD8B817AA}"/>
    <cellStyle name="60% - Énfasis3 34 3" xfId="20799" xr:uid="{B1B217A6-81D2-4727-BCB8-752A8235CC43}"/>
    <cellStyle name="60% - Énfasis3 34 4" xfId="26608" xr:uid="{91DD2BA1-7B4C-46A2-AC7F-67546960C359}"/>
    <cellStyle name="60% - Énfasis3 34 5" xfId="32483" xr:uid="{F34F18FD-E22E-4B5B-9B33-8D4062E77991}"/>
    <cellStyle name="60% - Énfasis3 34 6" xfId="38347" xr:uid="{53A91365-4200-4A0E-BF5F-E49F9DBAB50F}"/>
    <cellStyle name="60% - Énfasis3 35" xfId="6378" xr:uid="{C05CAC98-8494-40D3-B8AF-6760F6F34638}"/>
    <cellStyle name="60% - Énfasis3 35 2" xfId="9243" xr:uid="{799DFA4A-E365-4683-86E6-D2162F81AE26}"/>
    <cellStyle name="60% - Énfasis3 35 2 2" xfId="23606" xr:uid="{71FA65A2-240D-40AE-8D98-41978468458B}"/>
    <cellStyle name="60% - Énfasis3 35 2 3" xfId="29474" xr:uid="{14B90622-72D9-4030-B3D4-01AFC4AA8CC8}"/>
    <cellStyle name="60% - Énfasis3 35 2 4" xfId="35356" xr:uid="{B14091C3-2748-4832-BCE8-D468D697A7DA}"/>
    <cellStyle name="60% - Énfasis3 35 2 5" xfId="41215" xr:uid="{EB4B5539-E30B-447F-A37F-A081BEBDA648}"/>
    <cellStyle name="60% - Énfasis3 35 3" xfId="20819" xr:uid="{811D58F6-1AAA-417C-8D93-FEC6564EEB7C}"/>
    <cellStyle name="60% - Énfasis3 35 4" xfId="26628" xr:uid="{47985A3D-8136-4A3F-B771-E5D3D6C01343}"/>
    <cellStyle name="60% - Énfasis3 35 5" xfId="32503" xr:uid="{62DA9437-D96D-4D6E-97A4-3D099C1733E4}"/>
    <cellStyle name="60% - Énfasis3 35 6" xfId="38367" xr:uid="{8C7262C5-2656-45C7-85A1-555DD40B53B8}"/>
    <cellStyle name="60% - Énfasis3 36" xfId="6399" xr:uid="{21E7F047-217D-4058-AFB8-BFF87865BF4F}"/>
    <cellStyle name="60% - Énfasis3 36 2" xfId="9264" xr:uid="{2135A561-05E9-4FBE-8721-6DB5910CC8E6}"/>
    <cellStyle name="60% - Énfasis3 36 2 2" xfId="23627" xr:uid="{034508DA-3840-4DFF-950C-9701D320B7B4}"/>
    <cellStyle name="60% - Énfasis3 36 2 3" xfId="29495" xr:uid="{83C32971-0886-4AD8-886A-8394C8F81779}"/>
    <cellStyle name="60% - Énfasis3 36 2 4" xfId="35377" xr:uid="{EBF95E77-7985-44AD-B52D-6C63029CA071}"/>
    <cellStyle name="60% - Énfasis3 36 2 5" xfId="41236" xr:uid="{C074B944-5626-4E02-97AC-69CD3AD308BF}"/>
    <cellStyle name="60% - Énfasis3 36 3" xfId="20840" xr:uid="{B99764BA-BDF4-4B46-9E9E-3DC7B41BA113}"/>
    <cellStyle name="60% - Énfasis3 36 4" xfId="26649" xr:uid="{A591B7BA-B26A-4061-9925-2DCC629D1C63}"/>
    <cellStyle name="60% - Énfasis3 36 5" xfId="32524" xr:uid="{84C0E2E6-D52D-46ED-85B4-CEBEE84B6425}"/>
    <cellStyle name="60% - Énfasis3 36 6" xfId="38388" xr:uid="{141191BE-B791-4CAE-B69A-F366AE529BE1}"/>
    <cellStyle name="60% - Énfasis3 37" xfId="6428" xr:uid="{DA51D223-BA60-4514-9933-7EB3CC0382EA}"/>
    <cellStyle name="60% - Énfasis3 37 2" xfId="9290" xr:uid="{B763B01B-36F1-4534-9452-92C4EAD0CBBE}"/>
    <cellStyle name="60% - Énfasis3 37 2 2" xfId="23653" xr:uid="{EB572B45-8C34-4B21-B018-A7D62F78506C}"/>
    <cellStyle name="60% - Énfasis3 37 2 3" xfId="29521" xr:uid="{1C18496F-9425-4DB0-8E8D-491252DDD1CA}"/>
    <cellStyle name="60% - Énfasis3 37 2 4" xfId="35403" xr:uid="{1446DE29-0A7A-4A07-94E2-35EE97FF1671}"/>
    <cellStyle name="60% - Énfasis3 37 2 5" xfId="41262" xr:uid="{7272E144-22AB-43B0-A05F-E5997FC17C0B}"/>
    <cellStyle name="60% - Énfasis3 37 3" xfId="20869" xr:uid="{8B54A135-896C-4C86-9EEB-9E4D2E2EE8FF}"/>
    <cellStyle name="60% - Énfasis3 37 4" xfId="26678" xr:uid="{E125C5A0-84F0-460B-8E2B-AB9B3AFD081C}"/>
    <cellStyle name="60% - Énfasis3 37 5" xfId="32553" xr:uid="{CBEC7422-9F6B-4D18-BC69-ECF9A76CE9FD}"/>
    <cellStyle name="60% - Énfasis3 37 6" xfId="38417" xr:uid="{BB94B88B-5023-4BE3-829F-23918DC95172}"/>
    <cellStyle name="60% - Énfasis3 38" xfId="6462" xr:uid="{7B9CA32C-269B-4415-A135-5883AF2755FF}"/>
    <cellStyle name="60% - Énfasis3 38 2" xfId="9322" xr:uid="{8B9478F3-3433-438F-81E0-5CB93C1F01A2}"/>
    <cellStyle name="60% - Énfasis3 38 2 2" xfId="23685" xr:uid="{1CD3FA8B-F144-456A-A39B-98FE1474BCB0}"/>
    <cellStyle name="60% - Énfasis3 38 2 3" xfId="29553" xr:uid="{AEE8705D-88D4-4F80-AEB7-755E77DA1DE0}"/>
    <cellStyle name="60% - Énfasis3 38 2 4" xfId="35435" xr:uid="{E461EFC0-F372-4267-8FFF-A3D7FDCD3CFC}"/>
    <cellStyle name="60% - Énfasis3 38 2 5" xfId="41294" xr:uid="{02D2B42D-0D07-4896-B2ED-A87ECE289FF2}"/>
    <cellStyle name="60% - Énfasis3 38 3" xfId="20900" xr:uid="{3D7A7919-C202-4BA0-8EF0-F40B725FB6DB}"/>
    <cellStyle name="60% - Énfasis3 38 4" xfId="26711" xr:uid="{B306E304-214A-47AE-9505-99882B6EF504}"/>
    <cellStyle name="60% - Énfasis3 38 5" xfId="32586" xr:uid="{6F1A34AB-3FAF-40AD-B6A5-C64074EC8C63}"/>
    <cellStyle name="60% - Énfasis3 38 6" xfId="38450" xr:uid="{44C79D76-4C23-42CB-A5C4-86CCD00EA8E7}"/>
    <cellStyle name="60% - Énfasis3 39" xfId="6482" xr:uid="{A9552D4E-4E8B-4394-8C0E-2F5F50EC0584}"/>
    <cellStyle name="60% - Énfasis3 39 2" xfId="9342" xr:uid="{6F60C03E-D5DB-4869-8821-3719E090ACEC}"/>
    <cellStyle name="60% - Énfasis3 39 2 2" xfId="23705" xr:uid="{A1CF3AEF-C4A4-4F99-AC94-5F054AEA9CFE}"/>
    <cellStyle name="60% - Énfasis3 39 2 3" xfId="29573" xr:uid="{1FA75B60-CA7D-4905-831C-14FACCFBF52D}"/>
    <cellStyle name="60% - Énfasis3 39 2 4" xfId="35455" xr:uid="{B67DBBF1-65E4-44D1-83CD-A2689CDF4B09}"/>
    <cellStyle name="60% - Énfasis3 39 2 5" xfId="41314" xr:uid="{8A72EE48-796B-43CD-90C1-1E5F80BAFFAB}"/>
    <cellStyle name="60% - Énfasis3 39 3" xfId="20920" xr:uid="{9FAF6AC5-C547-48B9-A873-F467BDEF0947}"/>
    <cellStyle name="60% - Énfasis3 39 4" xfId="26731" xr:uid="{D2EFE260-8F62-4B1D-A657-DCCD10FB4034}"/>
    <cellStyle name="60% - Énfasis3 39 5" xfId="32606" xr:uid="{6DE855A8-1BD7-4515-825C-8CB1D9FB4665}"/>
    <cellStyle name="60% - Énfasis3 39 6" xfId="38470" xr:uid="{1C6DB62D-2AD3-4DD9-AA78-A6715FE38D20}"/>
    <cellStyle name="60% - Énfasis3 4" xfId="3892" xr:uid="{7A5C0C54-7EFB-4800-A094-0105BF05FC2C}"/>
    <cellStyle name="60% - Énfasis3 4 10" xfId="35884" xr:uid="{BA443A8D-CCF2-4629-9CCC-5ACE711AAFDF}"/>
    <cellStyle name="60% - Énfasis3 4 2" xfId="4089" xr:uid="{D3F23B4B-D644-428C-AFAE-F958711357A1}"/>
    <cellStyle name="60% - Énfasis3 4 2 2" xfId="4567" xr:uid="{3D2E174A-6619-4ECC-86D1-AE9F5FAEE0A7}"/>
    <cellStyle name="60% - Énfasis3 4 2 2 2" xfId="5535" xr:uid="{9B6F927D-6CD7-495B-B9C4-36AC4603495B}"/>
    <cellStyle name="60% - Énfasis3 4 2 2 2 2" xfId="8402" xr:uid="{86EC062B-4D7A-48F3-B394-2A82D79E0EF5}"/>
    <cellStyle name="60% - Énfasis3 4 2 2 2 2 2" xfId="22777" xr:uid="{593D5E8E-9FE1-4A9B-BA6F-3DABF722CD26}"/>
    <cellStyle name="60% - Énfasis3 4 2 2 2 2 3" xfId="28635" xr:uid="{7898F23B-1C22-417D-A51F-7252C5AA9DEB}"/>
    <cellStyle name="60% - Énfasis3 4 2 2 2 2 4" xfId="34517" xr:uid="{BD542FA2-D8E0-4297-B283-3FB16E91BD85}"/>
    <cellStyle name="60% - Énfasis3 4 2 2 2 2 5" xfId="40381" xr:uid="{68003F40-0F98-4B1C-BA46-B5C571B0457F}"/>
    <cellStyle name="60% - Énfasis3 4 2 2 2 3" xfId="19995" xr:uid="{75CBE312-C2E7-4ACA-BED6-87808CD57A9B}"/>
    <cellStyle name="60% - Énfasis3 4 2 2 2 4" xfId="25786" xr:uid="{AC76F65D-2A76-4491-939E-3738C7B8D26D}"/>
    <cellStyle name="60% - Énfasis3 4 2 2 2 5" xfId="31660" xr:uid="{76137550-CE1B-4724-8BA5-03ADCA97645D}"/>
    <cellStyle name="60% - Énfasis3 4 2 2 2 6" xfId="37530" xr:uid="{344C4661-EC55-4160-9352-C369348BADE6}"/>
    <cellStyle name="60% - Énfasis3 4 2 2 3" xfId="7430" xr:uid="{CD5B8139-93BB-45CE-AD1E-F04E32059768}"/>
    <cellStyle name="60% - Énfasis3 4 2 2 3 2" xfId="21832" xr:uid="{A252A6E2-CD0E-4E40-96AA-402C7CF42714}"/>
    <cellStyle name="60% - Énfasis3 4 2 2 3 3" xfId="27664" xr:uid="{A44F08F3-B557-412F-9A3F-6A82CA980B36}"/>
    <cellStyle name="60% - Énfasis3 4 2 2 3 4" xfId="33546" xr:uid="{A582A025-5143-432C-976A-5AB8778D19FE}"/>
    <cellStyle name="60% - Énfasis3 4 2 2 3 5" xfId="39410" xr:uid="{E9671931-51F7-4475-91C7-BCE1414FB884}"/>
    <cellStyle name="60% - Énfasis3 4 2 2 4" xfId="19063" xr:uid="{004C178D-E0D8-4A29-B6CE-4ECE34BE7A3D}"/>
    <cellStyle name="60% - Énfasis3 4 2 2 5" xfId="24815" xr:uid="{6F2ACFB2-7C94-4E82-AB58-D60D94EE7E49}"/>
    <cellStyle name="60% - Énfasis3 4 2 2 6" xfId="30692" xr:uid="{ECA0D991-F7D8-45C4-9463-04DAAE8682DF}"/>
    <cellStyle name="60% - Énfasis3 4 2 2 7" xfId="36573" xr:uid="{849B76CF-3929-4780-AE05-BB73D54D594C}"/>
    <cellStyle name="60% - Énfasis3 4 2 3" xfId="5050" xr:uid="{AB6F321C-54BA-4C7A-8886-5DF94BF39B82}"/>
    <cellStyle name="60% - Énfasis3 4 2 3 2" xfId="7917" xr:uid="{67C8450A-A7E0-427E-8C5C-796FC7E04A10}"/>
    <cellStyle name="60% - Énfasis3 4 2 3 2 2" xfId="22302" xr:uid="{D6F1D01C-D6A2-4F26-8A7F-FB81AD7EE63F}"/>
    <cellStyle name="60% - Énfasis3 4 2 3 2 3" xfId="28150" xr:uid="{1EA9AC28-3C48-47E1-835D-CC951AC16C94}"/>
    <cellStyle name="60% - Énfasis3 4 2 3 2 4" xfId="34032" xr:uid="{DC1816CD-F3B6-4A2E-B52B-A0AC85D1BCD1}"/>
    <cellStyle name="60% - Énfasis3 4 2 3 2 5" xfId="39896" xr:uid="{1DD874FC-AE2F-4ED7-87E7-0FEBD24C679B}"/>
    <cellStyle name="60% - Énfasis3 4 2 3 3" xfId="19527" xr:uid="{20B8182D-3AC5-468E-816C-8DDCABD1C4A1}"/>
    <cellStyle name="60% - Énfasis3 4 2 3 4" xfId="25301" xr:uid="{8EC34800-9B06-4248-9D85-1A27769EF697}"/>
    <cellStyle name="60% - Énfasis3 4 2 3 5" xfId="31175" xr:uid="{224C54C5-F019-4A15-89E0-4F4DF0D05D5E}"/>
    <cellStyle name="60% - Énfasis3 4 2 3 6" xfId="37053" xr:uid="{FB4B4077-C481-4C0E-96C8-3A8A11C0B16F}"/>
    <cellStyle name="60% - Énfasis3 4 2 4" xfId="6945" xr:uid="{1C7AF19B-6DAC-4705-9913-DE2023B684F7}"/>
    <cellStyle name="60% - Énfasis3 4 2 4 2" xfId="21365" xr:uid="{FF5A357F-BB7E-4FB4-8C57-C8D876CB76FF}"/>
    <cellStyle name="60% - Énfasis3 4 2 4 3" xfId="27183" xr:uid="{7CEE0F49-697D-4BD1-8104-0FAEEAE99F74}"/>
    <cellStyle name="60% - Énfasis3 4 2 4 4" xfId="33061" xr:uid="{04140DFD-4A77-4C20-ACC0-D1454CCE548C}"/>
    <cellStyle name="60% - Énfasis3 4 2 4 5" xfId="38925" xr:uid="{9A2A42F7-44DF-4300-A76F-E66C4A4D8138}"/>
    <cellStyle name="60% - Énfasis3 4 2 5" xfId="18619" xr:uid="{1FE27CD3-A678-491E-9D10-6C665FCD8E3F}"/>
    <cellStyle name="60% - Énfasis3 4 2 6" xfId="24332" xr:uid="{A302E5EC-3112-4F1F-AA33-2715AC7BF29D}"/>
    <cellStyle name="60% - Énfasis3 4 2 7" xfId="30210" xr:uid="{03514C78-4B37-4992-9FDE-8FD516E1E340}"/>
    <cellStyle name="60% - Énfasis3 4 2 8" xfId="36089" xr:uid="{1AC6C721-4D1F-49CE-AF59-F9FA1D67DB80}"/>
    <cellStyle name="60% - Énfasis3 4 3" xfId="4373" xr:uid="{DDFC2A73-B3F1-401E-B499-CB5F60286D51}"/>
    <cellStyle name="60% - Énfasis3 4 3 2" xfId="5339" xr:uid="{D6F1471A-B7FA-465B-8A92-A038EADE292B}"/>
    <cellStyle name="60% - Énfasis3 4 3 2 2" xfId="8206" xr:uid="{954581D7-7624-4604-B29B-9EAA0C7FEE85}"/>
    <cellStyle name="60% - Énfasis3 4 3 2 2 2" xfId="22582" xr:uid="{48B4CBE2-170D-4691-8EC7-76E34F893781}"/>
    <cellStyle name="60% - Énfasis3 4 3 2 2 3" xfId="28439" xr:uid="{26358E9F-1A78-41DF-A7E7-471F4EF77DCB}"/>
    <cellStyle name="60% - Énfasis3 4 3 2 2 4" xfId="34321" xr:uid="{2489AB11-60A1-4EF1-89B8-41706D7F13EB}"/>
    <cellStyle name="60% - Énfasis3 4 3 2 2 5" xfId="40185" xr:uid="{3C97D876-FA87-41E6-8099-EA8094706320}"/>
    <cellStyle name="60% - Énfasis3 4 3 2 3" xfId="19806" xr:uid="{7AE87250-5CB6-4841-8F68-1894CFA988AE}"/>
    <cellStyle name="60% - Énfasis3 4 3 2 4" xfId="25590" xr:uid="{6A2930EA-B501-486F-9475-4601485FCDF2}"/>
    <cellStyle name="60% - Énfasis3 4 3 2 5" xfId="31464" xr:uid="{C450326D-6A97-49E1-BC7A-A5AF436354A0}"/>
    <cellStyle name="60% - Énfasis3 4 3 2 6" xfId="37335" xr:uid="{A4531752-AAF3-4298-A8E9-0BE8E17E4242}"/>
    <cellStyle name="60% - Énfasis3 4 3 3" xfId="7234" xr:uid="{CDC4043A-2BA8-42E4-88E7-AB0E373F6A37}"/>
    <cellStyle name="60% - Énfasis3 4 3 3 2" xfId="21641" xr:uid="{CA8ACBCA-2641-4737-B6C6-929B67D7F59F}"/>
    <cellStyle name="60% - Énfasis3 4 3 3 3" xfId="27468" xr:uid="{7CA6FEB8-0BBD-4D2A-9C98-7FB7951A1282}"/>
    <cellStyle name="60% - Énfasis3 4 3 3 4" xfId="33350" xr:uid="{984FAD80-D81C-4287-8D6A-45A7B4C70EEB}"/>
    <cellStyle name="60% - Énfasis3 4 3 3 5" xfId="39214" xr:uid="{40B3FB41-B263-4133-B748-9F8AF6AC6965}"/>
    <cellStyle name="60% - Énfasis3 4 3 4" xfId="18876" xr:uid="{528F4B70-08DF-4546-89A7-0C6B152F4D78}"/>
    <cellStyle name="60% - Énfasis3 4 3 5" xfId="24619" xr:uid="{1B7E60C3-BD60-4FC2-88D0-95E2168AEAF5}"/>
    <cellStyle name="60% - Énfasis3 4 3 6" xfId="30498" xr:uid="{900F2066-E9C1-415A-8E3D-498871775BAE}"/>
    <cellStyle name="60% - Énfasis3 4 3 7" xfId="36378" xr:uid="{F0B92B97-B84E-415C-8BED-6EB285160D71}"/>
    <cellStyle name="60% - Énfasis3 4 4" xfId="4855" xr:uid="{FF3DBB00-1F7B-4B51-A7B7-7082D12FC10D}"/>
    <cellStyle name="60% - Énfasis3 4 4 2" xfId="7721" xr:uid="{C3B8FEAD-F8C0-484A-A300-FA0EFA6DE019}"/>
    <cellStyle name="60% - Énfasis3 4 4 2 2" xfId="22111" xr:uid="{796EEFCD-FB7C-4727-AD87-DF22D0A84252}"/>
    <cellStyle name="60% - Énfasis3 4 4 2 3" xfId="27954" xr:uid="{935E229E-ECEB-49A0-955B-9865BE45880A}"/>
    <cellStyle name="60% - Énfasis3 4 4 2 4" xfId="33836" xr:uid="{FA5592AD-C317-47E5-A104-682951663B77}"/>
    <cellStyle name="60% - Énfasis3 4 4 2 5" xfId="39700" xr:uid="{10638FB9-E98E-4791-B689-D2BD4FF40472}"/>
    <cellStyle name="60% - Énfasis3 4 4 3" xfId="19337" xr:uid="{BEA9D08E-9922-4200-8839-D30003996C01}"/>
    <cellStyle name="60% - Énfasis3 4 4 4" xfId="25105" xr:uid="{DDB38039-F568-41FA-9DC1-C8A759F8788D}"/>
    <cellStyle name="60% - Énfasis3 4 4 5" xfId="30979" xr:uid="{3677AFB5-EEF6-4762-BE3E-D2F45E4DAAFE}"/>
    <cellStyle name="60% - Énfasis3 4 4 6" xfId="36858" xr:uid="{AE9B326C-1E6C-4B80-95EB-A88279D3E1C2}"/>
    <cellStyle name="60% - Énfasis3 4 5" xfId="5864" xr:uid="{E3EFC66B-3465-4BDE-94E5-50DED40C038F}"/>
    <cellStyle name="60% - Énfasis3 4 5 2" xfId="8733" xr:uid="{B4BC5E87-3742-4FA6-AA47-9F5B869FD8F4}"/>
    <cellStyle name="60% - Énfasis3 4 5 2 2" xfId="23101" xr:uid="{946A80AD-5642-43C1-A27A-FBD016A9B30D}"/>
    <cellStyle name="60% - Énfasis3 4 5 2 3" xfId="28965" xr:uid="{D686E63D-3A83-4F03-A103-3A9DDDC946DA}"/>
    <cellStyle name="60% - Énfasis3 4 5 2 4" xfId="34847" xr:uid="{BAFFF808-92CB-4B39-8740-1AA569F8E1C3}"/>
    <cellStyle name="60% - Énfasis3 4 5 2 5" xfId="40711" xr:uid="{56DD78F3-8EC3-41F6-BDC8-DE756B8199C7}"/>
    <cellStyle name="60% - Énfasis3 4 5 3" xfId="20316" xr:uid="{1E4D113F-B81F-442C-BAA8-04899BAF5DEA}"/>
    <cellStyle name="60% - Énfasis3 4 5 4" xfId="26115" xr:uid="{699DFFC0-07C1-4C36-B8D3-DCBFE39A4DCB}"/>
    <cellStyle name="60% - Énfasis3 4 5 5" xfId="31990" xr:uid="{A9B667F1-8D72-4A76-83DA-4847D3DE9E4A}"/>
    <cellStyle name="60% - Énfasis3 4 5 6" xfId="37856" xr:uid="{69EEFC35-7E20-4899-9E46-9D96AA2CC0AD}"/>
    <cellStyle name="60% - Énfasis3 4 6" xfId="6750" xr:uid="{9AEBBE01-0762-48A6-B117-F89E98C61999}"/>
    <cellStyle name="60% - Énfasis3 4 6 2" xfId="21174" xr:uid="{E112A83E-FC38-453C-9724-FF5D17A8D23F}"/>
    <cellStyle name="60% - Énfasis3 4 6 3" xfId="26989" xr:uid="{EE6A4477-ED78-4A5D-B4B3-A41C18F5B05B}"/>
    <cellStyle name="60% - Énfasis3 4 6 4" xfId="32865" xr:uid="{A17529E9-8E64-4A8C-A92E-5A9A52609A1D}"/>
    <cellStyle name="60% - Énfasis3 4 6 5" xfId="38729" xr:uid="{6EA69416-FEF9-4FEA-99CC-20330C6FD540}"/>
    <cellStyle name="60% - Énfasis3 4 7" xfId="18416" xr:uid="{D02BFCF8-4450-4E67-829E-038D5014236B}"/>
    <cellStyle name="60% - Énfasis3 4 8" xfId="24125" xr:uid="{9C33B046-D925-4F6E-B312-A83835E40E3C}"/>
    <cellStyle name="60% - Énfasis3 4 9" xfId="30003" xr:uid="{4458E3BB-DB81-41F4-A792-70609467C6D4}"/>
    <cellStyle name="60% - Énfasis3 40" xfId="6502" xr:uid="{A00162C7-7DB3-4248-A080-31956A4165A1}"/>
    <cellStyle name="60% - Énfasis3 40 2" xfId="9362" xr:uid="{1C3CC013-911F-4979-A94A-8B2DE6B002FE}"/>
    <cellStyle name="60% - Énfasis3 40 2 2" xfId="23725" xr:uid="{BEF690CD-56F5-41D6-AA4D-DAAFF7A587F4}"/>
    <cellStyle name="60% - Énfasis3 40 2 3" xfId="29593" xr:uid="{2307E6B3-5A3B-4AC3-97D6-F878F1E1AD6D}"/>
    <cellStyle name="60% - Énfasis3 40 2 4" xfId="35475" xr:uid="{49032E6A-7FA6-4BC1-AB7D-44313C75EE23}"/>
    <cellStyle name="60% - Énfasis3 40 2 5" xfId="41334" xr:uid="{BD318F8D-D9CA-454D-B584-D0F54ED0FE5C}"/>
    <cellStyle name="60% - Énfasis3 40 3" xfId="20940" xr:uid="{2F97969C-314F-4E24-AE59-6A0E1560415B}"/>
    <cellStyle name="60% - Énfasis3 40 4" xfId="26751" xr:uid="{25AEC98B-A180-42E0-A041-A01B2486C8B6}"/>
    <cellStyle name="60% - Énfasis3 40 5" xfId="32626" xr:uid="{1660696A-A8F9-4E68-AD1E-89E04BB04626}"/>
    <cellStyle name="60% - Énfasis3 40 6" xfId="38490" xr:uid="{2DD35482-8F0B-4138-80D6-EC682DBAD6AF}"/>
    <cellStyle name="60% - Énfasis3 41" xfId="6522" xr:uid="{F1C09C42-3211-4941-A2E0-12F7C1359498}"/>
    <cellStyle name="60% - Énfasis3 41 2" xfId="9382" xr:uid="{A5EB733A-7169-4AA7-A78C-E07B1C297951}"/>
    <cellStyle name="60% - Énfasis3 41 2 2" xfId="23745" xr:uid="{8551F0B8-DDB2-4380-A3F5-556A227D55E0}"/>
    <cellStyle name="60% - Énfasis3 41 2 3" xfId="29613" xr:uid="{9DDD5FC6-CD55-4A80-908C-5593CBF6F27B}"/>
    <cellStyle name="60% - Énfasis3 41 2 4" xfId="35495" xr:uid="{B4CD629D-6885-4AC1-9ADD-C30803FE8211}"/>
    <cellStyle name="60% - Énfasis3 41 2 5" xfId="41354" xr:uid="{03C8C3EE-A542-46F7-8877-809751CBC017}"/>
    <cellStyle name="60% - Énfasis3 41 3" xfId="20960" xr:uid="{4EB33697-C9B4-42D6-9832-3183A563D563}"/>
    <cellStyle name="60% - Énfasis3 41 4" xfId="26771" xr:uid="{B5E3CE31-8889-4E3D-9A46-401F994C599B}"/>
    <cellStyle name="60% - Énfasis3 41 5" xfId="32646" xr:uid="{C252A19B-1CEB-4497-A447-7F3A8EE13F1D}"/>
    <cellStyle name="60% - Énfasis3 41 6" xfId="38510" xr:uid="{B764888A-E5C3-4504-8828-330B74EFD2B8}"/>
    <cellStyle name="60% - Énfasis3 42" xfId="6542" xr:uid="{63F43D2D-C070-48CD-A16C-BE76636DF297}"/>
    <cellStyle name="60% - Énfasis3 42 2" xfId="9402" xr:uid="{B1935F72-0899-4B17-829C-69CD5AC0432F}"/>
    <cellStyle name="60% - Énfasis3 42 2 2" xfId="23765" xr:uid="{00B6ABC6-6776-4799-AF4E-C19DE3F34133}"/>
    <cellStyle name="60% - Énfasis3 42 2 3" xfId="29633" xr:uid="{78949677-330B-4902-ACAB-C80039B0F74C}"/>
    <cellStyle name="60% - Énfasis3 42 2 4" xfId="35515" xr:uid="{DD40467D-19C7-4995-95AE-4CFD5B38AC18}"/>
    <cellStyle name="60% - Énfasis3 42 2 5" xfId="41374" xr:uid="{4B7B1CEC-9FBD-4E92-AC82-C78DD029A6FE}"/>
    <cellStyle name="60% - Énfasis3 42 3" xfId="20980" xr:uid="{9B9ADE2C-B7E7-4999-8181-F01694B00C50}"/>
    <cellStyle name="60% - Énfasis3 42 4" xfId="26791" xr:uid="{12729B7E-4860-4223-BEE1-8F1998D21DCB}"/>
    <cellStyle name="60% - Énfasis3 42 5" xfId="32666" xr:uid="{6F568E39-10DB-4D79-B445-34C94AEB2089}"/>
    <cellStyle name="60% - Énfasis3 42 6" xfId="38530" xr:uid="{548AD5FB-71D0-4972-B4EC-FE459D1B72C3}"/>
    <cellStyle name="60% - Énfasis3 43" xfId="6563" xr:uid="{E853405C-83D7-4E80-808A-EFBAC4A4D454}"/>
    <cellStyle name="60% - Énfasis3 43 2" xfId="9424" xr:uid="{CA7F1B3D-A497-4D16-BE2F-2A2A3EDAC46E}"/>
    <cellStyle name="60% - Énfasis3 43 2 2" xfId="23787" xr:uid="{EBC188E3-509C-43D7-8F26-A3646F4101C4}"/>
    <cellStyle name="60% - Énfasis3 43 2 3" xfId="29655" xr:uid="{AD0077A7-F638-42BC-8D37-AFC22A651DDF}"/>
    <cellStyle name="60% - Énfasis3 43 2 4" xfId="35537" xr:uid="{2C71339F-CDAF-4BCB-ACF6-B2B115AC1EEC}"/>
    <cellStyle name="60% - Énfasis3 43 2 5" xfId="41396" xr:uid="{1ACD90F7-0FA9-4345-BA0E-A12495516FE4}"/>
    <cellStyle name="60% - Énfasis3 43 3" xfId="21002" xr:uid="{E3AB0C80-1A44-4A32-9604-F8A77A7D7821}"/>
    <cellStyle name="60% - Énfasis3 43 4" xfId="26813" xr:uid="{243BF2C0-B089-4CD5-AEA0-4F4D620AB614}"/>
    <cellStyle name="60% - Énfasis3 43 5" xfId="32688" xr:uid="{95065467-65BF-4A69-AAA2-F9DEBF01D164}"/>
    <cellStyle name="60% - Énfasis3 43 6" xfId="38552" xr:uid="{C7D8D643-C691-4DA3-B587-B4B45968D039}"/>
    <cellStyle name="60% - Énfasis3 44" xfId="6593" xr:uid="{919B8A2E-1844-44D4-9189-9F04A2620F82}"/>
    <cellStyle name="60% - Énfasis3 44 2" xfId="9453" xr:uid="{87DB34BF-8720-4014-ACD5-1BD4E3D7E6BD}"/>
    <cellStyle name="60% - Énfasis3 44 2 2" xfId="23815" xr:uid="{A5F067B9-A2DB-48D2-B74C-283D7DF0E50B}"/>
    <cellStyle name="60% - Énfasis3 44 2 3" xfId="29684" xr:uid="{20734816-2520-43F5-B9FF-FB34121B1688}"/>
    <cellStyle name="60% - Énfasis3 44 2 4" xfId="35566" xr:uid="{588E317E-0122-4946-BFBE-00D2D1714E45}"/>
    <cellStyle name="60% - Énfasis3 44 2 5" xfId="41425" xr:uid="{DA861262-5959-41D4-A43D-0D5B68BD3AFF}"/>
    <cellStyle name="60% - Énfasis3 44 3" xfId="21031" xr:uid="{22B1AC21-7718-431F-849A-C7CCAA8AEA52}"/>
    <cellStyle name="60% - Énfasis3 44 4" xfId="26842" xr:uid="{01CDDFC3-90D5-433A-8C1B-3B7FCB2E4B35}"/>
    <cellStyle name="60% - Énfasis3 44 5" xfId="32717" xr:uid="{D5A52F83-CF14-4298-87E6-4FB9735F2585}"/>
    <cellStyle name="60% - Énfasis3 44 6" xfId="38581" xr:uid="{94F387DE-8226-4E9C-A0A5-3F0D880A84FF}"/>
    <cellStyle name="60% - Énfasis3 45" xfId="6618" xr:uid="{087AFA84-8D85-4062-977E-6D5CCBDDCA23}"/>
    <cellStyle name="60% - Énfasis3 45 2" xfId="9478" xr:uid="{51E82DA1-AFCD-4340-9A9C-68D7C3EA2EF0}"/>
    <cellStyle name="60% - Énfasis3 45 2 2" xfId="23840" xr:uid="{E997976C-8136-4BFE-942C-F25F8723D0D3}"/>
    <cellStyle name="60% - Énfasis3 45 2 3" xfId="29709" xr:uid="{79B65A28-6033-4675-AE1F-490CD252A9CF}"/>
    <cellStyle name="60% - Énfasis3 45 2 4" xfId="35591" xr:uid="{5FA66542-4159-4EAD-BB96-097CF7EFF890}"/>
    <cellStyle name="60% - Énfasis3 45 2 5" xfId="41450" xr:uid="{53FAE887-E929-4E6C-A400-1663BF6257F4}"/>
    <cellStyle name="60% - Énfasis3 45 3" xfId="21055" xr:uid="{DAB6636C-4F1D-4F90-9E9E-6CFA5B26039D}"/>
    <cellStyle name="60% - Énfasis3 45 4" xfId="26867" xr:uid="{51F2F9B8-EA8D-4A67-9577-6EE1188CD483}"/>
    <cellStyle name="60% - Énfasis3 45 5" xfId="32742" xr:uid="{A40FDB56-E9FC-48D6-8C80-F25962F482C1}"/>
    <cellStyle name="60% - Énfasis3 45 6" xfId="38606" xr:uid="{94587C72-AC84-40AE-A48E-407797685CAF}"/>
    <cellStyle name="60% - Énfasis3 46" xfId="6640" xr:uid="{6D7020A5-87FE-4317-9A76-74F7ABADEA8C}"/>
    <cellStyle name="60% - Énfasis3 46 2" xfId="21077" xr:uid="{FC28D80B-CB5C-419D-99EB-86A9CEEF685D}"/>
    <cellStyle name="60% - Énfasis3 46 3" xfId="26889" xr:uid="{ABB61F46-35F8-45DA-81DA-002A330A880E}"/>
    <cellStyle name="60% - Énfasis3 46 4" xfId="32764" xr:uid="{9FACFC65-E785-4875-BE96-14635A6E1923}"/>
    <cellStyle name="60% - Énfasis3 46 5" xfId="38628" xr:uid="{6C01E661-8981-44D0-8200-495393343A67}"/>
    <cellStyle name="60% - Énfasis3 47" xfId="6670" xr:uid="{CB84ED29-1620-4CB1-9DBB-E24F5D12CCC8}"/>
    <cellStyle name="60% - Énfasis3 47 2" xfId="21099" xr:uid="{70FB2613-4228-4FA8-9B01-0EE3F9485C58}"/>
    <cellStyle name="60% - Énfasis3 47 3" xfId="26911" xr:uid="{ACF3EA2B-25C8-422A-A923-3987FC72C7BB}"/>
    <cellStyle name="60% - Énfasis3 47 4" xfId="32786" xr:uid="{A81733DF-C8FC-444F-A209-6ACBD0F2AC19}"/>
    <cellStyle name="60% - Énfasis3 47 5" xfId="38650" xr:uid="{D8296526-A6A5-4254-94DF-ACF2C5969E9D}"/>
    <cellStyle name="60% - Énfasis3 48" xfId="9502" xr:uid="{7FA8A213-9A1D-4914-8D87-E4FC2497AA52}"/>
    <cellStyle name="60% - Énfasis3 48 2" xfId="23864" xr:uid="{FD64CB21-BEEC-49FA-ADB2-697C93D22B26}"/>
    <cellStyle name="60% - Énfasis3 48 3" xfId="29733" xr:uid="{36C05E39-A349-43EB-AC39-5224E13BF09C}"/>
    <cellStyle name="60% - Énfasis3 48 4" xfId="35615" xr:uid="{46663571-C79D-4CC3-9A2A-246E9ED18D58}"/>
    <cellStyle name="60% - Énfasis3 48 5" xfId="41474" xr:uid="{804952F0-5656-4021-B88E-AD8E1481FDE5}"/>
    <cellStyle name="60% - Énfasis3 49" xfId="9519" xr:uid="{0CF548DA-5BBE-48F8-8C07-6AEAE13A1151}"/>
    <cellStyle name="60% - Énfasis3 49 2" xfId="23880" xr:uid="{A22AEDF5-E0B1-4064-99CD-50EE72BA9227}"/>
    <cellStyle name="60% - Énfasis3 49 3" xfId="29750" xr:uid="{171F0E66-26B1-4D1C-8984-7EA7590B46AB}"/>
    <cellStyle name="60% - Énfasis3 49 4" xfId="35632" xr:uid="{64B3C97E-BE04-4A9B-8A31-9938F0C73E74}"/>
    <cellStyle name="60% - Énfasis3 49 5" xfId="41491" xr:uid="{95EF8CBF-5538-40A9-A03D-2E5726DA8666}"/>
    <cellStyle name="60% - Énfasis3 5" xfId="3918" xr:uid="{EEDBA812-3FAD-489D-8EB2-41EDF5A3ED9B}"/>
    <cellStyle name="60% - Énfasis3 5 10" xfId="35910" xr:uid="{6841CDDC-8A9B-458A-A43D-80A3821927E2}"/>
    <cellStyle name="60% - Énfasis3 5 2" xfId="4112" xr:uid="{313597BE-F554-44E2-AAA7-4ACE3A0EB81A}"/>
    <cellStyle name="60% - Énfasis3 5 2 2" xfId="4590" xr:uid="{8F1124AF-1AFC-4BE3-8A71-1A38E346A515}"/>
    <cellStyle name="60% - Énfasis3 5 2 2 2" xfId="5558" xr:uid="{EC3BDF28-D38B-4A33-B6EC-789034B733BB}"/>
    <cellStyle name="60% - Énfasis3 5 2 2 2 2" xfId="8425" xr:uid="{9DB84DF4-7194-408A-AC61-4A4CD9CF4611}"/>
    <cellStyle name="60% - Énfasis3 5 2 2 2 2 2" xfId="22800" xr:uid="{37D35E4E-B72A-44F7-875A-7FBB0BF4A486}"/>
    <cellStyle name="60% - Énfasis3 5 2 2 2 2 3" xfId="28658" xr:uid="{551997C7-9244-4FFA-8B04-A0C0DBB033B5}"/>
    <cellStyle name="60% - Énfasis3 5 2 2 2 2 4" xfId="34540" xr:uid="{306797E4-9367-40F8-8326-D16378498071}"/>
    <cellStyle name="60% - Énfasis3 5 2 2 2 2 5" xfId="40404" xr:uid="{32132F69-AC69-425D-B99B-D7B00895F7F9}"/>
    <cellStyle name="60% - Énfasis3 5 2 2 2 3" xfId="20018" xr:uid="{D23D68A3-03EF-4D19-93A9-947DD4542EB4}"/>
    <cellStyle name="60% - Énfasis3 5 2 2 2 4" xfId="25809" xr:uid="{6D579BBA-86FA-43BD-AE3C-CCB356D59C8B}"/>
    <cellStyle name="60% - Énfasis3 5 2 2 2 5" xfId="31683" xr:uid="{3B784797-1E5B-4CD9-8486-214EE9488DBF}"/>
    <cellStyle name="60% - Énfasis3 5 2 2 2 6" xfId="37553" xr:uid="{DC8F150D-C747-4AAC-B2E8-1A8506D4C5DF}"/>
    <cellStyle name="60% - Énfasis3 5 2 2 3" xfId="7453" xr:uid="{598E3CC6-9853-4220-89D1-720FB1AB134C}"/>
    <cellStyle name="60% - Énfasis3 5 2 2 3 2" xfId="21855" xr:uid="{65A2D017-6476-4A5D-B2BE-03AE13D80496}"/>
    <cellStyle name="60% - Énfasis3 5 2 2 3 3" xfId="27687" xr:uid="{C7D6C4C3-1DA1-43EA-9AD0-27DDC017D92A}"/>
    <cellStyle name="60% - Énfasis3 5 2 2 3 4" xfId="33569" xr:uid="{36985D72-5DE2-4ACD-93D0-174A92E3BD4E}"/>
    <cellStyle name="60% - Énfasis3 5 2 2 3 5" xfId="39433" xr:uid="{FB9158F0-1981-47ED-A91E-3854DD22B41F}"/>
    <cellStyle name="60% - Énfasis3 5 2 2 4" xfId="19085" xr:uid="{5187D7D9-075A-4574-8B99-15A8DB8D59B4}"/>
    <cellStyle name="60% - Énfasis3 5 2 2 5" xfId="24838" xr:uid="{A0632DB6-60CA-4E18-B059-FF39EB79789A}"/>
    <cellStyle name="60% - Énfasis3 5 2 2 6" xfId="30715" xr:uid="{6A8D04EB-A23E-4CC7-9E72-4B8427D35E4F}"/>
    <cellStyle name="60% - Énfasis3 5 2 2 7" xfId="36596" xr:uid="{EC534FC3-DFDC-4838-A64C-61CDDE385A9E}"/>
    <cellStyle name="60% - Énfasis3 5 2 3" xfId="5073" xr:uid="{9FF599EB-5849-464F-B370-1321A31F345D}"/>
    <cellStyle name="60% - Énfasis3 5 2 3 2" xfId="7940" xr:uid="{2C1860DE-62A5-4F37-8DAC-F8BFD881FC84}"/>
    <cellStyle name="60% - Énfasis3 5 2 3 2 2" xfId="22325" xr:uid="{1DFFDB33-04A0-48C1-AB8A-C48BEBE945B4}"/>
    <cellStyle name="60% - Énfasis3 5 2 3 2 3" xfId="28173" xr:uid="{CF171FE9-88EB-42EA-8685-3CDB52998B35}"/>
    <cellStyle name="60% - Énfasis3 5 2 3 2 4" xfId="34055" xr:uid="{C6B1D987-3EC7-42F5-9F11-CE6FAF546248}"/>
    <cellStyle name="60% - Énfasis3 5 2 3 2 5" xfId="39919" xr:uid="{26218620-270E-4638-87BE-C2A8FCE0584B}"/>
    <cellStyle name="60% - Énfasis3 5 2 3 3" xfId="19550" xr:uid="{B8FAB57C-6436-445A-850A-A253FB643193}"/>
    <cellStyle name="60% - Énfasis3 5 2 3 4" xfId="25324" xr:uid="{979473F1-FBA1-4A83-BF97-07A9F4E31D5E}"/>
    <cellStyle name="60% - Énfasis3 5 2 3 5" xfId="31198" xr:uid="{E31DF4C9-57F4-4C50-A303-822D6427F183}"/>
    <cellStyle name="60% - Énfasis3 5 2 3 6" xfId="37076" xr:uid="{83782568-725E-45A7-A5A4-188D2A196E2E}"/>
    <cellStyle name="60% - Énfasis3 5 2 4" xfId="6968" xr:uid="{895A88FC-B5A7-4478-ADF7-337FAB8C2928}"/>
    <cellStyle name="60% - Énfasis3 5 2 4 2" xfId="21387" xr:uid="{B683D37E-9F83-48CA-9BFD-16C995561030}"/>
    <cellStyle name="60% - Énfasis3 5 2 4 3" xfId="27206" xr:uid="{630B1F69-C769-47C8-B4A3-C1EFAAD29E98}"/>
    <cellStyle name="60% - Énfasis3 5 2 4 4" xfId="33084" xr:uid="{B4954DBC-2AC4-4860-9DF1-5D3914363FBF}"/>
    <cellStyle name="60% - Énfasis3 5 2 4 5" xfId="38948" xr:uid="{C0FC4134-CA88-400F-BC8C-16265BE36C90}"/>
    <cellStyle name="60% - Énfasis3 5 2 5" xfId="18641" xr:uid="{A1264DD2-911A-4902-B4C3-C323AEC31063}"/>
    <cellStyle name="60% - Énfasis3 5 2 6" xfId="24355" xr:uid="{D603E8BA-8A5C-4C18-AE3D-14F6685DFB38}"/>
    <cellStyle name="60% - Énfasis3 5 2 7" xfId="30233" xr:uid="{C3FA31BB-151B-4870-9D27-D06A20230A3B}"/>
    <cellStyle name="60% - Énfasis3 5 2 8" xfId="36112" xr:uid="{4387C106-246E-4201-9BBA-179D6C202901}"/>
    <cellStyle name="60% - Énfasis3 5 3" xfId="4396" xr:uid="{702BAF44-FDF9-4911-91A1-4E278C41CDCB}"/>
    <cellStyle name="60% - Énfasis3 5 3 2" xfId="5362" xr:uid="{6891AE14-5F27-4E2E-B404-9C18330A58D4}"/>
    <cellStyle name="60% - Énfasis3 5 3 2 2" xfId="8229" xr:uid="{BD2B8617-9F23-4764-8042-95EED4A21EA9}"/>
    <cellStyle name="60% - Énfasis3 5 3 2 2 2" xfId="22605" xr:uid="{9501ECF4-0C31-4B0A-9CF1-751237D51C0A}"/>
    <cellStyle name="60% - Énfasis3 5 3 2 2 3" xfId="28462" xr:uid="{00595115-50D7-4C10-BCA1-F0CC581E3007}"/>
    <cellStyle name="60% - Énfasis3 5 3 2 2 4" xfId="34344" xr:uid="{3C2841F9-7B0F-4496-B009-F7D7CF631CB4}"/>
    <cellStyle name="60% - Énfasis3 5 3 2 2 5" xfId="40208" xr:uid="{12300167-B9DE-4BA8-A4CB-B65B34C214AA}"/>
    <cellStyle name="60% - Énfasis3 5 3 2 3" xfId="19829" xr:uid="{4FB73176-67F4-48F7-A3D7-E0987A5048FB}"/>
    <cellStyle name="60% - Énfasis3 5 3 2 4" xfId="25613" xr:uid="{2A633F52-F275-442C-B6AA-464B8D9E5D6E}"/>
    <cellStyle name="60% - Énfasis3 5 3 2 5" xfId="31487" xr:uid="{1555DA44-D01A-4511-8133-255D3F069E6D}"/>
    <cellStyle name="60% - Énfasis3 5 3 2 6" xfId="37358" xr:uid="{F92782E8-F9A6-48D7-98EC-C47634D893EF}"/>
    <cellStyle name="60% - Énfasis3 5 3 3" xfId="7257" xr:uid="{BF5CD04C-F2A4-4DA1-91D0-D884E4BE558A}"/>
    <cellStyle name="60% - Énfasis3 5 3 3 2" xfId="21664" xr:uid="{C4218E2D-6680-4F08-A472-9A73212C87AB}"/>
    <cellStyle name="60% - Énfasis3 5 3 3 3" xfId="27491" xr:uid="{F4545839-A0DF-4DB7-B19F-4A35C377A3CC}"/>
    <cellStyle name="60% - Énfasis3 5 3 3 4" xfId="33373" xr:uid="{BC958CAC-E9D0-47D0-8DCE-99380E5E57E6}"/>
    <cellStyle name="60% - Énfasis3 5 3 3 5" xfId="39237" xr:uid="{106A114B-91B1-454B-BE6D-2F21523A0BDD}"/>
    <cellStyle name="60% - Énfasis3 5 3 4" xfId="18898" xr:uid="{CA9F689C-6814-4713-87E1-AD9081118374}"/>
    <cellStyle name="60% - Énfasis3 5 3 5" xfId="24642" xr:uid="{F2B890C0-BA80-451E-9E5F-A46E80D726F0}"/>
    <cellStyle name="60% - Énfasis3 5 3 6" xfId="30521" xr:uid="{9D1703F0-673E-4AD9-B292-58C6F5351548}"/>
    <cellStyle name="60% - Énfasis3 5 3 7" xfId="36401" xr:uid="{92E83AF2-EE7E-4978-8583-436221316407}"/>
    <cellStyle name="60% - Énfasis3 5 4" xfId="4877" xr:uid="{F533D117-8AD0-443A-9E0A-C663301038BD}"/>
    <cellStyle name="60% - Énfasis3 5 4 2" xfId="7744" xr:uid="{F09F6F91-B2DE-4CFD-A3DC-89ED78DF8559}"/>
    <cellStyle name="60% - Énfasis3 5 4 2 2" xfId="22134" xr:uid="{7956D903-F227-4229-B1E7-D325E5401573}"/>
    <cellStyle name="60% - Énfasis3 5 4 2 3" xfId="27977" xr:uid="{03D780C9-F372-40B9-A0E6-D17C392929A0}"/>
    <cellStyle name="60% - Énfasis3 5 4 2 4" xfId="33859" xr:uid="{26200C27-BD56-431B-9FA0-BE6B9193E47F}"/>
    <cellStyle name="60% - Énfasis3 5 4 2 5" xfId="39723" xr:uid="{D055CC93-75BC-4788-BA39-DA616E3DFEF6}"/>
    <cellStyle name="60% - Énfasis3 5 4 3" xfId="19360" xr:uid="{76FCD291-C3DD-435B-A246-B2CDC8E08A34}"/>
    <cellStyle name="60% - Énfasis3 5 4 4" xfId="25128" xr:uid="{F7CE25BA-F3A3-41C4-828C-9A1BA1B7305C}"/>
    <cellStyle name="60% - Énfasis3 5 4 5" xfId="31002" xr:uid="{85E15654-34B9-44BD-907C-6EA7555CED46}"/>
    <cellStyle name="60% - Énfasis3 5 4 6" xfId="36881" xr:uid="{AC3F4BC0-E0B7-41AE-ABA2-8997566C610F}"/>
    <cellStyle name="60% - Énfasis3 5 5" xfId="5887" xr:uid="{C792E5D4-482E-4586-9C4B-0A9EB218B8D7}"/>
    <cellStyle name="60% - Énfasis3 5 5 2" xfId="8756" xr:uid="{832D2BA0-F896-4020-A3A7-93E83158A3D1}"/>
    <cellStyle name="60% - Énfasis3 5 5 2 2" xfId="23124" xr:uid="{9FE42CF0-5C1B-46A5-B151-3DE7A542B56E}"/>
    <cellStyle name="60% - Énfasis3 5 5 2 3" xfId="28988" xr:uid="{57AB8287-5CEB-4AA4-B828-61A10804FD4E}"/>
    <cellStyle name="60% - Énfasis3 5 5 2 4" xfId="34870" xr:uid="{ED9EB404-1BCD-4A6F-96DB-89BFA73C6B5A}"/>
    <cellStyle name="60% - Énfasis3 5 5 2 5" xfId="40734" xr:uid="{C9CEE4EE-FA4B-43C3-A676-3F48820FFC36}"/>
    <cellStyle name="60% - Énfasis3 5 5 3" xfId="20338" xr:uid="{75EF4C50-AA05-4EB2-AF30-36163325F51C}"/>
    <cellStyle name="60% - Énfasis3 5 5 4" xfId="26138" xr:uid="{83FBE9C4-C7A3-4CD3-951F-4FC7BBF5452F}"/>
    <cellStyle name="60% - Énfasis3 5 5 5" xfId="32013" xr:uid="{B95C535C-3116-4883-BEDE-CEC76D2DCA24}"/>
    <cellStyle name="60% - Énfasis3 5 5 6" xfId="37879" xr:uid="{A2ACA59F-C500-47A9-85F0-7F28FC51B6C1}"/>
    <cellStyle name="60% - Énfasis3 5 6" xfId="6773" xr:uid="{FED438E3-F0B8-4CC7-9FA0-1254A078438B}"/>
    <cellStyle name="60% - Énfasis3 5 6 2" xfId="21197" xr:uid="{68050382-DE2A-4296-B065-96F70E70A95A}"/>
    <cellStyle name="60% - Énfasis3 5 6 3" xfId="27012" xr:uid="{EFC0653F-3D23-4A40-B10C-50A8DC3B26BE}"/>
    <cellStyle name="60% - Énfasis3 5 6 4" xfId="32888" xr:uid="{542885FB-5DF1-4A2C-8BDD-15F5D98CE979}"/>
    <cellStyle name="60% - Énfasis3 5 6 5" xfId="38752" xr:uid="{EB35F36D-EFA5-4C98-A254-0CA23F6A5609}"/>
    <cellStyle name="60% - Énfasis3 5 7" xfId="18443" xr:uid="{6B15BFE4-071C-4324-9A17-1B67B85D080C}"/>
    <cellStyle name="60% - Énfasis3 5 8" xfId="24151" xr:uid="{8B5A8A76-CC70-44D5-945D-250D4803FACB}"/>
    <cellStyle name="60% - Énfasis3 5 9" xfId="30029" xr:uid="{0D864DE8-208C-40F3-ACA3-56CE2E057375}"/>
    <cellStyle name="60% - Énfasis3 50" xfId="9538" xr:uid="{E96CA8CB-502C-4409-95D9-780C153CC79A}"/>
    <cellStyle name="60% - Énfasis3 50 2" xfId="23900" xr:uid="{F44C5DAB-1D1F-47AE-83AD-8D867E68FE1E}"/>
    <cellStyle name="60% - Énfasis3 50 3" xfId="29770" xr:uid="{A07D3F1E-33E0-4122-875F-7AD28A01CB9E}"/>
    <cellStyle name="60% - Énfasis3 50 4" xfId="35652" xr:uid="{38C66517-362C-425E-AF97-1FCA3041CB96}"/>
    <cellStyle name="60% - Énfasis3 50 5" xfId="41511" xr:uid="{059CD395-DDB7-4C5C-BC05-6AC811FD9991}"/>
    <cellStyle name="60% - Énfasis3 51" xfId="9564" xr:uid="{7F92E95A-62DD-4DF2-BFD5-F617C7A10B72}"/>
    <cellStyle name="60% - Énfasis3 51 2" xfId="23926" xr:uid="{60573435-B576-4D8A-B408-7993B8248C6A}"/>
    <cellStyle name="60% - Énfasis3 51 3" xfId="29796" xr:uid="{50F027C8-E632-44EF-AE1C-E9DB0D08848F}"/>
    <cellStyle name="60% - Énfasis3 51 4" xfId="35678" xr:uid="{4B419353-A8F8-46CF-B93B-2109888CAF99}"/>
    <cellStyle name="60% - Énfasis3 51 5" xfId="41537" xr:uid="{62BAAAF1-5783-40DA-8355-065E2CE6B915}"/>
    <cellStyle name="60% - Énfasis3 52" xfId="15766" xr:uid="{26A8482F-6905-47AE-B652-4E6E5A7BCE62}"/>
    <cellStyle name="60% - Énfasis3 52 2" xfId="23986" xr:uid="{9C92562E-AE51-4DC3-85DE-3071E7748D34}"/>
    <cellStyle name="60% - Énfasis3 52 3" xfId="29858" xr:uid="{4C4BB2B3-CB86-41B2-B23C-94686F873514}"/>
    <cellStyle name="60% - Énfasis3 52 4" xfId="35740" xr:uid="{EFC04DB8-EC90-4E7E-833C-24E975AD9124}"/>
    <cellStyle name="60% - Énfasis3 52 5" xfId="41599" xr:uid="{A55974E7-032C-4EE1-9E56-0CB3534972E1}"/>
    <cellStyle name="60% - Énfasis3 53" xfId="15790" xr:uid="{2419F067-8AF6-42D5-825E-CCA44200BC8F}"/>
    <cellStyle name="60% - Énfasis3 53 2" xfId="24007" xr:uid="{F886C5B8-585C-4822-9BFE-B3DFB497C357}"/>
    <cellStyle name="60% - Énfasis3 53 3" xfId="29882" xr:uid="{8F605C0F-1E3A-4414-B84C-19ADB12BF3F0}"/>
    <cellStyle name="60% - Énfasis3 53 4" xfId="35764" xr:uid="{7FA8E209-076C-4D44-B597-518B201E8DDE}"/>
    <cellStyle name="60% - Énfasis3 53 5" xfId="41623" xr:uid="{F9369EF1-A7BB-4E20-9CAF-88125CB0A84A}"/>
    <cellStyle name="60% - Énfasis3 54" xfId="15825" xr:uid="{EB1DBCF3-DCAA-4DC2-A58A-2E55159AB596}"/>
    <cellStyle name="60% - Énfasis3 55" xfId="18300" xr:uid="{72681EB1-82A2-42F2-A52B-7CD45DD47503}"/>
    <cellStyle name="60% - Énfasis3 56" xfId="18323" xr:uid="{F1C9CB99-95BB-4DE2-9B18-DF1226929B87}"/>
    <cellStyle name="60% - Énfasis3 57" xfId="24035" xr:uid="{0A4B5FBD-9C1F-4864-B4B7-A56AE18061A6}"/>
    <cellStyle name="60% - Énfasis3 58" xfId="29913" xr:uid="{C41A3F6C-FC5B-4513-BC6C-D25BE8201BE9}"/>
    <cellStyle name="60% - Énfasis3 59" xfId="35794" xr:uid="{93EC85A6-637E-4710-BD90-AC1E8823B8EA}"/>
    <cellStyle name="60% - Énfasis3 6" xfId="3942" xr:uid="{93E2C69F-3906-49DE-B205-23AACFB2265A}"/>
    <cellStyle name="60% - Énfasis3 6 10" xfId="35933" xr:uid="{EE0AE308-8140-4FDE-AA49-F32143EA3F94}"/>
    <cellStyle name="60% - Énfasis3 6 2" xfId="4134" xr:uid="{0D9B35C4-D197-48F9-B5A6-F9AE25F163AC}"/>
    <cellStyle name="60% - Énfasis3 6 2 2" xfId="4612" xr:uid="{C221DC30-4731-459A-A18E-4FF14207EE6C}"/>
    <cellStyle name="60% - Énfasis3 6 2 2 2" xfId="5580" xr:uid="{A0F254B5-735F-468D-9803-7F426F38A2EA}"/>
    <cellStyle name="60% - Énfasis3 6 2 2 2 2" xfId="8447" xr:uid="{ADC36C88-8287-4D45-96E6-79249FB66478}"/>
    <cellStyle name="60% - Énfasis3 6 2 2 2 2 2" xfId="22822" xr:uid="{0F68DB57-40FE-4ECA-9DCF-7D8A12156FAD}"/>
    <cellStyle name="60% - Énfasis3 6 2 2 2 2 3" xfId="28680" xr:uid="{C3109D0B-52D5-43FE-8025-9B2FC346FECC}"/>
    <cellStyle name="60% - Énfasis3 6 2 2 2 2 4" xfId="34562" xr:uid="{438CEFD0-8313-4C4F-AC4C-5DD3C55FCAD3}"/>
    <cellStyle name="60% - Énfasis3 6 2 2 2 2 5" xfId="40426" xr:uid="{13D880C9-3BEC-444A-9AD2-C42FE0CF9AB4}"/>
    <cellStyle name="60% - Énfasis3 6 2 2 2 3" xfId="20040" xr:uid="{FE147DE3-FCF5-4287-9C40-2999FAD3D8B9}"/>
    <cellStyle name="60% - Énfasis3 6 2 2 2 4" xfId="25831" xr:uid="{3D9AC86A-B12D-4195-BF88-F0694E190F63}"/>
    <cellStyle name="60% - Énfasis3 6 2 2 2 5" xfId="31705" xr:uid="{60431B2B-0EEF-48AB-8FC9-6412A8FB7FC7}"/>
    <cellStyle name="60% - Énfasis3 6 2 2 2 6" xfId="37575" xr:uid="{AD79BFFA-1508-47EB-BF5C-AED25E578813}"/>
    <cellStyle name="60% - Énfasis3 6 2 2 3" xfId="7475" xr:uid="{16228F9A-AD35-4DD0-A5BB-AC9B5BA39ACE}"/>
    <cellStyle name="60% - Énfasis3 6 2 2 3 2" xfId="21877" xr:uid="{6D195284-6DFB-4426-BEC7-F28BE57153BD}"/>
    <cellStyle name="60% - Énfasis3 6 2 2 3 3" xfId="27709" xr:uid="{14B0FFBB-2BAD-4243-A934-CB024B19BCF4}"/>
    <cellStyle name="60% - Énfasis3 6 2 2 3 4" xfId="33591" xr:uid="{12043C8B-104E-444D-8DF0-7A2258D16B74}"/>
    <cellStyle name="60% - Énfasis3 6 2 2 3 5" xfId="39455" xr:uid="{F692982F-DDA4-47BB-B1DB-28A354DD947D}"/>
    <cellStyle name="60% - Énfasis3 6 2 2 4" xfId="19107" xr:uid="{6FD58AED-5496-4B28-9047-28CC68532973}"/>
    <cellStyle name="60% - Énfasis3 6 2 2 5" xfId="24860" xr:uid="{D68BD2D3-E969-4D44-92D2-B7C9CE52191A}"/>
    <cellStyle name="60% - Énfasis3 6 2 2 6" xfId="30737" xr:uid="{283A3887-A2AA-44EF-8AF8-51D3878ECD57}"/>
    <cellStyle name="60% - Énfasis3 6 2 2 7" xfId="36618" xr:uid="{7D8F6179-D0F8-4797-963F-D4361AFCC6EE}"/>
    <cellStyle name="60% - Énfasis3 6 2 3" xfId="5095" xr:uid="{7B220703-20F4-439D-9ECE-373F05271B3C}"/>
    <cellStyle name="60% - Énfasis3 6 2 3 2" xfId="7962" xr:uid="{A6B860C6-6B28-4251-A55A-284AF4F68667}"/>
    <cellStyle name="60% - Énfasis3 6 2 3 2 2" xfId="22347" xr:uid="{47E70028-06DD-4F4A-8DBA-BF39A33FF68A}"/>
    <cellStyle name="60% - Énfasis3 6 2 3 2 3" xfId="28195" xr:uid="{CE28CC4B-3475-4D07-829F-0A1C1CA7915E}"/>
    <cellStyle name="60% - Énfasis3 6 2 3 2 4" xfId="34077" xr:uid="{8A0A5B02-2BA2-4D57-ACD2-9E43DDFBD45D}"/>
    <cellStyle name="60% - Énfasis3 6 2 3 2 5" xfId="39941" xr:uid="{5B1FED0F-71B5-48E0-959E-28CE3F222606}"/>
    <cellStyle name="60% - Énfasis3 6 2 3 3" xfId="19572" xr:uid="{8B7D3695-98DA-4329-A198-1FDF0790E6B3}"/>
    <cellStyle name="60% - Énfasis3 6 2 3 4" xfId="25346" xr:uid="{C488CF88-01C9-41D1-A76B-6527D9BE43D2}"/>
    <cellStyle name="60% - Énfasis3 6 2 3 5" xfId="31220" xr:uid="{25D85DD9-27C6-4C2D-A923-C4D13AA7B9BB}"/>
    <cellStyle name="60% - Énfasis3 6 2 3 6" xfId="37098" xr:uid="{5C763C9E-969F-4D34-8E70-467AA2E7A28A}"/>
    <cellStyle name="60% - Énfasis3 6 2 4" xfId="6990" xr:uid="{42859745-C734-4A0A-B02E-F26A0A3DE6E9}"/>
    <cellStyle name="60% - Énfasis3 6 2 4 2" xfId="21409" xr:uid="{2BF142A4-CD28-413D-BDBD-D9EB9A663B0F}"/>
    <cellStyle name="60% - Énfasis3 6 2 4 3" xfId="27228" xr:uid="{8A4E2F95-F603-47AE-AF46-EA03CE149F56}"/>
    <cellStyle name="60% - Énfasis3 6 2 4 4" xfId="33106" xr:uid="{341094FB-8B45-4E7A-BC6F-976D58F39C38}"/>
    <cellStyle name="60% - Énfasis3 6 2 4 5" xfId="38970" xr:uid="{494EAC7A-3F17-4DA2-A45F-70B72108FE35}"/>
    <cellStyle name="60% - Énfasis3 6 2 5" xfId="18663" xr:uid="{1E20FD55-3DF0-4789-8B7D-BD16DD66014B}"/>
    <cellStyle name="60% - Énfasis3 6 2 6" xfId="24377" xr:uid="{039E7506-BB01-451F-BC33-627752785F93}"/>
    <cellStyle name="60% - Énfasis3 6 2 7" xfId="30255" xr:uid="{01D0D66E-6A74-4AD4-B5FA-8E7FFCC62E2C}"/>
    <cellStyle name="60% - Énfasis3 6 2 8" xfId="36134" xr:uid="{7DA7FFE8-4C00-4BB9-9FF1-E3EAF7C6163F}"/>
    <cellStyle name="60% - Énfasis3 6 3" xfId="4418" xr:uid="{F96BA088-0BC5-4219-907C-3CF83CB829EC}"/>
    <cellStyle name="60% - Énfasis3 6 3 2" xfId="5384" xr:uid="{BD30BF85-2E42-4401-9309-C49D85E204DB}"/>
    <cellStyle name="60% - Énfasis3 6 3 2 2" xfId="8251" xr:uid="{159EC988-0847-414A-A0A5-606BBBD3BEED}"/>
    <cellStyle name="60% - Énfasis3 6 3 2 2 2" xfId="22627" xr:uid="{760F49B4-87C6-4063-86D4-0FA11282CB0C}"/>
    <cellStyle name="60% - Énfasis3 6 3 2 2 3" xfId="28484" xr:uid="{FB87F5D6-A5AC-42FF-B427-2943D8143FCA}"/>
    <cellStyle name="60% - Énfasis3 6 3 2 2 4" xfId="34366" xr:uid="{B0D319C1-61A6-4EF8-85E8-D34CBF347ECB}"/>
    <cellStyle name="60% - Énfasis3 6 3 2 2 5" xfId="40230" xr:uid="{755D5A22-DC68-4C80-A287-16578899E048}"/>
    <cellStyle name="60% - Énfasis3 6 3 2 3" xfId="19851" xr:uid="{6381F293-2B0B-4E03-A19F-4986CF0D19BD}"/>
    <cellStyle name="60% - Énfasis3 6 3 2 4" xfId="25635" xr:uid="{C2EBAF8A-A1E0-4A7A-BEEC-033E8C7E13ED}"/>
    <cellStyle name="60% - Énfasis3 6 3 2 5" xfId="31509" xr:uid="{416D6619-84CF-48C5-811B-5B50A168512B}"/>
    <cellStyle name="60% - Énfasis3 6 3 2 6" xfId="37380" xr:uid="{7BFDB43C-1308-43E8-B0ED-C4816B8AD718}"/>
    <cellStyle name="60% - Énfasis3 6 3 3" xfId="7279" xr:uid="{B09A540C-63C3-46A1-8F51-8F1A28A063DA}"/>
    <cellStyle name="60% - Énfasis3 6 3 3 2" xfId="21686" xr:uid="{A28DF388-F9EE-4584-8FE4-F6F2B1E41120}"/>
    <cellStyle name="60% - Énfasis3 6 3 3 3" xfId="27513" xr:uid="{5BBF8DAA-F5D4-42D6-B143-952D976C65A0}"/>
    <cellStyle name="60% - Énfasis3 6 3 3 4" xfId="33395" xr:uid="{66148DA3-8BC1-4BA8-A827-65DA41AF2BCF}"/>
    <cellStyle name="60% - Énfasis3 6 3 3 5" xfId="39259" xr:uid="{74A24709-E6AF-4A01-B214-BEE937271C29}"/>
    <cellStyle name="60% - Énfasis3 6 3 4" xfId="18920" xr:uid="{B18FD3A2-9DDA-4C30-BA8D-A8B3DFA18411}"/>
    <cellStyle name="60% - Énfasis3 6 3 5" xfId="24664" xr:uid="{F9298509-C4F8-4BF6-B98D-D3F3E0E813E2}"/>
    <cellStyle name="60% - Énfasis3 6 3 6" xfId="30543" xr:uid="{E52E7BA7-A1A8-417A-870B-B21A7C2F38BD}"/>
    <cellStyle name="60% - Énfasis3 6 3 7" xfId="36423" xr:uid="{16463804-0E8F-42FB-A2F5-43149D9C54E9}"/>
    <cellStyle name="60% - Énfasis3 6 4" xfId="4899" xr:uid="{5AE2D87A-BF03-4953-A348-0FA50A36F1C3}"/>
    <cellStyle name="60% - Énfasis3 6 4 2" xfId="7766" xr:uid="{255FA600-97A3-4448-800A-17561E16B5FC}"/>
    <cellStyle name="60% - Énfasis3 6 4 2 2" xfId="22156" xr:uid="{F3EE9A21-676A-43D0-94D2-21A629152D87}"/>
    <cellStyle name="60% - Énfasis3 6 4 2 3" xfId="27999" xr:uid="{E7856EFB-71F0-4437-A3BB-71DE9D870B03}"/>
    <cellStyle name="60% - Énfasis3 6 4 2 4" xfId="33881" xr:uid="{CFFCA265-D918-4678-A220-5DFC4EE8625B}"/>
    <cellStyle name="60% - Énfasis3 6 4 2 5" xfId="39745" xr:uid="{43A0892B-F0F8-47C1-A0B5-29DAE455A4B9}"/>
    <cellStyle name="60% - Énfasis3 6 4 3" xfId="19382" xr:uid="{74DEB098-2800-4FE0-8040-9913256052D0}"/>
    <cellStyle name="60% - Énfasis3 6 4 4" xfId="25150" xr:uid="{E8FDD5FD-FFC1-46BF-960F-7D8F5763270F}"/>
    <cellStyle name="60% - Énfasis3 6 4 5" xfId="31024" xr:uid="{E554B0F5-16D4-4D5A-839A-1A71F9A4B308}"/>
    <cellStyle name="60% - Énfasis3 6 4 6" xfId="36903" xr:uid="{A6016FB8-587E-4EEC-B563-1A31F7463E2E}"/>
    <cellStyle name="60% - Énfasis3 6 5" xfId="5909" xr:uid="{B755F030-5762-48C2-AC4C-E07961AD4986}"/>
    <cellStyle name="60% - Énfasis3 6 5 2" xfId="8778" xr:uid="{E7C813FD-05B1-4AD6-B4CE-B221EEEDF1A8}"/>
    <cellStyle name="60% - Énfasis3 6 5 2 2" xfId="23146" xr:uid="{57919B78-06BD-4493-9C38-3423AE946893}"/>
    <cellStyle name="60% - Énfasis3 6 5 2 3" xfId="29010" xr:uid="{EFF96729-1E94-43B9-8323-D9C8AA4BE60C}"/>
    <cellStyle name="60% - Énfasis3 6 5 2 4" xfId="34892" xr:uid="{7833BF4B-C1E9-4F63-A642-52745F458C59}"/>
    <cellStyle name="60% - Énfasis3 6 5 2 5" xfId="40756" xr:uid="{7A020022-527E-4816-B23C-8AACD2557448}"/>
    <cellStyle name="60% - Énfasis3 6 5 3" xfId="20360" xr:uid="{1E92DC37-6529-4D33-98E8-B6A3603733C6}"/>
    <cellStyle name="60% - Énfasis3 6 5 4" xfId="26160" xr:uid="{C8EDF7BD-1633-4D3D-B665-50584540C7F4}"/>
    <cellStyle name="60% - Énfasis3 6 5 5" xfId="32035" xr:uid="{87B92E33-3E14-40CA-9AD2-19BA56479ADE}"/>
    <cellStyle name="60% - Énfasis3 6 5 6" xfId="37901" xr:uid="{53517C11-E8B2-4F29-B172-667C57D7324A}"/>
    <cellStyle name="60% - Énfasis3 6 6" xfId="6795" xr:uid="{7EFC89BB-8E16-40C5-85AC-27BE7AC0A0C7}"/>
    <cellStyle name="60% - Énfasis3 6 6 2" xfId="21219" xr:uid="{90F94616-D675-4C19-8F81-FFCE9F95D54C}"/>
    <cellStyle name="60% - Énfasis3 6 6 3" xfId="27034" xr:uid="{F166E977-0B66-44C9-B2A3-E5BC2BBDE728}"/>
    <cellStyle name="60% - Énfasis3 6 6 4" xfId="32910" xr:uid="{780349A8-C573-4F12-AF0A-C51E00BA0E0F}"/>
    <cellStyle name="60% - Énfasis3 6 6 5" xfId="38774" xr:uid="{12A2C0CA-B5B6-4C8B-97AF-1ECF703BB6C0}"/>
    <cellStyle name="60% - Énfasis3 6 7" xfId="18466" xr:uid="{5304CCCC-F427-4B0B-A9DD-A10BC5A3F460}"/>
    <cellStyle name="60% - Énfasis3 6 8" xfId="24174" xr:uid="{ABDA85D1-35DF-4704-805C-6D5BBED152E9}"/>
    <cellStyle name="60% - Énfasis3 6 9" xfId="30052" xr:uid="{0AF11100-D581-4E3A-BFDE-85DEE511B34E}"/>
    <cellStyle name="60% - Énfasis3 7" xfId="3966" xr:uid="{8BEF445E-80BD-4BD4-9CB2-18C7CEEA5E31}"/>
    <cellStyle name="60% - Énfasis3 7 10" xfId="35958" xr:uid="{127EA727-3A94-4757-8CAF-253999BA0A16}"/>
    <cellStyle name="60% - Énfasis3 7 2" xfId="4158" xr:uid="{5FDCD736-422C-4AA0-86EF-D756646E144C}"/>
    <cellStyle name="60% - Énfasis3 7 2 2" xfId="4636" xr:uid="{7326B34D-864B-483D-BA4A-5BEDBD0C9EC0}"/>
    <cellStyle name="60% - Énfasis3 7 2 2 2" xfId="5604" xr:uid="{EC9E9A17-4D48-4B46-9811-CB9ADB2E3AF7}"/>
    <cellStyle name="60% - Énfasis3 7 2 2 2 2" xfId="8471" xr:uid="{62CC6480-63AD-4656-B0AB-6C251CB4151F}"/>
    <cellStyle name="60% - Énfasis3 7 2 2 2 2 2" xfId="22846" xr:uid="{37AE2CBF-A964-4D55-AC8A-86318DA4C9FC}"/>
    <cellStyle name="60% - Énfasis3 7 2 2 2 2 3" xfId="28704" xr:uid="{A9FBC785-32D7-4450-8E2C-4CEFFB4F4957}"/>
    <cellStyle name="60% - Énfasis3 7 2 2 2 2 4" xfId="34586" xr:uid="{ABB7A050-1503-4F9D-85F6-A6819274F3F4}"/>
    <cellStyle name="60% - Énfasis3 7 2 2 2 2 5" xfId="40450" xr:uid="{E71B170C-DAA6-4336-8701-1C92DFA5AB27}"/>
    <cellStyle name="60% - Énfasis3 7 2 2 2 3" xfId="20063" xr:uid="{B1DBE4DD-24CA-4FC2-9833-E995297251CA}"/>
    <cellStyle name="60% - Énfasis3 7 2 2 2 4" xfId="25855" xr:uid="{ECB0A2C8-AA88-4AC8-B006-9D053D6C41B0}"/>
    <cellStyle name="60% - Énfasis3 7 2 2 2 5" xfId="31729" xr:uid="{5DB9B080-F0DB-46EF-8AB4-A1DC84849857}"/>
    <cellStyle name="60% - Énfasis3 7 2 2 2 6" xfId="37599" xr:uid="{AB911D75-2FC5-46D9-AA66-C757114F8D07}"/>
    <cellStyle name="60% - Énfasis3 7 2 2 3" xfId="7499" xr:uid="{D88C2673-D5F4-4373-95D4-93E74A5DBF1E}"/>
    <cellStyle name="60% - Énfasis3 7 2 2 3 2" xfId="21900" xr:uid="{B93196A8-1B41-40D2-AFD0-14B1797FB9E8}"/>
    <cellStyle name="60% - Énfasis3 7 2 2 3 3" xfId="27733" xr:uid="{ABB853AA-60C9-4FCA-A8ED-4F8930DA34FC}"/>
    <cellStyle name="60% - Énfasis3 7 2 2 3 4" xfId="33615" xr:uid="{4FC71F5C-F458-4973-85E6-40925EAF3576}"/>
    <cellStyle name="60% - Énfasis3 7 2 2 3 5" xfId="39479" xr:uid="{30EAFC17-2F88-40D1-8904-D5AE5DD7EEDD}"/>
    <cellStyle name="60% - Énfasis3 7 2 2 4" xfId="19130" xr:uid="{69A2E027-10F1-480C-B682-F9918C4457C2}"/>
    <cellStyle name="60% - Énfasis3 7 2 2 5" xfId="24884" xr:uid="{47CF25CD-B0D1-474D-8FA8-9C50FA5BAA33}"/>
    <cellStyle name="60% - Énfasis3 7 2 2 6" xfId="30760" xr:uid="{3EDC07CF-7130-44D2-9D82-DB3553B9F7EF}"/>
    <cellStyle name="60% - Énfasis3 7 2 2 7" xfId="36642" xr:uid="{BA3250D7-A78C-4707-AEFE-2D7C33B436A4}"/>
    <cellStyle name="60% - Énfasis3 7 2 3" xfId="5119" xr:uid="{1B9D9589-43C9-4522-9750-C977C2827F93}"/>
    <cellStyle name="60% - Énfasis3 7 2 3 2" xfId="7986" xr:uid="{0C809827-56B8-4406-B020-7F7D67D7B35B}"/>
    <cellStyle name="60% - Énfasis3 7 2 3 2 2" xfId="22371" xr:uid="{30517E2F-56B2-4BCB-A16B-5D8A534B3F31}"/>
    <cellStyle name="60% - Énfasis3 7 2 3 2 3" xfId="28219" xr:uid="{FAA4AFD8-24B8-4CEF-90B1-1D5957A4272D}"/>
    <cellStyle name="60% - Énfasis3 7 2 3 2 4" xfId="34101" xr:uid="{D9FAF23B-1626-4A07-9D62-3381ACA7E96E}"/>
    <cellStyle name="60% - Énfasis3 7 2 3 2 5" xfId="39965" xr:uid="{1A429148-3616-4B76-9E17-2E1CADB9F5D5}"/>
    <cellStyle name="60% - Énfasis3 7 2 3 3" xfId="19594" xr:uid="{A92D3261-F6C4-49EF-94F3-4CD40CADCA77}"/>
    <cellStyle name="60% - Énfasis3 7 2 3 4" xfId="25370" xr:uid="{4AC7FDF1-0A29-407A-B526-B97D5852398C}"/>
    <cellStyle name="60% - Énfasis3 7 2 3 5" xfId="31244" xr:uid="{BDDC0B28-2A96-47DF-937B-22DD63F67231}"/>
    <cellStyle name="60% - Énfasis3 7 2 3 6" xfId="37122" xr:uid="{E88D396D-5968-485D-B972-7F01EA5BCA0E}"/>
    <cellStyle name="60% - Énfasis3 7 2 4" xfId="7014" xr:uid="{097AD969-7A83-4974-AA54-D9D32DE6E13E}"/>
    <cellStyle name="60% - Énfasis3 7 2 4 2" xfId="21431" xr:uid="{2A0BD0F4-C697-48ED-BB6C-4B342F91BE6F}"/>
    <cellStyle name="60% - Énfasis3 7 2 4 3" xfId="27252" xr:uid="{0E1771A2-B7A4-49DE-8F9C-661A6B8B2E6E}"/>
    <cellStyle name="60% - Énfasis3 7 2 4 4" xfId="33130" xr:uid="{DCE3DE6C-BCE3-4B01-8C15-9F989E8DB350}"/>
    <cellStyle name="60% - Énfasis3 7 2 4 5" xfId="38994" xr:uid="{8087AC75-BA5D-4929-9059-06BF8A03B559}"/>
    <cellStyle name="60% - Énfasis3 7 2 5" xfId="18686" xr:uid="{5052D1BD-3CF0-483A-B1A1-07B4BE1C340F}"/>
    <cellStyle name="60% - Énfasis3 7 2 6" xfId="24401" xr:uid="{F143D462-7235-4446-9CEE-18AB7229BF56}"/>
    <cellStyle name="60% - Énfasis3 7 2 7" xfId="30278" xr:uid="{0D0DB81F-F278-450F-8C8A-3D69D21A7F0C}"/>
    <cellStyle name="60% - Énfasis3 7 2 8" xfId="36158" xr:uid="{4B21E887-0B3A-48D3-B976-20B109D9DA9F}"/>
    <cellStyle name="60% - Énfasis3 7 3" xfId="4441" xr:uid="{8FA43496-39A7-4049-8929-77D3EDD31781}"/>
    <cellStyle name="60% - Énfasis3 7 3 2" xfId="5408" xr:uid="{145E83E3-5B4C-4D8A-8D98-1CA2F171E301}"/>
    <cellStyle name="60% - Énfasis3 7 3 2 2" xfId="8275" xr:uid="{B65DD0DD-F456-4A56-8CAC-A0244A93317B}"/>
    <cellStyle name="60% - Énfasis3 7 3 2 2 2" xfId="22651" xr:uid="{2E9DF628-0446-474D-B28A-F4A41EFEAA32}"/>
    <cellStyle name="60% - Énfasis3 7 3 2 2 3" xfId="28508" xr:uid="{6BC708E8-A9B8-4415-962F-6F24D63A8455}"/>
    <cellStyle name="60% - Énfasis3 7 3 2 2 4" xfId="34390" xr:uid="{6F87175C-FE57-4860-80AD-6BA4CA34E5CA}"/>
    <cellStyle name="60% - Énfasis3 7 3 2 2 5" xfId="40254" xr:uid="{571EFD19-B08E-4E70-BCEF-F8212AD7F999}"/>
    <cellStyle name="60% - Énfasis3 7 3 2 3" xfId="19873" xr:uid="{A6D946E9-2549-480E-8BC8-9EDDD2A6EABA}"/>
    <cellStyle name="60% - Énfasis3 7 3 2 4" xfId="25659" xr:uid="{1BDCC463-6436-41EF-8E78-A86A6210A195}"/>
    <cellStyle name="60% - Énfasis3 7 3 2 5" xfId="31533" xr:uid="{9C4959A1-99D5-48BE-8176-576CB71F3F56}"/>
    <cellStyle name="60% - Énfasis3 7 3 2 6" xfId="37404" xr:uid="{9494B8B9-9017-488B-AE9D-003CF58F4A46}"/>
    <cellStyle name="60% - Énfasis3 7 3 3" xfId="7303" xr:uid="{DDE8BEB1-04AA-4E88-B4D3-149A0F277C21}"/>
    <cellStyle name="60% - Énfasis3 7 3 3 2" xfId="21708" xr:uid="{DBA7A85F-ACFC-4A4B-9548-F05BA059EFD2}"/>
    <cellStyle name="60% - Énfasis3 7 3 3 3" xfId="27537" xr:uid="{080FDEDE-AD6A-41DE-8758-0C2DBDF86610}"/>
    <cellStyle name="60% - Énfasis3 7 3 3 4" xfId="33419" xr:uid="{26DCF4D5-994D-4546-934C-5956F0E4F701}"/>
    <cellStyle name="60% - Énfasis3 7 3 3 5" xfId="39283" xr:uid="{064C6571-550C-4BAA-A0D3-B111EF79C5DA}"/>
    <cellStyle name="60% - Énfasis3 7 3 4" xfId="18944" xr:uid="{DA96844B-DFE1-4510-9FAA-426E26877903}"/>
    <cellStyle name="60% - Énfasis3 7 3 5" xfId="24688" xr:uid="{E11953D5-313B-4F4D-856D-EF467780066D}"/>
    <cellStyle name="60% - Énfasis3 7 3 6" xfId="30566" xr:uid="{E0A28090-0F23-489D-A716-DBA77393CD91}"/>
    <cellStyle name="60% - Énfasis3 7 3 7" xfId="36447" xr:uid="{D6995E31-DB90-4309-AFF1-396F996A4BC7}"/>
    <cellStyle name="60% - Énfasis3 7 4" xfId="4923" xr:uid="{706F6A04-7AC8-4680-941D-543138AD070A}"/>
    <cellStyle name="60% - Énfasis3 7 4 2" xfId="7790" xr:uid="{29E32F12-CE3D-4349-98BE-4555CCC83E85}"/>
    <cellStyle name="60% - Énfasis3 7 4 2 2" xfId="22178" xr:uid="{FF504ED3-B2BE-4FCC-99A0-ACDC1BA492CF}"/>
    <cellStyle name="60% - Énfasis3 7 4 2 3" xfId="28023" xr:uid="{4C878E83-53C4-4A49-9C1A-61E2BEEE70FC}"/>
    <cellStyle name="60% - Énfasis3 7 4 2 4" xfId="33905" xr:uid="{A820ABFE-9BF5-4652-B9F0-13DE5DCD0E0B}"/>
    <cellStyle name="60% - Énfasis3 7 4 2 5" xfId="39769" xr:uid="{74318298-C980-4801-8F14-1A0677DE3EEF}"/>
    <cellStyle name="60% - Énfasis3 7 4 3" xfId="19405" xr:uid="{194EAE61-2FA7-46DF-8BA2-453E31083221}"/>
    <cellStyle name="60% - Énfasis3 7 4 4" xfId="25174" xr:uid="{02893BE6-4060-4C00-AC7A-DD1ECE1481F3}"/>
    <cellStyle name="60% - Énfasis3 7 4 5" xfId="31048" xr:uid="{4B75F27E-0D55-4372-A84E-66A5AD73BF38}"/>
    <cellStyle name="60% - Énfasis3 7 4 6" xfId="36927" xr:uid="{D09877A0-ADC9-4188-A3F4-570F632C280F}"/>
    <cellStyle name="60% - Énfasis3 7 5" xfId="5933" xr:uid="{05527113-60F7-4270-B375-961D17FB7BC3}"/>
    <cellStyle name="60% - Énfasis3 7 5 2" xfId="8802" xr:uid="{9661E3BC-5621-4B92-B616-0677EAC3476C}"/>
    <cellStyle name="60% - Énfasis3 7 5 2 2" xfId="23169" xr:uid="{71E1068F-AF86-4FC9-8FEC-5C1427E6D08E}"/>
    <cellStyle name="60% - Énfasis3 7 5 2 3" xfId="29034" xr:uid="{9130F25E-D09F-4633-B790-75BE5F734F70}"/>
    <cellStyle name="60% - Énfasis3 7 5 2 4" xfId="34916" xr:uid="{3A856760-D4BD-40F6-95BF-7D1FFF51DE22}"/>
    <cellStyle name="60% - Énfasis3 7 5 2 5" xfId="40780" xr:uid="{8CC20E5A-D655-46F1-A15E-A7422DEBEB63}"/>
    <cellStyle name="60% - Énfasis3 7 5 3" xfId="20383" xr:uid="{D92F206F-9966-4A3B-8F68-D3536826B93B}"/>
    <cellStyle name="60% - Énfasis3 7 5 4" xfId="26184" xr:uid="{2F174702-1822-4E8B-A099-8B5F120EB8B8}"/>
    <cellStyle name="60% - Énfasis3 7 5 5" xfId="32059" xr:uid="{9A89AE34-45B7-43B8-B6CC-E4B17054EF59}"/>
    <cellStyle name="60% - Énfasis3 7 5 6" xfId="37925" xr:uid="{725E70EE-A070-4444-8422-76D04F0EAD09}"/>
    <cellStyle name="60% - Énfasis3 7 6" xfId="6819" xr:uid="{9D4AA9A1-92E8-4C8A-84DB-1722C3340D60}"/>
    <cellStyle name="60% - Énfasis3 7 6 2" xfId="21242" xr:uid="{DB664E10-AC18-4664-A6D8-FB9CA7893337}"/>
    <cellStyle name="60% - Énfasis3 7 6 3" xfId="27058" xr:uid="{6880B3BF-D556-422E-BC65-76F4185341DB}"/>
    <cellStyle name="60% - Énfasis3 7 6 4" xfId="32934" xr:uid="{9AA3ED5B-11D7-448D-B5E7-53A3DD18A58B}"/>
    <cellStyle name="60% - Énfasis3 7 6 5" xfId="38798" xr:uid="{2C6F6ADD-4008-49C6-9787-793177C5F584}"/>
    <cellStyle name="60% - Énfasis3 7 7" xfId="18492" xr:uid="{03F9E20B-1A37-482B-B8A6-47BFAC3B178A}"/>
    <cellStyle name="60% - Énfasis3 7 8" xfId="24200" xr:uid="{CF1F6E01-4211-4C51-9B2E-1F44523600E8}"/>
    <cellStyle name="60% - Énfasis3 7 9" xfId="30078" xr:uid="{6B138B0A-CCD6-4DFF-816F-E1E7FC0B098C}"/>
    <cellStyle name="60% - Énfasis3 8" xfId="3992" xr:uid="{3EE1B2C8-DFBE-46D1-ABC4-45BEFC9E8F38}"/>
    <cellStyle name="60% - Énfasis3 8 10" xfId="35986" xr:uid="{10B2F55F-4DE6-4CC7-9828-6A107905AD1A}"/>
    <cellStyle name="60% - Énfasis3 8 2" xfId="4184" xr:uid="{091B83DC-034B-42A3-A4DC-AE3954D0045B}"/>
    <cellStyle name="60% - Énfasis3 8 2 2" xfId="4662" xr:uid="{F3FCFB34-7D49-4A69-A898-7006DF8B3347}"/>
    <cellStyle name="60% - Énfasis3 8 2 2 2" xfId="5630" xr:uid="{01C9A0A1-EE73-4115-9837-246B25B06D45}"/>
    <cellStyle name="60% - Énfasis3 8 2 2 2 2" xfId="8497" xr:uid="{6E52987C-3B16-4915-ADE3-08C98AAF082E}"/>
    <cellStyle name="60% - Énfasis3 8 2 2 2 2 2" xfId="22871" xr:uid="{445D63C2-73B8-4350-BBF9-6DDE6B4831A1}"/>
    <cellStyle name="60% - Énfasis3 8 2 2 2 2 3" xfId="28730" xr:uid="{47B13D55-C030-4734-9825-A5EC91C9FEF3}"/>
    <cellStyle name="60% - Énfasis3 8 2 2 2 2 4" xfId="34612" xr:uid="{12FD5111-165B-41B9-9853-3C39A47EE5E5}"/>
    <cellStyle name="60% - Énfasis3 8 2 2 2 2 5" xfId="40476" xr:uid="{306CAF56-61D4-4136-BDA2-9728C136B2D3}"/>
    <cellStyle name="60% - Énfasis3 8 2 2 2 3" xfId="20089" xr:uid="{72DA3DE8-0EB2-40C9-8F6D-E45E5D120BD6}"/>
    <cellStyle name="60% - Énfasis3 8 2 2 2 4" xfId="25881" xr:uid="{2BC46533-239C-4DD1-AC35-0D8A1F3F170D}"/>
    <cellStyle name="60% - Énfasis3 8 2 2 2 5" xfId="31755" xr:uid="{DA06D929-95CD-4D73-BA35-2CCBBB28B872}"/>
    <cellStyle name="60% - Énfasis3 8 2 2 2 6" xfId="37624" xr:uid="{65F02E47-D996-4F32-9D1B-C6888A7E360C}"/>
    <cellStyle name="60% - Énfasis3 8 2 2 3" xfId="7525" xr:uid="{92D3388A-04BD-4415-84B8-00E6EE35AC08}"/>
    <cellStyle name="60% - Énfasis3 8 2 2 3 2" xfId="21925" xr:uid="{2D8474A2-6A6E-40F6-B904-D91A26D60E0E}"/>
    <cellStyle name="60% - Énfasis3 8 2 2 3 3" xfId="27759" xr:uid="{84AAA33C-7A5E-43FB-A2EF-1C0F1353BF1A}"/>
    <cellStyle name="60% - Énfasis3 8 2 2 3 4" xfId="33641" xr:uid="{7FDB80EC-53C1-4CF3-902E-D4B8625F9B7D}"/>
    <cellStyle name="60% - Énfasis3 8 2 2 3 5" xfId="39505" xr:uid="{498A7BB5-3A52-45E7-8977-68D66AA204DE}"/>
    <cellStyle name="60% - Énfasis3 8 2 2 4" xfId="19154" xr:uid="{7F0F4AC8-9B69-4476-9D1B-BF4EFF918FD8}"/>
    <cellStyle name="60% - Énfasis3 8 2 2 5" xfId="24910" xr:uid="{D9831EA7-C316-42E3-9CE6-BC45A6075E92}"/>
    <cellStyle name="60% - Énfasis3 8 2 2 6" xfId="30786" xr:uid="{79BFEDD5-0403-4EDA-AA60-649E30C87056}"/>
    <cellStyle name="60% - Énfasis3 8 2 2 7" xfId="36667" xr:uid="{EFCE5194-E077-42C2-A3D0-3CA11D4E77DD}"/>
    <cellStyle name="60% - Énfasis3 8 2 3" xfId="5145" xr:uid="{87D0BFCA-FEA7-452D-A10C-30581663661C}"/>
    <cellStyle name="60% - Énfasis3 8 2 3 2" xfId="8012" xr:uid="{89A3DFD1-0790-4D9C-97E7-83CFD467987F}"/>
    <cellStyle name="60% - Énfasis3 8 2 3 2 2" xfId="22396" xr:uid="{F7084148-14F7-4CCD-9491-AD01CA6F7BC5}"/>
    <cellStyle name="60% - Énfasis3 8 2 3 2 3" xfId="28245" xr:uid="{516CC2AB-3A74-4807-A78B-55CA1C8D72B3}"/>
    <cellStyle name="60% - Énfasis3 8 2 3 2 4" xfId="34127" xr:uid="{5B911CED-E743-4735-ADC2-47B0B98EE12B}"/>
    <cellStyle name="60% - Énfasis3 8 2 3 2 5" xfId="39991" xr:uid="{FF18533D-C16B-41CF-96A6-2446349074F8}"/>
    <cellStyle name="60% - Énfasis3 8 2 3 3" xfId="19619" xr:uid="{1AEE0B20-6F0A-48AE-BA71-D965EA6BC68D}"/>
    <cellStyle name="60% - Énfasis3 8 2 3 4" xfId="25396" xr:uid="{B75665DE-AA2A-444A-BA87-F3B40F3D8651}"/>
    <cellStyle name="60% - Énfasis3 8 2 3 5" xfId="31270" xr:uid="{ED17BBE1-6624-4175-BB09-E0CB2996DECA}"/>
    <cellStyle name="60% - Énfasis3 8 2 3 6" xfId="37147" xr:uid="{AED53CAE-CCE1-477D-A4CD-ABF0E3963486}"/>
    <cellStyle name="60% - Énfasis3 8 2 4" xfId="7040" xr:uid="{DF95C22A-D0A3-4C4D-A563-24926C42DC63}"/>
    <cellStyle name="60% - Énfasis3 8 2 4 2" xfId="21456" xr:uid="{6AAF7A00-83E1-4C78-BD86-FF4EE8EFB8F4}"/>
    <cellStyle name="60% - Énfasis3 8 2 4 3" xfId="27277" xr:uid="{E1E992F3-EAE4-4D59-8146-E5A17F0AAC29}"/>
    <cellStyle name="60% - Énfasis3 8 2 4 4" xfId="33156" xr:uid="{5FF14948-0F1D-4FA0-8787-E0137E433288}"/>
    <cellStyle name="60% - Énfasis3 8 2 4 5" xfId="39020" xr:uid="{8605C6A0-73D0-418A-81B5-A2A3D8688937}"/>
    <cellStyle name="60% - Énfasis3 8 2 5" xfId="18711" xr:uid="{59C22216-EC6E-479C-B584-DADA71D60273}"/>
    <cellStyle name="60% - Énfasis3 8 2 6" xfId="24427" xr:uid="{ECC2338A-19D4-434A-92C3-0BF05833FC46}"/>
    <cellStyle name="60% - Énfasis3 8 2 7" xfId="30304" xr:uid="{3008DEC9-0D27-41BA-8309-D4CD01F511C6}"/>
    <cellStyle name="60% - Énfasis3 8 2 8" xfId="36184" xr:uid="{799D78FA-E8AE-477F-A318-2605E0BC0443}"/>
    <cellStyle name="60% - Énfasis3 8 3" xfId="4466" xr:uid="{5A964F02-F467-41BE-AB4C-FDF6D438395C}"/>
    <cellStyle name="60% - Énfasis3 8 3 2" xfId="5434" xr:uid="{CB5B3AAE-A382-4A8C-A803-FFDF5DB46A3E}"/>
    <cellStyle name="60% - Énfasis3 8 3 2 2" xfId="8301" xr:uid="{B729444F-2564-4BD6-8EF1-1F0EF60206B2}"/>
    <cellStyle name="60% - Énfasis3 8 3 2 2 2" xfId="22677" xr:uid="{9C911561-5574-484E-9CC0-26780820AE01}"/>
    <cellStyle name="60% - Énfasis3 8 3 2 2 3" xfId="28534" xr:uid="{1CA01BA4-F86B-40D6-884F-7506B74A8310}"/>
    <cellStyle name="60% - Énfasis3 8 3 2 2 4" xfId="34416" xr:uid="{A08B2565-EBAD-4052-9649-EB98D6B59953}"/>
    <cellStyle name="60% - Énfasis3 8 3 2 2 5" xfId="40280" xr:uid="{12C35F2D-D055-4A9F-AB50-CF947C94CB14}"/>
    <cellStyle name="60% - Énfasis3 8 3 2 3" xfId="19898" xr:uid="{7D4990B2-49E6-4CBB-9AF2-A92FD157E9CF}"/>
    <cellStyle name="60% - Énfasis3 8 3 2 4" xfId="25685" xr:uid="{0AA6C840-0E99-4ABC-97C1-AB6F68B73898}"/>
    <cellStyle name="60% - Énfasis3 8 3 2 5" xfId="31559" xr:uid="{D1E7E731-76DD-404D-A4BB-1686229C6DA6}"/>
    <cellStyle name="60% - Énfasis3 8 3 2 6" xfId="37430" xr:uid="{8A214E47-C392-425B-8E6E-D067FC21CC82}"/>
    <cellStyle name="60% - Énfasis3 8 3 3" xfId="7329" xr:uid="{A055D8FC-1AD3-40D9-A581-A8D6A33B5239}"/>
    <cellStyle name="60% - Énfasis3 8 3 3 2" xfId="21733" xr:uid="{6A271A40-87B2-4B0D-B70F-7068DB3C2E7D}"/>
    <cellStyle name="60% - Énfasis3 8 3 3 3" xfId="27563" xr:uid="{51FEDCBA-6A59-401F-8957-CCB9E794FB8C}"/>
    <cellStyle name="60% - Énfasis3 8 3 3 4" xfId="33445" xr:uid="{E4FB3EA8-2996-4991-A86A-83C78D6FC4C3}"/>
    <cellStyle name="60% - Énfasis3 8 3 3 5" xfId="39309" xr:uid="{4792D1A8-7790-49A3-8E67-9AF08523ABD4}"/>
    <cellStyle name="60% - Énfasis3 8 3 4" xfId="18970" xr:uid="{FF6A28BB-F4A5-49B4-8678-584C2DEBCA77}"/>
    <cellStyle name="60% - Énfasis3 8 3 5" xfId="24714" xr:uid="{7AAF9B3C-0BC5-42D7-83A1-1DDD3C6D3C70}"/>
    <cellStyle name="60% - Énfasis3 8 3 6" xfId="30592" xr:uid="{1E8859EE-FB86-45A9-809B-8037EBE464FC}"/>
    <cellStyle name="60% - Énfasis3 8 3 7" xfId="36473" xr:uid="{8B30035A-0705-4E4D-BE53-74245774841B}"/>
    <cellStyle name="60% - Énfasis3 8 4" xfId="4949" xr:uid="{61DED4CE-6B56-46DE-B30F-73361975ABA3}"/>
    <cellStyle name="60% - Énfasis3 8 4 2" xfId="7816" xr:uid="{7C365A58-6254-407E-902E-473E775D432B}"/>
    <cellStyle name="60% - Énfasis3 8 4 2 2" xfId="22203" xr:uid="{1786946F-9513-4BD2-8DF6-6440ABD00E8E}"/>
    <cellStyle name="60% - Énfasis3 8 4 2 3" xfId="28049" xr:uid="{2042C77C-43A4-499A-B94C-75E76B7EFD20}"/>
    <cellStyle name="60% - Énfasis3 8 4 2 4" xfId="33931" xr:uid="{06888082-90FF-4D4A-8631-864D4080D30C}"/>
    <cellStyle name="60% - Énfasis3 8 4 2 5" xfId="39795" xr:uid="{357ED29B-1A40-49A5-A8F7-0B3A259A684E}"/>
    <cellStyle name="60% - Énfasis3 8 4 3" xfId="19431" xr:uid="{A9E924E7-08E1-442D-9F9D-471D376129F8}"/>
    <cellStyle name="60% - Énfasis3 8 4 4" xfId="25200" xr:uid="{E5BDBA5B-41E6-46E6-AC1F-F49C844F9BB9}"/>
    <cellStyle name="60% - Énfasis3 8 4 5" xfId="31074" xr:uid="{20E79A6F-E9FC-464C-95DC-464A5B6A06BC}"/>
    <cellStyle name="60% - Énfasis3 8 4 6" xfId="36953" xr:uid="{E1F7A544-080C-44EB-B007-A69BCA5376E1}"/>
    <cellStyle name="60% - Énfasis3 8 5" xfId="5959" xr:uid="{0493BFB2-C75E-4BC3-AFB9-20ADEB68839F}"/>
    <cellStyle name="60% - Énfasis3 8 5 2" xfId="8828" xr:uid="{5EAACD14-7019-411B-88FA-FE4B9E41DE26}"/>
    <cellStyle name="60% - Énfasis3 8 5 2 2" xfId="23193" xr:uid="{6C1BA80E-BEB0-4132-A908-16819B79073A}"/>
    <cellStyle name="60% - Énfasis3 8 5 2 3" xfId="29060" xr:uid="{C44627B3-37E4-488F-A37C-EBAEC3E3AC72}"/>
    <cellStyle name="60% - Énfasis3 8 5 2 4" xfId="34942" xr:uid="{CD55B940-5E59-4986-9F8E-088300467D06}"/>
    <cellStyle name="60% - Énfasis3 8 5 2 5" xfId="40806" xr:uid="{06989BAB-EF2D-4BC2-B044-5A038D5F1079}"/>
    <cellStyle name="60% - Énfasis3 8 5 3" xfId="20409" xr:uid="{07568E56-E007-4689-8DAD-0D4B73CA4983}"/>
    <cellStyle name="60% - Énfasis3 8 5 4" xfId="26210" xr:uid="{1531644C-2F7D-4161-93C7-EC6BB4F80B36}"/>
    <cellStyle name="60% - Énfasis3 8 5 5" xfId="32085" xr:uid="{A8D02494-D9C4-4475-A317-E279C85647C4}"/>
    <cellStyle name="60% - Énfasis3 8 5 6" xfId="37950" xr:uid="{CDD63940-E97F-42DC-B67F-D1F83B3554B4}"/>
    <cellStyle name="60% - Énfasis3 8 6" xfId="6845" xr:uid="{27497E71-6FFB-479E-94B0-5C9BA0CCCBF2}"/>
    <cellStyle name="60% - Énfasis3 8 6 2" xfId="21268" xr:uid="{EC0B67E8-2121-4545-8991-B348FD37E1CE}"/>
    <cellStyle name="60% - Énfasis3 8 6 3" xfId="27083" xr:uid="{0F60696A-5271-43EA-B70A-7E424FEBAAB8}"/>
    <cellStyle name="60% - Énfasis3 8 6 4" xfId="32960" xr:uid="{0F526903-9E15-430C-BE5F-BF032BB26D61}"/>
    <cellStyle name="60% - Énfasis3 8 6 5" xfId="38824" xr:uid="{B7A50BEA-3551-46A0-8A5D-AA7845F0B948}"/>
    <cellStyle name="60% - Énfasis3 8 7" xfId="18519" xr:uid="{DEEB956A-711D-48CF-A40E-429CF3E41892}"/>
    <cellStyle name="60% - Énfasis3 8 8" xfId="24228" xr:uid="{A9D0973C-16BB-49EB-A1E2-0771FFD08CD5}"/>
    <cellStyle name="60% - Énfasis3 8 9" xfId="30106" xr:uid="{45126E91-5FCA-424A-8ED4-E00288B14BC3}"/>
    <cellStyle name="60% - Énfasis3 9" xfId="4016" xr:uid="{80479E9F-EB2F-4CDF-B2DC-BADAA119C451}"/>
    <cellStyle name="60% - Énfasis3 9 2" xfId="4487" xr:uid="{AAE69EF1-ACD8-4D80-8041-58BD14529DD6}"/>
    <cellStyle name="60% - Énfasis3 9 2 2" xfId="5455" xr:uid="{4E733E1E-9909-45DC-BBDA-C03674F21CCA}"/>
    <cellStyle name="60% - Énfasis3 9 2 2 2" xfId="8322" xr:uid="{64898BC7-10DB-4729-AB70-71B5512F7BFA}"/>
    <cellStyle name="60% - Énfasis3 9 2 2 2 2" xfId="22698" xr:uid="{A59EF5DB-F66D-40D5-B551-130E7B6CB817}"/>
    <cellStyle name="60% - Énfasis3 9 2 2 2 3" xfId="28555" xr:uid="{C9E7D515-A43C-4399-A2B6-C0084558212C}"/>
    <cellStyle name="60% - Énfasis3 9 2 2 2 4" xfId="34437" xr:uid="{EF2E29C2-AE13-4EA9-BCF0-F3D67583212D}"/>
    <cellStyle name="60% - Énfasis3 9 2 2 2 5" xfId="40301" xr:uid="{C61412F4-8BA0-489D-8DB2-8A202C7659F4}"/>
    <cellStyle name="60% - Énfasis3 9 2 2 3" xfId="19918" xr:uid="{782DEE38-C9B2-4546-84AB-EF745593453D}"/>
    <cellStyle name="60% - Énfasis3 9 2 2 4" xfId="25706" xr:uid="{CAFCA787-2F19-4871-8B8F-4192540FF69E}"/>
    <cellStyle name="60% - Énfasis3 9 2 2 5" xfId="31580" xr:uid="{A26E9BD9-5FC0-4BC4-9BC0-87372324EC26}"/>
    <cellStyle name="60% - Énfasis3 9 2 2 6" xfId="37451" xr:uid="{22AD5910-D7F0-448A-A538-2965C370D045}"/>
    <cellStyle name="60% - Énfasis3 9 2 3" xfId="7350" xr:uid="{53EBCA59-8E8F-44F0-B796-138ADE132F1F}"/>
    <cellStyle name="60% - Énfasis3 9 2 3 2" xfId="21753" xr:uid="{E0A81A04-8E9E-4663-911B-5F151A303ACC}"/>
    <cellStyle name="60% - Énfasis3 9 2 3 3" xfId="27584" xr:uid="{CA72D3C6-2F82-4CFF-B443-ACE4AF1F5BDF}"/>
    <cellStyle name="60% - Énfasis3 9 2 3 4" xfId="33466" xr:uid="{6A38ECBC-141C-4C03-A58C-09EA4AA2AE49}"/>
    <cellStyle name="60% - Énfasis3 9 2 3 5" xfId="39330" xr:uid="{E20D3C72-F695-4AC3-948E-C3D346370280}"/>
    <cellStyle name="60% - Énfasis3 9 2 4" xfId="18991" xr:uid="{8582C2D2-5A48-4C28-8163-F29335550995}"/>
    <cellStyle name="60% - Énfasis3 9 2 5" xfId="24735" xr:uid="{418D5641-6645-47FC-8D6D-1FD77DA1D066}"/>
    <cellStyle name="60% - Énfasis3 9 2 6" xfId="30612" xr:uid="{48B08386-64B9-4450-96D3-144F56AB59D0}"/>
    <cellStyle name="60% - Énfasis3 9 2 7" xfId="36494" xr:uid="{403199A6-CCB6-46BF-A39F-BBACC49E0B2B}"/>
    <cellStyle name="60% - Énfasis3 9 3" xfId="4970" xr:uid="{4498CF51-86A6-495C-BD94-EAA0F618D4AF}"/>
    <cellStyle name="60% - Énfasis3 9 3 2" xfId="7837" xr:uid="{981AEACC-AE48-4A8F-B421-3B077BC6FFA1}"/>
    <cellStyle name="60% - Énfasis3 9 3 2 2" xfId="22223" xr:uid="{66E2174F-1CFB-4208-9D06-0FF6214FD9ED}"/>
    <cellStyle name="60% - Énfasis3 9 3 2 3" xfId="28070" xr:uid="{7FD21112-272F-491E-A496-82F90B28EB10}"/>
    <cellStyle name="60% - Énfasis3 9 3 2 4" xfId="33952" xr:uid="{7F395580-E270-42F5-A059-2B81098CAF0F}"/>
    <cellStyle name="60% - Énfasis3 9 3 2 5" xfId="39816" xr:uid="{3D07FBEF-210B-49C7-AD2A-B5CBCAAB31CD}"/>
    <cellStyle name="60% - Énfasis3 9 3 3" xfId="19451" xr:uid="{A543417E-6CBB-47EB-A4D1-40B7A5EFCAD2}"/>
    <cellStyle name="60% - Énfasis3 9 3 4" xfId="25221" xr:uid="{C19E1B5B-D521-40BA-9DB7-E1B2D5299D6B}"/>
    <cellStyle name="60% - Énfasis3 9 3 5" xfId="31095" xr:uid="{7482B5F2-963E-4C9C-B17E-7A80CE5C0F2C}"/>
    <cellStyle name="60% - Énfasis3 9 3 6" xfId="36974" xr:uid="{57C7C68D-C782-47AA-BBC0-FD81AF999A67}"/>
    <cellStyle name="60% - Énfasis3 9 4" xfId="6866" xr:uid="{5191F20C-611D-4DE2-A591-4273765F030A}"/>
    <cellStyle name="60% - Énfasis3 9 4 2" xfId="21288" xr:uid="{EBB79E8B-55E7-48E3-83ED-29FE37A9755F}"/>
    <cellStyle name="60% - Énfasis3 9 4 3" xfId="27104" xr:uid="{D8791A82-C438-4AD7-AC91-22CA693F24C3}"/>
    <cellStyle name="60% - Énfasis3 9 4 4" xfId="32981" xr:uid="{DDD64FA1-DAE6-401E-909C-621ECF6B97C5}"/>
    <cellStyle name="60% - Énfasis3 9 4 5" xfId="38845" xr:uid="{88BB9A6D-A54D-45F2-AB4E-2F0DD1254504}"/>
    <cellStyle name="60% - Énfasis3 9 5" xfId="18542" xr:uid="{04788EA2-5866-461E-AE83-6B66DDF24EF6}"/>
    <cellStyle name="60% - Énfasis3 9 6" xfId="24252" xr:uid="{0F87C2E3-88F4-4BDD-AEE0-6E82D424CD37}"/>
    <cellStyle name="60% - Énfasis3 9 7" xfId="30130" xr:uid="{035BA912-A857-4961-92F4-16894D4178A0}"/>
    <cellStyle name="60% - Énfasis3 9 8" xfId="36009" xr:uid="{0AF4C922-AF08-4C08-938A-219869DEA278}"/>
    <cellStyle name="60% - Énfasis4" xfId="33" builtinId="44" customBuiltin="1"/>
    <cellStyle name="60% - Énfasis4 10" xfId="4211" xr:uid="{ACE85CBE-6EFE-43AE-92D0-B2BA24E90067}"/>
    <cellStyle name="60% - Énfasis4 10 2" xfId="4689" xr:uid="{2F4310BE-8277-418D-B653-D16D88B75FA2}"/>
    <cellStyle name="60% - Énfasis4 10 2 2" xfId="5657" xr:uid="{10D009F7-C42F-4AB8-AB35-AC71064950E5}"/>
    <cellStyle name="60% - Énfasis4 10 2 2 2" xfId="8525" xr:uid="{30095A43-EBA2-4A80-93FD-877314C15480}"/>
    <cellStyle name="60% - Énfasis4 10 2 2 2 2" xfId="22899" xr:uid="{AF0DD501-FE04-4592-9FBC-3E18C76EF453}"/>
    <cellStyle name="60% - Énfasis4 10 2 2 2 3" xfId="28758" xr:uid="{667DF6C2-1D71-40D7-A5B6-809407099E8A}"/>
    <cellStyle name="60% - Énfasis4 10 2 2 2 4" xfId="34640" xr:uid="{079C8C41-DC3A-41C5-9E69-84E2104D2A16}"/>
    <cellStyle name="60% - Énfasis4 10 2 2 2 5" xfId="40504" xr:uid="{BD4C9A19-5868-4D43-A679-086B6EF55C51}"/>
    <cellStyle name="60% - Énfasis4 10 2 2 3" xfId="20116" xr:uid="{60C181B3-0678-47F0-9E45-FA068C3F145A}"/>
    <cellStyle name="60% - Énfasis4 10 2 2 4" xfId="25908" xr:uid="{C2AEB1E9-2002-4216-90B0-620D0E006FAE}"/>
    <cellStyle name="60% - Énfasis4 10 2 2 5" xfId="31783" xr:uid="{499254B1-688C-4AFA-A2E0-10D4C57C129B}"/>
    <cellStyle name="60% - Énfasis4 10 2 2 6" xfId="37652" xr:uid="{BE9FF7CC-22E6-4A57-8C3F-F8BF9B5EDD95}"/>
    <cellStyle name="60% - Énfasis4 10 2 3" xfId="7553" xr:uid="{AE3E59B0-16B0-42C1-BDEE-2F1ADC4E5606}"/>
    <cellStyle name="60% - Énfasis4 10 2 3 2" xfId="21951" xr:uid="{992584CA-E5D0-4BF6-8AB4-790D13714E83}"/>
    <cellStyle name="60% - Énfasis4 10 2 3 3" xfId="27787" xr:uid="{F04DC034-42F7-461C-BEAC-F3010B720A68}"/>
    <cellStyle name="60% - Énfasis4 10 2 3 4" xfId="33669" xr:uid="{FBBCDF1F-A483-4DC0-90E8-0CF35812F02B}"/>
    <cellStyle name="60% - Énfasis4 10 2 3 5" xfId="39533" xr:uid="{B122B9B5-E10A-4CCA-89A8-40593EC7EC48}"/>
    <cellStyle name="60% - Énfasis4 10 2 4" xfId="19182" xr:uid="{1CF3D957-2D39-4A3E-BEE6-161E3EDE97ED}"/>
    <cellStyle name="60% - Énfasis4 10 2 5" xfId="24938" xr:uid="{FEB47CAF-112F-4E34-9981-150BEF90E6DD}"/>
    <cellStyle name="60% - Énfasis4 10 2 6" xfId="30813" xr:uid="{1A8D6470-2736-473E-849C-EA34664D08A4}"/>
    <cellStyle name="60% - Énfasis4 10 2 7" xfId="36695" xr:uid="{D36EFD38-3571-42D2-B767-1CFA4DCB1776}"/>
    <cellStyle name="60% - Énfasis4 10 3" xfId="5173" xr:uid="{A16F4A1C-F47D-4103-B04A-2CDAEC99AD2D}"/>
    <cellStyle name="60% - Énfasis4 10 3 2" xfId="8040" xr:uid="{F30E1EE0-001A-49E6-94A7-7EAEFCAE1F4B}"/>
    <cellStyle name="60% - Énfasis4 10 3 2 2" xfId="22423" xr:uid="{DFA1D61E-991F-4DDB-AEDB-55D53BA04C92}"/>
    <cellStyle name="60% - Énfasis4 10 3 2 3" xfId="28273" xr:uid="{B00F6B97-FAAE-4054-9CF2-1BE584BB98E3}"/>
    <cellStyle name="60% - Énfasis4 10 3 2 4" xfId="34155" xr:uid="{DD6DDA1F-62F7-42FC-AEB8-F832A37611D6}"/>
    <cellStyle name="60% - Énfasis4 10 3 2 5" xfId="40019" xr:uid="{FA801AA6-5C08-4D19-BDE6-9FD5624CCBA8}"/>
    <cellStyle name="60% - Énfasis4 10 3 3" xfId="19646" xr:uid="{6E867BBA-7DEB-4628-A4F6-418C38EFC5A6}"/>
    <cellStyle name="60% - Énfasis4 10 3 4" xfId="25424" xr:uid="{921E7030-52C2-4AAB-A051-1446E0E3E9D2}"/>
    <cellStyle name="60% - Énfasis4 10 3 5" xfId="31298" xr:uid="{2FA5874D-9D2F-4A4A-BFAD-7E339F465C06}"/>
    <cellStyle name="60% - Énfasis4 10 3 6" xfId="37175" xr:uid="{9CB905E2-7C14-463C-AC5B-077819AD67CA}"/>
    <cellStyle name="60% - Énfasis4 10 4" xfId="7068" xr:uid="{9F14FEA2-986F-4D6A-965E-32E78785B999}"/>
    <cellStyle name="60% - Énfasis4 10 4 2" xfId="21483" xr:uid="{24B7DFE4-F178-49F4-94C8-42F92AE53335}"/>
    <cellStyle name="60% - Énfasis4 10 4 3" xfId="27305" xr:uid="{C96BB0E8-5139-4E6A-B1F2-C9A146CF8F67}"/>
    <cellStyle name="60% - Énfasis4 10 4 4" xfId="33184" xr:uid="{13228919-B169-4ED5-977E-E95060398E92}"/>
    <cellStyle name="60% - Énfasis4 10 4 5" xfId="39048" xr:uid="{9EB62840-517E-40BB-912B-12BA95C7A2C9}"/>
    <cellStyle name="60% - Énfasis4 10 5" xfId="18739" xr:uid="{1DB4CFFD-E511-44E7-9237-F394086DC10D}"/>
    <cellStyle name="60% - Énfasis4 10 6" xfId="24455" xr:uid="{039A69CD-062C-447A-9800-CC4BA5F5D85E}"/>
    <cellStyle name="60% - Énfasis4 10 7" xfId="30331" xr:uid="{D5908BDB-5AD6-4112-953B-DEEFE82533EE}"/>
    <cellStyle name="60% - Énfasis4 10 8" xfId="36212" xr:uid="{CF6F988B-1BA4-4CB2-8156-E2E7923FC236}"/>
    <cellStyle name="60% - Énfasis4 11" xfId="4247" xr:uid="{2171F38F-3ADB-4897-90F7-59C90A03E3C0}"/>
    <cellStyle name="60% - Énfasis4 11 2" xfId="4726" xr:uid="{33D0B710-8D9D-4268-ABF5-C3866EDB8D02}"/>
    <cellStyle name="60% - Énfasis4 11 2 2" xfId="5694" xr:uid="{A910640E-5EF5-4B34-B2BE-E3B783014E89}"/>
    <cellStyle name="60% - Énfasis4 11 2 2 2" xfId="8562" xr:uid="{86BC950A-FFC8-44EA-ACBD-18B56FB63E15}"/>
    <cellStyle name="60% - Énfasis4 11 2 2 2 2" xfId="22934" xr:uid="{C66BE167-BAA1-4678-B8A3-4DB3D2FF26D9}"/>
    <cellStyle name="60% - Énfasis4 11 2 2 2 3" xfId="28795" xr:uid="{AC60A8A6-FA77-4B78-B2C6-24C0A1A93249}"/>
    <cellStyle name="60% - Énfasis4 11 2 2 2 4" xfId="34677" xr:uid="{B9553917-0247-4790-9B3E-2E0B2B376D34}"/>
    <cellStyle name="60% - Énfasis4 11 2 2 2 5" xfId="40541" xr:uid="{8846A457-F8E7-45CF-9091-8DE6B2BB12FC}"/>
    <cellStyle name="60% - Énfasis4 11 2 2 3" xfId="20151" xr:uid="{DD5E780B-B553-48FE-848F-710A4C0C73B7}"/>
    <cellStyle name="60% - Énfasis4 11 2 2 4" xfId="25945" xr:uid="{1415415C-DE53-41C6-9BEF-7372FA448A84}"/>
    <cellStyle name="60% - Énfasis4 11 2 2 5" xfId="31820" xr:uid="{EF427302-B148-4062-A00F-1D95BBA15A27}"/>
    <cellStyle name="60% - Énfasis4 11 2 2 6" xfId="37687" xr:uid="{F052E12D-24A3-4011-BD13-AE3465ABEA4C}"/>
    <cellStyle name="60% - Énfasis4 11 2 3" xfId="7590" xr:uid="{0EFFE502-9221-43A3-8019-80AB19EF99B8}"/>
    <cellStyle name="60% - Énfasis4 11 2 3 2" xfId="21984" xr:uid="{566F3123-4113-41FB-AB86-795231F45D87}"/>
    <cellStyle name="60% - Énfasis4 11 2 3 3" xfId="27824" xr:uid="{A1FED0B5-AC9B-4888-8A8E-D481E8D6A5B9}"/>
    <cellStyle name="60% - Énfasis4 11 2 3 4" xfId="33706" xr:uid="{B1D49368-8CE3-4DAF-A766-56287195D00D}"/>
    <cellStyle name="60% - Énfasis4 11 2 3 5" xfId="39570" xr:uid="{E4E85FC3-B513-45A7-BD1A-7FA8539FE03C}"/>
    <cellStyle name="60% - Énfasis4 11 2 4" xfId="19216" xr:uid="{BE408107-5332-4491-84EF-5B3311FEDAD7}"/>
    <cellStyle name="60% - Énfasis4 11 2 5" xfId="24975" xr:uid="{A6FD6577-268F-47FC-8BEC-52E7262874E1}"/>
    <cellStyle name="60% - Énfasis4 11 2 6" xfId="30849" xr:uid="{32111CC7-6CB8-4FEE-B5E1-B6B0C7F357BB}"/>
    <cellStyle name="60% - Énfasis4 11 2 7" xfId="36730" xr:uid="{7FAFFC91-B38F-4392-A9CB-08A9E8886F1B}"/>
    <cellStyle name="60% - Énfasis4 11 3" xfId="5210" xr:uid="{B29CE466-EF9C-4F10-A86A-D1B28D9C14A4}"/>
    <cellStyle name="60% - Énfasis4 11 3 2" xfId="8077" xr:uid="{B05DEC0B-F733-45CE-AEEC-5037B839C865}"/>
    <cellStyle name="60% - Énfasis4 11 3 2 2" xfId="22455" xr:uid="{62E22627-8C9E-4AD7-8E94-B7ECFC0567F0}"/>
    <cellStyle name="60% - Énfasis4 11 3 2 3" xfId="28310" xr:uid="{C80085A6-4A29-4771-A769-C20B433F5CAF}"/>
    <cellStyle name="60% - Énfasis4 11 3 2 4" xfId="34192" xr:uid="{893523EA-0ED3-47BC-B1E8-F01AECB15629}"/>
    <cellStyle name="60% - Énfasis4 11 3 2 5" xfId="40056" xr:uid="{8515A32D-0622-48D9-BB76-D922DDD3EDA0}"/>
    <cellStyle name="60% - Énfasis4 11 3 3" xfId="19681" xr:uid="{B724712E-9287-42DE-8005-94A21E029319}"/>
    <cellStyle name="60% - Énfasis4 11 3 4" xfId="25461" xr:uid="{499C25DA-B5C3-4604-9E12-1E7F0A828383}"/>
    <cellStyle name="60% - Énfasis4 11 3 5" xfId="31335" xr:uid="{43BB5119-2BD9-491D-BE90-D8482D4A1773}"/>
    <cellStyle name="60% - Énfasis4 11 3 6" xfId="37208" xr:uid="{1C40F43A-762A-497D-BB43-9B807449364F}"/>
    <cellStyle name="60% - Énfasis4 11 4" xfId="7105" xr:uid="{56B4CB3B-784E-4503-BB9D-6CE13DD28495}"/>
    <cellStyle name="60% - Énfasis4 11 4 2" xfId="21517" xr:uid="{C925FCD4-8BD6-423E-BC8C-35A6347ADBBE}"/>
    <cellStyle name="60% - Énfasis4 11 4 3" xfId="27340" xr:uid="{DA5A2B08-4164-4052-9480-C5D20BF989F1}"/>
    <cellStyle name="60% - Énfasis4 11 4 4" xfId="33221" xr:uid="{A64F8042-F258-4145-9A64-6C896C06009E}"/>
    <cellStyle name="60% - Énfasis4 11 4 5" xfId="39085" xr:uid="{E445CA43-80DE-4B1C-B9FF-578EA3EB33D4}"/>
    <cellStyle name="60% - Énfasis4 11 5" xfId="18768" xr:uid="{A339B36C-A958-48C6-A613-5356EF138CFE}"/>
    <cellStyle name="60% - Énfasis4 11 6" xfId="24490" xr:uid="{FD9CFA91-887D-4152-9331-E4865EA57F7B}"/>
    <cellStyle name="60% - Énfasis4 11 7" xfId="30368" xr:uid="{1DF44C6E-9B45-4D81-BB07-B80D824319D4}"/>
    <cellStyle name="60% - Énfasis4 11 8" xfId="36249" xr:uid="{C40A07C6-88A3-47F5-8C53-924550C2EAB6}"/>
    <cellStyle name="60% - Énfasis4 12" xfId="4296" xr:uid="{9AF1BB86-2366-4CD0-B399-96BEE855AC43}"/>
    <cellStyle name="60% - Énfasis4 12 2" xfId="5262" xr:uid="{282ACFBB-ABD3-4B44-A5B9-4CB40E5B14EA}"/>
    <cellStyle name="60% - Énfasis4 12 2 2" xfId="8129" xr:uid="{A3A5B51D-DA98-413D-927D-8CFE17AB50FA}"/>
    <cellStyle name="60% - Énfasis4 12 2 2 2" xfId="22506" xr:uid="{08AD4EB6-E9FE-4696-849D-F6F01A100529}"/>
    <cellStyle name="60% - Énfasis4 12 2 2 3" xfId="28362" xr:uid="{5E68B87D-AEFC-4C18-88BE-A37F88C3DA33}"/>
    <cellStyle name="60% - Énfasis4 12 2 2 4" xfId="34244" xr:uid="{DCE4FED5-1655-42E2-AE3D-A8A956B377B1}"/>
    <cellStyle name="60% - Énfasis4 12 2 2 5" xfId="40108" xr:uid="{62C1C8D3-C39D-4AFB-8487-41150F3CE073}"/>
    <cellStyle name="60% - Énfasis4 12 2 3" xfId="19732" xr:uid="{327CB8DA-9756-4718-AED8-08B2B7BDB742}"/>
    <cellStyle name="60% - Énfasis4 12 2 4" xfId="25513" xr:uid="{3715A33B-5141-468A-BAF4-D4628C4CA8B2}"/>
    <cellStyle name="60% - Énfasis4 12 2 5" xfId="31387" xr:uid="{A26A42DE-D3AD-49B5-9F6B-A9311F108AC4}"/>
    <cellStyle name="60% - Énfasis4 12 2 6" xfId="37259" xr:uid="{11EC5AEC-E8E5-4946-907C-269776F60B1A}"/>
    <cellStyle name="60% - Énfasis4 12 3" xfId="7157" xr:uid="{0956ED7C-8730-4367-81DD-3D3BCE3F633E}"/>
    <cellStyle name="60% - Énfasis4 12 3 2" xfId="21568" xr:uid="{3B1DA3C6-7DF0-454A-9D30-988FE773E9AF}"/>
    <cellStyle name="60% - Énfasis4 12 3 3" xfId="27391" xr:uid="{87DEE6AA-BB00-483A-A800-0CE3A55EDCAE}"/>
    <cellStyle name="60% - Énfasis4 12 3 4" xfId="33273" xr:uid="{0B5AE56F-AB77-49CE-8277-F0F791B7AB79}"/>
    <cellStyle name="60% - Énfasis4 12 3 5" xfId="39137" xr:uid="{8658912B-09F7-45DA-B745-1BB24627A40F}"/>
    <cellStyle name="60% - Énfasis4 12 4" xfId="18804" xr:uid="{8479B07D-7B2F-4E34-9FB7-A0CE03829899}"/>
    <cellStyle name="60% - Énfasis4 12 5" xfId="24542" xr:uid="{26719B6A-5D49-414D-9904-FC3B0D744DED}"/>
    <cellStyle name="60% - Énfasis4 12 6" xfId="30421" xr:uid="{40278DE5-1864-45C3-BB38-1AF6DC402515}"/>
    <cellStyle name="60% - Énfasis4 12 7" xfId="36302" xr:uid="{CB8F0B0E-8D53-4F72-A3F8-206663E181C0}"/>
    <cellStyle name="60% - Énfasis4 13" xfId="4781" xr:uid="{47343308-9316-440C-A4A4-BDA1D9A4A33C}"/>
    <cellStyle name="60% - Énfasis4 13 2" xfId="7644" xr:uid="{68F56491-89CB-4385-852E-704FD560DAE1}"/>
    <cellStyle name="60% - Énfasis4 13 2 2" xfId="22037" xr:uid="{414EDACB-9A6E-4154-BD20-CC8B2D0D1B5A}"/>
    <cellStyle name="60% - Énfasis4 13 2 3" xfId="27878" xr:uid="{B26EF526-4CB6-406F-8A57-7B96491EDFFB}"/>
    <cellStyle name="60% - Énfasis4 13 2 4" xfId="33760" xr:uid="{6A9EC158-877F-48BE-B81E-6FCDEE0B67CE}"/>
    <cellStyle name="60% - Énfasis4 13 2 5" xfId="39624" xr:uid="{C5090A34-A7E9-452D-9AD0-F53D9E1F9F42}"/>
    <cellStyle name="60% - Énfasis4 13 3" xfId="19263" xr:uid="{DEC064EA-B7E4-49FD-A8CB-366D4A3D51EC}"/>
    <cellStyle name="60% - Énfasis4 13 4" xfId="25029" xr:uid="{F69F3C3C-A690-4631-B8A6-D6B7F74A6D5F}"/>
    <cellStyle name="60% - Énfasis4 13 5" xfId="30903" xr:uid="{C7B1F083-F2B4-4F78-BC2E-133AC46CE1AB}"/>
    <cellStyle name="60% - Énfasis4 13 6" xfId="36783" xr:uid="{BF2A600F-8222-4002-9098-B1ECBED0AD30}"/>
    <cellStyle name="60% - Énfasis4 14" xfId="5747" xr:uid="{BBACA965-215A-4383-B68E-D9460A9095C5}"/>
    <cellStyle name="60% - Énfasis4 14 2" xfId="8616" xr:uid="{C0BDE798-454F-4ED7-86A7-26618B9587F5}"/>
    <cellStyle name="60% - Énfasis4 14 2 2" xfId="22987" xr:uid="{AA8AACA3-BAD0-4E8C-A0B6-108FF735DAF1}"/>
    <cellStyle name="60% - Énfasis4 14 2 3" xfId="28849" xr:uid="{43812224-78A3-4472-9DF5-3E3F20761F33}"/>
    <cellStyle name="60% - Énfasis4 14 2 4" xfId="34731" xr:uid="{15198B73-18FA-4D46-AB6C-A2E710C0C50D}"/>
    <cellStyle name="60% - Énfasis4 14 2 5" xfId="40595" xr:uid="{1E94C2B5-C637-4ABE-93AC-E700E2017AEC}"/>
    <cellStyle name="60% - Énfasis4 14 3" xfId="20205" xr:uid="{F1277F81-C3AD-480A-BB8E-27816CA7BE5C}"/>
    <cellStyle name="60% - Énfasis4 14 4" xfId="25999" xr:uid="{9F236EF2-E54D-451D-B0E1-75DAC6FAAA76}"/>
    <cellStyle name="60% - Énfasis4 14 5" xfId="31874" xr:uid="{79902F88-0387-4F78-B32E-F36633DA0B7D}"/>
    <cellStyle name="60% - Énfasis4 14 6" xfId="37740" xr:uid="{F8232547-2286-4C8E-B88D-97CB7FC76030}"/>
    <cellStyle name="60% - Énfasis4 15" xfId="5767" xr:uid="{4A3DFDBB-6490-407F-B2C7-76B4D7054E23}"/>
    <cellStyle name="60% - Énfasis4 15 2" xfId="8636" xr:uid="{9500E6C1-377A-437E-9006-A668154838D6}"/>
    <cellStyle name="60% - Énfasis4 15 2 2" xfId="23007" xr:uid="{0FDC9029-EFDC-48E0-B35F-B1B6F9263298}"/>
    <cellStyle name="60% - Énfasis4 15 2 3" xfId="28869" xr:uid="{26628B25-93B9-4F0E-B587-CAA4CE677955}"/>
    <cellStyle name="60% - Énfasis4 15 2 4" xfId="34751" xr:uid="{8BA9D6FD-2F87-454F-8B8B-A1EF2A643E0F}"/>
    <cellStyle name="60% - Énfasis4 15 2 5" xfId="40615" xr:uid="{93130962-D0B2-41ED-985D-9BB3963693AF}"/>
    <cellStyle name="60% - Énfasis4 15 3" xfId="20224" xr:uid="{AD66786E-3254-465D-8C35-6A8F50B8C5F7}"/>
    <cellStyle name="60% - Énfasis4 15 4" xfId="26019" xr:uid="{7842DEF3-EEF9-48C1-B221-FA6EA656B0B5}"/>
    <cellStyle name="60% - Énfasis4 15 5" xfId="31894" xr:uid="{9483648C-585B-47D4-8572-22038E0C1A30}"/>
    <cellStyle name="60% - Énfasis4 15 6" xfId="37760" xr:uid="{C7D8179B-C8EB-479F-92B3-AACE06A8AE67}"/>
    <cellStyle name="60% - Énfasis4 16" xfId="5787" xr:uid="{A92B9BB1-017E-4C74-A1B6-FB918C5710E0}"/>
    <cellStyle name="60% - Énfasis4 16 2" xfId="8656" xr:uid="{B0FBD115-EA2E-4782-85C4-115A89A026AF}"/>
    <cellStyle name="60% - Énfasis4 16 2 2" xfId="23027" xr:uid="{DDBA0222-0222-4F90-97E3-AB24B1A595AC}"/>
    <cellStyle name="60% - Énfasis4 16 2 3" xfId="28889" xr:uid="{B6817ECA-91C6-4872-8EBB-21726837B694}"/>
    <cellStyle name="60% - Énfasis4 16 2 4" xfId="34771" xr:uid="{E0857B9D-8F9A-41CC-B5F4-4B18BA689872}"/>
    <cellStyle name="60% - Énfasis4 16 2 5" xfId="40635" xr:uid="{F7350057-8A75-4CCE-9AE1-FAB5B57D1C87}"/>
    <cellStyle name="60% - Énfasis4 16 3" xfId="20242" xr:uid="{0DF73267-D967-4BBD-911B-08EE39E4C411}"/>
    <cellStyle name="60% - Énfasis4 16 4" xfId="26039" xr:uid="{0C49CBD3-069F-4D40-91A7-E159270B3C14}"/>
    <cellStyle name="60% - Énfasis4 16 5" xfId="31914" xr:uid="{10E6E742-17D7-4602-A935-85CA4A24DD35}"/>
    <cellStyle name="60% - Énfasis4 16 6" xfId="37780" xr:uid="{D2B7C02A-2BC1-419C-B108-3BE29199E9F6}"/>
    <cellStyle name="60% - Énfasis4 17" xfId="5986" xr:uid="{E2C466BA-4C93-4A81-BD39-B08AE6BD914F}"/>
    <cellStyle name="60% - Énfasis4 17 2" xfId="8855" xr:uid="{537BC324-67FC-4182-8FC2-56F7F913EC04}"/>
    <cellStyle name="60% - Énfasis4 17 2 2" xfId="23219" xr:uid="{50BFDE39-5B7C-4022-98F3-728FDAA54C3A}"/>
    <cellStyle name="60% - Énfasis4 17 2 3" xfId="29086" xr:uid="{10A5F40C-62C3-444F-8C69-46BF94440146}"/>
    <cellStyle name="60% - Énfasis4 17 2 4" xfId="34968" xr:uid="{0DFDA18C-7D5F-426D-A6CE-32666A183421}"/>
    <cellStyle name="60% - Énfasis4 17 2 5" xfId="40832" xr:uid="{4BC12783-BC5B-4F8F-B614-89EDE0753252}"/>
    <cellStyle name="60% - Énfasis4 17 3" xfId="20434" xr:uid="{66F75925-1069-46A2-A1EF-94C4C859A878}"/>
    <cellStyle name="60% - Énfasis4 17 4" xfId="26236" xr:uid="{06657C29-E2B6-493D-A236-6FE4E97516FC}"/>
    <cellStyle name="60% - Énfasis4 17 5" xfId="32111" xr:uid="{FF235F08-E9B4-4040-9296-5659C25C38B3}"/>
    <cellStyle name="60% - Énfasis4 17 6" xfId="37976" xr:uid="{F6EAE2FA-63FD-45EA-9B50-14C0ABC6E032}"/>
    <cellStyle name="60% - Énfasis4 18" xfId="6006" xr:uid="{E406C764-DA50-404D-8DE6-15B64ADD310B}"/>
    <cellStyle name="60% - Énfasis4 18 2" xfId="8875" xr:uid="{94AA67F1-25C1-4E02-AE4E-0F6A1DBBF4A6}"/>
    <cellStyle name="60% - Énfasis4 18 2 2" xfId="23239" xr:uid="{86971D17-F291-44AD-80A9-0E3CD3870A9C}"/>
    <cellStyle name="60% - Énfasis4 18 2 3" xfId="29106" xr:uid="{7EE1E446-03DB-4F15-BEFD-1F3FD4CFA338}"/>
    <cellStyle name="60% - Énfasis4 18 2 4" xfId="34988" xr:uid="{3A8A26C1-F367-42AD-8C57-B8CB68B90FE2}"/>
    <cellStyle name="60% - Énfasis4 18 2 5" xfId="40852" xr:uid="{42800DA7-42C5-4FD2-81B3-6C64305427CC}"/>
    <cellStyle name="60% - Énfasis4 18 3" xfId="20454" xr:uid="{80F2C715-3F93-4CAA-B2BB-6D0B73EB90FE}"/>
    <cellStyle name="60% - Énfasis4 18 4" xfId="26256" xr:uid="{C6C0446E-8904-45BD-8265-05C1F7EB9D0F}"/>
    <cellStyle name="60% - Énfasis4 18 5" xfId="32131" xr:uid="{89BDD8DE-3080-4D90-ABD3-68243A17298F}"/>
    <cellStyle name="60% - Énfasis4 18 6" xfId="37996" xr:uid="{6F3AB97C-2FDE-46DB-A9C4-87A3D6595832}"/>
    <cellStyle name="60% - Énfasis4 19" xfId="6026" xr:uid="{A0A03973-F72D-45B9-943B-8EC922ED375A}"/>
    <cellStyle name="60% - Énfasis4 19 2" xfId="8895" xr:uid="{8F765203-EBB6-4576-9057-3B19E9063CE4}"/>
    <cellStyle name="60% - Énfasis4 19 2 2" xfId="23259" xr:uid="{3AA7656C-2B18-48BE-9F11-0076D67ABFA9}"/>
    <cellStyle name="60% - Énfasis4 19 2 3" xfId="29126" xr:uid="{742F9592-1E0D-4686-A453-7BD860135977}"/>
    <cellStyle name="60% - Énfasis4 19 2 4" xfId="35008" xr:uid="{DBF4B455-D60C-4CAF-85AD-2FD5A44F54AB}"/>
    <cellStyle name="60% - Énfasis4 19 2 5" xfId="40872" xr:uid="{42907741-0AC2-431C-9A25-24F0C1F592CA}"/>
    <cellStyle name="60% - Énfasis4 19 3" xfId="20474" xr:uid="{7DCEEF8D-5245-44BF-BA56-CD8BF51FB38D}"/>
    <cellStyle name="60% - Énfasis4 19 4" xfId="26276" xr:uid="{5A5FFB46-A9A5-4062-A99A-28E6FC8E816B}"/>
    <cellStyle name="60% - Énfasis4 19 5" xfId="32151" xr:uid="{BB0D1283-28AF-4778-BDB9-37C203602BBD}"/>
    <cellStyle name="60% - Énfasis4 19 6" xfId="38016" xr:uid="{58678297-6826-44A6-A8E2-815BF6D2E1D9}"/>
    <cellStyle name="60% - Énfasis4 2" xfId="328" xr:uid="{00000000-0005-0000-0000-000016000000}"/>
    <cellStyle name="60% - Énfasis4 2 10" xfId="29950" xr:uid="{3F4F5DBF-150C-417C-A74B-AD80BD763AB0}"/>
    <cellStyle name="60% - Énfasis4 2 11" xfId="35831" xr:uid="{753F24B9-E111-43C3-A675-8070DD28B7CD}"/>
    <cellStyle name="60% - Énfasis4 2 2" xfId="3352" xr:uid="{26343EEF-D33F-4288-97D2-80EC4FFF5429}"/>
    <cellStyle name="60% - Énfasis4 2 3" xfId="4046" xr:uid="{AFD388A7-6E4F-4E46-97C5-E7D3AD8C8761}"/>
    <cellStyle name="60% - Énfasis4 2 3 2" xfId="4520" xr:uid="{32DC2090-C340-457C-82C9-5FB7526A08BA}"/>
    <cellStyle name="60% - Énfasis4 2 3 2 2" xfId="5488" xr:uid="{17009BF0-EFC5-4683-A705-79D1578EE16B}"/>
    <cellStyle name="60% - Énfasis4 2 3 2 2 2" xfId="8355" xr:uid="{C496E860-C048-4C8C-A238-3128BF46248C}"/>
    <cellStyle name="60% - Énfasis4 2 3 2 2 2 2" xfId="22730" xr:uid="{3EB6306D-57CF-4B7E-8AB1-6F365B427CD6}"/>
    <cellStyle name="60% - Énfasis4 2 3 2 2 2 3" xfId="28588" xr:uid="{ED5BFA76-B030-4891-98F9-FA7F008AD3B8}"/>
    <cellStyle name="60% - Énfasis4 2 3 2 2 2 4" xfId="34470" xr:uid="{2BF456D6-9BAC-4913-9795-9CD6C518B4D0}"/>
    <cellStyle name="60% - Énfasis4 2 3 2 2 2 5" xfId="40334" xr:uid="{2915D87F-DB5E-4EE7-8428-AF9A068F5AA9}"/>
    <cellStyle name="60% - Énfasis4 2 3 2 2 3" xfId="19949" xr:uid="{16A49F55-C99D-4CBB-9165-D0BC58B8012D}"/>
    <cellStyle name="60% - Énfasis4 2 3 2 2 4" xfId="25739" xr:uid="{8CBBBF56-9AD3-401A-90CC-15E9D34D33BB}"/>
    <cellStyle name="60% - Énfasis4 2 3 2 2 5" xfId="31613" xr:uid="{42A5E7C5-CDA6-41CB-921F-2DCE1E3E9FF1}"/>
    <cellStyle name="60% - Énfasis4 2 3 2 2 6" xfId="37483" xr:uid="{0EC70D64-A190-49EB-9AB6-2BD1F27D2078}"/>
    <cellStyle name="60% - Énfasis4 2 3 2 3" xfId="7383" xr:uid="{FFBE1DEC-8B53-4074-9698-223C555C7EE5}"/>
    <cellStyle name="60% - Énfasis4 2 3 2 3 2" xfId="21785" xr:uid="{4CC26C58-F341-4445-9C49-33BF96620FBA}"/>
    <cellStyle name="60% - Énfasis4 2 3 2 3 3" xfId="27617" xr:uid="{C1C966F5-D822-4432-8455-39DD85CE52A8}"/>
    <cellStyle name="60% - Énfasis4 2 3 2 3 4" xfId="33499" xr:uid="{16746C1B-FA89-4B61-B98A-8D5D22291501}"/>
    <cellStyle name="60% - Énfasis4 2 3 2 3 5" xfId="39363" xr:uid="{3B3E39B7-29D7-4998-8E54-3BCD67251806}"/>
    <cellStyle name="60% - Énfasis4 2 3 2 4" xfId="19019" xr:uid="{29E17140-AD81-44BD-BD43-6F5E61C4A306}"/>
    <cellStyle name="60% - Énfasis4 2 3 2 5" xfId="24768" xr:uid="{C0D186BD-3C7F-4AAA-823A-7BB53C61D311}"/>
    <cellStyle name="60% - Énfasis4 2 3 2 6" xfId="30645" xr:uid="{D659D080-AD59-4669-857A-24C672DBCAEB}"/>
    <cellStyle name="60% - Énfasis4 2 3 2 7" xfId="36526" xr:uid="{BFDC424E-0DC4-4177-821D-FB5A974669C4}"/>
    <cellStyle name="60% - Énfasis4 2 3 3" xfId="5003" xr:uid="{4C54C0CB-25BA-40E0-9341-DF2D3039DD2B}"/>
    <cellStyle name="60% - Énfasis4 2 3 3 2" xfId="7870" xr:uid="{25B880C6-2571-4D51-9948-BF9435F85992}"/>
    <cellStyle name="60% - Énfasis4 2 3 3 2 2" xfId="22255" xr:uid="{3A2C3D5B-A1D5-4831-B50B-F7A983BED9E1}"/>
    <cellStyle name="60% - Énfasis4 2 3 3 2 3" xfId="28103" xr:uid="{1CBB9732-6280-4D64-8547-F2D8F819BD42}"/>
    <cellStyle name="60% - Énfasis4 2 3 3 2 4" xfId="33985" xr:uid="{C9CAF04B-E666-4A30-9335-BBB5BEFFAE37}"/>
    <cellStyle name="60% - Énfasis4 2 3 3 2 5" xfId="39849" xr:uid="{80429539-A74B-4BC6-AD77-7A7046F0AE13}"/>
    <cellStyle name="60% - Énfasis4 2 3 3 3" xfId="19482" xr:uid="{EA9B6864-C302-4979-9405-FA0F4C291067}"/>
    <cellStyle name="60% - Énfasis4 2 3 3 4" xfId="25254" xr:uid="{424F0DAA-0123-4DD0-B4D5-D63A2CB1F7ED}"/>
    <cellStyle name="60% - Énfasis4 2 3 3 5" xfId="31128" xr:uid="{74E83C91-84F4-4DEF-B123-D479836B492F}"/>
    <cellStyle name="60% - Énfasis4 2 3 3 6" xfId="37006" xr:uid="{07D047BD-2294-435E-8ABD-CAE13208BD71}"/>
    <cellStyle name="60% - Énfasis4 2 3 4" xfId="6898" xr:uid="{AE04AF10-2FFC-45B5-AC26-82C1595D009F}"/>
    <cellStyle name="60% - Énfasis4 2 3 4 2" xfId="21319" xr:uid="{BED0885C-5C3D-494F-8AA3-2062D835C99E}"/>
    <cellStyle name="60% - Énfasis4 2 3 4 3" xfId="27136" xr:uid="{6374F5F0-1CBE-4F91-9D33-C516DF9FA140}"/>
    <cellStyle name="60% - Énfasis4 2 3 4 4" xfId="33014" xr:uid="{20ED2D25-0FE0-4232-92EE-73E7A4557BE5}"/>
    <cellStyle name="60% - Énfasis4 2 3 4 5" xfId="38878" xr:uid="{63A18298-429F-4D64-B179-8A9DC51FD851}"/>
    <cellStyle name="60% - Énfasis4 2 3 5" xfId="18573" xr:uid="{A89A4736-B9B3-48C2-8D5D-C50FB04C4005}"/>
    <cellStyle name="60% - Énfasis4 2 3 6" xfId="24285" xr:uid="{55F84896-E094-4C77-919A-59AC2B439384}"/>
    <cellStyle name="60% - Énfasis4 2 3 7" xfId="30163" xr:uid="{F878F96A-21C5-42D0-81EA-C1A176201D59}"/>
    <cellStyle name="60% - Énfasis4 2 3 8" xfId="36042" xr:uid="{645C3601-163C-4E87-AC3F-2DF66C824B7D}"/>
    <cellStyle name="60% - Énfasis4 2 4" xfId="4326" xr:uid="{1BB9A935-D208-42D9-B339-765E84DFE7E2}"/>
    <cellStyle name="60% - Énfasis4 2 4 2" xfId="5292" xr:uid="{90312829-B845-4D7B-98D4-868BED19327E}"/>
    <cellStyle name="60% - Énfasis4 2 4 2 2" xfId="8159" xr:uid="{78972C2F-85F6-4438-8F60-F7DBD5D38B48}"/>
    <cellStyle name="60% - Énfasis4 2 4 2 2 2" xfId="22535" xr:uid="{A2519A72-4F60-4336-B88F-56CC2E4FC5FE}"/>
    <cellStyle name="60% - Énfasis4 2 4 2 2 3" xfId="28392" xr:uid="{42EB9FB8-42E0-4E97-9EDA-781A6D009FDA}"/>
    <cellStyle name="60% - Énfasis4 2 4 2 2 4" xfId="34274" xr:uid="{6467BA0D-8A68-46B0-BCA7-B62A2D46AEB5}"/>
    <cellStyle name="60% - Énfasis4 2 4 2 2 5" xfId="40138" xr:uid="{C880A44E-A200-476F-9A85-DE25A70F6790}"/>
    <cellStyle name="60% - Énfasis4 2 4 2 3" xfId="19760" xr:uid="{A30A0491-5E54-4313-AF92-4A534A6C2755}"/>
    <cellStyle name="60% - Énfasis4 2 4 2 4" xfId="25543" xr:uid="{23F66D45-5252-465E-92D7-F732A70C4888}"/>
    <cellStyle name="60% - Énfasis4 2 4 2 5" xfId="31417" xr:uid="{A78CC30D-3A72-4269-8531-BC5A154057FC}"/>
    <cellStyle name="60% - Énfasis4 2 4 2 6" xfId="37288" xr:uid="{D4A6EECF-26FB-4E92-A04B-D7E7C1621FC2}"/>
    <cellStyle name="60% - Énfasis4 2 4 3" xfId="7187" xr:uid="{3F6C85B6-ED95-4E64-ABE6-71B24E76E62F}"/>
    <cellStyle name="60% - Énfasis4 2 4 3 2" xfId="21594" xr:uid="{F46B11E7-FB3B-4A0C-AA32-E237F96CD954}"/>
    <cellStyle name="60% - Énfasis4 2 4 3 3" xfId="27421" xr:uid="{6CD0E870-E307-4D7F-8DCE-090C2C8C23C8}"/>
    <cellStyle name="60% - Énfasis4 2 4 3 4" xfId="33303" xr:uid="{575C232D-34A7-40F6-BBF9-9101A5F76998}"/>
    <cellStyle name="60% - Énfasis4 2 4 3 5" xfId="39167" xr:uid="{24B7E9AF-92BC-4F6C-93F1-DE4DE9927D00}"/>
    <cellStyle name="60% - Énfasis4 2 4 4" xfId="18831" xr:uid="{612358DE-66D3-42FC-856A-B39B77A5CC67}"/>
    <cellStyle name="60% - Énfasis4 2 4 5" xfId="24572" xr:uid="{A4BD7E83-8BB8-4C6E-B64F-1128BB81C377}"/>
    <cellStyle name="60% - Énfasis4 2 4 6" xfId="30451" xr:uid="{C6CF68C4-27C0-4B0E-99DA-C9678E2A29C4}"/>
    <cellStyle name="60% - Énfasis4 2 4 7" xfId="36331" xr:uid="{90F542D2-F566-44C7-AFFE-B295C9C46A1A}"/>
    <cellStyle name="60% - Énfasis4 2 5" xfId="4811" xr:uid="{94D4F599-53D3-4999-B913-333A11A7F93C}"/>
    <cellStyle name="60% - Énfasis4 2 5 2" xfId="7674" xr:uid="{75369446-3997-49B9-B23E-20B6C33E84B6}"/>
    <cellStyle name="60% - Énfasis4 2 5 2 2" xfId="22065" xr:uid="{27DC318C-2436-47B7-8223-FBD838BF0493}"/>
    <cellStyle name="60% - Énfasis4 2 5 2 3" xfId="27907" xr:uid="{20E75B35-22CD-4434-ADDD-E9854D639A67}"/>
    <cellStyle name="60% - Énfasis4 2 5 2 4" xfId="33789" xr:uid="{C89076B5-35FD-4797-8215-DC708A4423A3}"/>
    <cellStyle name="60% - Énfasis4 2 5 2 5" xfId="39653" xr:uid="{733B1F74-CCA9-42BC-8945-A5380B803E4D}"/>
    <cellStyle name="60% - Énfasis4 2 5 3" xfId="19290" xr:uid="{1A69ACD7-52F9-4BDF-BC3A-40CF21BB4C47}"/>
    <cellStyle name="60% - Énfasis4 2 5 4" xfId="25058" xr:uid="{E0E615BE-5F30-4F93-B520-96753BBB8297}"/>
    <cellStyle name="60% - Énfasis4 2 5 5" xfId="30932" xr:uid="{FFBAAEE6-5D3E-4E2C-85C8-E4A421BF2716}"/>
    <cellStyle name="60% - Énfasis4 2 5 6" xfId="36811" xr:uid="{C02AB146-45D1-4F58-AFEC-C3EF135BD53B}"/>
    <cellStyle name="60% - Énfasis4 2 6" xfId="5817" xr:uid="{A6EA2259-0766-4F28-A287-3BB6B1AC1561}"/>
    <cellStyle name="60% - Énfasis4 2 6 2" xfId="8686" xr:uid="{9E711183-308D-44DF-A603-7EF77551E60F}"/>
    <cellStyle name="60% - Énfasis4 2 6 2 2" xfId="23054" xr:uid="{D4A2B56F-A424-4128-A36E-E34EFCA63819}"/>
    <cellStyle name="60% - Énfasis4 2 6 2 3" xfId="28918" xr:uid="{15BF8418-3AE2-4C5D-9C70-352A347AE144}"/>
    <cellStyle name="60% - Énfasis4 2 6 2 4" xfId="34800" xr:uid="{98821C5C-CCC4-4E36-B215-A9FE094805A6}"/>
    <cellStyle name="60% - Énfasis4 2 6 2 5" xfId="40664" xr:uid="{C0770CBB-1289-4615-B9A3-7C54BD57ED9B}"/>
    <cellStyle name="60% - Énfasis4 2 6 3" xfId="20269" xr:uid="{B36A5759-5850-43E7-B553-FCC1A8017135}"/>
    <cellStyle name="60% - Énfasis4 2 6 4" xfId="26068" xr:uid="{3499A9DE-0775-4075-902E-0863B9A359F8}"/>
    <cellStyle name="60% - Énfasis4 2 6 5" xfId="31943" xr:uid="{F89A7D8F-97D2-42CE-AD67-2C80BC8A79B6}"/>
    <cellStyle name="60% - Énfasis4 2 6 6" xfId="37809" xr:uid="{E0328048-4440-4C89-9382-0A367E893372}"/>
    <cellStyle name="60% - Énfasis4 2 7" xfId="6703" xr:uid="{914DBAE9-F6AA-4EDD-80C1-B0E95592B297}"/>
    <cellStyle name="60% - Énfasis4 2 7 2" xfId="21130" xr:uid="{4632CDD3-DD35-4933-8229-02CB3773F837}"/>
    <cellStyle name="60% - Énfasis4 2 7 3" xfId="26942" xr:uid="{5DF6AF7A-1C8A-4CE9-8EF5-3A2E70671FCB}"/>
    <cellStyle name="60% - Énfasis4 2 7 4" xfId="32818" xr:uid="{DE986F3C-2801-450A-953A-1C1066953D9B}"/>
    <cellStyle name="60% - Énfasis4 2 7 5" xfId="38682" xr:uid="{7632868C-6D07-4A37-9281-49A6A4DD103D}"/>
    <cellStyle name="60% - Énfasis4 2 8" xfId="18364" xr:uid="{BFE292B5-AA74-463E-B659-DF4757D3C81B}"/>
    <cellStyle name="60% - Énfasis4 2 9" xfId="24072" xr:uid="{EE3B49CC-3EAE-4CB9-BB67-5C97AE84B255}"/>
    <cellStyle name="60% - Énfasis4 20" xfId="6046" xr:uid="{054EA108-3ACC-44DF-9624-5BDF79B69E0F}"/>
    <cellStyle name="60% - Énfasis4 20 2" xfId="8915" xr:uid="{40477A65-24FC-4A7F-AF76-3F48C212A11E}"/>
    <cellStyle name="60% - Énfasis4 20 2 2" xfId="23279" xr:uid="{7DF5BF70-3C9A-48DC-8A14-3FB32CF80A29}"/>
    <cellStyle name="60% - Énfasis4 20 2 3" xfId="29146" xr:uid="{AD75D699-760B-48E5-A557-E5B86DE40B03}"/>
    <cellStyle name="60% - Énfasis4 20 2 4" xfId="35028" xr:uid="{B65EBA58-0FE7-4CE9-AA31-5C7C5436D51D}"/>
    <cellStyle name="60% - Énfasis4 20 2 5" xfId="40892" xr:uid="{60DC81A5-9A9D-4E19-99E3-FE254855D0D6}"/>
    <cellStyle name="60% - Énfasis4 20 3" xfId="20494" xr:uid="{3AF41CD3-13BA-4096-9592-242D48F9A0D6}"/>
    <cellStyle name="60% - Énfasis4 20 4" xfId="26296" xr:uid="{9BCE476B-4BB4-44C2-946C-5EB8BCFA7CA4}"/>
    <cellStyle name="60% - Énfasis4 20 5" xfId="32171" xr:uid="{13B347FA-51DE-49A4-BA0B-C8167D92EE77}"/>
    <cellStyle name="60% - Énfasis4 20 6" xfId="38036" xr:uid="{D5E2CCD6-BD6E-407C-9DA5-A8FE73B0E932}"/>
    <cellStyle name="60% - Énfasis4 21" xfId="6066" xr:uid="{429EB255-C718-4E23-B05D-C3C736203337}"/>
    <cellStyle name="60% - Énfasis4 21 2" xfId="8935" xr:uid="{B42C4302-CECB-43B7-A9E4-CD5210A1C49D}"/>
    <cellStyle name="60% - Énfasis4 21 2 2" xfId="23299" xr:uid="{657C220F-9E75-4EA1-A504-A0F0210DCC94}"/>
    <cellStyle name="60% - Énfasis4 21 2 3" xfId="29166" xr:uid="{AA5D2B6E-9EEE-46EE-9706-D901D7155804}"/>
    <cellStyle name="60% - Énfasis4 21 2 4" xfId="35048" xr:uid="{5AE2FD31-08E6-43F9-9EAA-422C330207F9}"/>
    <cellStyle name="60% - Énfasis4 21 2 5" xfId="40912" xr:uid="{B243FFFE-CE5E-4CD2-B507-3672E171DF00}"/>
    <cellStyle name="60% - Énfasis4 21 3" xfId="20514" xr:uid="{032EDFE8-6056-4BEE-A4C8-BC308D4C69DA}"/>
    <cellStyle name="60% - Énfasis4 21 4" xfId="26316" xr:uid="{B80F0905-0CE2-4AEA-AA88-BEE058DCFAA3}"/>
    <cellStyle name="60% - Énfasis4 21 5" xfId="32191" xr:uid="{395C8386-0A30-4596-9EA5-3D32E955A27C}"/>
    <cellStyle name="60% - Énfasis4 21 6" xfId="38056" xr:uid="{4D741875-F72D-42D3-943F-21039969BFDA}"/>
    <cellStyle name="60% - Énfasis4 22" xfId="6086" xr:uid="{4FD788E6-4A70-4C1E-A076-3A9EAB24C03E}"/>
    <cellStyle name="60% - Énfasis4 22 2" xfId="8955" xr:uid="{254B9C3D-9F3B-48E9-9F0E-A65D97067CC0}"/>
    <cellStyle name="60% - Énfasis4 22 2 2" xfId="23319" xr:uid="{AC1DA40F-70EB-4F4A-ACCA-CD29CD22E964}"/>
    <cellStyle name="60% - Énfasis4 22 2 3" xfId="29186" xr:uid="{90E8647A-FC9E-4A0E-BD16-B7E6251798DC}"/>
    <cellStyle name="60% - Énfasis4 22 2 4" xfId="35068" xr:uid="{B55D0557-F268-4784-BE43-DD018DA87427}"/>
    <cellStyle name="60% - Énfasis4 22 2 5" xfId="40932" xr:uid="{64F26452-5F8C-437F-86A1-2865F73E4ECB}"/>
    <cellStyle name="60% - Énfasis4 22 3" xfId="20534" xr:uid="{8258E3FD-F109-42BB-BCE0-A60FC8BC155A}"/>
    <cellStyle name="60% - Énfasis4 22 4" xfId="26336" xr:uid="{6DBB91D3-79F8-436F-8E2A-C0C206665827}"/>
    <cellStyle name="60% - Énfasis4 22 5" xfId="32211" xr:uid="{6B50EE4D-21DC-4A07-8D09-C21B6ACE3E5A}"/>
    <cellStyle name="60% - Énfasis4 22 6" xfId="38076" xr:uid="{D353E3F1-2450-4FD2-8F3E-FC8F040A8E70}"/>
    <cellStyle name="60% - Énfasis4 23" xfId="6106" xr:uid="{F50E7F27-D859-4809-B51E-939E03C3FF12}"/>
    <cellStyle name="60% - Énfasis4 23 2" xfId="8975" xr:uid="{EA546E8E-947F-4798-95F2-8D6171ADB53B}"/>
    <cellStyle name="60% - Énfasis4 23 2 2" xfId="23339" xr:uid="{CCADC90F-7C96-4449-9938-3D6F43025C51}"/>
    <cellStyle name="60% - Énfasis4 23 2 3" xfId="29206" xr:uid="{D4187503-F7F0-414F-8552-8BD177D68A29}"/>
    <cellStyle name="60% - Énfasis4 23 2 4" xfId="35088" xr:uid="{08656C91-07FA-48DB-927A-2FE3F52C672A}"/>
    <cellStyle name="60% - Énfasis4 23 2 5" xfId="40952" xr:uid="{EDB0AE0D-3E25-4F37-8C69-2CA6D5418329}"/>
    <cellStyle name="60% - Énfasis4 23 3" xfId="20554" xr:uid="{540B8351-9B16-4689-8E2C-3C7E9AC701FC}"/>
    <cellStyle name="60% - Énfasis4 23 4" xfId="26356" xr:uid="{7DA6448A-4D3D-44C7-9D57-6BE063432B05}"/>
    <cellStyle name="60% - Énfasis4 23 5" xfId="32231" xr:uid="{47689744-E172-4CEB-9AD5-90AA11A119F5}"/>
    <cellStyle name="60% - Énfasis4 23 6" xfId="38096" xr:uid="{83E7BEFD-935C-4F1A-B135-865FBEB5D50E}"/>
    <cellStyle name="60% - Énfasis4 24" xfId="6126" xr:uid="{AAAA0720-2083-4434-84A4-8D942077CC07}"/>
    <cellStyle name="60% - Énfasis4 24 2" xfId="8995" xr:uid="{F7BA9307-7EFD-4603-B89B-4ACAF5687294}"/>
    <cellStyle name="60% - Énfasis4 24 2 2" xfId="23359" xr:uid="{2D001119-8583-4127-A564-3551C48201BB}"/>
    <cellStyle name="60% - Énfasis4 24 2 3" xfId="29226" xr:uid="{69B51F5E-3F99-4D23-A92D-07ADAC66096B}"/>
    <cellStyle name="60% - Énfasis4 24 2 4" xfId="35108" xr:uid="{111FF33F-6998-429C-9957-C6431480435E}"/>
    <cellStyle name="60% - Énfasis4 24 2 5" xfId="40972" xr:uid="{902D668C-B588-40E4-A87C-993F0D10F7EB}"/>
    <cellStyle name="60% - Énfasis4 24 3" xfId="20574" xr:uid="{345842EE-8C8E-4E26-B48C-25C1F8304EC7}"/>
    <cellStyle name="60% - Énfasis4 24 4" xfId="26376" xr:uid="{F15C1799-467F-4085-B25B-D759E4731C41}"/>
    <cellStyle name="60% - Énfasis4 24 5" xfId="32251" xr:uid="{78126B27-E4C1-45AB-A5C9-A493E86B5CF1}"/>
    <cellStyle name="60% - Énfasis4 24 6" xfId="38116" xr:uid="{0035F9DA-13C4-4498-99AE-75E488C3B579}"/>
    <cellStyle name="60% - Énfasis4 25" xfId="6146" xr:uid="{F0C03A1D-492A-43CC-8E9E-1360891318BE}"/>
    <cellStyle name="60% - Énfasis4 25 2" xfId="9015" xr:uid="{A052EA29-69A1-439C-AB67-9819D045BD31}"/>
    <cellStyle name="60% - Énfasis4 25 2 2" xfId="23379" xr:uid="{37E8BDB4-98AA-4D13-B967-823E9BDE83B4}"/>
    <cellStyle name="60% - Énfasis4 25 2 3" xfId="29246" xr:uid="{0943DDDC-9148-4510-8F4F-FC1A09C5FDEF}"/>
    <cellStyle name="60% - Énfasis4 25 2 4" xfId="35128" xr:uid="{1445CEB1-8848-4E4D-9705-9106E0E88299}"/>
    <cellStyle name="60% - Énfasis4 25 2 5" xfId="40991" xr:uid="{8225904D-476B-4DC1-8F26-E3C7BBF4E71C}"/>
    <cellStyle name="60% - Énfasis4 25 3" xfId="20594" xr:uid="{B2D0F0CE-5E04-4202-AFE3-8065E411ED12}"/>
    <cellStyle name="60% - Énfasis4 25 4" xfId="26396" xr:uid="{5EAE2AAB-A93B-4E18-BD5D-1D8B57D11F1E}"/>
    <cellStyle name="60% - Énfasis4 25 5" xfId="32271" xr:uid="{EE3300F2-C322-42BF-8FF5-C336AC0F3490}"/>
    <cellStyle name="60% - Énfasis4 25 6" xfId="38136" xr:uid="{37815635-28E5-4B0B-BD6F-4C0291424C68}"/>
    <cellStyle name="60% - Énfasis4 26" xfId="6166" xr:uid="{94FAA9A7-CE38-46A9-96C7-ED42ED52AD33}"/>
    <cellStyle name="60% - Énfasis4 26 2" xfId="9035" xr:uid="{3DE1534B-D634-451D-A78B-38DC0A76807D}"/>
    <cellStyle name="60% - Énfasis4 26 2 2" xfId="23399" xr:uid="{4D299EE6-B2A2-429A-ADC9-850AFEC93079}"/>
    <cellStyle name="60% - Énfasis4 26 2 3" xfId="29266" xr:uid="{2F13B1D8-D754-4A77-93F1-BC61D7E666A0}"/>
    <cellStyle name="60% - Énfasis4 26 2 4" xfId="35148" xr:uid="{0D7B3E95-8D7A-4D7D-8113-7B5A6336B7E9}"/>
    <cellStyle name="60% - Énfasis4 26 2 5" xfId="41010" xr:uid="{7A71AD6F-333B-4303-9FFB-05D63A142B47}"/>
    <cellStyle name="60% - Énfasis4 26 3" xfId="20614" xr:uid="{29D11265-ACC4-4718-BCAE-FF7B4275C29E}"/>
    <cellStyle name="60% - Énfasis4 26 4" xfId="26416" xr:uid="{CA082ECE-C08F-458D-806E-E5B25E5FA14F}"/>
    <cellStyle name="60% - Énfasis4 26 5" xfId="32291" xr:uid="{EE342536-BADD-477E-B69F-C85B14FCD027}"/>
    <cellStyle name="60% - Énfasis4 26 6" xfId="38156" xr:uid="{90CA76DB-3152-4DB8-A54B-49C0DABB2B99}"/>
    <cellStyle name="60% - Énfasis4 27" xfId="6186" xr:uid="{C8F55348-BE69-4A79-B690-2414A53D6198}"/>
    <cellStyle name="60% - Énfasis4 27 2" xfId="9055" xr:uid="{12329425-0ECA-4317-9B94-C029157F07CF}"/>
    <cellStyle name="60% - Énfasis4 27 2 2" xfId="23419" xr:uid="{25949941-96C5-46D8-8239-89357F11D2C7}"/>
    <cellStyle name="60% - Énfasis4 27 2 3" xfId="29286" xr:uid="{D36A9E52-4C70-46F9-BBD1-A18C5116AA87}"/>
    <cellStyle name="60% - Énfasis4 27 2 4" xfId="35168" xr:uid="{5EFF9039-1ADE-4689-92C4-ADA840FFC178}"/>
    <cellStyle name="60% - Énfasis4 27 2 5" xfId="41030" xr:uid="{D36FC9B4-8944-4469-A6C6-C1F22F268CF2}"/>
    <cellStyle name="60% - Énfasis4 27 3" xfId="20634" xr:uid="{DDAAEFB7-052E-43A8-9C75-053AF949FC67}"/>
    <cellStyle name="60% - Énfasis4 27 4" xfId="26436" xr:uid="{612A1177-111A-42A8-BA9C-EF9987F0B487}"/>
    <cellStyle name="60% - Énfasis4 27 5" xfId="32311" xr:uid="{1CB336E1-D368-4BDE-9FBE-85B0603849E9}"/>
    <cellStyle name="60% - Énfasis4 27 6" xfId="38176" xr:uid="{1F1B0602-52D3-4D3C-B28D-794649513EF1}"/>
    <cellStyle name="60% - Énfasis4 28" xfId="6208" xr:uid="{2E863859-782D-44E8-8984-EE3D7D8D2423}"/>
    <cellStyle name="60% - Énfasis4 28 2" xfId="9077" xr:uid="{99F58DDA-72B3-4651-A729-8DBDCA4F32B3}"/>
    <cellStyle name="60% - Énfasis4 28 2 2" xfId="23441" xr:uid="{9B2DD63C-BCB3-4256-857C-D4412B9F3234}"/>
    <cellStyle name="60% - Énfasis4 28 2 3" xfId="29308" xr:uid="{16B50971-21F7-4ACB-8F73-442C2EC38610}"/>
    <cellStyle name="60% - Énfasis4 28 2 4" xfId="35190" xr:uid="{C5EAF036-7B07-453B-8C0F-5CA1B9212C73}"/>
    <cellStyle name="60% - Énfasis4 28 2 5" xfId="41051" xr:uid="{1991E522-BABF-47E3-9D84-3488B4B0DE2D}"/>
    <cellStyle name="60% - Énfasis4 28 3" xfId="20656" xr:uid="{562BCBF6-1CA3-497D-98EF-298FB46EBDE1}"/>
    <cellStyle name="60% - Énfasis4 28 4" xfId="26458" xr:uid="{3EE52B4A-0692-41FA-AA26-1AB516EDAE68}"/>
    <cellStyle name="60% - Énfasis4 28 5" xfId="32333" xr:uid="{16D1B59F-50B8-4C35-BD5C-64B6CCCF7FC1}"/>
    <cellStyle name="60% - Énfasis4 28 6" xfId="38198" xr:uid="{B18AA575-6C1E-443A-8389-D805EFF598D7}"/>
    <cellStyle name="60% - Énfasis4 29" xfId="6245" xr:uid="{6F73F7C4-434C-42BB-8898-CEB6CA81D45B}"/>
    <cellStyle name="60% - Énfasis4 29 2" xfId="9114" xr:uid="{2E91FF1B-B543-4730-9BAF-B883D17F514F}"/>
    <cellStyle name="60% - Énfasis4 29 2 2" xfId="23478" xr:uid="{64E15799-6FB4-4E07-9D4B-2C3D2759AC73}"/>
    <cellStyle name="60% - Énfasis4 29 2 3" xfId="29345" xr:uid="{26B12B24-1DCF-4B61-BD7B-7102E36E7C49}"/>
    <cellStyle name="60% - Énfasis4 29 2 4" xfId="35227" xr:uid="{F7451520-E451-4072-B096-4125A70E311F}"/>
    <cellStyle name="60% - Énfasis4 29 2 5" xfId="41087" xr:uid="{83063645-E523-4379-8CFB-C6CC665D77A5}"/>
    <cellStyle name="60% - Énfasis4 29 3" xfId="20686" xr:uid="{635508F5-C675-4A29-8AFC-730C70AA38F4}"/>
    <cellStyle name="60% - Énfasis4 29 4" xfId="26495" xr:uid="{08F83D8C-AD5B-4CFA-83DE-A56DB0F45731}"/>
    <cellStyle name="60% - Énfasis4 29 5" xfId="32370" xr:uid="{C3CC9A7A-5714-4D77-BB55-B8631E34D5D9}"/>
    <cellStyle name="60% - Énfasis4 29 6" xfId="38235" xr:uid="{ADCD97F9-8EF9-4C75-B64C-6BDB1D15982F}"/>
    <cellStyle name="60% - Énfasis4 3" xfId="3868" xr:uid="{DB91B932-1039-491C-9D6E-056413311B73}"/>
    <cellStyle name="60% - Énfasis4 3 10" xfId="29977" xr:uid="{C6A7C49C-07F4-4195-A4A6-6ED77B9FEB7D}"/>
    <cellStyle name="60% - Énfasis4 3 11" xfId="35858" xr:uid="{4FA76920-B983-4E29-A66D-EC50E80C5D33}"/>
    <cellStyle name="60% - Énfasis4 3 2" xfId="4067" xr:uid="{11BC257F-D9E0-447A-82FB-E7DC2F357174}"/>
    <cellStyle name="60% - Énfasis4 3 2 2" xfId="4545" xr:uid="{8B456197-8009-4A32-A31B-3D5C7BB4EEF2}"/>
    <cellStyle name="60% - Énfasis4 3 2 2 2" xfId="5513" xr:uid="{6BC5194C-BDC4-42E2-9B83-B270029B0505}"/>
    <cellStyle name="60% - Énfasis4 3 2 2 2 2" xfId="8380" xr:uid="{8A132395-801A-48FC-A901-1F7CBE1CE1A3}"/>
    <cellStyle name="60% - Énfasis4 3 2 2 2 2 2" xfId="22755" xr:uid="{01850573-DBF9-4459-B363-2C7126C93873}"/>
    <cellStyle name="60% - Énfasis4 3 2 2 2 2 3" xfId="28613" xr:uid="{7BA4E656-7888-4863-8922-45B125656DD3}"/>
    <cellStyle name="60% - Énfasis4 3 2 2 2 2 4" xfId="34495" xr:uid="{8AE00C4E-E002-44CA-8B09-BF02CE31F5C8}"/>
    <cellStyle name="60% - Énfasis4 3 2 2 2 2 5" xfId="40359" xr:uid="{D8D94D10-4AD0-41A2-9CA1-5671C0EAC472}"/>
    <cellStyle name="60% - Énfasis4 3 2 2 2 3" xfId="19973" xr:uid="{36CBCF5E-180A-4DBC-BAE3-27AA057DA9EA}"/>
    <cellStyle name="60% - Énfasis4 3 2 2 2 4" xfId="25764" xr:uid="{D8BBBCDD-9B0C-41C7-9D94-0C49BC95ACC0}"/>
    <cellStyle name="60% - Énfasis4 3 2 2 2 5" xfId="31638" xr:uid="{34A0A9E8-8F67-47B6-9EE9-89DA27F6829D}"/>
    <cellStyle name="60% - Énfasis4 3 2 2 2 6" xfId="37508" xr:uid="{6305A99D-2218-4031-8744-92CA8E6BA5AC}"/>
    <cellStyle name="60% - Énfasis4 3 2 2 3" xfId="7408" xr:uid="{A42756CE-829B-4340-BB4E-1570170A5F9B}"/>
    <cellStyle name="60% - Énfasis4 3 2 2 3 2" xfId="21810" xr:uid="{D2D4E405-1068-4E3D-9A52-F74719A90B9C}"/>
    <cellStyle name="60% - Énfasis4 3 2 2 3 3" xfId="27642" xr:uid="{4512038A-0941-4488-A787-C17710042533}"/>
    <cellStyle name="60% - Énfasis4 3 2 2 3 4" xfId="33524" xr:uid="{CFAEFB5A-7919-4FF1-8514-BCEE1E7B97B9}"/>
    <cellStyle name="60% - Énfasis4 3 2 2 3 5" xfId="39388" xr:uid="{FA479C08-8749-45C1-8A07-5E30F344B7ED}"/>
    <cellStyle name="60% - Énfasis4 3 2 2 4" xfId="19041" xr:uid="{D5DA023C-79C1-4B22-8428-EE32ED5C7E94}"/>
    <cellStyle name="60% - Énfasis4 3 2 2 5" xfId="24793" xr:uid="{2B4DB9B1-4E41-4835-AEDE-9ED5D56687C6}"/>
    <cellStyle name="60% - Énfasis4 3 2 2 6" xfId="30670" xr:uid="{C4F44F5E-70CC-423F-A1FA-388665F56672}"/>
    <cellStyle name="60% - Énfasis4 3 2 2 7" xfId="36551" xr:uid="{245E48BC-9DB5-40D6-BF63-F8A5EFEC3945}"/>
    <cellStyle name="60% - Énfasis4 3 2 3" xfId="5028" xr:uid="{8383963C-B1CC-476B-8417-68F30E4F20DC}"/>
    <cellStyle name="60% - Énfasis4 3 2 3 2" xfId="7895" xr:uid="{F8DA0C3A-DCB4-43F6-9104-86B94F4C7D88}"/>
    <cellStyle name="60% - Énfasis4 3 2 3 2 2" xfId="22280" xr:uid="{8BA1DC49-579D-436F-B9E0-68366D9DE33E}"/>
    <cellStyle name="60% - Énfasis4 3 2 3 2 3" xfId="28128" xr:uid="{E31C0794-1DA4-4C38-A4A5-C6EE257B3DBF}"/>
    <cellStyle name="60% - Énfasis4 3 2 3 2 4" xfId="34010" xr:uid="{2BBB9E5F-63CB-411F-8DB2-11BFF3807EC9}"/>
    <cellStyle name="60% - Énfasis4 3 2 3 2 5" xfId="39874" xr:uid="{2D0BF443-9323-401C-BE83-17AF8010F449}"/>
    <cellStyle name="60% - Énfasis4 3 2 3 3" xfId="19506" xr:uid="{7A23C223-6D55-439C-B5DB-028751F1B60F}"/>
    <cellStyle name="60% - Énfasis4 3 2 3 4" xfId="25279" xr:uid="{58521E2F-ACED-43C9-BB48-9FAFC7A3F099}"/>
    <cellStyle name="60% - Énfasis4 3 2 3 5" xfId="31153" xr:uid="{4CB20570-FB2A-4188-BA51-9FD3D663400F}"/>
    <cellStyle name="60% - Énfasis4 3 2 3 6" xfId="37031" xr:uid="{78C1DDC8-C9BB-429C-AC53-E447D4EC3585}"/>
    <cellStyle name="60% - Énfasis4 3 2 4" xfId="6923" xr:uid="{450B5F06-1E9E-44D5-91E3-7A7A88A0746B}"/>
    <cellStyle name="60% - Énfasis4 3 2 4 2" xfId="21343" xr:uid="{FF8205CC-DCA5-4408-AF93-EBC04CA3520D}"/>
    <cellStyle name="60% - Énfasis4 3 2 4 3" xfId="27161" xr:uid="{0F97D68A-42CF-4C1F-AB91-1F3D0A3C0BF5}"/>
    <cellStyle name="60% - Énfasis4 3 2 4 4" xfId="33039" xr:uid="{BD6B68C6-8BB0-4808-ADE5-DBE7F4FAD19E}"/>
    <cellStyle name="60% - Énfasis4 3 2 4 5" xfId="38903" xr:uid="{33BDFC9B-3034-4C5E-A431-9C5EE6C06A48}"/>
    <cellStyle name="60% - Énfasis4 3 2 5" xfId="18598" xr:uid="{A872F75D-0B70-432E-B354-52B82E4636FF}"/>
    <cellStyle name="60% - Énfasis4 3 2 6" xfId="24310" xr:uid="{0B5080FA-E498-4A24-8A99-D936CACAAC7D}"/>
    <cellStyle name="60% - Énfasis4 3 2 7" xfId="30188" xr:uid="{430D13C2-FF0D-4519-861F-71ACEA011F8C}"/>
    <cellStyle name="60% - Énfasis4 3 2 8" xfId="36067" xr:uid="{C7B06768-7805-4BF4-8562-A8918A813895}"/>
    <cellStyle name="60% - Énfasis4 3 3" xfId="4351" xr:uid="{46BC5630-2A9A-4A22-B3B4-C2886B49A4E9}"/>
    <cellStyle name="60% - Énfasis4 3 3 2" xfId="5317" xr:uid="{36A4C170-4633-4FE9-89F2-F611A7A30567}"/>
    <cellStyle name="60% - Énfasis4 3 3 2 2" xfId="8184" xr:uid="{4E63133E-FF91-48AF-A7F8-DD517969D169}"/>
    <cellStyle name="60% - Énfasis4 3 3 2 2 2" xfId="22560" xr:uid="{084F698C-0349-4433-90CA-89D4C41A4381}"/>
    <cellStyle name="60% - Énfasis4 3 3 2 2 3" xfId="28417" xr:uid="{581DDF9B-2598-47E5-939E-235849E78753}"/>
    <cellStyle name="60% - Énfasis4 3 3 2 2 4" xfId="34299" xr:uid="{B37744BC-F601-4CD0-9279-7882FD3BBF62}"/>
    <cellStyle name="60% - Énfasis4 3 3 2 2 5" xfId="40163" xr:uid="{A35AC1A9-C8CB-4687-A823-DCCC140EBA56}"/>
    <cellStyle name="60% - Énfasis4 3 3 2 3" xfId="19785" xr:uid="{744C9B13-D1FC-4F0A-A0CF-9EF96395941F}"/>
    <cellStyle name="60% - Énfasis4 3 3 2 4" xfId="25568" xr:uid="{9E6037CF-A8C5-4536-A993-B960B2F6A702}"/>
    <cellStyle name="60% - Énfasis4 3 3 2 5" xfId="31442" xr:uid="{C6E1304D-D984-4946-A23D-CBEB7F1D46F1}"/>
    <cellStyle name="60% - Énfasis4 3 3 2 6" xfId="37313" xr:uid="{315C995C-7842-47C0-AB48-CBA2D7FC9433}"/>
    <cellStyle name="60% - Énfasis4 3 3 3" xfId="7212" xr:uid="{B3315DC1-DB13-4137-BE39-512862BE4D4A}"/>
    <cellStyle name="60% - Énfasis4 3 3 3 2" xfId="21619" xr:uid="{90EE3F3F-AB94-4740-9DE3-9AD653A9C105}"/>
    <cellStyle name="60% - Énfasis4 3 3 3 3" xfId="27446" xr:uid="{5DF7B565-9BC5-42FA-9B37-D0E7988D1E81}"/>
    <cellStyle name="60% - Énfasis4 3 3 3 4" xfId="33328" xr:uid="{3BFA6024-2959-4194-A9A1-69B4B4E03CEC}"/>
    <cellStyle name="60% - Énfasis4 3 3 3 5" xfId="39192" xr:uid="{1BE67AF8-AB25-4EC6-9EB4-D43FC418AE64}"/>
    <cellStyle name="60% - Énfasis4 3 3 4" xfId="18856" xr:uid="{21C56BFE-C924-43D7-9CD6-E5961D28188B}"/>
    <cellStyle name="60% - Énfasis4 3 3 5" xfId="24597" xr:uid="{8F832A9D-4B63-4AD9-9034-8BE9B49E274A}"/>
    <cellStyle name="60% - Énfasis4 3 3 6" xfId="30476" xr:uid="{02452E44-F5DE-4AEF-B0D9-81CB52F3A1FA}"/>
    <cellStyle name="60% - Énfasis4 3 3 7" xfId="36356" xr:uid="{FC93770E-1805-4024-8F9B-ACE0826A1AF0}"/>
    <cellStyle name="60% - Énfasis4 3 4" xfId="4833" xr:uid="{5EF51AE0-418C-4779-882E-21468660399A}"/>
    <cellStyle name="60% - Énfasis4 3 4 2" xfId="7699" xr:uid="{7ADA9C85-8F5C-4D0D-BF35-5C6FE209CC80}"/>
    <cellStyle name="60% - Énfasis4 3 4 2 2" xfId="22089" xr:uid="{17BCE61F-F426-4887-8E7C-ACC9352F2571}"/>
    <cellStyle name="60% - Énfasis4 3 4 2 3" xfId="27932" xr:uid="{FF62AB6A-B4E2-4F48-9804-5807E663ABE1}"/>
    <cellStyle name="60% - Énfasis4 3 4 2 4" xfId="33814" xr:uid="{AD4175AE-AD87-4257-919D-9A2C4C3923CD}"/>
    <cellStyle name="60% - Énfasis4 3 4 2 5" xfId="39678" xr:uid="{AF55A009-A685-4C03-BE5E-6D886B1F63A5}"/>
    <cellStyle name="60% - Énfasis4 3 4 3" xfId="19315" xr:uid="{5886E538-EEA1-4557-8FD7-192CEEBC42B3}"/>
    <cellStyle name="60% - Énfasis4 3 4 4" xfId="25083" xr:uid="{301A4A38-6F4C-48C5-BCF6-9AF6A73D60C1}"/>
    <cellStyle name="60% - Énfasis4 3 4 5" xfId="30957" xr:uid="{489494AF-CC94-442E-8A4E-16CBC5F5E180}"/>
    <cellStyle name="60% - Énfasis4 3 4 6" xfId="36836" xr:uid="{D67884AC-E55D-4384-B8EF-A009ECA7B048}"/>
    <cellStyle name="60% - Énfasis4 3 5" xfId="5842" xr:uid="{A50BBFEE-988B-4ADF-A509-D4EFFF7000D5}"/>
    <cellStyle name="60% - Énfasis4 3 5 2" xfId="8711" xr:uid="{B575F94D-59A3-4F9F-B8F2-59707556154E}"/>
    <cellStyle name="60% - Énfasis4 3 5 2 2" xfId="23079" xr:uid="{091BECD0-49F7-43D3-A64F-057E81235C05}"/>
    <cellStyle name="60% - Énfasis4 3 5 2 3" xfId="28943" xr:uid="{7D336179-BA25-415A-B8C2-04D08CBD716E}"/>
    <cellStyle name="60% - Énfasis4 3 5 2 4" xfId="34825" xr:uid="{A2C8D6EA-C230-4A47-88DB-C5A714038D5C}"/>
    <cellStyle name="60% - Énfasis4 3 5 2 5" xfId="40689" xr:uid="{154D6EFA-3710-4679-B2E9-92472067EDDD}"/>
    <cellStyle name="60% - Énfasis4 3 5 3" xfId="20294" xr:uid="{1B98E116-CA82-49E3-B11E-431183D8E1F5}"/>
    <cellStyle name="60% - Énfasis4 3 5 4" xfId="26093" xr:uid="{F6E3D26D-C56B-4916-B808-D51096B0070F}"/>
    <cellStyle name="60% - Énfasis4 3 5 5" xfId="31968" xr:uid="{E2165792-88BE-4DE3-A0C6-9BB0776299AB}"/>
    <cellStyle name="60% - Énfasis4 3 5 6" xfId="37834" xr:uid="{810D5BA8-4693-4551-AAB7-693434FBFD1E}"/>
    <cellStyle name="60% - Énfasis4 3 6" xfId="6447" xr:uid="{3AC8B87B-505E-4E5D-9967-D9CBFC32C902}"/>
    <cellStyle name="60% - Énfasis4 3 6 2" xfId="9307" xr:uid="{F2D37888-D6C1-490F-B466-8BCB7B390C28}"/>
    <cellStyle name="60% - Énfasis4 3 6 2 2" xfId="23670" xr:uid="{1B33E53C-CE3F-4D6B-885D-5584BA9CF40C}"/>
    <cellStyle name="60% - Énfasis4 3 6 2 3" xfId="29538" xr:uid="{202B36AA-9A44-4BE1-96E7-36C485A0344D}"/>
    <cellStyle name="60% - Énfasis4 3 6 2 4" xfId="35420" xr:uid="{2E87EBF6-CF76-43D9-9A44-1ED17A8B2832}"/>
    <cellStyle name="60% - Énfasis4 3 6 2 5" xfId="41279" xr:uid="{C0E1D247-ABCC-4832-B6F2-A1CF09D70157}"/>
    <cellStyle name="60% - Énfasis4 3 6 3" xfId="20886" xr:uid="{506F674D-FB43-49B1-96F7-95118BC088A3}"/>
    <cellStyle name="60% - Énfasis4 3 6 4" xfId="26696" xr:uid="{0BAFF3ED-B95A-43CA-BEC3-92238FC88E0D}"/>
    <cellStyle name="60% - Énfasis4 3 6 5" xfId="32571" xr:uid="{A098C98F-FB4A-41A9-B1B3-4E547B39D8A3}"/>
    <cellStyle name="60% - Énfasis4 3 6 6" xfId="38435" xr:uid="{B988F1DE-0AE7-4974-A817-D11D74C12EDF}"/>
    <cellStyle name="60% - Énfasis4 3 7" xfId="6728" xr:uid="{E9CCC65B-B3B2-4D70-9392-B89BC6A0A721}"/>
    <cellStyle name="60% - Énfasis4 3 7 2" xfId="21152" xr:uid="{999103FD-EE46-477C-95E2-16FF4506D133}"/>
    <cellStyle name="60% - Énfasis4 3 7 3" xfId="26967" xr:uid="{B748A2D5-1483-4D4E-BE4B-06A13838E3A9}"/>
    <cellStyle name="60% - Énfasis4 3 7 4" xfId="32843" xr:uid="{83185FAF-FC16-4E84-94D0-B69C15ACA58A}"/>
    <cellStyle name="60% - Énfasis4 3 7 5" xfId="38707" xr:uid="{149B6D69-2E77-4D70-A4F9-6176CBE3E56E}"/>
    <cellStyle name="60% - Énfasis4 3 8" xfId="18390" xr:uid="{A3EDA49C-5B9B-432D-A1B1-300B423DB99C}"/>
    <cellStyle name="60% - Énfasis4 3 9" xfId="24099" xr:uid="{FEC7819C-8ADF-492C-B676-17AC65558AD2}"/>
    <cellStyle name="60% - Énfasis4 30" xfId="6265" xr:uid="{D6CD54D1-8DE7-44A1-97C7-251521585479}"/>
    <cellStyle name="60% - Énfasis4 30 2" xfId="9134" xr:uid="{300A2D5B-FA90-4D58-945B-69D06DEDA60F}"/>
    <cellStyle name="60% - Énfasis4 30 2 2" xfId="23498" xr:uid="{47216D6D-65D3-4AE0-A803-F27C4E0CEED6}"/>
    <cellStyle name="60% - Énfasis4 30 2 3" xfId="29365" xr:uid="{D6D74460-E404-4449-B265-3917C7A5E461}"/>
    <cellStyle name="60% - Énfasis4 30 2 4" xfId="35247" xr:uid="{77EDD745-C6FF-4DB8-A2EF-D18825F13294}"/>
    <cellStyle name="60% - Énfasis4 30 2 5" xfId="41106" xr:uid="{26290FA9-9A37-43C5-990E-E6D6A2107AE8}"/>
    <cellStyle name="60% - Énfasis4 30 3" xfId="20706" xr:uid="{8E7A72FC-630E-496A-A1B5-CC3711B42BE8}"/>
    <cellStyle name="60% - Énfasis4 30 4" xfId="26515" xr:uid="{D2CF91A3-1D68-4F50-BC33-2FFC1BD29FB7}"/>
    <cellStyle name="60% - Énfasis4 30 5" xfId="32390" xr:uid="{1AD53A97-CD3F-4BBA-AF94-0BEFE444C9D7}"/>
    <cellStyle name="60% - Énfasis4 30 6" xfId="38255" xr:uid="{9F8A961C-CCE5-4A30-81D6-E0EDE365638D}"/>
    <cellStyle name="60% - Énfasis4 31" xfId="6285" xr:uid="{5D56C318-B04D-41FF-9916-E2E015F4F561}"/>
    <cellStyle name="60% - Énfasis4 31 2" xfId="9154" xr:uid="{86CF1BC1-5AA5-4691-8A01-195A1654227A}"/>
    <cellStyle name="60% - Énfasis4 31 2 2" xfId="23518" xr:uid="{8E95CBF7-4CB8-40F9-BCA9-04094A2A4744}"/>
    <cellStyle name="60% - Énfasis4 31 2 3" xfId="29385" xr:uid="{DBF7B72A-4059-4312-824C-DC35B97C0373}"/>
    <cellStyle name="60% - Énfasis4 31 2 4" xfId="35267" xr:uid="{5E6C3F39-B131-4DD8-B4A1-DEF4B01BAF14}"/>
    <cellStyle name="60% - Énfasis4 31 2 5" xfId="41126" xr:uid="{79DACC98-B6D5-441E-8A1D-B88BD1A12056}"/>
    <cellStyle name="60% - Énfasis4 31 3" xfId="20726" xr:uid="{E448632F-1911-4ABE-ABA5-32F7A17983BD}"/>
    <cellStyle name="60% - Énfasis4 31 4" xfId="26535" xr:uid="{9D28F229-BD65-4260-B348-FB5812F3604B}"/>
    <cellStyle name="60% - Énfasis4 31 5" xfId="32410" xr:uid="{B26CE841-2B16-461A-9611-D04B937E0324}"/>
    <cellStyle name="60% - Énfasis4 31 6" xfId="38275" xr:uid="{32A381E0-C4B5-456C-9569-4F7E29B3FB06}"/>
    <cellStyle name="60% - Énfasis4 32" xfId="6309" xr:uid="{830FC668-0CC1-4B53-8820-BE0C92C2A29A}"/>
    <cellStyle name="60% - Énfasis4 32 2" xfId="9177" xr:uid="{50283986-9AE2-4B2E-B015-98EAF01854C2}"/>
    <cellStyle name="60% - Énfasis4 32 2 2" xfId="23541" xr:uid="{3995C8DD-6A62-4A81-AA38-AD9C69BF438E}"/>
    <cellStyle name="60% - Énfasis4 32 2 3" xfId="29408" xr:uid="{34F65513-46E2-4F17-A105-3A206F2C424B}"/>
    <cellStyle name="60% - Énfasis4 32 2 4" xfId="35290" xr:uid="{4D051F96-3195-4A06-8670-E97548D68AD5}"/>
    <cellStyle name="60% - Énfasis4 32 2 5" xfId="41149" xr:uid="{C8511308-8937-4C91-AAB5-08BDD1F1D15C}"/>
    <cellStyle name="60% - Énfasis4 32 3" xfId="20750" xr:uid="{50491997-4FFC-4090-B54F-5FD23720FFEA}"/>
    <cellStyle name="60% - Énfasis4 32 4" xfId="26559" xr:uid="{6DB7CC6C-16FF-45B8-8A3C-2B3D36510C17}"/>
    <cellStyle name="60% - Énfasis4 32 5" xfId="32434" xr:uid="{7A2D85C2-BEBE-47BC-95DC-0C75587B6F57}"/>
    <cellStyle name="60% - Énfasis4 32 6" xfId="38299" xr:uid="{F9D79911-9F2F-4924-A0C3-6BF6711E7529}"/>
    <cellStyle name="60% - Énfasis4 33" xfId="6341" xr:uid="{0B6AA6C7-CA9D-4518-A3FB-ABEAB3E72E94}"/>
    <cellStyle name="60% - Énfasis4 33 2" xfId="9206" xr:uid="{B207EE6C-EE00-4DF2-A1FB-CEB67BC299B7}"/>
    <cellStyle name="60% - Énfasis4 33 2 2" xfId="23569" xr:uid="{3BFC86E4-37A6-49CF-A38D-C53D61853786}"/>
    <cellStyle name="60% - Énfasis4 33 2 3" xfId="29437" xr:uid="{24BA924A-9F88-43DA-BE80-CCE3CF15D9F4}"/>
    <cellStyle name="60% - Énfasis4 33 2 4" xfId="35319" xr:uid="{EBBDEC6A-FBC6-4B56-8022-7E8E7C37278E}"/>
    <cellStyle name="60% - Énfasis4 33 2 5" xfId="41178" xr:uid="{FDF904EB-FC30-4B75-8736-C3DC8979FCAC}"/>
    <cellStyle name="60% - Énfasis4 33 3" xfId="20782" xr:uid="{D8A5A95B-AB7A-43C7-A963-5DC6335F950F}"/>
    <cellStyle name="60% - Énfasis4 33 4" xfId="26591" xr:uid="{218F4ACD-0393-4185-B032-81D4634EED9C}"/>
    <cellStyle name="60% - Énfasis4 33 5" xfId="32466" xr:uid="{16B37360-038C-4989-B928-193A790D2FFA}"/>
    <cellStyle name="60% - Énfasis4 33 6" xfId="38330" xr:uid="{C328769A-00E5-468D-9AEF-089D13AD4DF3}"/>
    <cellStyle name="60% - Énfasis4 34" xfId="6361" xr:uid="{14EF2B91-07A4-4096-86CB-D50225AD2B02}"/>
    <cellStyle name="60% - Énfasis4 34 2" xfId="9226" xr:uid="{9D6188CA-B3E7-4D20-8330-546F26E0CC16}"/>
    <cellStyle name="60% - Énfasis4 34 2 2" xfId="23589" xr:uid="{B4E0D975-8E02-411C-A703-493C7080030F}"/>
    <cellStyle name="60% - Énfasis4 34 2 3" xfId="29457" xr:uid="{5E41032D-2C0D-4213-A124-CE543F3ADB88}"/>
    <cellStyle name="60% - Énfasis4 34 2 4" xfId="35339" xr:uid="{815D8DAC-6444-4928-8E8A-4A7164BC5704}"/>
    <cellStyle name="60% - Énfasis4 34 2 5" xfId="41198" xr:uid="{140059DD-5642-4D20-8971-8CB5049C74AB}"/>
    <cellStyle name="60% - Énfasis4 34 3" xfId="20802" xr:uid="{592B1D00-09E5-40F2-861F-FDEEBB34102A}"/>
    <cellStyle name="60% - Énfasis4 34 4" xfId="26611" xr:uid="{A31EFF75-75F7-4B40-87B4-8C8D621C0F3F}"/>
    <cellStyle name="60% - Énfasis4 34 5" xfId="32486" xr:uid="{747346D7-C070-4B18-A949-5E9F6DE98702}"/>
    <cellStyle name="60% - Énfasis4 34 6" xfId="38350" xr:uid="{F2CD172C-1B84-4B71-BE62-AD64376C1E7B}"/>
    <cellStyle name="60% - Énfasis4 35" xfId="6381" xr:uid="{791DB03A-EE3F-47C1-A5A7-C95CEA53BD7F}"/>
    <cellStyle name="60% - Énfasis4 35 2" xfId="9246" xr:uid="{1B0B3450-85E2-430B-925F-7BD754D65472}"/>
    <cellStyle name="60% - Énfasis4 35 2 2" xfId="23609" xr:uid="{567723AF-4FD6-498F-BD11-457101C6BBEC}"/>
    <cellStyle name="60% - Énfasis4 35 2 3" xfId="29477" xr:uid="{CCBF2D40-415C-48F7-BC56-28DA55792FB6}"/>
    <cellStyle name="60% - Énfasis4 35 2 4" xfId="35359" xr:uid="{F3BAF5D7-0F60-4930-AAFB-C3AA3622D2BF}"/>
    <cellStyle name="60% - Énfasis4 35 2 5" xfId="41218" xr:uid="{34728672-3248-4CD0-B249-D6B500649159}"/>
    <cellStyle name="60% - Énfasis4 35 3" xfId="20822" xr:uid="{EC9BAC03-186D-4CAD-92E9-C684E2A8DE94}"/>
    <cellStyle name="60% - Énfasis4 35 4" xfId="26631" xr:uid="{A243F755-73BC-44E5-AF47-34FFDD39B3EC}"/>
    <cellStyle name="60% - Énfasis4 35 5" xfId="32506" xr:uid="{FBD56220-B10A-480F-BBEF-09521673A845}"/>
    <cellStyle name="60% - Énfasis4 35 6" xfId="38370" xr:uid="{629A82B2-D3B0-4C19-A049-0B171E7BDB24}"/>
    <cellStyle name="60% - Énfasis4 36" xfId="6402" xr:uid="{77FA4AAB-A3C6-41E7-AD2F-F35FFD02B96B}"/>
    <cellStyle name="60% - Énfasis4 36 2" xfId="9267" xr:uid="{75A8F5AC-4F42-42EB-A613-743AE9F33C58}"/>
    <cellStyle name="60% - Énfasis4 36 2 2" xfId="23630" xr:uid="{4826DC93-4894-4989-8EB3-E278BF39A789}"/>
    <cellStyle name="60% - Énfasis4 36 2 3" xfId="29498" xr:uid="{7EFA6648-637D-43FE-A66D-2FEFB676BBF3}"/>
    <cellStyle name="60% - Énfasis4 36 2 4" xfId="35380" xr:uid="{40BC3111-F571-448D-9E24-E3191C63DE5D}"/>
    <cellStyle name="60% - Énfasis4 36 2 5" xfId="41239" xr:uid="{6C7CC380-25DF-4A2D-8319-0426500B0EBF}"/>
    <cellStyle name="60% - Énfasis4 36 3" xfId="20843" xr:uid="{44BB3CE7-8E06-4480-8554-DDB250A092F4}"/>
    <cellStyle name="60% - Énfasis4 36 4" xfId="26652" xr:uid="{390E1301-EC74-4B44-853E-DD3DABD4DE43}"/>
    <cellStyle name="60% - Énfasis4 36 5" xfId="32527" xr:uid="{698BEC92-2DC7-41AE-B33A-86A0B46964E0}"/>
    <cellStyle name="60% - Énfasis4 36 6" xfId="38391" xr:uid="{EA1F8678-CBA8-43BA-AC81-73AB23359973}"/>
    <cellStyle name="60% - Énfasis4 37" xfId="6431" xr:uid="{E59ADB74-F6F4-4B73-9E49-CBB8C5BDE127}"/>
    <cellStyle name="60% - Énfasis4 37 2" xfId="9293" xr:uid="{AD78780B-B8B1-485E-B00E-67AB49863A16}"/>
    <cellStyle name="60% - Énfasis4 37 2 2" xfId="23656" xr:uid="{BE3262E7-C0D2-4D0B-A557-CD49E3DC9456}"/>
    <cellStyle name="60% - Énfasis4 37 2 3" xfId="29524" xr:uid="{B3CCCFE2-98C2-4C5E-9D0B-103E756B24A8}"/>
    <cellStyle name="60% - Énfasis4 37 2 4" xfId="35406" xr:uid="{8E43B686-12A7-41A8-87C6-1843167F68C9}"/>
    <cellStyle name="60% - Énfasis4 37 2 5" xfId="41265" xr:uid="{5F3297D7-F701-4E2E-B629-BF7FA261D961}"/>
    <cellStyle name="60% - Énfasis4 37 3" xfId="20872" xr:uid="{37BDA8CC-0FC9-418B-90D7-F473DB2C6261}"/>
    <cellStyle name="60% - Énfasis4 37 4" xfId="26681" xr:uid="{F8F574DC-1ED0-47EC-9B7C-3E2099753423}"/>
    <cellStyle name="60% - Énfasis4 37 5" xfId="32556" xr:uid="{73A111DE-AB3B-4B45-8E00-0441BBD61278}"/>
    <cellStyle name="60% - Énfasis4 37 6" xfId="38420" xr:uid="{F25A02A1-99CA-4EC1-81E2-EA7305BDC1A0}"/>
    <cellStyle name="60% - Énfasis4 38" xfId="6465" xr:uid="{9D882624-3470-4ECD-8BA1-ABB7DB7A55DE}"/>
    <cellStyle name="60% - Énfasis4 38 2" xfId="9325" xr:uid="{9906ED14-0180-44F5-A1AB-E0D34D242C3F}"/>
    <cellStyle name="60% - Énfasis4 38 2 2" xfId="23688" xr:uid="{418DE9F5-0027-4AFE-8BA5-B0E92D135FB7}"/>
    <cellStyle name="60% - Énfasis4 38 2 3" xfId="29556" xr:uid="{4B6A5E8C-3D30-4DAD-BC40-660B5028CFB5}"/>
    <cellStyle name="60% - Énfasis4 38 2 4" xfId="35438" xr:uid="{E8BA0E18-2FDB-4270-AC4B-A657FF26F1EB}"/>
    <cellStyle name="60% - Énfasis4 38 2 5" xfId="41297" xr:uid="{34E2EE63-E3DF-4337-BAA3-56FDBC1C0FA5}"/>
    <cellStyle name="60% - Énfasis4 38 3" xfId="20903" xr:uid="{A965D1B0-B01E-4C68-9096-53304A331CF7}"/>
    <cellStyle name="60% - Énfasis4 38 4" xfId="26714" xr:uid="{D3020DE1-1D26-4372-ACC6-F52B8C2496A9}"/>
    <cellStyle name="60% - Énfasis4 38 5" xfId="32589" xr:uid="{214D7B49-2CAB-4620-9FEE-876F01D3F80E}"/>
    <cellStyle name="60% - Énfasis4 38 6" xfId="38453" xr:uid="{D1A9129C-41D8-48E2-A57A-B596A09D9FC1}"/>
    <cellStyle name="60% - Énfasis4 39" xfId="6485" xr:uid="{DECB40AF-8032-41B6-A33D-B367B294E4FE}"/>
    <cellStyle name="60% - Énfasis4 39 2" xfId="9345" xr:uid="{3ABFBE88-F4C1-4C42-A02B-AF6870E39B7A}"/>
    <cellStyle name="60% - Énfasis4 39 2 2" xfId="23708" xr:uid="{F9C97493-1D05-4EA6-882A-EF82799D64B8}"/>
    <cellStyle name="60% - Énfasis4 39 2 3" xfId="29576" xr:uid="{F2B0C67A-42F9-4EF0-BD00-E69D558796AE}"/>
    <cellStyle name="60% - Énfasis4 39 2 4" xfId="35458" xr:uid="{C199A3BC-277A-4DD4-8EF6-2F0B6628D18C}"/>
    <cellStyle name="60% - Énfasis4 39 2 5" xfId="41317" xr:uid="{623C154A-8C40-4ACE-8F77-6A5EF2E58E66}"/>
    <cellStyle name="60% - Énfasis4 39 3" xfId="20923" xr:uid="{7045DCD9-D3E6-4731-888D-1C65A7CD4025}"/>
    <cellStyle name="60% - Énfasis4 39 4" xfId="26734" xr:uid="{4E7F200F-426B-40E8-B14D-ADDBD151E570}"/>
    <cellStyle name="60% - Énfasis4 39 5" xfId="32609" xr:uid="{1E0334E1-36A5-4EC5-A705-439C3A2425F4}"/>
    <cellStyle name="60% - Énfasis4 39 6" xfId="38473" xr:uid="{14894ADD-14F0-4EFA-9EC3-77949E6CD06F}"/>
    <cellStyle name="60% - Énfasis4 4" xfId="3895" xr:uid="{B2E22FC6-0E18-4A90-893F-C9E952D165A5}"/>
    <cellStyle name="60% - Énfasis4 4 10" xfId="35887" xr:uid="{715F1FCE-5040-46EE-BAD9-6084D41C4A09}"/>
    <cellStyle name="60% - Énfasis4 4 2" xfId="4092" xr:uid="{DB406449-7607-4F50-87DF-283DCCE27530}"/>
    <cellStyle name="60% - Énfasis4 4 2 2" xfId="4570" xr:uid="{48125F24-1749-4509-BC41-3EF9F81BE6D9}"/>
    <cellStyle name="60% - Énfasis4 4 2 2 2" xfId="5538" xr:uid="{196972EC-7CB1-48AD-8D1D-2B342F07C3C9}"/>
    <cellStyle name="60% - Énfasis4 4 2 2 2 2" xfId="8405" xr:uid="{44692925-06DF-4721-9104-9AB639183541}"/>
    <cellStyle name="60% - Énfasis4 4 2 2 2 2 2" xfId="22780" xr:uid="{937B8A00-BFA8-4493-9D9D-79BD2DDD5E5F}"/>
    <cellStyle name="60% - Énfasis4 4 2 2 2 2 3" xfId="28638" xr:uid="{91C23BA2-89BB-472A-9DC2-3D1AB6C4980F}"/>
    <cellStyle name="60% - Énfasis4 4 2 2 2 2 4" xfId="34520" xr:uid="{180762AA-F1F7-4522-8F85-8E5E9B63585B}"/>
    <cellStyle name="60% - Énfasis4 4 2 2 2 2 5" xfId="40384" xr:uid="{FC354E4D-7456-4C0B-9ACD-683212D96968}"/>
    <cellStyle name="60% - Énfasis4 4 2 2 2 3" xfId="19998" xr:uid="{F6E73B21-2D53-4CE2-9585-B71594552A85}"/>
    <cellStyle name="60% - Énfasis4 4 2 2 2 4" xfId="25789" xr:uid="{F4DC1167-9120-4AF4-99C1-8040D66B2E59}"/>
    <cellStyle name="60% - Énfasis4 4 2 2 2 5" xfId="31663" xr:uid="{CD3B41AF-648D-4018-9BA5-D723F97BF6E3}"/>
    <cellStyle name="60% - Énfasis4 4 2 2 2 6" xfId="37533" xr:uid="{1AC7D09E-A0DE-4D9E-B828-1AB9DA0D0391}"/>
    <cellStyle name="60% - Énfasis4 4 2 2 3" xfId="7433" xr:uid="{5F2A1859-A3AB-4447-95A9-A232DF28F73B}"/>
    <cellStyle name="60% - Énfasis4 4 2 2 3 2" xfId="21835" xr:uid="{E18BE1BB-78BB-46B1-B64E-E77B7658CD3E}"/>
    <cellStyle name="60% - Énfasis4 4 2 2 3 3" xfId="27667" xr:uid="{E9234B8A-D7CC-411E-891E-898F4389107C}"/>
    <cellStyle name="60% - Énfasis4 4 2 2 3 4" xfId="33549" xr:uid="{144C3360-82CC-442F-A6A7-23BC57D297D4}"/>
    <cellStyle name="60% - Énfasis4 4 2 2 3 5" xfId="39413" xr:uid="{782A8E26-5C2A-4143-89F8-6A8652609B74}"/>
    <cellStyle name="60% - Énfasis4 4 2 2 4" xfId="19066" xr:uid="{5FF70430-A86A-42A2-84BD-719E1B1EBF24}"/>
    <cellStyle name="60% - Énfasis4 4 2 2 5" xfId="24818" xr:uid="{902AE8DC-EE8F-4E64-A8AF-EED2D05A1B75}"/>
    <cellStyle name="60% - Énfasis4 4 2 2 6" xfId="30695" xr:uid="{ED97BE67-9B50-46AA-9E4C-ED4EF0158ED7}"/>
    <cellStyle name="60% - Énfasis4 4 2 2 7" xfId="36576" xr:uid="{96B574DD-DE49-42A2-9DC6-0350BE89AB56}"/>
    <cellStyle name="60% - Énfasis4 4 2 3" xfId="5053" xr:uid="{65D0E344-D468-4814-8B82-AF10F267A13E}"/>
    <cellStyle name="60% - Énfasis4 4 2 3 2" xfId="7920" xr:uid="{1C223DF1-601C-4EAD-991C-868BE17166EA}"/>
    <cellStyle name="60% - Énfasis4 4 2 3 2 2" xfId="22305" xr:uid="{6E05545E-252C-49C1-82E2-AEAC5283C131}"/>
    <cellStyle name="60% - Énfasis4 4 2 3 2 3" xfId="28153" xr:uid="{92CD35CF-946F-426A-BF47-2F4B7A512B57}"/>
    <cellStyle name="60% - Énfasis4 4 2 3 2 4" xfId="34035" xr:uid="{573B1085-B048-4BDB-B674-6C1BE4719458}"/>
    <cellStyle name="60% - Énfasis4 4 2 3 2 5" xfId="39899" xr:uid="{1533B637-BBFF-4D8C-8FAB-24994CA75C4C}"/>
    <cellStyle name="60% - Énfasis4 4 2 3 3" xfId="19530" xr:uid="{F7DDC27F-9952-4CE4-853B-2D39373D5593}"/>
    <cellStyle name="60% - Énfasis4 4 2 3 4" xfId="25304" xr:uid="{A90B8DD1-0594-4928-A3B2-B7DAFD3442A5}"/>
    <cellStyle name="60% - Énfasis4 4 2 3 5" xfId="31178" xr:uid="{AC08671E-4F31-4F47-8890-FA35E50F0F7D}"/>
    <cellStyle name="60% - Énfasis4 4 2 3 6" xfId="37056" xr:uid="{F2C0567A-A544-4E7F-9683-29CA98E89F44}"/>
    <cellStyle name="60% - Énfasis4 4 2 4" xfId="6948" xr:uid="{A25FC3F1-A1BF-4BA8-864F-9DC7165B53D2}"/>
    <cellStyle name="60% - Énfasis4 4 2 4 2" xfId="21368" xr:uid="{E27B529E-C8D5-4588-8B43-71D81B6195D1}"/>
    <cellStyle name="60% - Énfasis4 4 2 4 3" xfId="27186" xr:uid="{B95A9799-97BD-40E4-9D5A-DE4642BCB5F6}"/>
    <cellStyle name="60% - Énfasis4 4 2 4 4" xfId="33064" xr:uid="{FC1A5AB2-9A78-4693-B3B5-45657A0E4569}"/>
    <cellStyle name="60% - Énfasis4 4 2 4 5" xfId="38928" xr:uid="{4AE12368-D23C-4600-8310-B2BCCA5F726C}"/>
    <cellStyle name="60% - Énfasis4 4 2 5" xfId="18622" xr:uid="{3D45A952-0AB7-4C22-8816-620B30D29190}"/>
    <cellStyle name="60% - Énfasis4 4 2 6" xfId="24335" xr:uid="{2026165B-FCB9-46CE-B6CF-449FFF3EF154}"/>
    <cellStyle name="60% - Énfasis4 4 2 7" xfId="30213" xr:uid="{21E30DF6-1B2F-4C15-9679-1F856CDDE7E8}"/>
    <cellStyle name="60% - Énfasis4 4 2 8" xfId="36092" xr:uid="{5F293887-1366-4559-A049-7CE54AAD1442}"/>
    <cellStyle name="60% - Énfasis4 4 3" xfId="4376" xr:uid="{CB46436D-AC48-4672-A897-5316C5E32439}"/>
    <cellStyle name="60% - Énfasis4 4 3 2" xfId="5342" xr:uid="{A9F3EE1F-CDCD-49DD-94CA-8B3403F8B9F0}"/>
    <cellStyle name="60% - Énfasis4 4 3 2 2" xfId="8209" xr:uid="{0E3FEB24-FD45-416C-ACA4-A04E6F10D959}"/>
    <cellStyle name="60% - Énfasis4 4 3 2 2 2" xfId="22585" xr:uid="{9CD26F13-E2F2-4D8A-BA69-5926E54226A4}"/>
    <cellStyle name="60% - Énfasis4 4 3 2 2 3" xfId="28442" xr:uid="{6E967B4B-E00F-4526-9618-EC6ED2C0B792}"/>
    <cellStyle name="60% - Énfasis4 4 3 2 2 4" xfId="34324" xr:uid="{B2FF7911-FD0E-4C48-8CC2-55531456D2A8}"/>
    <cellStyle name="60% - Énfasis4 4 3 2 2 5" xfId="40188" xr:uid="{8BE62517-AF04-4B83-B782-EF7F8BA60656}"/>
    <cellStyle name="60% - Énfasis4 4 3 2 3" xfId="19809" xr:uid="{012C9472-CFC5-48E2-AEF3-E756DE3D7D0B}"/>
    <cellStyle name="60% - Énfasis4 4 3 2 4" xfId="25593" xr:uid="{AAA3A605-F3A0-4BEA-9A54-6C3D077BE937}"/>
    <cellStyle name="60% - Énfasis4 4 3 2 5" xfId="31467" xr:uid="{D015481C-17E8-40B4-86DC-190C310BE875}"/>
    <cellStyle name="60% - Énfasis4 4 3 2 6" xfId="37338" xr:uid="{BE0160E4-1E05-480A-94C2-F8C79E4C52E9}"/>
    <cellStyle name="60% - Énfasis4 4 3 3" xfId="7237" xr:uid="{09259E3B-342E-412F-A0FC-76737BCE6A78}"/>
    <cellStyle name="60% - Énfasis4 4 3 3 2" xfId="21644" xr:uid="{804ED44A-EE43-467C-8D74-4B565F276509}"/>
    <cellStyle name="60% - Énfasis4 4 3 3 3" xfId="27471" xr:uid="{BFADBBC5-424E-4C4C-A97E-C185DE90FC9C}"/>
    <cellStyle name="60% - Énfasis4 4 3 3 4" xfId="33353" xr:uid="{18EEA548-2C2A-4BEB-94A3-73E93E55F0C6}"/>
    <cellStyle name="60% - Énfasis4 4 3 3 5" xfId="39217" xr:uid="{65E9683D-D138-4292-8A2C-FEB0DB7D9021}"/>
    <cellStyle name="60% - Énfasis4 4 3 4" xfId="18879" xr:uid="{BC0BC980-4850-48DA-9819-7352FD419F30}"/>
    <cellStyle name="60% - Énfasis4 4 3 5" xfId="24622" xr:uid="{AA0AF75B-C26F-4829-923D-947AAC3138CB}"/>
    <cellStyle name="60% - Énfasis4 4 3 6" xfId="30501" xr:uid="{CA27FF8C-921A-4D8A-8457-E0125870EF52}"/>
    <cellStyle name="60% - Énfasis4 4 3 7" xfId="36381" xr:uid="{239E1C36-CBD7-46C4-A274-233FD925CBD7}"/>
    <cellStyle name="60% - Énfasis4 4 4" xfId="4858" xr:uid="{DF74A537-9DF5-4E76-9E3B-92500B1A4A2D}"/>
    <cellStyle name="60% - Énfasis4 4 4 2" xfId="7724" xr:uid="{3AC6F260-5F1C-4EDA-B720-F89D2EF4DF4A}"/>
    <cellStyle name="60% - Énfasis4 4 4 2 2" xfId="22114" xr:uid="{3A60F231-8F2D-46C5-8795-C2036F0576D2}"/>
    <cellStyle name="60% - Énfasis4 4 4 2 3" xfId="27957" xr:uid="{386B8B79-DE54-4EE6-8881-49F28B5876BD}"/>
    <cellStyle name="60% - Énfasis4 4 4 2 4" xfId="33839" xr:uid="{19E89730-4B69-4B3B-953E-0657753250E3}"/>
    <cellStyle name="60% - Énfasis4 4 4 2 5" xfId="39703" xr:uid="{6DD06EC9-161B-4AD0-9899-56BD882207DD}"/>
    <cellStyle name="60% - Énfasis4 4 4 3" xfId="19340" xr:uid="{C56D5470-2467-46FE-A982-136B7F0CB587}"/>
    <cellStyle name="60% - Énfasis4 4 4 4" xfId="25108" xr:uid="{3F653894-6206-411C-9EEA-CAB2C9112B3F}"/>
    <cellStyle name="60% - Énfasis4 4 4 5" xfId="30982" xr:uid="{DE1C4BB6-2F73-4F0C-A88D-CF13E30293E3}"/>
    <cellStyle name="60% - Énfasis4 4 4 6" xfId="36861" xr:uid="{237E46C4-A381-4C31-B67C-A5022FE96BC5}"/>
    <cellStyle name="60% - Énfasis4 4 5" xfId="5867" xr:uid="{D2A1F46B-7931-4331-A555-9AF407AA2523}"/>
    <cellStyle name="60% - Énfasis4 4 5 2" xfId="8736" xr:uid="{7E7AE1E9-A101-4499-A3A7-2C11560B589B}"/>
    <cellStyle name="60% - Énfasis4 4 5 2 2" xfId="23104" xr:uid="{CE4C69D7-131A-477D-A810-F5B82D04EC45}"/>
    <cellStyle name="60% - Énfasis4 4 5 2 3" xfId="28968" xr:uid="{0234CEE9-9CD8-47AA-A7C1-55315F3FEA21}"/>
    <cellStyle name="60% - Énfasis4 4 5 2 4" xfId="34850" xr:uid="{21573E18-1E12-4748-BC27-1295C7A7E09C}"/>
    <cellStyle name="60% - Énfasis4 4 5 2 5" xfId="40714" xr:uid="{AC51CD62-63FF-423B-9D2D-20DC35A3034C}"/>
    <cellStyle name="60% - Énfasis4 4 5 3" xfId="20319" xr:uid="{242DD807-D828-4A89-8C6B-99FDD85B95C2}"/>
    <cellStyle name="60% - Énfasis4 4 5 4" xfId="26118" xr:uid="{63B45904-6FA9-46EE-A0C4-8DA91D64FEA2}"/>
    <cellStyle name="60% - Énfasis4 4 5 5" xfId="31993" xr:uid="{16A59596-44F3-4F97-A200-567C9A4CAAB7}"/>
    <cellStyle name="60% - Énfasis4 4 5 6" xfId="37859" xr:uid="{3C33B47C-FF88-4525-96B5-9E4DC06F23F1}"/>
    <cellStyle name="60% - Énfasis4 4 6" xfId="6753" xr:uid="{E3BB92DD-D76D-4F9D-81CD-3D4E42DC2E4A}"/>
    <cellStyle name="60% - Énfasis4 4 6 2" xfId="21177" xr:uid="{BF7E65A7-3393-417D-B6DF-CB976C2C6410}"/>
    <cellStyle name="60% - Énfasis4 4 6 3" xfId="26992" xr:uid="{D81556A8-E3A9-4FA1-8CDF-C3E9C1AE342D}"/>
    <cellStyle name="60% - Énfasis4 4 6 4" xfId="32868" xr:uid="{BAC30805-916F-4AC8-A5FA-FCA613748AE5}"/>
    <cellStyle name="60% - Énfasis4 4 6 5" xfId="38732" xr:uid="{560F6DED-E790-47AB-A608-384875645207}"/>
    <cellStyle name="60% - Énfasis4 4 7" xfId="18419" xr:uid="{60E9C860-DA28-47EB-B404-1C5EF6F5410E}"/>
    <cellStyle name="60% - Énfasis4 4 8" xfId="24128" xr:uid="{BCFA686B-729D-4452-9674-0CB2005FF8ED}"/>
    <cellStyle name="60% - Énfasis4 4 9" xfId="30006" xr:uid="{66C9D40D-BE6A-49F8-837E-28D90803B424}"/>
    <cellStyle name="60% - Énfasis4 40" xfId="6505" xr:uid="{4C07F154-E43C-4938-A76F-19E46E9C7DBE}"/>
    <cellStyle name="60% - Énfasis4 40 2" xfId="9365" xr:uid="{9DB46AC5-5218-4C21-A836-424C6307FB52}"/>
    <cellStyle name="60% - Énfasis4 40 2 2" xfId="23728" xr:uid="{A75579F8-2363-43A0-BA59-32A48F755329}"/>
    <cellStyle name="60% - Énfasis4 40 2 3" xfId="29596" xr:uid="{CD5A88A2-701B-4E67-923F-F7D3089324B1}"/>
    <cellStyle name="60% - Énfasis4 40 2 4" xfId="35478" xr:uid="{BEF9ECFA-B869-4042-A683-D7FA6FE365A2}"/>
    <cellStyle name="60% - Énfasis4 40 2 5" xfId="41337" xr:uid="{108CED63-F2DD-4DB6-8BAA-24FFEEFBA234}"/>
    <cellStyle name="60% - Énfasis4 40 3" xfId="20943" xr:uid="{BACB2895-893F-4263-8062-6085E1862FAF}"/>
    <cellStyle name="60% - Énfasis4 40 4" xfId="26754" xr:uid="{89034FC0-5B44-4ECD-8B5C-FCDD674C38FA}"/>
    <cellStyle name="60% - Énfasis4 40 5" xfId="32629" xr:uid="{C3B18B0B-7F02-4498-85D9-04E2056E55E8}"/>
    <cellStyle name="60% - Énfasis4 40 6" xfId="38493" xr:uid="{9A1DB5CA-BF77-4687-B1EF-F3C2B1344769}"/>
    <cellStyle name="60% - Énfasis4 41" xfId="6525" xr:uid="{6A844146-B7A0-475C-8DAF-11279A4DCBE4}"/>
    <cellStyle name="60% - Énfasis4 41 2" xfId="9385" xr:uid="{558988E1-ECB4-4579-B158-86FAC775FCB0}"/>
    <cellStyle name="60% - Énfasis4 41 2 2" xfId="23748" xr:uid="{E8D06605-1E48-45A8-BCA2-A803EB667918}"/>
    <cellStyle name="60% - Énfasis4 41 2 3" xfId="29616" xr:uid="{D7D08534-7BF8-455D-9AD0-CC16F048F675}"/>
    <cellStyle name="60% - Énfasis4 41 2 4" xfId="35498" xr:uid="{B814B46A-3217-497D-A11A-0290993E10DD}"/>
    <cellStyle name="60% - Énfasis4 41 2 5" xfId="41357" xr:uid="{D5653580-6292-485A-A6F2-1CDF98AE7CB9}"/>
    <cellStyle name="60% - Énfasis4 41 3" xfId="20963" xr:uid="{466CC23F-A0D7-4B43-8F3F-C36678BCA22F}"/>
    <cellStyle name="60% - Énfasis4 41 4" xfId="26774" xr:uid="{35B11D19-0CA6-432D-837F-3AEFB328D079}"/>
    <cellStyle name="60% - Énfasis4 41 5" xfId="32649" xr:uid="{9158362A-8800-4A19-B0ED-35C2AAD85EF9}"/>
    <cellStyle name="60% - Énfasis4 41 6" xfId="38513" xr:uid="{BBE86FB4-2D8B-4F2C-8FC5-9C6B65F76F39}"/>
    <cellStyle name="60% - Énfasis4 42" xfId="6545" xr:uid="{3E2A930F-68C9-4274-A9DF-7799691C3819}"/>
    <cellStyle name="60% - Énfasis4 42 2" xfId="9405" xr:uid="{4CCB147F-5199-45E6-9AC9-D0966C6B0103}"/>
    <cellStyle name="60% - Énfasis4 42 2 2" xfId="23768" xr:uid="{15503F23-7259-4F34-A1BE-0C49005FBCD3}"/>
    <cellStyle name="60% - Énfasis4 42 2 3" xfId="29636" xr:uid="{D6AB2421-50B6-4F83-88EB-B3C33BC73F23}"/>
    <cellStyle name="60% - Énfasis4 42 2 4" xfId="35518" xr:uid="{A863F606-1514-403C-8AAE-0F64973FE552}"/>
    <cellStyle name="60% - Énfasis4 42 2 5" xfId="41377" xr:uid="{4830FA3A-F6E2-4453-90D5-319A6D3AEFC9}"/>
    <cellStyle name="60% - Énfasis4 42 3" xfId="20983" xr:uid="{CC752289-2F83-4B35-ADAE-D5F9BCF0AC8D}"/>
    <cellStyle name="60% - Énfasis4 42 4" xfId="26794" xr:uid="{E55F2983-9C6B-47F4-A20A-E0C5BDE126FA}"/>
    <cellStyle name="60% - Énfasis4 42 5" xfId="32669" xr:uid="{A3533218-15C5-41C9-AC76-8770FEC8FA10}"/>
    <cellStyle name="60% - Énfasis4 42 6" xfId="38533" xr:uid="{66D53987-9DCF-42B0-AE4B-7893D765CBD7}"/>
    <cellStyle name="60% - Énfasis4 43" xfId="6566" xr:uid="{C44BB069-264B-4AE5-86EE-7C8CCC9F075C}"/>
    <cellStyle name="60% - Énfasis4 43 2" xfId="9427" xr:uid="{486AE915-B29E-462F-A95B-78A156B59C6F}"/>
    <cellStyle name="60% - Énfasis4 43 2 2" xfId="23790" xr:uid="{4BAB452F-2301-455F-B88D-4AAFDE1A5125}"/>
    <cellStyle name="60% - Énfasis4 43 2 3" xfId="29658" xr:uid="{AA59C17C-8832-4A35-B48D-7721F1F420A5}"/>
    <cellStyle name="60% - Énfasis4 43 2 4" xfId="35540" xr:uid="{E45CF0AF-01D7-4ADD-8798-C56AFA64574F}"/>
    <cellStyle name="60% - Énfasis4 43 2 5" xfId="41399" xr:uid="{2C6C746F-D974-46A2-9F86-CED52B992879}"/>
    <cellStyle name="60% - Énfasis4 43 3" xfId="21005" xr:uid="{FC3E3C0C-A02F-4DAE-8C18-7320F1119A1E}"/>
    <cellStyle name="60% - Énfasis4 43 4" xfId="26816" xr:uid="{A6E70C04-4BA8-4002-BD47-A1A9074987A4}"/>
    <cellStyle name="60% - Énfasis4 43 5" xfId="32691" xr:uid="{DABE9ACF-816F-465E-B5AE-FE32028A8EE6}"/>
    <cellStyle name="60% - Énfasis4 43 6" xfId="38555" xr:uid="{300AC74E-1258-4BD7-8808-B7CBD071C641}"/>
    <cellStyle name="60% - Énfasis4 44" xfId="6596" xr:uid="{A1CDCA70-F666-43A5-8971-DE71D5D9746A}"/>
    <cellStyle name="60% - Énfasis4 44 2" xfId="9456" xr:uid="{FE29E87A-85CB-41A7-963E-B4554326499F}"/>
    <cellStyle name="60% - Énfasis4 44 2 2" xfId="23818" xr:uid="{C2265F65-3449-41BB-B710-B7ED4575FCF4}"/>
    <cellStyle name="60% - Énfasis4 44 2 3" xfId="29687" xr:uid="{2DA711AE-5836-443D-8D6A-D5AF2A1FEA7E}"/>
    <cellStyle name="60% - Énfasis4 44 2 4" xfId="35569" xr:uid="{064C87A6-8728-4C63-96BE-D07E5B3FE7A8}"/>
    <cellStyle name="60% - Énfasis4 44 2 5" xfId="41428" xr:uid="{94473AFF-CA44-4BF4-8CAF-75436E1C1522}"/>
    <cellStyle name="60% - Énfasis4 44 3" xfId="21034" xr:uid="{E3FADEB6-2A53-451E-A6F2-061CB9AEEEE7}"/>
    <cellStyle name="60% - Énfasis4 44 4" xfId="26845" xr:uid="{1DF902D2-03AE-41D8-91B2-AFCE846BC862}"/>
    <cellStyle name="60% - Énfasis4 44 5" xfId="32720" xr:uid="{67264E37-ADBB-4023-88BF-77E20600DF8E}"/>
    <cellStyle name="60% - Énfasis4 44 6" xfId="38584" xr:uid="{1C0A5067-5653-4DE0-A906-900316A68D0C}"/>
    <cellStyle name="60% - Énfasis4 45" xfId="6621" xr:uid="{C0D95C1C-CAEC-4FCA-9997-E30EB5216F8D}"/>
    <cellStyle name="60% - Énfasis4 45 2" xfId="9481" xr:uid="{43EB8D09-B433-417D-8EED-BE50D412ED81}"/>
    <cellStyle name="60% - Énfasis4 45 2 2" xfId="23843" xr:uid="{64BBA7DE-88E7-4B79-B82A-E69D609FCC54}"/>
    <cellStyle name="60% - Énfasis4 45 2 3" xfId="29712" xr:uid="{68834E07-9B64-4F86-A576-29D810A6D627}"/>
    <cellStyle name="60% - Énfasis4 45 2 4" xfId="35594" xr:uid="{1F67106A-C6E6-45E7-BCC3-18473A763887}"/>
    <cellStyle name="60% - Énfasis4 45 2 5" xfId="41453" xr:uid="{0EC109A3-417F-473A-B54A-01373420066F}"/>
    <cellStyle name="60% - Énfasis4 45 3" xfId="21058" xr:uid="{353FD0F6-E231-42AF-A7A5-D6FC21934FA5}"/>
    <cellStyle name="60% - Énfasis4 45 4" xfId="26870" xr:uid="{D7D2A959-1701-4709-8791-D847940DF008}"/>
    <cellStyle name="60% - Énfasis4 45 5" xfId="32745" xr:uid="{3BB59B7E-71D9-46DB-83E7-7F405348E1AA}"/>
    <cellStyle name="60% - Énfasis4 45 6" xfId="38609" xr:uid="{CCBEF39B-B4D4-4B1D-B668-D0499C7EA8D2}"/>
    <cellStyle name="60% - Énfasis4 46" xfId="6643" xr:uid="{5CCC8575-CC22-4FA2-94CB-0C8F6D27C9C4}"/>
    <cellStyle name="60% - Énfasis4 46 2" xfId="21080" xr:uid="{FE53DFC7-1CF3-4EFC-AAB2-CAC160681B5C}"/>
    <cellStyle name="60% - Énfasis4 46 3" xfId="26892" xr:uid="{44C21456-E5B1-4BE0-8BF6-4B1BEA48C667}"/>
    <cellStyle name="60% - Énfasis4 46 4" xfId="32767" xr:uid="{609EE887-8644-4F59-9E61-E47B4E7DDF42}"/>
    <cellStyle name="60% - Énfasis4 46 5" xfId="38631" xr:uid="{9B8B24AA-2A0F-4243-8931-362CD42A2CC9}"/>
    <cellStyle name="60% - Énfasis4 47" xfId="6673" xr:uid="{A3131B70-7F32-4A2C-AAA2-4757F2C4B6C3}"/>
    <cellStyle name="60% - Énfasis4 47 2" xfId="21102" xr:uid="{436D6F01-D72A-4C35-8C5E-136A0AEE0EEA}"/>
    <cellStyle name="60% - Énfasis4 47 3" xfId="26914" xr:uid="{9A554288-932C-4FBE-A226-44789C98A783}"/>
    <cellStyle name="60% - Énfasis4 47 4" xfId="32789" xr:uid="{6BE0F793-0EA8-497E-8A69-847FDCD4768A}"/>
    <cellStyle name="60% - Énfasis4 47 5" xfId="38653" xr:uid="{5B544F30-2AE7-4B23-8D07-56E2954B5941}"/>
    <cellStyle name="60% - Énfasis4 48" xfId="9503" xr:uid="{612EA4E0-5A67-4414-A661-B2D7BE4A287A}"/>
    <cellStyle name="60% - Énfasis4 48 2" xfId="23865" xr:uid="{D10BE53B-7D2F-4CFC-AE3D-70A46584FD0C}"/>
    <cellStyle name="60% - Énfasis4 48 3" xfId="29734" xr:uid="{9AE705FF-388E-40A7-B426-4A3A940BA11A}"/>
    <cellStyle name="60% - Énfasis4 48 4" xfId="35616" xr:uid="{7E1AF0A7-5E14-4BDA-AA1F-E704D23F7C96}"/>
    <cellStyle name="60% - Énfasis4 48 5" xfId="41475" xr:uid="{964C6E4E-9978-4232-8107-F93E8A969613}"/>
    <cellStyle name="60% - Énfasis4 49" xfId="9522" xr:uid="{3A93CA43-ADB2-43F5-B1ED-46DDC132B8AA}"/>
    <cellStyle name="60% - Énfasis4 49 2" xfId="23883" xr:uid="{28B7994E-6D1D-4156-93C3-EC38A4113ADB}"/>
    <cellStyle name="60% - Énfasis4 49 3" xfId="29753" xr:uid="{00057303-F5DB-4ABF-BD89-98CFE98C14A6}"/>
    <cellStyle name="60% - Énfasis4 49 4" xfId="35635" xr:uid="{AEE46DAE-13CF-4093-949B-431737EFA35C}"/>
    <cellStyle name="60% - Énfasis4 49 5" xfId="41494" xr:uid="{4E11C43E-1ECC-4278-AD10-741BA58A7A4B}"/>
    <cellStyle name="60% - Énfasis4 5" xfId="3921" xr:uid="{043A3F51-7F65-4E5F-9CCC-E6E49D47A3F3}"/>
    <cellStyle name="60% - Énfasis4 5 10" xfId="35913" xr:uid="{1676B070-C630-4595-8307-FD3B3F3EB7F1}"/>
    <cellStyle name="60% - Énfasis4 5 2" xfId="4115" xr:uid="{913D2B6E-45EB-428A-A565-4F1D53CF0F10}"/>
    <cellStyle name="60% - Énfasis4 5 2 2" xfId="4593" xr:uid="{F279746E-4E7C-4C29-8759-B57C4608EA3A}"/>
    <cellStyle name="60% - Énfasis4 5 2 2 2" xfId="5561" xr:uid="{43873816-75C3-49EA-AC1D-F3969CAAC2A5}"/>
    <cellStyle name="60% - Énfasis4 5 2 2 2 2" xfId="8428" xr:uid="{A2243909-FEF5-4312-906F-7E4B27AAB412}"/>
    <cellStyle name="60% - Énfasis4 5 2 2 2 2 2" xfId="22803" xr:uid="{DD9B05E0-03EA-4D86-A218-A6F9529E152C}"/>
    <cellStyle name="60% - Énfasis4 5 2 2 2 2 3" xfId="28661" xr:uid="{54A8C423-CB34-4AE0-A04C-7C729E2DA3A9}"/>
    <cellStyle name="60% - Énfasis4 5 2 2 2 2 4" xfId="34543" xr:uid="{3A1216C4-8E57-4549-B2ED-804C2D39441F}"/>
    <cellStyle name="60% - Énfasis4 5 2 2 2 2 5" xfId="40407" xr:uid="{C5CE12E8-1A56-4723-BD99-416FAE18C298}"/>
    <cellStyle name="60% - Énfasis4 5 2 2 2 3" xfId="20021" xr:uid="{7B037BE7-13F5-4A43-BFA1-A7319D9BD7F3}"/>
    <cellStyle name="60% - Énfasis4 5 2 2 2 4" xfId="25812" xr:uid="{D766FCED-890E-4D86-BF26-0A39BFE041E1}"/>
    <cellStyle name="60% - Énfasis4 5 2 2 2 5" xfId="31686" xr:uid="{EE6C3717-EDB7-4217-9146-3FC264AD91CE}"/>
    <cellStyle name="60% - Énfasis4 5 2 2 2 6" xfId="37556" xr:uid="{EF60511C-B24A-4ADF-923E-4B497A1FFFF3}"/>
    <cellStyle name="60% - Énfasis4 5 2 2 3" xfId="7456" xr:uid="{5A04AE30-0106-4377-B320-3A44FAD5E1FF}"/>
    <cellStyle name="60% - Énfasis4 5 2 2 3 2" xfId="21858" xr:uid="{10A1E51E-C9E9-4C67-8DE9-575B0A204AF8}"/>
    <cellStyle name="60% - Énfasis4 5 2 2 3 3" xfId="27690" xr:uid="{6F64D4DE-BD4C-4A54-92FB-0F461C27AB4D}"/>
    <cellStyle name="60% - Énfasis4 5 2 2 3 4" xfId="33572" xr:uid="{E3172524-229F-475B-BE48-E2CB1A648F46}"/>
    <cellStyle name="60% - Énfasis4 5 2 2 3 5" xfId="39436" xr:uid="{D1DA980A-6698-48A7-84F5-26F4772FBC48}"/>
    <cellStyle name="60% - Énfasis4 5 2 2 4" xfId="19088" xr:uid="{340330AC-2CC5-4F44-A3DB-4DA79BF089C8}"/>
    <cellStyle name="60% - Énfasis4 5 2 2 5" xfId="24841" xr:uid="{BE908AA8-3693-4C78-A46A-D697118D517F}"/>
    <cellStyle name="60% - Énfasis4 5 2 2 6" xfId="30718" xr:uid="{2461E763-D4AA-4AD2-BFAE-18ED8552EDEC}"/>
    <cellStyle name="60% - Énfasis4 5 2 2 7" xfId="36599" xr:uid="{E5F0E426-F6D0-49B4-A813-485B6182DE1F}"/>
    <cellStyle name="60% - Énfasis4 5 2 3" xfId="5076" xr:uid="{7BD7E306-E5F5-4BAD-9268-3AACEAAA8D9B}"/>
    <cellStyle name="60% - Énfasis4 5 2 3 2" xfId="7943" xr:uid="{57C813D4-EF23-47D1-A5BD-EF2D15C9961C}"/>
    <cellStyle name="60% - Énfasis4 5 2 3 2 2" xfId="22328" xr:uid="{C01F7EE3-6FB5-4178-8D70-1414C8A24BA0}"/>
    <cellStyle name="60% - Énfasis4 5 2 3 2 3" xfId="28176" xr:uid="{3C07F7F3-D62A-4892-AB0C-26A956C99370}"/>
    <cellStyle name="60% - Énfasis4 5 2 3 2 4" xfId="34058" xr:uid="{10746838-56FB-485D-9679-ED46BB6A404A}"/>
    <cellStyle name="60% - Énfasis4 5 2 3 2 5" xfId="39922" xr:uid="{39E08ADA-695B-4144-92F1-59838CF18669}"/>
    <cellStyle name="60% - Énfasis4 5 2 3 3" xfId="19553" xr:uid="{14FBCAD4-D540-4444-9AA4-786448FBF688}"/>
    <cellStyle name="60% - Énfasis4 5 2 3 4" xfId="25327" xr:uid="{8F615758-14CA-465E-9CC6-5AF134273B1E}"/>
    <cellStyle name="60% - Énfasis4 5 2 3 5" xfId="31201" xr:uid="{319D8E93-84D0-401B-8EB6-792A1897B278}"/>
    <cellStyle name="60% - Énfasis4 5 2 3 6" xfId="37079" xr:uid="{51379A50-41F7-452C-B877-262480CB6CED}"/>
    <cellStyle name="60% - Énfasis4 5 2 4" xfId="6971" xr:uid="{488DDE89-161B-41AC-82D7-9A4DA40AEF93}"/>
    <cellStyle name="60% - Énfasis4 5 2 4 2" xfId="21390" xr:uid="{F13A3C47-FB1E-458E-AFD7-930FB7A5024F}"/>
    <cellStyle name="60% - Énfasis4 5 2 4 3" xfId="27209" xr:uid="{DBF2C93E-9779-4ADF-85BB-F1DBF7CC6EB0}"/>
    <cellStyle name="60% - Énfasis4 5 2 4 4" xfId="33087" xr:uid="{18FC8BC7-E61C-41A7-9B7D-1B1C0A7CD894}"/>
    <cellStyle name="60% - Énfasis4 5 2 4 5" xfId="38951" xr:uid="{75A80199-D674-4436-A18E-E57F5C9E8936}"/>
    <cellStyle name="60% - Énfasis4 5 2 5" xfId="18644" xr:uid="{1019EC00-9E1A-4E97-8300-1E5DCF44D047}"/>
    <cellStyle name="60% - Énfasis4 5 2 6" xfId="24358" xr:uid="{5CC67A69-8890-44D2-9E83-D4BAA554EE41}"/>
    <cellStyle name="60% - Énfasis4 5 2 7" xfId="30236" xr:uid="{DA458593-192B-4EBB-82C5-F91646C9DE2B}"/>
    <cellStyle name="60% - Énfasis4 5 2 8" xfId="36115" xr:uid="{DAE243CD-CEDE-4DE4-AD7A-BC08FBBE31F3}"/>
    <cellStyle name="60% - Énfasis4 5 3" xfId="4399" xr:uid="{2E3362E2-38B3-49D3-BF4C-611F2958DC2F}"/>
    <cellStyle name="60% - Énfasis4 5 3 2" xfId="5365" xr:uid="{AF5D4ECC-79AE-4065-84DC-8C10B932BCF9}"/>
    <cellStyle name="60% - Énfasis4 5 3 2 2" xfId="8232" xr:uid="{D4FEF441-D870-43F1-86A5-507575D18A93}"/>
    <cellStyle name="60% - Énfasis4 5 3 2 2 2" xfId="22608" xr:uid="{5D407C9A-B2BC-43CC-9AA8-7AF9A01CE578}"/>
    <cellStyle name="60% - Énfasis4 5 3 2 2 3" xfId="28465" xr:uid="{F7ACCE9A-8782-4371-85E2-E9F1CBF3275B}"/>
    <cellStyle name="60% - Énfasis4 5 3 2 2 4" xfId="34347" xr:uid="{7576BB9F-4AB4-4FDE-8C47-4B2E13B0060F}"/>
    <cellStyle name="60% - Énfasis4 5 3 2 2 5" xfId="40211" xr:uid="{2E1D6AB3-5D33-4708-9D51-E8F763CD00CC}"/>
    <cellStyle name="60% - Énfasis4 5 3 2 3" xfId="19832" xr:uid="{E595D417-3D99-4CC8-BD1A-474601E37681}"/>
    <cellStyle name="60% - Énfasis4 5 3 2 4" xfId="25616" xr:uid="{34A0A6DE-57DE-41C5-AB13-33D4EAD5F827}"/>
    <cellStyle name="60% - Énfasis4 5 3 2 5" xfId="31490" xr:uid="{24DCCEF3-3C83-4A6E-BBE4-85C158443453}"/>
    <cellStyle name="60% - Énfasis4 5 3 2 6" xfId="37361" xr:uid="{6AAFAF53-F55F-41F9-9E35-14F628D3FB72}"/>
    <cellStyle name="60% - Énfasis4 5 3 3" xfId="7260" xr:uid="{4B2108FB-3EFB-4F22-B5E2-8649FAE2BAA4}"/>
    <cellStyle name="60% - Énfasis4 5 3 3 2" xfId="21667" xr:uid="{DC576157-D042-4D81-BCA7-B020FCCE32E7}"/>
    <cellStyle name="60% - Énfasis4 5 3 3 3" xfId="27494" xr:uid="{54F6CBE0-FC38-4061-8B7D-77BBA134B77A}"/>
    <cellStyle name="60% - Énfasis4 5 3 3 4" xfId="33376" xr:uid="{2EB29818-5010-4AE1-8137-7C3E3274EB73}"/>
    <cellStyle name="60% - Énfasis4 5 3 3 5" xfId="39240" xr:uid="{4E75F63C-87FA-489C-B4A0-03E7FBD30BF3}"/>
    <cellStyle name="60% - Énfasis4 5 3 4" xfId="18901" xr:uid="{ED3FEA4A-2F3C-43CC-8380-78F67EB59796}"/>
    <cellStyle name="60% - Énfasis4 5 3 5" xfId="24645" xr:uid="{BE5273B0-9F6E-41D9-843D-38C46447DB9E}"/>
    <cellStyle name="60% - Énfasis4 5 3 6" xfId="30524" xr:uid="{57FB1F15-7566-4415-9206-F42FD94FA9DF}"/>
    <cellStyle name="60% - Énfasis4 5 3 7" xfId="36404" xr:uid="{F8C7CE78-D96E-4520-BD8F-5E50A2D00476}"/>
    <cellStyle name="60% - Énfasis4 5 4" xfId="4880" xr:uid="{F0D923FF-82D8-432A-8965-1E87D739093B}"/>
    <cellStyle name="60% - Énfasis4 5 4 2" xfId="7747" xr:uid="{AA0CC9CA-5047-43BA-A548-011374E81284}"/>
    <cellStyle name="60% - Énfasis4 5 4 2 2" xfId="22137" xr:uid="{7B407D2C-EE65-4CD4-B0C4-A84116FBB6C4}"/>
    <cellStyle name="60% - Énfasis4 5 4 2 3" xfId="27980" xr:uid="{6A1644CD-FAED-417B-BD36-796C6E713712}"/>
    <cellStyle name="60% - Énfasis4 5 4 2 4" xfId="33862" xr:uid="{75B6F8CC-6BCC-4E98-9F8C-D7D2050D86A3}"/>
    <cellStyle name="60% - Énfasis4 5 4 2 5" xfId="39726" xr:uid="{CD3DE43D-99D9-48D8-857B-5BDD04AF61C6}"/>
    <cellStyle name="60% - Énfasis4 5 4 3" xfId="19363" xr:uid="{F54C1811-6BB0-4E61-A556-2C48AD378684}"/>
    <cellStyle name="60% - Énfasis4 5 4 4" xfId="25131" xr:uid="{1B037B57-5F38-4E9F-AE9D-61837F2C9691}"/>
    <cellStyle name="60% - Énfasis4 5 4 5" xfId="31005" xr:uid="{1085AC38-37E6-4E4C-8384-019372319C69}"/>
    <cellStyle name="60% - Énfasis4 5 4 6" xfId="36884" xr:uid="{C2A98A27-95BB-4EEF-AE37-BA4CEFBB0455}"/>
    <cellStyle name="60% - Énfasis4 5 5" xfId="5890" xr:uid="{CA2947FA-E60E-4A14-AA31-77101B625FD4}"/>
    <cellStyle name="60% - Énfasis4 5 5 2" xfId="8759" xr:uid="{3DF08961-1C45-4BA2-81FD-0C7D28843642}"/>
    <cellStyle name="60% - Énfasis4 5 5 2 2" xfId="23127" xr:uid="{F94F072D-0B8D-470C-93DF-5BD48EC64C57}"/>
    <cellStyle name="60% - Énfasis4 5 5 2 3" xfId="28991" xr:uid="{52BCC012-AB44-4C0E-8B0A-1E24AF6E7589}"/>
    <cellStyle name="60% - Énfasis4 5 5 2 4" xfId="34873" xr:uid="{70DDAB11-B69B-43C7-982A-D36C7F9C2006}"/>
    <cellStyle name="60% - Énfasis4 5 5 2 5" xfId="40737" xr:uid="{90C85BBF-9DC8-47F2-9714-A005D5642C45}"/>
    <cellStyle name="60% - Énfasis4 5 5 3" xfId="20341" xr:uid="{58D09A3A-ED50-4BAA-8916-43AA4CBF2AB9}"/>
    <cellStyle name="60% - Énfasis4 5 5 4" xfId="26141" xr:uid="{4524FD58-B358-4D23-A515-99628B2F17D9}"/>
    <cellStyle name="60% - Énfasis4 5 5 5" xfId="32016" xr:uid="{F37ADEB0-F6D4-40AA-8712-6273B012E6E9}"/>
    <cellStyle name="60% - Énfasis4 5 5 6" xfId="37882" xr:uid="{14AF0BC9-38F0-41EC-807C-EB71B751C01C}"/>
    <cellStyle name="60% - Énfasis4 5 6" xfId="6776" xr:uid="{E1B566E4-002F-4277-A4BA-D807EC730B79}"/>
    <cellStyle name="60% - Énfasis4 5 6 2" xfId="21200" xr:uid="{7FC52014-7F0D-4488-96DD-E39786E14CBF}"/>
    <cellStyle name="60% - Énfasis4 5 6 3" xfId="27015" xr:uid="{8F7E45A7-33A3-4651-8988-FFFB3032EBFE}"/>
    <cellStyle name="60% - Énfasis4 5 6 4" xfId="32891" xr:uid="{314FA71C-5979-4146-A930-264307528C74}"/>
    <cellStyle name="60% - Énfasis4 5 6 5" xfId="38755" xr:uid="{84285489-E007-4996-B8F0-42D4477E95A0}"/>
    <cellStyle name="60% - Énfasis4 5 7" xfId="18446" xr:uid="{E2519095-BB08-423E-9918-2F1ECB327F81}"/>
    <cellStyle name="60% - Énfasis4 5 8" xfId="24154" xr:uid="{9228E17A-68AA-4B70-A051-211016959775}"/>
    <cellStyle name="60% - Énfasis4 5 9" xfId="30032" xr:uid="{724BA58E-D815-45CC-8A64-8245970A3411}"/>
    <cellStyle name="60% - Énfasis4 50" xfId="9541" xr:uid="{1198FB52-DD10-459D-9AB7-AEA657CB386B}"/>
    <cellStyle name="60% - Énfasis4 50 2" xfId="23903" xr:uid="{030D2F2A-1A0F-4B74-B1BE-FE4661B2CCFC}"/>
    <cellStyle name="60% - Énfasis4 50 3" xfId="29773" xr:uid="{17EDFF77-3E34-4922-93A3-AFE9442E7068}"/>
    <cellStyle name="60% - Énfasis4 50 4" xfId="35655" xr:uid="{B2532AD4-2651-4D49-9098-209598767532}"/>
    <cellStyle name="60% - Énfasis4 50 5" xfId="41514" xr:uid="{7CD42448-A110-4188-A190-657C4985038C}"/>
    <cellStyle name="60% - Énfasis4 51" xfId="9567" xr:uid="{5CF85CAF-C177-48E7-A264-7E6BC9FD0268}"/>
    <cellStyle name="60% - Énfasis4 51 2" xfId="23929" xr:uid="{DA3E2E8E-952A-467D-A85B-D167385ABE83}"/>
    <cellStyle name="60% - Énfasis4 51 3" xfId="29799" xr:uid="{C453053A-4646-4050-B38B-FB0BD37047B6}"/>
    <cellStyle name="60% - Énfasis4 51 4" xfId="35681" xr:uid="{0ACC9675-3B1F-4280-8EF6-D4A21EABBF0F}"/>
    <cellStyle name="60% - Énfasis4 51 5" xfId="41540" xr:uid="{79AD7208-761D-44CF-8AF5-8A11435BE9AC}"/>
    <cellStyle name="60% - Énfasis4 52" xfId="15769" xr:uid="{65B3A202-B133-4A9E-9D15-ADF6E4ACF27A}"/>
    <cellStyle name="60% - Énfasis4 52 2" xfId="23989" xr:uid="{6713007C-0A9A-47BD-977D-2D1F80F3156B}"/>
    <cellStyle name="60% - Énfasis4 52 3" xfId="29861" xr:uid="{4A62B7CE-5708-44C0-B365-61015A124518}"/>
    <cellStyle name="60% - Énfasis4 52 4" xfId="35743" xr:uid="{E6F15764-95DA-4CCF-9300-E51B366FBCB5}"/>
    <cellStyle name="60% - Énfasis4 52 5" xfId="41602" xr:uid="{89A37EEC-4FBE-4B8B-BFE6-4C8DA5F89ADD}"/>
    <cellStyle name="60% - Énfasis4 53" xfId="15794" xr:uid="{119803D5-9521-4631-89AA-E2188A663AD2}"/>
    <cellStyle name="60% - Énfasis4 53 2" xfId="24011" xr:uid="{9FCF23F8-D19A-4723-94F9-A008349F343A}"/>
    <cellStyle name="60% - Énfasis4 53 3" xfId="29886" xr:uid="{8D2FB9E9-35C9-4C0F-B788-B34D23809864}"/>
    <cellStyle name="60% - Énfasis4 53 4" xfId="35767" xr:uid="{B682DBDD-BD00-41E0-99C9-692CB30BD030}"/>
    <cellStyle name="60% - Énfasis4 53 5" xfId="41627" xr:uid="{0F3392B0-AB50-453A-A6F0-C1FA783667CB}"/>
    <cellStyle name="60% - Énfasis4 54" xfId="15828" xr:uid="{321ECC3F-65AD-4E79-A144-F86C7B9D909F}"/>
    <cellStyle name="60% - Énfasis4 55" xfId="18303" xr:uid="{988E3338-8840-46A9-A11A-4AEED3E40E3A}"/>
    <cellStyle name="60% - Énfasis4 56" xfId="18326" xr:uid="{2B4CD6B0-2710-4E6D-8210-8D3A65CD63BE}"/>
    <cellStyle name="60% - Énfasis4 57" xfId="24038" xr:uid="{786E9263-7010-4542-81E0-FCA79AA7FEE0}"/>
    <cellStyle name="60% - Énfasis4 58" xfId="29916" xr:uid="{F18020EB-F75F-4EF1-B3AE-90F6D1693189}"/>
    <cellStyle name="60% - Énfasis4 59" xfId="35797" xr:uid="{F7F83435-2FB0-4081-9B6F-62EA04DF5D58}"/>
    <cellStyle name="60% - Énfasis4 6" xfId="3945" xr:uid="{CA117A4E-7655-4640-A08A-52E1E7A34589}"/>
    <cellStyle name="60% - Énfasis4 6 10" xfId="35936" xr:uid="{D17A468E-4926-4EDB-9229-55476B9C4BA5}"/>
    <cellStyle name="60% - Énfasis4 6 2" xfId="4137" xr:uid="{0FE0FE14-E7C7-4AC3-B030-5817CCA9F31F}"/>
    <cellStyle name="60% - Énfasis4 6 2 2" xfId="4615" xr:uid="{02531549-9152-404A-84FC-320C79BE0A7E}"/>
    <cellStyle name="60% - Énfasis4 6 2 2 2" xfId="5583" xr:uid="{19F99BF5-7B76-43EA-913F-5369DE979B2A}"/>
    <cellStyle name="60% - Énfasis4 6 2 2 2 2" xfId="8450" xr:uid="{980D1A08-56DD-4068-8670-E2E943DCCDDD}"/>
    <cellStyle name="60% - Énfasis4 6 2 2 2 2 2" xfId="22825" xr:uid="{D99D4D6D-69F8-40F2-B9F4-D644FBEFD48C}"/>
    <cellStyle name="60% - Énfasis4 6 2 2 2 2 3" xfId="28683" xr:uid="{D19DE117-7AA3-4739-8803-242F0D90A01C}"/>
    <cellStyle name="60% - Énfasis4 6 2 2 2 2 4" xfId="34565" xr:uid="{C8D1984E-0512-4993-BF28-C80051965A91}"/>
    <cellStyle name="60% - Énfasis4 6 2 2 2 2 5" xfId="40429" xr:uid="{92AB59CA-AB7E-4D22-BD8E-E22C8AA102CD}"/>
    <cellStyle name="60% - Énfasis4 6 2 2 2 3" xfId="20043" xr:uid="{9CFC662B-19DA-4065-BA55-8D8A37AA9609}"/>
    <cellStyle name="60% - Énfasis4 6 2 2 2 4" xfId="25834" xr:uid="{7DC1D736-4EF0-40B2-92AD-A32A281A7E8B}"/>
    <cellStyle name="60% - Énfasis4 6 2 2 2 5" xfId="31708" xr:uid="{DCFDFD67-BABE-4F2A-835B-FEDB18E4D744}"/>
    <cellStyle name="60% - Énfasis4 6 2 2 2 6" xfId="37578" xr:uid="{A9146ABA-6BCB-4B23-A67A-4E2401A31FC9}"/>
    <cellStyle name="60% - Énfasis4 6 2 2 3" xfId="7478" xr:uid="{603E351C-5024-443E-A1F9-BBC6F2FC3A4E}"/>
    <cellStyle name="60% - Énfasis4 6 2 2 3 2" xfId="21880" xr:uid="{D4D07979-5FBE-4FBF-8D96-CCA1C4A690B0}"/>
    <cellStyle name="60% - Énfasis4 6 2 2 3 3" xfId="27712" xr:uid="{06B36A7B-8A39-4242-92DC-B3A357CB2A3F}"/>
    <cellStyle name="60% - Énfasis4 6 2 2 3 4" xfId="33594" xr:uid="{E0907D21-E3CD-4CF4-9FCA-1E61055EA86D}"/>
    <cellStyle name="60% - Énfasis4 6 2 2 3 5" xfId="39458" xr:uid="{A4BA1E3F-7585-48A0-8F19-2400D61489CD}"/>
    <cellStyle name="60% - Énfasis4 6 2 2 4" xfId="19110" xr:uid="{A763DABB-E263-4201-BA20-D2848B033DED}"/>
    <cellStyle name="60% - Énfasis4 6 2 2 5" xfId="24863" xr:uid="{614EA577-364B-4037-B0A0-E617A85C26CA}"/>
    <cellStyle name="60% - Énfasis4 6 2 2 6" xfId="30740" xr:uid="{C0CEF3A1-DAF1-43F3-A8F5-7D4F034899BA}"/>
    <cellStyle name="60% - Énfasis4 6 2 2 7" xfId="36621" xr:uid="{775D5984-1055-49B9-8148-288325E168F2}"/>
    <cellStyle name="60% - Énfasis4 6 2 3" xfId="5098" xr:uid="{A82D0BBE-157F-40E7-B4FA-27163EA0DEF2}"/>
    <cellStyle name="60% - Énfasis4 6 2 3 2" xfId="7965" xr:uid="{A80AE4AF-D098-44EC-9F93-3279E9DA2731}"/>
    <cellStyle name="60% - Énfasis4 6 2 3 2 2" xfId="22350" xr:uid="{2FF9DC16-4880-4585-9059-81EF813ED458}"/>
    <cellStyle name="60% - Énfasis4 6 2 3 2 3" xfId="28198" xr:uid="{F616ED00-AF54-490E-984D-2528A4C3ED48}"/>
    <cellStyle name="60% - Énfasis4 6 2 3 2 4" xfId="34080" xr:uid="{39E86B09-4985-4EDD-85AF-4B88EE937F51}"/>
    <cellStyle name="60% - Énfasis4 6 2 3 2 5" xfId="39944" xr:uid="{66AC89E0-DB86-47A6-B85C-D801546E531D}"/>
    <cellStyle name="60% - Énfasis4 6 2 3 3" xfId="19575" xr:uid="{033EE3AA-B324-48F6-BD87-37FF26E1E700}"/>
    <cellStyle name="60% - Énfasis4 6 2 3 4" xfId="25349" xr:uid="{BFE5211A-5D98-4AEC-976E-9C6A1839FE81}"/>
    <cellStyle name="60% - Énfasis4 6 2 3 5" xfId="31223" xr:uid="{0C5B47F5-7E46-4291-9974-D3AD2FEB7137}"/>
    <cellStyle name="60% - Énfasis4 6 2 3 6" xfId="37101" xr:uid="{4A7EC269-0452-4EE7-8591-5EF25BD21AFA}"/>
    <cellStyle name="60% - Énfasis4 6 2 4" xfId="6993" xr:uid="{8272FDF1-8818-4DE6-B719-F083EEB65D8C}"/>
    <cellStyle name="60% - Énfasis4 6 2 4 2" xfId="21412" xr:uid="{F144A316-239A-49EA-9A07-4E736D7747F6}"/>
    <cellStyle name="60% - Énfasis4 6 2 4 3" xfId="27231" xr:uid="{E2CCB3F3-BFC3-4018-8749-F0E67F36E909}"/>
    <cellStyle name="60% - Énfasis4 6 2 4 4" xfId="33109" xr:uid="{0291081B-E0D0-4FBC-92B3-4D39766CFA72}"/>
    <cellStyle name="60% - Énfasis4 6 2 4 5" xfId="38973" xr:uid="{90C2A6DE-8C25-4C10-8C8F-AE1F7237FA5C}"/>
    <cellStyle name="60% - Énfasis4 6 2 5" xfId="18666" xr:uid="{BAFED46F-B6D9-4EFB-84EC-E0A5DE73D304}"/>
    <cellStyle name="60% - Énfasis4 6 2 6" xfId="24380" xr:uid="{D535D00B-5798-4644-A034-66CD8F223B2B}"/>
    <cellStyle name="60% - Énfasis4 6 2 7" xfId="30258" xr:uid="{660B084A-6771-440B-AF7A-3C402C2F4748}"/>
    <cellStyle name="60% - Énfasis4 6 2 8" xfId="36137" xr:uid="{2AA45D17-FB62-4E3D-BB3D-FD3E08253506}"/>
    <cellStyle name="60% - Énfasis4 6 3" xfId="4421" xr:uid="{93C1451E-8618-40BC-89A2-10D1D6080F79}"/>
    <cellStyle name="60% - Énfasis4 6 3 2" xfId="5387" xr:uid="{C16DB700-EF90-4B49-8897-8FB86619C288}"/>
    <cellStyle name="60% - Énfasis4 6 3 2 2" xfId="8254" xr:uid="{8D9FCB10-5C7A-4017-869C-338441E8D804}"/>
    <cellStyle name="60% - Énfasis4 6 3 2 2 2" xfId="22630" xr:uid="{BC5DCA24-3AF1-440B-9128-C508035928CC}"/>
    <cellStyle name="60% - Énfasis4 6 3 2 2 3" xfId="28487" xr:uid="{5781D389-37C6-49AC-930A-F591826EA94C}"/>
    <cellStyle name="60% - Énfasis4 6 3 2 2 4" xfId="34369" xr:uid="{145A8020-3881-47C1-A205-B0511FD64C0A}"/>
    <cellStyle name="60% - Énfasis4 6 3 2 2 5" xfId="40233" xr:uid="{E8077033-D0D5-4B0F-B101-B3B55AF58F49}"/>
    <cellStyle name="60% - Énfasis4 6 3 2 3" xfId="19854" xr:uid="{DDAE1FBC-E87A-4B22-BF65-7F288E947394}"/>
    <cellStyle name="60% - Énfasis4 6 3 2 4" xfId="25638" xr:uid="{B1527ED7-7158-4E1F-9A2D-6DB2D2B00EC5}"/>
    <cellStyle name="60% - Énfasis4 6 3 2 5" xfId="31512" xr:uid="{30C2AE81-D897-4ECC-90A1-6CB7E4D0C150}"/>
    <cellStyle name="60% - Énfasis4 6 3 2 6" xfId="37383" xr:uid="{D0C7B5D8-BD8B-4044-B115-5FE2C8A31FBD}"/>
    <cellStyle name="60% - Énfasis4 6 3 3" xfId="7282" xr:uid="{D611AB68-553F-4B4F-85E1-D82C9029876C}"/>
    <cellStyle name="60% - Énfasis4 6 3 3 2" xfId="21689" xr:uid="{A31BDC7F-7A7D-407C-B7E4-CFFDB9C992F7}"/>
    <cellStyle name="60% - Énfasis4 6 3 3 3" xfId="27516" xr:uid="{0F59B13D-F2F3-43F6-9656-4B2DDBB606DD}"/>
    <cellStyle name="60% - Énfasis4 6 3 3 4" xfId="33398" xr:uid="{16B4BCF0-EDEB-4D2F-93C2-24907E892F5A}"/>
    <cellStyle name="60% - Énfasis4 6 3 3 5" xfId="39262" xr:uid="{DB176FDD-8028-401A-AB2F-AA50FC3C91A7}"/>
    <cellStyle name="60% - Énfasis4 6 3 4" xfId="18923" xr:uid="{1A1C8830-19AB-4350-B160-6C954CF411B2}"/>
    <cellStyle name="60% - Énfasis4 6 3 5" xfId="24667" xr:uid="{F63B996C-C1DE-4684-B2EC-FC9940F07380}"/>
    <cellStyle name="60% - Énfasis4 6 3 6" xfId="30546" xr:uid="{3BF1D4E5-ADC0-469F-9B9E-67E187C736E1}"/>
    <cellStyle name="60% - Énfasis4 6 3 7" xfId="36426" xr:uid="{7DCD9DB5-EDEA-4E90-9549-C9DF3CA8FDAD}"/>
    <cellStyle name="60% - Énfasis4 6 4" xfId="4902" xr:uid="{A583CDFC-8D62-4160-BEB9-A50BA43F3AF1}"/>
    <cellStyle name="60% - Énfasis4 6 4 2" xfId="7769" xr:uid="{C10A4E9F-7E67-4513-8256-D9EE1099039B}"/>
    <cellStyle name="60% - Énfasis4 6 4 2 2" xfId="22159" xr:uid="{4EFD141F-2926-42D3-AF02-3991181119C4}"/>
    <cellStyle name="60% - Énfasis4 6 4 2 3" xfId="28002" xr:uid="{81A4C465-4598-45EB-915A-2AB3398109DE}"/>
    <cellStyle name="60% - Énfasis4 6 4 2 4" xfId="33884" xr:uid="{374FB63A-E8A0-4B8D-9B6A-0BC2AB5C19B8}"/>
    <cellStyle name="60% - Énfasis4 6 4 2 5" xfId="39748" xr:uid="{25B38758-8AC3-4E91-B541-C209E76B6623}"/>
    <cellStyle name="60% - Énfasis4 6 4 3" xfId="19385" xr:uid="{B38F2850-2BDE-4347-A831-FF929F2BC5E6}"/>
    <cellStyle name="60% - Énfasis4 6 4 4" xfId="25153" xr:uid="{3588BCD4-FBCD-4D5B-B313-B964348D3F6F}"/>
    <cellStyle name="60% - Énfasis4 6 4 5" xfId="31027" xr:uid="{1F7F2E6F-133E-4628-9AF3-901A4B81D078}"/>
    <cellStyle name="60% - Énfasis4 6 4 6" xfId="36906" xr:uid="{1A08071F-1CA0-4823-92E2-E94FA46B9312}"/>
    <cellStyle name="60% - Énfasis4 6 5" xfId="5912" xr:uid="{2DFB845D-8802-49DC-BEF8-50898CC5B2B6}"/>
    <cellStyle name="60% - Énfasis4 6 5 2" xfId="8781" xr:uid="{7B2A7E2D-B4D8-4EA6-A5E4-DF8ABBBC6E83}"/>
    <cellStyle name="60% - Énfasis4 6 5 2 2" xfId="23149" xr:uid="{1261128F-D31A-4DE0-887B-1E81A2EAD065}"/>
    <cellStyle name="60% - Énfasis4 6 5 2 3" xfId="29013" xr:uid="{5DD46DEF-CE6B-4E44-96FD-BC364C14D359}"/>
    <cellStyle name="60% - Énfasis4 6 5 2 4" xfId="34895" xr:uid="{7489ACF9-D8DD-4A6C-BE37-41701DB4593A}"/>
    <cellStyle name="60% - Énfasis4 6 5 2 5" xfId="40759" xr:uid="{EE361D6F-DA24-4288-9017-8941E67D8A43}"/>
    <cellStyle name="60% - Énfasis4 6 5 3" xfId="20363" xr:uid="{298881A5-B85A-4A32-B93B-80FFA132A403}"/>
    <cellStyle name="60% - Énfasis4 6 5 4" xfId="26163" xr:uid="{F21963D0-4113-4FF9-81AB-852ED2E4C829}"/>
    <cellStyle name="60% - Énfasis4 6 5 5" xfId="32038" xr:uid="{D1B4BB16-D7C7-4D9B-89A3-24CE1D81C328}"/>
    <cellStyle name="60% - Énfasis4 6 5 6" xfId="37904" xr:uid="{E4B28D6A-1101-41A7-9FCF-04D9AF9DA96A}"/>
    <cellStyle name="60% - Énfasis4 6 6" xfId="6798" xr:uid="{246C3EC0-B5FE-4FA7-B84A-841B2F080146}"/>
    <cellStyle name="60% - Énfasis4 6 6 2" xfId="21222" xr:uid="{5785E800-E172-4BBD-AC6C-C45388C14EE3}"/>
    <cellStyle name="60% - Énfasis4 6 6 3" xfId="27037" xr:uid="{36F69618-7F29-4B13-852A-941331B80738}"/>
    <cellStyle name="60% - Énfasis4 6 6 4" xfId="32913" xr:uid="{57C4D237-018D-4704-906B-2B36AD947D2A}"/>
    <cellStyle name="60% - Énfasis4 6 6 5" xfId="38777" xr:uid="{44EAA4D7-FA3D-475A-8F10-2F6F6CFA92A4}"/>
    <cellStyle name="60% - Énfasis4 6 7" xfId="18469" xr:uid="{747BA5BA-03D3-42C9-BD0B-ED9954A85F52}"/>
    <cellStyle name="60% - Énfasis4 6 8" xfId="24177" xr:uid="{ADF2FB1B-D827-4148-8F59-4821F4E7FA42}"/>
    <cellStyle name="60% - Énfasis4 6 9" xfId="30055" xr:uid="{31CE9C3C-7E7A-4365-A308-FD7808395F73}"/>
    <cellStyle name="60% - Énfasis4 7" xfId="3969" xr:uid="{44086177-7900-4F9F-B1D0-9C4718DC6BC4}"/>
    <cellStyle name="60% - Énfasis4 7 10" xfId="35961" xr:uid="{44D41A22-0C7B-42CF-9436-8A17BFE96D81}"/>
    <cellStyle name="60% - Énfasis4 7 2" xfId="4161" xr:uid="{C8414527-8E70-4D1C-A89D-F88B78DD0BD1}"/>
    <cellStyle name="60% - Énfasis4 7 2 2" xfId="4639" xr:uid="{809C5D80-64B0-4096-BF45-D9E97322F903}"/>
    <cellStyle name="60% - Énfasis4 7 2 2 2" xfId="5607" xr:uid="{BBDBC6E6-8A23-40B0-83D1-741CA7D7CF42}"/>
    <cellStyle name="60% - Énfasis4 7 2 2 2 2" xfId="8474" xr:uid="{2E364888-B1F1-4E5A-A50D-EBC0B98350D7}"/>
    <cellStyle name="60% - Énfasis4 7 2 2 2 2 2" xfId="22849" xr:uid="{B80AA7AC-0CCC-4DAE-BB6F-5308EACF7263}"/>
    <cellStyle name="60% - Énfasis4 7 2 2 2 2 3" xfId="28707" xr:uid="{E9A08E05-7401-401E-B603-BA8161F1D622}"/>
    <cellStyle name="60% - Énfasis4 7 2 2 2 2 4" xfId="34589" xr:uid="{25F2472D-BB0B-4F63-B454-B5B989E04FE5}"/>
    <cellStyle name="60% - Énfasis4 7 2 2 2 2 5" xfId="40453" xr:uid="{3876D829-240F-44F6-BC4B-6C36104CB178}"/>
    <cellStyle name="60% - Énfasis4 7 2 2 2 3" xfId="20066" xr:uid="{DB320AE8-5A2C-4CBB-89CB-EEC35ACAA1A3}"/>
    <cellStyle name="60% - Énfasis4 7 2 2 2 4" xfId="25858" xr:uid="{50054135-E94D-41F3-BCC0-5636273B0658}"/>
    <cellStyle name="60% - Énfasis4 7 2 2 2 5" xfId="31732" xr:uid="{8C9DCE02-F63F-4032-B603-656C73F35307}"/>
    <cellStyle name="60% - Énfasis4 7 2 2 2 6" xfId="37602" xr:uid="{0C676F96-B39F-4AF4-B324-F204FB3229A5}"/>
    <cellStyle name="60% - Énfasis4 7 2 2 3" xfId="7502" xr:uid="{4FB8C37B-180C-40C8-80D9-022CB57C1E76}"/>
    <cellStyle name="60% - Énfasis4 7 2 2 3 2" xfId="21903" xr:uid="{4C83C060-9D56-4F1F-800B-A87FFF75F1D4}"/>
    <cellStyle name="60% - Énfasis4 7 2 2 3 3" xfId="27736" xr:uid="{295F7E46-8C03-4D12-B736-DC0838058333}"/>
    <cellStyle name="60% - Énfasis4 7 2 2 3 4" xfId="33618" xr:uid="{FFA439C6-AB65-4B21-9C43-1F9BDECE747A}"/>
    <cellStyle name="60% - Énfasis4 7 2 2 3 5" xfId="39482" xr:uid="{8A10CDEE-85F4-4182-8B7A-B291033C518E}"/>
    <cellStyle name="60% - Énfasis4 7 2 2 4" xfId="19133" xr:uid="{08D93FDA-C256-4EAF-9899-3ABF78B230ED}"/>
    <cellStyle name="60% - Énfasis4 7 2 2 5" xfId="24887" xr:uid="{74C2CAFB-51D6-4B99-BBA4-32F56B800B46}"/>
    <cellStyle name="60% - Énfasis4 7 2 2 6" xfId="30763" xr:uid="{EDAD9DCE-7B1D-4AED-A242-A3863BC83605}"/>
    <cellStyle name="60% - Énfasis4 7 2 2 7" xfId="36645" xr:uid="{16B90E35-5872-4F49-A6D6-1B3C1D9F07FA}"/>
    <cellStyle name="60% - Énfasis4 7 2 3" xfId="5122" xr:uid="{536253CE-B3B6-48CB-BEDC-188B3D11F747}"/>
    <cellStyle name="60% - Énfasis4 7 2 3 2" xfId="7989" xr:uid="{09D097DB-19D1-4AB0-8928-E8906E1CA7B8}"/>
    <cellStyle name="60% - Énfasis4 7 2 3 2 2" xfId="22374" xr:uid="{0015EF67-EF31-4536-AA67-FD1623412ABE}"/>
    <cellStyle name="60% - Énfasis4 7 2 3 2 3" xfId="28222" xr:uid="{211BA2A4-2705-47E1-AAC2-6B250800160A}"/>
    <cellStyle name="60% - Énfasis4 7 2 3 2 4" xfId="34104" xr:uid="{B0B03F9D-5036-4F6D-812A-49050B7017E8}"/>
    <cellStyle name="60% - Énfasis4 7 2 3 2 5" xfId="39968" xr:uid="{3A30EECD-B612-4AF9-878B-EEC94C488E43}"/>
    <cellStyle name="60% - Énfasis4 7 2 3 3" xfId="19597" xr:uid="{7EEF655C-0042-4574-832D-FCB4CBE5662E}"/>
    <cellStyle name="60% - Énfasis4 7 2 3 4" xfId="25373" xr:uid="{52DD1E35-4BAF-432D-AF81-ABB3FF5B4032}"/>
    <cellStyle name="60% - Énfasis4 7 2 3 5" xfId="31247" xr:uid="{F78540C9-06C6-4255-8D1F-3F0EEA405678}"/>
    <cellStyle name="60% - Énfasis4 7 2 3 6" xfId="37125" xr:uid="{97BE8F78-7D08-4239-A6CE-06F2CE2123E5}"/>
    <cellStyle name="60% - Énfasis4 7 2 4" xfId="7017" xr:uid="{EEA3D4F8-7AD2-44FF-82D8-F6E03E792257}"/>
    <cellStyle name="60% - Énfasis4 7 2 4 2" xfId="21434" xr:uid="{DC078896-038B-4E47-9EAA-2AC73BFFD27C}"/>
    <cellStyle name="60% - Énfasis4 7 2 4 3" xfId="27255" xr:uid="{B8AABE5F-9C6B-476F-B4EF-9630967341EE}"/>
    <cellStyle name="60% - Énfasis4 7 2 4 4" xfId="33133" xr:uid="{4E0B9F58-86B3-40BC-96E4-D21395844BE5}"/>
    <cellStyle name="60% - Énfasis4 7 2 4 5" xfId="38997" xr:uid="{10F536CE-DFA3-4113-9125-48572C649B1E}"/>
    <cellStyle name="60% - Énfasis4 7 2 5" xfId="18689" xr:uid="{7C24864A-FA53-494F-808B-35350028E18D}"/>
    <cellStyle name="60% - Énfasis4 7 2 6" xfId="24404" xr:uid="{D6F5C70C-2E11-4AE6-8772-524DF514EFE2}"/>
    <cellStyle name="60% - Énfasis4 7 2 7" xfId="30281" xr:uid="{73257A2A-2AC0-4C07-8199-395ED2DAA2DE}"/>
    <cellStyle name="60% - Énfasis4 7 2 8" xfId="36161" xr:uid="{CD519E84-989D-4E94-920C-1821D829CAD0}"/>
    <cellStyle name="60% - Énfasis4 7 3" xfId="4444" xr:uid="{5E218DCF-4B9B-4D79-B5C5-B119053C7223}"/>
    <cellStyle name="60% - Énfasis4 7 3 2" xfId="5411" xr:uid="{35874917-2B68-4532-B911-0826D005DB0F}"/>
    <cellStyle name="60% - Énfasis4 7 3 2 2" xfId="8278" xr:uid="{9344E704-F94F-4775-90AB-35DC57AC35E9}"/>
    <cellStyle name="60% - Énfasis4 7 3 2 2 2" xfId="22654" xr:uid="{FFDD6AF9-0BC4-41FE-BB3C-33A3630BA1B8}"/>
    <cellStyle name="60% - Énfasis4 7 3 2 2 3" xfId="28511" xr:uid="{F0D0BD88-8225-4EDE-BB57-60F451852084}"/>
    <cellStyle name="60% - Énfasis4 7 3 2 2 4" xfId="34393" xr:uid="{E0E75A7D-FD8D-46CF-85EB-2A2DF156D984}"/>
    <cellStyle name="60% - Énfasis4 7 3 2 2 5" xfId="40257" xr:uid="{B0044EA4-4A64-42C9-9172-F8BE5E2710F5}"/>
    <cellStyle name="60% - Énfasis4 7 3 2 3" xfId="19876" xr:uid="{D2C1FC98-A668-4FA4-A96A-CE1F38C9DA92}"/>
    <cellStyle name="60% - Énfasis4 7 3 2 4" xfId="25662" xr:uid="{49D14C52-B49E-44D6-BADD-B460129D2588}"/>
    <cellStyle name="60% - Énfasis4 7 3 2 5" xfId="31536" xr:uid="{40DE8660-E9F9-4F68-9C2A-439CD49C64F0}"/>
    <cellStyle name="60% - Énfasis4 7 3 2 6" xfId="37407" xr:uid="{97B5D233-37D5-447C-AF00-331E58C9B127}"/>
    <cellStyle name="60% - Énfasis4 7 3 3" xfId="7306" xr:uid="{05CB9F75-37C5-4AD9-9308-A3918158CFF3}"/>
    <cellStyle name="60% - Énfasis4 7 3 3 2" xfId="21711" xr:uid="{E4494676-A291-4ACF-BC55-7B0C48ACC256}"/>
    <cellStyle name="60% - Énfasis4 7 3 3 3" xfId="27540" xr:uid="{3E5B2D9A-8D86-4CE3-B153-43A0EA20D1FD}"/>
    <cellStyle name="60% - Énfasis4 7 3 3 4" xfId="33422" xr:uid="{1ED67CC0-2794-4825-8D6A-1482B5A4F53B}"/>
    <cellStyle name="60% - Énfasis4 7 3 3 5" xfId="39286" xr:uid="{2625EC12-0938-4992-A03C-F7258278A342}"/>
    <cellStyle name="60% - Énfasis4 7 3 4" xfId="18947" xr:uid="{36920EC2-43D0-4724-A81E-7FC7FD4C1CAC}"/>
    <cellStyle name="60% - Énfasis4 7 3 5" xfId="24691" xr:uid="{68616E98-7B3A-433C-953A-FD552FD9F9FC}"/>
    <cellStyle name="60% - Énfasis4 7 3 6" xfId="30569" xr:uid="{7EEF56B6-E610-4C2F-8049-8E6265550EAE}"/>
    <cellStyle name="60% - Énfasis4 7 3 7" xfId="36450" xr:uid="{19AA60FC-630D-4011-9B7A-0377CD0EDB52}"/>
    <cellStyle name="60% - Énfasis4 7 4" xfId="4926" xr:uid="{29F73232-9C33-4EBC-A652-382B5C730BD4}"/>
    <cellStyle name="60% - Énfasis4 7 4 2" xfId="7793" xr:uid="{ED4ED2F9-6EAE-4E09-AC00-A86D1A76DD47}"/>
    <cellStyle name="60% - Énfasis4 7 4 2 2" xfId="22181" xr:uid="{2D53E7D6-9F33-4C3A-B4A0-85891FB31E64}"/>
    <cellStyle name="60% - Énfasis4 7 4 2 3" xfId="28026" xr:uid="{089D0CFF-1FEC-4F64-B44E-A9EABEA64634}"/>
    <cellStyle name="60% - Énfasis4 7 4 2 4" xfId="33908" xr:uid="{F533E699-F499-456C-B8AD-EE556921404D}"/>
    <cellStyle name="60% - Énfasis4 7 4 2 5" xfId="39772" xr:uid="{9906A6AE-0B60-41F2-B4CF-1C5525253667}"/>
    <cellStyle name="60% - Énfasis4 7 4 3" xfId="19408" xr:uid="{C911C810-55D4-4899-AE8F-9BEB71D738FA}"/>
    <cellStyle name="60% - Énfasis4 7 4 4" xfId="25177" xr:uid="{37723BF2-96CF-49BE-8576-C4DAD458DB26}"/>
    <cellStyle name="60% - Énfasis4 7 4 5" xfId="31051" xr:uid="{7E58C634-5693-48AF-AB6A-4EAD99C6405D}"/>
    <cellStyle name="60% - Énfasis4 7 4 6" xfId="36930" xr:uid="{6C65013E-C5D9-4996-BC59-6B61919A9067}"/>
    <cellStyle name="60% - Énfasis4 7 5" xfId="5936" xr:uid="{9572C39A-8AE8-4E47-9500-53B43A35B975}"/>
    <cellStyle name="60% - Énfasis4 7 5 2" xfId="8805" xr:uid="{A27B2559-B03C-4F7B-A167-F3E21E05C2DA}"/>
    <cellStyle name="60% - Énfasis4 7 5 2 2" xfId="23172" xr:uid="{55351621-A875-481B-8D19-D3B48100975A}"/>
    <cellStyle name="60% - Énfasis4 7 5 2 3" xfId="29037" xr:uid="{2F511FE4-01FF-4484-8567-9F66283EE650}"/>
    <cellStyle name="60% - Énfasis4 7 5 2 4" xfId="34919" xr:uid="{1C86433F-BDC5-4E02-922B-E4467F56F21F}"/>
    <cellStyle name="60% - Énfasis4 7 5 2 5" xfId="40783" xr:uid="{9C5444A8-6AE2-4315-B3DA-51F3F1046DB4}"/>
    <cellStyle name="60% - Énfasis4 7 5 3" xfId="20386" xr:uid="{4B1EE79D-EF97-42EA-A5C0-255A4B53AB4B}"/>
    <cellStyle name="60% - Énfasis4 7 5 4" xfId="26187" xr:uid="{89D8E06B-CEF9-44F9-B321-0D03A8BE8EE3}"/>
    <cellStyle name="60% - Énfasis4 7 5 5" xfId="32062" xr:uid="{B233ED19-B723-43F6-A093-9AB562CC6238}"/>
    <cellStyle name="60% - Énfasis4 7 5 6" xfId="37928" xr:uid="{5F4C52D1-98AA-4DF1-B3EB-BB0F7CF090DD}"/>
    <cellStyle name="60% - Énfasis4 7 6" xfId="6822" xr:uid="{8C9BA7FB-6581-4B35-B491-41D2F792424B}"/>
    <cellStyle name="60% - Énfasis4 7 6 2" xfId="21245" xr:uid="{AB078178-DF3B-4B0E-B01E-99503AD0BCF6}"/>
    <cellStyle name="60% - Énfasis4 7 6 3" xfId="27061" xr:uid="{D1CD8FF7-C6D2-4DFD-80CE-3860ECBBCC33}"/>
    <cellStyle name="60% - Énfasis4 7 6 4" xfId="32937" xr:uid="{6B24B5E8-D40C-40F2-ACF7-136CCF081241}"/>
    <cellStyle name="60% - Énfasis4 7 6 5" xfId="38801" xr:uid="{BC42C02C-2873-4F6E-B9CB-73E8FB7DB304}"/>
    <cellStyle name="60% - Énfasis4 7 7" xfId="18495" xr:uid="{DE1D90E2-FA1C-469E-8254-A2254DBACCC0}"/>
    <cellStyle name="60% - Énfasis4 7 8" xfId="24203" xr:uid="{D4FF1EF7-FA89-4C42-A826-D5240171A929}"/>
    <cellStyle name="60% - Énfasis4 7 9" xfId="30081" xr:uid="{B3303DB0-00D2-49C8-BB8E-CA4F050A6038}"/>
    <cellStyle name="60% - Énfasis4 8" xfId="3995" xr:uid="{8C0B56BC-321A-4E91-9168-E29A08379648}"/>
    <cellStyle name="60% - Énfasis4 8 10" xfId="35989" xr:uid="{E6E559CD-E8EE-4F81-AA62-4D519BAD12BF}"/>
    <cellStyle name="60% - Énfasis4 8 2" xfId="4187" xr:uid="{EF4B89C3-3489-49B3-B73F-FB809E4C1A4A}"/>
    <cellStyle name="60% - Énfasis4 8 2 2" xfId="4665" xr:uid="{3B2A8998-2B0D-44FF-BB8C-563BA2DD0049}"/>
    <cellStyle name="60% - Énfasis4 8 2 2 2" xfId="5633" xr:uid="{11B50E4B-BA21-4054-BE5A-30BA0170DF2C}"/>
    <cellStyle name="60% - Énfasis4 8 2 2 2 2" xfId="8500" xr:uid="{AF00C40D-A42E-4F08-AD19-1A46F3F73D8E}"/>
    <cellStyle name="60% - Énfasis4 8 2 2 2 2 2" xfId="22874" xr:uid="{2C659F04-85F8-4779-BBAF-0CF2E5C9C3DC}"/>
    <cellStyle name="60% - Énfasis4 8 2 2 2 2 3" xfId="28733" xr:uid="{459AF481-783E-4C9D-A845-45EBF2241E7D}"/>
    <cellStyle name="60% - Énfasis4 8 2 2 2 2 4" xfId="34615" xr:uid="{F6D0AD75-AC1F-40E2-9FBB-0DB288D6299C}"/>
    <cellStyle name="60% - Énfasis4 8 2 2 2 2 5" xfId="40479" xr:uid="{64C9F2E0-1452-471A-9E9F-2C1C529A4E7D}"/>
    <cellStyle name="60% - Énfasis4 8 2 2 2 3" xfId="20092" xr:uid="{757DFB07-A686-43DB-A90E-B973365DF6D3}"/>
    <cellStyle name="60% - Énfasis4 8 2 2 2 4" xfId="25884" xr:uid="{D7FE0E50-92E5-4DF5-89F8-A207CD3B8311}"/>
    <cellStyle name="60% - Énfasis4 8 2 2 2 5" xfId="31758" xr:uid="{A120E1B2-7621-4292-8386-594294131BEA}"/>
    <cellStyle name="60% - Énfasis4 8 2 2 2 6" xfId="37627" xr:uid="{53B1F57C-5E94-48C9-9034-22EB5BABAB51}"/>
    <cellStyle name="60% - Énfasis4 8 2 2 3" xfId="7528" xr:uid="{190417D6-3D19-4032-8A7D-36B4E62D96A8}"/>
    <cellStyle name="60% - Énfasis4 8 2 2 3 2" xfId="21928" xr:uid="{583F1970-1B1E-44BA-824B-E92FCC4F5982}"/>
    <cellStyle name="60% - Énfasis4 8 2 2 3 3" xfId="27762" xr:uid="{69BB6CAB-B8B2-429F-A748-DA5D8D768701}"/>
    <cellStyle name="60% - Énfasis4 8 2 2 3 4" xfId="33644" xr:uid="{AD792B55-A523-40CA-8AFE-94DF5B59C464}"/>
    <cellStyle name="60% - Énfasis4 8 2 2 3 5" xfId="39508" xr:uid="{02985608-C076-4C09-BB26-1A7E2150E671}"/>
    <cellStyle name="60% - Énfasis4 8 2 2 4" xfId="19157" xr:uid="{FBD205BD-8309-4D21-A666-4DB3F1042E3E}"/>
    <cellStyle name="60% - Énfasis4 8 2 2 5" xfId="24913" xr:uid="{E912A69C-F237-44F2-9376-5296C06D4E92}"/>
    <cellStyle name="60% - Énfasis4 8 2 2 6" xfId="30789" xr:uid="{40227389-950B-40D0-8CEC-EDC9B1C75C00}"/>
    <cellStyle name="60% - Énfasis4 8 2 2 7" xfId="36670" xr:uid="{8A56611A-55FF-4528-8CC6-2B06BEFBAD1D}"/>
    <cellStyle name="60% - Énfasis4 8 2 3" xfId="5148" xr:uid="{808120F7-BE4D-46C8-B344-14B2FF5FBCF0}"/>
    <cellStyle name="60% - Énfasis4 8 2 3 2" xfId="8015" xr:uid="{ABC69EEE-02A5-4504-B8EF-F5E07FC36391}"/>
    <cellStyle name="60% - Énfasis4 8 2 3 2 2" xfId="22399" xr:uid="{3788DC47-8D7C-46E4-91A5-324D30B4ED74}"/>
    <cellStyle name="60% - Énfasis4 8 2 3 2 3" xfId="28248" xr:uid="{7058597F-681C-4DAD-8D2C-EF6427538D91}"/>
    <cellStyle name="60% - Énfasis4 8 2 3 2 4" xfId="34130" xr:uid="{595ED238-4A10-4762-9A87-689A9F750649}"/>
    <cellStyle name="60% - Énfasis4 8 2 3 2 5" xfId="39994" xr:uid="{D9E06910-CF62-49DA-9A64-C2E026BE57CC}"/>
    <cellStyle name="60% - Énfasis4 8 2 3 3" xfId="19622" xr:uid="{52B14A36-E5A5-40CF-87B6-D7F2260B1A04}"/>
    <cellStyle name="60% - Énfasis4 8 2 3 4" xfId="25399" xr:uid="{925FCDD3-8C19-4E05-BA83-F0106B01F609}"/>
    <cellStyle name="60% - Énfasis4 8 2 3 5" xfId="31273" xr:uid="{8F436DFC-D4CE-4116-89F2-98119AE2BFE2}"/>
    <cellStyle name="60% - Énfasis4 8 2 3 6" xfId="37150" xr:uid="{E06FAA8B-6995-4279-9E6E-D077D3DACC96}"/>
    <cellStyle name="60% - Énfasis4 8 2 4" xfId="7043" xr:uid="{7822D3F4-2B0F-49B8-A17A-6953DF48682E}"/>
    <cellStyle name="60% - Énfasis4 8 2 4 2" xfId="21459" xr:uid="{9046F5B0-2CCC-40F1-A6ED-4B8A9348BFCE}"/>
    <cellStyle name="60% - Énfasis4 8 2 4 3" xfId="27280" xr:uid="{2065CAF9-8035-4EA0-A367-DA19C19298DE}"/>
    <cellStyle name="60% - Énfasis4 8 2 4 4" xfId="33159" xr:uid="{EEAA59D6-EF62-453B-BD9C-2F5B7C482204}"/>
    <cellStyle name="60% - Énfasis4 8 2 4 5" xfId="39023" xr:uid="{96E270D8-73DA-45DC-862C-7FB755525A4A}"/>
    <cellStyle name="60% - Énfasis4 8 2 5" xfId="18714" xr:uid="{A12989A8-8751-4B56-91CE-A11B5A28D29C}"/>
    <cellStyle name="60% - Énfasis4 8 2 6" xfId="24430" xr:uid="{598141E4-F44A-4ABB-9735-86FF4EA90F51}"/>
    <cellStyle name="60% - Énfasis4 8 2 7" xfId="30307" xr:uid="{27169A4A-8676-4528-BEBB-9941C64D1E1F}"/>
    <cellStyle name="60% - Énfasis4 8 2 8" xfId="36187" xr:uid="{CB8E2464-3683-48F2-AA1A-F2A3EE98C90E}"/>
    <cellStyle name="60% - Énfasis4 8 3" xfId="4469" xr:uid="{A6510C74-D4D1-4435-BB3C-22A03F07FA5A}"/>
    <cellStyle name="60% - Énfasis4 8 3 2" xfId="5437" xr:uid="{D1F7F53A-4D63-4856-A387-354936025600}"/>
    <cellStyle name="60% - Énfasis4 8 3 2 2" xfId="8304" xr:uid="{9E515420-15BD-4CBF-9FC3-4F653A70C11A}"/>
    <cellStyle name="60% - Énfasis4 8 3 2 2 2" xfId="22680" xr:uid="{BA9741DE-7323-4678-BA95-813ED84281BD}"/>
    <cellStyle name="60% - Énfasis4 8 3 2 2 3" xfId="28537" xr:uid="{951865E0-7957-4925-852F-2C21B7CA74E1}"/>
    <cellStyle name="60% - Énfasis4 8 3 2 2 4" xfId="34419" xr:uid="{713F629B-13CC-4F58-88CB-FA1C4268879A}"/>
    <cellStyle name="60% - Énfasis4 8 3 2 2 5" xfId="40283" xr:uid="{A48FCDC7-F6E1-44BC-B886-176FAEBCB7C5}"/>
    <cellStyle name="60% - Énfasis4 8 3 2 3" xfId="19901" xr:uid="{A29A285C-0064-410D-A492-985FDB52F4B4}"/>
    <cellStyle name="60% - Énfasis4 8 3 2 4" xfId="25688" xr:uid="{60EFAED1-5964-4E0B-A277-0729C7F55324}"/>
    <cellStyle name="60% - Énfasis4 8 3 2 5" xfId="31562" xr:uid="{BE1D36B8-0690-4896-83EB-41906960B94B}"/>
    <cellStyle name="60% - Énfasis4 8 3 2 6" xfId="37433" xr:uid="{39EF0D9C-1151-434F-AB17-6FFF483379E6}"/>
    <cellStyle name="60% - Énfasis4 8 3 3" xfId="7332" xr:uid="{363A14D3-1D4E-4759-9F73-702EEE3EA926}"/>
    <cellStyle name="60% - Énfasis4 8 3 3 2" xfId="21736" xr:uid="{8BF97E4B-39E1-4160-8257-0B43B4DC83A1}"/>
    <cellStyle name="60% - Énfasis4 8 3 3 3" xfId="27566" xr:uid="{018A046E-C077-4460-AC91-51E959116151}"/>
    <cellStyle name="60% - Énfasis4 8 3 3 4" xfId="33448" xr:uid="{D0B5A9FE-E6E0-4701-93A5-B21B34114F9A}"/>
    <cellStyle name="60% - Énfasis4 8 3 3 5" xfId="39312" xr:uid="{6CFE1F93-0454-4BC5-8FB7-A8D9A8583352}"/>
    <cellStyle name="60% - Énfasis4 8 3 4" xfId="18973" xr:uid="{F573D850-A52B-4547-8592-1FE41FDFF4C3}"/>
    <cellStyle name="60% - Énfasis4 8 3 5" xfId="24717" xr:uid="{4D7CE658-AA78-4065-B644-2D65B18F07FB}"/>
    <cellStyle name="60% - Énfasis4 8 3 6" xfId="30595" xr:uid="{97302E57-3507-40B1-9A6E-CE3C02AF5CE4}"/>
    <cellStyle name="60% - Énfasis4 8 3 7" xfId="36476" xr:uid="{18B2681D-7CD6-4914-A4EC-F0D6A145298D}"/>
    <cellStyle name="60% - Énfasis4 8 4" xfId="4952" xr:uid="{6ACEB927-E27A-47A5-8DD6-680A983B3F15}"/>
    <cellStyle name="60% - Énfasis4 8 4 2" xfId="7819" xr:uid="{B473C937-3AE9-4891-85CC-2F5EFEC9B944}"/>
    <cellStyle name="60% - Énfasis4 8 4 2 2" xfId="22206" xr:uid="{3500B94C-50BA-473E-BFC1-29F34563BA2D}"/>
    <cellStyle name="60% - Énfasis4 8 4 2 3" xfId="28052" xr:uid="{74BE75EC-D22E-497D-BDCE-E48B092CF352}"/>
    <cellStyle name="60% - Énfasis4 8 4 2 4" xfId="33934" xr:uid="{67DBEEA1-CB83-4758-B72C-F325BD45B310}"/>
    <cellStyle name="60% - Énfasis4 8 4 2 5" xfId="39798" xr:uid="{6BECD8F1-BF19-46C5-B8A3-D3A6F0F9935B}"/>
    <cellStyle name="60% - Énfasis4 8 4 3" xfId="19434" xr:uid="{6B1860E5-F713-4D89-AFFC-CFDD04C24D4C}"/>
    <cellStyle name="60% - Énfasis4 8 4 4" xfId="25203" xr:uid="{E72655D7-4828-4874-BA46-258482CB575E}"/>
    <cellStyle name="60% - Énfasis4 8 4 5" xfId="31077" xr:uid="{C8A46D43-1A15-4D39-B1CB-2781CE17B3CE}"/>
    <cellStyle name="60% - Énfasis4 8 4 6" xfId="36956" xr:uid="{440425D4-E5DB-465D-82F0-81ADE5C973C9}"/>
    <cellStyle name="60% - Énfasis4 8 5" xfId="5962" xr:uid="{3FAFC62E-31F3-4BCC-86E5-DB4472D7C1C6}"/>
    <cellStyle name="60% - Énfasis4 8 5 2" xfId="8831" xr:uid="{BD03C422-09D2-4C26-9DF3-16EB4610DAFE}"/>
    <cellStyle name="60% - Énfasis4 8 5 2 2" xfId="23196" xr:uid="{4190D095-F443-420B-80B5-074AB77BBF1A}"/>
    <cellStyle name="60% - Énfasis4 8 5 2 3" xfId="29063" xr:uid="{14277119-7EC7-4184-8AAF-D24E2C451815}"/>
    <cellStyle name="60% - Énfasis4 8 5 2 4" xfId="34945" xr:uid="{5CA7CC6F-A9A3-4825-B646-F5141E6FAE2C}"/>
    <cellStyle name="60% - Énfasis4 8 5 2 5" xfId="40809" xr:uid="{BFDA5444-2FD0-444E-AAE5-A65D33E1ECC2}"/>
    <cellStyle name="60% - Énfasis4 8 5 3" xfId="20412" xr:uid="{872F43F2-2379-440D-816F-D7BB370E6ABA}"/>
    <cellStyle name="60% - Énfasis4 8 5 4" xfId="26213" xr:uid="{CF14218B-0023-4F3C-9EAB-00836E3632CB}"/>
    <cellStyle name="60% - Énfasis4 8 5 5" xfId="32088" xr:uid="{F165753B-7053-48A0-BE04-DD029F58F4BA}"/>
    <cellStyle name="60% - Énfasis4 8 5 6" xfId="37953" xr:uid="{ECD50C83-09B9-4701-91D4-2EF068F1CBC8}"/>
    <cellStyle name="60% - Énfasis4 8 6" xfId="6848" xr:uid="{F78D0FEE-7C2C-4FB7-9F69-37631267E4D6}"/>
    <cellStyle name="60% - Énfasis4 8 6 2" xfId="21271" xr:uid="{9360E24F-BE70-461F-9249-167F02F3840A}"/>
    <cellStyle name="60% - Énfasis4 8 6 3" xfId="27086" xr:uid="{38B6BD52-5854-4AB9-8F8E-403F0A456213}"/>
    <cellStyle name="60% - Énfasis4 8 6 4" xfId="32963" xr:uid="{2ECC84FF-5B3B-4A34-9ED2-9B0AEC2C3517}"/>
    <cellStyle name="60% - Énfasis4 8 6 5" xfId="38827" xr:uid="{814ECEA1-551B-4646-988E-C5816E517F42}"/>
    <cellStyle name="60% - Énfasis4 8 7" xfId="18522" xr:uid="{2CAC4B47-08E7-4229-95DE-B4D006FF3401}"/>
    <cellStyle name="60% - Énfasis4 8 8" xfId="24231" xr:uid="{90B59B30-7AE2-4182-9360-50014BBE3881}"/>
    <cellStyle name="60% - Énfasis4 8 9" xfId="30109" xr:uid="{425D55B1-C912-4632-83D6-A89AD12F0637}"/>
    <cellStyle name="60% - Énfasis4 9" xfId="4019" xr:uid="{F1C875C6-DAF8-479E-B522-723CB14D1E3B}"/>
    <cellStyle name="60% - Énfasis4 9 2" xfId="4490" xr:uid="{AC1EEE97-01B4-42ED-ACBF-D6F2C92D1A6F}"/>
    <cellStyle name="60% - Énfasis4 9 2 2" xfId="5458" xr:uid="{C850C92B-E9C4-4A08-8E7D-296311609F98}"/>
    <cellStyle name="60% - Énfasis4 9 2 2 2" xfId="8325" xr:uid="{611B3B85-3B71-402F-861D-AB1F97C80952}"/>
    <cellStyle name="60% - Énfasis4 9 2 2 2 2" xfId="22701" xr:uid="{676DB5DE-D64D-4488-8D1B-86274CAC4868}"/>
    <cellStyle name="60% - Énfasis4 9 2 2 2 3" xfId="28558" xr:uid="{36174DA2-90EE-49AE-A7DA-3FFE239C9312}"/>
    <cellStyle name="60% - Énfasis4 9 2 2 2 4" xfId="34440" xr:uid="{E4118070-A3CC-4BA1-896A-90D7AF1EDB8E}"/>
    <cellStyle name="60% - Énfasis4 9 2 2 2 5" xfId="40304" xr:uid="{BB824211-E0AC-4E82-A5FE-8065ECD42851}"/>
    <cellStyle name="60% - Énfasis4 9 2 2 3" xfId="19921" xr:uid="{92D73B22-222F-44EE-90AE-7C8CDDD60BF2}"/>
    <cellStyle name="60% - Énfasis4 9 2 2 4" xfId="25709" xr:uid="{8E781120-8C77-431B-B5D6-6B5CCB413963}"/>
    <cellStyle name="60% - Énfasis4 9 2 2 5" xfId="31583" xr:uid="{8A11AF48-3D31-4234-B145-DE86479A8F0B}"/>
    <cellStyle name="60% - Énfasis4 9 2 2 6" xfId="37454" xr:uid="{04548AF0-47EA-4F21-A735-8F40CB8E1FF9}"/>
    <cellStyle name="60% - Énfasis4 9 2 3" xfId="7353" xr:uid="{AAD0CE8B-6320-4FC6-ABEA-E6A9FEB2DAAE}"/>
    <cellStyle name="60% - Énfasis4 9 2 3 2" xfId="21756" xr:uid="{BBCF615F-5132-4345-B327-ECA0DF66B938}"/>
    <cellStyle name="60% - Énfasis4 9 2 3 3" xfId="27587" xr:uid="{2915EB77-4C90-427E-ABDF-8BA0C471BBA5}"/>
    <cellStyle name="60% - Énfasis4 9 2 3 4" xfId="33469" xr:uid="{E800D2C0-D6C9-4A43-8D5E-9E437B7F9D58}"/>
    <cellStyle name="60% - Énfasis4 9 2 3 5" xfId="39333" xr:uid="{136DB7D7-8493-4A90-806C-90D79BBA8676}"/>
    <cellStyle name="60% - Énfasis4 9 2 4" xfId="18994" xr:uid="{7870983E-26AF-44FC-983A-A9DDC5E9C6EF}"/>
    <cellStyle name="60% - Énfasis4 9 2 5" xfId="24738" xr:uid="{3EF09D8B-4508-443E-A808-D5E056AF5236}"/>
    <cellStyle name="60% - Énfasis4 9 2 6" xfId="30615" xr:uid="{D13E7DC9-63BD-4AE5-AC04-399DF44BEA49}"/>
    <cellStyle name="60% - Énfasis4 9 2 7" xfId="36497" xr:uid="{534681BD-68AA-4678-A024-97DF5E897EDB}"/>
    <cellStyle name="60% - Énfasis4 9 3" xfId="4973" xr:uid="{4FD437E1-B715-41A8-A336-A52440B440F1}"/>
    <cellStyle name="60% - Énfasis4 9 3 2" xfId="7840" xr:uid="{E1607101-0C44-4730-85E6-1912D48EC885}"/>
    <cellStyle name="60% - Énfasis4 9 3 2 2" xfId="22226" xr:uid="{84FA15B9-EDD0-452C-9C82-2D47B49CB384}"/>
    <cellStyle name="60% - Énfasis4 9 3 2 3" xfId="28073" xr:uid="{35A39589-22C6-42E0-AFD8-E3BFFDEB9374}"/>
    <cellStyle name="60% - Énfasis4 9 3 2 4" xfId="33955" xr:uid="{EDE4B590-304A-4645-861D-3BC4C6086F4B}"/>
    <cellStyle name="60% - Énfasis4 9 3 2 5" xfId="39819" xr:uid="{5633D84A-9D0C-4B4A-961E-E4121EA027EA}"/>
    <cellStyle name="60% - Énfasis4 9 3 3" xfId="19454" xr:uid="{4EA7E1D0-99DC-461E-819D-623E148EA57A}"/>
    <cellStyle name="60% - Énfasis4 9 3 4" xfId="25224" xr:uid="{089CC6F2-A81E-4B60-A74B-46BFA421766C}"/>
    <cellStyle name="60% - Énfasis4 9 3 5" xfId="31098" xr:uid="{212A023F-D63B-484D-8138-DEFF8E2D20F6}"/>
    <cellStyle name="60% - Énfasis4 9 3 6" xfId="36977" xr:uid="{72D0C8AC-CE78-4849-B102-8EBF6A1F6A1C}"/>
    <cellStyle name="60% - Énfasis4 9 4" xfId="6869" xr:uid="{A646BFD9-068F-453F-9D57-694E8010FCB2}"/>
    <cellStyle name="60% - Énfasis4 9 4 2" xfId="21291" xr:uid="{EA7090CE-2277-423A-A7F4-14E854D59C47}"/>
    <cellStyle name="60% - Énfasis4 9 4 3" xfId="27107" xr:uid="{C7789439-8460-43BB-B554-FF174522EFDD}"/>
    <cellStyle name="60% - Énfasis4 9 4 4" xfId="32984" xr:uid="{DEBD73BB-0020-4B1E-B9C1-3B1F9197F81E}"/>
    <cellStyle name="60% - Énfasis4 9 4 5" xfId="38848" xr:uid="{25B88D4F-BB07-4FF9-9BF4-40DC76881C9A}"/>
    <cellStyle name="60% - Énfasis4 9 5" xfId="18545" xr:uid="{FA43D12F-929C-4764-B6E8-5FCFD26F6769}"/>
    <cellStyle name="60% - Énfasis4 9 6" xfId="24255" xr:uid="{1FA94427-A682-41C0-8813-4475AD2A8666}"/>
    <cellStyle name="60% - Énfasis4 9 7" xfId="30133" xr:uid="{E320D16A-186D-4A1E-AEAF-D85F75640821}"/>
    <cellStyle name="60% - Énfasis4 9 8" xfId="36012" xr:uid="{40103648-1364-4583-A171-7FE8C22223BD}"/>
    <cellStyle name="60% - Énfasis5" xfId="37" builtinId="48" customBuiltin="1"/>
    <cellStyle name="60% - Énfasis5 10" xfId="4214" xr:uid="{AB9A8C38-54FE-46CF-B80D-4E22661D0209}"/>
    <cellStyle name="60% - Énfasis5 10 2" xfId="4692" xr:uid="{57BB2312-31B5-41C9-B9AE-AE45CA82FEEB}"/>
    <cellStyle name="60% - Énfasis5 10 2 2" xfId="5660" xr:uid="{E906486F-3C06-42B4-9528-0B15D97BF30A}"/>
    <cellStyle name="60% - Énfasis5 10 2 2 2" xfId="8528" xr:uid="{5B2FC2E8-5002-4E4E-8BEE-5F827DF090EF}"/>
    <cellStyle name="60% - Énfasis5 10 2 2 2 2" xfId="22902" xr:uid="{2C39AEAB-FE52-4725-B56F-DCD6FFEA278F}"/>
    <cellStyle name="60% - Énfasis5 10 2 2 2 3" xfId="28761" xr:uid="{201976DF-FE2A-4EA7-9C13-1E377D3581F5}"/>
    <cellStyle name="60% - Énfasis5 10 2 2 2 4" xfId="34643" xr:uid="{1825F3BD-2A37-4929-A3F8-8492C9DE0733}"/>
    <cellStyle name="60% - Énfasis5 10 2 2 2 5" xfId="40507" xr:uid="{57C57D56-4C8A-4C44-B649-8E3A96CC002D}"/>
    <cellStyle name="60% - Énfasis5 10 2 2 3" xfId="20119" xr:uid="{C17713DD-C159-4D58-B082-B6BDBA408670}"/>
    <cellStyle name="60% - Énfasis5 10 2 2 4" xfId="25911" xr:uid="{48B81CDD-029A-49FF-9E5F-5ABCE8A589C3}"/>
    <cellStyle name="60% - Énfasis5 10 2 2 5" xfId="31786" xr:uid="{F177C20A-E8AC-40AC-9E6D-EB43690D5C06}"/>
    <cellStyle name="60% - Énfasis5 10 2 2 6" xfId="37655" xr:uid="{F45341D9-1A5A-4091-BC58-5CC82D7E2E2D}"/>
    <cellStyle name="60% - Énfasis5 10 2 3" xfId="7556" xr:uid="{B4B5698A-B65F-48D1-B7DC-92B663F1AA8D}"/>
    <cellStyle name="60% - Énfasis5 10 2 3 2" xfId="21954" xr:uid="{E67886D4-95E0-40A6-8711-161AE349555F}"/>
    <cellStyle name="60% - Énfasis5 10 2 3 3" xfId="27790" xr:uid="{E66656B7-AA8C-4CCC-A355-44CD61E420BD}"/>
    <cellStyle name="60% - Énfasis5 10 2 3 4" xfId="33672" xr:uid="{73BFD139-476D-4085-A83C-40ACAEDC5B61}"/>
    <cellStyle name="60% - Énfasis5 10 2 3 5" xfId="39536" xr:uid="{1969968A-2EBF-4315-BD78-D91252DEB261}"/>
    <cellStyle name="60% - Énfasis5 10 2 4" xfId="19185" xr:uid="{5DB38CD6-AA8A-4B25-AE58-2AB760704EEF}"/>
    <cellStyle name="60% - Énfasis5 10 2 5" xfId="24941" xr:uid="{23982EA0-8E25-4BE2-83BA-66A9710BE2EB}"/>
    <cellStyle name="60% - Énfasis5 10 2 6" xfId="30816" xr:uid="{757FA06A-F039-458A-9BBD-A4DDBBF1B0B2}"/>
    <cellStyle name="60% - Énfasis5 10 2 7" xfId="36698" xr:uid="{CF010D0B-DA80-48A9-8E40-52D6B80D539F}"/>
    <cellStyle name="60% - Énfasis5 10 3" xfId="5176" xr:uid="{AFD4E297-7143-45FF-B355-5E1DD977994F}"/>
    <cellStyle name="60% - Énfasis5 10 3 2" xfId="8043" xr:uid="{78B9CD9E-340E-475D-997E-3606FB75BFFF}"/>
    <cellStyle name="60% - Énfasis5 10 3 2 2" xfId="22426" xr:uid="{015B4EAA-12F1-44F5-9E66-0631ED054FA5}"/>
    <cellStyle name="60% - Énfasis5 10 3 2 3" xfId="28276" xr:uid="{6414A605-979F-4F74-8E82-BA634605A625}"/>
    <cellStyle name="60% - Énfasis5 10 3 2 4" xfId="34158" xr:uid="{7D76EE10-E273-4B64-AEAB-602189801335}"/>
    <cellStyle name="60% - Énfasis5 10 3 2 5" xfId="40022" xr:uid="{2B1BD554-BC0D-4483-A8A7-F1DD572EB300}"/>
    <cellStyle name="60% - Énfasis5 10 3 3" xfId="19649" xr:uid="{106F0403-82AC-48ED-9A3C-46623F2DCC52}"/>
    <cellStyle name="60% - Énfasis5 10 3 4" xfId="25427" xr:uid="{CC88043F-AF88-4CE0-A905-6EBECB56CEF6}"/>
    <cellStyle name="60% - Énfasis5 10 3 5" xfId="31301" xr:uid="{A4445568-A744-456E-83D6-5A3DA4D0DBD3}"/>
    <cellStyle name="60% - Énfasis5 10 3 6" xfId="37178" xr:uid="{A37ED073-9183-4627-8239-0A8D666A531F}"/>
    <cellStyle name="60% - Énfasis5 10 4" xfId="7071" xr:uid="{21ED7444-1FF4-4E1B-BD3B-04FFA51F0759}"/>
    <cellStyle name="60% - Énfasis5 10 4 2" xfId="21486" xr:uid="{291FFBD7-D118-48B0-9FDF-77A3D59EB05C}"/>
    <cellStyle name="60% - Énfasis5 10 4 3" xfId="27308" xr:uid="{C5AA6992-6664-420C-BE7A-1202B8F4BC3E}"/>
    <cellStyle name="60% - Énfasis5 10 4 4" xfId="33187" xr:uid="{C20D7709-5112-4EE1-91A8-4F21E03B51B4}"/>
    <cellStyle name="60% - Énfasis5 10 4 5" xfId="39051" xr:uid="{73DB48D1-1230-4429-8AEB-B3FDB02192E6}"/>
    <cellStyle name="60% - Énfasis5 10 5" xfId="18742" xr:uid="{9F0993FC-12F0-44BC-828C-E78710DC0A97}"/>
    <cellStyle name="60% - Énfasis5 10 6" xfId="24458" xr:uid="{7CD42D69-60E0-46FE-8B68-2C25F41B618A}"/>
    <cellStyle name="60% - Énfasis5 10 7" xfId="30334" xr:uid="{0B982475-3191-49F3-9E33-4034EB7C6BA7}"/>
    <cellStyle name="60% - Énfasis5 10 8" xfId="36215" xr:uid="{9E186FBA-3BB8-4F84-AE32-2F58B3BC8E8B}"/>
    <cellStyle name="60% - Énfasis5 11" xfId="4250" xr:uid="{4F94712A-371C-4883-8EE9-06EDD2D58C8E}"/>
    <cellStyle name="60% - Énfasis5 11 2" xfId="4729" xr:uid="{E6E8A81B-AE81-439C-9C94-C6DA8C273D82}"/>
    <cellStyle name="60% - Énfasis5 11 2 2" xfId="5697" xr:uid="{81D610A3-96A7-4A98-82CA-D02B37D552B3}"/>
    <cellStyle name="60% - Énfasis5 11 2 2 2" xfId="8565" xr:uid="{54E5377E-9194-48D5-93F8-C42888FA62AF}"/>
    <cellStyle name="60% - Énfasis5 11 2 2 2 2" xfId="22937" xr:uid="{67ACCB5F-CE2F-4B94-AE47-4C029D8E38AD}"/>
    <cellStyle name="60% - Énfasis5 11 2 2 2 3" xfId="28798" xr:uid="{224ADCBC-B228-46D4-8FB3-1CDAB67A49F5}"/>
    <cellStyle name="60% - Énfasis5 11 2 2 2 4" xfId="34680" xr:uid="{F8253C4C-C3AE-4A88-86A5-2D1F0C3A9155}"/>
    <cellStyle name="60% - Énfasis5 11 2 2 2 5" xfId="40544" xr:uid="{B95401BC-1C7E-4239-9748-E43063E4335B}"/>
    <cellStyle name="60% - Énfasis5 11 2 2 3" xfId="20154" xr:uid="{C0065480-6022-47C6-A6CB-2968F7CC3E95}"/>
    <cellStyle name="60% - Énfasis5 11 2 2 4" xfId="25948" xr:uid="{793C859B-3D33-4F2E-B808-C73534BFD175}"/>
    <cellStyle name="60% - Énfasis5 11 2 2 5" xfId="31823" xr:uid="{C36081C6-5912-491D-8D9B-637B72497406}"/>
    <cellStyle name="60% - Énfasis5 11 2 2 6" xfId="37690" xr:uid="{FC30368C-6AEA-4E67-BB03-BCA104D7E9A1}"/>
    <cellStyle name="60% - Énfasis5 11 2 3" xfId="7593" xr:uid="{B08B1118-11B7-47D4-A7DA-F42C24A935CA}"/>
    <cellStyle name="60% - Énfasis5 11 2 3 2" xfId="21987" xr:uid="{C532AB44-78B3-49BC-ACAE-7894406767E9}"/>
    <cellStyle name="60% - Énfasis5 11 2 3 3" xfId="27827" xr:uid="{22523E97-DE58-4B76-95DD-C1D926853B3F}"/>
    <cellStyle name="60% - Énfasis5 11 2 3 4" xfId="33709" xr:uid="{BB68E233-A14E-4846-B779-ACE323F694A4}"/>
    <cellStyle name="60% - Énfasis5 11 2 3 5" xfId="39573" xr:uid="{E6ABD45F-8645-47F3-903F-53E82671AA69}"/>
    <cellStyle name="60% - Énfasis5 11 2 4" xfId="19219" xr:uid="{8314C752-1567-440C-BF3F-7450219BE1F6}"/>
    <cellStyle name="60% - Énfasis5 11 2 5" xfId="24978" xr:uid="{2F9A2A96-264E-4D66-B1F8-7B000C8E01AF}"/>
    <cellStyle name="60% - Énfasis5 11 2 6" xfId="30852" xr:uid="{5B611222-9AEC-43F5-9179-AB077637E0F0}"/>
    <cellStyle name="60% - Énfasis5 11 2 7" xfId="36733" xr:uid="{51067D8C-76F5-4101-B790-42ACAA3E1A43}"/>
    <cellStyle name="60% - Énfasis5 11 3" xfId="5213" xr:uid="{2FC28555-EA15-4DF0-8AF3-9D621BEE8C82}"/>
    <cellStyle name="60% - Énfasis5 11 3 2" xfId="8080" xr:uid="{4ACFA916-3BA7-46F6-B95A-C66DF357FD39}"/>
    <cellStyle name="60% - Énfasis5 11 3 2 2" xfId="22458" xr:uid="{D9848A6B-0E57-4A4D-AD0D-9FD8869D26E3}"/>
    <cellStyle name="60% - Énfasis5 11 3 2 3" xfId="28313" xr:uid="{729FCDA3-333F-454A-9982-C4E6876A8DE4}"/>
    <cellStyle name="60% - Énfasis5 11 3 2 4" xfId="34195" xr:uid="{2CF8540D-ADB0-483C-AD87-72D7C3E129C2}"/>
    <cellStyle name="60% - Énfasis5 11 3 2 5" xfId="40059" xr:uid="{A567927C-EF2B-41F4-9DBE-2515B90A8597}"/>
    <cellStyle name="60% - Énfasis5 11 3 3" xfId="19684" xr:uid="{6D343A4A-950B-4B7D-BF3E-340497FEC22B}"/>
    <cellStyle name="60% - Énfasis5 11 3 4" xfId="25464" xr:uid="{DA54B108-7BD5-4F7C-900E-E5B3FAB91342}"/>
    <cellStyle name="60% - Énfasis5 11 3 5" xfId="31338" xr:uid="{D1AD494E-72A4-4417-9BE7-4976AE06C8C9}"/>
    <cellStyle name="60% - Énfasis5 11 3 6" xfId="37211" xr:uid="{30CE0A89-159D-492B-9125-75ED7F40F437}"/>
    <cellStyle name="60% - Énfasis5 11 4" xfId="7108" xr:uid="{38565509-6ACA-434A-84E7-C2D44599BB16}"/>
    <cellStyle name="60% - Énfasis5 11 4 2" xfId="21520" xr:uid="{9AA60A74-94AD-44B2-9390-405443B83DE7}"/>
    <cellStyle name="60% - Énfasis5 11 4 3" xfId="27343" xr:uid="{E66AC197-93C9-48FA-85EA-9FC4D069924F}"/>
    <cellStyle name="60% - Énfasis5 11 4 4" xfId="33224" xr:uid="{B8BC4BD9-E681-4C29-B37F-280E54C91985}"/>
    <cellStyle name="60% - Énfasis5 11 4 5" xfId="39088" xr:uid="{A93D5783-480A-419B-ACB8-32FB90A485AA}"/>
    <cellStyle name="60% - Énfasis5 11 5" xfId="18771" xr:uid="{BD6D4A12-39F8-48EC-B2BC-41DC0D163C38}"/>
    <cellStyle name="60% - Énfasis5 11 6" xfId="24493" xr:uid="{5804A62E-D1AA-4BB1-B8A4-E84BCCF9DF04}"/>
    <cellStyle name="60% - Énfasis5 11 7" xfId="30371" xr:uid="{067E1EBD-567B-4755-9734-3F1D7B81340D}"/>
    <cellStyle name="60% - Énfasis5 11 8" xfId="36252" xr:uid="{18E6702D-F632-44F4-9BE2-0411746D348A}"/>
    <cellStyle name="60% - Énfasis5 12" xfId="4299" xr:uid="{FC174B50-87B9-4CC6-94E2-3F042C366701}"/>
    <cellStyle name="60% - Énfasis5 12 2" xfId="5265" xr:uid="{5B877B64-D5AE-43D3-B1F8-65662BFD69B6}"/>
    <cellStyle name="60% - Énfasis5 12 2 2" xfId="8132" xr:uid="{7FC124AA-CB44-400C-9D69-C466D985CD36}"/>
    <cellStyle name="60% - Énfasis5 12 2 2 2" xfId="22509" xr:uid="{1239F9F3-CC4D-4582-9E04-5B89C01A1C73}"/>
    <cellStyle name="60% - Énfasis5 12 2 2 3" xfId="28365" xr:uid="{E9073D79-A58B-41D4-BF06-46BAA5E5A244}"/>
    <cellStyle name="60% - Énfasis5 12 2 2 4" xfId="34247" xr:uid="{5C506C0F-F289-445F-9091-561F0DB434DC}"/>
    <cellStyle name="60% - Énfasis5 12 2 2 5" xfId="40111" xr:uid="{ADE352BC-B345-4326-8219-6CB7A1F08773}"/>
    <cellStyle name="60% - Énfasis5 12 2 3" xfId="19735" xr:uid="{78AD2853-4347-48E8-AB09-11B38EC1F62B}"/>
    <cellStyle name="60% - Énfasis5 12 2 4" xfId="25516" xr:uid="{3F3FDE63-ED80-4AC6-81BE-4250D0368387}"/>
    <cellStyle name="60% - Énfasis5 12 2 5" xfId="31390" xr:uid="{F8034F60-F6CB-4356-AA2B-44120F252C6D}"/>
    <cellStyle name="60% - Énfasis5 12 2 6" xfId="37262" xr:uid="{C581FAF9-BCEA-4BE8-B7C2-42F6F837C4BE}"/>
    <cellStyle name="60% - Énfasis5 12 3" xfId="7160" xr:uid="{B9E7C10D-25D1-4C94-B6F8-C0DB5E90B2C8}"/>
    <cellStyle name="60% - Énfasis5 12 3 2" xfId="21571" xr:uid="{CB8117A5-01C6-4BEF-8981-93BC7B4FB184}"/>
    <cellStyle name="60% - Énfasis5 12 3 3" xfId="27394" xr:uid="{8D58978A-3FD1-4574-B6A9-3ED3D01FEAA1}"/>
    <cellStyle name="60% - Énfasis5 12 3 4" xfId="33276" xr:uid="{1B91E1EA-54F5-4C4D-B7BE-DDC8D6401B34}"/>
    <cellStyle name="60% - Énfasis5 12 3 5" xfId="39140" xr:uid="{99A4EF48-7310-46B4-916F-C7F4230E7A71}"/>
    <cellStyle name="60% - Énfasis5 12 4" xfId="18807" xr:uid="{3BCA2A4C-DA0B-443F-9E62-A7076038C758}"/>
    <cellStyle name="60% - Énfasis5 12 5" xfId="24545" xr:uid="{99CEE6DD-9D60-44B3-9492-B9AE16407629}"/>
    <cellStyle name="60% - Énfasis5 12 6" xfId="30424" xr:uid="{4672898F-2D14-4E12-AB07-6FEBA238D6C7}"/>
    <cellStyle name="60% - Énfasis5 12 7" xfId="36305" xr:uid="{1AAC4AEB-84EE-45D6-90AA-F002469D1E6B}"/>
    <cellStyle name="60% - Énfasis5 13" xfId="4784" xr:uid="{780232C9-5675-4164-891B-75C30167D760}"/>
    <cellStyle name="60% - Énfasis5 13 2" xfId="7647" xr:uid="{B71BB6E8-32BF-47EF-AAF2-96B2F11F1508}"/>
    <cellStyle name="60% - Énfasis5 13 2 2" xfId="22040" xr:uid="{3A7B29CA-1E42-4CC0-BBA7-D7833EDFC779}"/>
    <cellStyle name="60% - Énfasis5 13 2 3" xfId="27881" xr:uid="{8BBADF3C-D04F-4C49-AC18-7584187A1032}"/>
    <cellStyle name="60% - Énfasis5 13 2 4" xfId="33763" xr:uid="{9D47F1BA-50E8-4F44-90C7-E8C226F9987E}"/>
    <cellStyle name="60% - Énfasis5 13 2 5" xfId="39627" xr:uid="{6EE97EF9-963F-46DB-9E2A-E960949B656F}"/>
    <cellStyle name="60% - Énfasis5 13 3" xfId="19266" xr:uid="{D18C1BDD-4F38-48AB-BA2E-40FD15613E63}"/>
    <cellStyle name="60% - Énfasis5 13 4" xfId="25032" xr:uid="{DCA63DB7-09AD-48D6-9734-378AB6CEEB52}"/>
    <cellStyle name="60% - Énfasis5 13 5" xfId="30906" xr:uid="{EF5D61A6-19C6-491A-AB45-BB7F1169EE47}"/>
    <cellStyle name="60% - Énfasis5 13 6" xfId="36786" xr:uid="{BCB757F6-7E25-4C27-AA21-00A263DC02C5}"/>
    <cellStyle name="60% - Énfasis5 14" xfId="5750" xr:uid="{AB70750F-521B-4BD8-A3A2-08E22A834162}"/>
    <cellStyle name="60% - Énfasis5 14 2" xfId="8619" xr:uid="{BCB03C17-846F-4EB0-B004-EAFBB90C4888}"/>
    <cellStyle name="60% - Énfasis5 14 2 2" xfId="22990" xr:uid="{EF73A3A6-8599-4D4A-A6A1-346CBB972A3D}"/>
    <cellStyle name="60% - Énfasis5 14 2 3" xfId="28852" xr:uid="{6C8B9B28-628E-49CA-A776-4BAC6C27EA75}"/>
    <cellStyle name="60% - Énfasis5 14 2 4" xfId="34734" xr:uid="{B9AC6332-0D22-42AD-BA5A-2DAB00349CF4}"/>
    <cellStyle name="60% - Énfasis5 14 2 5" xfId="40598" xr:uid="{73B77B3A-B1A6-49B4-BA60-48F5C92D5CA3}"/>
    <cellStyle name="60% - Énfasis5 14 3" xfId="20208" xr:uid="{966ABAA0-1828-46C0-8020-0B3D14E35374}"/>
    <cellStyle name="60% - Énfasis5 14 4" xfId="26002" xr:uid="{B3B44037-95F9-4578-8C1B-25AA2BDB8D3A}"/>
    <cellStyle name="60% - Énfasis5 14 5" xfId="31877" xr:uid="{2EC645D4-2615-439C-8E92-E694BC5DB9E2}"/>
    <cellStyle name="60% - Énfasis5 14 6" xfId="37743" xr:uid="{A16D5D32-3DA0-408E-9BF6-F74564CF4333}"/>
    <cellStyle name="60% - Énfasis5 15" xfId="5770" xr:uid="{1BE8A1D2-6DF5-4AAC-A8D9-B7888CB56841}"/>
    <cellStyle name="60% - Énfasis5 15 2" xfId="8639" xr:uid="{D05858B5-26AB-406A-A8E7-22BDC1D1EBD8}"/>
    <cellStyle name="60% - Énfasis5 15 2 2" xfId="23010" xr:uid="{CC225392-A21B-497F-947D-20DB155F6363}"/>
    <cellStyle name="60% - Énfasis5 15 2 3" xfId="28872" xr:uid="{E04DD48C-1127-4279-AD26-B0F58E25D2A2}"/>
    <cellStyle name="60% - Énfasis5 15 2 4" xfId="34754" xr:uid="{AE64316B-6010-410D-8D22-965ACF40DF44}"/>
    <cellStyle name="60% - Énfasis5 15 2 5" xfId="40618" xr:uid="{B41C1966-48A4-4FB8-947D-4EB7E84FCB01}"/>
    <cellStyle name="60% - Énfasis5 15 3" xfId="20227" xr:uid="{028B2753-7959-4E7B-80BA-5B8AB3CEE215}"/>
    <cellStyle name="60% - Énfasis5 15 4" xfId="26022" xr:uid="{502A8404-1C93-4726-9C24-84CBCD58EC4E}"/>
    <cellStyle name="60% - Énfasis5 15 5" xfId="31897" xr:uid="{FB6C447C-42B9-4F0D-BC24-B1342E52C1A9}"/>
    <cellStyle name="60% - Énfasis5 15 6" xfId="37763" xr:uid="{015A52C4-21AE-4A31-8C68-A79C692FAC02}"/>
    <cellStyle name="60% - Énfasis5 16" xfId="5790" xr:uid="{E216A43A-90AB-4024-8680-26E85477D43D}"/>
    <cellStyle name="60% - Énfasis5 16 2" xfId="8659" xr:uid="{F02B8962-CA85-47E3-9ED2-5281D7AC01F0}"/>
    <cellStyle name="60% - Énfasis5 16 2 2" xfId="23030" xr:uid="{CDA7B76D-74E6-4716-8829-7041099EB5B7}"/>
    <cellStyle name="60% - Énfasis5 16 2 3" xfId="28892" xr:uid="{29A6E84E-8B3B-4AD5-8CEE-E64679AFD7E6}"/>
    <cellStyle name="60% - Énfasis5 16 2 4" xfId="34774" xr:uid="{95541EDA-C47D-4FB6-9DC1-91A25D550F3F}"/>
    <cellStyle name="60% - Énfasis5 16 2 5" xfId="40638" xr:uid="{CEDB5306-7FB4-41CB-BF51-330E460A4F1D}"/>
    <cellStyle name="60% - Énfasis5 16 3" xfId="20245" xr:uid="{75748059-D4ED-4666-A0B5-700B037B12FB}"/>
    <cellStyle name="60% - Énfasis5 16 4" xfId="26042" xr:uid="{81C48A5B-F000-4314-8E7D-F881120D7D4B}"/>
    <cellStyle name="60% - Énfasis5 16 5" xfId="31917" xr:uid="{894B857A-9F9A-49B3-B071-E38A7D5D0147}"/>
    <cellStyle name="60% - Énfasis5 16 6" xfId="37783" xr:uid="{C941F8E2-B7E1-4605-94FE-5902BF5D9DF0}"/>
    <cellStyle name="60% - Énfasis5 17" xfId="5989" xr:uid="{330155F8-F3DD-4DE0-B7C9-511E744D471B}"/>
    <cellStyle name="60% - Énfasis5 17 2" xfId="8858" xr:uid="{5549A9E6-EBAD-4379-9F8E-67B1D6CD92E8}"/>
    <cellStyle name="60% - Énfasis5 17 2 2" xfId="23222" xr:uid="{6783E8F6-9DA7-4524-BCB4-71E8C009FB8F}"/>
    <cellStyle name="60% - Énfasis5 17 2 3" xfId="29089" xr:uid="{74BC7CEF-A06B-4F26-A378-80DDCB769AC0}"/>
    <cellStyle name="60% - Énfasis5 17 2 4" xfId="34971" xr:uid="{757B8398-0853-45FD-8343-B4F8CE75F016}"/>
    <cellStyle name="60% - Énfasis5 17 2 5" xfId="40835" xr:uid="{2E186E15-E9E6-440B-8E8D-14D9B67A68BC}"/>
    <cellStyle name="60% - Énfasis5 17 3" xfId="20437" xr:uid="{1E4E9BCA-1EF8-4D3F-8CE5-F2FEA775D8DA}"/>
    <cellStyle name="60% - Énfasis5 17 4" xfId="26239" xr:uid="{D5C1C917-F717-4845-90C9-50F8DA45ADA4}"/>
    <cellStyle name="60% - Énfasis5 17 5" xfId="32114" xr:uid="{80965AE5-91A9-4686-8163-0F7A2DD2927E}"/>
    <cellStyle name="60% - Énfasis5 17 6" xfId="37979" xr:uid="{54342B2B-BDDF-4DA2-95F8-F80FBFAEA769}"/>
    <cellStyle name="60% - Énfasis5 18" xfId="6009" xr:uid="{76DDEFC6-A8ED-49C4-A4A1-8D94085F0871}"/>
    <cellStyle name="60% - Énfasis5 18 2" xfId="8878" xr:uid="{192FEA25-CC32-4380-BDFB-2F271334A8D7}"/>
    <cellStyle name="60% - Énfasis5 18 2 2" xfId="23242" xr:uid="{69F2BEBD-B720-4382-A426-C5DCE7E11025}"/>
    <cellStyle name="60% - Énfasis5 18 2 3" xfId="29109" xr:uid="{F15D526E-8201-412B-A1F4-19332E7C488E}"/>
    <cellStyle name="60% - Énfasis5 18 2 4" xfId="34991" xr:uid="{58E0E173-7B8E-4B70-B516-363CE77B09BB}"/>
    <cellStyle name="60% - Énfasis5 18 2 5" xfId="40855" xr:uid="{7EC7AB2E-900E-4BB3-9D9D-920C9F7A58A9}"/>
    <cellStyle name="60% - Énfasis5 18 3" xfId="20457" xr:uid="{9D3954B3-4B55-4E1C-AC07-213BFBEA6309}"/>
    <cellStyle name="60% - Énfasis5 18 4" xfId="26259" xr:uid="{074F50B0-33DF-4BE3-9C4B-FE8CE48384C2}"/>
    <cellStyle name="60% - Énfasis5 18 5" xfId="32134" xr:uid="{46BBF51D-87DC-4697-A17C-038E57733100}"/>
    <cellStyle name="60% - Énfasis5 18 6" xfId="37999" xr:uid="{3448B28F-90CD-4BC3-B74E-65380A4F986F}"/>
    <cellStyle name="60% - Énfasis5 19" xfId="6029" xr:uid="{505D0200-D647-40F1-B6D0-58DB3AEAD1F7}"/>
    <cellStyle name="60% - Énfasis5 19 2" xfId="8898" xr:uid="{BE4298B6-364F-45F7-9502-7835AF0DCFE1}"/>
    <cellStyle name="60% - Énfasis5 19 2 2" xfId="23262" xr:uid="{4B1207CF-0B51-46C0-8C73-51B69930C0AB}"/>
    <cellStyle name="60% - Énfasis5 19 2 3" xfId="29129" xr:uid="{48E3CAD5-A5D7-4E90-B781-1E8BAE99FA53}"/>
    <cellStyle name="60% - Énfasis5 19 2 4" xfId="35011" xr:uid="{5CC4608D-3C23-4880-B346-BE808F7909FD}"/>
    <cellStyle name="60% - Énfasis5 19 2 5" xfId="40875" xr:uid="{F775F877-B7D3-4186-AD2E-57881EBA9DF2}"/>
    <cellStyle name="60% - Énfasis5 19 3" xfId="20477" xr:uid="{687B16C9-F6EC-4E0B-BA27-423AA721C2A9}"/>
    <cellStyle name="60% - Énfasis5 19 4" xfId="26279" xr:uid="{D36F1358-51B0-4EB8-BE2A-55D4DD75FAC4}"/>
    <cellStyle name="60% - Énfasis5 19 5" xfId="32154" xr:uid="{046C9699-346A-4079-9F65-05A8F7B6013A}"/>
    <cellStyle name="60% - Énfasis5 19 6" xfId="38019" xr:uid="{547FECB6-B3B0-4481-A1D2-0CEA5E732FC6}"/>
    <cellStyle name="60% - Énfasis5 2" xfId="329" xr:uid="{00000000-0005-0000-0000-000018000000}"/>
    <cellStyle name="60% - Énfasis5 2 10" xfId="29953" xr:uid="{143C55DF-DD15-47E0-A28E-27BFC3A8C846}"/>
    <cellStyle name="60% - Énfasis5 2 11" xfId="35834" xr:uid="{BFF2E5F7-B494-4AFD-8E0A-8C87FFD4A6E3}"/>
    <cellStyle name="60% - Énfasis5 2 2" xfId="3353" xr:uid="{8E8FA4F2-DC02-431A-B974-BF677A24A5F3}"/>
    <cellStyle name="60% - Énfasis5 2 3" xfId="4049" xr:uid="{984C854B-6188-4A84-B7A7-2D7277E216BF}"/>
    <cellStyle name="60% - Énfasis5 2 3 2" xfId="4523" xr:uid="{FB68EC28-2859-4698-8158-44B746517FF0}"/>
    <cellStyle name="60% - Énfasis5 2 3 2 2" xfId="5491" xr:uid="{8897917F-2452-40ED-A10B-3B5F9D66E2BB}"/>
    <cellStyle name="60% - Énfasis5 2 3 2 2 2" xfId="8358" xr:uid="{C7B08D74-C93F-4CD5-BB4D-1177481F6812}"/>
    <cellStyle name="60% - Énfasis5 2 3 2 2 2 2" xfId="22733" xr:uid="{5425EC76-6591-49CE-AC4B-6443FEF4C83D}"/>
    <cellStyle name="60% - Énfasis5 2 3 2 2 2 3" xfId="28591" xr:uid="{553BF1AF-3438-4B02-B3BA-E4C91FD8DC91}"/>
    <cellStyle name="60% - Énfasis5 2 3 2 2 2 4" xfId="34473" xr:uid="{23721423-CCC9-4E59-815E-4CD6B0AB8FDB}"/>
    <cellStyle name="60% - Énfasis5 2 3 2 2 2 5" xfId="40337" xr:uid="{CC192EDE-8CEE-4700-946E-EFC5E1D3B1F3}"/>
    <cellStyle name="60% - Énfasis5 2 3 2 2 3" xfId="19952" xr:uid="{61ABCB7A-B0A0-4D63-AF6F-CE906BAF1124}"/>
    <cellStyle name="60% - Énfasis5 2 3 2 2 4" xfId="25742" xr:uid="{9D7E0955-D97D-48C9-9D60-78EACFE33BD1}"/>
    <cellStyle name="60% - Énfasis5 2 3 2 2 5" xfId="31616" xr:uid="{6DF67EE0-A466-401B-A5F0-E54377579677}"/>
    <cellStyle name="60% - Énfasis5 2 3 2 2 6" xfId="37486" xr:uid="{297BC9EB-57BE-4C15-9F08-9A9E9C519B52}"/>
    <cellStyle name="60% - Énfasis5 2 3 2 3" xfId="7386" xr:uid="{98F0541E-CEB5-469D-9FD0-FE0CB8DB9CBE}"/>
    <cellStyle name="60% - Énfasis5 2 3 2 3 2" xfId="21788" xr:uid="{330A1E3D-918B-43A8-9266-5979944C0E9F}"/>
    <cellStyle name="60% - Énfasis5 2 3 2 3 3" xfId="27620" xr:uid="{3ADB6A89-7FB4-47A3-AF7C-254074C1B755}"/>
    <cellStyle name="60% - Énfasis5 2 3 2 3 4" xfId="33502" xr:uid="{78870984-096D-438E-AA05-4AA6EE308742}"/>
    <cellStyle name="60% - Énfasis5 2 3 2 3 5" xfId="39366" xr:uid="{9D72D077-DF75-499D-8428-CF07F029C9DD}"/>
    <cellStyle name="60% - Énfasis5 2 3 2 4" xfId="19022" xr:uid="{D6B9D68F-C5DF-4D59-8160-4CD23E83ACC4}"/>
    <cellStyle name="60% - Énfasis5 2 3 2 5" xfId="24771" xr:uid="{564BFBDD-C071-4F7F-933C-30F7FE2DB351}"/>
    <cellStyle name="60% - Énfasis5 2 3 2 6" xfId="30648" xr:uid="{998A18A1-115A-4415-A15E-FE051F26C3D8}"/>
    <cellStyle name="60% - Énfasis5 2 3 2 7" xfId="36529" xr:uid="{C31A5994-23AB-4186-9BDA-D246059A8719}"/>
    <cellStyle name="60% - Énfasis5 2 3 3" xfId="5006" xr:uid="{2B54B71D-901E-4396-8E6B-CFCA3D1C6320}"/>
    <cellStyle name="60% - Énfasis5 2 3 3 2" xfId="7873" xr:uid="{0273CADD-A145-42B4-B259-0F196AD59083}"/>
    <cellStyle name="60% - Énfasis5 2 3 3 2 2" xfId="22258" xr:uid="{82A3DFFD-04BD-4A20-99D0-E249A7E40FA8}"/>
    <cellStyle name="60% - Énfasis5 2 3 3 2 3" xfId="28106" xr:uid="{A931EF04-1AE6-4E90-9E37-68DD6794C9A1}"/>
    <cellStyle name="60% - Énfasis5 2 3 3 2 4" xfId="33988" xr:uid="{8E1F3B34-DA2A-40F4-9E51-5BD64E8CDF17}"/>
    <cellStyle name="60% - Énfasis5 2 3 3 2 5" xfId="39852" xr:uid="{54799B27-573A-468E-B4D6-DCB2ABE6B1EB}"/>
    <cellStyle name="60% - Énfasis5 2 3 3 3" xfId="19485" xr:uid="{6A7F41DB-1BA6-444B-AE6A-5737E6B0F31B}"/>
    <cellStyle name="60% - Énfasis5 2 3 3 4" xfId="25257" xr:uid="{2E5FB803-30C1-4EE6-A51D-A7A4A647451B}"/>
    <cellStyle name="60% - Énfasis5 2 3 3 5" xfId="31131" xr:uid="{1A313912-DB84-4FDA-BFF9-B94010485654}"/>
    <cellStyle name="60% - Énfasis5 2 3 3 6" xfId="37009" xr:uid="{785860CC-8163-4416-9AB1-7D625FB05E6B}"/>
    <cellStyle name="60% - Énfasis5 2 3 4" xfId="6901" xr:uid="{3488F9A7-D978-4735-AE9C-C20829DE649B}"/>
    <cellStyle name="60% - Énfasis5 2 3 4 2" xfId="21322" xr:uid="{2693DDF8-88F2-4129-98D2-1231A0F552F8}"/>
    <cellStyle name="60% - Énfasis5 2 3 4 3" xfId="27139" xr:uid="{C9B3E040-9299-49D7-A60D-BE6B241253A6}"/>
    <cellStyle name="60% - Énfasis5 2 3 4 4" xfId="33017" xr:uid="{D735AC1D-5440-45EE-AFF4-4BA5F5D58983}"/>
    <cellStyle name="60% - Énfasis5 2 3 4 5" xfId="38881" xr:uid="{58996E51-E1A2-45EB-A0A6-B2D9476F5B22}"/>
    <cellStyle name="60% - Énfasis5 2 3 5" xfId="18576" xr:uid="{9A9B697F-73C2-4B27-8BFB-AB847754AE61}"/>
    <cellStyle name="60% - Énfasis5 2 3 6" xfId="24288" xr:uid="{B1A84AF8-1EBF-4C45-90AA-0DC471809B01}"/>
    <cellStyle name="60% - Énfasis5 2 3 7" xfId="30166" xr:uid="{35480406-9E0F-47DD-96D3-D11C2321D8F3}"/>
    <cellStyle name="60% - Énfasis5 2 3 8" xfId="36045" xr:uid="{F333EDD6-FD13-4777-BB41-04361CD64499}"/>
    <cellStyle name="60% - Énfasis5 2 4" xfId="4329" xr:uid="{C591703F-0349-4058-89E8-912BAB0C7BD5}"/>
    <cellStyle name="60% - Énfasis5 2 4 2" xfId="5295" xr:uid="{75FDAAA0-0321-42B2-AA2C-8DC23C10CF27}"/>
    <cellStyle name="60% - Énfasis5 2 4 2 2" xfId="8162" xr:uid="{D9678DB6-F7F0-40E0-BEC5-40C8AE80879C}"/>
    <cellStyle name="60% - Énfasis5 2 4 2 2 2" xfId="22538" xr:uid="{584A3F8E-234E-4392-BAE6-7EBB85C11081}"/>
    <cellStyle name="60% - Énfasis5 2 4 2 2 3" xfId="28395" xr:uid="{20CE03E6-31EF-41DD-B12F-53A4361CE839}"/>
    <cellStyle name="60% - Énfasis5 2 4 2 2 4" xfId="34277" xr:uid="{40E6645E-FB59-4246-9706-181FF23D8887}"/>
    <cellStyle name="60% - Énfasis5 2 4 2 2 5" xfId="40141" xr:uid="{9BC708F8-9474-420B-A122-7BDB78DF3A01}"/>
    <cellStyle name="60% - Énfasis5 2 4 2 3" xfId="19763" xr:uid="{4562092F-EDCF-4210-863C-BD732E8925FC}"/>
    <cellStyle name="60% - Énfasis5 2 4 2 4" xfId="25546" xr:uid="{21F66A0E-E8F3-4F75-A18A-F5E55E5F18C4}"/>
    <cellStyle name="60% - Énfasis5 2 4 2 5" xfId="31420" xr:uid="{3268AC70-C4E9-43D2-B658-FC043134D49F}"/>
    <cellStyle name="60% - Énfasis5 2 4 2 6" xfId="37291" xr:uid="{D6270B6F-4193-4F70-9745-B93667D798F0}"/>
    <cellStyle name="60% - Énfasis5 2 4 3" xfId="7190" xr:uid="{13E4BFCB-1619-4C27-B8C3-02BA3782043D}"/>
    <cellStyle name="60% - Énfasis5 2 4 3 2" xfId="21597" xr:uid="{F84259C9-CF6D-4B5B-AC08-6D7C2DBD4DDD}"/>
    <cellStyle name="60% - Énfasis5 2 4 3 3" xfId="27424" xr:uid="{0E69B8DA-962A-4A41-8BAC-8E73822D939C}"/>
    <cellStyle name="60% - Énfasis5 2 4 3 4" xfId="33306" xr:uid="{1D78B643-0A6D-4F95-BBEB-45ECBC0E83C9}"/>
    <cellStyle name="60% - Énfasis5 2 4 3 5" xfId="39170" xr:uid="{1F9F8C1A-DA2D-482A-8086-71C8916D5F3E}"/>
    <cellStyle name="60% - Énfasis5 2 4 4" xfId="18834" xr:uid="{F4E8344C-70C0-424E-93D5-40EE6BFBB940}"/>
    <cellStyle name="60% - Énfasis5 2 4 5" xfId="24575" xr:uid="{50D9B37E-C134-4B47-BCC6-97DAD95A6D8C}"/>
    <cellStyle name="60% - Énfasis5 2 4 6" xfId="30454" xr:uid="{04187E9F-FAF6-4564-82D0-6F423D171500}"/>
    <cellStyle name="60% - Énfasis5 2 4 7" xfId="36334" xr:uid="{A99F9694-FD6B-4115-8AB9-4AB037644C11}"/>
    <cellStyle name="60% - Énfasis5 2 5" xfId="4814" xr:uid="{54BD465C-F6AF-40E6-8AA7-8E46C9E7B4BB}"/>
    <cellStyle name="60% - Énfasis5 2 5 2" xfId="7677" xr:uid="{9DC83C04-72E7-406F-9748-2BE14C15DB63}"/>
    <cellStyle name="60% - Énfasis5 2 5 2 2" xfId="22068" xr:uid="{9F5C5DDF-B93C-4645-94CC-B7472C8A9A2C}"/>
    <cellStyle name="60% - Énfasis5 2 5 2 3" xfId="27910" xr:uid="{83760A70-7796-4140-BEE2-0D79219A3FA8}"/>
    <cellStyle name="60% - Énfasis5 2 5 2 4" xfId="33792" xr:uid="{6F4AA0CF-98E8-48B7-A5C3-2267DCACC5DE}"/>
    <cellStyle name="60% - Énfasis5 2 5 2 5" xfId="39656" xr:uid="{C595B7EB-58F2-4D42-A717-5C1767325EE0}"/>
    <cellStyle name="60% - Énfasis5 2 5 3" xfId="19293" xr:uid="{970FFD86-7803-4748-A8CE-3CE8FB889728}"/>
    <cellStyle name="60% - Énfasis5 2 5 4" xfId="25061" xr:uid="{154470DA-AB2F-4270-A6ED-EF4C94D2730F}"/>
    <cellStyle name="60% - Énfasis5 2 5 5" xfId="30935" xr:uid="{04857E44-BBFD-48B9-93A2-7FD34D82D8A4}"/>
    <cellStyle name="60% - Énfasis5 2 5 6" xfId="36814" xr:uid="{58F0AC1B-AB41-40BA-B2EC-26EB8673D0A9}"/>
    <cellStyle name="60% - Énfasis5 2 6" xfId="5820" xr:uid="{4D7C25AA-04F1-4B5B-A097-40A25CDF77BD}"/>
    <cellStyle name="60% - Énfasis5 2 6 2" xfId="8689" xr:uid="{5D1C7176-A6BD-4DB9-9DE1-6E7262C45121}"/>
    <cellStyle name="60% - Énfasis5 2 6 2 2" xfId="23057" xr:uid="{E749EC3B-B15E-4116-BC9E-CB6D26D5964F}"/>
    <cellStyle name="60% - Énfasis5 2 6 2 3" xfId="28921" xr:uid="{CF6F6EE3-8473-46A2-804B-FA075EACE10E}"/>
    <cellStyle name="60% - Énfasis5 2 6 2 4" xfId="34803" xr:uid="{73FEEE6B-E7A3-4B63-91FB-5881495614E4}"/>
    <cellStyle name="60% - Énfasis5 2 6 2 5" xfId="40667" xr:uid="{B16D81B1-901D-4D1F-87D8-D7A757D23B3F}"/>
    <cellStyle name="60% - Énfasis5 2 6 3" xfId="20272" xr:uid="{7D5932B3-72D3-4B3E-95A9-DB1FBCE811D5}"/>
    <cellStyle name="60% - Énfasis5 2 6 4" xfId="26071" xr:uid="{4AEC92A7-5AC1-4E34-ABC9-6C0F16337456}"/>
    <cellStyle name="60% - Énfasis5 2 6 5" xfId="31946" xr:uid="{C126CFE9-D0A3-43C9-984D-10529C44A399}"/>
    <cellStyle name="60% - Énfasis5 2 6 6" xfId="37812" xr:uid="{88E280DC-4FC4-4D99-8BEE-D2158022F3FF}"/>
    <cellStyle name="60% - Énfasis5 2 7" xfId="6706" xr:uid="{5922D14E-1942-451B-8176-CF77F26D2594}"/>
    <cellStyle name="60% - Énfasis5 2 7 2" xfId="21133" xr:uid="{02041B39-BF17-4B40-A164-DE767E94B490}"/>
    <cellStyle name="60% - Énfasis5 2 7 3" xfId="26945" xr:uid="{B5015525-22E2-4D25-8C8E-E608B8B6B3F0}"/>
    <cellStyle name="60% - Énfasis5 2 7 4" xfId="32821" xr:uid="{D8AF9565-30F9-4094-9658-43A772DFA173}"/>
    <cellStyle name="60% - Énfasis5 2 7 5" xfId="38685" xr:uid="{4A07DE28-4CE5-40AE-9550-15074AD8AB6C}"/>
    <cellStyle name="60% - Énfasis5 2 8" xfId="18367" xr:uid="{A0AA4C35-C654-44A9-9331-17775CE96ACE}"/>
    <cellStyle name="60% - Énfasis5 2 9" xfId="24075" xr:uid="{3F7E18B6-B24D-4622-9DB2-47EFB84E061C}"/>
    <cellStyle name="60% - Énfasis5 20" xfId="6049" xr:uid="{53617306-F81F-4E5C-842F-CA5FE5AD08DF}"/>
    <cellStyle name="60% - Énfasis5 20 2" xfId="8918" xr:uid="{75A4A380-33E0-4749-AA8D-A00F2A9B31BC}"/>
    <cellStyle name="60% - Énfasis5 20 2 2" xfId="23282" xr:uid="{B1AF18E0-C398-4728-868B-5150B6C240D2}"/>
    <cellStyle name="60% - Énfasis5 20 2 3" xfId="29149" xr:uid="{E19BD197-9BD0-499B-AF4B-914E8B6C04EB}"/>
    <cellStyle name="60% - Énfasis5 20 2 4" xfId="35031" xr:uid="{524D4C70-C1D5-4B59-A866-A444E0A7D35D}"/>
    <cellStyle name="60% - Énfasis5 20 2 5" xfId="40895" xr:uid="{F782D776-2B4A-49E5-A124-4B63E2071CBA}"/>
    <cellStyle name="60% - Énfasis5 20 3" xfId="20497" xr:uid="{819C8157-52F4-46A1-88F2-B58557D40B2D}"/>
    <cellStyle name="60% - Énfasis5 20 4" xfId="26299" xr:uid="{4233303F-776B-43EB-A91D-EC07D82C7CE7}"/>
    <cellStyle name="60% - Énfasis5 20 5" xfId="32174" xr:uid="{58E6166E-8833-46C5-9BF6-39B76FA977BC}"/>
    <cellStyle name="60% - Énfasis5 20 6" xfId="38039" xr:uid="{4E396338-3E47-4817-874A-453B70432BE8}"/>
    <cellStyle name="60% - Énfasis5 21" xfId="6069" xr:uid="{DBCD57B3-DF74-4517-8C83-398B6BDD2242}"/>
    <cellStyle name="60% - Énfasis5 21 2" xfId="8938" xr:uid="{2208EC1F-8715-4FA4-9959-66DDCA26EB6B}"/>
    <cellStyle name="60% - Énfasis5 21 2 2" xfId="23302" xr:uid="{A16C4DEA-AF0C-4FF2-ACEC-79577E8BB295}"/>
    <cellStyle name="60% - Énfasis5 21 2 3" xfId="29169" xr:uid="{C74952A3-3282-4F28-840D-2FEABFE44CD6}"/>
    <cellStyle name="60% - Énfasis5 21 2 4" xfId="35051" xr:uid="{6DF24FC1-9AF1-4217-A19D-D09DA00F45AA}"/>
    <cellStyle name="60% - Énfasis5 21 2 5" xfId="40915" xr:uid="{5489312B-B448-4DF7-A0A6-13823180B958}"/>
    <cellStyle name="60% - Énfasis5 21 3" xfId="20517" xr:uid="{B77E7FCD-7D56-4A1E-B425-C7EA5186E270}"/>
    <cellStyle name="60% - Énfasis5 21 4" xfId="26319" xr:uid="{30137B75-0058-4D61-A1AE-4D55385CF4B3}"/>
    <cellStyle name="60% - Énfasis5 21 5" xfId="32194" xr:uid="{6CFD5F30-FC7A-44FB-AAE8-3E067854A615}"/>
    <cellStyle name="60% - Énfasis5 21 6" xfId="38059" xr:uid="{984A60FB-DB7E-45F6-BC06-3D49D155EDF2}"/>
    <cellStyle name="60% - Énfasis5 22" xfId="6089" xr:uid="{DE2A9E0B-073A-4A95-861C-F15BA0D3B126}"/>
    <cellStyle name="60% - Énfasis5 22 2" xfId="8958" xr:uid="{8B4B9914-6391-4A7A-8F28-126B582C214C}"/>
    <cellStyle name="60% - Énfasis5 22 2 2" xfId="23322" xr:uid="{CF9CA359-3063-436A-886C-674380B941F0}"/>
    <cellStyle name="60% - Énfasis5 22 2 3" xfId="29189" xr:uid="{F3A6557F-EEA2-4D94-9C51-2F6A3FD5CDD5}"/>
    <cellStyle name="60% - Énfasis5 22 2 4" xfId="35071" xr:uid="{2F3128CA-C27A-4EC4-9284-03A4B60096F1}"/>
    <cellStyle name="60% - Énfasis5 22 2 5" xfId="40935" xr:uid="{DCD5F452-9A1C-4382-ADC3-51FB4EB51B97}"/>
    <cellStyle name="60% - Énfasis5 22 3" xfId="20537" xr:uid="{EF31E7A4-6FA3-4EE0-BABC-5709DEBE4396}"/>
    <cellStyle name="60% - Énfasis5 22 4" xfId="26339" xr:uid="{731ED41C-34BA-4A07-BD80-33C6BF406D06}"/>
    <cellStyle name="60% - Énfasis5 22 5" xfId="32214" xr:uid="{D0E487E4-4AC6-437B-B8AB-30258D8BE5E3}"/>
    <cellStyle name="60% - Énfasis5 22 6" xfId="38079" xr:uid="{3A099AC2-635E-4933-990C-453186C08BF2}"/>
    <cellStyle name="60% - Énfasis5 23" xfId="6109" xr:uid="{8490BF86-C91C-4BE5-8B0D-9B27A211D737}"/>
    <cellStyle name="60% - Énfasis5 23 2" xfId="8978" xr:uid="{6F67010A-D9EB-4A48-9CE2-D143857DD3A2}"/>
    <cellStyle name="60% - Énfasis5 23 2 2" xfId="23342" xr:uid="{7E15106C-C275-41B1-A4C9-76CDE0BB9249}"/>
    <cellStyle name="60% - Énfasis5 23 2 3" xfId="29209" xr:uid="{66B68DB6-72CC-42CE-8300-33CA11EF0108}"/>
    <cellStyle name="60% - Énfasis5 23 2 4" xfId="35091" xr:uid="{63330F0F-B3CD-43D4-881A-0D4D1C26FC88}"/>
    <cellStyle name="60% - Énfasis5 23 2 5" xfId="40955" xr:uid="{FCCBDCF2-5BB3-42F2-9FE0-D6731785FB47}"/>
    <cellStyle name="60% - Énfasis5 23 3" xfId="20557" xr:uid="{D8F84AC7-877F-454B-982D-ADCB2A20D2B7}"/>
    <cellStyle name="60% - Énfasis5 23 4" xfId="26359" xr:uid="{857C370F-4C03-48F1-8DA9-94270737EC58}"/>
    <cellStyle name="60% - Énfasis5 23 5" xfId="32234" xr:uid="{0AA70D35-BA55-498E-801C-65CDAB859EB3}"/>
    <cellStyle name="60% - Énfasis5 23 6" xfId="38099" xr:uid="{16AE4B0E-8CCD-49D4-A044-CCCEFE7706FF}"/>
    <cellStyle name="60% - Énfasis5 24" xfId="6129" xr:uid="{5483FCD7-03C7-4EF5-8779-C8AFAF9E2272}"/>
    <cellStyle name="60% - Énfasis5 24 2" xfId="8998" xr:uid="{2EB1AEAF-D35E-4A63-8BC7-1A04DA026E99}"/>
    <cellStyle name="60% - Énfasis5 24 2 2" xfId="23362" xr:uid="{E61C3D7C-0C78-43A1-A484-28E382F522A9}"/>
    <cellStyle name="60% - Énfasis5 24 2 3" xfId="29229" xr:uid="{37088822-7306-4075-8364-6C1EE884D0E0}"/>
    <cellStyle name="60% - Énfasis5 24 2 4" xfId="35111" xr:uid="{F4E1E0CE-42C3-4477-84B9-B5636CF2DCCF}"/>
    <cellStyle name="60% - Énfasis5 24 2 5" xfId="40975" xr:uid="{343A3242-52E2-4F1E-90DC-2E383E28006E}"/>
    <cellStyle name="60% - Énfasis5 24 3" xfId="20577" xr:uid="{738890F7-C85D-465A-9497-E01073746251}"/>
    <cellStyle name="60% - Énfasis5 24 4" xfId="26379" xr:uid="{70AF1F3C-F42D-47A6-9D4A-93461D07E4F4}"/>
    <cellStyle name="60% - Énfasis5 24 5" xfId="32254" xr:uid="{EA1B9F13-1223-467B-BF89-568E6998D166}"/>
    <cellStyle name="60% - Énfasis5 24 6" xfId="38119" xr:uid="{8DD11FBA-CD92-489E-B992-8EBC2BE23199}"/>
    <cellStyle name="60% - Énfasis5 25" xfId="6149" xr:uid="{A7B074DA-A0A4-450D-B1E3-277719E02C37}"/>
    <cellStyle name="60% - Énfasis5 25 2" xfId="9018" xr:uid="{3D3CCC36-7C17-495A-A555-F312EE038055}"/>
    <cellStyle name="60% - Énfasis5 25 2 2" xfId="23382" xr:uid="{75471B4F-F302-4860-B73B-7259DC0F53BC}"/>
    <cellStyle name="60% - Énfasis5 25 2 3" xfId="29249" xr:uid="{00DB73E1-EE93-4F5E-876F-91754B876210}"/>
    <cellStyle name="60% - Énfasis5 25 2 4" xfId="35131" xr:uid="{BDAB0E93-2C5D-4E77-8EF4-2FDF261C0B4D}"/>
    <cellStyle name="60% - Énfasis5 25 2 5" xfId="40994" xr:uid="{11324B03-8ACE-4958-8763-B5F509BD0F3E}"/>
    <cellStyle name="60% - Énfasis5 25 3" xfId="20597" xr:uid="{9F8ACF8D-7ECF-4F30-B7E1-5E773460D2D0}"/>
    <cellStyle name="60% - Énfasis5 25 4" xfId="26399" xr:uid="{6704F5EF-A3B7-4979-8EFC-ADE840CAF090}"/>
    <cellStyle name="60% - Énfasis5 25 5" xfId="32274" xr:uid="{05194752-642F-403F-9160-3167EBB0C08F}"/>
    <cellStyle name="60% - Énfasis5 25 6" xfId="38139" xr:uid="{5B317F74-B10E-4E5F-80C0-48D8DF20C507}"/>
    <cellStyle name="60% - Énfasis5 26" xfId="6169" xr:uid="{CDAC3A8A-1ACB-444B-88DA-F2E5436322C1}"/>
    <cellStyle name="60% - Énfasis5 26 2" xfId="9038" xr:uid="{60BE4E4B-44CD-49D3-BA48-45CC6D9D5445}"/>
    <cellStyle name="60% - Énfasis5 26 2 2" xfId="23402" xr:uid="{C9281163-8C22-4C54-86E1-A14566A5151A}"/>
    <cellStyle name="60% - Énfasis5 26 2 3" xfId="29269" xr:uid="{9F9B91BA-304A-4BA8-9F93-E4653910316D}"/>
    <cellStyle name="60% - Énfasis5 26 2 4" xfId="35151" xr:uid="{6F5C92DB-39FE-431A-A95F-E443FE5EF254}"/>
    <cellStyle name="60% - Énfasis5 26 2 5" xfId="41013" xr:uid="{1088B2BE-1C0A-428E-A839-FBF72F07382B}"/>
    <cellStyle name="60% - Énfasis5 26 3" xfId="20617" xr:uid="{395DBA28-AF72-4AFA-977F-335A724CF38B}"/>
    <cellStyle name="60% - Énfasis5 26 4" xfId="26419" xr:uid="{42670071-76C4-48D9-951E-E6A5393D8D54}"/>
    <cellStyle name="60% - Énfasis5 26 5" xfId="32294" xr:uid="{F1EFC0EC-AB08-44D9-ACC7-C882154E1E4D}"/>
    <cellStyle name="60% - Énfasis5 26 6" xfId="38159" xr:uid="{AAC9FAD2-0B4F-4EBC-9C4F-0B88E6D81B7A}"/>
    <cellStyle name="60% - Énfasis5 27" xfId="6189" xr:uid="{26445168-AC88-454A-8BAA-7FA76B85BAFF}"/>
    <cellStyle name="60% - Énfasis5 27 2" xfId="9058" xr:uid="{4C9A8393-1326-4EA5-AA52-1899BF87C164}"/>
    <cellStyle name="60% - Énfasis5 27 2 2" xfId="23422" xr:uid="{69DC2BDA-B51F-49CA-811A-079B81170BAF}"/>
    <cellStyle name="60% - Énfasis5 27 2 3" xfId="29289" xr:uid="{B8193176-70FD-4F43-A2AB-648161FFA3F3}"/>
    <cellStyle name="60% - Énfasis5 27 2 4" xfId="35171" xr:uid="{C9CFC85A-2802-45FA-A552-B1708C024197}"/>
    <cellStyle name="60% - Énfasis5 27 2 5" xfId="41033" xr:uid="{5B7A1AA6-B276-4310-975C-CE1E2F16F420}"/>
    <cellStyle name="60% - Énfasis5 27 3" xfId="20637" xr:uid="{A2B880E8-D3EE-4FBC-9C6C-8D89D1EFC8DD}"/>
    <cellStyle name="60% - Énfasis5 27 4" xfId="26439" xr:uid="{A886233E-B018-44C5-BCC5-03B7DFD56C82}"/>
    <cellStyle name="60% - Énfasis5 27 5" xfId="32314" xr:uid="{FFEA1446-2873-46C6-A110-06407353883B}"/>
    <cellStyle name="60% - Énfasis5 27 6" xfId="38179" xr:uid="{DCD9E64E-123A-4D3A-8BD2-1793A8B00A4E}"/>
    <cellStyle name="60% - Énfasis5 28" xfId="6211" xr:uid="{4C0F1F75-1837-441E-BEAA-FE299507E420}"/>
    <cellStyle name="60% - Énfasis5 28 2" xfId="9080" xr:uid="{39B1A350-292C-4A35-A49C-C04B2EFC5AF9}"/>
    <cellStyle name="60% - Énfasis5 28 2 2" xfId="23444" xr:uid="{991F657F-84FC-4C4E-87DE-0B4BB0D2B0AE}"/>
    <cellStyle name="60% - Énfasis5 28 2 3" xfId="29311" xr:uid="{1DB16F25-2D61-45C1-8354-946EA3627176}"/>
    <cellStyle name="60% - Énfasis5 28 2 4" xfId="35193" xr:uid="{91F67ECB-49AA-43C4-A697-60F74FC7C7C4}"/>
    <cellStyle name="60% - Énfasis5 28 2 5" xfId="41054" xr:uid="{70FC2FC0-E4F6-4D4D-8AF7-B2E282BB1702}"/>
    <cellStyle name="60% - Énfasis5 28 3" xfId="20659" xr:uid="{A01C0829-E5DC-422E-A3A1-28ECA98F4FDD}"/>
    <cellStyle name="60% - Énfasis5 28 4" xfId="26461" xr:uid="{E5DBEF06-DED4-4C57-8D0D-EA63BE928D6F}"/>
    <cellStyle name="60% - Énfasis5 28 5" xfId="32336" xr:uid="{11C96F46-F391-4F9E-8655-BECE70E2F4A5}"/>
    <cellStyle name="60% - Énfasis5 28 6" xfId="38201" xr:uid="{0E85EF90-CB16-42C9-8EBA-15A2996204F9}"/>
    <cellStyle name="60% - Énfasis5 29" xfId="6248" xr:uid="{AEA8FD19-EB9A-4835-A495-BA73E03C0B29}"/>
    <cellStyle name="60% - Énfasis5 29 2" xfId="9117" xr:uid="{A8681474-7DC7-4779-A770-A64F14ABCC6C}"/>
    <cellStyle name="60% - Énfasis5 29 2 2" xfId="23481" xr:uid="{E7215B78-B376-418A-8728-1B21B0556179}"/>
    <cellStyle name="60% - Énfasis5 29 2 3" xfId="29348" xr:uid="{BDF04118-EAFF-4CB5-8EA1-2DB9BC0F27DB}"/>
    <cellStyle name="60% - Énfasis5 29 2 4" xfId="35230" xr:uid="{CCF3905C-5F32-4F3F-8BB5-776E61B8A977}"/>
    <cellStyle name="60% - Énfasis5 29 2 5" xfId="41090" xr:uid="{744834D6-DB69-456A-81E4-54E7E9525618}"/>
    <cellStyle name="60% - Énfasis5 29 3" xfId="20689" xr:uid="{9530854D-152E-4400-8902-0DF64E5859E4}"/>
    <cellStyle name="60% - Énfasis5 29 4" xfId="26498" xr:uid="{1100111B-5E68-4FFE-86F4-A34A169A7A8E}"/>
    <cellStyle name="60% - Énfasis5 29 5" xfId="32373" xr:uid="{E11C240A-5119-47A3-AD36-5BE989781919}"/>
    <cellStyle name="60% - Énfasis5 29 6" xfId="38238" xr:uid="{E6F2A1FA-14E5-4744-9271-DB401C04CB4E}"/>
    <cellStyle name="60% - Énfasis5 3" xfId="3871" xr:uid="{C7CEE48C-6355-4265-A769-972E176D98F1}"/>
    <cellStyle name="60% - Énfasis5 3 10" xfId="29980" xr:uid="{046381B0-F453-49DC-B178-8CAF7CED602B}"/>
    <cellStyle name="60% - Énfasis5 3 11" xfId="35861" xr:uid="{7D0EEFA4-D359-47E8-8AC4-6F5ED9C4F37C}"/>
    <cellStyle name="60% - Énfasis5 3 2" xfId="4070" xr:uid="{7B9AECDB-3A4F-444F-8502-EC3985CC3228}"/>
    <cellStyle name="60% - Énfasis5 3 2 2" xfId="4548" xr:uid="{5771BD30-313F-4164-A6BF-CBF5BDE0CB34}"/>
    <cellStyle name="60% - Énfasis5 3 2 2 2" xfId="5516" xr:uid="{1F9A3CEB-A6C2-4933-9FE3-E9920A634990}"/>
    <cellStyle name="60% - Énfasis5 3 2 2 2 2" xfId="8383" xr:uid="{68E473B4-BE3E-45C2-AA82-36ADE4357819}"/>
    <cellStyle name="60% - Énfasis5 3 2 2 2 2 2" xfId="22758" xr:uid="{5724C520-6E05-4540-BB28-52911E2FAD47}"/>
    <cellStyle name="60% - Énfasis5 3 2 2 2 2 3" xfId="28616" xr:uid="{CAF7051E-41B9-480B-99C7-EBB497A9B213}"/>
    <cellStyle name="60% - Énfasis5 3 2 2 2 2 4" xfId="34498" xr:uid="{5D85D752-5EF2-4218-A058-5A4E001DBA4C}"/>
    <cellStyle name="60% - Énfasis5 3 2 2 2 2 5" xfId="40362" xr:uid="{48709752-597B-4C79-A060-E493C669C77D}"/>
    <cellStyle name="60% - Énfasis5 3 2 2 2 3" xfId="19976" xr:uid="{5BD4F103-BA19-4898-B9EF-2C5126F7A05D}"/>
    <cellStyle name="60% - Énfasis5 3 2 2 2 4" xfId="25767" xr:uid="{A5A6B808-BC54-4878-A0C8-7DC092D70AC0}"/>
    <cellStyle name="60% - Énfasis5 3 2 2 2 5" xfId="31641" xr:uid="{042743CE-217C-4687-9259-2926C7AEA5B0}"/>
    <cellStyle name="60% - Énfasis5 3 2 2 2 6" xfId="37511" xr:uid="{756E2E8E-5323-404E-91E3-B18CD8A9BB28}"/>
    <cellStyle name="60% - Énfasis5 3 2 2 3" xfId="7411" xr:uid="{36143EEF-8826-4C03-AA66-F2A35B771AD6}"/>
    <cellStyle name="60% - Énfasis5 3 2 2 3 2" xfId="21813" xr:uid="{8E81C548-B67E-4008-964A-7073C1C3D8A8}"/>
    <cellStyle name="60% - Énfasis5 3 2 2 3 3" xfId="27645" xr:uid="{D8864CB2-A1E9-467E-8989-523F44E8D918}"/>
    <cellStyle name="60% - Énfasis5 3 2 2 3 4" xfId="33527" xr:uid="{34495680-B9C4-4CE2-9BFB-3D2AC1438788}"/>
    <cellStyle name="60% - Énfasis5 3 2 2 3 5" xfId="39391" xr:uid="{A0FBE411-25CF-455A-ABBC-98CFCD48B04F}"/>
    <cellStyle name="60% - Énfasis5 3 2 2 4" xfId="19044" xr:uid="{C6B81ACC-B24C-42EA-AAA9-B41B62FA2958}"/>
    <cellStyle name="60% - Énfasis5 3 2 2 5" xfId="24796" xr:uid="{61D6F4DF-F375-4C8C-B5F0-1DA6E9037EB7}"/>
    <cellStyle name="60% - Énfasis5 3 2 2 6" xfId="30673" xr:uid="{E9A2A17A-E545-4F26-B3FC-264AB6A1DBA7}"/>
    <cellStyle name="60% - Énfasis5 3 2 2 7" xfId="36554" xr:uid="{C087BC8F-A47F-4C39-ACC9-5D9475B2C563}"/>
    <cellStyle name="60% - Énfasis5 3 2 3" xfId="5031" xr:uid="{ADEAB0F6-10E6-4F2A-908B-949EAD550211}"/>
    <cellStyle name="60% - Énfasis5 3 2 3 2" xfId="7898" xr:uid="{30C748AB-30E7-4B48-9151-ECD5F8830860}"/>
    <cellStyle name="60% - Énfasis5 3 2 3 2 2" xfId="22283" xr:uid="{75625510-E4F1-4F44-A87F-DA5808D76BDE}"/>
    <cellStyle name="60% - Énfasis5 3 2 3 2 3" xfId="28131" xr:uid="{80478AE5-2C40-4820-8A36-BE912A90E116}"/>
    <cellStyle name="60% - Énfasis5 3 2 3 2 4" xfId="34013" xr:uid="{0652E1DC-E635-4373-82AF-6CC081D5D737}"/>
    <cellStyle name="60% - Énfasis5 3 2 3 2 5" xfId="39877" xr:uid="{0C10D2AD-433F-4F99-BC18-E66FFFE27FE9}"/>
    <cellStyle name="60% - Énfasis5 3 2 3 3" xfId="19509" xr:uid="{2AC3EEAD-A5A8-418D-A29D-6ABAD1C92019}"/>
    <cellStyle name="60% - Énfasis5 3 2 3 4" xfId="25282" xr:uid="{145972D0-90E6-4F1E-9FB4-4A02020F20A3}"/>
    <cellStyle name="60% - Énfasis5 3 2 3 5" xfId="31156" xr:uid="{88550DF2-1B85-45D0-8B6B-BD21EEEA6AD4}"/>
    <cellStyle name="60% - Énfasis5 3 2 3 6" xfId="37034" xr:uid="{76E82A64-975A-44F3-80D3-249EB8C594AA}"/>
    <cellStyle name="60% - Énfasis5 3 2 4" xfId="6926" xr:uid="{3733A919-788F-411D-8DD9-7F69C72F065C}"/>
    <cellStyle name="60% - Énfasis5 3 2 4 2" xfId="21346" xr:uid="{2B032556-FBAA-4312-9D55-FFA82D546EBF}"/>
    <cellStyle name="60% - Énfasis5 3 2 4 3" xfId="27164" xr:uid="{27D8AC3F-960E-4329-8065-A24DAD712EA9}"/>
    <cellStyle name="60% - Énfasis5 3 2 4 4" xfId="33042" xr:uid="{D6474266-9F6B-44E2-9A2F-FAC7C7705981}"/>
    <cellStyle name="60% - Énfasis5 3 2 4 5" xfId="38906" xr:uid="{A79DAFD0-6422-4B2C-B0E3-75126FF4A798}"/>
    <cellStyle name="60% - Énfasis5 3 2 5" xfId="18601" xr:uid="{D63B4995-A45D-401F-B5FA-2A433FB72001}"/>
    <cellStyle name="60% - Énfasis5 3 2 6" xfId="24313" xr:uid="{A8914B5A-C6BE-4D54-9250-EA4E7A04C580}"/>
    <cellStyle name="60% - Énfasis5 3 2 7" xfId="30191" xr:uid="{785378B1-1E89-4B77-AF18-C9CC934A7822}"/>
    <cellStyle name="60% - Énfasis5 3 2 8" xfId="36070" xr:uid="{1C92694D-B476-4058-933E-BE109CCB4CCB}"/>
    <cellStyle name="60% - Énfasis5 3 3" xfId="4354" xr:uid="{6B9DDAEF-36A7-43FA-A7AD-CF650D86FD00}"/>
    <cellStyle name="60% - Énfasis5 3 3 2" xfId="5320" xr:uid="{15AD64B8-E28C-4188-A800-1F522ACC4BD6}"/>
    <cellStyle name="60% - Énfasis5 3 3 2 2" xfId="8187" xr:uid="{A2C7E3D2-65B3-4230-9DA0-DF25428338DA}"/>
    <cellStyle name="60% - Énfasis5 3 3 2 2 2" xfId="22563" xr:uid="{30DFC18B-A9BF-4892-B866-B313B7A72CDF}"/>
    <cellStyle name="60% - Énfasis5 3 3 2 2 3" xfId="28420" xr:uid="{F1574754-78A1-4ED0-AB27-0BDCDFBA7CD4}"/>
    <cellStyle name="60% - Énfasis5 3 3 2 2 4" xfId="34302" xr:uid="{033E1E3D-5441-456D-9E5A-8968BAD1FE1F}"/>
    <cellStyle name="60% - Énfasis5 3 3 2 2 5" xfId="40166" xr:uid="{932BC9E4-10C1-43B8-9A1E-1D97B03F0F23}"/>
    <cellStyle name="60% - Énfasis5 3 3 2 3" xfId="19788" xr:uid="{7DE50E0B-8544-4623-8CC2-D412F05129D9}"/>
    <cellStyle name="60% - Énfasis5 3 3 2 4" xfId="25571" xr:uid="{6A618FD0-1A48-4F27-8583-92180077FA3D}"/>
    <cellStyle name="60% - Énfasis5 3 3 2 5" xfId="31445" xr:uid="{3E99EBE5-6085-459B-B994-C99AF92FA229}"/>
    <cellStyle name="60% - Énfasis5 3 3 2 6" xfId="37316" xr:uid="{21DACF4D-7E64-4354-A960-62D4798C9737}"/>
    <cellStyle name="60% - Énfasis5 3 3 3" xfId="7215" xr:uid="{A0C4EA9C-47E3-4A28-9C35-238698EC06D0}"/>
    <cellStyle name="60% - Énfasis5 3 3 3 2" xfId="21622" xr:uid="{A88E8825-7CD8-467B-960A-88E2A9A7ACAA}"/>
    <cellStyle name="60% - Énfasis5 3 3 3 3" xfId="27449" xr:uid="{5E3556CC-5189-4496-8CDB-C256169EEA5A}"/>
    <cellStyle name="60% - Énfasis5 3 3 3 4" xfId="33331" xr:uid="{0934373E-ED5A-442B-A2F4-9D0EA46C4B00}"/>
    <cellStyle name="60% - Énfasis5 3 3 3 5" xfId="39195" xr:uid="{8ECDC79C-115C-4063-9D44-EF5E0DC78501}"/>
    <cellStyle name="60% - Énfasis5 3 3 4" xfId="18859" xr:uid="{EC954230-43D4-4CD7-B08F-8FBA1B512DC8}"/>
    <cellStyle name="60% - Énfasis5 3 3 5" xfId="24600" xr:uid="{FBB0D8E9-9E29-4D2A-9587-235463BE9969}"/>
    <cellStyle name="60% - Énfasis5 3 3 6" xfId="30479" xr:uid="{59494381-4437-43B8-A915-596D70F0DA83}"/>
    <cellStyle name="60% - Énfasis5 3 3 7" xfId="36359" xr:uid="{F0DCCF1E-5776-4C63-AAA2-60FD4598FEA7}"/>
    <cellStyle name="60% - Énfasis5 3 4" xfId="4836" xr:uid="{A362C341-FC42-4CB4-84FD-395CBFC68F96}"/>
    <cellStyle name="60% - Énfasis5 3 4 2" xfId="7702" xr:uid="{19778E36-D3EC-459A-9269-47F845967D79}"/>
    <cellStyle name="60% - Énfasis5 3 4 2 2" xfId="22092" xr:uid="{E4F2D363-F37C-48B7-857C-D9B5EBB96E1D}"/>
    <cellStyle name="60% - Énfasis5 3 4 2 3" xfId="27935" xr:uid="{B8C1706C-EE3F-4E35-B6F8-120716552F27}"/>
    <cellStyle name="60% - Énfasis5 3 4 2 4" xfId="33817" xr:uid="{F633823F-68DB-4BBA-8C43-E64F5BFE1810}"/>
    <cellStyle name="60% - Énfasis5 3 4 2 5" xfId="39681" xr:uid="{7625DC9C-8323-43BF-8F4D-CF7E17F3C492}"/>
    <cellStyle name="60% - Énfasis5 3 4 3" xfId="19318" xr:uid="{D7F23601-6B72-43D8-9E5B-EB77376AA030}"/>
    <cellStyle name="60% - Énfasis5 3 4 4" xfId="25086" xr:uid="{2F1C2A93-E031-47C8-91BB-46C61BAF979F}"/>
    <cellStyle name="60% - Énfasis5 3 4 5" xfId="30960" xr:uid="{B7F121A2-6734-4BCF-92B7-CA796292D124}"/>
    <cellStyle name="60% - Énfasis5 3 4 6" xfId="36839" xr:uid="{4D42182E-DE46-4085-8456-A2E0FD0BA962}"/>
    <cellStyle name="60% - Énfasis5 3 5" xfId="5845" xr:uid="{7CE37B57-01A5-43C1-975A-7DA8F2C4985D}"/>
    <cellStyle name="60% - Énfasis5 3 5 2" xfId="8714" xr:uid="{61DCDAF3-23D4-4FE3-A1F3-E9C6EC2A8D34}"/>
    <cellStyle name="60% - Énfasis5 3 5 2 2" xfId="23082" xr:uid="{D6FE7314-5B37-42DA-9D7C-5EF6EEFC2060}"/>
    <cellStyle name="60% - Énfasis5 3 5 2 3" xfId="28946" xr:uid="{84610D3B-8C22-4450-8041-2EF90C682035}"/>
    <cellStyle name="60% - Énfasis5 3 5 2 4" xfId="34828" xr:uid="{78811D7D-C975-424A-A1A7-7B89DCE21DFC}"/>
    <cellStyle name="60% - Énfasis5 3 5 2 5" xfId="40692" xr:uid="{D778A55F-55A7-4178-99A2-56F4B3295E2B}"/>
    <cellStyle name="60% - Énfasis5 3 5 3" xfId="20297" xr:uid="{D8FAA743-3E71-4D50-8450-603677819B23}"/>
    <cellStyle name="60% - Énfasis5 3 5 4" xfId="26096" xr:uid="{2D8286B5-CAC8-4417-9E4D-6947EB16DE59}"/>
    <cellStyle name="60% - Énfasis5 3 5 5" xfId="31971" xr:uid="{78A0C30A-B535-43EF-B652-BE7DB5306644}"/>
    <cellStyle name="60% - Énfasis5 3 5 6" xfId="37837" xr:uid="{2DEC2AA6-EFF1-4D95-B3F7-472B28B1E73F}"/>
    <cellStyle name="60% - Énfasis5 3 6" xfId="6448" xr:uid="{8609F514-F50E-4D39-BEBF-D874C7A8A86A}"/>
    <cellStyle name="60% - Énfasis5 3 6 2" xfId="9308" xr:uid="{551DF550-432D-42D0-AB9E-5EA942404A90}"/>
    <cellStyle name="60% - Énfasis5 3 6 2 2" xfId="23671" xr:uid="{59F4F4D1-CC4E-4073-9F06-80D231D74742}"/>
    <cellStyle name="60% - Énfasis5 3 6 2 3" xfId="29539" xr:uid="{45107F14-3AD5-4837-B43C-773B67ED4851}"/>
    <cellStyle name="60% - Énfasis5 3 6 2 4" xfId="35421" xr:uid="{0E936CBB-6048-47BC-B891-F8664592378F}"/>
    <cellStyle name="60% - Énfasis5 3 6 2 5" xfId="41280" xr:uid="{3201B7CC-4102-4907-B63B-218F44ED14CE}"/>
    <cellStyle name="60% - Énfasis5 3 6 3" xfId="20887" xr:uid="{F5FDB639-9B6B-4723-AE7F-BEFF78EE2A55}"/>
    <cellStyle name="60% - Énfasis5 3 6 4" xfId="26697" xr:uid="{1BFCF99A-3C76-4277-8060-15F3D949C08A}"/>
    <cellStyle name="60% - Énfasis5 3 6 5" xfId="32572" xr:uid="{FF6DAC99-53EC-4FE8-9CD6-ADCB1C0D8E16}"/>
    <cellStyle name="60% - Énfasis5 3 6 6" xfId="38436" xr:uid="{C0BE905D-727E-4F51-9E1D-E5CA2E08A6E0}"/>
    <cellStyle name="60% - Énfasis5 3 7" xfId="6731" xr:uid="{556E8F2B-FEFC-44A0-8B23-F5AB97D36026}"/>
    <cellStyle name="60% - Énfasis5 3 7 2" xfId="21155" xr:uid="{747B2426-0E25-4B84-8CDA-16163348B799}"/>
    <cellStyle name="60% - Énfasis5 3 7 3" xfId="26970" xr:uid="{31BC4509-8CAF-42BD-A541-AD8001373438}"/>
    <cellStyle name="60% - Énfasis5 3 7 4" xfId="32846" xr:uid="{827D31FE-712C-45BC-9506-5C1A2AE0FA81}"/>
    <cellStyle name="60% - Énfasis5 3 7 5" xfId="38710" xr:uid="{6BD6198E-0DAB-4E3D-8A56-35EA3DCA37DB}"/>
    <cellStyle name="60% - Énfasis5 3 8" xfId="18393" xr:uid="{FEDEA95C-C587-4E07-94DC-F428A352A3AF}"/>
    <cellStyle name="60% - Énfasis5 3 9" xfId="24102" xr:uid="{EBC51C92-2B2D-4F61-8757-4FF3E1C26C20}"/>
    <cellStyle name="60% - Énfasis5 30" xfId="6268" xr:uid="{91BF8B5E-C855-4560-9BB4-6CF357A2A660}"/>
    <cellStyle name="60% - Énfasis5 30 2" xfId="9137" xr:uid="{26D9EAC5-A3BE-414B-9269-A5EF036C0314}"/>
    <cellStyle name="60% - Énfasis5 30 2 2" xfId="23501" xr:uid="{3167CE2A-27CA-4B57-871F-6C6972D2D20B}"/>
    <cellStyle name="60% - Énfasis5 30 2 3" xfId="29368" xr:uid="{9B4E4F2D-86D9-45BE-BCC7-375ACB46ED01}"/>
    <cellStyle name="60% - Énfasis5 30 2 4" xfId="35250" xr:uid="{A5A4C38E-36F6-42D3-A48A-BC800EBA5D05}"/>
    <cellStyle name="60% - Énfasis5 30 2 5" xfId="41109" xr:uid="{A3C8F940-863D-4D76-A819-982B032B9E03}"/>
    <cellStyle name="60% - Énfasis5 30 3" xfId="20709" xr:uid="{A3166DB2-4E90-4E8B-9EA4-AAB932704E24}"/>
    <cellStyle name="60% - Énfasis5 30 4" xfId="26518" xr:uid="{CBF8AD61-A6A3-4314-836D-EFFED86DF0B5}"/>
    <cellStyle name="60% - Énfasis5 30 5" xfId="32393" xr:uid="{D6A9F4F1-5E46-42CC-AA38-F85919915131}"/>
    <cellStyle name="60% - Énfasis5 30 6" xfId="38258" xr:uid="{B51D1F2F-5A36-4095-9CB9-6C7C66614774}"/>
    <cellStyle name="60% - Énfasis5 31" xfId="6288" xr:uid="{F720819E-924C-42C5-93FB-2760EE6AE0AF}"/>
    <cellStyle name="60% - Énfasis5 31 2" xfId="9157" xr:uid="{45E7C1B3-E307-4AA6-AB0F-9C45F0130722}"/>
    <cellStyle name="60% - Énfasis5 31 2 2" xfId="23521" xr:uid="{6785DF21-F30D-421D-A6D1-DB6FF00904BE}"/>
    <cellStyle name="60% - Énfasis5 31 2 3" xfId="29388" xr:uid="{ACB3557F-E85C-4295-8292-13F2E27E4A10}"/>
    <cellStyle name="60% - Énfasis5 31 2 4" xfId="35270" xr:uid="{D7FCE5DF-34BA-45D3-96FB-49408B45F77E}"/>
    <cellStyle name="60% - Énfasis5 31 2 5" xfId="41129" xr:uid="{1569677D-AA1A-436B-AA85-8270AB3B137E}"/>
    <cellStyle name="60% - Énfasis5 31 3" xfId="20729" xr:uid="{A50D96EB-34AB-4CDC-9F9D-3A6205CED1DE}"/>
    <cellStyle name="60% - Énfasis5 31 4" xfId="26538" xr:uid="{5D7770F5-B637-404A-AE45-77F0BED6CA4B}"/>
    <cellStyle name="60% - Énfasis5 31 5" xfId="32413" xr:uid="{2F78D2A1-4E75-46BE-BB09-DF06289F19A2}"/>
    <cellStyle name="60% - Énfasis5 31 6" xfId="38278" xr:uid="{733E518B-AF38-4197-A6C7-68E2E594A189}"/>
    <cellStyle name="60% - Énfasis5 32" xfId="6312" xr:uid="{67764F31-15AE-4606-A868-E0A70DC19389}"/>
    <cellStyle name="60% - Énfasis5 32 2" xfId="9180" xr:uid="{03534870-1549-42D2-85EF-66E881182047}"/>
    <cellStyle name="60% - Énfasis5 32 2 2" xfId="23544" xr:uid="{5B50F4D8-B3B5-43E6-8ABE-B4AA32996CD7}"/>
    <cellStyle name="60% - Énfasis5 32 2 3" xfId="29411" xr:uid="{BF4C6719-9960-4E5F-B176-4E1C113C8B47}"/>
    <cellStyle name="60% - Énfasis5 32 2 4" xfId="35293" xr:uid="{418D4FE9-AD66-4FED-9C85-978D963599E6}"/>
    <cellStyle name="60% - Énfasis5 32 2 5" xfId="41152" xr:uid="{3F867115-CA02-4D65-9FE9-A28133B3B92A}"/>
    <cellStyle name="60% - Énfasis5 32 3" xfId="20753" xr:uid="{8106C76F-41A5-48D0-B39B-D7E050B6A003}"/>
    <cellStyle name="60% - Énfasis5 32 4" xfId="26562" xr:uid="{89B33817-55D9-49D3-AA7F-062DFEE21C52}"/>
    <cellStyle name="60% - Énfasis5 32 5" xfId="32437" xr:uid="{0930B764-C08B-4AC9-9B1C-F17C8A484454}"/>
    <cellStyle name="60% - Énfasis5 32 6" xfId="38302" xr:uid="{06FFF4B7-EE3D-4055-B36C-821D63C56391}"/>
    <cellStyle name="60% - Énfasis5 33" xfId="6344" xr:uid="{6D403637-A6A9-4F24-9D1D-3A155F2B9910}"/>
    <cellStyle name="60% - Énfasis5 33 2" xfId="9209" xr:uid="{98607C0E-2144-4937-9AD1-A65621828BFA}"/>
    <cellStyle name="60% - Énfasis5 33 2 2" xfId="23572" xr:uid="{2C9EA84D-1EE4-4EBE-BCEF-310884813BA4}"/>
    <cellStyle name="60% - Énfasis5 33 2 3" xfId="29440" xr:uid="{BD5E2A66-2A38-4C25-811A-230AAF9FB82F}"/>
    <cellStyle name="60% - Énfasis5 33 2 4" xfId="35322" xr:uid="{6AED54B5-B604-4F0C-AA0A-F1DEE723D4C4}"/>
    <cellStyle name="60% - Énfasis5 33 2 5" xfId="41181" xr:uid="{3F583578-39D9-44A2-A3D2-608E6AB9ED97}"/>
    <cellStyle name="60% - Énfasis5 33 3" xfId="20785" xr:uid="{7180DF0A-53DD-4B3A-89A9-D0D3A2174A0F}"/>
    <cellStyle name="60% - Énfasis5 33 4" xfId="26594" xr:uid="{21AEEAAB-561C-41B1-A9A0-D1D38EE7EF0E}"/>
    <cellStyle name="60% - Énfasis5 33 5" xfId="32469" xr:uid="{1168E386-A90C-4657-BC18-9790E84A6C78}"/>
    <cellStyle name="60% - Énfasis5 33 6" xfId="38333" xr:uid="{EFF5C635-94CF-4A12-A2F2-1AF68A52C042}"/>
    <cellStyle name="60% - Énfasis5 34" xfId="6364" xr:uid="{1DCDFB2E-31CA-45BD-8C6F-E2CE46B84E7C}"/>
    <cellStyle name="60% - Énfasis5 34 2" xfId="9229" xr:uid="{228BE273-4D31-43EB-B31C-F6912622EB2F}"/>
    <cellStyle name="60% - Énfasis5 34 2 2" xfId="23592" xr:uid="{753C47D1-C9C6-4965-8A48-07561D42CA3A}"/>
    <cellStyle name="60% - Énfasis5 34 2 3" xfId="29460" xr:uid="{EDD1E173-8BCD-4A91-841E-A838834A7B28}"/>
    <cellStyle name="60% - Énfasis5 34 2 4" xfId="35342" xr:uid="{87043E1B-0418-4EE5-946B-5002C42BC73D}"/>
    <cellStyle name="60% - Énfasis5 34 2 5" xfId="41201" xr:uid="{8F411E84-A7B6-4D75-8E1A-CE2F48C27EE8}"/>
    <cellStyle name="60% - Énfasis5 34 3" xfId="20805" xr:uid="{5D2E4A52-30A3-4630-9DE4-DBCD93E8EBF8}"/>
    <cellStyle name="60% - Énfasis5 34 4" xfId="26614" xr:uid="{1788D756-5B7E-4600-B3BF-6A2DD2CABDC3}"/>
    <cellStyle name="60% - Énfasis5 34 5" xfId="32489" xr:uid="{06715B39-61B9-4754-A77B-7D948D6EDAC8}"/>
    <cellStyle name="60% - Énfasis5 34 6" xfId="38353" xr:uid="{4A031E5F-8D21-4C06-AB24-08A0DB628A05}"/>
    <cellStyle name="60% - Énfasis5 35" xfId="6384" xr:uid="{2E89E580-1140-4CEE-B325-FBD1DF943327}"/>
    <cellStyle name="60% - Énfasis5 35 2" xfId="9249" xr:uid="{C5B82E7F-F0CD-4816-96A0-6E0E01156540}"/>
    <cellStyle name="60% - Énfasis5 35 2 2" xfId="23612" xr:uid="{CBC3FA7F-F51C-4A26-82D1-71BFE025F030}"/>
    <cellStyle name="60% - Énfasis5 35 2 3" xfId="29480" xr:uid="{5015FD91-F91E-4101-A0CA-A099CDBC9F0A}"/>
    <cellStyle name="60% - Énfasis5 35 2 4" xfId="35362" xr:uid="{75EB90D5-A77D-4821-8325-9DA975700E74}"/>
    <cellStyle name="60% - Énfasis5 35 2 5" xfId="41221" xr:uid="{26AB5657-1503-4730-9E96-2C9D64A16D1F}"/>
    <cellStyle name="60% - Énfasis5 35 3" xfId="20825" xr:uid="{643866E8-0A60-4A31-9914-2B7C905B5ACD}"/>
    <cellStyle name="60% - Énfasis5 35 4" xfId="26634" xr:uid="{7AF0465B-38C7-4CC3-978D-BF176F0F09C1}"/>
    <cellStyle name="60% - Énfasis5 35 5" xfId="32509" xr:uid="{ECF3CFE1-5765-4CD7-9D8A-2376D0CAAA78}"/>
    <cellStyle name="60% - Énfasis5 35 6" xfId="38373" xr:uid="{93132B6E-4D13-4836-BEC9-7CF119917578}"/>
    <cellStyle name="60% - Énfasis5 36" xfId="6405" xr:uid="{C4AFC0ED-0E12-4F9F-8BC2-E1C75679FC32}"/>
    <cellStyle name="60% - Énfasis5 36 2" xfId="9270" xr:uid="{DCE5EAF1-6814-4311-AF90-7399537A1DE7}"/>
    <cellStyle name="60% - Énfasis5 36 2 2" xfId="23633" xr:uid="{82EED668-657E-4ABC-9E17-E44CFB7AFF33}"/>
    <cellStyle name="60% - Énfasis5 36 2 3" xfId="29501" xr:uid="{019C4B59-9933-4DC9-8A3F-2E9037BB9398}"/>
    <cellStyle name="60% - Énfasis5 36 2 4" xfId="35383" xr:uid="{8024AD28-8E64-4FC8-96C7-A6AE7F85AC2D}"/>
    <cellStyle name="60% - Énfasis5 36 2 5" xfId="41242" xr:uid="{BFEBAF66-6678-4CFC-ADDB-C2E4CEAC54F3}"/>
    <cellStyle name="60% - Énfasis5 36 3" xfId="20846" xr:uid="{329FEEF5-1960-4292-9F20-2AA0AFA222E3}"/>
    <cellStyle name="60% - Énfasis5 36 4" xfId="26655" xr:uid="{F7E783D6-722C-4645-9A8F-4881A4EF2BB5}"/>
    <cellStyle name="60% - Énfasis5 36 5" xfId="32530" xr:uid="{900F2EB6-6EEC-4D67-A89B-CFE2F11FB21A}"/>
    <cellStyle name="60% - Énfasis5 36 6" xfId="38394" xr:uid="{85C719CC-9E11-48BE-AFA8-F858D1D0F450}"/>
    <cellStyle name="60% - Énfasis5 37" xfId="6434" xr:uid="{42867AC9-FBEC-4653-8EB1-21C62992D5C6}"/>
    <cellStyle name="60% - Énfasis5 37 2" xfId="9296" xr:uid="{631EB367-51C4-480E-9CE1-F03016D5456C}"/>
    <cellStyle name="60% - Énfasis5 37 2 2" xfId="23659" xr:uid="{C4396040-B61B-4493-A241-B81429287817}"/>
    <cellStyle name="60% - Énfasis5 37 2 3" xfId="29527" xr:uid="{EA9E9534-9ED5-4607-AFF4-E37C7DEF8512}"/>
    <cellStyle name="60% - Énfasis5 37 2 4" xfId="35409" xr:uid="{D0F6A231-DA2A-4C5A-85B0-D465D8B6749D}"/>
    <cellStyle name="60% - Énfasis5 37 2 5" xfId="41268" xr:uid="{785D51AD-E9C9-477B-B1E8-75252626331B}"/>
    <cellStyle name="60% - Énfasis5 37 3" xfId="20875" xr:uid="{09EE01D6-88D5-4EBF-BBFB-BB7066914FD2}"/>
    <cellStyle name="60% - Énfasis5 37 4" xfId="26684" xr:uid="{FDFB9A56-1F93-40DA-AC5C-A7443B059496}"/>
    <cellStyle name="60% - Énfasis5 37 5" xfId="32559" xr:uid="{86A59E6F-DD48-4F7A-BED4-7094792B26F8}"/>
    <cellStyle name="60% - Énfasis5 37 6" xfId="38423" xr:uid="{A9F4B509-7433-41EC-AB5D-641EB363EDF6}"/>
    <cellStyle name="60% - Énfasis5 38" xfId="6468" xr:uid="{E4F18AE0-6E32-4840-BD40-A18D0CEA3785}"/>
    <cellStyle name="60% - Énfasis5 38 2" xfId="9328" xr:uid="{8CAD48AB-961C-4B70-B8B5-B24986CA9C0D}"/>
    <cellStyle name="60% - Énfasis5 38 2 2" xfId="23691" xr:uid="{87C5263D-8ACA-41B5-AC68-3FFF808CE7F0}"/>
    <cellStyle name="60% - Énfasis5 38 2 3" xfId="29559" xr:uid="{31E18807-5E20-440B-91F8-064F3AD8C13E}"/>
    <cellStyle name="60% - Énfasis5 38 2 4" xfId="35441" xr:uid="{FD727201-894B-4862-AE95-B7EBA56FEDA1}"/>
    <cellStyle name="60% - Énfasis5 38 2 5" xfId="41300" xr:uid="{F24E8BFB-D084-40DA-8BEE-B86DD441BD31}"/>
    <cellStyle name="60% - Énfasis5 38 3" xfId="20906" xr:uid="{182AE89D-A1FE-439F-AD73-05B7782582D4}"/>
    <cellStyle name="60% - Énfasis5 38 4" xfId="26717" xr:uid="{4F09245B-C1AF-40EB-B1BC-E51EE8E4EF59}"/>
    <cellStyle name="60% - Énfasis5 38 5" xfId="32592" xr:uid="{9C4A986D-8B91-4C03-9B37-C7BBE0E72CB9}"/>
    <cellStyle name="60% - Énfasis5 38 6" xfId="38456" xr:uid="{A58EF4C8-903E-4E08-A8DC-BB76872BFEA6}"/>
    <cellStyle name="60% - Énfasis5 39" xfId="6488" xr:uid="{ED63FB9E-97C1-4F09-980D-535A3194F63B}"/>
    <cellStyle name="60% - Énfasis5 39 2" xfId="9348" xr:uid="{BE267E27-2196-4834-8C92-D83BD5EB5252}"/>
    <cellStyle name="60% - Énfasis5 39 2 2" xfId="23711" xr:uid="{8C77BD5D-4D48-424B-9E6A-A538C6F04D51}"/>
    <cellStyle name="60% - Énfasis5 39 2 3" xfId="29579" xr:uid="{F0880F38-13DB-4911-9FDF-FB837E6B4AC1}"/>
    <cellStyle name="60% - Énfasis5 39 2 4" xfId="35461" xr:uid="{049D60D9-0D9B-4F76-953C-5FA54AE30B54}"/>
    <cellStyle name="60% - Énfasis5 39 2 5" xfId="41320" xr:uid="{7CB86747-3FC5-40BD-A516-EE1B63C32E5B}"/>
    <cellStyle name="60% - Énfasis5 39 3" xfId="20926" xr:uid="{D33DBF39-ACD8-4BF6-B569-3753F6FBCC93}"/>
    <cellStyle name="60% - Énfasis5 39 4" xfId="26737" xr:uid="{A09DEFE4-4C08-4836-B3A0-A5E0311CF6E2}"/>
    <cellStyle name="60% - Énfasis5 39 5" xfId="32612" xr:uid="{D246C37D-7677-4081-922B-8DA14EB84DF6}"/>
    <cellStyle name="60% - Énfasis5 39 6" xfId="38476" xr:uid="{DE9FA132-4AF7-4F0E-A7DE-F5E68822B806}"/>
    <cellStyle name="60% - Énfasis5 4" xfId="3898" xr:uid="{A8F7EE45-DE60-4E21-8821-1F79BF22A335}"/>
    <cellStyle name="60% - Énfasis5 4 10" xfId="35890" xr:uid="{69DE2C45-AEEB-4AD7-95D1-616A67E0730F}"/>
    <cellStyle name="60% - Énfasis5 4 2" xfId="4095" xr:uid="{78D866EB-DD75-4B36-BF6E-28661AC89CC7}"/>
    <cellStyle name="60% - Énfasis5 4 2 2" xfId="4573" xr:uid="{01FBD2D8-D7B2-4A8A-AAD1-BEE47B895D71}"/>
    <cellStyle name="60% - Énfasis5 4 2 2 2" xfId="5541" xr:uid="{89680B1B-7CE8-46AC-A7A7-436A9D717880}"/>
    <cellStyle name="60% - Énfasis5 4 2 2 2 2" xfId="8408" xr:uid="{4F2B13D7-FF67-4913-945D-8C759BBCD1C6}"/>
    <cellStyle name="60% - Énfasis5 4 2 2 2 2 2" xfId="22783" xr:uid="{701FE329-D756-487A-A5F4-8BFA38AD25F4}"/>
    <cellStyle name="60% - Énfasis5 4 2 2 2 2 3" xfId="28641" xr:uid="{CF41FFE4-DB4E-4D5B-8E59-A912FFC02494}"/>
    <cellStyle name="60% - Énfasis5 4 2 2 2 2 4" xfId="34523" xr:uid="{BE91DA90-B957-41BC-A072-34C9F4336392}"/>
    <cellStyle name="60% - Énfasis5 4 2 2 2 2 5" xfId="40387" xr:uid="{4271008C-DABF-4E86-A075-46E30A1F0F79}"/>
    <cellStyle name="60% - Énfasis5 4 2 2 2 3" xfId="20001" xr:uid="{6D6F61C0-5691-41CF-9607-98EEC1E2B1BF}"/>
    <cellStyle name="60% - Énfasis5 4 2 2 2 4" xfId="25792" xr:uid="{6B6033FC-D1A8-4E3F-B902-3F0C25349335}"/>
    <cellStyle name="60% - Énfasis5 4 2 2 2 5" xfId="31666" xr:uid="{9CE34974-539D-4A7D-AC7B-8DAC5F2FB480}"/>
    <cellStyle name="60% - Énfasis5 4 2 2 2 6" xfId="37536" xr:uid="{BC6A384D-F454-4834-B4B7-06485961847B}"/>
    <cellStyle name="60% - Énfasis5 4 2 2 3" xfId="7436" xr:uid="{41E7B5E4-8199-4129-AD5A-607DE8578CFD}"/>
    <cellStyle name="60% - Énfasis5 4 2 2 3 2" xfId="21838" xr:uid="{03D7454E-BEDF-46B2-9423-877F1DC72123}"/>
    <cellStyle name="60% - Énfasis5 4 2 2 3 3" xfId="27670" xr:uid="{3AC70B81-7D30-4584-9DF7-4D4DA3818058}"/>
    <cellStyle name="60% - Énfasis5 4 2 2 3 4" xfId="33552" xr:uid="{EEFBC3A4-ABB4-443B-8F6D-AFF3FD2EA0F2}"/>
    <cellStyle name="60% - Énfasis5 4 2 2 3 5" xfId="39416" xr:uid="{78CCFE6B-443D-4B93-B123-25C0E913F4B5}"/>
    <cellStyle name="60% - Énfasis5 4 2 2 4" xfId="19069" xr:uid="{CE973258-E839-48C4-B369-536953A1430F}"/>
    <cellStyle name="60% - Énfasis5 4 2 2 5" xfId="24821" xr:uid="{E56672FF-D80E-4CBB-8E5B-DFDC49D022D9}"/>
    <cellStyle name="60% - Énfasis5 4 2 2 6" xfId="30698" xr:uid="{DF326C45-9562-4800-BF38-108701E221ED}"/>
    <cellStyle name="60% - Énfasis5 4 2 2 7" xfId="36579" xr:uid="{978B4A42-CC5E-4B17-854C-14734E335FA8}"/>
    <cellStyle name="60% - Énfasis5 4 2 3" xfId="5056" xr:uid="{DAE7A735-0231-4C4F-8EC7-36E53D7D8032}"/>
    <cellStyle name="60% - Énfasis5 4 2 3 2" xfId="7923" xr:uid="{3D6D47D0-C2A0-4235-829F-F5FEE91084BA}"/>
    <cellStyle name="60% - Énfasis5 4 2 3 2 2" xfId="22308" xr:uid="{F0CE7DA4-0FF9-46F2-A26F-ECAFFDB3E43B}"/>
    <cellStyle name="60% - Énfasis5 4 2 3 2 3" xfId="28156" xr:uid="{AE90FC47-550C-47ED-A03F-56A5EF674666}"/>
    <cellStyle name="60% - Énfasis5 4 2 3 2 4" xfId="34038" xr:uid="{6C74454F-B061-4366-BF52-9FABCA404D1B}"/>
    <cellStyle name="60% - Énfasis5 4 2 3 2 5" xfId="39902" xr:uid="{88C11D8C-80E8-4CD8-A7F1-0B72E7561DB6}"/>
    <cellStyle name="60% - Énfasis5 4 2 3 3" xfId="19533" xr:uid="{8566EEDE-230A-4056-975C-6A418FB051FB}"/>
    <cellStyle name="60% - Énfasis5 4 2 3 4" xfId="25307" xr:uid="{E05B71D5-1748-47FC-BBD0-FF822C0C9354}"/>
    <cellStyle name="60% - Énfasis5 4 2 3 5" xfId="31181" xr:uid="{ECFC1AFB-6922-4B29-93DC-8BD049A39925}"/>
    <cellStyle name="60% - Énfasis5 4 2 3 6" xfId="37059" xr:uid="{31C4E73B-6416-420E-A2FA-10EF88F36949}"/>
    <cellStyle name="60% - Énfasis5 4 2 4" xfId="6951" xr:uid="{DBDFB058-B55A-4A8B-958D-67DCA398F8CA}"/>
    <cellStyle name="60% - Énfasis5 4 2 4 2" xfId="21371" xr:uid="{16E0EF99-5828-43D1-AE42-6FE4A6489109}"/>
    <cellStyle name="60% - Énfasis5 4 2 4 3" xfId="27189" xr:uid="{B26BB03C-8039-45BA-939F-16151E8FAB8C}"/>
    <cellStyle name="60% - Énfasis5 4 2 4 4" xfId="33067" xr:uid="{0591092B-2966-41AB-BBA6-792F2E604C0D}"/>
    <cellStyle name="60% - Énfasis5 4 2 4 5" xfId="38931" xr:uid="{B681B1DC-0F20-4AB9-AAF9-2EEEDA481B5A}"/>
    <cellStyle name="60% - Énfasis5 4 2 5" xfId="18625" xr:uid="{C555477F-2CDD-46CC-9D33-866BB07FDDDA}"/>
    <cellStyle name="60% - Énfasis5 4 2 6" xfId="24338" xr:uid="{4B9B61E8-B4C5-4833-A5FC-765205AE4FC3}"/>
    <cellStyle name="60% - Énfasis5 4 2 7" xfId="30216" xr:uid="{C513E815-D62C-4913-9D64-421F4A4EFF18}"/>
    <cellStyle name="60% - Énfasis5 4 2 8" xfId="36095" xr:uid="{EB6A60ED-EF52-4734-8B57-4807581E148A}"/>
    <cellStyle name="60% - Énfasis5 4 3" xfId="4379" xr:uid="{CD90C984-E05D-4804-9A32-4E7A5F683287}"/>
    <cellStyle name="60% - Énfasis5 4 3 2" xfId="5345" xr:uid="{03D5BC88-4E94-4D75-A984-158C5ADE997A}"/>
    <cellStyle name="60% - Énfasis5 4 3 2 2" xfId="8212" xr:uid="{AC6C4465-04CE-47D8-92FD-D450FA9BB8F0}"/>
    <cellStyle name="60% - Énfasis5 4 3 2 2 2" xfId="22588" xr:uid="{D6FFAA52-E764-46C3-BC05-C7E44BE90A3F}"/>
    <cellStyle name="60% - Énfasis5 4 3 2 2 3" xfId="28445" xr:uid="{38A95BBF-2DA7-4DD2-A47A-B4E3173E6EC9}"/>
    <cellStyle name="60% - Énfasis5 4 3 2 2 4" xfId="34327" xr:uid="{938CEE6E-3F6A-4AED-BAF7-53C254A4FD9F}"/>
    <cellStyle name="60% - Énfasis5 4 3 2 2 5" xfId="40191" xr:uid="{2013D2AE-94C0-4213-8321-8FA92443BFBC}"/>
    <cellStyle name="60% - Énfasis5 4 3 2 3" xfId="19812" xr:uid="{7D0CF954-4AE7-44FE-9962-504BF0838342}"/>
    <cellStyle name="60% - Énfasis5 4 3 2 4" xfId="25596" xr:uid="{13863B3B-C5BC-40E9-8630-14240506BE88}"/>
    <cellStyle name="60% - Énfasis5 4 3 2 5" xfId="31470" xr:uid="{C9107E86-97DC-48C6-B3AA-ECADF6473EE3}"/>
    <cellStyle name="60% - Énfasis5 4 3 2 6" xfId="37341" xr:uid="{E9FC6E89-9187-483C-A8E7-370474DB5D20}"/>
    <cellStyle name="60% - Énfasis5 4 3 3" xfId="7240" xr:uid="{A548EB64-939C-467C-877D-00C33E9EFDF2}"/>
    <cellStyle name="60% - Énfasis5 4 3 3 2" xfId="21647" xr:uid="{4CF1C656-BDF2-46DD-99DE-CDAB0270F6FC}"/>
    <cellStyle name="60% - Énfasis5 4 3 3 3" xfId="27474" xr:uid="{B520991B-E37C-4831-87AF-2258093459DA}"/>
    <cellStyle name="60% - Énfasis5 4 3 3 4" xfId="33356" xr:uid="{6BE34939-0064-46E6-ADD4-896E472D7B80}"/>
    <cellStyle name="60% - Énfasis5 4 3 3 5" xfId="39220" xr:uid="{2BFA9797-EBAE-40F4-B780-1E85DC6BB6E8}"/>
    <cellStyle name="60% - Énfasis5 4 3 4" xfId="18882" xr:uid="{408277D6-C084-40FA-B91F-740054FCC36D}"/>
    <cellStyle name="60% - Énfasis5 4 3 5" xfId="24625" xr:uid="{398911DA-416D-42FB-8D36-B4F1554F8C0E}"/>
    <cellStyle name="60% - Énfasis5 4 3 6" xfId="30504" xr:uid="{4D500A70-CC32-4B63-AC55-FD725D9BEBFF}"/>
    <cellStyle name="60% - Énfasis5 4 3 7" xfId="36384" xr:uid="{94C31051-40CF-47BA-9547-C9C7A64407B0}"/>
    <cellStyle name="60% - Énfasis5 4 4" xfId="4861" xr:uid="{FE977FA8-2D13-4FE3-85C5-7A40B99F1DC9}"/>
    <cellStyle name="60% - Énfasis5 4 4 2" xfId="7727" xr:uid="{0E80B674-1E5E-441F-8B8F-A8D4D29D8C4B}"/>
    <cellStyle name="60% - Énfasis5 4 4 2 2" xfId="22117" xr:uid="{3AF04B67-0BD2-4A17-B285-CA6CBE7D28EE}"/>
    <cellStyle name="60% - Énfasis5 4 4 2 3" xfId="27960" xr:uid="{75A9694D-F57F-4256-810E-EA779C8E64DC}"/>
    <cellStyle name="60% - Énfasis5 4 4 2 4" xfId="33842" xr:uid="{A1671397-1E87-4B11-84B4-DF03733DC0B6}"/>
    <cellStyle name="60% - Énfasis5 4 4 2 5" xfId="39706" xr:uid="{862289F2-92BE-494A-B218-83CDE573F603}"/>
    <cellStyle name="60% - Énfasis5 4 4 3" xfId="19343" xr:uid="{BBF53F6B-3A23-45BC-B41A-407AA36B4807}"/>
    <cellStyle name="60% - Énfasis5 4 4 4" xfId="25111" xr:uid="{53213A65-AAE1-42BE-8127-FDF7B8644A72}"/>
    <cellStyle name="60% - Énfasis5 4 4 5" xfId="30985" xr:uid="{3889B831-330E-4810-BC8F-F9A0DEB51FA2}"/>
    <cellStyle name="60% - Énfasis5 4 4 6" xfId="36864" xr:uid="{657F0616-4997-4543-9E1C-335072427B7E}"/>
    <cellStyle name="60% - Énfasis5 4 5" xfId="5870" xr:uid="{8D8937F2-3635-407E-B11D-792C7C38CE55}"/>
    <cellStyle name="60% - Énfasis5 4 5 2" xfId="8739" xr:uid="{8813C702-1872-4DA9-A673-B8A993916D82}"/>
    <cellStyle name="60% - Énfasis5 4 5 2 2" xfId="23107" xr:uid="{4AD9C3E8-52EC-414B-9E22-1C73A16919EF}"/>
    <cellStyle name="60% - Énfasis5 4 5 2 3" xfId="28971" xr:uid="{31CCA80D-4C52-4750-AC35-8FFF4130F7E7}"/>
    <cellStyle name="60% - Énfasis5 4 5 2 4" xfId="34853" xr:uid="{5982A8D6-5D79-4601-A54E-E36EE4132EE5}"/>
    <cellStyle name="60% - Énfasis5 4 5 2 5" xfId="40717" xr:uid="{B512E9F6-2F54-48C7-A03E-2EEDDED1CA33}"/>
    <cellStyle name="60% - Énfasis5 4 5 3" xfId="20322" xr:uid="{68EDFE16-6075-42B9-8892-974783ACFF40}"/>
    <cellStyle name="60% - Énfasis5 4 5 4" xfId="26121" xr:uid="{E0B4FA91-EF1C-4D8E-8A04-A6EB261A902B}"/>
    <cellStyle name="60% - Énfasis5 4 5 5" xfId="31996" xr:uid="{DCD4EF11-8B18-42EE-B1EA-A8A251F43AD9}"/>
    <cellStyle name="60% - Énfasis5 4 5 6" xfId="37862" xr:uid="{4C33DA52-0785-4DB2-97D4-E65C280FA84A}"/>
    <cellStyle name="60% - Énfasis5 4 6" xfId="6756" xr:uid="{5A5DA0DE-62B6-4447-8827-6173D6432B6A}"/>
    <cellStyle name="60% - Énfasis5 4 6 2" xfId="21180" xr:uid="{D6052C21-0C83-4E0E-A2DF-BBF3DF8A3A17}"/>
    <cellStyle name="60% - Énfasis5 4 6 3" xfId="26995" xr:uid="{9B137212-4A91-407C-B259-7F7D2104F147}"/>
    <cellStyle name="60% - Énfasis5 4 6 4" xfId="32871" xr:uid="{3E57692C-8711-4E86-8E5A-78BBBDE1210A}"/>
    <cellStyle name="60% - Énfasis5 4 6 5" xfId="38735" xr:uid="{1758BCF7-F1A8-4F6A-AE7D-D315002F5AD5}"/>
    <cellStyle name="60% - Énfasis5 4 7" xfId="18422" xr:uid="{7B54511D-2B7E-470C-90A7-EE59B5015598}"/>
    <cellStyle name="60% - Énfasis5 4 8" xfId="24131" xr:uid="{E1CED810-2C3D-4514-8556-A9B30233034D}"/>
    <cellStyle name="60% - Énfasis5 4 9" xfId="30009" xr:uid="{BAE69B93-E95B-4AAA-945F-D0357A893840}"/>
    <cellStyle name="60% - Énfasis5 40" xfId="6508" xr:uid="{9D73A23A-175A-4505-AAB8-86769E1C42DF}"/>
    <cellStyle name="60% - Énfasis5 40 2" xfId="9368" xr:uid="{00E5FDD9-A71D-43E5-A1A1-9063F4F69994}"/>
    <cellStyle name="60% - Énfasis5 40 2 2" xfId="23731" xr:uid="{0CB0207C-A50E-4D68-9AD1-71EDA94EAE33}"/>
    <cellStyle name="60% - Énfasis5 40 2 3" xfId="29599" xr:uid="{F4D2DF43-2F9E-4111-A806-E382885094B3}"/>
    <cellStyle name="60% - Énfasis5 40 2 4" xfId="35481" xr:uid="{5206BCA0-1E15-4CC4-A555-4A0E889E926C}"/>
    <cellStyle name="60% - Énfasis5 40 2 5" xfId="41340" xr:uid="{961BB725-9CF0-4A42-B3AA-225223C9AF0F}"/>
    <cellStyle name="60% - Énfasis5 40 3" xfId="20946" xr:uid="{7AA82230-A159-4EA1-BFB7-F11C3FAAB37E}"/>
    <cellStyle name="60% - Énfasis5 40 4" xfId="26757" xr:uid="{615E693C-F7FD-4F7E-9B06-A5A6C66FB320}"/>
    <cellStyle name="60% - Énfasis5 40 5" xfId="32632" xr:uid="{2E9D9D82-F307-46AA-A51E-BC0BB7CCF19C}"/>
    <cellStyle name="60% - Énfasis5 40 6" xfId="38496" xr:uid="{6F8AE230-61AC-4EFE-A053-92034B84415E}"/>
    <cellStyle name="60% - Énfasis5 41" xfId="6528" xr:uid="{C9A57969-E4C0-42D8-A99C-8E4E5DD1F150}"/>
    <cellStyle name="60% - Énfasis5 41 2" xfId="9388" xr:uid="{02871101-7E06-4E20-A8F5-D88346AB0A38}"/>
    <cellStyle name="60% - Énfasis5 41 2 2" xfId="23751" xr:uid="{E1A862D8-6D21-44AB-BFCF-DD2131F1772B}"/>
    <cellStyle name="60% - Énfasis5 41 2 3" xfId="29619" xr:uid="{3FDBFDE8-43B9-47C4-AA51-D714F010F026}"/>
    <cellStyle name="60% - Énfasis5 41 2 4" xfId="35501" xr:uid="{B4946B8B-3AA2-4457-BB90-2980ADC3C9ED}"/>
    <cellStyle name="60% - Énfasis5 41 2 5" xfId="41360" xr:uid="{D799EC4C-C305-43FC-8F73-2027C63107B3}"/>
    <cellStyle name="60% - Énfasis5 41 3" xfId="20966" xr:uid="{E98912B9-B626-44A2-9BAF-79E6ABE7292C}"/>
    <cellStyle name="60% - Énfasis5 41 4" xfId="26777" xr:uid="{9538A7BC-2BAE-487E-B9FF-17692B19086D}"/>
    <cellStyle name="60% - Énfasis5 41 5" xfId="32652" xr:uid="{AFD71638-C83A-4DA5-8DD4-69CC40BBA7FF}"/>
    <cellStyle name="60% - Énfasis5 41 6" xfId="38516" xr:uid="{77B57EC3-4D93-4AC2-97FF-6470E0E97D2E}"/>
    <cellStyle name="60% - Énfasis5 42" xfId="6548" xr:uid="{EDED0E52-5ADD-497B-A6A2-48C100799FD8}"/>
    <cellStyle name="60% - Énfasis5 42 2" xfId="9408" xr:uid="{A4845D13-EFB2-460E-A811-E04E9EF55B2F}"/>
    <cellStyle name="60% - Énfasis5 42 2 2" xfId="23771" xr:uid="{DD546B5A-4A10-4239-BC8E-6A5615F5DD9E}"/>
    <cellStyle name="60% - Énfasis5 42 2 3" xfId="29639" xr:uid="{9CCD7B8C-F546-4D55-AB8A-E8CFCE269761}"/>
    <cellStyle name="60% - Énfasis5 42 2 4" xfId="35521" xr:uid="{227D46E0-334C-4E32-A5E0-191B7DD2C6C5}"/>
    <cellStyle name="60% - Énfasis5 42 2 5" xfId="41380" xr:uid="{9842A9AB-4D1A-46FC-96C0-4A993098C222}"/>
    <cellStyle name="60% - Énfasis5 42 3" xfId="20986" xr:uid="{530BA4D3-7DC5-4CE3-827B-E2B9C4A0E52F}"/>
    <cellStyle name="60% - Énfasis5 42 4" xfId="26797" xr:uid="{2BB9B8AE-BD3F-4592-AE46-733E0933569B}"/>
    <cellStyle name="60% - Énfasis5 42 5" xfId="32672" xr:uid="{D3F4ED35-AD3D-41B9-8415-7EF861446910}"/>
    <cellStyle name="60% - Énfasis5 42 6" xfId="38536" xr:uid="{64A84A69-CC65-463C-AA52-3D1835FDB7B1}"/>
    <cellStyle name="60% - Énfasis5 43" xfId="6569" xr:uid="{7CC66EC9-D200-4CC8-9661-8A4E549F7E0A}"/>
    <cellStyle name="60% - Énfasis5 43 2" xfId="9430" xr:uid="{84774C49-BCB4-4125-AE06-3FB115E8F86B}"/>
    <cellStyle name="60% - Énfasis5 43 2 2" xfId="23793" xr:uid="{D6AEC4FE-568B-4CE4-9D50-13A454D6343C}"/>
    <cellStyle name="60% - Énfasis5 43 2 3" xfId="29661" xr:uid="{550CACFC-0A09-4D5D-B17F-379104C8BBFA}"/>
    <cellStyle name="60% - Énfasis5 43 2 4" xfId="35543" xr:uid="{7FF4F5C3-563F-461E-9107-4C19357296CD}"/>
    <cellStyle name="60% - Énfasis5 43 2 5" xfId="41402" xr:uid="{A7DFA39C-BF7E-4652-B8E8-0D14CC3051A5}"/>
    <cellStyle name="60% - Énfasis5 43 3" xfId="21008" xr:uid="{F55AF32A-8FDB-40CF-B035-34343305AB23}"/>
    <cellStyle name="60% - Énfasis5 43 4" xfId="26819" xr:uid="{5922ABB6-1620-45D9-9223-4CCACEA506EA}"/>
    <cellStyle name="60% - Énfasis5 43 5" xfId="32694" xr:uid="{81F1C45F-4BAD-45F0-B274-200B1A6A69F6}"/>
    <cellStyle name="60% - Énfasis5 43 6" xfId="38558" xr:uid="{9E66764C-B90C-46C2-AC7E-ECFE1D966964}"/>
    <cellStyle name="60% - Énfasis5 44" xfId="6599" xr:uid="{313A3290-34FD-4251-9A66-916B830D63AA}"/>
    <cellStyle name="60% - Énfasis5 44 2" xfId="9459" xr:uid="{CC09B84D-D501-46EF-A20E-1CAABF194327}"/>
    <cellStyle name="60% - Énfasis5 44 2 2" xfId="23821" xr:uid="{C4849F0F-93FC-47B6-99EB-401E14AE102C}"/>
    <cellStyle name="60% - Énfasis5 44 2 3" xfId="29690" xr:uid="{CDA08E75-024A-4BBF-888B-FADC67FA8C8A}"/>
    <cellStyle name="60% - Énfasis5 44 2 4" xfId="35572" xr:uid="{61ABF72B-6946-4E3E-9E72-F1F1BE63E43A}"/>
    <cellStyle name="60% - Énfasis5 44 2 5" xfId="41431" xr:uid="{3E4FB2F0-344D-4338-AD4C-9EC4EEDEFE14}"/>
    <cellStyle name="60% - Énfasis5 44 3" xfId="21037" xr:uid="{67D00850-8380-4DFA-94AC-265177BF6DD8}"/>
    <cellStyle name="60% - Énfasis5 44 4" xfId="26848" xr:uid="{0D81D281-BBF4-4966-85F5-04D8C0597C37}"/>
    <cellStyle name="60% - Énfasis5 44 5" xfId="32723" xr:uid="{ADF18504-0849-47EB-AF45-B47F97D2168B}"/>
    <cellStyle name="60% - Énfasis5 44 6" xfId="38587" xr:uid="{809BC6C2-2645-4021-8C81-18BE90052B38}"/>
    <cellStyle name="60% - Énfasis5 45" xfId="6624" xr:uid="{4B254B78-236D-493C-936D-C467BB3CDDAB}"/>
    <cellStyle name="60% - Énfasis5 45 2" xfId="9484" xr:uid="{DAA445C4-8FA0-4487-98DA-FD78E03C7FDB}"/>
    <cellStyle name="60% - Énfasis5 45 2 2" xfId="23846" xr:uid="{E9B5C7A5-F39C-4118-944C-499ACA066A7A}"/>
    <cellStyle name="60% - Énfasis5 45 2 3" xfId="29715" xr:uid="{9661CAC8-1E58-47CA-93D8-9F49984ADE79}"/>
    <cellStyle name="60% - Énfasis5 45 2 4" xfId="35597" xr:uid="{59D48A6F-095D-4C38-9F18-175381025875}"/>
    <cellStyle name="60% - Énfasis5 45 2 5" xfId="41456" xr:uid="{CD076845-13C8-479E-8FCB-D69135D94240}"/>
    <cellStyle name="60% - Énfasis5 45 3" xfId="21061" xr:uid="{A397B2CE-1D68-4030-AF18-37595E5A5F89}"/>
    <cellStyle name="60% - Énfasis5 45 4" xfId="26873" xr:uid="{BF33919B-21FE-49B7-8F05-00A4BF6775F5}"/>
    <cellStyle name="60% - Énfasis5 45 5" xfId="32748" xr:uid="{4E50D62D-40E1-43A6-8D3E-FBD026E60077}"/>
    <cellStyle name="60% - Énfasis5 45 6" xfId="38612" xr:uid="{B6285EB5-CCB0-4AB1-8B4C-D99533675755}"/>
    <cellStyle name="60% - Énfasis5 46" xfId="6646" xr:uid="{E175A501-1EEF-4D98-8B2F-0F9C7BCB7531}"/>
    <cellStyle name="60% - Énfasis5 46 2" xfId="21083" xr:uid="{E9216395-7A11-414B-B71C-7359E4977C2B}"/>
    <cellStyle name="60% - Énfasis5 46 3" xfId="26895" xr:uid="{2CC70078-9822-4F6E-92DD-B1F3E82D97E9}"/>
    <cellStyle name="60% - Énfasis5 46 4" xfId="32770" xr:uid="{B440C705-A5ED-49FF-AFE1-7D8FAA7FD7C0}"/>
    <cellStyle name="60% - Énfasis5 46 5" xfId="38634" xr:uid="{7C623A54-86D4-43E7-B70C-183D1792C6B1}"/>
    <cellStyle name="60% - Énfasis5 47" xfId="6676" xr:uid="{A6E01905-6FFD-4D8B-9EAD-52FB1AE19953}"/>
    <cellStyle name="60% - Énfasis5 47 2" xfId="21105" xr:uid="{0AC37B5A-E19A-4696-AF2E-5F35D0FA6D25}"/>
    <cellStyle name="60% - Énfasis5 47 3" xfId="26917" xr:uid="{213D3481-11DC-483B-8D28-53545A2405DB}"/>
    <cellStyle name="60% - Énfasis5 47 4" xfId="32792" xr:uid="{6AC019FA-F2B9-463E-9885-EA39C65FDC6E}"/>
    <cellStyle name="60% - Énfasis5 47 5" xfId="38656" xr:uid="{6C0ADFAC-AAC9-4B1E-975E-480A1A41125D}"/>
    <cellStyle name="60% - Énfasis5 48" xfId="9504" xr:uid="{C6479B71-1C89-4110-A20C-F3257356DD83}"/>
    <cellStyle name="60% - Énfasis5 48 2" xfId="23866" xr:uid="{E9C1E0EF-7103-4077-AB86-F383D877ECD4}"/>
    <cellStyle name="60% - Énfasis5 48 3" xfId="29735" xr:uid="{267E40CC-F1EA-4325-B64B-23669A7FA866}"/>
    <cellStyle name="60% - Énfasis5 48 4" xfId="35617" xr:uid="{CC502E7E-8A14-4464-8FD9-958D102CD765}"/>
    <cellStyle name="60% - Énfasis5 48 5" xfId="41476" xr:uid="{A5DF744A-E489-4BE0-AF43-E4EA9029084D}"/>
    <cellStyle name="60% - Énfasis5 49" xfId="9525" xr:uid="{A9F18ECB-346B-410B-BF86-FA0990A24171}"/>
    <cellStyle name="60% - Énfasis5 49 2" xfId="23886" xr:uid="{BA6ECEA5-CF0B-4C64-A95E-374F4C226AA0}"/>
    <cellStyle name="60% - Énfasis5 49 3" xfId="29756" xr:uid="{CD648A29-0F37-4055-A2F7-AF5A2BCD0687}"/>
    <cellStyle name="60% - Énfasis5 49 4" xfId="35638" xr:uid="{1BCDA2EC-A414-4ADB-B241-1E0CB2A4262C}"/>
    <cellStyle name="60% - Énfasis5 49 5" xfId="41497" xr:uid="{051A55C0-F7DB-4B29-B667-D58980B9BE8E}"/>
    <cellStyle name="60% - Énfasis5 5" xfId="3924" xr:uid="{65695CA5-4FA7-446D-B490-D0379EF6855A}"/>
    <cellStyle name="60% - Énfasis5 5 10" xfId="35916" xr:uid="{7D608EA2-0A12-4293-B718-503F8CECC95B}"/>
    <cellStyle name="60% - Énfasis5 5 2" xfId="4118" xr:uid="{BC501661-A6F5-4D1B-8E2D-67BD50E9AC3E}"/>
    <cellStyle name="60% - Énfasis5 5 2 2" xfId="4596" xr:uid="{BCED9BC7-06C9-4240-AC8C-152084405998}"/>
    <cellStyle name="60% - Énfasis5 5 2 2 2" xfId="5564" xr:uid="{739EA934-4887-427B-AA23-695CE01B6660}"/>
    <cellStyle name="60% - Énfasis5 5 2 2 2 2" xfId="8431" xr:uid="{07A4EEDE-0260-4BDA-A0EE-B5417DC3F779}"/>
    <cellStyle name="60% - Énfasis5 5 2 2 2 2 2" xfId="22806" xr:uid="{757AC071-ECE7-413C-990F-F0B0D6CAABF5}"/>
    <cellStyle name="60% - Énfasis5 5 2 2 2 2 3" xfId="28664" xr:uid="{40D45110-6E4D-4DFF-BB3D-7F280158437E}"/>
    <cellStyle name="60% - Énfasis5 5 2 2 2 2 4" xfId="34546" xr:uid="{D0471CA4-143C-4FF4-A98E-DB91CF78CC83}"/>
    <cellStyle name="60% - Énfasis5 5 2 2 2 2 5" xfId="40410" xr:uid="{6003609F-1777-4FBD-AC1C-CE95016044AE}"/>
    <cellStyle name="60% - Énfasis5 5 2 2 2 3" xfId="20024" xr:uid="{536536D1-0DE0-47B8-AA3C-BD5F4963666E}"/>
    <cellStyle name="60% - Énfasis5 5 2 2 2 4" xfId="25815" xr:uid="{469EB26C-D8B3-45FA-9966-EF579F70FC65}"/>
    <cellStyle name="60% - Énfasis5 5 2 2 2 5" xfId="31689" xr:uid="{8B03C345-1848-4436-9803-EF3BD6ED1E0D}"/>
    <cellStyle name="60% - Énfasis5 5 2 2 2 6" xfId="37559" xr:uid="{7473F3A1-CB07-46E6-BD4F-81968A969D26}"/>
    <cellStyle name="60% - Énfasis5 5 2 2 3" xfId="7459" xr:uid="{2D46BE75-B5BA-433B-929F-3AADD6C87A95}"/>
    <cellStyle name="60% - Énfasis5 5 2 2 3 2" xfId="21861" xr:uid="{83F152BF-6385-4060-A707-CFD32961F83F}"/>
    <cellStyle name="60% - Énfasis5 5 2 2 3 3" xfId="27693" xr:uid="{7D322A8E-5F99-415E-82D5-53156289F4D3}"/>
    <cellStyle name="60% - Énfasis5 5 2 2 3 4" xfId="33575" xr:uid="{710AA1CF-CEB5-450B-914A-C2D804462745}"/>
    <cellStyle name="60% - Énfasis5 5 2 2 3 5" xfId="39439" xr:uid="{2B55B03C-F407-443C-AC39-4352AA3A1F45}"/>
    <cellStyle name="60% - Énfasis5 5 2 2 4" xfId="19091" xr:uid="{EE1F5052-BB57-4D66-8C96-A8F69328F11A}"/>
    <cellStyle name="60% - Énfasis5 5 2 2 5" xfId="24844" xr:uid="{9732A5E5-B6C1-49AA-957E-E982806D1DB3}"/>
    <cellStyle name="60% - Énfasis5 5 2 2 6" xfId="30721" xr:uid="{E3473751-CBA1-4AFB-B636-A72D0E4C8EAC}"/>
    <cellStyle name="60% - Énfasis5 5 2 2 7" xfId="36602" xr:uid="{3F44DA6C-6187-4660-97AF-D35E0C3F401C}"/>
    <cellStyle name="60% - Énfasis5 5 2 3" xfId="5079" xr:uid="{5E686606-C475-4862-93F4-F01F813BDF29}"/>
    <cellStyle name="60% - Énfasis5 5 2 3 2" xfId="7946" xr:uid="{14F5573B-626B-43A4-8901-8F2B5486D901}"/>
    <cellStyle name="60% - Énfasis5 5 2 3 2 2" xfId="22331" xr:uid="{C5B68885-5EC8-4E04-9A66-4EC36C744FB5}"/>
    <cellStyle name="60% - Énfasis5 5 2 3 2 3" xfId="28179" xr:uid="{5BE8FA7A-72D8-4944-A8C1-33E470BA7BF5}"/>
    <cellStyle name="60% - Énfasis5 5 2 3 2 4" xfId="34061" xr:uid="{F5815B77-EF59-420A-BFA2-D29C0484E529}"/>
    <cellStyle name="60% - Énfasis5 5 2 3 2 5" xfId="39925" xr:uid="{B66F7C95-5F6B-4876-B171-9319B77A087E}"/>
    <cellStyle name="60% - Énfasis5 5 2 3 3" xfId="19556" xr:uid="{21A14083-43C3-4E0B-9B6C-C885CBFE008E}"/>
    <cellStyle name="60% - Énfasis5 5 2 3 4" xfId="25330" xr:uid="{0854D43B-1F6D-4566-BFE1-8DFD4611EC8A}"/>
    <cellStyle name="60% - Énfasis5 5 2 3 5" xfId="31204" xr:uid="{CDA3F5FA-3834-4544-84E9-0D31FB2798EB}"/>
    <cellStyle name="60% - Énfasis5 5 2 3 6" xfId="37082" xr:uid="{BF44013F-C77D-4B22-A867-7DC931057F01}"/>
    <cellStyle name="60% - Énfasis5 5 2 4" xfId="6974" xr:uid="{65F40A37-A423-4E28-8DBC-9FF76805A9CF}"/>
    <cellStyle name="60% - Énfasis5 5 2 4 2" xfId="21393" xr:uid="{6976B506-C9DD-4ACD-971D-130480D6A796}"/>
    <cellStyle name="60% - Énfasis5 5 2 4 3" xfId="27212" xr:uid="{B8EDDE98-08FA-4EB8-8BDD-0A6A923DDC67}"/>
    <cellStyle name="60% - Énfasis5 5 2 4 4" xfId="33090" xr:uid="{18F70476-5C34-4F55-8F71-1A0C58603F1E}"/>
    <cellStyle name="60% - Énfasis5 5 2 4 5" xfId="38954" xr:uid="{BFB4ACDD-BDC2-47DE-B16F-3F4F6BA7B51C}"/>
    <cellStyle name="60% - Énfasis5 5 2 5" xfId="18647" xr:uid="{03D4CE9B-8107-48A7-A8C4-1BE468A40928}"/>
    <cellStyle name="60% - Énfasis5 5 2 6" xfId="24361" xr:uid="{4E0A6AC3-9C42-4900-8626-DA0AC1512E55}"/>
    <cellStyle name="60% - Énfasis5 5 2 7" xfId="30239" xr:uid="{DEE38980-6D7C-4CFA-8FF0-5C8AEDA38A08}"/>
    <cellStyle name="60% - Énfasis5 5 2 8" xfId="36118" xr:uid="{C3DA39C1-928D-461C-B4DF-D5554519D426}"/>
    <cellStyle name="60% - Énfasis5 5 3" xfId="4402" xr:uid="{6618663A-2FF4-465D-8CCD-A1AB0203F2E4}"/>
    <cellStyle name="60% - Énfasis5 5 3 2" xfId="5368" xr:uid="{EF31AA37-9F1B-4867-8EFA-3967726604A2}"/>
    <cellStyle name="60% - Énfasis5 5 3 2 2" xfId="8235" xr:uid="{A1AF821A-15DD-49FA-B0E6-2A93ED22367E}"/>
    <cellStyle name="60% - Énfasis5 5 3 2 2 2" xfId="22611" xr:uid="{22C9D69F-22FF-4DF2-9B73-BFC0E351797E}"/>
    <cellStyle name="60% - Énfasis5 5 3 2 2 3" xfId="28468" xr:uid="{E9708E8B-C7EE-48D2-80E8-B34788888923}"/>
    <cellStyle name="60% - Énfasis5 5 3 2 2 4" xfId="34350" xr:uid="{44DCEC6D-9176-40C7-A7C0-231E03F5316F}"/>
    <cellStyle name="60% - Énfasis5 5 3 2 2 5" xfId="40214" xr:uid="{B136D9E5-13D3-4FC5-AD11-D1822910BEAC}"/>
    <cellStyle name="60% - Énfasis5 5 3 2 3" xfId="19835" xr:uid="{BD8B3B99-2ABE-4413-904A-BC20AB6AE188}"/>
    <cellStyle name="60% - Énfasis5 5 3 2 4" xfId="25619" xr:uid="{52F9619C-E86E-482F-A919-BA16135265AB}"/>
    <cellStyle name="60% - Énfasis5 5 3 2 5" xfId="31493" xr:uid="{261B16E0-701C-4859-9B08-E3EEAD60C1F6}"/>
    <cellStyle name="60% - Énfasis5 5 3 2 6" xfId="37364" xr:uid="{9CCB6806-DCFA-476D-97FE-3B2784AA2685}"/>
    <cellStyle name="60% - Énfasis5 5 3 3" xfId="7263" xr:uid="{B1903986-EF01-4727-8D78-46188D87BD2F}"/>
    <cellStyle name="60% - Énfasis5 5 3 3 2" xfId="21670" xr:uid="{197EA9DE-0885-41DB-95B2-F9683909AB1C}"/>
    <cellStyle name="60% - Énfasis5 5 3 3 3" xfId="27497" xr:uid="{80AB8855-B137-416A-BEFB-EEF40A90D6CB}"/>
    <cellStyle name="60% - Énfasis5 5 3 3 4" xfId="33379" xr:uid="{48941480-9366-45A6-9CE0-25E6270D63C2}"/>
    <cellStyle name="60% - Énfasis5 5 3 3 5" xfId="39243" xr:uid="{4DBC6DCE-CE5E-446B-9AB3-99FC99DA58A2}"/>
    <cellStyle name="60% - Énfasis5 5 3 4" xfId="18904" xr:uid="{8F51B656-C13B-4169-B322-BBC87F495C20}"/>
    <cellStyle name="60% - Énfasis5 5 3 5" xfId="24648" xr:uid="{56774D56-A1B1-4B04-B66B-DDFE6ED44112}"/>
    <cellStyle name="60% - Énfasis5 5 3 6" xfId="30527" xr:uid="{618CB810-ED1F-4A15-93AA-1D019CE4C312}"/>
    <cellStyle name="60% - Énfasis5 5 3 7" xfId="36407" xr:uid="{85A7295A-A844-481F-9737-A5453D2CA6DE}"/>
    <cellStyle name="60% - Énfasis5 5 4" xfId="4883" xr:uid="{34535717-AA43-419A-B55C-8D4BEC105802}"/>
    <cellStyle name="60% - Énfasis5 5 4 2" xfId="7750" xr:uid="{A368006F-E9AF-4C9F-B4C2-E1026A9996A4}"/>
    <cellStyle name="60% - Énfasis5 5 4 2 2" xfId="22140" xr:uid="{CDA7E906-B921-4332-9C93-E93A8C0CD534}"/>
    <cellStyle name="60% - Énfasis5 5 4 2 3" xfId="27983" xr:uid="{CE5F7364-832E-4581-A17B-473103414D38}"/>
    <cellStyle name="60% - Énfasis5 5 4 2 4" xfId="33865" xr:uid="{514AE532-3E29-42E1-99D5-7A0C3B27ACCE}"/>
    <cellStyle name="60% - Énfasis5 5 4 2 5" xfId="39729" xr:uid="{0A1D5CC9-6F7C-4E44-A8C7-C42C1E19235D}"/>
    <cellStyle name="60% - Énfasis5 5 4 3" xfId="19366" xr:uid="{BAC4EAFD-D13E-42A0-A2B8-04DC09555F5E}"/>
    <cellStyle name="60% - Énfasis5 5 4 4" xfId="25134" xr:uid="{8B661585-9CAB-4250-9E3A-4F4BCE5A62DD}"/>
    <cellStyle name="60% - Énfasis5 5 4 5" xfId="31008" xr:uid="{8380077A-E011-48F9-828B-264B650DF227}"/>
    <cellStyle name="60% - Énfasis5 5 4 6" xfId="36887" xr:uid="{0D7BEA63-2B25-49B7-B5B0-2B77DC2D85E5}"/>
    <cellStyle name="60% - Énfasis5 5 5" xfId="5893" xr:uid="{9DDF3454-36F1-431F-AFE7-7171C997579C}"/>
    <cellStyle name="60% - Énfasis5 5 5 2" xfId="8762" xr:uid="{F8066353-1CE2-423D-BC33-D78DED931D98}"/>
    <cellStyle name="60% - Énfasis5 5 5 2 2" xfId="23130" xr:uid="{E812FE7A-9956-4938-9307-DF737A077603}"/>
    <cellStyle name="60% - Énfasis5 5 5 2 3" xfId="28994" xr:uid="{BFF5E859-F1BE-4C1D-B119-4059A57A98A2}"/>
    <cellStyle name="60% - Énfasis5 5 5 2 4" xfId="34876" xr:uid="{59C66AAB-55E2-43F1-AE73-5ECD67C99C1E}"/>
    <cellStyle name="60% - Énfasis5 5 5 2 5" xfId="40740" xr:uid="{88EE54F3-1977-4F33-8B93-A947BAE32AF9}"/>
    <cellStyle name="60% - Énfasis5 5 5 3" xfId="20344" xr:uid="{9247ECF5-9EC2-4C83-8626-6BCBFC9E3429}"/>
    <cellStyle name="60% - Énfasis5 5 5 4" xfId="26144" xr:uid="{2DAB035B-B756-44C8-AA01-559DD20F6485}"/>
    <cellStyle name="60% - Énfasis5 5 5 5" xfId="32019" xr:uid="{5F7C3DAA-1B2D-4C59-8E81-914F58C0EE20}"/>
    <cellStyle name="60% - Énfasis5 5 5 6" xfId="37885" xr:uid="{D1DEA528-51E6-46EB-90B6-8E155A86E46D}"/>
    <cellStyle name="60% - Énfasis5 5 6" xfId="6779" xr:uid="{3EFE009E-1D31-46AA-928A-E2A3EB460077}"/>
    <cellStyle name="60% - Énfasis5 5 6 2" xfId="21203" xr:uid="{04DB0B2C-F0F4-40CB-91C4-B77F81A23FB3}"/>
    <cellStyle name="60% - Énfasis5 5 6 3" xfId="27018" xr:uid="{E3D57211-83C5-46FC-8167-AB9D4D442E83}"/>
    <cellStyle name="60% - Énfasis5 5 6 4" xfId="32894" xr:uid="{BBEEADEB-54A9-45A8-8E28-43E491115D53}"/>
    <cellStyle name="60% - Énfasis5 5 6 5" xfId="38758" xr:uid="{A7425457-DF02-4B06-A856-EF5452B9386A}"/>
    <cellStyle name="60% - Énfasis5 5 7" xfId="18449" xr:uid="{804B24B9-B088-427B-BC0E-158E6BC8D42D}"/>
    <cellStyle name="60% - Énfasis5 5 8" xfId="24157" xr:uid="{A240EDAA-A34C-4468-84ED-EB278E36DBD1}"/>
    <cellStyle name="60% - Énfasis5 5 9" xfId="30035" xr:uid="{9CE6E99D-CB5D-4E9C-8F21-B4B77D314235}"/>
    <cellStyle name="60% - Énfasis5 50" xfId="9544" xr:uid="{EBFA9492-0DAB-4750-B792-0FB798996012}"/>
    <cellStyle name="60% - Énfasis5 50 2" xfId="23906" xr:uid="{EE58F897-2381-436A-818D-70DDD1CA7186}"/>
    <cellStyle name="60% - Énfasis5 50 3" xfId="29776" xr:uid="{AD8D1AE6-2C21-41A2-AA89-4BA58860C13D}"/>
    <cellStyle name="60% - Énfasis5 50 4" xfId="35658" xr:uid="{2B6B6CA8-7C01-4344-BBA6-59E3B4D55068}"/>
    <cellStyle name="60% - Énfasis5 50 5" xfId="41517" xr:uid="{5D0B762F-F2D7-498A-A4F8-7D3379D92B3F}"/>
    <cellStyle name="60% - Énfasis5 51" xfId="9570" xr:uid="{00A8ACE0-49EF-44FE-B772-50E87132F2DF}"/>
    <cellStyle name="60% - Énfasis5 51 2" xfId="23932" xr:uid="{AE252382-B723-4ECF-9801-8B9843B21036}"/>
    <cellStyle name="60% - Énfasis5 51 3" xfId="29802" xr:uid="{14FEF7B9-78C7-4538-9EFE-DE593DBB7ED8}"/>
    <cellStyle name="60% - Énfasis5 51 4" xfId="35684" xr:uid="{73D04CF6-3FFD-4B79-A889-2DE519319739}"/>
    <cellStyle name="60% - Énfasis5 51 5" xfId="41543" xr:uid="{4F8079B2-C802-44E5-8168-2332C94BD080}"/>
    <cellStyle name="60% - Énfasis5 52" xfId="15772" xr:uid="{C5A7BEA1-40E4-4187-B5F4-3F540258E8C6}"/>
    <cellStyle name="60% - Énfasis5 52 2" xfId="23992" xr:uid="{23743706-5F91-4691-915A-F9171FF73EA6}"/>
    <cellStyle name="60% - Énfasis5 52 3" xfId="29864" xr:uid="{EF6B11CA-2598-49A1-A13B-7111A65A2D14}"/>
    <cellStyle name="60% - Énfasis5 52 4" xfId="35746" xr:uid="{2350FA5A-2F42-4222-AFE5-B14845F4E6B1}"/>
    <cellStyle name="60% - Énfasis5 52 5" xfId="41605" xr:uid="{16361FB6-6FE7-41C6-8B16-F9863763B35F}"/>
    <cellStyle name="60% - Énfasis5 53" xfId="15797" xr:uid="{10854105-8100-4029-8901-C3E24308267D}"/>
    <cellStyle name="60% - Énfasis5 53 2" xfId="24014" xr:uid="{D1C1FC55-9D3F-406A-AC2A-1CB399B0290B}"/>
    <cellStyle name="60% - Énfasis5 53 3" xfId="29889" xr:uid="{39CE3ED5-10DA-460F-B139-0E0922E5525D}"/>
    <cellStyle name="60% - Énfasis5 53 4" xfId="35770" xr:uid="{43C1DF52-84A8-48CD-BA63-9D25959A1E68}"/>
    <cellStyle name="60% - Énfasis5 53 5" xfId="41630" xr:uid="{7905E3F9-F528-4E5D-B283-54F40BF25DC7}"/>
    <cellStyle name="60% - Énfasis5 54" xfId="15831" xr:uid="{12A12300-D92A-4601-AEA2-26AB3EC71229}"/>
    <cellStyle name="60% - Énfasis5 55" xfId="18306" xr:uid="{61513CA9-5292-4944-AD69-29FFE2212A0E}"/>
    <cellStyle name="60% - Énfasis5 56" xfId="18329" xr:uid="{291F3365-8C5C-44FD-AAE4-9FBB0CF44E59}"/>
    <cellStyle name="60% - Énfasis5 57" xfId="24041" xr:uid="{CF17FF1E-51F8-4EE4-A951-E16E878FCCC1}"/>
    <cellStyle name="60% - Énfasis5 58" xfId="29919" xr:uid="{F35F4161-71B4-49FA-813E-E14126F805D5}"/>
    <cellStyle name="60% - Énfasis5 59" xfId="35800" xr:uid="{0D988FD7-ED4A-414A-A797-9864FD6525BB}"/>
    <cellStyle name="60% - Énfasis5 6" xfId="3948" xr:uid="{27BDCDF8-582F-456A-9D1F-56E647499931}"/>
    <cellStyle name="60% - Énfasis5 6 10" xfId="35939" xr:uid="{D32B2B02-A7C1-4561-B5FB-31A13545EBAC}"/>
    <cellStyle name="60% - Énfasis5 6 2" xfId="4140" xr:uid="{EAF969DF-DCC5-4AE3-89DB-F7BF23DA6C87}"/>
    <cellStyle name="60% - Énfasis5 6 2 2" xfId="4618" xr:uid="{99A95AB6-FFC0-44F1-A1E3-2F3A04983D3F}"/>
    <cellStyle name="60% - Énfasis5 6 2 2 2" xfId="5586" xr:uid="{ECEEBD54-75F1-47FC-8632-61B90D1D8B2A}"/>
    <cellStyle name="60% - Énfasis5 6 2 2 2 2" xfId="8453" xr:uid="{B87AE40C-EE8C-47CF-A54A-D80301863453}"/>
    <cellStyle name="60% - Énfasis5 6 2 2 2 2 2" xfId="22828" xr:uid="{CF3F2982-B1B6-47B1-8CD6-20FF348731CC}"/>
    <cellStyle name="60% - Énfasis5 6 2 2 2 2 3" xfId="28686" xr:uid="{31F83FD2-73AD-474F-8813-83257100E91B}"/>
    <cellStyle name="60% - Énfasis5 6 2 2 2 2 4" xfId="34568" xr:uid="{EACD1766-CD1F-4B5C-B168-2ECC714592A1}"/>
    <cellStyle name="60% - Énfasis5 6 2 2 2 2 5" xfId="40432" xr:uid="{FCEC75A6-F7AD-482B-9AC4-4C4C014E2AD5}"/>
    <cellStyle name="60% - Énfasis5 6 2 2 2 3" xfId="20046" xr:uid="{65B4FD6A-30B7-4FA8-A47A-7B59F5AB0FDB}"/>
    <cellStyle name="60% - Énfasis5 6 2 2 2 4" xfId="25837" xr:uid="{ABAD16D9-FCCC-42B8-87B3-E02E2336F9F5}"/>
    <cellStyle name="60% - Énfasis5 6 2 2 2 5" xfId="31711" xr:uid="{430BE635-B946-4116-9A85-99CC101F03A5}"/>
    <cellStyle name="60% - Énfasis5 6 2 2 2 6" xfId="37581" xr:uid="{C5227CBC-C689-4CCB-AFBE-21D376AEF78E}"/>
    <cellStyle name="60% - Énfasis5 6 2 2 3" xfId="7481" xr:uid="{DCEC23D3-6558-4BF2-A661-93FCA64157F8}"/>
    <cellStyle name="60% - Énfasis5 6 2 2 3 2" xfId="21883" xr:uid="{35B589E7-10AC-4EE5-96EE-F81EA746A995}"/>
    <cellStyle name="60% - Énfasis5 6 2 2 3 3" xfId="27715" xr:uid="{C7E7E3A4-4ACE-40DC-80CA-49910519B984}"/>
    <cellStyle name="60% - Énfasis5 6 2 2 3 4" xfId="33597" xr:uid="{AABC0397-A740-47D6-95A0-C862CEC784B8}"/>
    <cellStyle name="60% - Énfasis5 6 2 2 3 5" xfId="39461" xr:uid="{ADA92777-E625-40A4-8959-D72DB6B8742E}"/>
    <cellStyle name="60% - Énfasis5 6 2 2 4" xfId="19113" xr:uid="{324B6642-FAD6-42CC-9541-A2BBE72B9E36}"/>
    <cellStyle name="60% - Énfasis5 6 2 2 5" xfId="24866" xr:uid="{6AB2184C-6514-472C-8E2C-DAC56C7EE0D1}"/>
    <cellStyle name="60% - Énfasis5 6 2 2 6" xfId="30743" xr:uid="{DDFC9168-657E-466E-AA7C-4A2278E266A4}"/>
    <cellStyle name="60% - Énfasis5 6 2 2 7" xfId="36624" xr:uid="{4712248F-DC85-4B83-85BF-25874A7F59E2}"/>
    <cellStyle name="60% - Énfasis5 6 2 3" xfId="5101" xr:uid="{7B4664CC-A8D5-44DF-9A40-B60CE3717D17}"/>
    <cellStyle name="60% - Énfasis5 6 2 3 2" xfId="7968" xr:uid="{B55AD386-15D9-48FC-B55D-AEF7CC9149E3}"/>
    <cellStyle name="60% - Énfasis5 6 2 3 2 2" xfId="22353" xr:uid="{64DAB145-4F3E-416B-809E-BB3FE9C66803}"/>
    <cellStyle name="60% - Énfasis5 6 2 3 2 3" xfId="28201" xr:uid="{4F554870-5DD3-4C39-AD89-C9A97DA9ABF2}"/>
    <cellStyle name="60% - Énfasis5 6 2 3 2 4" xfId="34083" xr:uid="{8D38CF7D-17A9-4F4E-9C6F-40E7CB3CDD3B}"/>
    <cellStyle name="60% - Énfasis5 6 2 3 2 5" xfId="39947" xr:uid="{C19EE019-F363-4B6E-8ABF-F442D6FCDFA2}"/>
    <cellStyle name="60% - Énfasis5 6 2 3 3" xfId="19578" xr:uid="{B5CA23F3-F332-440B-9569-987A923781A6}"/>
    <cellStyle name="60% - Énfasis5 6 2 3 4" xfId="25352" xr:uid="{81151278-6F72-4F97-B04B-AD6BBC2C5CD6}"/>
    <cellStyle name="60% - Énfasis5 6 2 3 5" xfId="31226" xr:uid="{513D84D9-ABBE-4D77-B49E-7AEB6F7CC1A4}"/>
    <cellStyle name="60% - Énfasis5 6 2 3 6" xfId="37104" xr:uid="{6F03129B-781A-4C9C-821C-1B3221C13538}"/>
    <cellStyle name="60% - Énfasis5 6 2 4" xfId="6996" xr:uid="{1909BA18-330D-4CA2-89AC-0C12D1A6A14D}"/>
    <cellStyle name="60% - Énfasis5 6 2 4 2" xfId="21415" xr:uid="{E2CEEE78-A14C-4969-9C0C-5D2D3F6D3961}"/>
    <cellStyle name="60% - Énfasis5 6 2 4 3" xfId="27234" xr:uid="{A0EF06A4-44E4-4FBE-A22D-25FA467907ED}"/>
    <cellStyle name="60% - Énfasis5 6 2 4 4" xfId="33112" xr:uid="{91AB77B7-4E37-4C46-BC3D-A380FA0FA41F}"/>
    <cellStyle name="60% - Énfasis5 6 2 4 5" xfId="38976" xr:uid="{3F32BFD6-285A-46C0-99F7-9E1917616C72}"/>
    <cellStyle name="60% - Énfasis5 6 2 5" xfId="18669" xr:uid="{1E4091F4-DE0C-4E69-AB57-6074AA014482}"/>
    <cellStyle name="60% - Énfasis5 6 2 6" xfId="24383" xr:uid="{83B6A147-86CC-49CF-8F76-AA2D17C7A100}"/>
    <cellStyle name="60% - Énfasis5 6 2 7" xfId="30261" xr:uid="{C2C2B9A0-DAAA-459B-97A0-6D2A89DEF010}"/>
    <cellStyle name="60% - Énfasis5 6 2 8" xfId="36140" xr:uid="{92F80F73-3E09-4EEC-92D2-5FA29863D0DD}"/>
    <cellStyle name="60% - Énfasis5 6 3" xfId="4424" xr:uid="{7586D577-5243-4945-BD85-2B34F80B383A}"/>
    <cellStyle name="60% - Énfasis5 6 3 2" xfId="5390" xr:uid="{D91377AB-F120-4420-B179-577EEE628BB7}"/>
    <cellStyle name="60% - Énfasis5 6 3 2 2" xfId="8257" xr:uid="{DC5FD5E7-4B00-4037-AAA5-E20D7EC50DFB}"/>
    <cellStyle name="60% - Énfasis5 6 3 2 2 2" xfId="22633" xr:uid="{0649EAB9-826B-481E-AF58-E03B1CC6FD58}"/>
    <cellStyle name="60% - Énfasis5 6 3 2 2 3" xfId="28490" xr:uid="{96E5B769-8583-4CA9-957B-825B4C9E4161}"/>
    <cellStyle name="60% - Énfasis5 6 3 2 2 4" xfId="34372" xr:uid="{F58511D7-9601-44EB-8131-FDFBCA4B8977}"/>
    <cellStyle name="60% - Énfasis5 6 3 2 2 5" xfId="40236" xr:uid="{8BD6E348-8A38-44D4-9628-59542430B6A3}"/>
    <cellStyle name="60% - Énfasis5 6 3 2 3" xfId="19857" xr:uid="{63367B50-90DD-44AF-ACCE-342811568B92}"/>
    <cellStyle name="60% - Énfasis5 6 3 2 4" xfId="25641" xr:uid="{36BC867C-C508-4F1F-BF52-4A8CD31F2991}"/>
    <cellStyle name="60% - Énfasis5 6 3 2 5" xfId="31515" xr:uid="{F18CECE6-7536-40FC-A8A9-1EC25EC431C6}"/>
    <cellStyle name="60% - Énfasis5 6 3 2 6" xfId="37386" xr:uid="{8863997D-432B-47F0-8850-12A3C0226268}"/>
    <cellStyle name="60% - Énfasis5 6 3 3" xfId="7285" xr:uid="{7BB81DEB-CF75-4171-8B6A-C46BF7155B76}"/>
    <cellStyle name="60% - Énfasis5 6 3 3 2" xfId="21692" xr:uid="{79DBA5EE-943A-448A-AAF0-E9298B5F8B1E}"/>
    <cellStyle name="60% - Énfasis5 6 3 3 3" xfId="27519" xr:uid="{5F649E8E-E379-4189-9179-353CB46F6B8C}"/>
    <cellStyle name="60% - Énfasis5 6 3 3 4" xfId="33401" xr:uid="{031FCEE8-DF4E-426D-85EF-C592F28B82F7}"/>
    <cellStyle name="60% - Énfasis5 6 3 3 5" xfId="39265" xr:uid="{CD77A64A-8AA7-45BB-BB23-AC12943E4468}"/>
    <cellStyle name="60% - Énfasis5 6 3 4" xfId="18926" xr:uid="{6DF6FEE5-875A-4D6C-A345-06DF1DDA4E4B}"/>
    <cellStyle name="60% - Énfasis5 6 3 5" xfId="24670" xr:uid="{B234036D-6A7B-4C1C-9943-77B24AD7889F}"/>
    <cellStyle name="60% - Énfasis5 6 3 6" xfId="30549" xr:uid="{0C22EBCC-CE68-4B7B-9D69-C93CEB7A20CF}"/>
    <cellStyle name="60% - Énfasis5 6 3 7" xfId="36429" xr:uid="{4445339E-34C0-4988-8D0C-9D9C418537CC}"/>
    <cellStyle name="60% - Énfasis5 6 4" xfId="4905" xr:uid="{460D6FAD-032B-4B37-87ED-7141942CEA60}"/>
    <cellStyle name="60% - Énfasis5 6 4 2" xfId="7772" xr:uid="{CE81C266-B13C-425D-8E0F-5281D922E472}"/>
    <cellStyle name="60% - Énfasis5 6 4 2 2" xfId="22162" xr:uid="{7E1CEE4F-CD8C-4C0F-8683-2022F467D2C7}"/>
    <cellStyle name="60% - Énfasis5 6 4 2 3" xfId="28005" xr:uid="{13B45478-3330-47D1-93D4-8660BF19C43B}"/>
    <cellStyle name="60% - Énfasis5 6 4 2 4" xfId="33887" xr:uid="{805202D1-F994-4C34-B885-69A4FDA0B137}"/>
    <cellStyle name="60% - Énfasis5 6 4 2 5" xfId="39751" xr:uid="{FA408EE9-4417-48A4-8107-8567EEA191BA}"/>
    <cellStyle name="60% - Énfasis5 6 4 3" xfId="19388" xr:uid="{9BE58ECF-40CA-4A03-AE8F-1BC1258FB8B6}"/>
    <cellStyle name="60% - Énfasis5 6 4 4" xfId="25156" xr:uid="{DFEFE4DF-D400-43E0-8B03-DFD4ACBFA31A}"/>
    <cellStyle name="60% - Énfasis5 6 4 5" xfId="31030" xr:uid="{76F50FB1-491B-4B2D-A127-9C194BE8CBB1}"/>
    <cellStyle name="60% - Énfasis5 6 4 6" xfId="36909" xr:uid="{A5A2CAE8-3CD3-43DA-A2AD-0596CAC4002E}"/>
    <cellStyle name="60% - Énfasis5 6 5" xfId="5915" xr:uid="{74EF455D-91AF-4789-9A64-A5908B1CB7C6}"/>
    <cellStyle name="60% - Énfasis5 6 5 2" xfId="8784" xr:uid="{2DC00B5A-67F1-441E-BB7E-1F366FAD52CA}"/>
    <cellStyle name="60% - Énfasis5 6 5 2 2" xfId="23152" xr:uid="{692EB1F1-2837-42DB-B8E2-77A759BDEE75}"/>
    <cellStyle name="60% - Énfasis5 6 5 2 3" xfId="29016" xr:uid="{85020E55-8737-4C4D-BEB7-20F43FE3B53D}"/>
    <cellStyle name="60% - Énfasis5 6 5 2 4" xfId="34898" xr:uid="{01CE49FA-0A49-4B15-80F2-5ED4B40B4209}"/>
    <cellStyle name="60% - Énfasis5 6 5 2 5" xfId="40762" xr:uid="{603C396D-881D-4258-91AD-6D3BC1D9DB1E}"/>
    <cellStyle name="60% - Énfasis5 6 5 3" xfId="20366" xr:uid="{43CC8950-8D2D-4E86-9C53-DCA58A4108E4}"/>
    <cellStyle name="60% - Énfasis5 6 5 4" xfId="26166" xr:uid="{43D32B72-8C7A-46F2-86BB-0C7162003A19}"/>
    <cellStyle name="60% - Énfasis5 6 5 5" xfId="32041" xr:uid="{7DE31636-4EDC-46C6-AEFF-5BF774D4FAA1}"/>
    <cellStyle name="60% - Énfasis5 6 5 6" xfId="37907" xr:uid="{2E2AE21E-053D-4840-8C18-DCB77393FA33}"/>
    <cellStyle name="60% - Énfasis5 6 6" xfId="6801" xr:uid="{28AC431F-A2F8-46DD-A2C9-FE8EA61623E9}"/>
    <cellStyle name="60% - Énfasis5 6 6 2" xfId="21225" xr:uid="{8BAA51EC-C94A-4D51-AEE9-4C3677ED547D}"/>
    <cellStyle name="60% - Énfasis5 6 6 3" xfId="27040" xr:uid="{BBD2F413-A999-4087-83A3-A7930CFF51F4}"/>
    <cellStyle name="60% - Énfasis5 6 6 4" xfId="32916" xr:uid="{6C5A32AF-A7C1-4069-8599-07BE29C8BF10}"/>
    <cellStyle name="60% - Énfasis5 6 6 5" xfId="38780" xr:uid="{04D6D03E-9D2C-4ABE-BD7E-F24BC156B69F}"/>
    <cellStyle name="60% - Énfasis5 6 7" xfId="18472" xr:uid="{B8547174-382A-47B1-8C11-EE2B412CC2F7}"/>
    <cellStyle name="60% - Énfasis5 6 8" xfId="24180" xr:uid="{8D5247F4-EB89-4817-97A4-D4D7896DD89F}"/>
    <cellStyle name="60% - Énfasis5 6 9" xfId="30058" xr:uid="{9A93E0A6-D0AE-48A4-B08B-693D7FEF9A2F}"/>
    <cellStyle name="60% - Énfasis5 7" xfId="3972" xr:uid="{E6C4142F-C2C4-49DC-94C6-599CA37225CF}"/>
    <cellStyle name="60% - Énfasis5 7 10" xfId="35964" xr:uid="{563D3805-7665-4BD9-945E-ADC80D55338C}"/>
    <cellStyle name="60% - Énfasis5 7 2" xfId="4164" xr:uid="{EE9C6DE5-8CEA-4833-9E8F-C3CFC6607965}"/>
    <cellStyle name="60% - Énfasis5 7 2 2" xfId="4642" xr:uid="{4E59AFAC-E66E-404E-A0A7-155EB48A62D1}"/>
    <cellStyle name="60% - Énfasis5 7 2 2 2" xfId="5610" xr:uid="{4DD03948-6E37-41B3-880A-B3AC74E9C7EA}"/>
    <cellStyle name="60% - Énfasis5 7 2 2 2 2" xfId="8477" xr:uid="{E53AB186-8306-43A5-8624-39E123EA80AF}"/>
    <cellStyle name="60% - Énfasis5 7 2 2 2 2 2" xfId="22852" xr:uid="{7469A4BB-AFC0-4C73-A256-07E543B8BB2C}"/>
    <cellStyle name="60% - Énfasis5 7 2 2 2 2 3" xfId="28710" xr:uid="{A1D9A0F7-2B66-4936-9660-B154D433F9D3}"/>
    <cellStyle name="60% - Énfasis5 7 2 2 2 2 4" xfId="34592" xr:uid="{E77B13EF-D5C3-4394-BD21-12D92F63F201}"/>
    <cellStyle name="60% - Énfasis5 7 2 2 2 2 5" xfId="40456" xr:uid="{3E05165D-D0BE-4847-ACEA-1D7F146AA738}"/>
    <cellStyle name="60% - Énfasis5 7 2 2 2 3" xfId="20069" xr:uid="{0C321807-4CCA-472D-A4C7-11AEF8810AB6}"/>
    <cellStyle name="60% - Énfasis5 7 2 2 2 4" xfId="25861" xr:uid="{4B747B11-9FB4-4DB6-A69C-F4012204587F}"/>
    <cellStyle name="60% - Énfasis5 7 2 2 2 5" xfId="31735" xr:uid="{650ED1F2-CED7-4A5D-8CA1-6CF89CDFE06C}"/>
    <cellStyle name="60% - Énfasis5 7 2 2 2 6" xfId="37605" xr:uid="{BF5C3543-A167-4A30-B9C9-D602E2DA4755}"/>
    <cellStyle name="60% - Énfasis5 7 2 2 3" xfId="7505" xr:uid="{C53EA9A0-1930-4E4C-9725-B15065991746}"/>
    <cellStyle name="60% - Énfasis5 7 2 2 3 2" xfId="21906" xr:uid="{54EB18A7-C0B2-4CF0-A2AF-26A19D923286}"/>
    <cellStyle name="60% - Énfasis5 7 2 2 3 3" xfId="27739" xr:uid="{C77724F7-13BF-44E6-B6FE-126DF4ABF3B5}"/>
    <cellStyle name="60% - Énfasis5 7 2 2 3 4" xfId="33621" xr:uid="{723E36C4-62C6-4095-BC1D-7D2AD14F408B}"/>
    <cellStyle name="60% - Énfasis5 7 2 2 3 5" xfId="39485" xr:uid="{A46AACED-ABD5-4CC7-A2B9-6A081EAADA7B}"/>
    <cellStyle name="60% - Énfasis5 7 2 2 4" xfId="19136" xr:uid="{2F0F1A6F-88DE-492B-BE9C-7E53ACBC719B}"/>
    <cellStyle name="60% - Énfasis5 7 2 2 5" xfId="24890" xr:uid="{A23307C5-5712-416E-907A-A23E8A81A8AC}"/>
    <cellStyle name="60% - Énfasis5 7 2 2 6" xfId="30766" xr:uid="{C10FE874-1BE9-44E9-8D10-1F33F31320A8}"/>
    <cellStyle name="60% - Énfasis5 7 2 2 7" xfId="36648" xr:uid="{C7243E6B-A966-4170-83D4-2C090DE9F5AF}"/>
    <cellStyle name="60% - Énfasis5 7 2 3" xfId="5125" xr:uid="{FE2AA91C-BF3B-4380-B69A-2B087935A52D}"/>
    <cellStyle name="60% - Énfasis5 7 2 3 2" xfId="7992" xr:uid="{8B6D08FF-276C-4C66-95F4-29BC910CCB5E}"/>
    <cellStyle name="60% - Énfasis5 7 2 3 2 2" xfId="22377" xr:uid="{E881D7C2-7591-4659-BD6B-5B3149E0058D}"/>
    <cellStyle name="60% - Énfasis5 7 2 3 2 3" xfId="28225" xr:uid="{8331A780-911E-475A-BF04-BB76E8491113}"/>
    <cellStyle name="60% - Énfasis5 7 2 3 2 4" xfId="34107" xr:uid="{17FE0BBA-7DA7-443D-8D97-A6A4811748FC}"/>
    <cellStyle name="60% - Énfasis5 7 2 3 2 5" xfId="39971" xr:uid="{BD153A4E-CE84-47CC-9778-FC775C5AFA82}"/>
    <cellStyle name="60% - Énfasis5 7 2 3 3" xfId="19600" xr:uid="{A4F546FE-5B32-43F4-B6B5-200DBA2DB827}"/>
    <cellStyle name="60% - Énfasis5 7 2 3 4" xfId="25376" xr:uid="{EB34A521-BAB9-4ADA-8936-A26758D8AE8F}"/>
    <cellStyle name="60% - Énfasis5 7 2 3 5" xfId="31250" xr:uid="{B546AE51-F7E4-451F-B888-68FA6D3377F6}"/>
    <cellStyle name="60% - Énfasis5 7 2 3 6" xfId="37128" xr:uid="{9AB04749-5C99-4F5C-A898-B98E3780AC6F}"/>
    <cellStyle name="60% - Énfasis5 7 2 4" xfId="7020" xr:uid="{907A1781-B86F-433B-9567-B586E79B823E}"/>
    <cellStyle name="60% - Énfasis5 7 2 4 2" xfId="21437" xr:uid="{D559FE6B-4D8F-4048-A77E-A5B21A819D19}"/>
    <cellStyle name="60% - Énfasis5 7 2 4 3" xfId="27258" xr:uid="{8582F5D3-3B50-474A-89C9-66CC4E722E50}"/>
    <cellStyle name="60% - Énfasis5 7 2 4 4" xfId="33136" xr:uid="{C326819B-DF55-4C1C-84D0-5AF20AE59136}"/>
    <cellStyle name="60% - Énfasis5 7 2 4 5" xfId="39000" xr:uid="{F3EDE2FC-3B76-45DC-84CE-5D4B57F0432A}"/>
    <cellStyle name="60% - Énfasis5 7 2 5" xfId="18692" xr:uid="{F9BD0451-6B69-4BCD-B3D4-46C0601F1B74}"/>
    <cellStyle name="60% - Énfasis5 7 2 6" xfId="24407" xr:uid="{FE3FD3FF-DA5A-4D3B-9A19-377B817E8D75}"/>
    <cellStyle name="60% - Énfasis5 7 2 7" xfId="30284" xr:uid="{95D5A110-105B-4750-AD3F-6D13A9DFC081}"/>
    <cellStyle name="60% - Énfasis5 7 2 8" xfId="36164" xr:uid="{9A18E5F3-1F28-4B6C-A130-E0FBC82DCB01}"/>
    <cellStyle name="60% - Énfasis5 7 3" xfId="4447" xr:uid="{AA17BF80-3ABA-4BE6-951A-1757471FA886}"/>
    <cellStyle name="60% - Énfasis5 7 3 2" xfId="5414" xr:uid="{18A70E0B-1CBE-4E9B-B192-D51F0C29A617}"/>
    <cellStyle name="60% - Énfasis5 7 3 2 2" xfId="8281" xr:uid="{F18E7DE7-4CD4-4CBF-A04A-C620F3437338}"/>
    <cellStyle name="60% - Énfasis5 7 3 2 2 2" xfId="22657" xr:uid="{551E0544-75F8-4FEC-AD9E-550B542CA0A3}"/>
    <cellStyle name="60% - Énfasis5 7 3 2 2 3" xfId="28514" xr:uid="{E7E0FBED-3D21-4FEA-A5C3-63FD27E8E6C0}"/>
    <cellStyle name="60% - Énfasis5 7 3 2 2 4" xfId="34396" xr:uid="{FF53AF79-71C9-4993-8257-1169ED6A41EB}"/>
    <cellStyle name="60% - Énfasis5 7 3 2 2 5" xfId="40260" xr:uid="{8946AF71-486B-4671-A242-7F6295116B3C}"/>
    <cellStyle name="60% - Énfasis5 7 3 2 3" xfId="19879" xr:uid="{51868C83-3C89-4644-A00D-C5BDA73139BA}"/>
    <cellStyle name="60% - Énfasis5 7 3 2 4" xfId="25665" xr:uid="{65E3D6EE-717C-4803-8D56-37ED60FFD7AA}"/>
    <cellStyle name="60% - Énfasis5 7 3 2 5" xfId="31539" xr:uid="{D0400427-E752-4DFF-BF5D-D36DCC830D46}"/>
    <cellStyle name="60% - Énfasis5 7 3 2 6" xfId="37410" xr:uid="{AC2F1023-1FB0-4339-BCCA-AA17156B4390}"/>
    <cellStyle name="60% - Énfasis5 7 3 3" xfId="7309" xr:uid="{245CFF0D-0C93-40C8-8088-26B9365FAC55}"/>
    <cellStyle name="60% - Énfasis5 7 3 3 2" xfId="21714" xr:uid="{0A0EACC2-E6DA-4ADF-A6DE-1982A4A9CFCB}"/>
    <cellStyle name="60% - Énfasis5 7 3 3 3" xfId="27543" xr:uid="{D1C40E6E-98FC-4E96-BCFC-7DAF952B7935}"/>
    <cellStyle name="60% - Énfasis5 7 3 3 4" xfId="33425" xr:uid="{F2C09A2A-FEF0-4B88-8187-73BC844743E0}"/>
    <cellStyle name="60% - Énfasis5 7 3 3 5" xfId="39289" xr:uid="{B9EF4409-0C8F-4CD6-B077-6739C2E258AA}"/>
    <cellStyle name="60% - Énfasis5 7 3 4" xfId="18950" xr:uid="{F97EBA77-AD4A-4B04-A5AA-F18793F4DED0}"/>
    <cellStyle name="60% - Énfasis5 7 3 5" xfId="24694" xr:uid="{9E31941C-4DC9-486B-88E2-A99E4E79F93B}"/>
    <cellStyle name="60% - Énfasis5 7 3 6" xfId="30572" xr:uid="{8B33B495-5088-48D2-A5F3-99D1F81E5E18}"/>
    <cellStyle name="60% - Énfasis5 7 3 7" xfId="36453" xr:uid="{8A61D34B-4C9E-4F33-B48B-971E2886B8C4}"/>
    <cellStyle name="60% - Énfasis5 7 4" xfId="4929" xr:uid="{98982E79-39B3-45D0-9B13-6C8BBEEF815A}"/>
    <cellStyle name="60% - Énfasis5 7 4 2" xfId="7796" xr:uid="{90397E13-7038-40C9-95D7-300CA8D0B1DD}"/>
    <cellStyle name="60% - Énfasis5 7 4 2 2" xfId="22184" xr:uid="{E76D2C94-7E34-4E56-A80E-99FA028F74EE}"/>
    <cellStyle name="60% - Énfasis5 7 4 2 3" xfId="28029" xr:uid="{5711DF30-4C5D-4255-8D6E-3DDDEAC3491C}"/>
    <cellStyle name="60% - Énfasis5 7 4 2 4" xfId="33911" xr:uid="{1EA58762-E342-4AB7-820B-212AAAF79AB7}"/>
    <cellStyle name="60% - Énfasis5 7 4 2 5" xfId="39775" xr:uid="{E4BEA5A8-B6BC-46DE-BBCF-E1AE5F9195F3}"/>
    <cellStyle name="60% - Énfasis5 7 4 3" xfId="19411" xr:uid="{F1F65CCA-7A7E-4D85-8DBE-7A9FF6148BF2}"/>
    <cellStyle name="60% - Énfasis5 7 4 4" xfId="25180" xr:uid="{59B18394-03EC-4CAF-A1D6-498A4C835E05}"/>
    <cellStyle name="60% - Énfasis5 7 4 5" xfId="31054" xr:uid="{E08AB75B-9EDD-446A-8822-2BE451B845EE}"/>
    <cellStyle name="60% - Énfasis5 7 4 6" xfId="36933" xr:uid="{F0FE461A-1D32-424C-BAC8-D35760337F6F}"/>
    <cellStyle name="60% - Énfasis5 7 5" xfId="5939" xr:uid="{290B0688-889E-401E-BCE8-A547ACE7124A}"/>
    <cellStyle name="60% - Énfasis5 7 5 2" xfId="8808" xr:uid="{86FA72CE-9913-4918-AF9E-099492E460DF}"/>
    <cellStyle name="60% - Énfasis5 7 5 2 2" xfId="23175" xr:uid="{B963643A-7C42-4BC7-84FC-78992AA77FD8}"/>
    <cellStyle name="60% - Énfasis5 7 5 2 3" xfId="29040" xr:uid="{04129435-B0A3-48B9-BEB5-14E9D90BFF89}"/>
    <cellStyle name="60% - Énfasis5 7 5 2 4" xfId="34922" xr:uid="{A6498A68-825F-441D-B8B3-F2D7ED333616}"/>
    <cellStyle name="60% - Énfasis5 7 5 2 5" xfId="40786" xr:uid="{4AD130D5-96F7-455C-AB8D-86D906519381}"/>
    <cellStyle name="60% - Énfasis5 7 5 3" xfId="20389" xr:uid="{E98E28A4-95D6-49E5-A615-5EB5E5314B58}"/>
    <cellStyle name="60% - Énfasis5 7 5 4" xfId="26190" xr:uid="{5E34A47E-D59F-4470-A5F7-D833F244AF03}"/>
    <cellStyle name="60% - Énfasis5 7 5 5" xfId="32065" xr:uid="{524ACB98-7200-496B-BE98-2EA59BEBF5D8}"/>
    <cellStyle name="60% - Énfasis5 7 5 6" xfId="37931" xr:uid="{CA75A18D-F9DF-4A2E-B7AF-19BD8A1C4B6A}"/>
    <cellStyle name="60% - Énfasis5 7 6" xfId="6825" xr:uid="{032B3801-E7D7-424B-B5CD-D8F5E560043D}"/>
    <cellStyle name="60% - Énfasis5 7 6 2" xfId="21248" xr:uid="{A780B695-4F73-45DC-9DFF-F626086D5927}"/>
    <cellStyle name="60% - Énfasis5 7 6 3" xfId="27064" xr:uid="{D4CF631C-0766-4D1B-9F96-CE65B504CB0A}"/>
    <cellStyle name="60% - Énfasis5 7 6 4" xfId="32940" xr:uid="{01C711FE-A089-4691-9F51-A43AEF3B9E31}"/>
    <cellStyle name="60% - Énfasis5 7 6 5" xfId="38804" xr:uid="{D8C1B9D9-0B1A-4D57-A256-404B5D7D26BA}"/>
    <cellStyle name="60% - Énfasis5 7 7" xfId="18498" xr:uid="{61330D04-CE9D-403C-B84A-556D0FCDF6FC}"/>
    <cellStyle name="60% - Énfasis5 7 8" xfId="24206" xr:uid="{278D5A03-B8F9-4D23-85ED-5846C198FB8C}"/>
    <cellStyle name="60% - Énfasis5 7 9" xfId="30084" xr:uid="{EA21037B-0228-4A3E-A5F0-2461BFE393C8}"/>
    <cellStyle name="60% - Énfasis5 8" xfId="3998" xr:uid="{4FEA4A21-9D99-4BD8-A29C-69D299903D0B}"/>
    <cellStyle name="60% - Énfasis5 8 10" xfId="35992" xr:uid="{3776173B-DE3F-45E9-ABF2-77556BC7151C}"/>
    <cellStyle name="60% - Énfasis5 8 2" xfId="4190" xr:uid="{B7C38488-4F73-4F21-B193-0001B8E4BE1E}"/>
    <cellStyle name="60% - Énfasis5 8 2 2" xfId="4668" xr:uid="{BE2F81D2-1C15-4493-96A5-448F91EDA90D}"/>
    <cellStyle name="60% - Énfasis5 8 2 2 2" xfId="5636" xr:uid="{FFAF5829-6610-48C9-B5A1-4B3360F5BAF7}"/>
    <cellStyle name="60% - Énfasis5 8 2 2 2 2" xfId="8503" xr:uid="{833339F1-DCB0-457F-AE26-AD6BB89939D4}"/>
    <cellStyle name="60% - Énfasis5 8 2 2 2 2 2" xfId="22877" xr:uid="{DC9B295C-7131-4E78-893C-CDF81458AB67}"/>
    <cellStyle name="60% - Énfasis5 8 2 2 2 2 3" xfId="28736" xr:uid="{3C9661F1-F1F4-4AC1-96AE-DA5D0D66B9AC}"/>
    <cellStyle name="60% - Énfasis5 8 2 2 2 2 4" xfId="34618" xr:uid="{3B789218-C44E-4D10-B5CF-16364D26D2F8}"/>
    <cellStyle name="60% - Énfasis5 8 2 2 2 2 5" xfId="40482" xr:uid="{21EC7DB0-2939-4204-8374-77E59E188DF0}"/>
    <cellStyle name="60% - Énfasis5 8 2 2 2 3" xfId="20095" xr:uid="{EFEE1FA0-08FD-48DB-BC26-CDE423DBCE8B}"/>
    <cellStyle name="60% - Énfasis5 8 2 2 2 4" xfId="25887" xr:uid="{D24C020A-EBAE-4DCC-9302-DBBE0E3EF01F}"/>
    <cellStyle name="60% - Énfasis5 8 2 2 2 5" xfId="31761" xr:uid="{3298A1B5-845F-4840-A960-034AD871AE0C}"/>
    <cellStyle name="60% - Énfasis5 8 2 2 2 6" xfId="37630" xr:uid="{BA161904-2116-4F99-860F-959C4992CEFB}"/>
    <cellStyle name="60% - Énfasis5 8 2 2 3" xfId="7531" xr:uid="{2B4725E3-B236-4DE1-BBC0-6E3D15180A32}"/>
    <cellStyle name="60% - Énfasis5 8 2 2 3 2" xfId="21931" xr:uid="{ED82820A-59AA-41A8-9249-5EB853B48365}"/>
    <cellStyle name="60% - Énfasis5 8 2 2 3 3" xfId="27765" xr:uid="{6D50B2CE-48B7-4C93-B221-B233E3687563}"/>
    <cellStyle name="60% - Énfasis5 8 2 2 3 4" xfId="33647" xr:uid="{73A13F17-91ED-4F70-84DF-9FC9EAA4CE8B}"/>
    <cellStyle name="60% - Énfasis5 8 2 2 3 5" xfId="39511" xr:uid="{4E90E8B8-BC1D-4A0C-973C-8516C4700F93}"/>
    <cellStyle name="60% - Énfasis5 8 2 2 4" xfId="19160" xr:uid="{5D4AB35A-D001-4218-955A-FD09294516A0}"/>
    <cellStyle name="60% - Énfasis5 8 2 2 5" xfId="24916" xr:uid="{8966B954-801F-4522-8828-DA3BF4997E5C}"/>
    <cellStyle name="60% - Énfasis5 8 2 2 6" xfId="30792" xr:uid="{3BB61A57-A9D5-4142-94E4-896B2A67D767}"/>
    <cellStyle name="60% - Énfasis5 8 2 2 7" xfId="36673" xr:uid="{02B5650D-50E7-491F-A76C-967FCA65E90A}"/>
    <cellStyle name="60% - Énfasis5 8 2 3" xfId="5151" xr:uid="{50157F00-DB96-48FC-8288-EF4D63296D37}"/>
    <cellStyle name="60% - Énfasis5 8 2 3 2" xfId="8018" xr:uid="{3834A77C-3607-4C2D-AE6D-D7EEC0C5BBE1}"/>
    <cellStyle name="60% - Énfasis5 8 2 3 2 2" xfId="22402" xr:uid="{9A479223-6C05-4C8A-9480-83500DDF1015}"/>
    <cellStyle name="60% - Énfasis5 8 2 3 2 3" xfId="28251" xr:uid="{F98F9F6B-2EB1-488F-9A9E-347F464F9808}"/>
    <cellStyle name="60% - Énfasis5 8 2 3 2 4" xfId="34133" xr:uid="{DED63753-FD97-4222-949A-EC834DC26DCC}"/>
    <cellStyle name="60% - Énfasis5 8 2 3 2 5" xfId="39997" xr:uid="{83A8303A-BC10-4CAC-993C-7EF179490509}"/>
    <cellStyle name="60% - Énfasis5 8 2 3 3" xfId="19625" xr:uid="{4EE71028-EFDF-438F-AC4A-CE9A40900FE2}"/>
    <cellStyle name="60% - Énfasis5 8 2 3 4" xfId="25402" xr:uid="{86E70503-F199-4032-BF10-16F10734A695}"/>
    <cellStyle name="60% - Énfasis5 8 2 3 5" xfId="31276" xr:uid="{45A9C960-183B-492E-9AE0-3CC14202E321}"/>
    <cellStyle name="60% - Énfasis5 8 2 3 6" xfId="37153" xr:uid="{12F05BA7-6E1F-4034-B594-DB8382C3E453}"/>
    <cellStyle name="60% - Énfasis5 8 2 4" xfId="7046" xr:uid="{C2BA74E8-8EEA-4BC5-94FE-651A564BBF28}"/>
    <cellStyle name="60% - Énfasis5 8 2 4 2" xfId="21462" xr:uid="{38169203-B11B-4D90-A9A2-67F9A7B735CB}"/>
    <cellStyle name="60% - Énfasis5 8 2 4 3" xfId="27283" xr:uid="{FFAB7F8F-A4EB-4549-953D-71D1476DACE2}"/>
    <cellStyle name="60% - Énfasis5 8 2 4 4" xfId="33162" xr:uid="{9EDF8748-6FBE-4041-8B97-7194897AE705}"/>
    <cellStyle name="60% - Énfasis5 8 2 4 5" xfId="39026" xr:uid="{F311B97A-F8A4-40E2-9976-E94654EA21FC}"/>
    <cellStyle name="60% - Énfasis5 8 2 5" xfId="18717" xr:uid="{EAC0326B-A070-476D-942E-8FDA4A0812C7}"/>
    <cellStyle name="60% - Énfasis5 8 2 6" xfId="24433" xr:uid="{2F8E2E12-FC2F-4015-B665-DCDDF21DD06B}"/>
    <cellStyle name="60% - Énfasis5 8 2 7" xfId="30310" xr:uid="{3010FB4C-6F6E-4B2C-BA36-72F6C7BC4FFD}"/>
    <cellStyle name="60% - Énfasis5 8 2 8" xfId="36190" xr:uid="{39F089A4-7174-4EAC-B624-A19317DB6CC2}"/>
    <cellStyle name="60% - Énfasis5 8 3" xfId="4472" xr:uid="{D56E6182-27DD-4ED0-9058-148A0B4E6779}"/>
    <cellStyle name="60% - Énfasis5 8 3 2" xfId="5440" xr:uid="{679B6178-8740-4C74-A0AC-986D418AB421}"/>
    <cellStyle name="60% - Énfasis5 8 3 2 2" xfId="8307" xr:uid="{E6588C60-391F-424B-91C6-29EA3BA13F08}"/>
    <cellStyle name="60% - Énfasis5 8 3 2 2 2" xfId="22683" xr:uid="{B00978E2-2949-4D4C-82B2-432896FFFF57}"/>
    <cellStyle name="60% - Énfasis5 8 3 2 2 3" xfId="28540" xr:uid="{62DB834E-4CED-4A44-81B9-BE72449177AF}"/>
    <cellStyle name="60% - Énfasis5 8 3 2 2 4" xfId="34422" xr:uid="{6529495F-D77A-42F4-A889-3C9A62085219}"/>
    <cellStyle name="60% - Énfasis5 8 3 2 2 5" xfId="40286" xr:uid="{08D91543-3D32-4946-AFCF-746FA9075914}"/>
    <cellStyle name="60% - Énfasis5 8 3 2 3" xfId="19904" xr:uid="{2F2ECF55-B661-4201-8168-B3C2131FD745}"/>
    <cellStyle name="60% - Énfasis5 8 3 2 4" xfId="25691" xr:uid="{59002F8A-6A74-4417-9C62-06F5FA0FEBEE}"/>
    <cellStyle name="60% - Énfasis5 8 3 2 5" xfId="31565" xr:uid="{3B3AB601-0422-4718-9654-AE92F7C55D43}"/>
    <cellStyle name="60% - Énfasis5 8 3 2 6" xfId="37436" xr:uid="{EA74471F-1BCA-49FC-A947-ECEFBAA2E5AC}"/>
    <cellStyle name="60% - Énfasis5 8 3 3" xfId="7335" xr:uid="{C85C73D4-93D8-4430-AF7B-12B9FA55B55C}"/>
    <cellStyle name="60% - Énfasis5 8 3 3 2" xfId="21739" xr:uid="{166CCBB1-6892-4E10-A521-36F1D3A47A2C}"/>
    <cellStyle name="60% - Énfasis5 8 3 3 3" xfId="27569" xr:uid="{5995B9C8-4E2E-4446-97D7-DF8BC3BCED14}"/>
    <cellStyle name="60% - Énfasis5 8 3 3 4" xfId="33451" xr:uid="{7E44D6AD-FB27-46B0-B9F1-09944F616721}"/>
    <cellStyle name="60% - Énfasis5 8 3 3 5" xfId="39315" xr:uid="{6AC6ABB4-F03D-4FAB-86FC-A36B331A52ED}"/>
    <cellStyle name="60% - Énfasis5 8 3 4" xfId="18976" xr:uid="{002D14C6-B3B6-40AC-93A1-BC396B5A300A}"/>
    <cellStyle name="60% - Énfasis5 8 3 5" xfId="24720" xr:uid="{72C86395-B60E-4520-990D-EA14A4009A01}"/>
    <cellStyle name="60% - Énfasis5 8 3 6" xfId="30598" xr:uid="{A088AD49-AFF6-418D-A568-4AC9C649E215}"/>
    <cellStyle name="60% - Énfasis5 8 3 7" xfId="36479" xr:uid="{2B389745-0153-4D7A-AE06-FB1ED88E7DB1}"/>
    <cellStyle name="60% - Énfasis5 8 4" xfId="4955" xr:uid="{876FEF5C-E88F-4F73-B52A-F42233BCBA19}"/>
    <cellStyle name="60% - Énfasis5 8 4 2" xfId="7822" xr:uid="{70FD459D-4C4D-40DB-BE1C-BA075E68ED52}"/>
    <cellStyle name="60% - Énfasis5 8 4 2 2" xfId="22209" xr:uid="{744FEB42-6EFD-4920-BABB-B4F113758F24}"/>
    <cellStyle name="60% - Énfasis5 8 4 2 3" xfId="28055" xr:uid="{372BF239-3EB0-4B91-87B1-66BD4D870A2A}"/>
    <cellStyle name="60% - Énfasis5 8 4 2 4" xfId="33937" xr:uid="{8D468F80-E132-447C-89C1-9088DA43EF27}"/>
    <cellStyle name="60% - Énfasis5 8 4 2 5" xfId="39801" xr:uid="{3739873A-36F5-4121-8CF2-9058A4D44B1F}"/>
    <cellStyle name="60% - Énfasis5 8 4 3" xfId="19437" xr:uid="{AA996B1C-9D31-40BE-915E-560CDCE9BE27}"/>
    <cellStyle name="60% - Énfasis5 8 4 4" xfId="25206" xr:uid="{DEF18EE0-B382-4D95-8A81-E2F556489675}"/>
    <cellStyle name="60% - Énfasis5 8 4 5" xfId="31080" xr:uid="{5236754E-5C6F-4655-8191-DD5B0DAD43E9}"/>
    <cellStyle name="60% - Énfasis5 8 4 6" xfId="36959" xr:uid="{EBFF7473-7382-4993-9A77-A3BC340176FB}"/>
    <cellStyle name="60% - Énfasis5 8 5" xfId="5965" xr:uid="{6C4B0CA5-74CA-4F75-8423-28682687F980}"/>
    <cellStyle name="60% - Énfasis5 8 5 2" xfId="8834" xr:uid="{3CAA8729-2B53-40D3-8782-8617CBF11788}"/>
    <cellStyle name="60% - Énfasis5 8 5 2 2" xfId="23199" xr:uid="{A8C1DD5C-231A-41FE-A2C5-CF51754830FB}"/>
    <cellStyle name="60% - Énfasis5 8 5 2 3" xfId="29066" xr:uid="{06451937-EF72-4857-8C38-5C9955F9BB09}"/>
    <cellStyle name="60% - Énfasis5 8 5 2 4" xfId="34948" xr:uid="{A216F2A1-54C0-41FF-9284-9B5672409CE1}"/>
    <cellStyle name="60% - Énfasis5 8 5 2 5" xfId="40812" xr:uid="{02B7EAAC-BF77-49EA-BF5E-4E7486216D13}"/>
    <cellStyle name="60% - Énfasis5 8 5 3" xfId="20415" xr:uid="{272D83F8-8B90-4CFB-9FE6-263EDDAF87D9}"/>
    <cellStyle name="60% - Énfasis5 8 5 4" xfId="26216" xr:uid="{14BBF4FA-BAA5-437D-92FA-F988B54EAA5C}"/>
    <cellStyle name="60% - Énfasis5 8 5 5" xfId="32091" xr:uid="{FB26F7B6-07A7-4060-9405-C29E7B54D82C}"/>
    <cellStyle name="60% - Énfasis5 8 5 6" xfId="37956" xr:uid="{18862768-D5B2-4D38-9886-55DE9F4A132C}"/>
    <cellStyle name="60% - Énfasis5 8 6" xfId="6851" xr:uid="{54688BBA-1C7A-4C93-BC18-BB7DADDD4F25}"/>
    <cellStyle name="60% - Énfasis5 8 6 2" xfId="21274" xr:uid="{486F74A2-525D-4FE7-98F0-BFFA807ECB29}"/>
    <cellStyle name="60% - Énfasis5 8 6 3" xfId="27089" xr:uid="{84D648B7-CDF6-4D58-BBE0-15DE0AD08635}"/>
    <cellStyle name="60% - Énfasis5 8 6 4" xfId="32966" xr:uid="{38C3AFD3-2E67-41C7-AF25-9BB29D6EC560}"/>
    <cellStyle name="60% - Énfasis5 8 6 5" xfId="38830" xr:uid="{161A9711-3353-4793-9DA6-BEFAE78A53DF}"/>
    <cellStyle name="60% - Énfasis5 8 7" xfId="18525" xr:uid="{41183221-570A-47FC-9FA2-0465F8761B2F}"/>
    <cellStyle name="60% - Énfasis5 8 8" xfId="24234" xr:uid="{2FD85799-B0C2-4465-98BA-68583981643B}"/>
    <cellStyle name="60% - Énfasis5 8 9" xfId="30112" xr:uid="{A378B9AD-AA97-4566-8DE8-5562E634B001}"/>
    <cellStyle name="60% - Énfasis5 9" xfId="4022" xr:uid="{65303DC3-44A2-409A-9732-C7800A13E2F3}"/>
    <cellStyle name="60% - Énfasis5 9 2" xfId="4493" xr:uid="{BF341926-980E-45ED-887C-A968FD9C74F0}"/>
    <cellStyle name="60% - Énfasis5 9 2 2" xfId="5461" xr:uid="{C351D8EB-C8AD-49E7-9C7E-E54E2A5295DC}"/>
    <cellStyle name="60% - Énfasis5 9 2 2 2" xfId="8328" xr:uid="{02509326-6DAC-4DA7-B432-5B594CD43FD8}"/>
    <cellStyle name="60% - Énfasis5 9 2 2 2 2" xfId="22704" xr:uid="{5076AEAE-18D9-4135-9482-8C9BADBBD2C6}"/>
    <cellStyle name="60% - Énfasis5 9 2 2 2 3" xfId="28561" xr:uid="{DA5CDB6C-4A43-457D-BC6C-DB5090B5CF70}"/>
    <cellStyle name="60% - Énfasis5 9 2 2 2 4" xfId="34443" xr:uid="{6E436839-E996-46A1-A1BA-5DC9CDFDBB4E}"/>
    <cellStyle name="60% - Énfasis5 9 2 2 2 5" xfId="40307" xr:uid="{59D39125-4448-4628-B77B-E7EE960B0857}"/>
    <cellStyle name="60% - Énfasis5 9 2 2 3" xfId="19924" xr:uid="{1B46D525-B1A2-4ED1-99CC-5F858608A8E7}"/>
    <cellStyle name="60% - Énfasis5 9 2 2 4" xfId="25712" xr:uid="{453871CE-460A-4653-9925-D05A996E0886}"/>
    <cellStyle name="60% - Énfasis5 9 2 2 5" xfId="31586" xr:uid="{7A198DF5-330D-4A1F-90F5-C9C57FDE6577}"/>
    <cellStyle name="60% - Énfasis5 9 2 2 6" xfId="37457" xr:uid="{53B8A1F2-88B7-4101-9C3D-0EF8D99D4529}"/>
    <cellStyle name="60% - Énfasis5 9 2 3" xfId="7356" xr:uid="{9537BDA9-9AD3-41B3-BC07-C9CDF4A491E7}"/>
    <cellStyle name="60% - Énfasis5 9 2 3 2" xfId="21759" xr:uid="{C512E1F6-2873-4DFA-9A1F-0C4558A91215}"/>
    <cellStyle name="60% - Énfasis5 9 2 3 3" xfId="27590" xr:uid="{6445B425-79EE-4765-9A67-9925C4D2FBDD}"/>
    <cellStyle name="60% - Énfasis5 9 2 3 4" xfId="33472" xr:uid="{353A1971-3489-45F0-BB59-3B4F5E945959}"/>
    <cellStyle name="60% - Énfasis5 9 2 3 5" xfId="39336" xr:uid="{D9D67064-49B5-42F5-880E-E6272BA9A502}"/>
    <cellStyle name="60% - Énfasis5 9 2 4" xfId="18997" xr:uid="{6BF76B6F-D30E-44EE-89B2-FE4EC0382C99}"/>
    <cellStyle name="60% - Énfasis5 9 2 5" xfId="24741" xr:uid="{C073ADA6-7DE7-46F5-979A-17AF88F6E71C}"/>
    <cellStyle name="60% - Énfasis5 9 2 6" xfId="30618" xr:uid="{4C1BBD6B-26D4-4F96-92C7-F20DD9773061}"/>
    <cellStyle name="60% - Énfasis5 9 2 7" xfId="36500" xr:uid="{FB5159D9-F290-4534-B91C-05F669A3C45E}"/>
    <cellStyle name="60% - Énfasis5 9 3" xfId="4976" xr:uid="{B3489559-08F7-492E-9983-ABE3EDBF77EC}"/>
    <cellStyle name="60% - Énfasis5 9 3 2" xfId="7843" xr:uid="{98E089DC-222E-4742-AA95-A4B885A0779A}"/>
    <cellStyle name="60% - Énfasis5 9 3 2 2" xfId="22229" xr:uid="{B0CE98C6-E2C8-4E6C-88AD-5FBCD7E5C3EA}"/>
    <cellStyle name="60% - Énfasis5 9 3 2 3" xfId="28076" xr:uid="{2DF88CDC-6897-428C-9E07-3511C832F94A}"/>
    <cellStyle name="60% - Énfasis5 9 3 2 4" xfId="33958" xr:uid="{4F114570-8EA4-409D-93FF-9000882A5644}"/>
    <cellStyle name="60% - Énfasis5 9 3 2 5" xfId="39822" xr:uid="{C1CCF62A-C201-4644-B14B-FBE19596FCB5}"/>
    <cellStyle name="60% - Énfasis5 9 3 3" xfId="19457" xr:uid="{6991EE73-7051-48BA-B543-0F5A836D0702}"/>
    <cellStyle name="60% - Énfasis5 9 3 4" xfId="25227" xr:uid="{92791039-C94A-4159-9CC1-95BE635D83CB}"/>
    <cellStyle name="60% - Énfasis5 9 3 5" xfId="31101" xr:uid="{620B0B37-5AAD-4CEA-951B-AFE9D0BDC3AD}"/>
    <cellStyle name="60% - Énfasis5 9 3 6" xfId="36980" xr:uid="{80257702-C5CE-45D3-B606-79F0A062768F}"/>
    <cellStyle name="60% - Énfasis5 9 4" xfId="6872" xr:uid="{BAD2C8BE-86BC-45EE-927C-EB01F0F3E4D3}"/>
    <cellStyle name="60% - Énfasis5 9 4 2" xfId="21294" xr:uid="{9B8F379E-D88A-4DD2-83EC-3A120AE9A7F8}"/>
    <cellStyle name="60% - Énfasis5 9 4 3" xfId="27110" xr:uid="{EFD4B22F-BAC3-420D-B299-02AD489226D1}"/>
    <cellStyle name="60% - Énfasis5 9 4 4" xfId="32987" xr:uid="{BF75222D-6F7D-4A25-8CD8-A520B60FA804}"/>
    <cellStyle name="60% - Énfasis5 9 4 5" xfId="38851" xr:uid="{AF2995C9-FEE6-439B-9551-738D0E293D81}"/>
    <cellStyle name="60% - Énfasis5 9 5" xfId="18548" xr:uid="{D93F3AFB-8B89-43FC-B9C8-54E13635864C}"/>
    <cellStyle name="60% - Énfasis5 9 6" xfId="24258" xr:uid="{FB38E9FA-3E34-4BB2-BF59-F0EC4440CE71}"/>
    <cellStyle name="60% - Énfasis5 9 7" xfId="30136" xr:uid="{5EE1970A-95C6-49D0-B41C-408E895F02C9}"/>
    <cellStyle name="60% - Énfasis5 9 8" xfId="36015" xr:uid="{97062D05-8ADE-4FD5-ABE9-B8757BCC7987}"/>
    <cellStyle name="60% - Énfasis6" xfId="41" builtinId="52" customBuiltin="1"/>
    <cellStyle name="60% - Énfasis6 10" xfId="4217" xr:uid="{3A0F7FE7-6AA7-4515-B649-32E365831869}"/>
    <cellStyle name="60% - Énfasis6 10 2" xfId="4695" xr:uid="{D5D71BB5-447F-4181-9319-E2E0CB54D40A}"/>
    <cellStyle name="60% - Énfasis6 10 2 2" xfId="5663" xr:uid="{05B6C718-F604-4FC4-BE63-21A026B6E883}"/>
    <cellStyle name="60% - Énfasis6 10 2 2 2" xfId="8531" xr:uid="{A1A7D15D-612D-47C7-B63E-3599A30D1649}"/>
    <cellStyle name="60% - Énfasis6 10 2 2 2 2" xfId="22905" xr:uid="{018EF1C0-EDC7-4DF8-B049-2034AA1F9797}"/>
    <cellStyle name="60% - Énfasis6 10 2 2 2 3" xfId="28764" xr:uid="{2E46FCD0-715E-41AE-B6BC-AB32F5EC914B}"/>
    <cellStyle name="60% - Énfasis6 10 2 2 2 4" xfId="34646" xr:uid="{8E85372C-2DE6-4854-B7D0-DD2DD3208E8A}"/>
    <cellStyle name="60% - Énfasis6 10 2 2 2 5" xfId="40510" xr:uid="{FFCE1620-638A-49D3-A228-D6E30F285379}"/>
    <cellStyle name="60% - Énfasis6 10 2 2 3" xfId="20122" xr:uid="{ABB2A890-4CFD-4862-954B-E1223C1E6599}"/>
    <cellStyle name="60% - Énfasis6 10 2 2 4" xfId="25914" xr:uid="{B761E244-E297-49DA-AFD2-CAB2AF97C581}"/>
    <cellStyle name="60% - Énfasis6 10 2 2 5" xfId="31789" xr:uid="{28525871-C776-4568-9B16-21C8B816197B}"/>
    <cellStyle name="60% - Énfasis6 10 2 2 6" xfId="37658" xr:uid="{D64F10F9-F84B-4B0D-9054-BA4E47DA435A}"/>
    <cellStyle name="60% - Énfasis6 10 2 3" xfId="7559" xr:uid="{BA655AC1-D4A5-4DB3-8A5B-393077230909}"/>
    <cellStyle name="60% - Énfasis6 10 2 3 2" xfId="21957" xr:uid="{0AF650EA-3248-4F85-97E5-62C3DFBDDB87}"/>
    <cellStyle name="60% - Énfasis6 10 2 3 3" xfId="27793" xr:uid="{6C14041E-C6FE-4D91-A83B-22FAB33D22D4}"/>
    <cellStyle name="60% - Énfasis6 10 2 3 4" xfId="33675" xr:uid="{F33242CC-1F0B-43BF-A5EE-061B4310C867}"/>
    <cellStyle name="60% - Énfasis6 10 2 3 5" xfId="39539" xr:uid="{E688F7AC-B682-4C27-9544-4145B9324E4A}"/>
    <cellStyle name="60% - Énfasis6 10 2 4" xfId="19188" xr:uid="{AB7BF68E-AA89-484B-A18A-29B688E5C187}"/>
    <cellStyle name="60% - Énfasis6 10 2 5" xfId="24944" xr:uid="{A73EE537-7C40-4870-9BB1-D4DC6E391CC7}"/>
    <cellStyle name="60% - Énfasis6 10 2 6" xfId="30819" xr:uid="{2121F5E5-AA24-4BF1-B9D3-EF3B762AF456}"/>
    <cellStyle name="60% - Énfasis6 10 2 7" xfId="36701" xr:uid="{1B9BEB4F-E0FE-438B-AED9-288E46BE6BC4}"/>
    <cellStyle name="60% - Énfasis6 10 3" xfId="5179" xr:uid="{4A181373-D573-481A-A82C-44EE4DCF11D1}"/>
    <cellStyle name="60% - Énfasis6 10 3 2" xfId="8046" xr:uid="{CD8CFA22-8864-42BA-8EA4-80D3BA3DA75D}"/>
    <cellStyle name="60% - Énfasis6 10 3 2 2" xfId="22429" xr:uid="{5AAE71FD-335B-4CBC-A0DA-8E8ADF88DAA1}"/>
    <cellStyle name="60% - Énfasis6 10 3 2 3" xfId="28279" xr:uid="{42F7CEAA-B57E-406F-8646-7BAEFF4F5642}"/>
    <cellStyle name="60% - Énfasis6 10 3 2 4" xfId="34161" xr:uid="{478A1F00-1F08-4F9A-8226-10CE04C3F4F3}"/>
    <cellStyle name="60% - Énfasis6 10 3 2 5" xfId="40025" xr:uid="{1E80B520-AC0F-4825-BA5F-A243FB7408C2}"/>
    <cellStyle name="60% - Énfasis6 10 3 3" xfId="19652" xr:uid="{8999BFA5-A8C4-41A1-ADEE-4B68290A1C06}"/>
    <cellStyle name="60% - Énfasis6 10 3 4" xfId="25430" xr:uid="{964329F8-FF75-4C76-9E07-AE338E74AF82}"/>
    <cellStyle name="60% - Énfasis6 10 3 5" xfId="31304" xr:uid="{1698E6C6-86CB-4E93-9C95-795C10A194AF}"/>
    <cellStyle name="60% - Énfasis6 10 3 6" xfId="37181" xr:uid="{921AD081-8B7C-4CBB-917D-60555476BC88}"/>
    <cellStyle name="60% - Énfasis6 10 4" xfId="7074" xr:uid="{FA6D9B17-B6AE-47DB-AE60-7E07FC7FF287}"/>
    <cellStyle name="60% - Énfasis6 10 4 2" xfId="21489" xr:uid="{06336ED3-6FAE-4583-852C-9101038269B8}"/>
    <cellStyle name="60% - Énfasis6 10 4 3" xfId="27311" xr:uid="{6CA66D5B-CBC4-423F-BF48-42789F9AC678}"/>
    <cellStyle name="60% - Énfasis6 10 4 4" xfId="33190" xr:uid="{0067B730-FF98-4B82-93C1-466F4C7462A0}"/>
    <cellStyle name="60% - Énfasis6 10 4 5" xfId="39054" xr:uid="{EA84A38A-4613-417C-ABD0-310FAF9BE4C1}"/>
    <cellStyle name="60% - Énfasis6 10 5" xfId="18745" xr:uid="{B17574CD-1416-4CB3-B241-CEA82CB82133}"/>
    <cellStyle name="60% - Énfasis6 10 6" xfId="24461" xr:uid="{FDD65F57-9A34-4619-A884-63C82F7FA5AE}"/>
    <cellStyle name="60% - Énfasis6 10 7" xfId="30337" xr:uid="{2557C509-31F4-43B3-975B-C8A28329DE8F}"/>
    <cellStyle name="60% - Énfasis6 10 8" xfId="36218" xr:uid="{0E8C34A3-5B1D-45C3-B823-9E2E4019E030}"/>
    <cellStyle name="60% - Énfasis6 11" xfId="4253" xr:uid="{D0ADAE08-EDC9-4B92-8375-7E759E825457}"/>
    <cellStyle name="60% - Énfasis6 11 2" xfId="4732" xr:uid="{70899ADD-731B-4ED1-A6CB-E7DED91B96FC}"/>
    <cellStyle name="60% - Énfasis6 11 2 2" xfId="5700" xr:uid="{A947B955-5E47-484E-B589-246C708567D4}"/>
    <cellStyle name="60% - Énfasis6 11 2 2 2" xfId="8568" xr:uid="{B62775F1-B8BE-4029-9553-AD7421D6AE00}"/>
    <cellStyle name="60% - Énfasis6 11 2 2 2 2" xfId="22940" xr:uid="{60C9FB37-9A6A-402F-8CB8-11002DC65F20}"/>
    <cellStyle name="60% - Énfasis6 11 2 2 2 3" xfId="28801" xr:uid="{9E2AA801-AEA9-4DFF-B345-666C1B45B143}"/>
    <cellStyle name="60% - Énfasis6 11 2 2 2 4" xfId="34683" xr:uid="{AC820EE5-4C10-486B-9828-2A99369E4AE7}"/>
    <cellStyle name="60% - Énfasis6 11 2 2 2 5" xfId="40547" xr:uid="{4114C68D-DDD9-4575-BB40-6F7655CFD2ED}"/>
    <cellStyle name="60% - Énfasis6 11 2 2 3" xfId="20157" xr:uid="{D4D76CC5-E4B0-456C-B7EA-C592DCB367CD}"/>
    <cellStyle name="60% - Énfasis6 11 2 2 4" xfId="25951" xr:uid="{B284A100-6953-4C2E-8CB0-806B475E41C2}"/>
    <cellStyle name="60% - Énfasis6 11 2 2 5" xfId="31826" xr:uid="{93B06546-27AA-4641-A9E3-7EC46338F9FB}"/>
    <cellStyle name="60% - Énfasis6 11 2 2 6" xfId="37693" xr:uid="{D27825B9-5D2E-4556-BB77-8BCD49BAB26B}"/>
    <cellStyle name="60% - Énfasis6 11 2 3" xfId="7596" xr:uid="{65DB0C11-B513-4922-9CF1-EE004D8D8481}"/>
    <cellStyle name="60% - Énfasis6 11 2 3 2" xfId="21990" xr:uid="{30612340-CA3F-4D67-8A1C-26AD7A26FE28}"/>
    <cellStyle name="60% - Énfasis6 11 2 3 3" xfId="27830" xr:uid="{B13F7B15-4759-4324-9E9D-E29B9C6863F6}"/>
    <cellStyle name="60% - Énfasis6 11 2 3 4" xfId="33712" xr:uid="{06D5850E-6E89-412F-A7FD-CA26D86B8ECF}"/>
    <cellStyle name="60% - Énfasis6 11 2 3 5" xfId="39576" xr:uid="{CBDB3AB5-601F-4513-831B-C6B0E7DD7320}"/>
    <cellStyle name="60% - Énfasis6 11 2 4" xfId="19222" xr:uid="{7A5C8772-0DBC-4431-A550-0C270F950019}"/>
    <cellStyle name="60% - Énfasis6 11 2 5" xfId="24981" xr:uid="{5198E4B9-75B4-485A-B3EF-524D366CC8F0}"/>
    <cellStyle name="60% - Énfasis6 11 2 6" xfId="30855" xr:uid="{DB69C1BC-3876-4D7D-A0D5-73D11867B813}"/>
    <cellStyle name="60% - Énfasis6 11 2 7" xfId="36736" xr:uid="{28C2EEBD-07DC-4F15-91CD-548ED38CA7DA}"/>
    <cellStyle name="60% - Énfasis6 11 3" xfId="5216" xr:uid="{D1FD4E90-D842-4C93-B1F4-B2132054F068}"/>
    <cellStyle name="60% - Énfasis6 11 3 2" xfId="8083" xr:uid="{D4C9BA82-DD4A-4CF0-BE7D-FEB07B4AC82A}"/>
    <cellStyle name="60% - Énfasis6 11 3 2 2" xfId="22461" xr:uid="{393CB27C-BB5D-447A-B85B-A44885369325}"/>
    <cellStyle name="60% - Énfasis6 11 3 2 3" xfId="28316" xr:uid="{8BF4D411-FE2F-4C03-8D76-A0FF4FE7093B}"/>
    <cellStyle name="60% - Énfasis6 11 3 2 4" xfId="34198" xr:uid="{C7078EAC-4978-46FB-AE6A-0112FB67FE7B}"/>
    <cellStyle name="60% - Énfasis6 11 3 2 5" xfId="40062" xr:uid="{A4C6EC92-CE7E-4A37-8C35-45E51F049A07}"/>
    <cellStyle name="60% - Énfasis6 11 3 3" xfId="19687" xr:uid="{5955FEA4-4C0F-4FF1-B840-22019C7DA8C6}"/>
    <cellStyle name="60% - Énfasis6 11 3 4" xfId="25467" xr:uid="{0C19BA7D-872A-407C-9183-937C7440A803}"/>
    <cellStyle name="60% - Énfasis6 11 3 5" xfId="31341" xr:uid="{2307C2BB-231C-4B4B-8782-E54CDD9221D2}"/>
    <cellStyle name="60% - Énfasis6 11 3 6" xfId="37214" xr:uid="{D0030B05-6070-45AE-94D8-B1AA601DC58A}"/>
    <cellStyle name="60% - Énfasis6 11 4" xfId="7111" xr:uid="{767C802B-CAB2-4DBB-B4CB-0A5F04FC0B1E}"/>
    <cellStyle name="60% - Énfasis6 11 4 2" xfId="21523" xr:uid="{808A6827-B402-4B53-B9B3-A1E624F6B1B7}"/>
    <cellStyle name="60% - Énfasis6 11 4 3" xfId="27346" xr:uid="{DC548607-170C-4CFA-AB97-0955B025AEF9}"/>
    <cellStyle name="60% - Énfasis6 11 4 4" xfId="33227" xr:uid="{709E3867-5EBF-4814-B933-D3716F5D0DA3}"/>
    <cellStyle name="60% - Énfasis6 11 4 5" xfId="39091" xr:uid="{35FE58D6-F67A-4C9D-94F0-CE7A4A9B9DA0}"/>
    <cellStyle name="60% - Énfasis6 11 5" xfId="18774" xr:uid="{5BA66F22-1F82-48A8-908A-1F272A57C891}"/>
    <cellStyle name="60% - Énfasis6 11 6" xfId="24496" xr:uid="{A199F936-E1E6-451D-AFF3-28D88790461A}"/>
    <cellStyle name="60% - Énfasis6 11 7" xfId="30374" xr:uid="{AAC9A3AD-3C16-4CA8-88D8-DB253C04B737}"/>
    <cellStyle name="60% - Énfasis6 11 8" xfId="36255" xr:uid="{5D1B4F82-0561-4A89-85AD-19FFFA543121}"/>
    <cellStyle name="60% - Énfasis6 12" xfId="4302" xr:uid="{EDAC9052-7048-4F34-B1E8-2429B331E798}"/>
    <cellStyle name="60% - Énfasis6 12 2" xfId="5268" xr:uid="{D29177DA-142A-4703-985C-2468DF8BFFDB}"/>
    <cellStyle name="60% - Énfasis6 12 2 2" xfId="8135" xr:uid="{EC99F970-5508-48D8-84AA-B5241BA34DE9}"/>
    <cellStyle name="60% - Énfasis6 12 2 2 2" xfId="22512" xr:uid="{D860FA4C-5F93-4871-AC90-FF7A872E38FA}"/>
    <cellStyle name="60% - Énfasis6 12 2 2 3" xfId="28368" xr:uid="{A616B84E-4734-411A-87E4-61C3C08BED11}"/>
    <cellStyle name="60% - Énfasis6 12 2 2 4" xfId="34250" xr:uid="{11856B06-16E3-4FEA-8AE6-6740C7A05E9E}"/>
    <cellStyle name="60% - Énfasis6 12 2 2 5" xfId="40114" xr:uid="{3CE2D63B-F32E-4B80-B5FB-69774BCB9719}"/>
    <cellStyle name="60% - Énfasis6 12 2 3" xfId="19738" xr:uid="{133DACE0-CF24-4D12-A6A6-1BD3D02574CE}"/>
    <cellStyle name="60% - Énfasis6 12 2 4" xfId="25519" xr:uid="{CC16AE10-F323-4DDB-B9B3-587D7B066CB7}"/>
    <cellStyle name="60% - Énfasis6 12 2 5" xfId="31393" xr:uid="{86A228B6-BCF3-45EE-90D5-345C466C2644}"/>
    <cellStyle name="60% - Énfasis6 12 2 6" xfId="37265" xr:uid="{C4D15143-1F02-4B04-9123-42F3C414AE21}"/>
    <cellStyle name="60% - Énfasis6 12 3" xfId="7163" xr:uid="{A881E6A0-8466-406E-BA62-FC95AFA5D125}"/>
    <cellStyle name="60% - Énfasis6 12 3 2" xfId="21574" xr:uid="{34619C68-D561-48F0-9FD3-3E9018EE4E7C}"/>
    <cellStyle name="60% - Énfasis6 12 3 3" xfId="27397" xr:uid="{75166819-84E3-4A6E-B20B-1A4523FB998D}"/>
    <cellStyle name="60% - Énfasis6 12 3 4" xfId="33279" xr:uid="{FC2F3A4B-1348-49FF-8878-6AA3CA866C91}"/>
    <cellStyle name="60% - Énfasis6 12 3 5" xfId="39143" xr:uid="{1EFF5600-5D00-4688-BA82-DD17CC8C95EB}"/>
    <cellStyle name="60% - Énfasis6 12 4" xfId="18810" xr:uid="{30492217-4E81-43E4-A1CD-D08FF3746400}"/>
    <cellStyle name="60% - Énfasis6 12 5" xfId="24548" xr:uid="{24C61555-725C-44D1-BAF8-D67925F141D1}"/>
    <cellStyle name="60% - Énfasis6 12 6" xfId="30427" xr:uid="{B71EED0F-4A5E-430E-91E6-16BA0C7BE5A4}"/>
    <cellStyle name="60% - Énfasis6 12 7" xfId="36308" xr:uid="{3C00D14E-608A-4885-99FD-E9061DC0C209}"/>
    <cellStyle name="60% - Énfasis6 13" xfId="4787" xr:uid="{D260904D-89A0-4CDA-924C-35D50DB30C81}"/>
    <cellStyle name="60% - Énfasis6 13 2" xfId="7650" xr:uid="{4404856C-E26E-4031-A6AA-0D53D933CDF1}"/>
    <cellStyle name="60% - Énfasis6 13 2 2" xfId="22043" xr:uid="{8F4EEE4C-D7F5-417A-99CE-F691F3B4BAB9}"/>
    <cellStyle name="60% - Énfasis6 13 2 3" xfId="27884" xr:uid="{1EF63699-7210-49D3-9C35-6FD95E6514B6}"/>
    <cellStyle name="60% - Énfasis6 13 2 4" xfId="33766" xr:uid="{9B4BF7E2-3069-40C6-BAAA-46C1CE91CCC6}"/>
    <cellStyle name="60% - Énfasis6 13 2 5" xfId="39630" xr:uid="{7B917517-7BC7-4880-9ADE-C78EB1A5A75B}"/>
    <cellStyle name="60% - Énfasis6 13 3" xfId="19269" xr:uid="{AC594946-C1F0-4A19-80D8-A7D11B215784}"/>
    <cellStyle name="60% - Énfasis6 13 4" xfId="25035" xr:uid="{819BA839-B30B-454B-BDB5-2FE589757DCB}"/>
    <cellStyle name="60% - Énfasis6 13 5" xfId="30909" xr:uid="{9EFA17F7-0A47-4F01-94E8-67583208E9DD}"/>
    <cellStyle name="60% - Énfasis6 13 6" xfId="36789" xr:uid="{46D01CB1-FDE2-48ED-9B6C-290FEB3C4DF5}"/>
    <cellStyle name="60% - Énfasis6 14" xfId="5753" xr:uid="{DA48099C-88C1-4BF7-8DEC-29D2B673ED25}"/>
    <cellStyle name="60% - Énfasis6 14 2" xfId="8622" xr:uid="{0336CA89-6D6B-4B54-8E4C-019C93A1E3D5}"/>
    <cellStyle name="60% - Énfasis6 14 2 2" xfId="22993" xr:uid="{829D35F6-45F9-4857-A6A2-91106B2B4010}"/>
    <cellStyle name="60% - Énfasis6 14 2 3" xfId="28855" xr:uid="{E31AF539-2A43-41BE-AE74-81A77031EAC1}"/>
    <cellStyle name="60% - Énfasis6 14 2 4" xfId="34737" xr:uid="{D3FD6471-76A6-413A-87A1-231E13BF10ED}"/>
    <cellStyle name="60% - Énfasis6 14 2 5" xfId="40601" xr:uid="{785D9FBA-AFE4-4DB9-927C-1289F16E3FB2}"/>
    <cellStyle name="60% - Énfasis6 14 3" xfId="20211" xr:uid="{BBE17D6F-1BB0-480D-AD96-099521A1D72B}"/>
    <cellStyle name="60% - Énfasis6 14 4" xfId="26005" xr:uid="{73AB59B2-34AD-4C37-9454-9E8CF389AB95}"/>
    <cellStyle name="60% - Énfasis6 14 5" xfId="31880" xr:uid="{624290E7-028D-4CBC-9737-FEFE122D1954}"/>
    <cellStyle name="60% - Énfasis6 14 6" xfId="37746" xr:uid="{EBBF6858-0BC1-493F-9BDB-3455B55D1458}"/>
    <cellStyle name="60% - Énfasis6 15" xfId="5773" xr:uid="{C2EFBB15-4F82-4CE5-AFB5-F8B6A0176128}"/>
    <cellStyle name="60% - Énfasis6 15 2" xfId="8642" xr:uid="{26762DF6-3DC0-4614-9720-8C17F9FFC601}"/>
    <cellStyle name="60% - Énfasis6 15 2 2" xfId="23013" xr:uid="{E2369F07-F5F1-4804-B200-327A5A83E1BC}"/>
    <cellStyle name="60% - Énfasis6 15 2 3" xfId="28875" xr:uid="{6C4B0C06-72E7-4401-A579-DA7073C696AB}"/>
    <cellStyle name="60% - Énfasis6 15 2 4" xfId="34757" xr:uid="{8FABD6AD-F906-4456-B8EA-569A0A162339}"/>
    <cellStyle name="60% - Énfasis6 15 2 5" xfId="40621" xr:uid="{BFF1D705-219B-477B-8EDC-7433F3C4C38A}"/>
    <cellStyle name="60% - Énfasis6 15 3" xfId="20230" xr:uid="{CD9101A0-08D6-4A83-B443-4990A665F851}"/>
    <cellStyle name="60% - Énfasis6 15 4" xfId="26025" xr:uid="{149DC13F-B043-4C60-9D44-311B370A38B0}"/>
    <cellStyle name="60% - Énfasis6 15 5" xfId="31900" xr:uid="{E5A0B065-4C03-4365-B193-FBC705350B15}"/>
    <cellStyle name="60% - Énfasis6 15 6" xfId="37766" xr:uid="{AFDB08D4-BB3B-45BE-9F66-D80658C4BF09}"/>
    <cellStyle name="60% - Énfasis6 16" xfId="5793" xr:uid="{B3D0616B-36E1-4E5E-9C67-E6901EC5DAD7}"/>
    <cellStyle name="60% - Énfasis6 16 2" xfId="8662" xr:uid="{4F738750-7D09-4BB8-B66E-72636FF87B5B}"/>
    <cellStyle name="60% - Énfasis6 16 2 2" xfId="23033" xr:uid="{B6F3203D-ABC0-4D08-8796-991866AAB646}"/>
    <cellStyle name="60% - Énfasis6 16 2 3" xfId="28895" xr:uid="{4A9DCA6F-64BD-4A56-A61C-F1BF6DEC81A3}"/>
    <cellStyle name="60% - Énfasis6 16 2 4" xfId="34777" xr:uid="{559E6DBC-93DA-4F88-B308-2EA8A2D859B6}"/>
    <cellStyle name="60% - Énfasis6 16 2 5" xfId="40641" xr:uid="{48F9F37D-D26A-472C-9C06-931F96192641}"/>
    <cellStyle name="60% - Énfasis6 16 3" xfId="20248" xr:uid="{AE0C9FE8-4296-49C9-A593-09F7BAA6CBC5}"/>
    <cellStyle name="60% - Énfasis6 16 4" xfId="26045" xr:uid="{F9D271E1-ED8C-4651-9014-677DC7575BAC}"/>
    <cellStyle name="60% - Énfasis6 16 5" xfId="31920" xr:uid="{3E602AA3-2D06-45D3-A23E-79F880F0A2F8}"/>
    <cellStyle name="60% - Énfasis6 16 6" xfId="37786" xr:uid="{DA241C61-105C-423E-BA05-2D31E29DC5FE}"/>
    <cellStyle name="60% - Énfasis6 17" xfId="5992" xr:uid="{6AF426E2-5EDA-4AC8-BBDE-56D91F98D4F6}"/>
    <cellStyle name="60% - Énfasis6 17 2" xfId="8861" xr:uid="{8CD6CF9E-B81F-4B7B-9CAD-2B615E3FEB7A}"/>
    <cellStyle name="60% - Énfasis6 17 2 2" xfId="23225" xr:uid="{0CE30065-238F-40E4-84AF-54041906B04E}"/>
    <cellStyle name="60% - Énfasis6 17 2 3" xfId="29092" xr:uid="{2311CFC7-E966-480A-BCBE-A90E4FD8580C}"/>
    <cellStyle name="60% - Énfasis6 17 2 4" xfId="34974" xr:uid="{B07BA6FB-B94B-4E9D-A26B-9A11111C1A35}"/>
    <cellStyle name="60% - Énfasis6 17 2 5" xfId="40838" xr:uid="{68D31E95-7254-4496-B0E1-8A2C13E3866C}"/>
    <cellStyle name="60% - Énfasis6 17 3" xfId="20440" xr:uid="{E18C204C-4193-4A80-A73A-1B05D519612C}"/>
    <cellStyle name="60% - Énfasis6 17 4" xfId="26242" xr:uid="{6EC8906F-8C91-4CEA-9898-BFEB19CE3B40}"/>
    <cellStyle name="60% - Énfasis6 17 5" xfId="32117" xr:uid="{664B6612-8C75-4D7A-86ED-C1DBEF4332DC}"/>
    <cellStyle name="60% - Énfasis6 17 6" xfId="37982" xr:uid="{BB51E27C-D3C9-4539-B75D-8926662EFFB5}"/>
    <cellStyle name="60% - Énfasis6 18" xfId="6012" xr:uid="{643E2139-F1CA-4684-A341-D5E17FE3E299}"/>
    <cellStyle name="60% - Énfasis6 18 2" xfId="8881" xr:uid="{CB37A7B1-316C-4530-9F97-D01B45AB9474}"/>
    <cellStyle name="60% - Énfasis6 18 2 2" xfId="23245" xr:uid="{72092294-5DFB-49D9-9688-867455A4213E}"/>
    <cellStyle name="60% - Énfasis6 18 2 3" xfId="29112" xr:uid="{944AB75D-3CA8-4F66-9B2C-6A6A4821B5F2}"/>
    <cellStyle name="60% - Énfasis6 18 2 4" xfId="34994" xr:uid="{83C8FE38-C001-457C-AE0D-1687974B6839}"/>
    <cellStyle name="60% - Énfasis6 18 2 5" xfId="40858" xr:uid="{463B1AFD-22DC-4CD5-9319-BE79D3FD9CA0}"/>
    <cellStyle name="60% - Énfasis6 18 3" xfId="20460" xr:uid="{F7B1BEA6-C1A0-41A3-A1DD-A82D7EF382BB}"/>
    <cellStyle name="60% - Énfasis6 18 4" xfId="26262" xr:uid="{EB6E8B2A-5636-4066-8DC5-8A8714EDE6F0}"/>
    <cellStyle name="60% - Énfasis6 18 5" xfId="32137" xr:uid="{E49487F1-CC2B-459E-9262-82F4B44B6405}"/>
    <cellStyle name="60% - Énfasis6 18 6" xfId="38002" xr:uid="{24A62223-8DCE-4B35-9E4B-A47E51EFB57A}"/>
    <cellStyle name="60% - Énfasis6 19" xfId="6032" xr:uid="{9032CC3A-4B58-4A4D-9841-F3FCC93AC00C}"/>
    <cellStyle name="60% - Énfasis6 19 2" xfId="8901" xr:uid="{453775BF-119F-4EBE-8A09-3BCB9EFE8E28}"/>
    <cellStyle name="60% - Énfasis6 19 2 2" xfId="23265" xr:uid="{528A9265-E9D2-4606-A303-0D0D3D3BBD95}"/>
    <cellStyle name="60% - Énfasis6 19 2 3" xfId="29132" xr:uid="{646A4001-B136-4D2F-8E1D-8F9794F4F62F}"/>
    <cellStyle name="60% - Énfasis6 19 2 4" xfId="35014" xr:uid="{37071883-CD29-4082-A629-E696CD2547BA}"/>
    <cellStyle name="60% - Énfasis6 19 2 5" xfId="40878" xr:uid="{193A3F58-AC68-4124-BE5C-2F80A45C5D35}"/>
    <cellStyle name="60% - Énfasis6 19 3" xfId="20480" xr:uid="{7C344C54-FA6A-4139-B2F5-620C0BAE6A1B}"/>
    <cellStyle name="60% - Énfasis6 19 4" xfId="26282" xr:uid="{453A2D3E-A099-4450-9EFB-17EC7C750DF7}"/>
    <cellStyle name="60% - Énfasis6 19 5" xfId="32157" xr:uid="{A44E71EF-2CCC-45A2-8274-C77835613711}"/>
    <cellStyle name="60% - Énfasis6 19 6" xfId="38022" xr:uid="{D13491A0-901F-43CD-8E2C-A87D4D01C966}"/>
    <cellStyle name="60% - Énfasis6 2" xfId="330" xr:uid="{00000000-0005-0000-0000-00001A000000}"/>
    <cellStyle name="60% - Énfasis6 2 10" xfId="29956" xr:uid="{B1AD2FC9-9C48-4F4D-9973-82AF1FB470BE}"/>
    <cellStyle name="60% - Énfasis6 2 11" xfId="35837" xr:uid="{033800CB-E9C1-4BCA-B53A-94F1ED94F983}"/>
    <cellStyle name="60% - Énfasis6 2 2" xfId="3354" xr:uid="{D34E5F6D-2589-4F63-ACF4-B8818AEA8582}"/>
    <cellStyle name="60% - Énfasis6 2 3" xfId="4052" xr:uid="{8B037726-CB9E-430C-BA6D-02445AFE2F27}"/>
    <cellStyle name="60% - Énfasis6 2 3 2" xfId="4526" xr:uid="{8273E5B6-D9BD-445D-B022-3CEBD257EDE8}"/>
    <cellStyle name="60% - Énfasis6 2 3 2 2" xfId="5494" xr:uid="{E729F594-8406-42CD-9783-6ECE895143A1}"/>
    <cellStyle name="60% - Énfasis6 2 3 2 2 2" xfId="8361" xr:uid="{98C4E3A0-AA09-4F27-AE2F-25A5109ED30A}"/>
    <cellStyle name="60% - Énfasis6 2 3 2 2 2 2" xfId="22736" xr:uid="{DA0ABBA6-3F41-44AA-985F-D1DE44B6AE7C}"/>
    <cellStyle name="60% - Énfasis6 2 3 2 2 2 3" xfId="28594" xr:uid="{B4F7B974-A508-444A-95EB-FF8563DFF52B}"/>
    <cellStyle name="60% - Énfasis6 2 3 2 2 2 4" xfId="34476" xr:uid="{84C96C62-A9C4-493B-A855-C30E324CB2EC}"/>
    <cellStyle name="60% - Énfasis6 2 3 2 2 2 5" xfId="40340" xr:uid="{7252CE44-0124-480F-82F2-69E451418769}"/>
    <cellStyle name="60% - Énfasis6 2 3 2 2 3" xfId="19955" xr:uid="{CD30FC32-A213-40AD-B9B3-E36D70A5D171}"/>
    <cellStyle name="60% - Énfasis6 2 3 2 2 4" xfId="25745" xr:uid="{30B6CB61-E106-401C-B4D9-59750777E3A0}"/>
    <cellStyle name="60% - Énfasis6 2 3 2 2 5" xfId="31619" xr:uid="{5B06E745-3F1E-4588-81A1-297CCE4BAE78}"/>
    <cellStyle name="60% - Énfasis6 2 3 2 2 6" xfId="37489" xr:uid="{2AC557CA-398D-459A-AAA0-BF2FA20643B8}"/>
    <cellStyle name="60% - Énfasis6 2 3 2 3" xfId="7389" xr:uid="{05CCCB0C-3F11-4AF0-ACF4-E8704A19A3A2}"/>
    <cellStyle name="60% - Énfasis6 2 3 2 3 2" xfId="21791" xr:uid="{F9C03239-D903-4224-8FFE-C576DA2FA89D}"/>
    <cellStyle name="60% - Énfasis6 2 3 2 3 3" xfId="27623" xr:uid="{8257215D-9592-47AA-8027-A1AACBAB5647}"/>
    <cellStyle name="60% - Énfasis6 2 3 2 3 4" xfId="33505" xr:uid="{B0AE4AD7-50D2-4BF0-A869-C906A3A7CB9B}"/>
    <cellStyle name="60% - Énfasis6 2 3 2 3 5" xfId="39369" xr:uid="{D4957CFE-BED0-4724-B263-793338AB93E2}"/>
    <cellStyle name="60% - Énfasis6 2 3 2 4" xfId="19025" xr:uid="{8D0A3379-DB72-4CC6-8091-76CD97E4F0C1}"/>
    <cellStyle name="60% - Énfasis6 2 3 2 5" xfId="24774" xr:uid="{79042464-AB11-496C-996C-1FA633DA717F}"/>
    <cellStyle name="60% - Énfasis6 2 3 2 6" xfId="30651" xr:uid="{88574B2C-D444-4A64-B659-4767958C5B18}"/>
    <cellStyle name="60% - Énfasis6 2 3 2 7" xfId="36532" xr:uid="{80F73388-6183-4F67-BE63-3F4FF6247CD8}"/>
    <cellStyle name="60% - Énfasis6 2 3 3" xfId="5009" xr:uid="{E54F7C0F-7039-49D6-B111-B95410D91616}"/>
    <cellStyle name="60% - Énfasis6 2 3 3 2" xfId="7876" xr:uid="{B257E5D7-0B89-435F-9BBE-DE355DC8C54B}"/>
    <cellStyle name="60% - Énfasis6 2 3 3 2 2" xfId="22261" xr:uid="{090C1AAE-EC4D-4326-B0CE-A470541CDA4E}"/>
    <cellStyle name="60% - Énfasis6 2 3 3 2 3" xfId="28109" xr:uid="{42A3E0B3-F37C-4DF8-B732-3578240CBF78}"/>
    <cellStyle name="60% - Énfasis6 2 3 3 2 4" xfId="33991" xr:uid="{9039192E-F71D-4E03-8864-E76D9F529AE4}"/>
    <cellStyle name="60% - Énfasis6 2 3 3 2 5" xfId="39855" xr:uid="{2FE0C7E2-9F67-4F49-92D1-64183246EA41}"/>
    <cellStyle name="60% - Énfasis6 2 3 3 3" xfId="19488" xr:uid="{00BA4665-0838-4C23-B245-C60D4DACF606}"/>
    <cellStyle name="60% - Énfasis6 2 3 3 4" xfId="25260" xr:uid="{0BD87C81-C953-4192-8215-AF74C7B11D04}"/>
    <cellStyle name="60% - Énfasis6 2 3 3 5" xfId="31134" xr:uid="{8CBB0C9C-B78D-4653-BAA1-CC53E594C7BC}"/>
    <cellStyle name="60% - Énfasis6 2 3 3 6" xfId="37012" xr:uid="{F8C50273-8CFB-4427-87B6-D75997F8AFE9}"/>
    <cellStyle name="60% - Énfasis6 2 3 4" xfId="6904" xr:uid="{48336751-8E74-4C18-817F-2CBA83A85969}"/>
    <cellStyle name="60% - Énfasis6 2 3 4 2" xfId="21325" xr:uid="{4C80C0F3-F804-4D9D-B7DF-95469A044347}"/>
    <cellStyle name="60% - Énfasis6 2 3 4 3" xfId="27142" xr:uid="{8EE263DA-7241-44CE-9510-14C45FE2B82E}"/>
    <cellStyle name="60% - Énfasis6 2 3 4 4" xfId="33020" xr:uid="{F58DEAD0-2702-4DDB-BC0B-B67494B56698}"/>
    <cellStyle name="60% - Énfasis6 2 3 4 5" xfId="38884" xr:uid="{D081FED2-4F3B-4664-A579-790173AA566A}"/>
    <cellStyle name="60% - Énfasis6 2 3 5" xfId="18579" xr:uid="{CF539C3A-0595-413D-BDFB-74DBA72DC883}"/>
    <cellStyle name="60% - Énfasis6 2 3 6" xfId="24291" xr:uid="{1E0BEB41-1960-4DFD-816C-A66DAF765CD9}"/>
    <cellStyle name="60% - Énfasis6 2 3 7" xfId="30169" xr:uid="{3EDC8628-0799-474D-BCE5-62CD47CBC5A7}"/>
    <cellStyle name="60% - Énfasis6 2 3 8" xfId="36048" xr:uid="{CBAF9203-60E2-4256-8E9C-0F251232C40A}"/>
    <cellStyle name="60% - Énfasis6 2 4" xfId="4332" xr:uid="{2C1EE9C5-AC35-4370-8DB5-22622133F97D}"/>
    <cellStyle name="60% - Énfasis6 2 4 2" xfId="5298" xr:uid="{8C0106F3-59FD-4172-A870-72AA962C6A4A}"/>
    <cellStyle name="60% - Énfasis6 2 4 2 2" xfId="8165" xr:uid="{C2F1E797-A427-432C-89AC-8DF8F9805720}"/>
    <cellStyle name="60% - Énfasis6 2 4 2 2 2" xfId="22541" xr:uid="{9D437DDB-0153-4E42-A802-672D38EEF177}"/>
    <cellStyle name="60% - Énfasis6 2 4 2 2 3" xfId="28398" xr:uid="{109308C5-2AE3-4D8C-A337-E9F6F690A06B}"/>
    <cellStyle name="60% - Énfasis6 2 4 2 2 4" xfId="34280" xr:uid="{5CA0C68E-CEF8-4477-B516-B01A4CF5CD87}"/>
    <cellStyle name="60% - Énfasis6 2 4 2 2 5" xfId="40144" xr:uid="{61707EC4-681A-4733-8720-9809B0C4AB8E}"/>
    <cellStyle name="60% - Énfasis6 2 4 2 3" xfId="19766" xr:uid="{DBCDE637-A8E8-4140-B1A0-0F51CA85AEEA}"/>
    <cellStyle name="60% - Énfasis6 2 4 2 4" xfId="25549" xr:uid="{E915E535-B98E-404E-8A22-5772FCAD2F73}"/>
    <cellStyle name="60% - Énfasis6 2 4 2 5" xfId="31423" xr:uid="{94135E5F-A21C-4DBA-AFD7-1C8DA9B7E15E}"/>
    <cellStyle name="60% - Énfasis6 2 4 2 6" xfId="37294" xr:uid="{8EE92692-6B41-4352-A3DF-16A309965974}"/>
    <cellStyle name="60% - Énfasis6 2 4 3" xfId="7193" xr:uid="{80702ED4-82F8-422C-BC74-8F891C95D1ED}"/>
    <cellStyle name="60% - Énfasis6 2 4 3 2" xfId="21600" xr:uid="{0593744F-10BD-4141-9F5F-D757084282A9}"/>
    <cellStyle name="60% - Énfasis6 2 4 3 3" xfId="27427" xr:uid="{52A24F2B-7F2D-4674-922C-D29AC6826D16}"/>
    <cellStyle name="60% - Énfasis6 2 4 3 4" xfId="33309" xr:uid="{62A07143-A42D-4F64-9569-3AD691E626C2}"/>
    <cellStyle name="60% - Énfasis6 2 4 3 5" xfId="39173" xr:uid="{5AE8E1FA-7EEB-4BE9-AC80-F8E401D04338}"/>
    <cellStyle name="60% - Énfasis6 2 4 4" xfId="18837" xr:uid="{B8DADAC3-711C-4887-B8BA-FEF6A87E413F}"/>
    <cellStyle name="60% - Énfasis6 2 4 5" xfId="24578" xr:uid="{21D57FB4-FB61-45D6-B61A-B87BB653835B}"/>
    <cellStyle name="60% - Énfasis6 2 4 6" xfId="30457" xr:uid="{C929B507-8B9F-46A3-B1B1-69458B9CD3F7}"/>
    <cellStyle name="60% - Énfasis6 2 4 7" xfId="36337" xr:uid="{DC2B491F-052F-46BE-8539-ADE505F355CC}"/>
    <cellStyle name="60% - Énfasis6 2 5" xfId="4817" xr:uid="{EC208154-5721-4D2B-99DB-8A7B8DF3F8AC}"/>
    <cellStyle name="60% - Énfasis6 2 5 2" xfId="7680" xr:uid="{2F47F7B0-B8A2-44E8-9D99-3F76647630F2}"/>
    <cellStyle name="60% - Énfasis6 2 5 2 2" xfId="22071" xr:uid="{F3E7DD51-B4A0-4FCD-99AE-9E8D5343DEDA}"/>
    <cellStyle name="60% - Énfasis6 2 5 2 3" xfId="27913" xr:uid="{A8CC8BFC-BDCD-4FBF-88D4-5BA69AB68C59}"/>
    <cellStyle name="60% - Énfasis6 2 5 2 4" xfId="33795" xr:uid="{D4A8F410-602D-4E38-AF23-378CC674D59E}"/>
    <cellStyle name="60% - Énfasis6 2 5 2 5" xfId="39659" xr:uid="{6F788BD5-6F9E-45E9-AC99-230A638220A8}"/>
    <cellStyle name="60% - Énfasis6 2 5 3" xfId="19296" xr:uid="{2C497345-92FD-4B5D-88D8-40BD4799D209}"/>
    <cellStyle name="60% - Énfasis6 2 5 4" xfId="25064" xr:uid="{DD8E59CE-006B-4FEA-891B-A2AB629C9E30}"/>
    <cellStyle name="60% - Énfasis6 2 5 5" xfId="30938" xr:uid="{A5AF1121-5EEF-409F-B619-AF57585897AF}"/>
    <cellStyle name="60% - Énfasis6 2 5 6" xfId="36817" xr:uid="{7A8C4440-36F5-431B-B2AB-891DA5C9805F}"/>
    <cellStyle name="60% - Énfasis6 2 6" xfId="5823" xr:uid="{0DEF947C-3410-45F3-A36F-77E53419166D}"/>
    <cellStyle name="60% - Énfasis6 2 6 2" xfId="8692" xr:uid="{5C6E9A9D-C422-4D07-991C-F6D12E6CA628}"/>
    <cellStyle name="60% - Énfasis6 2 6 2 2" xfId="23060" xr:uid="{03995D2E-4A41-49FA-9021-32EFD565B1EA}"/>
    <cellStyle name="60% - Énfasis6 2 6 2 3" xfId="28924" xr:uid="{2F3C6F64-F088-4021-BF09-A18118B6CE23}"/>
    <cellStyle name="60% - Énfasis6 2 6 2 4" xfId="34806" xr:uid="{D9535D6A-4DBE-4FD0-8FC8-C7EE6E677A40}"/>
    <cellStyle name="60% - Énfasis6 2 6 2 5" xfId="40670" xr:uid="{1B42FDAA-1BF1-467F-9E99-E1F7E814BE30}"/>
    <cellStyle name="60% - Énfasis6 2 6 3" xfId="20275" xr:uid="{D68D0697-6F35-4364-B9FD-D72CB8A78145}"/>
    <cellStyle name="60% - Énfasis6 2 6 4" xfId="26074" xr:uid="{FC54E0B5-73C2-4AA8-BA77-170C1C885DEE}"/>
    <cellStyle name="60% - Énfasis6 2 6 5" xfId="31949" xr:uid="{E48A6B21-A137-4C6E-9081-A13565F40DD9}"/>
    <cellStyle name="60% - Énfasis6 2 6 6" xfId="37815" xr:uid="{107F3E95-EAFE-4264-AF80-31BED2428DF8}"/>
    <cellStyle name="60% - Énfasis6 2 7" xfId="6709" xr:uid="{3C937BC1-0640-42F0-B930-FF108A0C86AF}"/>
    <cellStyle name="60% - Énfasis6 2 7 2" xfId="21136" xr:uid="{1921B846-61C5-4918-B53D-BBDCD5B90CA4}"/>
    <cellStyle name="60% - Énfasis6 2 7 3" xfId="26948" xr:uid="{ECE817A1-5885-4D0B-AFAA-C755C9ABEC93}"/>
    <cellStyle name="60% - Énfasis6 2 7 4" xfId="32824" xr:uid="{1F3657B4-2265-4E2D-8E7B-43DFF47D6F6A}"/>
    <cellStyle name="60% - Énfasis6 2 7 5" xfId="38688" xr:uid="{43BB4A6F-95EA-4479-9E62-10FC220A3433}"/>
    <cellStyle name="60% - Énfasis6 2 8" xfId="18370" xr:uid="{3B590586-7969-43D0-BA48-88985247794B}"/>
    <cellStyle name="60% - Énfasis6 2 9" xfId="24078" xr:uid="{3961B30E-9D1F-4289-AD77-5E5CD6EB46CA}"/>
    <cellStyle name="60% - Énfasis6 20" xfId="6052" xr:uid="{F3555200-CF34-4077-B619-CD99C49642A2}"/>
    <cellStyle name="60% - Énfasis6 20 2" xfId="8921" xr:uid="{2A4122D3-5EB2-4385-8135-95748428DE53}"/>
    <cellStyle name="60% - Énfasis6 20 2 2" xfId="23285" xr:uid="{3C2EA425-9007-4F49-BFCA-02EEEAF2C45A}"/>
    <cellStyle name="60% - Énfasis6 20 2 3" xfId="29152" xr:uid="{D48E7F70-4BFF-4079-926E-1B2052DB847C}"/>
    <cellStyle name="60% - Énfasis6 20 2 4" xfId="35034" xr:uid="{9665D493-F021-4556-AAAE-FE81973C98FB}"/>
    <cellStyle name="60% - Énfasis6 20 2 5" xfId="40898" xr:uid="{8AD0397F-5270-450D-A839-78D71FE67488}"/>
    <cellStyle name="60% - Énfasis6 20 3" xfId="20500" xr:uid="{8D06DA37-83D8-4461-ADA7-C9A3788EABF8}"/>
    <cellStyle name="60% - Énfasis6 20 4" xfId="26302" xr:uid="{FE113FBE-7DCE-40A4-B100-FA66DD12D6D8}"/>
    <cellStyle name="60% - Énfasis6 20 5" xfId="32177" xr:uid="{0BC169A2-75D0-4C49-B1B9-1D92163E03FA}"/>
    <cellStyle name="60% - Énfasis6 20 6" xfId="38042" xr:uid="{A1DE95DE-561D-47D2-A08B-69CBA5B6874A}"/>
    <cellStyle name="60% - Énfasis6 21" xfId="6072" xr:uid="{6F244029-F9F1-4D35-85BC-046D4E2EA00B}"/>
    <cellStyle name="60% - Énfasis6 21 2" xfId="8941" xr:uid="{36A92D75-D264-47C7-9DAE-9C2CB7F5C215}"/>
    <cellStyle name="60% - Énfasis6 21 2 2" xfId="23305" xr:uid="{C29004FB-B1B6-401C-AD7E-CE749BAD25F8}"/>
    <cellStyle name="60% - Énfasis6 21 2 3" xfId="29172" xr:uid="{78426C1E-F205-4C4D-9727-8DCE7375FB46}"/>
    <cellStyle name="60% - Énfasis6 21 2 4" xfId="35054" xr:uid="{E7F257ED-B165-4FD8-9C1D-02E76A948417}"/>
    <cellStyle name="60% - Énfasis6 21 2 5" xfId="40918" xr:uid="{F9ECA5AA-DC35-400B-BEA2-9E6DE217A624}"/>
    <cellStyle name="60% - Énfasis6 21 3" xfId="20520" xr:uid="{1C20079C-33CD-4272-8032-ED1A12A0F755}"/>
    <cellStyle name="60% - Énfasis6 21 4" xfId="26322" xr:uid="{37E3C87E-3E9E-43B5-A0AD-63C65989F87F}"/>
    <cellStyle name="60% - Énfasis6 21 5" xfId="32197" xr:uid="{2687FB00-7527-4F36-BFF7-1306B11139BB}"/>
    <cellStyle name="60% - Énfasis6 21 6" xfId="38062" xr:uid="{B399981A-7A49-4D1B-BC59-056CCD9C39B6}"/>
    <cellStyle name="60% - Énfasis6 22" xfId="6092" xr:uid="{40E96E4A-DCAE-499E-9320-8CD17194A372}"/>
    <cellStyle name="60% - Énfasis6 22 2" xfId="8961" xr:uid="{F30422F2-B5E2-4E69-A77D-6D66C38A4E0A}"/>
    <cellStyle name="60% - Énfasis6 22 2 2" xfId="23325" xr:uid="{37D1778F-DD57-457B-BD0F-7D7CA5ED105C}"/>
    <cellStyle name="60% - Énfasis6 22 2 3" xfId="29192" xr:uid="{361F55C3-4E4D-4D00-A8A7-C281FA382898}"/>
    <cellStyle name="60% - Énfasis6 22 2 4" xfId="35074" xr:uid="{ED29F6AE-EB04-470E-80CD-D1CBC7FA1D04}"/>
    <cellStyle name="60% - Énfasis6 22 2 5" xfId="40938" xr:uid="{BFBE6A9B-4735-49DD-88FE-188629A8F041}"/>
    <cellStyle name="60% - Énfasis6 22 3" xfId="20540" xr:uid="{24124C9D-3E1D-441B-B38E-F86AC4E13508}"/>
    <cellStyle name="60% - Énfasis6 22 4" xfId="26342" xr:uid="{1F98F8FD-D3CA-4546-823B-01B8C03D7625}"/>
    <cellStyle name="60% - Énfasis6 22 5" xfId="32217" xr:uid="{2D8C004D-D2B5-4B1C-8BAC-AA6BE31F7E69}"/>
    <cellStyle name="60% - Énfasis6 22 6" xfId="38082" xr:uid="{0D3974CE-A58C-4489-999F-ADC836A9F00A}"/>
    <cellStyle name="60% - Énfasis6 23" xfId="6112" xr:uid="{B3C478EC-1DA5-4884-A909-83440399AC66}"/>
    <cellStyle name="60% - Énfasis6 23 2" xfId="8981" xr:uid="{8BB564F4-A2AE-45DD-97D6-53B6286AF3C3}"/>
    <cellStyle name="60% - Énfasis6 23 2 2" xfId="23345" xr:uid="{572CEC43-5F0C-47FC-B7EE-A49764B72F93}"/>
    <cellStyle name="60% - Énfasis6 23 2 3" xfId="29212" xr:uid="{3FC637E9-53D2-4E01-8F8C-4EC1B12D0B36}"/>
    <cellStyle name="60% - Énfasis6 23 2 4" xfId="35094" xr:uid="{092F51B4-458E-4410-82B2-4151301614E0}"/>
    <cellStyle name="60% - Énfasis6 23 2 5" xfId="40958" xr:uid="{B1725933-3A06-4D82-AED4-EFA42FEFE988}"/>
    <cellStyle name="60% - Énfasis6 23 3" xfId="20560" xr:uid="{56660BDA-DAE2-434D-87D5-2CE2D044DDB9}"/>
    <cellStyle name="60% - Énfasis6 23 4" xfId="26362" xr:uid="{E8638083-216A-4FAC-B9DA-317800DB013A}"/>
    <cellStyle name="60% - Énfasis6 23 5" xfId="32237" xr:uid="{51ECF295-843D-4BB3-95D1-841F04EFDCF3}"/>
    <cellStyle name="60% - Énfasis6 23 6" xfId="38102" xr:uid="{231BA280-E631-41F8-B389-B2B6B42437A5}"/>
    <cellStyle name="60% - Énfasis6 24" xfId="6132" xr:uid="{D06476D9-6706-4652-97C4-313DACE3F9CE}"/>
    <cellStyle name="60% - Énfasis6 24 2" xfId="9001" xr:uid="{2C5C8362-B789-46FC-A29E-D91B24B4F758}"/>
    <cellStyle name="60% - Énfasis6 24 2 2" xfId="23365" xr:uid="{3CA0AAED-8DFD-4932-BB30-740B2F393665}"/>
    <cellStyle name="60% - Énfasis6 24 2 3" xfId="29232" xr:uid="{0F247298-5EF0-4DFA-A5B4-900080AE69B1}"/>
    <cellStyle name="60% - Énfasis6 24 2 4" xfId="35114" xr:uid="{F37C7018-86E9-44D6-9B5C-CBACDA7A0572}"/>
    <cellStyle name="60% - Énfasis6 24 2 5" xfId="40978" xr:uid="{1CAE2CF6-D171-4C9F-9CCB-A0D0102CE0F7}"/>
    <cellStyle name="60% - Énfasis6 24 3" xfId="20580" xr:uid="{715562FE-5D8B-420E-A761-3F487620BA21}"/>
    <cellStyle name="60% - Énfasis6 24 4" xfId="26382" xr:uid="{0BF081B0-A644-4F69-B139-650FD6DF76B3}"/>
    <cellStyle name="60% - Énfasis6 24 5" xfId="32257" xr:uid="{C2EC1576-C990-4556-B290-EC3C4AE27361}"/>
    <cellStyle name="60% - Énfasis6 24 6" xfId="38122" xr:uid="{FCB061A8-67B6-40DA-9C8B-A0EE78BDB9AA}"/>
    <cellStyle name="60% - Énfasis6 25" xfId="6152" xr:uid="{7F63F736-6D59-4B48-B7D5-F866CAC60BE3}"/>
    <cellStyle name="60% - Énfasis6 25 2" xfId="9021" xr:uid="{E566D037-E33D-4AA8-B34D-6C7D2BB021C3}"/>
    <cellStyle name="60% - Énfasis6 25 2 2" xfId="23385" xr:uid="{30A9CF33-F7F6-4711-BEE3-6090950D4CD1}"/>
    <cellStyle name="60% - Énfasis6 25 2 3" xfId="29252" xr:uid="{134BAD61-382F-45FF-88E3-AF8D26B936B1}"/>
    <cellStyle name="60% - Énfasis6 25 2 4" xfId="35134" xr:uid="{A265D551-13C4-4748-BB30-50749BD469CB}"/>
    <cellStyle name="60% - Énfasis6 25 2 5" xfId="40997" xr:uid="{8D5EAEEE-F2EC-4877-AF62-89E4CAC00D6B}"/>
    <cellStyle name="60% - Énfasis6 25 3" xfId="20600" xr:uid="{71F4B42F-E3DE-4CE5-92F2-7F02BA1C3832}"/>
    <cellStyle name="60% - Énfasis6 25 4" xfId="26402" xr:uid="{8CF83699-5204-4BC8-857C-6BD79A0476EB}"/>
    <cellStyle name="60% - Énfasis6 25 5" xfId="32277" xr:uid="{6BCCDA71-E88B-4642-BBF9-83A1F103859B}"/>
    <cellStyle name="60% - Énfasis6 25 6" xfId="38142" xr:uid="{6927803B-4164-4D88-8DD1-9488E1447773}"/>
    <cellStyle name="60% - Énfasis6 26" xfId="6172" xr:uid="{EF4E40F7-3695-4B8F-B05D-470B994AFC56}"/>
    <cellStyle name="60% - Énfasis6 26 2" xfId="9041" xr:uid="{6E7879FA-50DE-4ACA-93C2-B53783CB3FD9}"/>
    <cellStyle name="60% - Énfasis6 26 2 2" xfId="23405" xr:uid="{AE0EE3B8-89EE-44F3-BB01-3A2BCE80BA32}"/>
    <cellStyle name="60% - Énfasis6 26 2 3" xfId="29272" xr:uid="{849E658A-0A91-4003-A6B5-B228215217AA}"/>
    <cellStyle name="60% - Énfasis6 26 2 4" xfId="35154" xr:uid="{49E381F9-6CFC-4A02-A8D6-59CD68546976}"/>
    <cellStyle name="60% - Énfasis6 26 2 5" xfId="41016" xr:uid="{93298A3C-ABB2-4A93-B1E3-FA0DF25B5B68}"/>
    <cellStyle name="60% - Énfasis6 26 3" xfId="20620" xr:uid="{07D29BDA-5599-4E5B-B324-2F4D16F3CB60}"/>
    <cellStyle name="60% - Énfasis6 26 4" xfId="26422" xr:uid="{CA645737-B52A-4AF3-B908-6080ABD52670}"/>
    <cellStyle name="60% - Énfasis6 26 5" xfId="32297" xr:uid="{81A99A7F-9974-4054-BF86-C938121BD3E3}"/>
    <cellStyle name="60% - Énfasis6 26 6" xfId="38162" xr:uid="{E985A706-27A3-4563-97BE-863D60E8A814}"/>
    <cellStyle name="60% - Énfasis6 27" xfId="6192" xr:uid="{7FBA61D4-AE4E-4824-8751-7EB04BEB66EC}"/>
    <cellStyle name="60% - Énfasis6 27 2" xfId="9061" xr:uid="{C339FB85-3DF3-4CBC-B3AD-5F0ADF6B8346}"/>
    <cellStyle name="60% - Énfasis6 27 2 2" xfId="23425" xr:uid="{3201E991-81F3-4CA2-99B9-5AB87476418A}"/>
    <cellStyle name="60% - Énfasis6 27 2 3" xfId="29292" xr:uid="{4C7B8C3B-7303-4B36-A405-0430CF82A383}"/>
    <cellStyle name="60% - Énfasis6 27 2 4" xfId="35174" xr:uid="{20F7A328-1A30-4B49-BD67-4DE3E918ADC4}"/>
    <cellStyle name="60% - Énfasis6 27 2 5" xfId="41036" xr:uid="{34A00180-F103-4759-ACF3-1B69D38EBFEA}"/>
    <cellStyle name="60% - Énfasis6 27 3" xfId="20640" xr:uid="{47F36B0C-98F8-492A-A532-AF65FDE7DFE7}"/>
    <cellStyle name="60% - Énfasis6 27 4" xfId="26442" xr:uid="{81F49CF4-7E52-40FC-BFB5-F659C88DF245}"/>
    <cellStyle name="60% - Énfasis6 27 5" xfId="32317" xr:uid="{5A5C0187-83BB-4D96-9494-F8F264071C8C}"/>
    <cellStyle name="60% - Énfasis6 27 6" xfId="38182" xr:uid="{C4B1DA11-EE5D-412E-8FD5-7F4F534A7275}"/>
    <cellStyle name="60% - Énfasis6 28" xfId="6214" xr:uid="{12CF50A5-DDDA-402B-AC33-B94C1166449D}"/>
    <cellStyle name="60% - Énfasis6 28 2" xfId="9083" xr:uid="{3736E362-95F7-43DB-8273-78EC0B461635}"/>
    <cellStyle name="60% - Énfasis6 28 2 2" xfId="23447" xr:uid="{C4794A06-2BD2-4013-8859-7838ED7D5908}"/>
    <cellStyle name="60% - Énfasis6 28 2 3" xfId="29314" xr:uid="{9D81C0F0-1DF9-4DED-BA6E-6C21438D0757}"/>
    <cellStyle name="60% - Énfasis6 28 2 4" xfId="35196" xr:uid="{D671CBF9-C6C8-49A6-BAB7-A1E42F5BFB10}"/>
    <cellStyle name="60% - Énfasis6 28 2 5" xfId="41057" xr:uid="{79267F65-4D7E-4BEF-B719-456F97828CAB}"/>
    <cellStyle name="60% - Énfasis6 28 3" xfId="20662" xr:uid="{141EE5C9-07B5-4F04-9CDA-71697CB418A9}"/>
    <cellStyle name="60% - Énfasis6 28 4" xfId="26464" xr:uid="{734F2C1B-7A9D-44FB-BB53-B11AB06A0C0B}"/>
    <cellStyle name="60% - Énfasis6 28 5" xfId="32339" xr:uid="{8D95145D-6DCB-4BC9-B0DD-098CA6078321}"/>
    <cellStyle name="60% - Énfasis6 28 6" xfId="38204" xr:uid="{018A7D1F-A2B2-48A2-907C-4F8C8B19929B}"/>
    <cellStyle name="60% - Énfasis6 29" xfId="6251" xr:uid="{23069B96-D018-4DB2-A806-439EBF1FC2C5}"/>
    <cellStyle name="60% - Énfasis6 29 2" xfId="9120" xr:uid="{75F219ED-CC60-4B46-8B22-2FD9299D9ED7}"/>
    <cellStyle name="60% - Énfasis6 29 2 2" xfId="23484" xr:uid="{F21BDF9E-44D6-4BB9-867F-529D46A5B329}"/>
    <cellStyle name="60% - Énfasis6 29 2 3" xfId="29351" xr:uid="{FB2829D4-FE66-45CC-A675-53D0A768C168}"/>
    <cellStyle name="60% - Énfasis6 29 2 4" xfId="35233" xr:uid="{0F40C6E7-2CB1-43CE-A5B7-B9A17A181BCB}"/>
    <cellStyle name="60% - Énfasis6 29 2 5" xfId="41093" xr:uid="{AE666017-DCC2-48F8-B408-0ECC378D384A}"/>
    <cellStyle name="60% - Énfasis6 29 3" xfId="20692" xr:uid="{F7FB0518-A600-4A42-B25F-9C224DB83105}"/>
    <cellStyle name="60% - Énfasis6 29 4" xfId="26501" xr:uid="{6671E0EA-B0AD-4E29-8B6E-582E0932AE0E}"/>
    <cellStyle name="60% - Énfasis6 29 5" xfId="32376" xr:uid="{2D584AED-820C-455A-8C7D-06FA36F09A9F}"/>
    <cellStyle name="60% - Énfasis6 29 6" xfId="38241" xr:uid="{D72E5697-6412-407B-ADE5-2C379FD88240}"/>
    <cellStyle name="60% - Énfasis6 3" xfId="3874" xr:uid="{CFADE440-EDC6-4E17-A714-F7DEE3C92C9A}"/>
    <cellStyle name="60% - Énfasis6 3 10" xfId="29983" xr:uid="{22203ADE-5399-441F-99C2-327CCE5111F4}"/>
    <cellStyle name="60% - Énfasis6 3 11" xfId="35864" xr:uid="{AC3546D1-0F08-480C-9C2D-3C2D718CDE70}"/>
    <cellStyle name="60% - Énfasis6 3 2" xfId="4073" xr:uid="{E0BA88DE-979D-473C-8222-3466F3B1223F}"/>
    <cellStyle name="60% - Énfasis6 3 2 2" xfId="4551" xr:uid="{369D63FD-AB8D-44FA-867A-55C31B1EA75D}"/>
    <cellStyle name="60% - Énfasis6 3 2 2 2" xfId="5519" xr:uid="{94CF8F9A-1C59-4BE2-B7CA-E488FDED30C4}"/>
    <cellStyle name="60% - Énfasis6 3 2 2 2 2" xfId="8386" xr:uid="{DACFD7F2-67D3-4D96-ACA2-65EFF0DB7BAC}"/>
    <cellStyle name="60% - Énfasis6 3 2 2 2 2 2" xfId="22761" xr:uid="{FF5AB7B7-3573-491E-A67F-7EFBA0FA3635}"/>
    <cellStyle name="60% - Énfasis6 3 2 2 2 2 3" xfId="28619" xr:uid="{9732000D-7D15-485B-B5B2-7E095062045D}"/>
    <cellStyle name="60% - Énfasis6 3 2 2 2 2 4" xfId="34501" xr:uid="{BB0B5818-EC62-416A-A201-1712AA2F78CE}"/>
    <cellStyle name="60% - Énfasis6 3 2 2 2 2 5" xfId="40365" xr:uid="{AA401F08-5319-41D0-A41D-8C3FDE84B3A9}"/>
    <cellStyle name="60% - Énfasis6 3 2 2 2 3" xfId="19979" xr:uid="{3C34623F-CF9E-4974-B6A8-0CBCD7A68839}"/>
    <cellStyle name="60% - Énfasis6 3 2 2 2 4" xfId="25770" xr:uid="{D0CFE5FB-B121-4A3A-81A3-B5AAE1C6BE9A}"/>
    <cellStyle name="60% - Énfasis6 3 2 2 2 5" xfId="31644" xr:uid="{47FE7BBB-C908-4BF6-B7D4-9D8F13C10FFB}"/>
    <cellStyle name="60% - Énfasis6 3 2 2 2 6" xfId="37514" xr:uid="{2A733B76-E562-477E-AA36-CE56A385BD9B}"/>
    <cellStyle name="60% - Énfasis6 3 2 2 3" xfId="7414" xr:uid="{A4839C60-73DA-4CFD-ACE7-BB0917ACD949}"/>
    <cellStyle name="60% - Énfasis6 3 2 2 3 2" xfId="21816" xr:uid="{BB6CD301-29FC-47AA-A402-06940D7E96E9}"/>
    <cellStyle name="60% - Énfasis6 3 2 2 3 3" xfId="27648" xr:uid="{CC721A5D-52F3-4BEE-9DD7-DA2BC32D8815}"/>
    <cellStyle name="60% - Énfasis6 3 2 2 3 4" xfId="33530" xr:uid="{A78CD3CA-3CDE-43EB-84AF-386275CAC7CF}"/>
    <cellStyle name="60% - Énfasis6 3 2 2 3 5" xfId="39394" xr:uid="{68C185E6-8D8D-440B-9FEA-66BE9E1B8EAA}"/>
    <cellStyle name="60% - Énfasis6 3 2 2 4" xfId="19047" xr:uid="{212DF788-6F68-4888-9E10-EF077F8236E8}"/>
    <cellStyle name="60% - Énfasis6 3 2 2 5" xfId="24799" xr:uid="{1B49AB37-05CB-4F8A-BEC5-AEA12E845D7A}"/>
    <cellStyle name="60% - Énfasis6 3 2 2 6" xfId="30676" xr:uid="{AAC6D319-6935-4B62-9EBB-520933E4ABCC}"/>
    <cellStyle name="60% - Énfasis6 3 2 2 7" xfId="36557" xr:uid="{37E47726-F1F4-46C4-A562-093053F11189}"/>
    <cellStyle name="60% - Énfasis6 3 2 3" xfId="5034" xr:uid="{FFCD8DA8-5309-4ECD-AF52-D56CD3EAA0D7}"/>
    <cellStyle name="60% - Énfasis6 3 2 3 2" xfId="7901" xr:uid="{6145BED9-7B27-49DF-9F11-49DB9E4AA23E}"/>
    <cellStyle name="60% - Énfasis6 3 2 3 2 2" xfId="22286" xr:uid="{953B2C9C-4009-4790-90C8-6BD891E3440F}"/>
    <cellStyle name="60% - Énfasis6 3 2 3 2 3" xfId="28134" xr:uid="{C360AA66-3519-4727-A17E-C67E2B9BE22B}"/>
    <cellStyle name="60% - Énfasis6 3 2 3 2 4" xfId="34016" xr:uid="{01374A3E-0178-4E98-B11F-0C8F9E3A03E1}"/>
    <cellStyle name="60% - Énfasis6 3 2 3 2 5" xfId="39880" xr:uid="{A522ABB7-97DD-4D62-A08F-8A8A66496937}"/>
    <cellStyle name="60% - Énfasis6 3 2 3 3" xfId="19512" xr:uid="{837A0F3B-E788-4593-9F66-45C6EE2B065F}"/>
    <cellStyle name="60% - Énfasis6 3 2 3 4" xfId="25285" xr:uid="{81428DBB-B6A2-4D31-BE50-E832D71F1ACD}"/>
    <cellStyle name="60% - Énfasis6 3 2 3 5" xfId="31159" xr:uid="{8FF1525B-C30E-45B4-829F-84776261F7AF}"/>
    <cellStyle name="60% - Énfasis6 3 2 3 6" xfId="37037" xr:uid="{0BF20619-9DCB-4CA2-B620-A49400DBDD12}"/>
    <cellStyle name="60% - Énfasis6 3 2 4" xfId="6929" xr:uid="{E39936B0-6AFE-45AA-8C24-4E2137AB8488}"/>
    <cellStyle name="60% - Énfasis6 3 2 4 2" xfId="21349" xr:uid="{12202A22-E5F7-4FBC-8F87-90773A0D05A0}"/>
    <cellStyle name="60% - Énfasis6 3 2 4 3" xfId="27167" xr:uid="{BE4BEE51-25B5-4A49-8770-2DC40F7A795D}"/>
    <cellStyle name="60% - Énfasis6 3 2 4 4" xfId="33045" xr:uid="{E6618109-1FB7-49AD-9DCB-8FCBBB1F435C}"/>
    <cellStyle name="60% - Énfasis6 3 2 4 5" xfId="38909" xr:uid="{81B83AFD-9785-4C31-997D-333597EE8CE5}"/>
    <cellStyle name="60% - Énfasis6 3 2 5" xfId="18604" xr:uid="{F2411504-ABD4-4E8A-90A6-4F9549D81EED}"/>
    <cellStyle name="60% - Énfasis6 3 2 6" xfId="24316" xr:uid="{C95EF044-3984-4D10-AF48-8465B380EC2D}"/>
    <cellStyle name="60% - Énfasis6 3 2 7" xfId="30194" xr:uid="{E21D6900-BC28-47CD-900D-4D570F137DB5}"/>
    <cellStyle name="60% - Énfasis6 3 2 8" xfId="36073" xr:uid="{DF2D64EF-3FE5-4068-91E8-7F5D7C397BB1}"/>
    <cellStyle name="60% - Énfasis6 3 3" xfId="4357" xr:uid="{8B8DD415-6474-4A79-B330-4A005F9CB840}"/>
    <cellStyle name="60% - Énfasis6 3 3 2" xfId="5323" xr:uid="{E974FFD9-A69A-4471-85EC-942004E61920}"/>
    <cellStyle name="60% - Énfasis6 3 3 2 2" xfId="8190" xr:uid="{19F7BA60-E72D-41AE-BE7D-92D0894BDC5C}"/>
    <cellStyle name="60% - Énfasis6 3 3 2 2 2" xfId="22566" xr:uid="{73765FBC-7986-4BE0-94DA-A590E9B87BFB}"/>
    <cellStyle name="60% - Énfasis6 3 3 2 2 3" xfId="28423" xr:uid="{1958F466-989A-475B-B151-B48275FEB2C1}"/>
    <cellStyle name="60% - Énfasis6 3 3 2 2 4" xfId="34305" xr:uid="{747E6E2C-D175-4B4C-85C1-D20B6D8F0CA6}"/>
    <cellStyle name="60% - Énfasis6 3 3 2 2 5" xfId="40169" xr:uid="{B49FD3F8-4DC7-4D5D-9E92-D7AB4039DD95}"/>
    <cellStyle name="60% - Énfasis6 3 3 2 3" xfId="19791" xr:uid="{D2E45FD1-5D7D-418C-B55F-A52BA8D5B651}"/>
    <cellStyle name="60% - Énfasis6 3 3 2 4" xfId="25574" xr:uid="{EB287CAB-E2C5-44CC-9940-1226EEC99B3C}"/>
    <cellStyle name="60% - Énfasis6 3 3 2 5" xfId="31448" xr:uid="{6C2EDBF2-0266-46AA-A620-0D0DAD26626E}"/>
    <cellStyle name="60% - Énfasis6 3 3 2 6" xfId="37319" xr:uid="{19F3861E-D726-47E5-A93B-2F64AA7E571A}"/>
    <cellStyle name="60% - Énfasis6 3 3 3" xfId="7218" xr:uid="{8A16690A-F58B-46ED-9D91-E99EE12B8CC4}"/>
    <cellStyle name="60% - Énfasis6 3 3 3 2" xfId="21625" xr:uid="{EF10CFC3-5FC4-48C0-8451-9AA3535265C1}"/>
    <cellStyle name="60% - Énfasis6 3 3 3 3" xfId="27452" xr:uid="{2F93E75A-DE27-4D55-B811-2B661AB9896E}"/>
    <cellStyle name="60% - Énfasis6 3 3 3 4" xfId="33334" xr:uid="{23C2719F-C2A2-40E1-BEA9-9950DDD01C4E}"/>
    <cellStyle name="60% - Énfasis6 3 3 3 5" xfId="39198" xr:uid="{805483E5-BD06-442C-8E4F-9017A40181FA}"/>
    <cellStyle name="60% - Énfasis6 3 3 4" xfId="18862" xr:uid="{DB127113-C539-43AF-8F23-C8FFFCEA5153}"/>
    <cellStyle name="60% - Énfasis6 3 3 5" xfId="24603" xr:uid="{B4C4AA97-0CF4-4D0B-AE30-A2647D1DCE8E}"/>
    <cellStyle name="60% - Énfasis6 3 3 6" xfId="30482" xr:uid="{29044812-5115-4123-82D2-DD9F7BDA2452}"/>
    <cellStyle name="60% - Énfasis6 3 3 7" xfId="36362" xr:uid="{D79AE606-5C3D-4DE3-9618-9CF693AFBC4B}"/>
    <cellStyle name="60% - Énfasis6 3 4" xfId="4839" xr:uid="{D77B7C8D-682F-4C9F-A06B-0AD71C06F9E6}"/>
    <cellStyle name="60% - Énfasis6 3 4 2" xfId="7705" xr:uid="{221A899D-C099-454E-BA21-C4A33D55A9A9}"/>
    <cellStyle name="60% - Énfasis6 3 4 2 2" xfId="22095" xr:uid="{7AF10AD3-C588-4BC6-B811-38EF11EF8C73}"/>
    <cellStyle name="60% - Énfasis6 3 4 2 3" xfId="27938" xr:uid="{646F13C2-66E9-4B3A-96C6-610064D7AD3B}"/>
    <cellStyle name="60% - Énfasis6 3 4 2 4" xfId="33820" xr:uid="{38B03E11-9575-4C19-84AA-C1F2059591B6}"/>
    <cellStyle name="60% - Énfasis6 3 4 2 5" xfId="39684" xr:uid="{62C01366-4E5C-4F62-9DFB-505EA1857C33}"/>
    <cellStyle name="60% - Énfasis6 3 4 3" xfId="19321" xr:uid="{6EBC166F-CE43-4AF3-8D0D-858FC5D62E44}"/>
    <cellStyle name="60% - Énfasis6 3 4 4" xfId="25089" xr:uid="{8787FED4-4CFA-4729-BB3C-85D2B9F6252D}"/>
    <cellStyle name="60% - Énfasis6 3 4 5" xfId="30963" xr:uid="{0EBD805F-2C78-437D-9A97-2F52818E9B79}"/>
    <cellStyle name="60% - Énfasis6 3 4 6" xfId="36842" xr:uid="{CD826A32-0043-4C36-8091-0A3DF97147EF}"/>
    <cellStyle name="60% - Énfasis6 3 5" xfId="5848" xr:uid="{42AB672E-6189-4EEA-9574-D1C049146AB4}"/>
    <cellStyle name="60% - Énfasis6 3 5 2" xfId="8717" xr:uid="{FD5AB7B4-5EF5-456B-8DE6-9DD716107C86}"/>
    <cellStyle name="60% - Énfasis6 3 5 2 2" xfId="23085" xr:uid="{99016C71-381C-4822-9FCC-6C8A6D63DC83}"/>
    <cellStyle name="60% - Énfasis6 3 5 2 3" xfId="28949" xr:uid="{674D457B-3A88-4EE8-8208-2A8DEA35ADE4}"/>
    <cellStyle name="60% - Énfasis6 3 5 2 4" xfId="34831" xr:uid="{B632F013-AF36-445E-B714-6DB395B2CEE4}"/>
    <cellStyle name="60% - Énfasis6 3 5 2 5" xfId="40695" xr:uid="{EEF8EF97-5EC2-41FC-ACBC-A3745AABB0D1}"/>
    <cellStyle name="60% - Énfasis6 3 5 3" xfId="20300" xr:uid="{D4376FB4-4628-42DE-94F0-9ED96F330FA8}"/>
    <cellStyle name="60% - Énfasis6 3 5 4" xfId="26099" xr:uid="{F1B26B01-2D95-4AA4-ADCD-681984D64671}"/>
    <cellStyle name="60% - Énfasis6 3 5 5" xfId="31974" xr:uid="{49DC18A0-A048-4844-A22E-1DB2577B7FD4}"/>
    <cellStyle name="60% - Énfasis6 3 5 6" xfId="37840" xr:uid="{1C1A30D0-DD91-486D-85BC-42F9ACEA501B}"/>
    <cellStyle name="60% - Énfasis6 3 6" xfId="6449" xr:uid="{8D218FD3-54B2-4B74-8C8D-34C26EC9BB1D}"/>
    <cellStyle name="60% - Énfasis6 3 6 2" xfId="9309" xr:uid="{46882661-9D15-40FF-9A05-00C606D25E03}"/>
    <cellStyle name="60% - Énfasis6 3 6 2 2" xfId="23672" xr:uid="{400832F3-9B51-4A13-94AF-04A77C01EE68}"/>
    <cellStyle name="60% - Énfasis6 3 6 2 3" xfId="29540" xr:uid="{035D8096-9380-43F6-B391-852A3BED9C9F}"/>
    <cellStyle name="60% - Énfasis6 3 6 2 4" xfId="35422" xr:uid="{F5977F45-CA5B-4EC4-B95F-52AD7597F5A7}"/>
    <cellStyle name="60% - Énfasis6 3 6 2 5" xfId="41281" xr:uid="{D5147AB6-9883-459B-8DF9-A95D7FBE8E4D}"/>
    <cellStyle name="60% - Énfasis6 3 6 3" xfId="20888" xr:uid="{A8AEACC1-F5BF-4387-A152-D4B2825E2B72}"/>
    <cellStyle name="60% - Énfasis6 3 6 4" xfId="26698" xr:uid="{90A8D31F-CA68-42AC-A9DF-6CBEFE68BBC0}"/>
    <cellStyle name="60% - Énfasis6 3 6 5" xfId="32573" xr:uid="{7904303C-E6F5-4B53-9385-2FDFA59EB44E}"/>
    <cellStyle name="60% - Énfasis6 3 6 6" xfId="38437" xr:uid="{BF62D8C8-B4D1-4991-9C9D-EF9C02D6C282}"/>
    <cellStyle name="60% - Énfasis6 3 7" xfId="6734" xr:uid="{8FDE1974-858C-4748-820E-26735499905F}"/>
    <cellStyle name="60% - Énfasis6 3 7 2" xfId="21158" xr:uid="{1D10EB9B-8E53-49E9-AFD1-FA5C6ED914D5}"/>
    <cellStyle name="60% - Énfasis6 3 7 3" xfId="26973" xr:uid="{717EB52C-6703-421A-815B-9828045C344E}"/>
    <cellStyle name="60% - Énfasis6 3 7 4" xfId="32849" xr:uid="{06FF500C-0379-4AD4-935A-581D1D563A1A}"/>
    <cellStyle name="60% - Énfasis6 3 7 5" xfId="38713" xr:uid="{E717DCAC-DF13-4F51-87DC-59C69D6BB7D9}"/>
    <cellStyle name="60% - Énfasis6 3 8" xfId="18396" xr:uid="{0B9ADB3C-F2C6-4196-BEF3-A1BFB8AE317B}"/>
    <cellStyle name="60% - Énfasis6 3 9" xfId="24105" xr:uid="{EC2139B1-9FFB-4A66-9520-5157579F0B4B}"/>
    <cellStyle name="60% - Énfasis6 30" xfId="6271" xr:uid="{CBBD1F13-DAD6-49F6-AF2D-D674A9038061}"/>
    <cellStyle name="60% - Énfasis6 30 2" xfId="9140" xr:uid="{694D05BF-13F3-4B6B-AD6E-D4A5C8C787E3}"/>
    <cellStyle name="60% - Énfasis6 30 2 2" xfId="23504" xr:uid="{07A020CE-4085-4D2B-B6DE-1E15695FAA91}"/>
    <cellStyle name="60% - Énfasis6 30 2 3" xfId="29371" xr:uid="{7424643B-A36C-42EB-86E8-42F08ED80E88}"/>
    <cellStyle name="60% - Énfasis6 30 2 4" xfId="35253" xr:uid="{BC86E3AB-7648-4A41-86D1-48C2E3BB8898}"/>
    <cellStyle name="60% - Énfasis6 30 2 5" xfId="41112" xr:uid="{510E9D65-6784-4340-BED1-5F9F90FDE601}"/>
    <cellStyle name="60% - Énfasis6 30 3" xfId="20712" xr:uid="{6441BA09-98D2-46BA-B321-D34BFA7967D0}"/>
    <cellStyle name="60% - Énfasis6 30 4" xfId="26521" xr:uid="{6A8BE67E-A72F-4897-8ED6-1061F7D6577E}"/>
    <cellStyle name="60% - Énfasis6 30 5" xfId="32396" xr:uid="{24D2070F-3B86-4C70-A274-CF62C5F1A62D}"/>
    <cellStyle name="60% - Énfasis6 30 6" xfId="38261" xr:uid="{A06B1DB8-D41A-412E-B27A-A94428412B6A}"/>
    <cellStyle name="60% - Énfasis6 31" xfId="6291" xr:uid="{0CA7E9E3-11FC-4FB7-A5C2-BF012976FF8E}"/>
    <cellStyle name="60% - Énfasis6 31 2" xfId="9160" xr:uid="{E7C27A1E-9A46-4F55-84BE-6A81B1C34B38}"/>
    <cellStyle name="60% - Énfasis6 31 2 2" xfId="23524" xr:uid="{EE8048E2-096A-4847-BC67-BCA4E3189C1C}"/>
    <cellStyle name="60% - Énfasis6 31 2 3" xfId="29391" xr:uid="{1F03F40B-876B-454B-A64D-3AECF27DAE25}"/>
    <cellStyle name="60% - Énfasis6 31 2 4" xfId="35273" xr:uid="{530F8CD6-0D73-4EA6-A80C-75D7319BCF85}"/>
    <cellStyle name="60% - Énfasis6 31 2 5" xfId="41132" xr:uid="{A18C9F0F-A6FD-43D3-9992-85C97B55D4FD}"/>
    <cellStyle name="60% - Énfasis6 31 3" xfId="20732" xr:uid="{88F4B3E1-AE42-4811-B942-73C9E7196111}"/>
    <cellStyle name="60% - Énfasis6 31 4" xfId="26541" xr:uid="{077A2ED6-8108-4A0A-B5B8-04519C537057}"/>
    <cellStyle name="60% - Énfasis6 31 5" xfId="32416" xr:uid="{8C320AC8-507F-4EF0-8A4F-BC6836A0BA3C}"/>
    <cellStyle name="60% - Énfasis6 31 6" xfId="38281" xr:uid="{B7CE7936-9D64-482C-B4D9-F748D8D4DEC0}"/>
    <cellStyle name="60% - Énfasis6 32" xfId="6315" xr:uid="{897BB9C2-B937-421B-83B0-84A3CE52B23A}"/>
    <cellStyle name="60% - Énfasis6 32 2" xfId="9183" xr:uid="{CA035CC6-E687-4CC2-BE89-3CA21D49BB67}"/>
    <cellStyle name="60% - Énfasis6 32 2 2" xfId="23547" xr:uid="{85AF8674-2A14-42B5-A22C-281A8F08B7BE}"/>
    <cellStyle name="60% - Énfasis6 32 2 3" xfId="29414" xr:uid="{79378BF3-34E9-4E4B-A65A-BF61B7676478}"/>
    <cellStyle name="60% - Énfasis6 32 2 4" xfId="35296" xr:uid="{D687A250-27AC-4409-95CC-7A3DC2837A7F}"/>
    <cellStyle name="60% - Énfasis6 32 2 5" xfId="41155" xr:uid="{0AFDB23F-AA45-401F-A056-3C46DDA2AF5D}"/>
    <cellStyle name="60% - Énfasis6 32 3" xfId="20756" xr:uid="{84F5AE72-0ED6-44A4-80A8-0514FBC8D67F}"/>
    <cellStyle name="60% - Énfasis6 32 4" xfId="26565" xr:uid="{30CF7F09-B8F9-44F8-96C7-B9D58D7B8807}"/>
    <cellStyle name="60% - Énfasis6 32 5" xfId="32440" xr:uid="{78D94098-8F1A-42C6-B790-BC275A1B46ED}"/>
    <cellStyle name="60% - Énfasis6 32 6" xfId="38305" xr:uid="{9356C32B-CCBF-44DB-B2BF-181A175E972C}"/>
    <cellStyle name="60% - Énfasis6 33" xfId="6347" xr:uid="{CBFC45E0-C064-44C9-AC90-F282FFB318BB}"/>
    <cellStyle name="60% - Énfasis6 33 2" xfId="9212" xr:uid="{DC6B60EF-7461-49A7-A869-150025223545}"/>
    <cellStyle name="60% - Énfasis6 33 2 2" xfId="23575" xr:uid="{A2560B4F-AE61-4C63-8A51-98B29F4B0700}"/>
    <cellStyle name="60% - Énfasis6 33 2 3" xfId="29443" xr:uid="{CA200739-4C8C-4C8D-89EA-CF138C4AFA31}"/>
    <cellStyle name="60% - Énfasis6 33 2 4" xfId="35325" xr:uid="{24380869-E8AE-419F-B1B0-625AD2F8E2DF}"/>
    <cellStyle name="60% - Énfasis6 33 2 5" xfId="41184" xr:uid="{281687EC-3D24-4EFD-9A3E-B20B31C4C548}"/>
    <cellStyle name="60% - Énfasis6 33 3" xfId="20788" xr:uid="{11D40C7C-37CF-4F33-A1B2-65A461992328}"/>
    <cellStyle name="60% - Énfasis6 33 4" xfId="26597" xr:uid="{22A6F733-9BEE-401A-84F1-EDFA0200FF5C}"/>
    <cellStyle name="60% - Énfasis6 33 5" xfId="32472" xr:uid="{9880ED85-BACF-4BB6-B4B3-D77ED1CA633E}"/>
    <cellStyle name="60% - Énfasis6 33 6" xfId="38336" xr:uid="{485D001D-FA84-4F0E-AD4E-1B176F05FDE3}"/>
    <cellStyle name="60% - Énfasis6 34" xfId="6367" xr:uid="{A910E20B-68FB-494E-BAD5-0CE34C4F019B}"/>
    <cellStyle name="60% - Énfasis6 34 2" xfId="9232" xr:uid="{673F6272-F480-4205-A0D6-638E30653BE1}"/>
    <cellStyle name="60% - Énfasis6 34 2 2" xfId="23595" xr:uid="{548D7961-8A13-42D0-ADF0-22FCB974DC24}"/>
    <cellStyle name="60% - Énfasis6 34 2 3" xfId="29463" xr:uid="{ABCD3347-F242-41E0-98CF-3DA878431FF0}"/>
    <cellStyle name="60% - Énfasis6 34 2 4" xfId="35345" xr:uid="{D2A3470B-AA07-4683-A771-997E39907A55}"/>
    <cellStyle name="60% - Énfasis6 34 2 5" xfId="41204" xr:uid="{A534920D-B177-4C55-BA4C-9B9D3DBDD25F}"/>
    <cellStyle name="60% - Énfasis6 34 3" xfId="20808" xr:uid="{DFFFB9A1-2791-42F5-AB2C-BC1755156F13}"/>
    <cellStyle name="60% - Énfasis6 34 4" xfId="26617" xr:uid="{1B59C7F2-44FC-438E-835E-12A17E7B44A1}"/>
    <cellStyle name="60% - Énfasis6 34 5" xfId="32492" xr:uid="{7CD66DBF-ACF2-47B9-9078-791F8883F567}"/>
    <cellStyle name="60% - Énfasis6 34 6" xfId="38356" xr:uid="{F1252592-EB8D-488B-834C-6E5E32D6D6D1}"/>
    <cellStyle name="60% - Énfasis6 35" xfId="6387" xr:uid="{59062F3F-B84D-4067-BACC-F67918087733}"/>
    <cellStyle name="60% - Énfasis6 35 2" xfId="9252" xr:uid="{33101092-6768-4682-BDA0-38CA68D5AB7F}"/>
    <cellStyle name="60% - Énfasis6 35 2 2" xfId="23615" xr:uid="{5FBEBE53-F9CB-457F-8474-44C07BA983B1}"/>
    <cellStyle name="60% - Énfasis6 35 2 3" xfId="29483" xr:uid="{534137AD-3097-47BC-A086-3248D65C2836}"/>
    <cellStyle name="60% - Énfasis6 35 2 4" xfId="35365" xr:uid="{F983F455-A427-4A8A-BBBC-29E773856C0A}"/>
    <cellStyle name="60% - Énfasis6 35 2 5" xfId="41224" xr:uid="{A4E7A026-4372-41F3-95A5-BB7E69379A4B}"/>
    <cellStyle name="60% - Énfasis6 35 3" xfId="20828" xr:uid="{CB5CBB83-5D67-47BA-8C59-90E72F9BA396}"/>
    <cellStyle name="60% - Énfasis6 35 4" xfId="26637" xr:uid="{CEA07FF0-6654-4234-AE1B-7048FB5FB01B}"/>
    <cellStyle name="60% - Énfasis6 35 5" xfId="32512" xr:uid="{ADA4BB9A-BF79-4EBE-9C9C-925C1FF13B36}"/>
    <cellStyle name="60% - Énfasis6 35 6" xfId="38376" xr:uid="{FA6285BB-9169-41DC-93C8-A6AE2A2B20EE}"/>
    <cellStyle name="60% - Énfasis6 36" xfId="6408" xr:uid="{AC7CF199-EFC5-43F4-AF7E-E18492DF8C5C}"/>
    <cellStyle name="60% - Énfasis6 36 2" xfId="9273" xr:uid="{D37820DD-AC6E-432E-A467-573E9C331C71}"/>
    <cellStyle name="60% - Énfasis6 36 2 2" xfId="23636" xr:uid="{F5310F97-B975-4F40-9000-7CCF05427F04}"/>
    <cellStyle name="60% - Énfasis6 36 2 3" xfId="29504" xr:uid="{0515EC10-1D25-4FF9-9613-26134F67CA08}"/>
    <cellStyle name="60% - Énfasis6 36 2 4" xfId="35386" xr:uid="{9DB94165-32CE-478B-A2C8-D5028BDBBEE0}"/>
    <cellStyle name="60% - Énfasis6 36 2 5" xfId="41245" xr:uid="{72344BFA-B5B2-43C6-9441-84328742A620}"/>
    <cellStyle name="60% - Énfasis6 36 3" xfId="20849" xr:uid="{65DF1990-4409-4B5C-A342-0E5362BF3987}"/>
    <cellStyle name="60% - Énfasis6 36 4" xfId="26658" xr:uid="{5307C831-29B6-40E9-9E7A-B703AC4CADE4}"/>
    <cellStyle name="60% - Énfasis6 36 5" xfId="32533" xr:uid="{155BD948-D41D-42C9-A5D4-594C269C7CE5}"/>
    <cellStyle name="60% - Énfasis6 36 6" xfId="38397" xr:uid="{CBDDA293-0D64-46F0-A6D7-C85C639585B6}"/>
    <cellStyle name="60% - Énfasis6 37" xfId="6437" xr:uid="{9AFB91D7-4F4E-4B30-A3AA-C7AC22C93948}"/>
    <cellStyle name="60% - Énfasis6 37 2" xfId="9299" xr:uid="{CB4061B0-850B-463D-A9FB-8C2D1B083777}"/>
    <cellStyle name="60% - Énfasis6 37 2 2" xfId="23662" xr:uid="{9B7715A1-B643-4AE4-A8CC-974BFB1F553E}"/>
    <cellStyle name="60% - Énfasis6 37 2 3" xfId="29530" xr:uid="{228A7DAA-75D1-45FA-AFDA-BE1737E1D0E0}"/>
    <cellStyle name="60% - Énfasis6 37 2 4" xfId="35412" xr:uid="{093B64E2-27CE-4652-89DC-838A03D476D6}"/>
    <cellStyle name="60% - Énfasis6 37 2 5" xfId="41271" xr:uid="{140B3EB9-20CE-471E-B12E-350C8A37943D}"/>
    <cellStyle name="60% - Énfasis6 37 3" xfId="20878" xr:uid="{55B3E270-5A48-484F-8B56-C44E4CBD62B1}"/>
    <cellStyle name="60% - Énfasis6 37 4" xfId="26687" xr:uid="{5E02D7C4-B51E-42DD-A3EE-4D1A5E8EA61C}"/>
    <cellStyle name="60% - Énfasis6 37 5" xfId="32562" xr:uid="{558B4FD0-7DED-4D4B-B72C-69BF44022B0D}"/>
    <cellStyle name="60% - Énfasis6 37 6" xfId="38426" xr:uid="{8102BC6C-AF7A-47A6-9756-CBED4B0CBD68}"/>
    <cellStyle name="60% - Énfasis6 38" xfId="6471" xr:uid="{1A6BF520-719B-42B8-A2BB-78E1423453A3}"/>
    <cellStyle name="60% - Énfasis6 38 2" xfId="9331" xr:uid="{2D4CC821-C9A6-4A7F-A8C1-A424FA997126}"/>
    <cellStyle name="60% - Énfasis6 38 2 2" xfId="23694" xr:uid="{091D5C4D-B83F-4FD5-A1FD-84816C867ADD}"/>
    <cellStyle name="60% - Énfasis6 38 2 3" xfId="29562" xr:uid="{4B8A7308-9517-4896-B3B2-5CD1AFED789E}"/>
    <cellStyle name="60% - Énfasis6 38 2 4" xfId="35444" xr:uid="{F1CCED10-D8BC-4541-8900-68E5CEFFE65B}"/>
    <cellStyle name="60% - Énfasis6 38 2 5" xfId="41303" xr:uid="{10850913-6D0F-437C-A747-1857B2994E1F}"/>
    <cellStyle name="60% - Énfasis6 38 3" xfId="20909" xr:uid="{EC4B6526-6B5F-4DAE-89A0-AAA72F4B520D}"/>
    <cellStyle name="60% - Énfasis6 38 4" xfId="26720" xr:uid="{65E18CBC-BF0D-45EC-8E47-838DCC2042B2}"/>
    <cellStyle name="60% - Énfasis6 38 5" xfId="32595" xr:uid="{1A1DD4E6-91A2-45D4-9145-2744D582F6E7}"/>
    <cellStyle name="60% - Énfasis6 38 6" xfId="38459" xr:uid="{0738C949-C32F-47C0-BAFB-3D182ACB5E5D}"/>
    <cellStyle name="60% - Énfasis6 39" xfId="6491" xr:uid="{15E3659B-8DED-4889-A7EF-A8E6569FD9B6}"/>
    <cellStyle name="60% - Énfasis6 39 2" xfId="9351" xr:uid="{CE2A109E-C842-4CE8-8EFC-EC0F1B603AAB}"/>
    <cellStyle name="60% - Énfasis6 39 2 2" xfId="23714" xr:uid="{6059859B-FC39-44C7-9880-929DB840E81F}"/>
    <cellStyle name="60% - Énfasis6 39 2 3" xfId="29582" xr:uid="{2147B68F-D728-4BDC-AD0F-BEA372E595D2}"/>
    <cellStyle name="60% - Énfasis6 39 2 4" xfId="35464" xr:uid="{266FC218-C44A-4184-9AA2-AF4276504948}"/>
    <cellStyle name="60% - Énfasis6 39 2 5" xfId="41323" xr:uid="{9F1B43BC-F09C-4873-A68A-8A2458D24AFE}"/>
    <cellStyle name="60% - Énfasis6 39 3" xfId="20929" xr:uid="{C97A14CB-65B0-4761-A1B5-12D851B8FD1A}"/>
    <cellStyle name="60% - Énfasis6 39 4" xfId="26740" xr:uid="{2E67EFD0-55ED-4069-9BD4-09D26E3345E4}"/>
    <cellStyle name="60% - Énfasis6 39 5" xfId="32615" xr:uid="{FB652ED3-5829-464C-9552-0EB66F8E7040}"/>
    <cellStyle name="60% - Énfasis6 39 6" xfId="38479" xr:uid="{83D89596-B188-4485-9ABD-5DFAF3207E92}"/>
    <cellStyle name="60% - Énfasis6 4" xfId="3901" xr:uid="{65FBC4EA-261B-44CE-8B36-0108501EBCA8}"/>
    <cellStyle name="60% - Énfasis6 4 10" xfId="35893" xr:uid="{BC3ED2CD-0197-44A8-814D-10C51355DFA7}"/>
    <cellStyle name="60% - Énfasis6 4 2" xfId="4098" xr:uid="{E49D2A40-AF93-4549-AFB4-15E94A30CF7F}"/>
    <cellStyle name="60% - Énfasis6 4 2 2" xfId="4576" xr:uid="{0FAB6AFC-2038-4162-B964-B710A9CE09E0}"/>
    <cellStyle name="60% - Énfasis6 4 2 2 2" xfId="5544" xr:uid="{2CEE30AC-3BB0-4F93-A1BF-7F224A8DAE8B}"/>
    <cellStyle name="60% - Énfasis6 4 2 2 2 2" xfId="8411" xr:uid="{B8C8065D-E5AF-46FB-8771-F4A33F315EFC}"/>
    <cellStyle name="60% - Énfasis6 4 2 2 2 2 2" xfId="22786" xr:uid="{3C506503-23D7-461A-9BE7-B350F92ACFD1}"/>
    <cellStyle name="60% - Énfasis6 4 2 2 2 2 3" xfId="28644" xr:uid="{2C39B454-390C-4762-AC5C-2DBD3215CA65}"/>
    <cellStyle name="60% - Énfasis6 4 2 2 2 2 4" xfId="34526" xr:uid="{53B7D254-984E-4B57-ACAC-5059C7AB09A8}"/>
    <cellStyle name="60% - Énfasis6 4 2 2 2 2 5" xfId="40390" xr:uid="{005636F3-BCFA-45F7-A678-1A913CBE2129}"/>
    <cellStyle name="60% - Énfasis6 4 2 2 2 3" xfId="20004" xr:uid="{6E604B0A-1046-4FBF-88CA-93EADE2526E8}"/>
    <cellStyle name="60% - Énfasis6 4 2 2 2 4" xfId="25795" xr:uid="{96CF02EF-D5F7-4C78-85D0-3F7C49521C23}"/>
    <cellStyle name="60% - Énfasis6 4 2 2 2 5" xfId="31669" xr:uid="{D3497180-829E-4338-BC10-9397B0310D79}"/>
    <cellStyle name="60% - Énfasis6 4 2 2 2 6" xfId="37539" xr:uid="{A37196A0-0FA8-43C9-BFA0-4AD52045F6CA}"/>
    <cellStyle name="60% - Énfasis6 4 2 2 3" xfId="7439" xr:uid="{1E40BDDC-3B1E-44F0-9CF6-A7ABB3B3937E}"/>
    <cellStyle name="60% - Énfasis6 4 2 2 3 2" xfId="21841" xr:uid="{214B1738-C495-4D7B-996C-9556BD394466}"/>
    <cellStyle name="60% - Énfasis6 4 2 2 3 3" xfId="27673" xr:uid="{4FBED3B0-25F6-409D-A176-C19828A8D39C}"/>
    <cellStyle name="60% - Énfasis6 4 2 2 3 4" xfId="33555" xr:uid="{09D40B32-03E1-4E90-9315-0FC4F88DA7A6}"/>
    <cellStyle name="60% - Énfasis6 4 2 2 3 5" xfId="39419" xr:uid="{30E65252-8AD1-4770-B57A-734E75737D30}"/>
    <cellStyle name="60% - Énfasis6 4 2 2 4" xfId="19072" xr:uid="{D59935B9-71A9-4351-B7D3-19963B3A4503}"/>
    <cellStyle name="60% - Énfasis6 4 2 2 5" xfId="24824" xr:uid="{C159B2A8-F2B9-4772-8F81-BA982C03507D}"/>
    <cellStyle name="60% - Énfasis6 4 2 2 6" xfId="30701" xr:uid="{1BBB7E37-20AF-4D07-B74B-996DE25295F0}"/>
    <cellStyle name="60% - Énfasis6 4 2 2 7" xfId="36582" xr:uid="{D3E3E4A9-36FE-43D3-A3B5-3A9130AE299B}"/>
    <cellStyle name="60% - Énfasis6 4 2 3" xfId="5059" xr:uid="{787C35C9-52FC-4993-BA0C-DB4291C9FA64}"/>
    <cellStyle name="60% - Énfasis6 4 2 3 2" xfId="7926" xr:uid="{99D85BFA-755F-484E-BF0F-3AD81E4F53E3}"/>
    <cellStyle name="60% - Énfasis6 4 2 3 2 2" xfId="22311" xr:uid="{377B9E52-DC11-4622-A2DB-1A2EF7A5CF37}"/>
    <cellStyle name="60% - Énfasis6 4 2 3 2 3" xfId="28159" xr:uid="{D6174294-CA1D-4351-9588-333D422DC59B}"/>
    <cellStyle name="60% - Énfasis6 4 2 3 2 4" xfId="34041" xr:uid="{C8F2FCBD-D862-486C-91AE-1AFF98970A93}"/>
    <cellStyle name="60% - Énfasis6 4 2 3 2 5" xfId="39905" xr:uid="{37D9E8C9-A009-48E4-A2D9-2AC4F727BC77}"/>
    <cellStyle name="60% - Énfasis6 4 2 3 3" xfId="19536" xr:uid="{6143CFC7-4880-4812-BA38-C8FE2FF1738B}"/>
    <cellStyle name="60% - Énfasis6 4 2 3 4" xfId="25310" xr:uid="{D256BE1C-51C5-49E3-8D8D-97BA5FFD64E9}"/>
    <cellStyle name="60% - Énfasis6 4 2 3 5" xfId="31184" xr:uid="{55A375A0-BABC-42C3-8FFF-8BA7B806C8A9}"/>
    <cellStyle name="60% - Énfasis6 4 2 3 6" xfId="37062" xr:uid="{8A7854A9-6491-465B-8AFB-3D7280987FE3}"/>
    <cellStyle name="60% - Énfasis6 4 2 4" xfId="6954" xr:uid="{DD17C139-7BE1-4880-84D0-65982A9AD745}"/>
    <cellStyle name="60% - Énfasis6 4 2 4 2" xfId="21374" xr:uid="{279FB1B2-F153-4421-B5AE-FE587F03BD12}"/>
    <cellStyle name="60% - Énfasis6 4 2 4 3" xfId="27192" xr:uid="{9FC0436C-B49A-4622-9FD5-67EBD8543618}"/>
    <cellStyle name="60% - Énfasis6 4 2 4 4" xfId="33070" xr:uid="{56E6320D-5DB9-4F31-9B81-15EF22C4C634}"/>
    <cellStyle name="60% - Énfasis6 4 2 4 5" xfId="38934" xr:uid="{D953F1D3-4AB3-4C0E-A12A-77A8B1A96B34}"/>
    <cellStyle name="60% - Énfasis6 4 2 5" xfId="18628" xr:uid="{27F4ADE5-824D-468E-B871-529E2F973213}"/>
    <cellStyle name="60% - Énfasis6 4 2 6" xfId="24341" xr:uid="{217842A9-204D-47D9-ABBD-120D6E417238}"/>
    <cellStyle name="60% - Énfasis6 4 2 7" xfId="30219" xr:uid="{9E185C9F-632B-46F9-B060-E188B6BF3BC3}"/>
    <cellStyle name="60% - Énfasis6 4 2 8" xfId="36098" xr:uid="{7F6BA7E2-A5A8-4027-A721-F4ABFCADCF1A}"/>
    <cellStyle name="60% - Énfasis6 4 3" xfId="4382" xr:uid="{4F1F8B60-F445-4B70-B5A4-350D87D3ADE1}"/>
    <cellStyle name="60% - Énfasis6 4 3 2" xfId="5348" xr:uid="{1316EAA3-5481-4BE9-9BA6-16825F3CF4DD}"/>
    <cellStyle name="60% - Énfasis6 4 3 2 2" xfId="8215" xr:uid="{773A02FD-2C2D-4ED4-8BB5-CBACAA799594}"/>
    <cellStyle name="60% - Énfasis6 4 3 2 2 2" xfId="22591" xr:uid="{CC2CCF46-474E-4DAF-8539-1F1DB56A4A4D}"/>
    <cellStyle name="60% - Énfasis6 4 3 2 2 3" xfId="28448" xr:uid="{563A6E1D-7EEC-44A0-A069-F525939E64B0}"/>
    <cellStyle name="60% - Énfasis6 4 3 2 2 4" xfId="34330" xr:uid="{9FFC51BD-8C4E-4AC6-833F-B96F93FB2AA7}"/>
    <cellStyle name="60% - Énfasis6 4 3 2 2 5" xfId="40194" xr:uid="{71656E8D-FCCC-45E8-8D81-818A686A4E3E}"/>
    <cellStyle name="60% - Énfasis6 4 3 2 3" xfId="19815" xr:uid="{700D2ADE-3BC3-4023-989F-6387004F6E31}"/>
    <cellStyle name="60% - Énfasis6 4 3 2 4" xfId="25599" xr:uid="{23A7DBAB-FC9C-4F1F-954F-2A1F2FB2D735}"/>
    <cellStyle name="60% - Énfasis6 4 3 2 5" xfId="31473" xr:uid="{493CD800-FBB5-4FB1-823E-6D1131E8E578}"/>
    <cellStyle name="60% - Énfasis6 4 3 2 6" xfId="37344" xr:uid="{34B75E41-EC56-456D-BD3F-4542D9E41BA9}"/>
    <cellStyle name="60% - Énfasis6 4 3 3" xfId="7243" xr:uid="{925DE4AD-534E-4A7E-AA3A-D1C931469FE6}"/>
    <cellStyle name="60% - Énfasis6 4 3 3 2" xfId="21650" xr:uid="{EBB9883D-8751-4693-92AC-D872D34D4D36}"/>
    <cellStyle name="60% - Énfasis6 4 3 3 3" xfId="27477" xr:uid="{E74B2A5B-B024-4155-9822-2937528C9BA7}"/>
    <cellStyle name="60% - Énfasis6 4 3 3 4" xfId="33359" xr:uid="{29B574E3-54EF-471E-A551-3278F9D410F4}"/>
    <cellStyle name="60% - Énfasis6 4 3 3 5" xfId="39223" xr:uid="{D832AADB-49BC-459F-A10B-4FA119708DA2}"/>
    <cellStyle name="60% - Énfasis6 4 3 4" xfId="18885" xr:uid="{AAD99476-B887-4DEF-918D-6C6848DF68B1}"/>
    <cellStyle name="60% - Énfasis6 4 3 5" xfId="24628" xr:uid="{FA000FAC-A4BC-4D06-BF9F-A8DCF0703131}"/>
    <cellStyle name="60% - Énfasis6 4 3 6" xfId="30507" xr:uid="{6AF615F9-169C-435B-95A2-1C5655A8B64B}"/>
    <cellStyle name="60% - Énfasis6 4 3 7" xfId="36387" xr:uid="{102EA5BD-FE99-4283-8108-FE272BC0AE66}"/>
    <cellStyle name="60% - Énfasis6 4 4" xfId="4864" xr:uid="{FA4EBCDB-C2FF-4DCA-BE79-9CA88F1AB1DD}"/>
    <cellStyle name="60% - Énfasis6 4 4 2" xfId="7730" xr:uid="{F295065F-1FF5-40B9-92CB-25162FEC2119}"/>
    <cellStyle name="60% - Énfasis6 4 4 2 2" xfId="22120" xr:uid="{609B1402-B9F2-4727-89FE-4930718C9BF6}"/>
    <cellStyle name="60% - Énfasis6 4 4 2 3" xfId="27963" xr:uid="{D8BC6BF5-54D8-4DD5-AAFC-A3BE9E6310F1}"/>
    <cellStyle name="60% - Énfasis6 4 4 2 4" xfId="33845" xr:uid="{69E3977D-E93E-4695-AEF8-C8C4A201D457}"/>
    <cellStyle name="60% - Énfasis6 4 4 2 5" xfId="39709" xr:uid="{F6E3BD31-906F-452F-8176-4B89355A1A64}"/>
    <cellStyle name="60% - Énfasis6 4 4 3" xfId="19346" xr:uid="{A51BFDF8-051D-4D6C-BBB9-C757F4601668}"/>
    <cellStyle name="60% - Énfasis6 4 4 4" xfId="25114" xr:uid="{288E1D18-F60B-4573-900B-13D7FF0D0229}"/>
    <cellStyle name="60% - Énfasis6 4 4 5" xfId="30988" xr:uid="{F6968D2A-DF2B-4311-8F51-FB4CAC704D84}"/>
    <cellStyle name="60% - Énfasis6 4 4 6" xfId="36867" xr:uid="{AC13050F-541E-4FF8-8CDA-653BAF7873D5}"/>
    <cellStyle name="60% - Énfasis6 4 5" xfId="5873" xr:uid="{F3D55A6A-6B36-4ECB-ABF5-107A20D7B4F1}"/>
    <cellStyle name="60% - Énfasis6 4 5 2" xfId="8742" xr:uid="{BCDC4C72-B6E0-49A0-9F2A-DD421CF8197D}"/>
    <cellStyle name="60% - Énfasis6 4 5 2 2" xfId="23110" xr:uid="{E325B21B-EF54-4CE9-AC99-179550695E8D}"/>
    <cellStyle name="60% - Énfasis6 4 5 2 3" xfId="28974" xr:uid="{8FA825E2-81FF-4C56-887B-F4F23D4482A0}"/>
    <cellStyle name="60% - Énfasis6 4 5 2 4" xfId="34856" xr:uid="{D5A51F64-89A7-49B4-AEE2-CD0AD1B2A1BD}"/>
    <cellStyle name="60% - Énfasis6 4 5 2 5" xfId="40720" xr:uid="{EF5B0028-B4CA-42BE-B75A-6A3967024C96}"/>
    <cellStyle name="60% - Énfasis6 4 5 3" xfId="20325" xr:uid="{50B3D938-257B-4ABC-A2D5-A8D7B59D9B21}"/>
    <cellStyle name="60% - Énfasis6 4 5 4" xfId="26124" xr:uid="{4DC9FA20-3D4E-4149-94AA-C22698F81912}"/>
    <cellStyle name="60% - Énfasis6 4 5 5" xfId="31999" xr:uid="{9C0D0F71-F3FB-40DD-A830-7FE7685ABF0F}"/>
    <cellStyle name="60% - Énfasis6 4 5 6" xfId="37865" xr:uid="{8FE446DD-2074-4B3D-90C7-9D9B83E11A64}"/>
    <cellStyle name="60% - Énfasis6 4 6" xfId="6759" xr:uid="{24E8DECF-0552-4067-BD76-81718CA58234}"/>
    <cellStyle name="60% - Énfasis6 4 6 2" xfId="21183" xr:uid="{E1854E4F-1E0E-44EB-9845-17E5D0825072}"/>
    <cellStyle name="60% - Énfasis6 4 6 3" xfId="26998" xr:uid="{4B821574-B238-40EB-8DAE-40D1F7180783}"/>
    <cellStyle name="60% - Énfasis6 4 6 4" xfId="32874" xr:uid="{711D4B0F-6D07-41D4-94B5-E237F4BB3219}"/>
    <cellStyle name="60% - Énfasis6 4 6 5" xfId="38738" xr:uid="{8195820C-9E80-4133-A0A3-FCC7B15738C3}"/>
    <cellStyle name="60% - Énfasis6 4 7" xfId="18425" xr:uid="{2E31C452-835D-4F75-9267-FFCE6AF266D0}"/>
    <cellStyle name="60% - Énfasis6 4 8" xfId="24134" xr:uid="{79DC66B3-5B5B-4C9D-98FD-3F246283D38A}"/>
    <cellStyle name="60% - Énfasis6 4 9" xfId="30012" xr:uid="{C1D94C9B-CDCD-42AF-AD6B-D3EC0D91EC08}"/>
    <cellStyle name="60% - Énfasis6 40" xfId="6511" xr:uid="{BFD05BF7-5E82-4319-AFE5-E5DC48E89122}"/>
    <cellStyle name="60% - Énfasis6 40 2" xfId="9371" xr:uid="{08437D29-3083-4184-91F7-6B667754719B}"/>
    <cellStyle name="60% - Énfasis6 40 2 2" xfId="23734" xr:uid="{50DB697B-ACCD-4A84-B099-75B12C289729}"/>
    <cellStyle name="60% - Énfasis6 40 2 3" xfId="29602" xr:uid="{6D594AAB-1B57-40BB-B456-781E7EC04D42}"/>
    <cellStyle name="60% - Énfasis6 40 2 4" xfId="35484" xr:uid="{1EFE5856-732C-4078-934D-3880F18288B5}"/>
    <cellStyle name="60% - Énfasis6 40 2 5" xfId="41343" xr:uid="{25446B8E-BE50-4B03-B245-FF8F8175FAED}"/>
    <cellStyle name="60% - Énfasis6 40 3" xfId="20949" xr:uid="{783F3BBA-FDFA-4E4D-B47A-9A945A520A64}"/>
    <cellStyle name="60% - Énfasis6 40 4" xfId="26760" xr:uid="{99D4795A-4161-4191-B0A0-E7C5762215DB}"/>
    <cellStyle name="60% - Énfasis6 40 5" xfId="32635" xr:uid="{2C3C7504-29E2-4183-9643-601A78F87785}"/>
    <cellStyle name="60% - Énfasis6 40 6" xfId="38499" xr:uid="{3C90639B-F2F6-4C55-84A7-CBDDA7EF6166}"/>
    <cellStyle name="60% - Énfasis6 41" xfId="6531" xr:uid="{9FAAC597-1EEE-4CC1-867E-DB073413D106}"/>
    <cellStyle name="60% - Énfasis6 41 2" xfId="9391" xr:uid="{C793BA79-E124-4574-BD5E-1FD03A4DDBDD}"/>
    <cellStyle name="60% - Énfasis6 41 2 2" xfId="23754" xr:uid="{0010BCC6-16D1-4651-96AE-3DF1BC4EF50F}"/>
    <cellStyle name="60% - Énfasis6 41 2 3" xfId="29622" xr:uid="{04A0DE90-95E3-4E8B-B6D4-0A7D56A3296A}"/>
    <cellStyle name="60% - Énfasis6 41 2 4" xfId="35504" xr:uid="{7075C093-F15C-4039-AEE0-EC5DCE12C093}"/>
    <cellStyle name="60% - Énfasis6 41 2 5" xfId="41363" xr:uid="{E7F6ADBC-A218-4B08-878D-F70A89A6C3A9}"/>
    <cellStyle name="60% - Énfasis6 41 3" xfId="20969" xr:uid="{5996D1DD-08B9-4B31-BBF7-952F1D2DDB47}"/>
    <cellStyle name="60% - Énfasis6 41 4" xfId="26780" xr:uid="{62A2B494-CAC3-475B-88B0-ECF1EB5D2674}"/>
    <cellStyle name="60% - Énfasis6 41 5" xfId="32655" xr:uid="{D47F6E99-91AD-4B27-AF80-F9021170067A}"/>
    <cellStyle name="60% - Énfasis6 41 6" xfId="38519" xr:uid="{F8DEE1A5-C4BA-4BAE-9713-F483EE45EB6E}"/>
    <cellStyle name="60% - Énfasis6 42" xfId="6551" xr:uid="{21FDFFDD-35D0-4D1F-A185-227F809AC28A}"/>
    <cellStyle name="60% - Énfasis6 42 2" xfId="9411" xr:uid="{3AD1180C-C065-45A7-B750-41CB845D4C88}"/>
    <cellStyle name="60% - Énfasis6 42 2 2" xfId="23774" xr:uid="{6C98C96A-507E-4F27-A8FA-562179840310}"/>
    <cellStyle name="60% - Énfasis6 42 2 3" xfId="29642" xr:uid="{775AE9BA-B9EB-46F5-8A31-2F472C5B60E8}"/>
    <cellStyle name="60% - Énfasis6 42 2 4" xfId="35524" xr:uid="{8BD78411-B110-4630-96CA-3A4C8A91819C}"/>
    <cellStyle name="60% - Énfasis6 42 2 5" xfId="41383" xr:uid="{2CD5FFE2-E8B8-44BE-8B1F-94DAF206CBAA}"/>
    <cellStyle name="60% - Énfasis6 42 3" xfId="20989" xr:uid="{6C64547E-D75A-43CE-82C5-AD0882DD9C71}"/>
    <cellStyle name="60% - Énfasis6 42 4" xfId="26800" xr:uid="{08F26BB3-35F7-44C7-9F04-0810031D051D}"/>
    <cellStyle name="60% - Énfasis6 42 5" xfId="32675" xr:uid="{7EB7FFA1-8CBA-4D09-B754-6801C329E5FF}"/>
    <cellStyle name="60% - Énfasis6 42 6" xfId="38539" xr:uid="{E52985E2-C644-4FD8-AF01-2B4701A1E729}"/>
    <cellStyle name="60% - Énfasis6 43" xfId="6572" xr:uid="{006F21C7-0109-438A-BF40-1FD952632EB8}"/>
    <cellStyle name="60% - Énfasis6 43 2" xfId="9433" xr:uid="{A5BBA1AE-476D-42BC-8496-41CB9D343606}"/>
    <cellStyle name="60% - Énfasis6 43 2 2" xfId="23796" xr:uid="{86C94FA6-2D65-4C68-9719-FEC3D5F553F8}"/>
    <cellStyle name="60% - Énfasis6 43 2 3" xfId="29664" xr:uid="{5CD99CF7-B4D4-4D6C-BEFC-1C94FB860179}"/>
    <cellStyle name="60% - Énfasis6 43 2 4" xfId="35546" xr:uid="{BABD6E20-1DAB-42CD-B31D-732846D1C747}"/>
    <cellStyle name="60% - Énfasis6 43 2 5" xfId="41405" xr:uid="{0AFB36E9-A102-454F-BFA6-215EF905B6E5}"/>
    <cellStyle name="60% - Énfasis6 43 3" xfId="21011" xr:uid="{A9F98F83-90A5-4544-907C-B1E9AC43E7A7}"/>
    <cellStyle name="60% - Énfasis6 43 4" xfId="26822" xr:uid="{32B0D39B-8740-4198-ACD3-FE3A17C42512}"/>
    <cellStyle name="60% - Énfasis6 43 5" xfId="32697" xr:uid="{2B1AB89C-4C90-4D3D-AF9D-83892D3E97A8}"/>
    <cellStyle name="60% - Énfasis6 43 6" xfId="38561" xr:uid="{1A77912C-FDD1-4DED-A246-DDAC5DC284EE}"/>
    <cellStyle name="60% - Énfasis6 44" xfId="6602" xr:uid="{84888058-6DCA-43B3-9095-5D4F1372A439}"/>
    <cellStyle name="60% - Énfasis6 44 2" xfId="9462" xr:uid="{6A92D0AD-2184-4774-B0FD-6376B191F646}"/>
    <cellStyle name="60% - Énfasis6 44 2 2" xfId="23824" xr:uid="{A684DC6B-32F2-40AB-814F-98255D30115C}"/>
    <cellStyle name="60% - Énfasis6 44 2 3" xfId="29693" xr:uid="{157FBE4B-3A65-47F8-AFFA-6182609FDB6A}"/>
    <cellStyle name="60% - Énfasis6 44 2 4" xfId="35575" xr:uid="{AB2FCAE9-1AC1-48B0-AEDB-06BC5A963D86}"/>
    <cellStyle name="60% - Énfasis6 44 2 5" xfId="41434" xr:uid="{FC88F003-4CD1-46A3-ABAE-3418945FCBD2}"/>
    <cellStyle name="60% - Énfasis6 44 3" xfId="21040" xr:uid="{6F05021C-373E-4AD4-B6D4-4EBB669838C0}"/>
    <cellStyle name="60% - Énfasis6 44 4" xfId="26851" xr:uid="{41F8BEE0-5BBE-48DB-9E05-BBD3226EC497}"/>
    <cellStyle name="60% - Énfasis6 44 5" xfId="32726" xr:uid="{42CEF874-E109-482B-AEA6-77276FEC8621}"/>
    <cellStyle name="60% - Énfasis6 44 6" xfId="38590" xr:uid="{E51A0E55-04A5-465C-B3D5-8150CF435FA0}"/>
    <cellStyle name="60% - Énfasis6 45" xfId="6627" xr:uid="{2FEB58A8-6BCC-4FE1-9EFC-70887E833184}"/>
    <cellStyle name="60% - Énfasis6 45 2" xfId="9487" xr:uid="{30F56965-756F-4E03-8C25-281D5A9F7EE2}"/>
    <cellStyle name="60% - Énfasis6 45 2 2" xfId="23849" xr:uid="{22684D15-F9FD-4588-81DB-6015C71E07EC}"/>
    <cellStyle name="60% - Énfasis6 45 2 3" xfId="29718" xr:uid="{94AD1972-A5F6-47AC-AF2A-A01A8C21702E}"/>
    <cellStyle name="60% - Énfasis6 45 2 4" xfId="35600" xr:uid="{EAE51F4D-ECC8-461B-AF0E-8A018AB4B766}"/>
    <cellStyle name="60% - Énfasis6 45 2 5" xfId="41459" xr:uid="{5FB6A6C3-D591-4A71-84C7-9C5CB1D55A08}"/>
    <cellStyle name="60% - Énfasis6 45 3" xfId="21064" xr:uid="{73BA979C-9173-42B0-A51B-F988A7DB5E94}"/>
    <cellStyle name="60% - Énfasis6 45 4" xfId="26876" xr:uid="{F9AA15CE-716C-444C-8D5E-E1DA0B737ACB}"/>
    <cellStyle name="60% - Énfasis6 45 5" xfId="32751" xr:uid="{727245F5-4D73-4A67-BF46-9EB498137B17}"/>
    <cellStyle name="60% - Énfasis6 45 6" xfId="38615" xr:uid="{D2103AE3-AB84-41CB-AAB7-69CB84D20D84}"/>
    <cellStyle name="60% - Énfasis6 46" xfId="6649" xr:uid="{D69A37C7-E5E4-4062-9862-7A8DE1D55788}"/>
    <cellStyle name="60% - Énfasis6 46 2" xfId="21086" xr:uid="{77984987-6F5C-49D7-8C34-8467E757C097}"/>
    <cellStyle name="60% - Énfasis6 46 3" xfId="26898" xr:uid="{9C60B5D6-2554-48A1-B1E2-675B95FF4E77}"/>
    <cellStyle name="60% - Énfasis6 46 4" xfId="32773" xr:uid="{598E3624-FC37-4DFA-8B53-BD100566CF02}"/>
    <cellStyle name="60% - Énfasis6 46 5" xfId="38637" xr:uid="{3B86D663-15DE-44A7-9B14-E7A47DA603E0}"/>
    <cellStyle name="60% - Énfasis6 47" xfId="6679" xr:uid="{5477F4B0-EAF5-47AC-B12C-BAF9868EB0B9}"/>
    <cellStyle name="60% - Énfasis6 47 2" xfId="21108" xr:uid="{84C4CF3E-A2D5-4917-9BCB-45A50BFA8471}"/>
    <cellStyle name="60% - Énfasis6 47 3" xfId="26920" xr:uid="{537F48D1-E54A-43A6-96AA-F228016F89EB}"/>
    <cellStyle name="60% - Énfasis6 47 4" xfId="32795" xr:uid="{58638B88-2E56-4F74-85F5-915D7F9E5468}"/>
    <cellStyle name="60% - Énfasis6 47 5" xfId="38659" xr:uid="{678790F8-00F0-49E9-AEB7-13E0DE76732B}"/>
    <cellStyle name="60% - Énfasis6 48" xfId="9505" xr:uid="{65AFE36C-A32A-4B5D-85C1-5E6408522C11}"/>
    <cellStyle name="60% - Énfasis6 48 2" xfId="23867" xr:uid="{8A1E6808-DA5D-4B44-B630-B3F33CC6DD7C}"/>
    <cellStyle name="60% - Énfasis6 48 3" xfId="29736" xr:uid="{DD060684-0FA6-4BBF-A6BD-776334B3E143}"/>
    <cellStyle name="60% - Énfasis6 48 4" xfId="35618" xr:uid="{C5134451-6893-42D5-9375-1780A7F47AAE}"/>
    <cellStyle name="60% - Énfasis6 48 5" xfId="41477" xr:uid="{6A603F7F-14E0-40A3-B043-4A51AB29487C}"/>
    <cellStyle name="60% - Énfasis6 49" xfId="9528" xr:uid="{1CC63F07-A46C-4E03-BD32-892FD8141AAC}"/>
    <cellStyle name="60% - Énfasis6 49 2" xfId="23889" xr:uid="{EED632C8-F7C8-4084-9167-A361F7172DBF}"/>
    <cellStyle name="60% - Énfasis6 49 3" xfId="29759" xr:uid="{DA276646-97A2-48CE-8743-81A87ED68F5D}"/>
    <cellStyle name="60% - Énfasis6 49 4" xfId="35641" xr:uid="{7D76BF45-B33B-4E40-BB9E-B8F6252287B0}"/>
    <cellStyle name="60% - Énfasis6 49 5" xfId="41500" xr:uid="{8CF681B9-DF3F-4174-9400-ACEA029EA493}"/>
    <cellStyle name="60% - Énfasis6 5" xfId="3927" xr:uid="{7D32F739-4DE4-40C4-8FF9-41EFAE84683B}"/>
    <cellStyle name="60% - Énfasis6 5 10" xfId="35919" xr:uid="{7B106CD8-8903-4F0A-B2E4-5FDBEC43F9A6}"/>
    <cellStyle name="60% - Énfasis6 5 2" xfId="4121" xr:uid="{994131DA-6CA5-4E13-BBF1-1987A6AC3373}"/>
    <cellStyle name="60% - Énfasis6 5 2 2" xfId="4599" xr:uid="{E2184007-0FD7-4279-A26C-E75091457BE6}"/>
    <cellStyle name="60% - Énfasis6 5 2 2 2" xfId="5567" xr:uid="{8E4F9D34-94A7-481F-BF9F-1DDE164A26CD}"/>
    <cellStyle name="60% - Énfasis6 5 2 2 2 2" xfId="8434" xr:uid="{7AEC8443-23A8-41B5-B50F-9032CF802776}"/>
    <cellStyle name="60% - Énfasis6 5 2 2 2 2 2" xfId="22809" xr:uid="{E90FBD72-FA9A-4784-B6C0-2C43DA34451B}"/>
    <cellStyle name="60% - Énfasis6 5 2 2 2 2 3" xfId="28667" xr:uid="{9049EBBA-E3B9-4CAA-A665-4F6973A08885}"/>
    <cellStyle name="60% - Énfasis6 5 2 2 2 2 4" xfId="34549" xr:uid="{E595F313-4462-4640-8901-CB9F4BB752DD}"/>
    <cellStyle name="60% - Énfasis6 5 2 2 2 2 5" xfId="40413" xr:uid="{DBB89157-38A2-47CF-84A6-5F1AEE70937B}"/>
    <cellStyle name="60% - Énfasis6 5 2 2 2 3" xfId="20027" xr:uid="{D3F13A46-48A5-4FE2-8528-65CBC09DC814}"/>
    <cellStyle name="60% - Énfasis6 5 2 2 2 4" xfId="25818" xr:uid="{D6E48F54-7D87-44A5-9A9F-FA640DF6E401}"/>
    <cellStyle name="60% - Énfasis6 5 2 2 2 5" xfId="31692" xr:uid="{BB437617-CA40-4A3A-A3CC-53291278DD1D}"/>
    <cellStyle name="60% - Énfasis6 5 2 2 2 6" xfId="37562" xr:uid="{BF0573EB-1DB0-4B9D-A3DB-822A8B8200F1}"/>
    <cellStyle name="60% - Énfasis6 5 2 2 3" xfId="7462" xr:uid="{DEE97131-211A-4A8E-A778-5C0C58D06BB3}"/>
    <cellStyle name="60% - Énfasis6 5 2 2 3 2" xfId="21864" xr:uid="{3E72C559-5E19-4461-8546-C83776E6E43C}"/>
    <cellStyle name="60% - Énfasis6 5 2 2 3 3" xfId="27696" xr:uid="{7E0D84FE-6280-4E13-90CF-C2AF7DD64C2E}"/>
    <cellStyle name="60% - Énfasis6 5 2 2 3 4" xfId="33578" xr:uid="{0CC075DB-60FF-49F8-927E-27DC06105411}"/>
    <cellStyle name="60% - Énfasis6 5 2 2 3 5" xfId="39442" xr:uid="{4B1E7B28-C34B-4102-A9F4-1C32AD6CCF96}"/>
    <cellStyle name="60% - Énfasis6 5 2 2 4" xfId="19094" xr:uid="{37489B7D-47FB-4D03-A633-468EE9834C28}"/>
    <cellStyle name="60% - Énfasis6 5 2 2 5" xfId="24847" xr:uid="{3AAB59BD-E300-4C11-8821-64C7F9974E27}"/>
    <cellStyle name="60% - Énfasis6 5 2 2 6" xfId="30724" xr:uid="{61852C71-252A-4571-8F5D-C5E87EC267CD}"/>
    <cellStyle name="60% - Énfasis6 5 2 2 7" xfId="36605" xr:uid="{0DB7ED6D-028D-4A85-8649-E372438BAE8A}"/>
    <cellStyle name="60% - Énfasis6 5 2 3" xfId="5082" xr:uid="{A121A941-A6F2-44CD-A8E7-7B40D3C68E84}"/>
    <cellStyle name="60% - Énfasis6 5 2 3 2" xfId="7949" xr:uid="{2AB07CA8-46C0-4217-9C39-32800A5A6EBB}"/>
    <cellStyle name="60% - Énfasis6 5 2 3 2 2" xfId="22334" xr:uid="{2DCA962E-3BE2-4377-A10C-7EC2547F1377}"/>
    <cellStyle name="60% - Énfasis6 5 2 3 2 3" xfId="28182" xr:uid="{E1316B61-03AC-43B8-A9CB-67D9655C8966}"/>
    <cellStyle name="60% - Énfasis6 5 2 3 2 4" xfId="34064" xr:uid="{DF052662-AFF0-4C75-BECA-FDA10D61CF6D}"/>
    <cellStyle name="60% - Énfasis6 5 2 3 2 5" xfId="39928" xr:uid="{623FE52A-873C-499F-B8A8-51249CFE1D52}"/>
    <cellStyle name="60% - Énfasis6 5 2 3 3" xfId="19559" xr:uid="{51CE335E-F8DF-497B-B57B-EEC239E5339D}"/>
    <cellStyle name="60% - Énfasis6 5 2 3 4" xfId="25333" xr:uid="{91B4AAE9-3DF9-4616-9BDD-BFDA213FDDCA}"/>
    <cellStyle name="60% - Énfasis6 5 2 3 5" xfId="31207" xr:uid="{606D74B9-A289-4505-ABEF-5858BAFC41DA}"/>
    <cellStyle name="60% - Énfasis6 5 2 3 6" xfId="37085" xr:uid="{5B740161-0544-48B9-BD15-A5E16DE6BB9E}"/>
    <cellStyle name="60% - Énfasis6 5 2 4" xfId="6977" xr:uid="{AEB71654-1A11-4287-8028-47F0967D3179}"/>
    <cellStyle name="60% - Énfasis6 5 2 4 2" xfId="21396" xr:uid="{57D3C94F-A3C4-4E4D-BC67-0871AB096E97}"/>
    <cellStyle name="60% - Énfasis6 5 2 4 3" xfId="27215" xr:uid="{76175B5D-023C-48B9-ADE7-D10C3C34A460}"/>
    <cellStyle name="60% - Énfasis6 5 2 4 4" xfId="33093" xr:uid="{F14F3348-1E03-41E8-802E-9DACB495C1B2}"/>
    <cellStyle name="60% - Énfasis6 5 2 4 5" xfId="38957" xr:uid="{2074F033-3D44-494A-BCB5-39FF9B964B22}"/>
    <cellStyle name="60% - Énfasis6 5 2 5" xfId="18650" xr:uid="{E488F23F-6C44-42C8-AEAA-FA8F5F255BCB}"/>
    <cellStyle name="60% - Énfasis6 5 2 6" xfId="24364" xr:uid="{C9E7C1DA-D539-433E-B99A-412CC615F798}"/>
    <cellStyle name="60% - Énfasis6 5 2 7" xfId="30242" xr:uid="{B6F82D6A-B6A7-4A83-916D-953AC2BB187A}"/>
    <cellStyle name="60% - Énfasis6 5 2 8" xfId="36121" xr:uid="{9ECBA58A-4577-4405-9F7F-2660A5C1E5C7}"/>
    <cellStyle name="60% - Énfasis6 5 3" xfId="4405" xr:uid="{B90E0B84-DDA6-4A08-80F5-BEF39BA97E5A}"/>
    <cellStyle name="60% - Énfasis6 5 3 2" xfId="5371" xr:uid="{E2126737-389A-4191-BDFD-390A286BC78A}"/>
    <cellStyle name="60% - Énfasis6 5 3 2 2" xfId="8238" xr:uid="{D5E568F9-2C68-4B3B-9901-A4B44E4CD17D}"/>
    <cellStyle name="60% - Énfasis6 5 3 2 2 2" xfId="22614" xr:uid="{56706D0B-DEF3-4B83-954A-92B03A7B33AB}"/>
    <cellStyle name="60% - Énfasis6 5 3 2 2 3" xfId="28471" xr:uid="{CE5C0F6C-F0DA-451C-A6BB-5CB62D918AAB}"/>
    <cellStyle name="60% - Énfasis6 5 3 2 2 4" xfId="34353" xr:uid="{A9512905-BB59-40CD-ABFA-FD576704F5F9}"/>
    <cellStyle name="60% - Énfasis6 5 3 2 2 5" xfId="40217" xr:uid="{75404D34-8410-4184-ADE2-29BA2F3494A0}"/>
    <cellStyle name="60% - Énfasis6 5 3 2 3" xfId="19838" xr:uid="{2A51A313-4842-4A30-BF64-2D57B767AA0A}"/>
    <cellStyle name="60% - Énfasis6 5 3 2 4" xfId="25622" xr:uid="{2B493E28-3735-42F6-81A6-ED271A801509}"/>
    <cellStyle name="60% - Énfasis6 5 3 2 5" xfId="31496" xr:uid="{0796DDFF-02C2-4754-8B63-703F8F9027F3}"/>
    <cellStyle name="60% - Énfasis6 5 3 2 6" xfId="37367" xr:uid="{9B41FACE-E048-473A-88A1-A0E43A7DE5EF}"/>
    <cellStyle name="60% - Énfasis6 5 3 3" xfId="7266" xr:uid="{ED48AB31-8867-4BDC-9264-94F7FBF15AE7}"/>
    <cellStyle name="60% - Énfasis6 5 3 3 2" xfId="21673" xr:uid="{8A21B9A5-6762-4F4A-B8E0-3719CCBDFC04}"/>
    <cellStyle name="60% - Énfasis6 5 3 3 3" xfId="27500" xr:uid="{F7212C72-5816-4EB9-AEB3-08D44D7121A4}"/>
    <cellStyle name="60% - Énfasis6 5 3 3 4" xfId="33382" xr:uid="{CD990331-AE8F-48C0-ACFE-9556122644AC}"/>
    <cellStyle name="60% - Énfasis6 5 3 3 5" xfId="39246" xr:uid="{2362077D-26C4-41D1-87AE-E259C0F8336A}"/>
    <cellStyle name="60% - Énfasis6 5 3 4" xfId="18907" xr:uid="{AC8720D7-30D9-4AA1-9537-0F8F9BB062BE}"/>
    <cellStyle name="60% - Énfasis6 5 3 5" xfId="24651" xr:uid="{5D752CDA-8076-4BF6-BB3D-B77467642673}"/>
    <cellStyle name="60% - Énfasis6 5 3 6" xfId="30530" xr:uid="{53890958-C232-468A-8DD6-A9A7FEE43F84}"/>
    <cellStyle name="60% - Énfasis6 5 3 7" xfId="36410" xr:uid="{B2DEB98D-ADDE-4E81-B440-371304827CAF}"/>
    <cellStyle name="60% - Énfasis6 5 4" xfId="4886" xr:uid="{5A7755B8-1E17-44F8-8214-9A6FA8D5E1D5}"/>
    <cellStyle name="60% - Énfasis6 5 4 2" xfId="7753" xr:uid="{24C67B4A-577C-4284-912D-D6D73A5B3E19}"/>
    <cellStyle name="60% - Énfasis6 5 4 2 2" xfId="22143" xr:uid="{A0E91210-28DA-45E6-BD99-901E081F1E7C}"/>
    <cellStyle name="60% - Énfasis6 5 4 2 3" xfId="27986" xr:uid="{32E4835F-BE11-44E9-AA16-52DF9E9CF1F4}"/>
    <cellStyle name="60% - Énfasis6 5 4 2 4" xfId="33868" xr:uid="{947C4A97-E924-4735-98FC-34D61AC92F55}"/>
    <cellStyle name="60% - Énfasis6 5 4 2 5" xfId="39732" xr:uid="{32C2FD12-1396-40EB-AAEF-B7C2B4C0D266}"/>
    <cellStyle name="60% - Énfasis6 5 4 3" xfId="19369" xr:uid="{BF77BE84-967B-45E7-B30F-73C1A41DDE63}"/>
    <cellStyle name="60% - Énfasis6 5 4 4" xfId="25137" xr:uid="{8B8BD97F-8B8C-4B5F-80BC-2F71AA38D90B}"/>
    <cellStyle name="60% - Énfasis6 5 4 5" xfId="31011" xr:uid="{349F7B6D-C865-4561-84D2-D93307A00402}"/>
    <cellStyle name="60% - Énfasis6 5 4 6" xfId="36890" xr:uid="{353680A9-DF50-4DD8-AFA8-60713528F43D}"/>
    <cellStyle name="60% - Énfasis6 5 5" xfId="5896" xr:uid="{604398D9-97EE-4124-8185-9AC7FA8E7EB4}"/>
    <cellStyle name="60% - Énfasis6 5 5 2" xfId="8765" xr:uid="{8EDA0D72-62CC-4194-B067-CA1E3F3C1011}"/>
    <cellStyle name="60% - Énfasis6 5 5 2 2" xfId="23133" xr:uid="{B29933E2-6BB2-441A-9325-A62D25C2BEFE}"/>
    <cellStyle name="60% - Énfasis6 5 5 2 3" xfId="28997" xr:uid="{C5F72F28-4EFA-4708-BA20-E8C1A1F6B68C}"/>
    <cellStyle name="60% - Énfasis6 5 5 2 4" xfId="34879" xr:uid="{74DC6C91-6924-4C7B-A609-D4F0CFD31B7D}"/>
    <cellStyle name="60% - Énfasis6 5 5 2 5" xfId="40743" xr:uid="{7EB6EB03-5376-4155-A77B-5BE18ED726CD}"/>
    <cellStyle name="60% - Énfasis6 5 5 3" xfId="20347" xr:uid="{BA7BD9AC-9DBD-4524-8BE3-6BF617A9790D}"/>
    <cellStyle name="60% - Énfasis6 5 5 4" xfId="26147" xr:uid="{740E71DA-5E76-440E-9B05-7B8710C8C4C7}"/>
    <cellStyle name="60% - Énfasis6 5 5 5" xfId="32022" xr:uid="{64111B75-C975-4857-8079-F733729963CF}"/>
    <cellStyle name="60% - Énfasis6 5 5 6" xfId="37888" xr:uid="{7AD78C2B-552B-4018-8C79-263A2A6CD78D}"/>
    <cellStyle name="60% - Énfasis6 5 6" xfId="6782" xr:uid="{F2D72428-44E1-4771-B1A4-3A421F82875B}"/>
    <cellStyle name="60% - Énfasis6 5 6 2" xfId="21206" xr:uid="{FF4D6ED6-768C-4694-A9B1-A22D26D108F4}"/>
    <cellStyle name="60% - Énfasis6 5 6 3" xfId="27021" xr:uid="{2C36275A-3C7E-4C1E-8F54-8C19C30F9F82}"/>
    <cellStyle name="60% - Énfasis6 5 6 4" xfId="32897" xr:uid="{6D04DCDA-33DE-4EB9-83DC-0DACB7607D37}"/>
    <cellStyle name="60% - Énfasis6 5 6 5" xfId="38761" xr:uid="{74A2F851-8719-4B86-BA53-8DE736EEEBAC}"/>
    <cellStyle name="60% - Énfasis6 5 7" xfId="18452" xr:uid="{DD44AFEA-9C9A-4A12-B398-6A7EC92DB644}"/>
    <cellStyle name="60% - Énfasis6 5 8" xfId="24160" xr:uid="{3775C8DF-2321-45E8-9650-1C445FB1EDB4}"/>
    <cellStyle name="60% - Énfasis6 5 9" xfId="30038" xr:uid="{E993C385-7548-4CE5-962B-AFD9037B8F59}"/>
    <cellStyle name="60% - Énfasis6 50" xfId="9547" xr:uid="{1A11F8BE-7CE6-4A0D-9B6B-B0E99DD188F7}"/>
    <cellStyle name="60% - Énfasis6 50 2" xfId="23909" xr:uid="{AF773F7E-4FBD-4D21-92FD-3C289105F7C0}"/>
    <cellStyle name="60% - Énfasis6 50 3" xfId="29779" xr:uid="{6A29BE5F-022C-48E1-B9E9-4D47403F74DE}"/>
    <cellStyle name="60% - Énfasis6 50 4" xfId="35661" xr:uid="{A4CCBD0B-7D4E-498B-AB01-710BF97C848D}"/>
    <cellStyle name="60% - Énfasis6 50 5" xfId="41520" xr:uid="{725AF8AA-81D9-47F0-B9C1-8621EE2928EB}"/>
    <cellStyle name="60% - Énfasis6 51" xfId="9574" xr:uid="{5C393BB9-A7D3-4E49-936F-77B57063B3BB}"/>
    <cellStyle name="60% - Énfasis6 51 2" xfId="23936" xr:uid="{43FD009B-3A4B-4A5A-8B6E-23A935851F96}"/>
    <cellStyle name="60% - Énfasis6 51 3" xfId="29806" xr:uid="{68F24DA2-2CB8-4630-8EF6-382BB3433D83}"/>
    <cellStyle name="60% - Énfasis6 51 4" xfId="35688" xr:uid="{3EA107A8-7128-4BBC-85B7-9604AE0C2648}"/>
    <cellStyle name="60% - Énfasis6 51 5" xfId="41547" xr:uid="{5F33524A-4C2F-4AFD-AD2B-EDC848AF2B00}"/>
    <cellStyle name="60% - Énfasis6 52" xfId="15775" xr:uid="{2E339C46-0667-4783-BBBB-2D8E1DDB7E57}"/>
    <cellStyle name="60% - Énfasis6 52 2" xfId="23995" xr:uid="{DF24D176-AC75-48B2-8224-5084FAA99376}"/>
    <cellStyle name="60% - Énfasis6 52 3" xfId="29867" xr:uid="{6469E0AC-91AA-4AD4-9A16-DCE1D4D9D1FE}"/>
    <cellStyle name="60% - Énfasis6 52 4" xfId="35749" xr:uid="{D7E28A98-6CC1-4646-8849-0B19BAC8451B}"/>
    <cellStyle name="60% - Énfasis6 52 5" xfId="41608" xr:uid="{B919D8BD-E560-4467-9323-23EFC4E17C8F}"/>
    <cellStyle name="60% - Énfasis6 53" xfId="15800" xr:uid="{0F373FE3-C88D-4DF0-BC18-E33C7DAB5A4B}"/>
    <cellStyle name="60% - Énfasis6 53 2" xfId="24017" xr:uid="{A5597C73-473B-49FD-AF88-97F4B9884A26}"/>
    <cellStyle name="60% - Énfasis6 53 3" xfId="29892" xr:uid="{3F78F9DA-6133-4A9C-8AF9-A1F9A32C1D37}"/>
    <cellStyle name="60% - Énfasis6 53 4" xfId="35773" xr:uid="{5198D7CC-1798-4DBF-9B30-2C07D555942E}"/>
    <cellStyle name="60% - Énfasis6 53 5" xfId="41633" xr:uid="{1F1B9719-02EB-49DD-9352-3436DEFC8322}"/>
    <cellStyle name="60% - Énfasis6 54" xfId="15834" xr:uid="{AD87F9E7-A093-448E-A606-E36D7054AFD5}"/>
    <cellStyle name="60% - Énfasis6 55" xfId="18309" xr:uid="{3BEB26F9-E2C7-4C0F-A76B-6CF0101E4CB6}"/>
    <cellStyle name="60% - Énfasis6 56" xfId="18332" xr:uid="{B705CCA0-1913-4DC2-8B01-68C701AA27F2}"/>
    <cellStyle name="60% - Énfasis6 57" xfId="24044" xr:uid="{C8A61263-462A-400E-83D1-BD78C51E7167}"/>
    <cellStyle name="60% - Énfasis6 58" xfId="29922" xr:uid="{2F6A2EC2-D64B-4E1D-8E56-881B58D28B6A}"/>
    <cellStyle name="60% - Énfasis6 59" xfId="35803" xr:uid="{D60339EE-A4EA-496C-AD87-FDD290CE5510}"/>
    <cellStyle name="60% - Énfasis6 6" xfId="3951" xr:uid="{A315BE2F-1503-4CDA-B098-F83172A7C07F}"/>
    <cellStyle name="60% - Énfasis6 6 10" xfId="35942" xr:uid="{24D04424-EC37-4414-B2DB-0207D79CE8A5}"/>
    <cellStyle name="60% - Énfasis6 6 2" xfId="4143" xr:uid="{64D12AE0-C42E-4A00-B0C5-82E6E0F15A3D}"/>
    <cellStyle name="60% - Énfasis6 6 2 2" xfId="4621" xr:uid="{952710D2-785A-4F35-9C00-C2F24AD65909}"/>
    <cellStyle name="60% - Énfasis6 6 2 2 2" xfId="5589" xr:uid="{BBFBD9F6-523E-423F-A39D-6FB420575314}"/>
    <cellStyle name="60% - Énfasis6 6 2 2 2 2" xfId="8456" xr:uid="{9F3584DF-DAB3-49A9-BC8C-E035756E70AE}"/>
    <cellStyle name="60% - Énfasis6 6 2 2 2 2 2" xfId="22831" xr:uid="{64BC23A3-256E-46B1-A8A1-13F77E4B3594}"/>
    <cellStyle name="60% - Énfasis6 6 2 2 2 2 3" xfId="28689" xr:uid="{D5C2AEEA-1636-4A24-A097-53BBF8820D9F}"/>
    <cellStyle name="60% - Énfasis6 6 2 2 2 2 4" xfId="34571" xr:uid="{C6A6033F-5D6D-40B9-BAED-B8F89EAEBF06}"/>
    <cellStyle name="60% - Énfasis6 6 2 2 2 2 5" xfId="40435" xr:uid="{65DCECE2-8165-49F8-8629-E2B498BF87D1}"/>
    <cellStyle name="60% - Énfasis6 6 2 2 2 3" xfId="20049" xr:uid="{C68CE41B-E525-4651-8A78-759BB26E8017}"/>
    <cellStyle name="60% - Énfasis6 6 2 2 2 4" xfId="25840" xr:uid="{DAAD7AB1-7894-4811-AB71-ED24C2B2E6BD}"/>
    <cellStyle name="60% - Énfasis6 6 2 2 2 5" xfId="31714" xr:uid="{D3243EC0-6FA3-4D32-99C6-91D1ADFC558C}"/>
    <cellStyle name="60% - Énfasis6 6 2 2 2 6" xfId="37584" xr:uid="{00EF86BD-64C7-427E-8661-E94E69FBFF70}"/>
    <cellStyle name="60% - Énfasis6 6 2 2 3" xfId="7484" xr:uid="{77B069E4-F4D1-407A-9565-746F004A6BE8}"/>
    <cellStyle name="60% - Énfasis6 6 2 2 3 2" xfId="21886" xr:uid="{289E50AE-455E-4FF4-A94C-17F00EA2292F}"/>
    <cellStyle name="60% - Énfasis6 6 2 2 3 3" xfId="27718" xr:uid="{D3E9DA46-AEB2-4F73-B014-73EB249CB9F3}"/>
    <cellStyle name="60% - Énfasis6 6 2 2 3 4" xfId="33600" xr:uid="{6A8AD705-E93A-448C-A1BB-47E553C777BC}"/>
    <cellStyle name="60% - Énfasis6 6 2 2 3 5" xfId="39464" xr:uid="{9002BC48-04A7-4A29-9087-9F11F139C2DA}"/>
    <cellStyle name="60% - Énfasis6 6 2 2 4" xfId="19116" xr:uid="{F18AEE2E-9CDB-43EA-8E3E-001EA7E80927}"/>
    <cellStyle name="60% - Énfasis6 6 2 2 5" xfId="24869" xr:uid="{C6DAF961-E1D9-4C5D-9DEF-0B73B20EAA13}"/>
    <cellStyle name="60% - Énfasis6 6 2 2 6" xfId="30746" xr:uid="{89F3B4B8-AAAB-4864-96A9-EE40F7EA8DC1}"/>
    <cellStyle name="60% - Énfasis6 6 2 2 7" xfId="36627" xr:uid="{C48689A3-FC8C-4AE3-8795-5861D1F030FE}"/>
    <cellStyle name="60% - Énfasis6 6 2 3" xfId="5104" xr:uid="{450C956A-6358-421F-B488-8771A96E6374}"/>
    <cellStyle name="60% - Énfasis6 6 2 3 2" xfId="7971" xr:uid="{BF91FE8D-B6CA-419C-8199-3F11707598FF}"/>
    <cellStyle name="60% - Énfasis6 6 2 3 2 2" xfId="22356" xr:uid="{269E9882-186D-46DB-9107-3E3A68ACC577}"/>
    <cellStyle name="60% - Énfasis6 6 2 3 2 3" xfId="28204" xr:uid="{E4BBDF6E-5721-4F45-BC55-3D44FFE50FC8}"/>
    <cellStyle name="60% - Énfasis6 6 2 3 2 4" xfId="34086" xr:uid="{69D5A498-F5F5-4312-B787-B2593858385D}"/>
    <cellStyle name="60% - Énfasis6 6 2 3 2 5" xfId="39950" xr:uid="{69441069-5EA8-4E07-834B-F70D88E76F1F}"/>
    <cellStyle name="60% - Énfasis6 6 2 3 3" xfId="19581" xr:uid="{8C130A67-60D7-4D15-8C3C-C1BE13792084}"/>
    <cellStyle name="60% - Énfasis6 6 2 3 4" xfId="25355" xr:uid="{78A2E5CB-A881-4DDA-8FEB-A57609C82CAC}"/>
    <cellStyle name="60% - Énfasis6 6 2 3 5" xfId="31229" xr:uid="{7948EA2C-5078-4141-9C43-367516B5E9C0}"/>
    <cellStyle name="60% - Énfasis6 6 2 3 6" xfId="37107" xr:uid="{669C2F5D-2CCE-4365-AA22-3A0BD5B570D8}"/>
    <cellStyle name="60% - Énfasis6 6 2 4" xfId="6999" xr:uid="{C3CD4204-CE85-4B4C-A679-9C15F7A846AA}"/>
    <cellStyle name="60% - Énfasis6 6 2 4 2" xfId="21418" xr:uid="{4AFD9D95-89E2-4389-A0CA-CC50C84E3BEF}"/>
    <cellStyle name="60% - Énfasis6 6 2 4 3" xfId="27237" xr:uid="{1B159700-95C1-4E29-8464-B389069E4B27}"/>
    <cellStyle name="60% - Énfasis6 6 2 4 4" xfId="33115" xr:uid="{1CA60EF5-CDB5-41C4-94F8-5258440EDE08}"/>
    <cellStyle name="60% - Énfasis6 6 2 4 5" xfId="38979" xr:uid="{58DF95E0-B765-4E83-B938-DA5059C44448}"/>
    <cellStyle name="60% - Énfasis6 6 2 5" xfId="18672" xr:uid="{70B21404-1C06-45CF-AD62-4AF2287DF956}"/>
    <cellStyle name="60% - Énfasis6 6 2 6" xfId="24386" xr:uid="{E8C30D58-4016-4881-A8C5-D8F8740A2512}"/>
    <cellStyle name="60% - Énfasis6 6 2 7" xfId="30264" xr:uid="{87C0964D-CD04-456B-8588-F018B98147FE}"/>
    <cellStyle name="60% - Énfasis6 6 2 8" xfId="36143" xr:uid="{D212F997-25EB-4E59-9A8D-712FEC964568}"/>
    <cellStyle name="60% - Énfasis6 6 3" xfId="4427" xr:uid="{D0EF32E3-6966-4717-B822-845CD61A6CC7}"/>
    <cellStyle name="60% - Énfasis6 6 3 2" xfId="5393" xr:uid="{C1C34516-8D98-4BF2-A982-49EE79F52A64}"/>
    <cellStyle name="60% - Énfasis6 6 3 2 2" xfId="8260" xr:uid="{28E41442-DC1E-4837-B0DC-1133F7679DE9}"/>
    <cellStyle name="60% - Énfasis6 6 3 2 2 2" xfId="22636" xr:uid="{D17450E7-76BA-474A-9BEB-B1DC5A060EA1}"/>
    <cellStyle name="60% - Énfasis6 6 3 2 2 3" xfId="28493" xr:uid="{FB3EA7B1-9A82-4F86-B02D-6FC0C4151CFC}"/>
    <cellStyle name="60% - Énfasis6 6 3 2 2 4" xfId="34375" xr:uid="{0A7AE143-9DA0-4560-B259-703F41A8902B}"/>
    <cellStyle name="60% - Énfasis6 6 3 2 2 5" xfId="40239" xr:uid="{6F8D7D47-C37A-4109-A965-933F0C4CEDA0}"/>
    <cellStyle name="60% - Énfasis6 6 3 2 3" xfId="19860" xr:uid="{585FA91A-7F48-4478-99A2-26BCA9014743}"/>
    <cellStyle name="60% - Énfasis6 6 3 2 4" xfId="25644" xr:uid="{928D8994-01C4-4700-998E-7F2CC186F096}"/>
    <cellStyle name="60% - Énfasis6 6 3 2 5" xfId="31518" xr:uid="{E38AE396-3DDB-4C1E-9335-F11FFB47D224}"/>
    <cellStyle name="60% - Énfasis6 6 3 2 6" xfId="37389" xr:uid="{4B5B874E-7F16-4D82-B5F9-6CDF4C961DD6}"/>
    <cellStyle name="60% - Énfasis6 6 3 3" xfId="7288" xr:uid="{75F24A7D-E0F1-4C29-ACB1-E991FD1AD770}"/>
    <cellStyle name="60% - Énfasis6 6 3 3 2" xfId="21695" xr:uid="{81825E7F-87BD-4050-82E7-87F9A72A0325}"/>
    <cellStyle name="60% - Énfasis6 6 3 3 3" xfId="27522" xr:uid="{7615E4FF-89AD-4C64-929A-0F2421ED1F17}"/>
    <cellStyle name="60% - Énfasis6 6 3 3 4" xfId="33404" xr:uid="{A84A67DF-3A07-4515-B55E-783624AA2F33}"/>
    <cellStyle name="60% - Énfasis6 6 3 3 5" xfId="39268" xr:uid="{C753C591-054B-4E13-9101-7C7FA7B81219}"/>
    <cellStyle name="60% - Énfasis6 6 3 4" xfId="18929" xr:uid="{9093C5DE-DBBD-4963-9089-2AA05A1A2FB2}"/>
    <cellStyle name="60% - Énfasis6 6 3 5" xfId="24673" xr:uid="{DB244CD0-E39A-488D-B9D4-C67CA00E1734}"/>
    <cellStyle name="60% - Énfasis6 6 3 6" xfId="30552" xr:uid="{6A6DEE3F-3515-4E14-8032-5EC09D04F67D}"/>
    <cellStyle name="60% - Énfasis6 6 3 7" xfId="36432" xr:uid="{4F1C0681-8DEF-4B3E-8AC5-2C67DC400B7B}"/>
    <cellStyle name="60% - Énfasis6 6 4" xfId="4908" xr:uid="{C5616BF3-B39A-486A-84D3-10BDB5E60B04}"/>
    <cellStyle name="60% - Énfasis6 6 4 2" xfId="7775" xr:uid="{C2C31D1F-0B41-42BC-8EE9-E8205CDB31DF}"/>
    <cellStyle name="60% - Énfasis6 6 4 2 2" xfId="22165" xr:uid="{5F78C324-6CB0-4CBE-9189-DAA5BD957A3B}"/>
    <cellStyle name="60% - Énfasis6 6 4 2 3" xfId="28008" xr:uid="{EECDE199-69E4-4585-83E7-3B011172F0C2}"/>
    <cellStyle name="60% - Énfasis6 6 4 2 4" xfId="33890" xr:uid="{2F5E9CD7-34F5-45CE-B452-48C0BFAE88BA}"/>
    <cellStyle name="60% - Énfasis6 6 4 2 5" xfId="39754" xr:uid="{3FFB4D12-F4F2-4509-9E4B-2F6F132C7892}"/>
    <cellStyle name="60% - Énfasis6 6 4 3" xfId="19391" xr:uid="{95F232D8-DEA4-4E85-9F9B-D0902EF1B61A}"/>
    <cellStyle name="60% - Énfasis6 6 4 4" xfId="25159" xr:uid="{C4856A74-4452-462D-B396-DDE95FA00CD1}"/>
    <cellStyle name="60% - Énfasis6 6 4 5" xfId="31033" xr:uid="{B24A3A02-45E3-4A8D-AF68-315868352AEB}"/>
    <cellStyle name="60% - Énfasis6 6 4 6" xfId="36912" xr:uid="{50E0576E-E51F-471B-88DA-20800044AA75}"/>
    <cellStyle name="60% - Énfasis6 6 5" xfId="5918" xr:uid="{8107E86E-43F1-4F45-840B-093F6F4C2280}"/>
    <cellStyle name="60% - Énfasis6 6 5 2" xfId="8787" xr:uid="{6715CE38-0DFF-4457-89E9-B64E3687C3C1}"/>
    <cellStyle name="60% - Énfasis6 6 5 2 2" xfId="23155" xr:uid="{17D75F66-0CB4-4023-9155-40BD914BB0FE}"/>
    <cellStyle name="60% - Énfasis6 6 5 2 3" xfId="29019" xr:uid="{F0BD49B5-4296-4E72-BF8B-1426ED6A1C94}"/>
    <cellStyle name="60% - Énfasis6 6 5 2 4" xfId="34901" xr:uid="{11EDD7F5-14FF-4DF0-B50A-A43B6A24EC37}"/>
    <cellStyle name="60% - Énfasis6 6 5 2 5" xfId="40765" xr:uid="{794A5A43-818A-42D6-8316-4C2841A14F1B}"/>
    <cellStyle name="60% - Énfasis6 6 5 3" xfId="20369" xr:uid="{05B1C2B9-9C44-4A2C-B2A8-D242E2BE8CDB}"/>
    <cellStyle name="60% - Énfasis6 6 5 4" xfId="26169" xr:uid="{CE9BD703-3D93-4064-9F2A-334755CE97EA}"/>
    <cellStyle name="60% - Énfasis6 6 5 5" xfId="32044" xr:uid="{32F2690C-8183-4343-9ABD-05D6EF605434}"/>
    <cellStyle name="60% - Énfasis6 6 5 6" xfId="37910" xr:uid="{5BB78126-D908-4F27-A424-24AE9F42C069}"/>
    <cellStyle name="60% - Énfasis6 6 6" xfId="6804" xr:uid="{FD26A58A-509E-40EC-8EFE-1BD54F907751}"/>
    <cellStyle name="60% - Énfasis6 6 6 2" xfId="21228" xr:uid="{B2455A3E-369F-45A4-AF67-A3F39BEB2CAB}"/>
    <cellStyle name="60% - Énfasis6 6 6 3" xfId="27043" xr:uid="{247A74F5-DEC6-482D-9AD8-97CD15F984F3}"/>
    <cellStyle name="60% - Énfasis6 6 6 4" xfId="32919" xr:uid="{8CA5F1A4-A2B6-4628-B2AA-768CAB449993}"/>
    <cellStyle name="60% - Énfasis6 6 6 5" xfId="38783" xr:uid="{381A1C34-0090-48EA-9B27-A8F8F5F7A42C}"/>
    <cellStyle name="60% - Énfasis6 6 7" xfId="18475" xr:uid="{A7013595-0DAC-4B21-9B0F-C213B7D2B603}"/>
    <cellStyle name="60% - Énfasis6 6 8" xfId="24183" xr:uid="{4B2D9B34-2E18-4602-9099-17E44DEF1104}"/>
    <cellStyle name="60% - Énfasis6 6 9" xfId="30061" xr:uid="{C349863F-4D04-4071-A5D3-D21C61091964}"/>
    <cellStyle name="60% - Énfasis6 7" xfId="3975" xr:uid="{8E090E93-822E-47D7-B051-90538626DC0D}"/>
    <cellStyle name="60% - Énfasis6 7 10" xfId="35967" xr:uid="{08E7F870-03E1-4149-8AC1-45F7804DDCA6}"/>
    <cellStyle name="60% - Énfasis6 7 2" xfId="4167" xr:uid="{4423CE2E-021C-4B10-9D7D-87AD1256EC77}"/>
    <cellStyle name="60% - Énfasis6 7 2 2" xfId="4645" xr:uid="{475B3AD0-B187-4C7B-9BA4-FBAB2F9049ED}"/>
    <cellStyle name="60% - Énfasis6 7 2 2 2" xfId="5613" xr:uid="{5C4DE0C6-B46E-4E27-B756-D540CF32E043}"/>
    <cellStyle name="60% - Énfasis6 7 2 2 2 2" xfId="8480" xr:uid="{EBC2F79A-EC7A-4013-A3FC-67E83E2B0ECD}"/>
    <cellStyle name="60% - Énfasis6 7 2 2 2 2 2" xfId="22855" xr:uid="{920553AD-398F-417C-AAB9-3754E2E0CCF6}"/>
    <cellStyle name="60% - Énfasis6 7 2 2 2 2 3" xfId="28713" xr:uid="{377D34D7-FE82-45DF-95D5-67D8433572FE}"/>
    <cellStyle name="60% - Énfasis6 7 2 2 2 2 4" xfId="34595" xr:uid="{0DCF79AB-0429-4454-913C-3D7CB33CBF44}"/>
    <cellStyle name="60% - Énfasis6 7 2 2 2 2 5" xfId="40459" xr:uid="{9C6A545E-E26B-410C-B450-5C89D134165E}"/>
    <cellStyle name="60% - Énfasis6 7 2 2 2 3" xfId="20072" xr:uid="{3F50A871-C1BA-42B3-B572-A8C7DDE3A86F}"/>
    <cellStyle name="60% - Énfasis6 7 2 2 2 4" xfId="25864" xr:uid="{FBD5D847-BA81-419E-94AC-FE5612479F4D}"/>
    <cellStyle name="60% - Énfasis6 7 2 2 2 5" xfId="31738" xr:uid="{A70F8D05-6C2F-41B9-AAA6-7709EF92D4F4}"/>
    <cellStyle name="60% - Énfasis6 7 2 2 2 6" xfId="37608" xr:uid="{D4E6D79B-FA10-4169-AE2E-15A1545DE8D5}"/>
    <cellStyle name="60% - Énfasis6 7 2 2 3" xfId="7508" xr:uid="{6AC8827E-DAD8-4031-8E99-78948EF887A8}"/>
    <cellStyle name="60% - Énfasis6 7 2 2 3 2" xfId="21909" xr:uid="{2299CAD0-B03E-4A3C-814A-AE72DAFD75B7}"/>
    <cellStyle name="60% - Énfasis6 7 2 2 3 3" xfId="27742" xr:uid="{6660C7BD-6009-4EE8-8B23-A746A9073123}"/>
    <cellStyle name="60% - Énfasis6 7 2 2 3 4" xfId="33624" xr:uid="{D64D661C-B516-4BAE-B215-C55A82C8ABB9}"/>
    <cellStyle name="60% - Énfasis6 7 2 2 3 5" xfId="39488" xr:uid="{A681F82E-9F23-47B7-A06B-1164A5A7C6C2}"/>
    <cellStyle name="60% - Énfasis6 7 2 2 4" xfId="19139" xr:uid="{19454465-27AB-4907-B59F-8FDC98E47D9D}"/>
    <cellStyle name="60% - Énfasis6 7 2 2 5" xfId="24893" xr:uid="{7A07C6F9-89FF-49E1-A08C-7F2BDD18BFF1}"/>
    <cellStyle name="60% - Énfasis6 7 2 2 6" xfId="30769" xr:uid="{3F40120A-6807-4421-AEF3-015F555F10C3}"/>
    <cellStyle name="60% - Énfasis6 7 2 2 7" xfId="36651" xr:uid="{620C3FA1-D35A-4149-9B28-FD9C5CBA857C}"/>
    <cellStyle name="60% - Énfasis6 7 2 3" xfId="5128" xr:uid="{4E610BD6-8A0B-422B-9D88-A4E0A9DCF3DC}"/>
    <cellStyle name="60% - Énfasis6 7 2 3 2" xfId="7995" xr:uid="{25707780-34D7-4E9C-8E16-18D634DE3A53}"/>
    <cellStyle name="60% - Énfasis6 7 2 3 2 2" xfId="22380" xr:uid="{4A51AB89-AAD0-4E43-8EA9-0E385AA8A562}"/>
    <cellStyle name="60% - Énfasis6 7 2 3 2 3" xfId="28228" xr:uid="{07ED2A94-07AF-4992-8646-656BC425EB50}"/>
    <cellStyle name="60% - Énfasis6 7 2 3 2 4" xfId="34110" xr:uid="{9375525B-B7B9-4088-859E-8127E8E59F52}"/>
    <cellStyle name="60% - Énfasis6 7 2 3 2 5" xfId="39974" xr:uid="{6F1FC604-E88C-450C-A807-CC3B5E22F701}"/>
    <cellStyle name="60% - Énfasis6 7 2 3 3" xfId="19603" xr:uid="{0287B969-0B0F-45CE-8878-F817A4CACEDC}"/>
    <cellStyle name="60% - Énfasis6 7 2 3 4" xfId="25379" xr:uid="{519F62C3-630F-43C0-BE8C-43A26975E8FE}"/>
    <cellStyle name="60% - Énfasis6 7 2 3 5" xfId="31253" xr:uid="{1DACDA17-27DE-4CFE-8B3A-659FE11C2C39}"/>
    <cellStyle name="60% - Énfasis6 7 2 3 6" xfId="37131" xr:uid="{CEDE277D-0A4F-49E3-B3E0-7F87F76953F4}"/>
    <cellStyle name="60% - Énfasis6 7 2 4" xfId="7023" xr:uid="{75A9E34B-7FCB-44C1-9E38-1DBDC2F8B0F2}"/>
    <cellStyle name="60% - Énfasis6 7 2 4 2" xfId="21440" xr:uid="{BBF747A4-683C-4A96-AE2D-C83B428AA6B0}"/>
    <cellStyle name="60% - Énfasis6 7 2 4 3" xfId="27261" xr:uid="{64112933-7239-44FB-829D-DDA855C54605}"/>
    <cellStyle name="60% - Énfasis6 7 2 4 4" xfId="33139" xr:uid="{B072A966-EB94-4D5A-9196-B58E39A3B296}"/>
    <cellStyle name="60% - Énfasis6 7 2 4 5" xfId="39003" xr:uid="{0364EAAC-D772-4B95-9516-9AA0B0372BC4}"/>
    <cellStyle name="60% - Énfasis6 7 2 5" xfId="18695" xr:uid="{494F4352-E86F-448E-84D9-560FFFBDFA61}"/>
    <cellStyle name="60% - Énfasis6 7 2 6" xfId="24410" xr:uid="{E17684D9-9EE0-451D-B231-9C9BF9235883}"/>
    <cellStyle name="60% - Énfasis6 7 2 7" xfId="30287" xr:uid="{597763CF-C25C-4EC9-8509-5E2D1FBDA2DB}"/>
    <cellStyle name="60% - Énfasis6 7 2 8" xfId="36167" xr:uid="{8639173D-32F9-4C83-B663-F46C2F48C378}"/>
    <cellStyle name="60% - Énfasis6 7 3" xfId="4450" xr:uid="{C3AACFB3-4327-4295-820C-22B1CE800232}"/>
    <cellStyle name="60% - Énfasis6 7 3 2" xfId="5417" xr:uid="{065B7E36-896E-49B4-B8E1-6377CC6DB029}"/>
    <cellStyle name="60% - Énfasis6 7 3 2 2" xfId="8284" xr:uid="{D0875761-68B5-497B-8DC0-271B77A270EA}"/>
    <cellStyle name="60% - Énfasis6 7 3 2 2 2" xfId="22660" xr:uid="{B5860D11-6BA4-4FFB-84AD-52B42EE39CBE}"/>
    <cellStyle name="60% - Énfasis6 7 3 2 2 3" xfId="28517" xr:uid="{F079F3D0-1EA5-4411-AC24-43EC22885F32}"/>
    <cellStyle name="60% - Énfasis6 7 3 2 2 4" xfId="34399" xr:uid="{8B66BAB4-3617-4E98-AEE3-2245270CBA34}"/>
    <cellStyle name="60% - Énfasis6 7 3 2 2 5" xfId="40263" xr:uid="{FBAFA3FA-419A-4507-9501-C63895B0F760}"/>
    <cellStyle name="60% - Énfasis6 7 3 2 3" xfId="19882" xr:uid="{AA5CE4E4-05AB-4E53-9042-54B2F7C17F1B}"/>
    <cellStyle name="60% - Énfasis6 7 3 2 4" xfId="25668" xr:uid="{3AA10FB8-C0BC-41A4-9609-86B82E68EE32}"/>
    <cellStyle name="60% - Énfasis6 7 3 2 5" xfId="31542" xr:uid="{3D0AE55E-EA60-4685-B42A-CE99B9A7BF3F}"/>
    <cellStyle name="60% - Énfasis6 7 3 2 6" xfId="37413" xr:uid="{BB32AEED-06B6-4597-AD19-B3F130C2226C}"/>
    <cellStyle name="60% - Énfasis6 7 3 3" xfId="7312" xr:uid="{B1E63B82-781B-41AC-97CB-952EFAB14F0A}"/>
    <cellStyle name="60% - Énfasis6 7 3 3 2" xfId="21717" xr:uid="{FD18564E-EC9C-4A6A-8518-6C511BB0B79C}"/>
    <cellStyle name="60% - Énfasis6 7 3 3 3" xfId="27546" xr:uid="{135190CC-70E4-486D-ACAE-45B7DA5C689D}"/>
    <cellStyle name="60% - Énfasis6 7 3 3 4" xfId="33428" xr:uid="{98363FF0-43B3-41AB-B239-94D435732B46}"/>
    <cellStyle name="60% - Énfasis6 7 3 3 5" xfId="39292" xr:uid="{8DD2CEC3-8D20-4454-A77B-DFF2B591B672}"/>
    <cellStyle name="60% - Énfasis6 7 3 4" xfId="18953" xr:uid="{ECBBC5FF-B4A6-4B35-AC7D-EAE04243F705}"/>
    <cellStyle name="60% - Énfasis6 7 3 5" xfId="24697" xr:uid="{376F86DA-13EC-4AE9-AEE1-F20FC2B1D87F}"/>
    <cellStyle name="60% - Énfasis6 7 3 6" xfId="30575" xr:uid="{55D66E0A-6200-4078-82A8-79DA4DBBC6A0}"/>
    <cellStyle name="60% - Énfasis6 7 3 7" xfId="36456" xr:uid="{79CF3F0C-A3E3-49FB-A76F-18FFE8F94721}"/>
    <cellStyle name="60% - Énfasis6 7 4" xfId="4932" xr:uid="{C3E27A77-4AB4-4CD6-A515-8581D9A14CEE}"/>
    <cellStyle name="60% - Énfasis6 7 4 2" xfId="7799" xr:uid="{836102C7-F8DA-4BA3-9BDA-D090B5B3D155}"/>
    <cellStyle name="60% - Énfasis6 7 4 2 2" xfId="22187" xr:uid="{31A905F5-B89D-4CE5-BFDD-63DB57BA8627}"/>
    <cellStyle name="60% - Énfasis6 7 4 2 3" xfId="28032" xr:uid="{3B10BBFF-581D-41DB-A474-7B92DFF86743}"/>
    <cellStyle name="60% - Énfasis6 7 4 2 4" xfId="33914" xr:uid="{3BB538BB-AA26-433D-B281-CB2E21874003}"/>
    <cellStyle name="60% - Énfasis6 7 4 2 5" xfId="39778" xr:uid="{FFC19664-67FC-45FB-9B5D-174F9BE8D23B}"/>
    <cellStyle name="60% - Énfasis6 7 4 3" xfId="19414" xr:uid="{45575509-55BA-4372-8540-1D313962D957}"/>
    <cellStyle name="60% - Énfasis6 7 4 4" xfId="25183" xr:uid="{05930803-C2BA-4713-8F11-BE8E682EC483}"/>
    <cellStyle name="60% - Énfasis6 7 4 5" xfId="31057" xr:uid="{B16EB095-701B-421E-AE1A-CE27F453C1FB}"/>
    <cellStyle name="60% - Énfasis6 7 4 6" xfId="36936" xr:uid="{0D8F9C69-61FE-4685-95CE-A0DC888EF483}"/>
    <cellStyle name="60% - Énfasis6 7 5" xfId="5942" xr:uid="{57C6DD2A-D68A-4A4F-8E58-2AC894F778FE}"/>
    <cellStyle name="60% - Énfasis6 7 5 2" xfId="8811" xr:uid="{5ADD5AD5-5D6D-4300-9166-6A2DC875CF78}"/>
    <cellStyle name="60% - Énfasis6 7 5 2 2" xfId="23178" xr:uid="{6D854394-9838-4ECC-B787-88BE00C2B63E}"/>
    <cellStyle name="60% - Énfasis6 7 5 2 3" xfId="29043" xr:uid="{DE7C43FE-89EE-4A89-B267-11A0ECECECBE}"/>
    <cellStyle name="60% - Énfasis6 7 5 2 4" xfId="34925" xr:uid="{55AF39E6-6A1F-44DA-B11C-B38C1A9CAE21}"/>
    <cellStyle name="60% - Énfasis6 7 5 2 5" xfId="40789" xr:uid="{3530B068-E36C-4D78-8B2D-E3DA968F1E3A}"/>
    <cellStyle name="60% - Énfasis6 7 5 3" xfId="20392" xr:uid="{91092C2D-2767-45F3-9B31-88B207673C13}"/>
    <cellStyle name="60% - Énfasis6 7 5 4" xfId="26193" xr:uid="{FEF49D52-B0BA-42E6-8199-DDC820636C0E}"/>
    <cellStyle name="60% - Énfasis6 7 5 5" xfId="32068" xr:uid="{105362FC-DE53-47BB-8572-733B302E04D9}"/>
    <cellStyle name="60% - Énfasis6 7 5 6" xfId="37934" xr:uid="{3C5694F8-05F6-4E5F-98D1-9BD621720581}"/>
    <cellStyle name="60% - Énfasis6 7 6" xfId="6828" xr:uid="{0E3FF23E-2595-4D8D-83C5-27B36920E375}"/>
    <cellStyle name="60% - Énfasis6 7 6 2" xfId="21251" xr:uid="{7246D0B6-F7E8-4B6C-B51A-3F427225A34B}"/>
    <cellStyle name="60% - Énfasis6 7 6 3" xfId="27067" xr:uid="{DEE28744-EF9A-430B-8625-B3DBA57A95B5}"/>
    <cellStyle name="60% - Énfasis6 7 6 4" xfId="32943" xr:uid="{F10B40D3-096A-4FB2-B887-25CA5BF9EB4D}"/>
    <cellStyle name="60% - Énfasis6 7 6 5" xfId="38807" xr:uid="{E6FA1EBA-174A-4C22-A582-D75B619D659A}"/>
    <cellStyle name="60% - Énfasis6 7 7" xfId="18501" xr:uid="{3C282B67-8959-435A-A07E-FD9F0C1886BF}"/>
    <cellStyle name="60% - Énfasis6 7 8" xfId="24209" xr:uid="{435E32EB-339A-4A65-A976-FC4E624973DB}"/>
    <cellStyle name="60% - Énfasis6 7 9" xfId="30087" xr:uid="{D7B6C3D6-75E8-486B-BE62-BDC1CBF73D86}"/>
    <cellStyle name="60% - Énfasis6 8" xfId="4001" xr:uid="{BC9544C9-41A4-4A42-917E-89841775AA5E}"/>
    <cellStyle name="60% - Énfasis6 8 10" xfId="35995" xr:uid="{DD773855-94B5-46F7-8DB9-D4D796E64012}"/>
    <cellStyle name="60% - Énfasis6 8 2" xfId="4193" xr:uid="{FA5105F0-3986-403A-959E-324D9A0BE710}"/>
    <cellStyle name="60% - Énfasis6 8 2 2" xfId="4671" xr:uid="{FDB81A89-D3AE-4792-82CA-FDD65F7F17B6}"/>
    <cellStyle name="60% - Énfasis6 8 2 2 2" xfId="5639" xr:uid="{8584CC44-D691-4C0E-9A7D-F9A7DCEA5D60}"/>
    <cellStyle name="60% - Énfasis6 8 2 2 2 2" xfId="8506" xr:uid="{99142EAC-3DE9-40C0-B902-7137F1989520}"/>
    <cellStyle name="60% - Énfasis6 8 2 2 2 2 2" xfId="22880" xr:uid="{FA8BB6BA-6BC3-437F-A0BB-EA2FE8AE9E56}"/>
    <cellStyle name="60% - Énfasis6 8 2 2 2 2 3" xfId="28739" xr:uid="{6457C476-15DC-418F-A3E7-E90690B28325}"/>
    <cellStyle name="60% - Énfasis6 8 2 2 2 2 4" xfId="34621" xr:uid="{76A9C9B4-D137-4EA8-AE53-63E541D3D32F}"/>
    <cellStyle name="60% - Énfasis6 8 2 2 2 2 5" xfId="40485" xr:uid="{03BE7883-9C1B-4FC8-9E78-AEC5ABA1BB88}"/>
    <cellStyle name="60% - Énfasis6 8 2 2 2 3" xfId="20098" xr:uid="{A08A960A-E1DC-420A-B84F-38F19A049994}"/>
    <cellStyle name="60% - Énfasis6 8 2 2 2 4" xfId="25890" xr:uid="{E975825A-458D-4EF5-97EA-91C561E1CFF8}"/>
    <cellStyle name="60% - Énfasis6 8 2 2 2 5" xfId="31764" xr:uid="{B4ECACD2-E39C-4498-AEF7-09ABE61F4ED8}"/>
    <cellStyle name="60% - Énfasis6 8 2 2 2 6" xfId="37633" xr:uid="{C70C439C-CDC4-4A2D-BFE9-18D42C4AA546}"/>
    <cellStyle name="60% - Énfasis6 8 2 2 3" xfId="7534" xr:uid="{4DDD3E87-5692-4E3E-83F0-7A95C0C3846D}"/>
    <cellStyle name="60% - Énfasis6 8 2 2 3 2" xfId="21934" xr:uid="{728D1AD2-577F-4875-9952-27925DBF5D3A}"/>
    <cellStyle name="60% - Énfasis6 8 2 2 3 3" xfId="27768" xr:uid="{531598C0-5887-4B95-A55C-D0EA287E79CB}"/>
    <cellStyle name="60% - Énfasis6 8 2 2 3 4" xfId="33650" xr:uid="{10FFA71E-3FD4-482A-AE74-22A032844828}"/>
    <cellStyle name="60% - Énfasis6 8 2 2 3 5" xfId="39514" xr:uid="{919E9378-BC60-4EDB-87E6-939D7D7E63B4}"/>
    <cellStyle name="60% - Énfasis6 8 2 2 4" xfId="19163" xr:uid="{F5EA9983-3922-4FC4-9630-6C72F0AA9FB4}"/>
    <cellStyle name="60% - Énfasis6 8 2 2 5" xfId="24919" xr:uid="{CFF3CE42-A58C-4889-9B2F-BC7C2A190F12}"/>
    <cellStyle name="60% - Énfasis6 8 2 2 6" xfId="30795" xr:uid="{F0BDE5C0-C2A9-4729-BD41-45FE7C02BEF2}"/>
    <cellStyle name="60% - Énfasis6 8 2 2 7" xfId="36676" xr:uid="{1859CA15-939D-4B04-B97F-8AE147DBFF99}"/>
    <cellStyle name="60% - Énfasis6 8 2 3" xfId="5154" xr:uid="{172E0E99-5EB3-40AB-8344-B348343EB27C}"/>
    <cellStyle name="60% - Énfasis6 8 2 3 2" xfId="8021" xr:uid="{CD280A67-CA43-4921-9C96-05C57747B005}"/>
    <cellStyle name="60% - Énfasis6 8 2 3 2 2" xfId="22405" xr:uid="{60085336-D320-45A1-A641-9068764D0BC1}"/>
    <cellStyle name="60% - Énfasis6 8 2 3 2 3" xfId="28254" xr:uid="{6BBBE34B-FDEB-46FB-A75E-033CA16EF5A4}"/>
    <cellStyle name="60% - Énfasis6 8 2 3 2 4" xfId="34136" xr:uid="{B2F3EEC5-8DCE-473D-93BC-C43B6288C535}"/>
    <cellStyle name="60% - Énfasis6 8 2 3 2 5" xfId="40000" xr:uid="{614EB05C-8826-4A41-A63B-E0CD2C6C8BE4}"/>
    <cellStyle name="60% - Énfasis6 8 2 3 3" xfId="19628" xr:uid="{B2B148BF-D083-44E2-BEC2-07A985CD0595}"/>
    <cellStyle name="60% - Énfasis6 8 2 3 4" xfId="25405" xr:uid="{DBD15316-82CF-43D4-9766-DFDFE17F26FD}"/>
    <cellStyle name="60% - Énfasis6 8 2 3 5" xfId="31279" xr:uid="{11BE970F-0755-4B99-A367-B472C804F749}"/>
    <cellStyle name="60% - Énfasis6 8 2 3 6" xfId="37156" xr:uid="{2D9DAD98-C154-49CB-8015-33F9D7A82853}"/>
    <cellStyle name="60% - Énfasis6 8 2 4" xfId="7049" xr:uid="{DA5189A1-D960-4C48-861F-F8C447E97E89}"/>
    <cellStyle name="60% - Énfasis6 8 2 4 2" xfId="21465" xr:uid="{A969D485-02A8-4CCC-B756-C28C4AA9C99F}"/>
    <cellStyle name="60% - Énfasis6 8 2 4 3" xfId="27286" xr:uid="{84C3C33F-DE9D-4379-A59A-1C9CAA150C3B}"/>
    <cellStyle name="60% - Énfasis6 8 2 4 4" xfId="33165" xr:uid="{2383B477-A85F-4F87-9FAD-4EFDFA104C55}"/>
    <cellStyle name="60% - Énfasis6 8 2 4 5" xfId="39029" xr:uid="{5632D450-6114-40DC-AF48-989D35DEF59E}"/>
    <cellStyle name="60% - Énfasis6 8 2 5" xfId="18720" xr:uid="{1379D706-E114-46BD-8957-5B70A874944F}"/>
    <cellStyle name="60% - Énfasis6 8 2 6" xfId="24436" xr:uid="{2F39CB2C-E1AA-4858-8F4D-59549AB6B424}"/>
    <cellStyle name="60% - Énfasis6 8 2 7" xfId="30313" xr:uid="{FAFDBEAF-BF16-4E7B-B07D-B5991AF6F070}"/>
    <cellStyle name="60% - Énfasis6 8 2 8" xfId="36193" xr:uid="{0AF77C66-8838-43DC-A488-C785D0C9622D}"/>
    <cellStyle name="60% - Énfasis6 8 3" xfId="4475" xr:uid="{75B7E438-C65E-44E1-9196-5085DB72C037}"/>
    <cellStyle name="60% - Énfasis6 8 3 2" xfId="5443" xr:uid="{D5E10AE7-BF7D-4226-B63C-F4350B3BF54A}"/>
    <cellStyle name="60% - Énfasis6 8 3 2 2" xfId="8310" xr:uid="{7096F431-F0F5-4B72-8107-C2C446DA6227}"/>
    <cellStyle name="60% - Énfasis6 8 3 2 2 2" xfId="22686" xr:uid="{86600B8C-728C-48C5-A3B4-EAE8BF066AED}"/>
    <cellStyle name="60% - Énfasis6 8 3 2 2 3" xfId="28543" xr:uid="{84C994FE-A3C1-4A9E-BA44-9D3DB8901F0A}"/>
    <cellStyle name="60% - Énfasis6 8 3 2 2 4" xfId="34425" xr:uid="{E3BBB4E6-9894-4DFC-975E-67A307CB1004}"/>
    <cellStyle name="60% - Énfasis6 8 3 2 2 5" xfId="40289" xr:uid="{613C6736-8E9C-4DCC-9042-B906524FBF03}"/>
    <cellStyle name="60% - Énfasis6 8 3 2 3" xfId="19907" xr:uid="{D7F1E770-11AF-402B-AB2B-4F662DCE73B9}"/>
    <cellStyle name="60% - Énfasis6 8 3 2 4" xfId="25694" xr:uid="{DBAEC7CE-2D1E-4F6F-B48A-287058DC6ADD}"/>
    <cellStyle name="60% - Énfasis6 8 3 2 5" xfId="31568" xr:uid="{883AB2B0-B0C0-4E67-97E1-02F7BFE63DA7}"/>
    <cellStyle name="60% - Énfasis6 8 3 2 6" xfId="37439" xr:uid="{144122DA-A01F-4213-ABB0-19DBC4A6CE56}"/>
    <cellStyle name="60% - Énfasis6 8 3 3" xfId="7338" xr:uid="{0C44B6FF-5145-496B-857D-5E2BA54E449C}"/>
    <cellStyle name="60% - Énfasis6 8 3 3 2" xfId="21742" xr:uid="{B05CF7A6-9A05-46EC-BCA7-51AD456BD1BC}"/>
    <cellStyle name="60% - Énfasis6 8 3 3 3" xfId="27572" xr:uid="{EC0852D8-DDBE-47CF-BAE0-E69A56D0E044}"/>
    <cellStyle name="60% - Énfasis6 8 3 3 4" xfId="33454" xr:uid="{20D10FDD-659C-455E-A9D8-79326E58F652}"/>
    <cellStyle name="60% - Énfasis6 8 3 3 5" xfId="39318" xr:uid="{A8EC2196-135D-4633-AC34-216231CF1EC9}"/>
    <cellStyle name="60% - Énfasis6 8 3 4" xfId="18979" xr:uid="{E28338FC-515A-45D9-A063-0521B4C07825}"/>
    <cellStyle name="60% - Énfasis6 8 3 5" xfId="24723" xr:uid="{98CDFA20-7E4A-46C6-80A5-6ED7B5BD87EA}"/>
    <cellStyle name="60% - Énfasis6 8 3 6" xfId="30601" xr:uid="{2F745D25-1125-4FC4-B93D-EAA098D7A069}"/>
    <cellStyle name="60% - Énfasis6 8 3 7" xfId="36482" xr:uid="{502D27CC-65EC-481A-8A24-91025A04237C}"/>
    <cellStyle name="60% - Énfasis6 8 4" xfId="4958" xr:uid="{35F90465-4904-4770-9CF4-1BE57A1978A1}"/>
    <cellStyle name="60% - Énfasis6 8 4 2" xfId="7825" xr:uid="{6E597648-C163-45FF-A6DF-F6BD46CBF15D}"/>
    <cellStyle name="60% - Énfasis6 8 4 2 2" xfId="22212" xr:uid="{D1CCC035-8E15-4F32-BB77-CA10A18335F6}"/>
    <cellStyle name="60% - Énfasis6 8 4 2 3" xfId="28058" xr:uid="{BC3D4AEA-42F8-4F8E-B987-2192575C1835}"/>
    <cellStyle name="60% - Énfasis6 8 4 2 4" xfId="33940" xr:uid="{547209E1-3728-4DB6-A6DE-1C89797BC145}"/>
    <cellStyle name="60% - Énfasis6 8 4 2 5" xfId="39804" xr:uid="{623AD382-F60A-431C-BEDC-0DD96AE5AE62}"/>
    <cellStyle name="60% - Énfasis6 8 4 3" xfId="19440" xr:uid="{CFC6877E-7595-4DA3-995E-AEC8C9B7EFD3}"/>
    <cellStyle name="60% - Énfasis6 8 4 4" xfId="25209" xr:uid="{F63C7EF8-E400-4D74-8267-78C54201E9DB}"/>
    <cellStyle name="60% - Énfasis6 8 4 5" xfId="31083" xr:uid="{8A904A4F-2A7B-4DBC-A4F8-9C5C0D8BA116}"/>
    <cellStyle name="60% - Énfasis6 8 4 6" xfId="36962" xr:uid="{B67EEC83-F0BD-4114-BF12-F7F16819DB62}"/>
    <cellStyle name="60% - Énfasis6 8 5" xfId="5968" xr:uid="{E41C79FA-E053-4D24-B220-9822A03C45B9}"/>
    <cellStyle name="60% - Énfasis6 8 5 2" xfId="8837" xr:uid="{789AB15F-21FC-46C2-A1AD-7E69047E4041}"/>
    <cellStyle name="60% - Énfasis6 8 5 2 2" xfId="23202" xr:uid="{8814E199-6119-4883-B415-B06204C8FEE6}"/>
    <cellStyle name="60% - Énfasis6 8 5 2 3" xfId="29069" xr:uid="{AE2E783A-8BDC-4D6E-88BA-81D0FDF057C0}"/>
    <cellStyle name="60% - Énfasis6 8 5 2 4" xfId="34951" xr:uid="{9DD4B6AC-F6A5-4156-8360-07F662002985}"/>
    <cellStyle name="60% - Énfasis6 8 5 2 5" xfId="40815" xr:uid="{022F36D6-FF6C-4BA5-8DD8-E1512C61789D}"/>
    <cellStyle name="60% - Énfasis6 8 5 3" xfId="20418" xr:uid="{561A8028-F3B8-4356-96DC-23842D236B96}"/>
    <cellStyle name="60% - Énfasis6 8 5 4" xfId="26219" xr:uid="{05E10C2F-A27B-499A-B2C7-3ADDCB52FE44}"/>
    <cellStyle name="60% - Énfasis6 8 5 5" xfId="32094" xr:uid="{C9C91FA9-578B-4B29-A514-1BBA07409A9B}"/>
    <cellStyle name="60% - Énfasis6 8 5 6" xfId="37959" xr:uid="{6976F95E-2F2F-4E81-B0DF-57B93213DF4D}"/>
    <cellStyle name="60% - Énfasis6 8 6" xfId="6854" xr:uid="{D193F2C3-E910-4FF9-AEAE-7FA5EFE20D8F}"/>
    <cellStyle name="60% - Énfasis6 8 6 2" xfId="21277" xr:uid="{4ADD651A-68F9-41A9-BF63-BD658E117234}"/>
    <cellStyle name="60% - Énfasis6 8 6 3" xfId="27092" xr:uid="{C8291666-65F9-4140-9009-607F807002E6}"/>
    <cellStyle name="60% - Énfasis6 8 6 4" xfId="32969" xr:uid="{61A4541F-7C7A-43E9-9224-43C8DC1F4FD6}"/>
    <cellStyle name="60% - Énfasis6 8 6 5" xfId="38833" xr:uid="{2F229289-A1CE-4655-B93D-7CFCE9DA6794}"/>
    <cellStyle name="60% - Énfasis6 8 7" xfId="18528" xr:uid="{FAFB1EA6-9149-4CC5-99A9-5BDBD6337994}"/>
    <cellStyle name="60% - Énfasis6 8 8" xfId="24237" xr:uid="{ADD990CD-05B5-413B-92B4-D0FE39AB31E1}"/>
    <cellStyle name="60% - Énfasis6 8 9" xfId="30115" xr:uid="{931B20FA-6314-4119-A67B-3B4EB6402EB8}"/>
    <cellStyle name="60% - Énfasis6 9" xfId="4025" xr:uid="{C053D841-7BB0-4894-9481-D9144F57EF5E}"/>
    <cellStyle name="60% - Énfasis6 9 2" xfId="4496" xr:uid="{E12319BD-57B1-40B6-88DE-06B3999F86C0}"/>
    <cellStyle name="60% - Énfasis6 9 2 2" xfId="5464" xr:uid="{9852D10E-9A6B-4311-BAAE-37B995AD1CF6}"/>
    <cellStyle name="60% - Énfasis6 9 2 2 2" xfId="8331" xr:uid="{7F76DA74-0299-443A-93CF-21E031E7DE55}"/>
    <cellStyle name="60% - Énfasis6 9 2 2 2 2" xfId="22707" xr:uid="{5C86BCA7-6FF2-4106-91BC-61CF50F47286}"/>
    <cellStyle name="60% - Énfasis6 9 2 2 2 3" xfId="28564" xr:uid="{209577D5-7A25-41B3-9082-4EB710816296}"/>
    <cellStyle name="60% - Énfasis6 9 2 2 2 4" xfId="34446" xr:uid="{9628243B-16CE-4444-AA06-DBA0B9FB5D5B}"/>
    <cellStyle name="60% - Énfasis6 9 2 2 2 5" xfId="40310" xr:uid="{CDF7E6A1-B26A-44DC-B8E1-99416BC22B1D}"/>
    <cellStyle name="60% - Énfasis6 9 2 2 3" xfId="19927" xr:uid="{47FDB296-3FC9-4937-B853-A12E6AE31E06}"/>
    <cellStyle name="60% - Énfasis6 9 2 2 4" xfId="25715" xr:uid="{BA33AC67-60E0-49CD-B069-0BE69B37E88E}"/>
    <cellStyle name="60% - Énfasis6 9 2 2 5" xfId="31589" xr:uid="{FC608162-ADE0-4561-8145-1D9B835842B3}"/>
    <cellStyle name="60% - Énfasis6 9 2 2 6" xfId="37460" xr:uid="{D43C95EB-9A48-48CE-8F7E-1FEDCC789586}"/>
    <cellStyle name="60% - Énfasis6 9 2 3" xfId="7359" xr:uid="{A03D406F-B98D-47F5-ABC8-F7F230B0A4AD}"/>
    <cellStyle name="60% - Énfasis6 9 2 3 2" xfId="21762" xr:uid="{B4E9B840-414D-4A60-9384-0CA3837E7BC4}"/>
    <cellStyle name="60% - Énfasis6 9 2 3 3" xfId="27593" xr:uid="{CFABF15E-E49E-4728-8D20-FC2B24B9338C}"/>
    <cellStyle name="60% - Énfasis6 9 2 3 4" xfId="33475" xr:uid="{0C75AE6E-50DB-4DC3-9762-D68A0E3284FD}"/>
    <cellStyle name="60% - Énfasis6 9 2 3 5" xfId="39339" xr:uid="{FFFA4FF7-7E30-4AD1-BEA2-9C2EC57BFAEA}"/>
    <cellStyle name="60% - Énfasis6 9 2 4" xfId="19000" xr:uid="{6B68CC77-6C80-4A7F-9D35-C5F40D5A818D}"/>
    <cellStyle name="60% - Énfasis6 9 2 5" xfId="24744" xr:uid="{05802887-4B41-470F-AC9A-68A19FE073ED}"/>
    <cellStyle name="60% - Énfasis6 9 2 6" xfId="30621" xr:uid="{5DBF1957-6068-4653-97AB-2C1DB424485D}"/>
    <cellStyle name="60% - Énfasis6 9 2 7" xfId="36503" xr:uid="{34437FA1-7FD2-46D3-AF50-EBDD8C5B8D30}"/>
    <cellStyle name="60% - Énfasis6 9 3" xfId="4979" xr:uid="{D055E4F4-9CA2-427E-8C17-9D053B6F3E8B}"/>
    <cellStyle name="60% - Énfasis6 9 3 2" xfId="7846" xr:uid="{94288D45-B5EC-4B32-B209-FCE6598EC58B}"/>
    <cellStyle name="60% - Énfasis6 9 3 2 2" xfId="22232" xr:uid="{46B18D93-C287-43E3-806B-6EEBB0F79F64}"/>
    <cellStyle name="60% - Énfasis6 9 3 2 3" xfId="28079" xr:uid="{4D48B7A3-4601-42B4-9205-04303E9D5D93}"/>
    <cellStyle name="60% - Énfasis6 9 3 2 4" xfId="33961" xr:uid="{B7D5594C-6872-4799-9E09-38D44EC96F64}"/>
    <cellStyle name="60% - Énfasis6 9 3 2 5" xfId="39825" xr:uid="{650B4BDC-7B39-4480-BF34-0B78FBF06061}"/>
    <cellStyle name="60% - Énfasis6 9 3 3" xfId="19460" xr:uid="{7E3C85C7-E2B7-4AA7-AA49-97487B79B965}"/>
    <cellStyle name="60% - Énfasis6 9 3 4" xfId="25230" xr:uid="{B5178A93-0394-4B86-8FA8-2F2C84FE8DD9}"/>
    <cellStyle name="60% - Énfasis6 9 3 5" xfId="31104" xr:uid="{15007894-C02E-4382-BD2F-8612C1DDE992}"/>
    <cellStyle name="60% - Énfasis6 9 3 6" xfId="36983" xr:uid="{AA136ABA-B88B-49A2-AE35-D7280F504314}"/>
    <cellStyle name="60% - Énfasis6 9 4" xfId="6875" xr:uid="{079DA70B-DC3C-4BB5-B2F2-4AD242A6C237}"/>
    <cellStyle name="60% - Énfasis6 9 4 2" xfId="21297" xr:uid="{297F413D-9A39-4987-BB9C-210755C46A53}"/>
    <cellStyle name="60% - Énfasis6 9 4 3" xfId="27113" xr:uid="{B33EBF2D-E3E8-4B64-B5FA-0D37E5C2450C}"/>
    <cellStyle name="60% - Énfasis6 9 4 4" xfId="32990" xr:uid="{5DFA5A8D-DFB0-4D64-9F00-7CCA684F2F19}"/>
    <cellStyle name="60% - Énfasis6 9 4 5" xfId="38854" xr:uid="{61CF5C67-A182-465E-87F4-368B052B700D}"/>
    <cellStyle name="60% - Énfasis6 9 5" xfId="18551" xr:uid="{5172037F-7E4C-4354-A8BB-ED515F8C7110}"/>
    <cellStyle name="60% - Énfasis6 9 6" xfId="24261" xr:uid="{71718795-4530-4A89-A749-5696669A84D2}"/>
    <cellStyle name="60% - Énfasis6 9 7" xfId="30139" xr:uid="{13ACD21E-85AD-4151-9027-50CC5261D97F}"/>
    <cellStyle name="60% - Énfasis6 9 8" xfId="36018" xr:uid="{B6B4A68A-62CA-41B6-8D78-23370E9C8279}"/>
    <cellStyle name="Bueno" xfId="6" builtinId="26" customBuiltin="1"/>
    <cellStyle name="Cálculo" xfId="11" builtinId="22" customBuiltin="1"/>
    <cellStyle name="Celda de comprobación" xfId="13" builtinId="23" customBuiltin="1"/>
    <cellStyle name="Celda vinculada" xfId="12" builtinId="24" customBuiltin="1"/>
    <cellStyle name="Comma [0] 2" xfId="64" xr:uid="{00000000-0005-0000-0000-00001F000000}"/>
    <cellStyle name="Comma [0] 2 10" xfId="2364" xr:uid="{583BD7E0-6347-47A0-8C6E-CF40115657DF}"/>
    <cellStyle name="Comma [0] 2 10 2" xfId="10635" xr:uid="{7008D54F-889D-4932-B83A-34CA5D3508B4}"/>
    <cellStyle name="Comma [0] 2 10 2 2" xfId="45795" xr:uid="{6E7F18A6-76AC-4535-A7C3-D3992E96C8C4}"/>
    <cellStyle name="Comma [0] 2 10 3" xfId="13475" xr:uid="{A2D4D3D9-4D9C-46BF-9E30-320D4FFDC4DF}"/>
    <cellStyle name="Comma [0] 2 10 4" xfId="43399" xr:uid="{353909C2-8916-4987-9BFD-5AE7F06369F2}"/>
    <cellStyle name="Comma [0] 2 10 5" xfId="48292" xr:uid="{730FCD60-57AB-4D62-8BF3-41C4F53C8241}"/>
    <cellStyle name="Comma [0] 2 11" xfId="2908" xr:uid="{BCEB2E42-54D9-40BC-9164-5788E67B1EF6}"/>
    <cellStyle name="Comma [0] 2 11 2" xfId="11179" xr:uid="{2A65B048-FC8E-4DC7-A29C-7B3C518AA395}"/>
    <cellStyle name="Comma [0] 2 11 2 2" xfId="46339" xr:uid="{7ECEB625-DC40-416D-9E1F-9CFDE37DBCD1}"/>
    <cellStyle name="Comma [0] 2 11 3" xfId="14019" xr:uid="{54A30BE4-6555-4345-9C05-C67AACE4B078}"/>
    <cellStyle name="Comma [0] 2 11 4" xfId="43943" xr:uid="{69F975E9-02F0-4BB2-BC33-C25B8EDBEEEA}"/>
    <cellStyle name="Comma [0] 2 11 5" xfId="48836" xr:uid="{AC8200FA-250C-44C3-9E61-097FA7A90471}"/>
    <cellStyle name="Comma [0] 2 12" xfId="3410" xr:uid="{922CDD53-9DFA-44E7-A3DB-37145282DC12}"/>
    <cellStyle name="Comma [0] 2 12 2" xfId="11651" xr:uid="{68A99699-7508-482D-9C8B-28DDF6164C00}"/>
    <cellStyle name="Comma [0] 2 12 3" xfId="14491" xr:uid="{E7F10BC0-93FA-4C64-9EA4-BA19DC44E743}"/>
    <cellStyle name="Comma [0] 2 12 4" xfId="44415" xr:uid="{0A1CA555-50CF-477B-9419-4C1CB0B851A8}"/>
    <cellStyle name="Comma [0] 2 12 5" xfId="49308" xr:uid="{90292DA1-7D20-41F8-AB38-BB97F1286D70}"/>
    <cellStyle name="Comma [0] 2 13" xfId="9673" xr:uid="{5A396561-8E74-4839-945A-1059B4FA345E}"/>
    <cellStyle name="Comma [0] 2 13 2" xfId="44833" xr:uid="{69C8BB9D-40D5-41C6-B97F-9001757030E0}"/>
    <cellStyle name="Comma [0] 2 14" xfId="12513" xr:uid="{D77B77D1-304F-48D2-95DC-EE3157FC5D21}"/>
    <cellStyle name="Comma [0] 2 15" xfId="15859" xr:uid="{FB280CC4-1C9C-41CE-AA30-9AA4BAEAD1D8}"/>
    <cellStyle name="Comma [0] 2 16" xfId="16399" xr:uid="{618AA670-3D7E-46E6-A813-9BBB361506A4}"/>
    <cellStyle name="Comma [0] 2 17" xfId="16943" xr:uid="{9BC9B1C5-C08D-4D20-8D02-EA4F9522404E}"/>
    <cellStyle name="Comma [0] 2 18" xfId="17651" xr:uid="{CEFACC39-7DB0-4396-8464-C71ACD0D66C6}"/>
    <cellStyle name="Comma [0] 2 19" xfId="42437" xr:uid="{AF9529BD-B227-4892-9053-1AB90D08C998}"/>
    <cellStyle name="Comma [0] 2 2" xfId="66" xr:uid="{00000000-0005-0000-0000-000020000000}"/>
    <cellStyle name="Comma [0] 2 2 10" xfId="2365" xr:uid="{A4007C15-47A2-48E8-95BB-758401C4E745}"/>
    <cellStyle name="Comma [0] 2 2 10 2" xfId="10636" xr:uid="{97A38FF6-D814-45C6-97D6-5374AB6E1276}"/>
    <cellStyle name="Comma [0] 2 2 10 2 2" xfId="45796" xr:uid="{012504A7-4CF6-4B5A-AEFE-395F3AC735F2}"/>
    <cellStyle name="Comma [0] 2 2 10 3" xfId="13476" xr:uid="{FE88D31B-30AE-4BD2-B998-D18EAF3183A5}"/>
    <cellStyle name="Comma [0] 2 2 10 4" xfId="43400" xr:uid="{1F7CDCC3-3139-4305-9556-7F1DC0F8A8BE}"/>
    <cellStyle name="Comma [0] 2 2 10 5" xfId="48293" xr:uid="{FCBDF8D7-475A-4C58-AA33-70FF189A7F79}"/>
    <cellStyle name="Comma [0] 2 2 11" xfId="2909" xr:uid="{DD904DCC-3ACB-48EE-9CEF-340872D26A4C}"/>
    <cellStyle name="Comma [0] 2 2 11 2" xfId="11180" xr:uid="{B9BB7E78-8F39-40D1-9703-80C2B7293F47}"/>
    <cellStyle name="Comma [0] 2 2 11 2 2" xfId="46340" xr:uid="{63F21D86-7BB0-4B71-83C9-A818296D3056}"/>
    <cellStyle name="Comma [0] 2 2 11 3" xfId="14020" xr:uid="{2D93F069-C90E-4AF5-91B6-CF7C94DED783}"/>
    <cellStyle name="Comma [0] 2 2 11 4" xfId="43944" xr:uid="{98B14506-4162-4C33-B816-4D29B8D77BE5}"/>
    <cellStyle name="Comma [0] 2 2 11 5" xfId="48837" xr:uid="{32B2FE3E-6A09-4EF9-BEF9-589F67384C53}"/>
    <cellStyle name="Comma [0] 2 2 12" xfId="3411" xr:uid="{6020721D-28E4-415E-B5D0-2CDAA8B37D17}"/>
    <cellStyle name="Comma [0] 2 2 12 2" xfId="11652" xr:uid="{E58331A4-DD30-402D-8838-DA33B7393731}"/>
    <cellStyle name="Comma [0] 2 2 12 3" xfId="14492" xr:uid="{B60B097B-A811-4E01-8877-F28E34E2BDE7}"/>
    <cellStyle name="Comma [0] 2 2 12 4" xfId="44416" xr:uid="{D9F5311F-607B-424B-B079-9571C4FEC131}"/>
    <cellStyle name="Comma [0] 2 2 12 5" xfId="49309" xr:uid="{643F5BF5-EB38-474D-9433-07FFE2F6A098}"/>
    <cellStyle name="Comma [0] 2 2 13" xfId="9674" xr:uid="{179A0BC2-16BE-4537-9EE5-F24814D53C38}"/>
    <cellStyle name="Comma [0] 2 2 13 2" xfId="44834" xr:uid="{D06C7688-668C-49A7-8430-8228E46A3BA5}"/>
    <cellStyle name="Comma [0] 2 2 14" xfId="12514" xr:uid="{D2EA1EA3-22E5-47DF-BEE7-199ACF6EA085}"/>
    <cellStyle name="Comma [0] 2 2 15" xfId="15855" xr:uid="{B238FCC8-1DED-46CD-844C-5D2387280002}"/>
    <cellStyle name="Comma [0] 2 2 16" xfId="16400" xr:uid="{2DFCF9BB-FF4F-49D8-A1D8-AB33E6819706}"/>
    <cellStyle name="Comma [0] 2 2 17" xfId="16944" xr:uid="{B7ACAEF0-28B8-4BEA-941D-2CF3BDCE4D7B}"/>
    <cellStyle name="Comma [0] 2 2 18" xfId="18100" xr:uid="{3F54D086-FEE5-4DBA-BFEE-1EA2EC7FC179}"/>
    <cellStyle name="Comma [0] 2 2 19" xfId="42438" xr:uid="{84B4E545-A8CA-4C04-84A2-2D28E7670D57}"/>
    <cellStyle name="Comma [0] 2 2 2" xfId="97" xr:uid="{00000000-0005-0000-0000-000021000000}"/>
    <cellStyle name="Comma [0] 2 2 2 10" xfId="3423" xr:uid="{16AA2AFA-895D-45C8-923B-405CB9331967}"/>
    <cellStyle name="Comma [0] 2 2 2 10 2" xfId="11664" xr:uid="{5E679DA8-1B33-4C59-A625-17F8C03F4827}"/>
    <cellStyle name="Comma [0] 2 2 2 10 3" xfId="14504" xr:uid="{A7D47632-945E-4F13-AFE7-372EFC7413BE}"/>
    <cellStyle name="Comma [0] 2 2 2 10 4" xfId="44428" xr:uid="{0BF28066-5BE9-4EA2-B13D-F6E716B4D90D}"/>
    <cellStyle name="Comma [0] 2 2 2 10 5" xfId="49321" xr:uid="{2F1F97B4-4E3B-40FC-8BDA-D456ACD3B208}"/>
    <cellStyle name="Comma [0] 2 2 2 11" xfId="9686" xr:uid="{59E322AE-1B42-43EB-B19E-22B843B4C1BA}"/>
    <cellStyle name="Comma [0] 2 2 2 11 2" xfId="44846" xr:uid="{C02624ED-2C8D-46E1-B8BA-2EBD19ECBAB2}"/>
    <cellStyle name="Comma [0] 2 2 2 12" xfId="12526" xr:uid="{A8AB2E65-2424-4240-8751-0ADB7570D229}"/>
    <cellStyle name="Comma [0] 2 2 2 13" xfId="15869" xr:uid="{B58B10D5-543A-4533-8647-2D20A8FC7483}"/>
    <cellStyle name="Comma [0] 2 2 2 14" xfId="16412" xr:uid="{F32865F5-5EDA-4FF5-9824-28F143E03D53}"/>
    <cellStyle name="Comma [0] 2 2 2 15" xfId="16956" xr:uid="{7F1591AA-949A-4D09-BA96-E7AACF981205}"/>
    <cellStyle name="Comma [0] 2 2 2 16" xfId="18349" xr:uid="{9BC94452-82E6-4A24-BABD-82DC7BAFC7A6}"/>
    <cellStyle name="Comma [0] 2 2 2 17" xfId="42450" xr:uid="{337CAFD7-991E-470B-832D-B108689D11B9}"/>
    <cellStyle name="Comma [0] 2 2 2 18" xfId="47343" xr:uid="{F1A1D383-6B2B-49E6-94A8-5DAA49B8F0DD}"/>
    <cellStyle name="Comma [0] 2 2 2 2" xfId="192" xr:uid="{00000000-0005-0000-0000-000022000000}"/>
    <cellStyle name="Comma [0] 2 2 2 2 10" xfId="12595" xr:uid="{CB1A8A4C-7ACD-4759-812B-981F0266E016}"/>
    <cellStyle name="Comma [0] 2 2 2 2 11" xfId="15938" xr:uid="{9B4251BA-1AFF-497D-9510-336F1F2F5C41}"/>
    <cellStyle name="Comma [0] 2 2 2 2 12" xfId="16481" xr:uid="{3BAE3A2F-E5DF-45DB-BEE8-2A0F6F8E15B8}"/>
    <cellStyle name="Comma [0] 2 2 2 2 13" xfId="17025" xr:uid="{228C23D8-2E1E-4ECB-9166-1F1DEF90CF7B}"/>
    <cellStyle name="Comma [0] 2 2 2 2 14" xfId="18139" xr:uid="{DE38C2B0-3757-488C-ACB5-9113701237CA}"/>
    <cellStyle name="Comma [0] 2 2 2 2 15" xfId="42519" xr:uid="{47B70894-4F84-4A94-AF09-D3F555B5C453}"/>
    <cellStyle name="Comma [0] 2 2 2 2 16" xfId="47412" xr:uid="{DBE523E5-AE99-49E7-A153-2020B8F63C91}"/>
    <cellStyle name="Comma [0] 2 2 2 2 2" xfId="301" xr:uid="{00000000-0005-0000-0000-000023000000}"/>
    <cellStyle name="Comma [0] 2 2 2 2 2 10" xfId="16585" xr:uid="{4D7A17E8-CF1A-4CB8-B394-362ED977D2B0}"/>
    <cellStyle name="Comma [0] 2 2 2 2 2 11" xfId="17129" xr:uid="{76630D17-9A06-43E7-85AF-E1D313DCE155}"/>
    <cellStyle name="Comma [0] 2 2 2 2 2 12" xfId="18239" xr:uid="{D397B63F-25BA-4E2D-AA7E-863C133FC42D}"/>
    <cellStyle name="Comma [0] 2 2 2 2 2 13" xfId="42623" xr:uid="{28B14D72-7DA3-4792-BC02-29F760E4EE85}"/>
    <cellStyle name="Comma [0] 2 2 2 2 2 14" xfId="47516" xr:uid="{4D536342-04C9-4B22-94BE-1AFEA853F861}"/>
    <cellStyle name="Comma [0] 2 2 2 2 2 2" xfId="528" xr:uid="{00000000-0005-0000-0000-000024000000}"/>
    <cellStyle name="Comma [0] 2 2 2 2 2 2 10" xfId="17341" xr:uid="{7FDB515E-3358-4BE3-8D2F-E676FA86EA5D}"/>
    <cellStyle name="Comma [0] 2 2 2 2 2 2 11" xfId="22050" xr:uid="{B8B72A24-0D26-42DA-916E-E26F289874D8}"/>
    <cellStyle name="Comma [0] 2 2 2 2 2 2 12" xfId="42835" xr:uid="{AAC1E338-3514-4B07-BB0A-212546102178}"/>
    <cellStyle name="Comma [0] 2 2 2 2 2 2 13" xfId="47728" xr:uid="{970F7273-9A6C-4DE5-B4AE-C53C545A78F6}"/>
    <cellStyle name="Comma [0] 2 2 2 2 2 2 2" xfId="2344" xr:uid="{F715B9ED-99BB-44DD-8DD8-5B732AAACEE5}"/>
    <cellStyle name="Comma [0] 2 2 2 2 2 2 2 2" xfId="10615" xr:uid="{B5779E57-40C9-46F1-A666-32689AFFB13A}"/>
    <cellStyle name="Comma [0] 2 2 2 2 2 2 2 2 2" xfId="45775" xr:uid="{0FA6E546-D70C-4D84-BDBF-DB351E1D3370}"/>
    <cellStyle name="Comma [0] 2 2 2 2 2 2 2 3" xfId="13455" xr:uid="{F88ED209-689E-4AF3-86E5-75DDD647A22C}"/>
    <cellStyle name="Comma [0] 2 2 2 2 2 2 2 4" xfId="43379" xr:uid="{E460906F-B8D0-4D6D-AEAA-F3B6A07FC60C}"/>
    <cellStyle name="Comma [0] 2 2 2 2 2 2 2 5" xfId="48272" xr:uid="{8FD6A8A0-E10C-4A34-9A82-ACC8D4FC67CB}"/>
    <cellStyle name="Comma [0] 2 2 2 2 2 2 3" xfId="2762" xr:uid="{193A9C09-8C1A-42EE-BF26-B9523AD1EAA2}"/>
    <cellStyle name="Comma [0] 2 2 2 2 2 2 3 2" xfId="11033" xr:uid="{710A577B-B468-4B20-A74A-677A2DE173C1}"/>
    <cellStyle name="Comma [0] 2 2 2 2 2 2 3 2 2" xfId="46193" xr:uid="{404EDBAB-530A-4E30-8B22-426D936BD9F1}"/>
    <cellStyle name="Comma [0] 2 2 2 2 2 2 3 3" xfId="13873" xr:uid="{415D3F91-37FB-44D8-A276-BBCB27EB3284}"/>
    <cellStyle name="Comma [0] 2 2 2 2 2 2 3 4" xfId="43797" xr:uid="{02C15815-2856-47ED-BAC4-88DE7FEB55A5}"/>
    <cellStyle name="Comma [0] 2 2 2 2 2 2 3 5" xfId="48690" xr:uid="{637BAE01-AE02-4737-8E88-2B517FDA5D7C}"/>
    <cellStyle name="Comma [0] 2 2 2 2 2 2 4" xfId="3306" xr:uid="{0B846C1C-292B-4047-91F6-4B0F0A0518A5}"/>
    <cellStyle name="Comma [0] 2 2 2 2 2 2 4 2" xfId="11577" xr:uid="{079EFE60-275D-477E-A8A5-EECE4D8CF9ED}"/>
    <cellStyle name="Comma [0] 2 2 2 2 2 2 4 2 2" xfId="46737" xr:uid="{1E2B790C-4D52-4C2B-B934-D66968A73F7D}"/>
    <cellStyle name="Comma [0] 2 2 2 2 2 2 4 3" xfId="14417" xr:uid="{16FBE80E-31EE-41C9-B563-3D465A7B02CB}"/>
    <cellStyle name="Comma [0] 2 2 2 2 2 2 4 4" xfId="44341" xr:uid="{9669488C-53D0-48B8-A3A1-573534630BBA}"/>
    <cellStyle name="Comma [0] 2 2 2 2 2 2 4 5" xfId="49234" xr:uid="{64BD9FD9-2149-4125-A32C-952DEFDCDFC6}"/>
    <cellStyle name="Comma [0] 2 2 2 2 2 2 5" xfId="3808" xr:uid="{4EF85597-E4D0-4A13-814C-3CE314CDD201}"/>
    <cellStyle name="Comma [0] 2 2 2 2 2 2 5 2" xfId="12049" xr:uid="{C1E0AC7E-B834-4791-AD90-29AF9F502390}"/>
    <cellStyle name="Comma [0] 2 2 2 2 2 2 5 3" xfId="14889" xr:uid="{577103AF-D137-492B-A34A-A3A3E8427CF2}"/>
    <cellStyle name="Comma [0] 2 2 2 2 2 2 5 4" xfId="44813" xr:uid="{13721496-5F47-466A-A1E4-AFBF3247EC7A}"/>
    <cellStyle name="Comma [0] 2 2 2 2 2 2 5 5" xfId="49706" xr:uid="{411E8B07-95F0-455D-BC7E-1EA42FCA3B1E}"/>
    <cellStyle name="Comma [0] 2 2 2 2 2 2 6" xfId="10071" xr:uid="{F82AD798-1818-4DD2-BD79-67E2D922777A}"/>
    <cellStyle name="Comma [0] 2 2 2 2 2 2 6 2" xfId="45231" xr:uid="{0C5B3BA5-C389-46E3-8FE7-D045EB1D1266}"/>
    <cellStyle name="Comma [0] 2 2 2 2 2 2 7" xfId="12911" xr:uid="{0AA78A9A-D3CA-4CB5-A2F4-782B4CAEF213}"/>
    <cellStyle name="Comma [0] 2 2 2 2 2 2 8" xfId="16254" xr:uid="{B5CD0C03-B28C-4D2B-8AEB-7059EB1DEAD2}"/>
    <cellStyle name="Comma [0] 2 2 2 2 2 2 9" xfId="16797" xr:uid="{27B122A4-9526-4D94-A14B-FEFD198BD5B4}"/>
    <cellStyle name="Comma [0] 2 2 2 2 2 3" xfId="2132" xr:uid="{92835552-4C4B-40E3-9A72-117303752ACE}"/>
    <cellStyle name="Comma [0] 2 2 2 2 2 3 2" xfId="10403" xr:uid="{F5E9DCA6-2528-40F7-941F-73E2E0096DEF}"/>
    <cellStyle name="Comma [0] 2 2 2 2 2 3 2 2" xfId="45563" xr:uid="{E9F7E9D0-2E1E-47B6-BF09-AC9D60FEC8D8}"/>
    <cellStyle name="Comma [0] 2 2 2 2 2 3 3" xfId="13243" xr:uid="{94750DC8-B33A-48DE-A0B4-FD58E6556E99}"/>
    <cellStyle name="Comma [0] 2 2 2 2 2 3 4" xfId="43167" xr:uid="{5B327017-0BB0-4920-A631-5CB9A0C36FF4}"/>
    <cellStyle name="Comma [0] 2 2 2 2 2 3 5" xfId="48060" xr:uid="{742E6284-37A6-4D5A-A6C8-13FA568C9349}"/>
    <cellStyle name="Comma [0] 2 2 2 2 2 4" xfId="2550" xr:uid="{28416C64-B669-4C1F-9141-9739D23F4EFA}"/>
    <cellStyle name="Comma [0] 2 2 2 2 2 4 2" xfId="10821" xr:uid="{15E8E681-F2F1-48FB-B966-5BB06458134E}"/>
    <cellStyle name="Comma [0] 2 2 2 2 2 4 2 2" xfId="45981" xr:uid="{26352F2B-8995-4CAC-8C7F-83EEC3DC6076}"/>
    <cellStyle name="Comma [0] 2 2 2 2 2 4 3" xfId="13661" xr:uid="{B494E28B-9293-4205-A947-65F8D0E1A44A}"/>
    <cellStyle name="Comma [0] 2 2 2 2 2 4 4" xfId="43585" xr:uid="{BB29BD59-2BD0-4627-9EE2-236729C6DBC5}"/>
    <cellStyle name="Comma [0] 2 2 2 2 2 4 5" xfId="48478" xr:uid="{77AE1A56-7522-44D9-B4FB-9087B6B75DD7}"/>
    <cellStyle name="Comma [0] 2 2 2 2 2 5" xfId="3094" xr:uid="{CCCA2C0E-E1A9-401D-8AEA-E6FB7352D0BE}"/>
    <cellStyle name="Comma [0] 2 2 2 2 2 5 2" xfId="11365" xr:uid="{58A2B932-8B49-4FDE-9DF0-F8CA6B583A54}"/>
    <cellStyle name="Comma [0] 2 2 2 2 2 5 2 2" xfId="46525" xr:uid="{AFF862D0-3558-4CD4-BABC-F1DC27EE6307}"/>
    <cellStyle name="Comma [0] 2 2 2 2 2 5 3" xfId="14205" xr:uid="{99A09831-CF2C-428F-9E68-3F2F9DD60D80}"/>
    <cellStyle name="Comma [0] 2 2 2 2 2 5 4" xfId="44129" xr:uid="{15622582-BF9A-4B50-8963-1DB860853948}"/>
    <cellStyle name="Comma [0] 2 2 2 2 2 5 5" xfId="49022" xr:uid="{B7BC339C-3D3C-4267-88F2-260C96E6664E}"/>
    <cellStyle name="Comma [0] 2 2 2 2 2 6" xfId="3596" xr:uid="{393C8385-0D97-42FD-B7FE-9DA04F5943B7}"/>
    <cellStyle name="Comma [0] 2 2 2 2 2 6 2" xfId="11837" xr:uid="{9BFEAC6A-6A55-47B4-8CD8-8E6B67279B3E}"/>
    <cellStyle name="Comma [0] 2 2 2 2 2 6 3" xfId="14677" xr:uid="{84BC044A-5F9C-4255-BA78-53573D6C2E69}"/>
    <cellStyle name="Comma [0] 2 2 2 2 2 6 4" xfId="44601" xr:uid="{D9E8C03E-64DB-4EFD-9D87-AE0A6E5D17EE}"/>
    <cellStyle name="Comma [0] 2 2 2 2 2 6 5" xfId="49494" xr:uid="{E8EF7812-BD79-496F-9F32-DCFD8D8B5EC0}"/>
    <cellStyle name="Comma [0] 2 2 2 2 2 7" xfId="9859" xr:uid="{850575F7-8656-4B92-B3C9-9437F37A2D32}"/>
    <cellStyle name="Comma [0] 2 2 2 2 2 7 2" xfId="45019" xr:uid="{8DB383B5-0A3C-47BF-890F-C2B22FC256D4}"/>
    <cellStyle name="Comma [0] 2 2 2 2 2 8" xfId="12699" xr:uid="{EA7B0856-AD48-429F-9D8A-D36517DDBC4C}"/>
    <cellStyle name="Comma [0] 2 2 2 2 2 9" xfId="16042" xr:uid="{11C2B3CA-A224-4896-82EF-0742C978C89D}"/>
    <cellStyle name="Comma [0] 2 2 2 2 3" xfId="427" xr:uid="{00000000-0005-0000-0000-000025000000}"/>
    <cellStyle name="Comma [0] 2 2 2 2 3 10" xfId="17241" xr:uid="{9B423DE0-BF4C-4CBC-86E8-F706C590BAB1}"/>
    <cellStyle name="Comma [0] 2 2 2 2 3 11" xfId="19560" xr:uid="{E5A73B33-BD37-42CA-B303-1F2CD0060F10}"/>
    <cellStyle name="Comma [0] 2 2 2 2 3 12" xfId="42735" xr:uid="{E0A66CF2-15A5-49F4-80C3-1D6719545EFC}"/>
    <cellStyle name="Comma [0] 2 2 2 2 3 13" xfId="47628" xr:uid="{B8D919EF-2802-45FB-AAF3-5DC4628B02D9}"/>
    <cellStyle name="Comma [0] 2 2 2 2 3 2" xfId="2244" xr:uid="{BBE70D51-2FA6-452D-B23E-536B5E53E561}"/>
    <cellStyle name="Comma [0] 2 2 2 2 3 2 2" xfId="10515" xr:uid="{27D9F712-C03B-4A09-95E5-D0E235F1433E}"/>
    <cellStyle name="Comma [0] 2 2 2 2 3 2 2 2" xfId="45675" xr:uid="{159C7C07-7024-4209-895D-A00F9D15718C}"/>
    <cellStyle name="Comma [0] 2 2 2 2 3 2 3" xfId="13355" xr:uid="{C2078F5C-4A0E-4B8C-B0A7-2B7EA0C30365}"/>
    <cellStyle name="Comma [0] 2 2 2 2 3 2 4" xfId="43279" xr:uid="{6A21687F-D46B-4FA7-B063-60D8F00B916C}"/>
    <cellStyle name="Comma [0] 2 2 2 2 3 2 5" xfId="48172" xr:uid="{A8F8146D-B6E5-4089-9571-87FC99E66650}"/>
    <cellStyle name="Comma [0] 2 2 2 2 3 3" xfId="2662" xr:uid="{330EBCEB-7409-400E-8BC2-2DC024CABE90}"/>
    <cellStyle name="Comma [0] 2 2 2 2 3 3 2" xfId="10933" xr:uid="{9A10CA58-4958-40AF-8CFC-BD102F5770B9}"/>
    <cellStyle name="Comma [0] 2 2 2 2 3 3 2 2" xfId="46093" xr:uid="{AB1EE57C-AC7D-409E-9E5C-1540923C38EF}"/>
    <cellStyle name="Comma [0] 2 2 2 2 3 3 3" xfId="13773" xr:uid="{E4621141-864D-40B9-91B1-DEBE1605F929}"/>
    <cellStyle name="Comma [0] 2 2 2 2 3 3 4" xfId="43697" xr:uid="{FEB7E7E1-864C-4B24-95AE-06B35317CC26}"/>
    <cellStyle name="Comma [0] 2 2 2 2 3 3 5" xfId="48590" xr:uid="{CFFC2B8B-2C62-42E9-9C54-962C64D2FE90}"/>
    <cellStyle name="Comma [0] 2 2 2 2 3 4" xfId="3206" xr:uid="{B9C22963-15FB-4BC6-86C6-800CA41912D9}"/>
    <cellStyle name="Comma [0] 2 2 2 2 3 4 2" xfId="11477" xr:uid="{E1E81992-ADAA-46B0-BF69-474DC0943AFE}"/>
    <cellStyle name="Comma [0] 2 2 2 2 3 4 2 2" xfId="46637" xr:uid="{277BEC7F-7019-4ABB-A5D3-25763AC53D6B}"/>
    <cellStyle name="Comma [0] 2 2 2 2 3 4 3" xfId="14317" xr:uid="{FEE1FC1D-41ED-40EA-B8E1-34F6684E77D8}"/>
    <cellStyle name="Comma [0] 2 2 2 2 3 4 4" xfId="44241" xr:uid="{3F406A26-26D4-4007-8456-2C4857E61234}"/>
    <cellStyle name="Comma [0] 2 2 2 2 3 4 5" xfId="49134" xr:uid="{D8ABA5C9-173A-4F97-BF37-ACC5B8EB89F4}"/>
    <cellStyle name="Comma [0] 2 2 2 2 3 5" xfId="3708" xr:uid="{24BCA333-10C0-4383-877B-976AC783D8D1}"/>
    <cellStyle name="Comma [0] 2 2 2 2 3 5 2" xfId="11949" xr:uid="{EE98461A-4C6F-46BF-AE81-F4755A3B5128}"/>
    <cellStyle name="Comma [0] 2 2 2 2 3 5 3" xfId="14789" xr:uid="{07ABB361-6B0A-40B6-9354-D7EB70510A4C}"/>
    <cellStyle name="Comma [0] 2 2 2 2 3 5 4" xfId="44713" xr:uid="{BBCB487D-B30C-4206-B1EE-6DB68F2CAD49}"/>
    <cellStyle name="Comma [0] 2 2 2 2 3 5 5" xfId="49606" xr:uid="{0D85254C-F4DB-41BA-9A72-3709AE1353EA}"/>
    <cellStyle name="Comma [0] 2 2 2 2 3 6" xfId="9971" xr:uid="{2F541170-91BB-4908-A334-D4F1D8B69729}"/>
    <cellStyle name="Comma [0] 2 2 2 2 3 6 2" xfId="45131" xr:uid="{3B9C73B4-F309-4F23-9862-4841E5D44C28}"/>
    <cellStyle name="Comma [0] 2 2 2 2 3 7" xfId="12811" xr:uid="{7B33D0E0-52AE-46B8-94A4-E70248A0E78C}"/>
    <cellStyle name="Comma [0] 2 2 2 2 3 8" xfId="16154" xr:uid="{6A953BF3-E95E-4062-806C-244307EF4533}"/>
    <cellStyle name="Comma [0] 2 2 2 2 3 9" xfId="16697" xr:uid="{74A15106-F423-44FF-B916-BF3D3256116F}"/>
    <cellStyle name="Comma [0] 2 2 2 2 4" xfId="630" xr:uid="{00000000-0005-0000-0000-000026000000}"/>
    <cellStyle name="Comma [0] 2 2 2 2 4 10" xfId="47830" xr:uid="{D92478A3-5EEC-40C3-BB52-54DF618E5BA8}"/>
    <cellStyle name="Comma [0] 2 2 2 2 4 2" xfId="2864" xr:uid="{F57F99E2-AFA6-4BFB-A8F4-BC31C083520A}"/>
    <cellStyle name="Comma [0] 2 2 2 2 4 2 2" xfId="11135" xr:uid="{0838AA67-A295-413E-A7C3-12901C58DB1F}"/>
    <cellStyle name="Comma [0] 2 2 2 2 4 2 2 2" xfId="46295" xr:uid="{E950F3E0-1842-48CF-9848-BE9ABB42D8AE}"/>
    <cellStyle name="Comma [0] 2 2 2 2 4 2 3" xfId="13975" xr:uid="{6F3BEE8B-C277-4ECE-A8E8-95209575770C}"/>
    <cellStyle name="Comma [0] 2 2 2 2 4 2 4" xfId="43899" xr:uid="{2DBF61EF-BB29-45D6-AD44-3C05C4D979E5}"/>
    <cellStyle name="Comma [0] 2 2 2 2 4 2 5" xfId="48792" xr:uid="{942C37CA-D827-4163-8902-9134AEC5E999}"/>
    <cellStyle name="Comma [0] 2 2 2 2 4 3" xfId="10173" xr:uid="{08B5ED8C-10F7-4B7F-BDB1-FCC5DE029BC4}"/>
    <cellStyle name="Comma [0] 2 2 2 2 4 3 2" xfId="45333" xr:uid="{BD275222-57C2-4630-B0CB-5E601FC88CE7}"/>
    <cellStyle name="Comma [0] 2 2 2 2 4 4" xfId="13013" xr:uid="{E621BE64-ACE0-4D57-818C-461CDE61A0E0}"/>
    <cellStyle name="Comma [0] 2 2 2 2 4 5" xfId="16356" xr:uid="{08F4374B-0FE6-4C59-8E6D-B58888182494}"/>
    <cellStyle name="Comma [0] 2 2 2 2 4 6" xfId="16899" xr:uid="{5C252EC4-0E62-4712-9AFD-4CDC6B2468B9}"/>
    <cellStyle name="Comma [0] 2 2 2 2 4 7" xfId="17443" xr:uid="{9D5D2C27-31A9-403F-A75E-EBC6B6793C32}"/>
    <cellStyle name="Comma [0] 2 2 2 2 4 8" xfId="17826" xr:uid="{892770F3-EC36-4E14-B8E9-7542E8CC6D33}"/>
    <cellStyle name="Comma [0] 2 2 2 2 4 9" xfId="42937" xr:uid="{FCA731A8-0EB5-482A-A0BC-26C2A1B31E75}"/>
    <cellStyle name="Comma [0] 2 2 2 2 5" xfId="2028" xr:uid="{7C0C9A0F-8983-43A1-8495-1CDBF7C23851}"/>
    <cellStyle name="Comma [0] 2 2 2 2 5 2" xfId="10299" xr:uid="{5A1D2665-B79D-416C-A568-69CB4BA01F27}"/>
    <cellStyle name="Comma [0] 2 2 2 2 5 2 2" xfId="45459" xr:uid="{CCF4E306-958D-4E9D-9762-9972E42780D0}"/>
    <cellStyle name="Comma [0] 2 2 2 2 5 3" xfId="13139" xr:uid="{1093E57F-6795-4E29-A0D0-0B6EB3DCCA99}"/>
    <cellStyle name="Comma [0] 2 2 2 2 5 4" xfId="43063" xr:uid="{E6FF7BF2-A562-4C70-8E2B-64811A117DFE}"/>
    <cellStyle name="Comma [0] 2 2 2 2 5 5" xfId="47956" xr:uid="{889A9526-A754-4ED3-961F-B6B5CEB1DD34}"/>
    <cellStyle name="Comma [0] 2 2 2 2 6" xfId="2446" xr:uid="{8CFECDCF-9EB9-4718-B70A-BFFDE403EB4F}"/>
    <cellStyle name="Comma [0] 2 2 2 2 6 2" xfId="10717" xr:uid="{F116B252-D50A-4709-996B-F2A41E7991E4}"/>
    <cellStyle name="Comma [0] 2 2 2 2 6 2 2" xfId="45877" xr:uid="{05B42E7D-5D7C-4566-B122-2D8441816942}"/>
    <cellStyle name="Comma [0] 2 2 2 2 6 3" xfId="13557" xr:uid="{4582D53F-3A04-48D0-AE77-AEECF4638015}"/>
    <cellStyle name="Comma [0] 2 2 2 2 6 4" xfId="43481" xr:uid="{ECC7A6FE-C4CC-4FB0-B53E-ADA6A800E8CE}"/>
    <cellStyle name="Comma [0] 2 2 2 2 6 5" xfId="48374" xr:uid="{4BFBCF92-3B61-4EA3-962C-C683F4594FDA}"/>
    <cellStyle name="Comma [0] 2 2 2 2 7" xfId="2990" xr:uid="{5E92DE33-F61E-482E-B7F4-917111F61E03}"/>
    <cellStyle name="Comma [0] 2 2 2 2 7 2" xfId="11261" xr:uid="{942C75CC-61B4-4B68-A537-A3E408C06F71}"/>
    <cellStyle name="Comma [0] 2 2 2 2 7 2 2" xfId="46421" xr:uid="{75365844-D5B4-4F95-9A86-7F0F76D1F3E8}"/>
    <cellStyle name="Comma [0] 2 2 2 2 7 3" xfId="14101" xr:uid="{0532F5BA-CD60-4779-8567-557E6F6341D6}"/>
    <cellStyle name="Comma [0] 2 2 2 2 7 4" xfId="44025" xr:uid="{646FE0BB-7428-4188-8E95-405D93634A2C}"/>
    <cellStyle name="Comma [0] 2 2 2 2 7 5" xfId="48918" xr:uid="{ADA784B2-09A1-4A00-B04B-F933AA5DE9D4}"/>
    <cellStyle name="Comma [0] 2 2 2 2 8" xfId="3492" xr:uid="{6657136F-0D7D-41B8-8CA3-673B3FFE38DC}"/>
    <cellStyle name="Comma [0] 2 2 2 2 8 2" xfId="11733" xr:uid="{D3D3F34C-4E6D-4B57-958C-74122354D1D2}"/>
    <cellStyle name="Comma [0] 2 2 2 2 8 3" xfId="14573" xr:uid="{36B761E2-0E1B-4865-8B28-0EAD599F13CB}"/>
    <cellStyle name="Comma [0] 2 2 2 2 8 4" xfId="44497" xr:uid="{9A09179B-764F-4FCC-82F7-9ECDDC2DD72C}"/>
    <cellStyle name="Comma [0] 2 2 2 2 8 5" xfId="49390" xr:uid="{351525B4-F4E8-49D3-9848-84E6775D1B3F}"/>
    <cellStyle name="Comma [0] 2 2 2 2 9" xfId="9755" xr:uid="{5ED6A19A-067D-4C06-887B-2F05D0198B10}"/>
    <cellStyle name="Comma [0] 2 2 2 2 9 2" xfId="44915" xr:uid="{BC982BC6-AF15-4336-A651-72F51E5D8712}"/>
    <cellStyle name="Comma [0] 2 2 2 3" xfId="145" xr:uid="{00000000-0005-0000-0000-000027000000}"/>
    <cellStyle name="Comma [0] 2 2 2 3 10" xfId="12553" xr:uid="{C553232F-2A5B-4496-86D5-97929500E609}"/>
    <cellStyle name="Comma [0] 2 2 2 3 11" xfId="15896" xr:uid="{3A9E7612-1134-4F24-94CA-508DF3295077}"/>
    <cellStyle name="Comma [0] 2 2 2 3 12" xfId="16439" xr:uid="{8CB6BB42-F795-4D3D-BFB2-D4A6B138C282}"/>
    <cellStyle name="Comma [0] 2 2 2 3 13" xfId="16983" xr:uid="{578AF544-14D6-4C74-AF69-152570061627}"/>
    <cellStyle name="Comma [0] 2 2 2 3 14" xfId="17631" xr:uid="{E9BA88E5-9DC0-4927-812B-75336B4207BC}"/>
    <cellStyle name="Comma [0] 2 2 2 3 15" xfId="42477" xr:uid="{F82CD548-F214-4BAD-B99D-08A6A0DDE6DA}"/>
    <cellStyle name="Comma [0] 2 2 2 3 16" xfId="47370" xr:uid="{375A6CA8-5771-4671-BA30-92470511DAED}"/>
    <cellStyle name="Comma [0] 2 2 2 3 2" xfId="259" xr:uid="{00000000-0005-0000-0000-000028000000}"/>
    <cellStyle name="Comma [0] 2 2 2 3 2 10" xfId="16543" xr:uid="{88EA4DF1-E9FC-4459-A079-B872B6C56023}"/>
    <cellStyle name="Comma [0] 2 2 2 3 2 11" xfId="17087" xr:uid="{5516E35C-5AC4-481D-9FA4-4E3D79092540}"/>
    <cellStyle name="Comma [0] 2 2 2 3 2 12" xfId="17720" xr:uid="{A811F407-1B5D-4E44-AF40-434FBE932A0E}"/>
    <cellStyle name="Comma [0] 2 2 2 3 2 13" xfId="42581" xr:uid="{5ED6B6AE-5229-458B-85E5-D02F65DC0837}"/>
    <cellStyle name="Comma [0] 2 2 2 3 2 14" xfId="47474" xr:uid="{55F20C4D-6A29-4FA3-9420-35AABD1472E5}"/>
    <cellStyle name="Comma [0] 2 2 2 3 2 2" xfId="486" xr:uid="{00000000-0005-0000-0000-000029000000}"/>
    <cellStyle name="Comma [0] 2 2 2 3 2 2 10" xfId="17299" xr:uid="{5B7C7A67-2EB8-4708-9C02-939DB0451CDA}"/>
    <cellStyle name="Comma [0] 2 2 2 3 2 2 11" xfId="17609" xr:uid="{E4D537D7-5532-448F-B5DE-A1F7CB261B36}"/>
    <cellStyle name="Comma [0] 2 2 2 3 2 2 12" xfId="42793" xr:uid="{F41BD9AE-8E94-4CA0-8432-BFA8F3424A9F}"/>
    <cellStyle name="Comma [0] 2 2 2 3 2 2 13" xfId="47686" xr:uid="{E9E871B9-97C9-4C7E-B23A-A6E88B4E8487}"/>
    <cellStyle name="Comma [0] 2 2 2 3 2 2 2" xfId="2302" xr:uid="{CA91CCDF-A44E-49B9-8F00-2CE4D8426D57}"/>
    <cellStyle name="Comma [0] 2 2 2 3 2 2 2 2" xfId="10573" xr:uid="{D866C2CC-B95F-4352-881C-7950D7BD1745}"/>
    <cellStyle name="Comma [0] 2 2 2 3 2 2 2 2 2" xfId="45733" xr:uid="{D9999153-3514-451C-9BF9-71A5F9815C0D}"/>
    <cellStyle name="Comma [0] 2 2 2 3 2 2 2 3" xfId="13413" xr:uid="{8F263A6E-4A42-4091-8B1A-8CA86E3DC03C}"/>
    <cellStyle name="Comma [0] 2 2 2 3 2 2 2 4" xfId="43337" xr:uid="{86875928-BA3D-4E2C-8560-00F367BD27CC}"/>
    <cellStyle name="Comma [0] 2 2 2 3 2 2 2 5" xfId="48230" xr:uid="{9D9861C6-E2C4-4DDC-8354-15242580C503}"/>
    <cellStyle name="Comma [0] 2 2 2 3 2 2 3" xfId="2720" xr:uid="{03A07CCC-7E32-415A-B373-B989CC11FAB9}"/>
    <cellStyle name="Comma [0] 2 2 2 3 2 2 3 2" xfId="10991" xr:uid="{92DA55EF-2319-4FAD-A9A8-23EE705BE86E}"/>
    <cellStyle name="Comma [0] 2 2 2 3 2 2 3 2 2" xfId="46151" xr:uid="{37AD5266-4B1B-4AA8-834D-C8F117B42674}"/>
    <cellStyle name="Comma [0] 2 2 2 3 2 2 3 3" xfId="13831" xr:uid="{93D69EFD-C0E2-41D6-B9FB-BF1ED18DA1FC}"/>
    <cellStyle name="Comma [0] 2 2 2 3 2 2 3 4" xfId="43755" xr:uid="{FC477711-620B-49C8-BCF3-1AEE8A94958D}"/>
    <cellStyle name="Comma [0] 2 2 2 3 2 2 3 5" xfId="48648" xr:uid="{B0B812ED-2007-4E21-B727-D313C338AB66}"/>
    <cellStyle name="Comma [0] 2 2 2 3 2 2 4" xfId="3264" xr:uid="{07678F83-AE65-48B2-A039-6915D78D1771}"/>
    <cellStyle name="Comma [0] 2 2 2 3 2 2 4 2" xfId="11535" xr:uid="{2D6DD144-174F-40B9-B8E6-BBE668B3D3DF}"/>
    <cellStyle name="Comma [0] 2 2 2 3 2 2 4 2 2" xfId="46695" xr:uid="{C257F150-2419-4564-98E5-93C1829DACF0}"/>
    <cellStyle name="Comma [0] 2 2 2 3 2 2 4 3" xfId="14375" xr:uid="{57571372-F111-43E7-8DE1-665B365FF42C}"/>
    <cellStyle name="Comma [0] 2 2 2 3 2 2 4 4" xfId="44299" xr:uid="{04D19CCD-AB2C-40D8-ABA3-B0DFDAE4576A}"/>
    <cellStyle name="Comma [0] 2 2 2 3 2 2 4 5" xfId="49192" xr:uid="{E6E2741B-ECFB-41A6-93E0-C6CC75D80595}"/>
    <cellStyle name="Comma [0] 2 2 2 3 2 2 5" xfId="3766" xr:uid="{EFC8EA7A-A8B8-4A69-8CCD-824FAC2C2F54}"/>
    <cellStyle name="Comma [0] 2 2 2 3 2 2 5 2" xfId="12007" xr:uid="{68D635F9-E14D-465C-A02A-3401333ACF07}"/>
    <cellStyle name="Comma [0] 2 2 2 3 2 2 5 3" xfId="14847" xr:uid="{10FDF88E-17D2-43AA-BD20-F4C0590D2E0F}"/>
    <cellStyle name="Comma [0] 2 2 2 3 2 2 5 4" xfId="44771" xr:uid="{1FC23122-57CA-454C-9C8F-44AD11D7587F}"/>
    <cellStyle name="Comma [0] 2 2 2 3 2 2 5 5" xfId="49664" xr:uid="{4E858F3E-15E0-46AF-826D-20B376B1BCFB}"/>
    <cellStyle name="Comma [0] 2 2 2 3 2 2 6" xfId="10029" xr:uid="{7470DE5D-66D3-44B1-93AD-494BF3DC0CD3}"/>
    <cellStyle name="Comma [0] 2 2 2 3 2 2 6 2" xfId="45189" xr:uid="{F0E39C69-9028-4AD5-B593-481CCB0A21E8}"/>
    <cellStyle name="Comma [0] 2 2 2 3 2 2 7" xfId="12869" xr:uid="{21B0CE30-FB7F-4AC1-B618-C8C023696240}"/>
    <cellStyle name="Comma [0] 2 2 2 3 2 2 8" xfId="16212" xr:uid="{56B78D9E-C4AD-4B53-83FF-D558B43D6DAE}"/>
    <cellStyle name="Comma [0] 2 2 2 3 2 2 9" xfId="16755" xr:uid="{9E1FA17C-0408-4680-9DD5-0F0B392F112B}"/>
    <cellStyle name="Comma [0] 2 2 2 3 2 3" xfId="2090" xr:uid="{CB1D3BB8-78BC-4FF2-9F2B-A7DB7BCFFB2C}"/>
    <cellStyle name="Comma [0] 2 2 2 3 2 3 2" xfId="10361" xr:uid="{2170CCFF-691A-42E7-BBDA-BE2F773069B6}"/>
    <cellStyle name="Comma [0] 2 2 2 3 2 3 2 2" xfId="45521" xr:uid="{FA926404-5610-42D1-9DA7-72FE5FFFF7E4}"/>
    <cellStyle name="Comma [0] 2 2 2 3 2 3 3" xfId="13201" xr:uid="{4CA7159B-18BF-4654-B359-5080021C691C}"/>
    <cellStyle name="Comma [0] 2 2 2 3 2 3 4" xfId="43125" xr:uid="{8CB87260-24A8-4FBD-AB19-AEFEC6826C5C}"/>
    <cellStyle name="Comma [0] 2 2 2 3 2 3 5" xfId="48018" xr:uid="{333A92FE-D3A4-4ADC-90AE-7910CDF35158}"/>
    <cellStyle name="Comma [0] 2 2 2 3 2 4" xfId="2508" xr:uid="{19D7089B-B7B8-4E4D-82C2-41FF3B5AB5BF}"/>
    <cellStyle name="Comma [0] 2 2 2 3 2 4 2" xfId="10779" xr:uid="{00EC9179-069B-4174-9D2D-AB70D96D22AE}"/>
    <cellStyle name="Comma [0] 2 2 2 3 2 4 2 2" xfId="45939" xr:uid="{E80C636F-34F1-443E-9F0D-2F7F03BA4997}"/>
    <cellStyle name="Comma [0] 2 2 2 3 2 4 3" xfId="13619" xr:uid="{B2CB54D1-B201-4710-BF91-4C1EE34081C7}"/>
    <cellStyle name="Comma [0] 2 2 2 3 2 4 4" xfId="43543" xr:uid="{C836E8FD-00CB-48BD-94A1-6E894A089650}"/>
    <cellStyle name="Comma [0] 2 2 2 3 2 4 5" xfId="48436" xr:uid="{50C6113B-EB14-4E46-860A-9A81AB90D0D8}"/>
    <cellStyle name="Comma [0] 2 2 2 3 2 5" xfId="3052" xr:uid="{29AB29B3-9B91-4691-801A-BBBE2D1DF8D1}"/>
    <cellStyle name="Comma [0] 2 2 2 3 2 5 2" xfId="11323" xr:uid="{B562593F-5360-4DCE-A728-39C286A8434A}"/>
    <cellStyle name="Comma [0] 2 2 2 3 2 5 2 2" xfId="46483" xr:uid="{2B2B8E78-20AF-49FB-984D-8E1F1459390B}"/>
    <cellStyle name="Comma [0] 2 2 2 3 2 5 3" xfId="14163" xr:uid="{4F575CFE-8948-410E-882D-7F3EDDE7504F}"/>
    <cellStyle name="Comma [0] 2 2 2 3 2 5 4" xfId="44087" xr:uid="{9046334A-6F00-442B-8216-457330F74C2C}"/>
    <cellStyle name="Comma [0] 2 2 2 3 2 5 5" xfId="48980" xr:uid="{14E3F20C-1E86-4034-9F4C-2D76D11CB293}"/>
    <cellStyle name="Comma [0] 2 2 2 3 2 6" xfId="3554" xr:uid="{4AD9B661-2AEC-4950-9FF9-52B830BE0C9B}"/>
    <cellStyle name="Comma [0] 2 2 2 3 2 6 2" xfId="11795" xr:uid="{34C4F12D-DA50-43FD-A114-15D4FDF22EE9}"/>
    <cellStyle name="Comma [0] 2 2 2 3 2 6 3" xfId="14635" xr:uid="{6D455F19-FD1E-4754-B639-03B9210F3C7A}"/>
    <cellStyle name="Comma [0] 2 2 2 3 2 6 4" xfId="44559" xr:uid="{9BD024F7-A7F3-4502-8B6C-D0A0BE6B30EA}"/>
    <cellStyle name="Comma [0] 2 2 2 3 2 6 5" xfId="49452" xr:uid="{E4027AED-94E9-421C-B35F-EB7D9F8D599E}"/>
    <cellStyle name="Comma [0] 2 2 2 3 2 7" xfId="9817" xr:uid="{77EA8006-5F1E-497B-A5BB-0EC7CB8F3D11}"/>
    <cellStyle name="Comma [0] 2 2 2 3 2 7 2" xfId="44977" xr:uid="{12F32D3D-1AEF-48D1-8BA2-CDE9A77B0459}"/>
    <cellStyle name="Comma [0] 2 2 2 3 2 8" xfId="12657" xr:uid="{0D634D95-80E9-43F2-8F35-C7DDA7EE28CF}"/>
    <cellStyle name="Comma [0] 2 2 2 3 2 9" xfId="16000" xr:uid="{C5482A0C-F97B-4151-A6F1-B212157B5DE6}"/>
    <cellStyle name="Comma [0] 2 2 2 3 3" xfId="385" xr:uid="{00000000-0005-0000-0000-00002A000000}"/>
    <cellStyle name="Comma [0] 2 2 2 3 3 10" xfId="17199" xr:uid="{0A0554B4-381F-404A-A72F-2838A998F96F}"/>
    <cellStyle name="Comma [0] 2 2 2 3 3 11" xfId="18184" xr:uid="{B87FA7FD-02F2-41B4-97F3-42399A59856D}"/>
    <cellStyle name="Comma [0] 2 2 2 3 3 12" xfId="42693" xr:uid="{BA23E5D8-793C-4E4C-A40F-9E7AC9E0B231}"/>
    <cellStyle name="Comma [0] 2 2 2 3 3 13" xfId="47586" xr:uid="{BA2EEEE6-E5EA-45D9-8AF2-154461145B05}"/>
    <cellStyle name="Comma [0] 2 2 2 3 3 2" xfId="2202" xr:uid="{A75BCD0D-DDD7-44F0-9866-2F61D6C74056}"/>
    <cellStyle name="Comma [0] 2 2 2 3 3 2 2" xfId="10473" xr:uid="{0EE4B280-D75F-4FE4-B00D-825055205A1F}"/>
    <cellStyle name="Comma [0] 2 2 2 3 3 2 2 2" xfId="45633" xr:uid="{A3893AE4-2AFC-4DE1-A415-7323100763E0}"/>
    <cellStyle name="Comma [0] 2 2 2 3 3 2 3" xfId="13313" xr:uid="{A4A8D89B-36BC-421B-A0F0-589FD69E163F}"/>
    <cellStyle name="Comma [0] 2 2 2 3 3 2 4" xfId="43237" xr:uid="{1AD01BE1-F4C7-4236-87DE-B219F58F5BFE}"/>
    <cellStyle name="Comma [0] 2 2 2 3 3 2 5" xfId="48130" xr:uid="{E7BB349D-7D8D-4485-B115-A18B7B118E98}"/>
    <cellStyle name="Comma [0] 2 2 2 3 3 3" xfId="2620" xr:uid="{F53BE289-C364-4BB8-A753-FEE4B320B2B2}"/>
    <cellStyle name="Comma [0] 2 2 2 3 3 3 2" xfId="10891" xr:uid="{F70DABE7-3468-4767-A8A6-1AAA8E3D2C07}"/>
    <cellStyle name="Comma [0] 2 2 2 3 3 3 2 2" xfId="46051" xr:uid="{15DC15FA-8941-4669-8B3A-C29038C398AE}"/>
    <cellStyle name="Comma [0] 2 2 2 3 3 3 3" xfId="13731" xr:uid="{A7BDEE6C-324A-467B-9CEE-E61C5CB00516}"/>
    <cellStyle name="Comma [0] 2 2 2 3 3 3 4" xfId="43655" xr:uid="{5A276DA2-47FD-4A16-9BE1-7E57C79858ED}"/>
    <cellStyle name="Comma [0] 2 2 2 3 3 3 5" xfId="48548" xr:uid="{A76760F5-BEAB-49A6-B1E4-FB156240006F}"/>
    <cellStyle name="Comma [0] 2 2 2 3 3 4" xfId="3164" xr:uid="{2CA2D517-0396-4F4E-9713-581C21AE0872}"/>
    <cellStyle name="Comma [0] 2 2 2 3 3 4 2" xfId="11435" xr:uid="{C49E1157-14AB-40B3-8B89-C164239143D4}"/>
    <cellStyle name="Comma [0] 2 2 2 3 3 4 2 2" xfId="46595" xr:uid="{E057010A-10AE-44A3-BC93-51E8315896A6}"/>
    <cellStyle name="Comma [0] 2 2 2 3 3 4 3" xfId="14275" xr:uid="{6ADDCB3C-A92F-409B-BC95-ED92283698E3}"/>
    <cellStyle name="Comma [0] 2 2 2 3 3 4 4" xfId="44199" xr:uid="{4933F4C9-CC4F-4654-AF9F-007AA81FD892}"/>
    <cellStyle name="Comma [0] 2 2 2 3 3 4 5" xfId="49092" xr:uid="{D92BE66F-6AC2-4DD8-A062-0B32D37AE3DD}"/>
    <cellStyle name="Comma [0] 2 2 2 3 3 5" xfId="3666" xr:uid="{FE1E0FF5-50EE-4DED-B13A-A80E9C7E006D}"/>
    <cellStyle name="Comma [0] 2 2 2 3 3 5 2" xfId="11907" xr:uid="{F59105A2-2BE8-4302-8B4D-849CDFD8334C}"/>
    <cellStyle name="Comma [0] 2 2 2 3 3 5 3" xfId="14747" xr:uid="{0CBE07EB-F2D8-4FBA-8936-37FDAB42F13A}"/>
    <cellStyle name="Comma [0] 2 2 2 3 3 5 4" xfId="44671" xr:uid="{D952150C-E93C-456F-A96B-7B99E8AD93F6}"/>
    <cellStyle name="Comma [0] 2 2 2 3 3 5 5" xfId="49564" xr:uid="{61AB612C-4905-4D96-B9E7-3866C4CA6D4B}"/>
    <cellStyle name="Comma [0] 2 2 2 3 3 6" xfId="9929" xr:uid="{C2DA09AB-084D-4B42-B25E-D3EC44761A4A}"/>
    <cellStyle name="Comma [0] 2 2 2 3 3 6 2" xfId="45089" xr:uid="{790FAE3C-AE9C-4561-B639-CBE1F29BDC92}"/>
    <cellStyle name="Comma [0] 2 2 2 3 3 7" xfId="12769" xr:uid="{CE169E3F-F5BF-4C17-9D07-E9E939EFF82F}"/>
    <cellStyle name="Comma [0] 2 2 2 3 3 8" xfId="16112" xr:uid="{F96B7F06-D7B2-4FCC-BA5E-20ADCFC7F563}"/>
    <cellStyle name="Comma [0] 2 2 2 3 3 9" xfId="16655" xr:uid="{7B0F43BA-D59B-4E61-A9DA-84FC6C393EC2}"/>
    <cellStyle name="Comma [0] 2 2 2 3 4" xfId="588" xr:uid="{00000000-0005-0000-0000-00002B000000}"/>
    <cellStyle name="Comma [0] 2 2 2 3 4 10" xfId="47788" xr:uid="{86E290DE-4464-4E49-AE73-3FAAD4BB10B5}"/>
    <cellStyle name="Comma [0] 2 2 2 3 4 2" xfId="2822" xr:uid="{8AAAA486-677D-4029-9B85-322BAA0C2C47}"/>
    <cellStyle name="Comma [0] 2 2 2 3 4 2 2" xfId="11093" xr:uid="{27B00FE0-6A4C-4091-98C4-D42FBB91FE0F}"/>
    <cellStyle name="Comma [0] 2 2 2 3 4 2 2 2" xfId="46253" xr:uid="{314DBE4A-3861-4483-95B4-456D2CF223C1}"/>
    <cellStyle name="Comma [0] 2 2 2 3 4 2 3" xfId="13933" xr:uid="{6790E0AF-3602-43AF-A597-25F8C4BFDC22}"/>
    <cellStyle name="Comma [0] 2 2 2 3 4 2 4" xfId="43857" xr:uid="{1338D15A-1C4C-42C3-879D-8A816C1001A8}"/>
    <cellStyle name="Comma [0] 2 2 2 3 4 2 5" xfId="48750" xr:uid="{1FF5D562-1ACD-4C69-B33D-DD123AD156E8}"/>
    <cellStyle name="Comma [0] 2 2 2 3 4 3" xfId="10131" xr:uid="{10844210-ADB4-4569-B7EC-3880EDE94BB9}"/>
    <cellStyle name="Comma [0] 2 2 2 3 4 3 2" xfId="45291" xr:uid="{5F5D7A93-D1E3-427E-ABC8-F68B0ED98B74}"/>
    <cellStyle name="Comma [0] 2 2 2 3 4 4" xfId="12971" xr:uid="{6BCCFEE5-1C10-4D4F-9765-47BAC4C18916}"/>
    <cellStyle name="Comma [0] 2 2 2 3 4 5" xfId="16314" xr:uid="{56681E78-7DA9-464D-8E5C-BD23D5D5FACF}"/>
    <cellStyle name="Comma [0] 2 2 2 3 4 6" xfId="16857" xr:uid="{46B1539B-BF4F-4ECE-97BA-002737024902}"/>
    <cellStyle name="Comma [0] 2 2 2 3 4 7" xfId="17401" xr:uid="{FEAED7E2-6347-4107-992C-32B29B7F1D20}"/>
    <cellStyle name="Comma [0] 2 2 2 3 4 8" xfId="17946" xr:uid="{8C2549B7-573C-43A1-BA86-EBB42B390025}"/>
    <cellStyle name="Comma [0] 2 2 2 3 4 9" xfId="42895" xr:uid="{16DA4CFA-1C7C-4225-BA1C-F580E45FE2BE}"/>
    <cellStyle name="Comma [0] 2 2 2 3 5" xfId="1986" xr:uid="{284ABEDE-3608-4315-B0A5-B6480710F041}"/>
    <cellStyle name="Comma [0] 2 2 2 3 5 2" xfId="10257" xr:uid="{F6467D01-D8A0-4B45-84FD-78BE97C4B3D0}"/>
    <cellStyle name="Comma [0] 2 2 2 3 5 2 2" xfId="45417" xr:uid="{7343A6B6-C258-494A-A306-C2EE173106C4}"/>
    <cellStyle name="Comma [0] 2 2 2 3 5 3" xfId="13097" xr:uid="{0D0DFE65-0E8F-4442-AD91-4DD7AD0290C0}"/>
    <cellStyle name="Comma [0] 2 2 2 3 5 4" xfId="43021" xr:uid="{60E7135F-6A70-4D91-8567-05A5E43EBFE5}"/>
    <cellStyle name="Comma [0] 2 2 2 3 5 5" xfId="47914" xr:uid="{C9F80637-614C-4259-B848-35F1C57E91B5}"/>
    <cellStyle name="Comma [0] 2 2 2 3 6" xfId="2404" xr:uid="{EDEB6DE3-A706-421D-A213-AA81A48DADB4}"/>
    <cellStyle name="Comma [0] 2 2 2 3 6 2" xfId="10675" xr:uid="{E7C8B868-9AB9-440F-85A4-EB161EDD9BDC}"/>
    <cellStyle name="Comma [0] 2 2 2 3 6 2 2" xfId="45835" xr:uid="{BDE1BDE7-C433-48EE-9FBE-A83D553E6A1F}"/>
    <cellStyle name="Comma [0] 2 2 2 3 6 3" xfId="13515" xr:uid="{637C90D4-0510-4CE4-83F0-6708A8BB92E5}"/>
    <cellStyle name="Comma [0] 2 2 2 3 6 4" xfId="43439" xr:uid="{CF297296-D1F1-4868-81BF-69D173E169C5}"/>
    <cellStyle name="Comma [0] 2 2 2 3 6 5" xfId="48332" xr:uid="{2F0F7743-5AB4-4605-9788-867210ACA9B5}"/>
    <cellStyle name="Comma [0] 2 2 2 3 7" xfId="2948" xr:uid="{FDC996C3-9A56-4F7C-8BD3-37AA0A22F4B4}"/>
    <cellStyle name="Comma [0] 2 2 2 3 7 2" xfId="11219" xr:uid="{14EE4690-B91F-4348-9E90-1B3BA396D805}"/>
    <cellStyle name="Comma [0] 2 2 2 3 7 2 2" xfId="46379" xr:uid="{52B9CE75-3CEB-47CC-809E-DB0D5F3F6220}"/>
    <cellStyle name="Comma [0] 2 2 2 3 7 3" xfId="14059" xr:uid="{062A553A-2A05-4D72-A119-D4E230F8F75F}"/>
    <cellStyle name="Comma [0] 2 2 2 3 7 4" xfId="43983" xr:uid="{35A0E53E-1AC2-47E2-916A-1FC903D88AE6}"/>
    <cellStyle name="Comma [0] 2 2 2 3 7 5" xfId="48876" xr:uid="{7CCE128E-D4B1-4B8B-8C20-33BBD5B8AF18}"/>
    <cellStyle name="Comma [0] 2 2 2 3 8" xfId="3450" xr:uid="{810810DF-E663-4043-88D8-7C86D0CCA5DB}"/>
    <cellStyle name="Comma [0] 2 2 2 3 8 2" xfId="11691" xr:uid="{7C62FCC8-B1D6-456D-8EFF-CCEFB79D67C7}"/>
    <cellStyle name="Comma [0] 2 2 2 3 8 3" xfId="14531" xr:uid="{FBC6F1DD-3B6D-4C65-9BE0-08A494168325}"/>
    <cellStyle name="Comma [0] 2 2 2 3 8 4" xfId="44455" xr:uid="{6B44E950-5A75-48BA-AA4A-2F372C0FED4B}"/>
    <cellStyle name="Comma [0] 2 2 2 3 8 5" xfId="49348" xr:uid="{02B23FB0-ADEE-49C7-9C4A-A0400219A010}"/>
    <cellStyle name="Comma [0] 2 2 2 3 9" xfId="9713" xr:uid="{0D964575-E3DA-4588-B393-3C0CCD294E92}"/>
    <cellStyle name="Comma [0] 2 2 2 3 9 2" xfId="44873" xr:uid="{909AE728-B55D-4EAA-BF5A-7502483E192C}"/>
    <cellStyle name="Comma [0] 2 2 2 4" xfId="232" xr:uid="{00000000-0005-0000-0000-00002C000000}"/>
    <cellStyle name="Comma [0] 2 2 2 4 10" xfId="16516" xr:uid="{4FAC14DE-8B99-4881-B2B1-E7CFFB609A5E}"/>
    <cellStyle name="Comma [0] 2 2 2 4 11" xfId="17060" xr:uid="{A0A34E08-C815-41B7-8E76-46E4662162A0}"/>
    <cellStyle name="Comma [0] 2 2 2 4 12" xfId="17521" xr:uid="{0DAFBC1D-F8BF-4D7A-9902-FF38EFACCA8B}"/>
    <cellStyle name="Comma [0] 2 2 2 4 13" xfId="42554" xr:uid="{CC4C1244-303C-4EE8-A744-7C5BFF4418CD}"/>
    <cellStyle name="Comma [0] 2 2 2 4 14" xfId="47447" xr:uid="{A5163153-4C31-4B08-8969-5591AA2A48FC}"/>
    <cellStyle name="Comma [0] 2 2 2 4 2" xfId="459" xr:uid="{00000000-0005-0000-0000-00002D000000}"/>
    <cellStyle name="Comma [0] 2 2 2 4 2 10" xfId="17272" xr:uid="{55895962-2904-4A4D-980B-2FB5FFE40B81}"/>
    <cellStyle name="Comma [0] 2 2 2 4 2 11" xfId="17745" xr:uid="{548E6202-28D7-4104-9AD2-2FC852922149}"/>
    <cellStyle name="Comma [0] 2 2 2 4 2 12" xfId="42766" xr:uid="{BBC83849-CB82-4259-8BD4-09DF51663919}"/>
    <cellStyle name="Comma [0] 2 2 2 4 2 13" xfId="47659" xr:uid="{01542863-50C6-4D3C-84F5-BB9440E936A5}"/>
    <cellStyle name="Comma [0] 2 2 2 4 2 2" xfId="2275" xr:uid="{5525A4B7-BF95-4279-B3EA-FBA5D749C925}"/>
    <cellStyle name="Comma [0] 2 2 2 4 2 2 2" xfId="10546" xr:uid="{09CB6079-30A5-4EBC-8D34-5182AC10AC2E}"/>
    <cellStyle name="Comma [0] 2 2 2 4 2 2 2 2" xfId="45706" xr:uid="{BAB58E99-8401-467A-B9C8-D2D70BE3BDA8}"/>
    <cellStyle name="Comma [0] 2 2 2 4 2 2 3" xfId="13386" xr:uid="{150971FA-9069-4680-AE64-505D9C24D6FB}"/>
    <cellStyle name="Comma [0] 2 2 2 4 2 2 4" xfId="43310" xr:uid="{632E1689-8E3D-4098-852D-FAD3F944660E}"/>
    <cellStyle name="Comma [0] 2 2 2 4 2 2 5" xfId="48203" xr:uid="{71FC0BFB-BDEC-47B4-909A-52A4E948A740}"/>
    <cellStyle name="Comma [0] 2 2 2 4 2 3" xfId="2693" xr:uid="{79969DE1-BAE6-4ED8-942F-00072147CD09}"/>
    <cellStyle name="Comma [0] 2 2 2 4 2 3 2" xfId="10964" xr:uid="{B350E7E5-D63A-4F4C-ABE8-A81A4658B411}"/>
    <cellStyle name="Comma [0] 2 2 2 4 2 3 2 2" xfId="46124" xr:uid="{C6C3FCF6-F6E8-4D82-9FD2-2FBAB393838A}"/>
    <cellStyle name="Comma [0] 2 2 2 4 2 3 3" xfId="13804" xr:uid="{255E17CD-8341-44AC-976E-6CEEB7A40B13}"/>
    <cellStyle name="Comma [0] 2 2 2 4 2 3 4" xfId="43728" xr:uid="{606C0ECD-A1F3-426A-86E5-CE27EBA8C711}"/>
    <cellStyle name="Comma [0] 2 2 2 4 2 3 5" xfId="48621" xr:uid="{6677079C-2E7A-46CA-A1D1-96514F2EE890}"/>
    <cellStyle name="Comma [0] 2 2 2 4 2 4" xfId="3237" xr:uid="{C75AE805-8036-4734-8EFE-B2EBB9406EFD}"/>
    <cellStyle name="Comma [0] 2 2 2 4 2 4 2" xfId="11508" xr:uid="{D5353EFD-7A3C-42B8-B27C-85E2BB7D5766}"/>
    <cellStyle name="Comma [0] 2 2 2 4 2 4 2 2" xfId="46668" xr:uid="{D88AD041-6896-4C3E-BE10-AAB9DE9BF6A4}"/>
    <cellStyle name="Comma [0] 2 2 2 4 2 4 3" xfId="14348" xr:uid="{781A2411-EDB1-4CBE-BE97-53A7A09037F0}"/>
    <cellStyle name="Comma [0] 2 2 2 4 2 4 4" xfId="44272" xr:uid="{E9178CE4-F9D8-4D5B-900D-6A0405C0E060}"/>
    <cellStyle name="Comma [0] 2 2 2 4 2 4 5" xfId="49165" xr:uid="{BA98B5A9-1C69-4F0D-AA4A-29DA63F8757E}"/>
    <cellStyle name="Comma [0] 2 2 2 4 2 5" xfId="3739" xr:uid="{8CCE5C4F-3AD4-4109-9FB1-F6CAC6D3495E}"/>
    <cellStyle name="Comma [0] 2 2 2 4 2 5 2" xfId="11980" xr:uid="{BD666150-903B-4AE0-BFA7-8A2BAEAAF386}"/>
    <cellStyle name="Comma [0] 2 2 2 4 2 5 3" xfId="14820" xr:uid="{610D910A-7CDE-4E2A-93C8-FBB02787AC87}"/>
    <cellStyle name="Comma [0] 2 2 2 4 2 5 4" xfId="44744" xr:uid="{E2593994-9B4B-4331-A562-1583C78E0091}"/>
    <cellStyle name="Comma [0] 2 2 2 4 2 5 5" xfId="49637" xr:uid="{5CFF6850-2878-4ED3-8FB4-10886B6BDCF2}"/>
    <cellStyle name="Comma [0] 2 2 2 4 2 6" xfId="10002" xr:uid="{2460DD4D-B4A9-400E-A743-8B3E32948463}"/>
    <cellStyle name="Comma [0] 2 2 2 4 2 6 2" xfId="45162" xr:uid="{DD41457D-688D-4803-B4B9-F9040477D227}"/>
    <cellStyle name="Comma [0] 2 2 2 4 2 7" xfId="12842" xr:uid="{E266857D-B3A6-442D-B898-40FA5BF3CC8F}"/>
    <cellStyle name="Comma [0] 2 2 2 4 2 8" xfId="16185" xr:uid="{38E6F421-ACE2-4298-896C-651717A862C6}"/>
    <cellStyle name="Comma [0] 2 2 2 4 2 9" xfId="16728" xr:uid="{8BFC962C-77A2-4682-8DD1-8F311F437D57}"/>
    <cellStyle name="Comma [0] 2 2 2 4 3" xfId="2063" xr:uid="{58115DD7-238F-404B-B36E-423F8E9D57B1}"/>
    <cellStyle name="Comma [0] 2 2 2 4 3 2" xfId="10334" xr:uid="{C2AA97A4-71D0-43CD-838B-A4C8E12DCCA1}"/>
    <cellStyle name="Comma [0] 2 2 2 4 3 2 2" xfId="45494" xr:uid="{FA48C152-B6CD-4438-9072-D05B0440C809}"/>
    <cellStyle name="Comma [0] 2 2 2 4 3 3" xfId="13174" xr:uid="{420D9C3F-657F-4F0F-8EC2-31F801F8FC9F}"/>
    <cellStyle name="Comma [0] 2 2 2 4 3 4" xfId="43098" xr:uid="{CE46A31B-3EE5-4962-811A-264BE8E1E8A4}"/>
    <cellStyle name="Comma [0] 2 2 2 4 3 5" xfId="47991" xr:uid="{CAFF69E6-BEF9-4937-A064-8773068ED792}"/>
    <cellStyle name="Comma [0] 2 2 2 4 4" xfId="2481" xr:uid="{C19AF198-11DB-4690-922A-DDE5B1C0D3DA}"/>
    <cellStyle name="Comma [0] 2 2 2 4 4 2" xfId="10752" xr:uid="{E87DED61-426C-441B-836F-FFDBB532ED1B}"/>
    <cellStyle name="Comma [0] 2 2 2 4 4 2 2" xfId="45912" xr:uid="{C0AE1695-9AFF-491D-980A-B71845B0FDC0}"/>
    <cellStyle name="Comma [0] 2 2 2 4 4 3" xfId="13592" xr:uid="{3D6C35DA-4225-406C-BBC6-8CC05E1DD5CA}"/>
    <cellStyle name="Comma [0] 2 2 2 4 4 4" xfId="43516" xr:uid="{76D4EA39-089D-4B91-ADBB-2BC78E67ADD9}"/>
    <cellStyle name="Comma [0] 2 2 2 4 4 5" xfId="48409" xr:uid="{F7CC896D-0A99-4A85-9B4A-30ABA0B0F933}"/>
    <cellStyle name="Comma [0] 2 2 2 4 5" xfId="3025" xr:uid="{CA638C7D-9341-46CF-8470-123EE0DC3F67}"/>
    <cellStyle name="Comma [0] 2 2 2 4 5 2" xfId="11296" xr:uid="{E15CA1E1-3C05-4CB4-B43A-62EA9F72DF2D}"/>
    <cellStyle name="Comma [0] 2 2 2 4 5 2 2" xfId="46456" xr:uid="{C166DFAD-978C-42C9-AA3D-051C6D24BD7F}"/>
    <cellStyle name="Comma [0] 2 2 2 4 5 3" xfId="14136" xr:uid="{C19154E6-DD83-4341-97D8-C2D212780CAD}"/>
    <cellStyle name="Comma [0] 2 2 2 4 5 4" xfId="44060" xr:uid="{B0680C54-A0CB-46FF-9337-17A0BE7E0F44}"/>
    <cellStyle name="Comma [0] 2 2 2 4 5 5" xfId="48953" xr:uid="{BD76A232-F7BA-4F99-BB2E-93768658C98D}"/>
    <cellStyle name="Comma [0] 2 2 2 4 6" xfId="3527" xr:uid="{CD40FBD8-ABBA-46AD-AFA1-FD1D4B305EDE}"/>
    <cellStyle name="Comma [0] 2 2 2 4 6 2" xfId="11768" xr:uid="{A1738105-A8B0-4B7E-954E-4F0FAEC8203C}"/>
    <cellStyle name="Comma [0] 2 2 2 4 6 3" xfId="14608" xr:uid="{C8731D22-B8E3-499B-8655-6DE0487FE43C}"/>
    <cellStyle name="Comma [0] 2 2 2 4 6 4" xfId="44532" xr:uid="{80A7B967-59FA-4E95-B192-B1983056987D}"/>
    <cellStyle name="Comma [0] 2 2 2 4 6 5" xfId="49425" xr:uid="{34B676C8-ABE7-463D-AF44-2004CB0E0F4A}"/>
    <cellStyle name="Comma [0] 2 2 2 4 7" xfId="9790" xr:uid="{E7A61307-0806-49D5-BAA2-7C53C0604B0F}"/>
    <cellStyle name="Comma [0] 2 2 2 4 7 2" xfId="44950" xr:uid="{B394E5EE-8362-4065-82EE-199DD8FB0411}"/>
    <cellStyle name="Comma [0] 2 2 2 4 8" xfId="12630" xr:uid="{878DF8EA-8C2E-4C1B-8D49-4000E28711F2}"/>
    <cellStyle name="Comma [0] 2 2 2 4 9" xfId="15973" xr:uid="{E70C28A4-7516-4C26-AC15-9B8F36564768}"/>
    <cellStyle name="Comma [0] 2 2 2 5" xfId="358" xr:uid="{00000000-0005-0000-0000-00002E000000}"/>
    <cellStyle name="Comma [0] 2 2 2 5 10" xfId="17172" xr:uid="{EE7B5ECF-4A99-4014-B18A-2B5C5A16C798}"/>
    <cellStyle name="Comma [0] 2 2 2 5 11" xfId="17807" xr:uid="{E0B1CE85-34FC-4FC1-8821-345E2BB53223}"/>
    <cellStyle name="Comma [0] 2 2 2 5 12" xfId="42666" xr:uid="{5E76F4BE-4523-4CC3-AE5C-2B7FE218688C}"/>
    <cellStyle name="Comma [0] 2 2 2 5 13" xfId="47559" xr:uid="{D0F496A3-D3FA-4759-AACD-638C85246F7E}"/>
    <cellStyle name="Comma [0] 2 2 2 5 2" xfId="2175" xr:uid="{31205880-3886-4167-8979-7D180A0A00BE}"/>
    <cellStyle name="Comma [0] 2 2 2 5 2 2" xfId="10446" xr:uid="{345FE4E2-3D60-42C3-9B40-E934EB777077}"/>
    <cellStyle name="Comma [0] 2 2 2 5 2 2 2" xfId="45606" xr:uid="{FDDFF21C-25B3-42BC-A3C3-2C898B81BA06}"/>
    <cellStyle name="Comma [0] 2 2 2 5 2 3" xfId="13286" xr:uid="{A899094C-F497-444E-AB82-B3215037C3FD}"/>
    <cellStyle name="Comma [0] 2 2 2 5 2 4" xfId="43210" xr:uid="{CAD4C54C-E2C7-49A3-9DD9-9C733C9D93C3}"/>
    <cellStyle name="Comma [0] 2 2 2 5 2 5" xfId="48103" xr:uid="{288D89C1-9DF8-4A23-9698-0D75224F5BAE}"/>
    <cellStyle name="Comma [0] 2 2 2 5 3" xfId="2593" xr:uid="{7596E77A-2242-4814-AB3E-E1AD97F6D9C1}"/>
    <cellStyle name="Comma [0] 2 2 2 5 3 2" xfId="10864" xr:uid="{67952180-7875-499E-A892-574FDF3A0A82}"/>
    <cellStyle name="Comma [0] 2 2 2 5 3 2 2" xfId="46024" xr:uid="{0A84D760-3E33-4A93-8EEB-09BE156B00F5}"/>
    <cellStyle name="Comma [0] 2 2 2 5 3 3" xfId="13704" xr:uid="{AA0026B5-D308-4A93-B912-1097379BC115}"/>
    <cellStyle name="Comma [0] 2 2 2 5 3 4" xfId="43628" xr:uid="{BF3D246B-3BD7-408D-9851-28C9DB4A103F}"/>
    <cellStyle name="Comma [0] 2 2 2 5 3 5" xfId="48521" xr:uid="{21A124AA-1D47-40D0-8140-93B74E2A4307}"/>
    <cellStyle name="Comma [0] 2 2 2 5 4" xfId="3137" xr:uid="{7615B152-0453-4BE5-B62B-F829722F1BB9}"/>
    <cellStyle name="Comma [0] 2 2 2 5 4 2" xfId="11408" xr:uid="{533D6C94-8C77-44E2-9A03-381DFCBEE829}"/>
    <cellStyle name="Comma [0] 2 2 2 5 4 2 2" xfId="46568" xr:uid="{2BD382AD-C422-4F03-AC20-B00F9EBAA983}"/>
    <cellStyle name="Comma [0] 2 2 2 5 4 3" xfId="14248" xr:uid="{2C1404B8-3DEA-4DA2-BAD2-A772E34117CB}"/>
    <cellStyle name="Comma [0] 2 2 2 5 4 4" xfId="44172" xr:uid="{D5EF4A01-6063-4582-8130-57FB417A3B38}"/>
    <cellStyle name="Comma [0] 2 2 2 5 4 5" xfId="49065" xr:uid="{A89E9F7E-63A3-469A-8FE5-8A79373E9704}"/>
    <cellStyle name="Comma [0] 2 2 2 5 5" xfId="3639" xr:uid="{416B5011-7D75-4C3D-9856-8DE030094EBA}"/>
    <cellStyle name="Comma [0] 2 2 2 5 5 2" xfId="11880" xr:uid="{95C5999C-924E-44DE-8C05-0493163F93AF}"/>
    <cellStyle name="Comma [0] 2 2 2 5 5 3" xfId="14720" xr:uid="{3B868587-BF5A-4444-BE49-9319957F78F6}"/>
    <cellStyle name="Comma [0] 2 2 2 5 5 4" xfId="44644" xr:uid="{117D4A56-7347-4BA3-9E77-5E117ADE8ECC}"/>
    <cellStyle name="Comma [0] 2 2 2 5 5 5" xfId="49537" xr:uid="{5C793B8B-360C-4191-A759-880C21D1D863}"/>
    <cellStyle name="Comma [0] 2 2 2 5 6" xfId="9902" xr:uid="{C7B2D3DA-E9EE-40C5-906B-10082E51731C}"/>
    <cellStyle name="Comma [0] 2 2 2 5 6 2" xfId="45062" xr:uid="{407BF70F-D9AC-4DDE-BFBB-02D57723E326}"/>
    <cellStyle name="Comma [0] 2 2 2 5 7" xfId="12742" xr:uid="{C0EC31FE-7E9F-43F9-B0A7-BC4A73F3B817}"/>
    <cellStyle name="Comma [0] 2 2 2 5 8" xfId="16085" xr:uid="{9B89E011-87B9-4231-9486-B21A6B5107E1}"/>
    <cellStyle name="Comma [0] 2 2 2 5 9" xfId="16628" xr:uid="{1E152343-7765-4D18-8EB4-32B350A1DF00}"/>
    <cellStyle name="Comma [0] 2 2 2 6" xfId="561" xr:uid="{00000000-0005-0000-0000-00002F000000}"/>
    <cellStyle name="Comma [0] 2 2 2 6 10" xfId="47761" xr:uid="{8B54DDB9-F0E6-43FA-BD41-0565121E7676}"/>
    <cellStyle name="Comma [0] 2 2 2 6 2" xfId="2795" xr:uid="{DDAC1335-4BAE-4EEB-9568-22B0E94948AE}"/>
    <cellStyle name="Comma [0] 2 2 2 6 2 2" xfId="11066" xr:uid="{B339D916-6772-489D-AC33-DCDAF4A89600}"/>
    <cellStyle name="Comma [0] 2 2 2 6 2 2 2" xfId="46226" xr:uid="{1EE99802-BF1E-4A2D-8B59-BA17742E7FD4}"/>
    <cellStyle name="Comma [0] 2 2 2 6 2 3" xfId="13906" xr:uid="{78A2F1CC-CB27-4660-8E7E-B29CFB5EDB6E}"/>
    <cellStyle name="Comma [0] 2 2 2 6 2 4" xfId="43830" xr:uid="{0047EE11-3A41-411B-A738-A8D3DB81B288}"/>
    <cellStyle name="Comma [0] 2 2 2 6 2 5" xfId="48723" xr:uid="{861FB3AF-26AF-483E-B761-60DE51C7A904}"/>
    <cellStyle name="Comma [0] 2 2 2 6 3" xfId="10104" xr:uid="{9ED44E79-CA44-4672-86AD-242CBD33AD59}"/>
    <cellStyle name="Comma [0] 2 2 2 6 3 2" xfId="45264" xr:uid="{B5183CB0-6BFB-4B6D-89AC-B9C10989E324}"/>
    <cellStyle name="Comma [0] 2 2 2 6 4" xfId="12944" xr:uid="{0141DC14-CECD-4E40-962C-6C23693A8E7F}"/>
    <cellStyle name="Comma [0] 2 2 2 6 5" xfId="16287" xr:uid="{4A199C41-2EFD-4FD2-A36D-75C378BF7986}"/>
    <cellStyle name="Comma [0] 2 2 2 6 6" xfId="16830" xr:uid="{6C6C8F03-6617-4711-9AB0-C2FC892FE184}"/>
    <cellStyle name="Comma [0] 2 2 2 6 7" xfId="17374" xr:uid="{372A3880-33F7-4E43-BD3C-C1AC15BF4AE5}"/>
    <cellStyle name="Comma [0] 2 2 2 6 8" xfId="21015" xr:uid="{DDD57588-6017-4D08-BFF5-902E28116AAB}"/>
    <cellStyle name="Comma [0] 2 2 2 6 9" xfId="42868" xr:uid="{CCA21EA4-3A0D-40D1-8012-D73833568264}"/>
    <cellStyle name="Comma [0] 2 2 2 7" xfId="1959" xr:uid="{27101B40-0B6C-4137-BCC9-BF288013FB74}"/>
    <cellStyle name="Comma [0] 2 2 2 7 2" xfId="10230" xr:uid="{D91D18FB-0E3A-4616-A712-B0C424A244AB}"/>
    <cellStyle name="Comma [0] 2 2 2 7 2 2" xfId="45390" xr:uid="{3137DB4A-91AB-4ABA-BFDB-D6FE4BAFBC75}"/>
    <cellStyle name="Comma [0] 2 2 2 7 3" xfId="13070" xr:uid="{0AEF72CD-045D-4D8E-A34E-D8FF3FC5EC7B}"/>
    <cellStyle name="Comma [0] 2 2 2 7 4" xfId="42994" xr:uid="{3C2F2809-248E-4376-A2C8-208540C929FD}"/>
    <cellStyle name="Comma [0] 2 2 2 7 5" xfId="47887" xr:uid="{98C6537F-29C1-4D77-934D-CDF5D983D0F0}"/>
    <cellStyle name="Comma [0] 2 2 2 8" xfId="2377" xr:uid="{0E1C39AA-710A-4077-B137-10AC0637A3C0}"/>
    <cellStyle name="Comma [0] 2 2 2 8 2" xfId="10648" xr:uid="{244D89D9-C5E6-417A-B6D5-8352483A6856}"/>
    <cellStyle name="Comma [0] 2 2 2 8 2 2" xfId="45808" xr:uid="{8508F412-6FF6-49D8-A2EA-18A13F41023C}"/>
    <cellStyle name="Comma [0] 2 2 2 8 3" xfId="13488" xr:uid="{297519E9-EEEB-452A-AB47-73B50CD00CB1}"/>
    <cellStyle name="Comma [0] 2 2 2 8 4" xfId="43412" xr:uid="{C9AE622D-8BAE-468F-AB77-D9943CD7BF42}"/>
    <cellStyle name="Comma [0] 2 2 2 8 5" xfId="48305" xr:uid="{C43E6332-04D1-48BF-B726-F266E11073C5}"/>
    <cellStyle name="Comma [0] 2 2 2 9" xfId="2921" xr:uid="{0CA77CB3-7E97-4285-9A37-FCD7C0752184}"/>
    <cellStyle name="Comma [0] 2 2 2 9 2" xfId="11192" xr:uid="{82CC3C6C-A169-4880-9951-BAC9348E3F94}"/>
    <cellStyle name="Comma [0] 2 2 2 9 2 2" xfId="46352" xr:uid="{17914BA7-B2A4-490F-AE91-FE9B8C554419}"/>
    <cellStyle name="Comma [0] 2 2 2 9 3" xfId="14032" xr:uid="{59ACB5A5-A560-46EF-AAEE-445392BA1AAF}"/>
    <cellStyle name="Comma [0] 2 2 2 9 4" xfId="43956" xr:uid="{FF52BB84-CE11-4DB7-89A9-108D5AA2F635}"/>
    <cellStyle name="Comma [0] 2 2 2 9 5" xfId="48849" xr:uid="{01B360B2-CBD9-4FBD-B79C-D28350608756}"/>
    <cellStyle name="Comma [0] 2 2 20" xfId="47331" xr:uid="{C5C51479-9C77-4D28-8DE3-58A21FC33BB5}"/>
    <cellStyle name="Comma [0] 2 2 3" xfId="179" xr:uid="{00000000-0005-0000-0000-000030000000}"/>
    <cellStyle name="Comma [0] 2 2 3 10" xfId="12585" xr:uid="{2FDF09DF-9B6E-4043-9AFB-C54A8837CD2A}"/>
    <cellStyle name="Comma [0] 2 2 3 11" xfId="15928" xr:uid="{356C44BF-0F4B-4C87-82F6-600D9CE2C478}"/>
    <cellStyle name="Comma [0] 2 2 3 12" xfId="16471" xr:uid="{2E62E1F0-07F1-4A2D-B520-887E2B46A075}"/>
    <cellStyle name="Comma [0] 2 2 3 13" xfId="17015" xr:uid="{0CE0294E-0C7C-424D-B5D3-13F1B3655244}"/>
    <cellStyle name="Comma [0] 2 2 3 14" xfId="17905" xr:uid="{4F6DBB53-0B86-4AB7-996E-6B47D5E9C25E}"/>
    <cellStyle name="Comma [0] 2 2 3 15" xfId="42509" xr:uid="{5435322E-5B4A-43FF-A402-0D6AAFA76B1B}"/>
    <cellStyle name="Comma [0] 2 2 3 16" xfId="47402" xr:uid="{E60C11B6-976E-4C30-B44E-3B62FB21CF12}"/>
    <cellStyle name="Comma [0] 2 2 3 2" xfId="291" xr:uid="{00000000-0005-0000-0000-000031000000}"/>
    <cellStyle name="Comma [0] 2 2 3 2 10" xfId="16575" xr:uid="{04435403-4789-49FC-A53C-26D9EBC62679}"/>
    <cellStyle name="Comma [0] 2 2 3 2 11" xfId="17119" xr:uid="{35E30567-F01F-4E8E-B5B5-22B3CF70BA60}"/>
    <cellStyle name="Comma [0] 2 2 3 2 12" xfId="17584" xr:uid="{36F86BCF-2B5E-4C03-BF0B-2FA57CF81A62}"/>
    <cellStyle name="Comma [0] 2 2 3 2 13" xfId="42613" xr:uid="{22BE880D-4304-4707-90C4-60306BC9A94D}"/>
    <cellStyle name="Comma [0] 2 2 3 2 14" xfId="47506" xr:uid="{B52BC39C-2029-449B-9F07-ADE6C2B8BFD0}"/>
    <cellStyle name="Comma [0] 2 2 3 2 2" xfId="518" xr:uid="{00000000-0005-0000-0000-000032000000}"/>
    <cellStyle name="Comma [0] 2 2 3 2 2 10" xfId="17331" xr:uid="{D212B2B2-9D78-4DFF-A788-08115BDDA7B6}"/>
    <cellStyle name="Comma [0] 2 2 3 2 2 11" xfId="23975" xr:uid="{F88231F3-36A0-4214-883D-CABC2BD87576}"/>
    <cellStyle name="Comma [0] 2 2 3 2 2 12" xfId="42825" xr:uid="{57B3B942-6309-4EC6-87C5-978342F31AA0}"/>
    <cellStyle name="Comma [0] 2 2 3 2 2 13" xfId="47718" xr:uid="{D1D7478D-4D31-4D6B-9381-4A16F237B4DE}"/>
    <cellStyle name="Comma [0] 2 2 3 2 2 2" xfId="2334" xr:uid="{D89C0D16-42BA-459A-B296-BA593A981664}"/>
    <cellStyle name="Comma [0] 2 2 3 2 2 2 2" xfId="10605" xr:uid="{41C92C1B-B974-4E66-A3E8-6B94E6F67462}"/>
    <cellStyle name="Comma [0] 2 2 3 2 2 2 2 2" xfId="45765" xr:uid="{4B0F171B-26CC-472F-AAEE-1A8BBB525DE3}"/>
    <cellStyle name="Comma [0] 2 2 3 2 2 2 3" xfId="13445" xr:uid="{EA2851B9-CBEF-4828-AD3A-1333C2C11068}"/>
    <cellStyle name="Comma [0] 2 2 3 2 2 2 4" xfId="43369" xr:uid="{AA06883A-37B6-440B-9AB4-7C81C6D9B992}"/>
    <cellStyle name="Comma [0] 2 2 3 2 2 2 5" xfId="48262" xr:uid="{9E34FAD2-540C-4DE8-A074-B37E09B9C5A7}"/>
    <cellStyle name="Comma [0] 2 2 3 2 2 3" xfId="2752" xr:uid="{3E31F8EC-B4CA-4E16-B22A-14D7D788B6D5}"/>
    <cellStyle name="Comma [0] 2 2 3 2 2 3 2" xfId="11023" xr:uid="{1570FEE6-6B2C-44B3-80EB-71D18F0E9DA9}"/>
    <cellStyle name="Comma [0] 2 2 3 2 2 3 2 2" xfId="46183" xr:uid="{028A5D6C-5D4A-48B1-8A9D-3A49940A43F4}"/>
    <cellStyle name="Comma [0] 2 2 3 2 2 3 3" xfId="13863" xr:uid="{398AC944-C8F6-48FA-88DF-5C41E383A924}"/>
    <cellStyle name="Comma [0] 2 2 3 2 2 3 4" xfId="43787" xr:uid="{EDAB31F2-185F-4EB6-AE55-AF4CC294659A}"/>
    <cellStyle name="Comma [0] 2 2 3 2 2 3 5" xfId="48680" xr:uid="{4C48539B-124F-4501-A8FC-AE96BBDF6AC4}"/>
    <cellStyle name="Comma [0] 2 2 3 2 2 4" xfId="3296" xr:uid="{94453843-5009-4752-A662-1EF2C624E37B}"/>
    <cellStyle name="Comma [0] 2 2 3 2 2 4 2" xfId="11567" xr:uid="{3CB218F9-BA3A-4952-A0CB-86F9BEF0B270}"/>
    <cellStyle name="Comma [0] 2 2 3 2 2 4 2 2" xfId="46727" xr:uid="{860B0AF5-FA93-4489-9DEA-EB8A2C6F2197}"/>
    <cellStyle name="Comma [0] 2 2 3 2 2 4 3" xfId="14407" xr:uid="{FE48793F-0448-4177-84BE-65B1E5A84B14}"/>
    <cellStyle name="Comma [0] 2 2 3 2 2 4 4" xfId="44331" xr:uid="{D62080DD-3161-49EA-905D-C768061E4D39}"/>
    <cellStyle name="Comma [0] 2 2 3 2 2 4 5" xfId="49224" xr:uid="{5FDBFDFA-A919-46DF-BAF8-D841122F57E2}"/>
    <cellStyle name="Comma [0] 2 2 3 2 2 5" xfId="3798" xr:uid="{B3CA68A6-EE1A-455A-9257-0035DA53EB59}"/>
    <cellStyle name="Comma [0] 2 2 3 2 2 5 2" xfId="12039" xr:uid="{0425FB5C-232E-40E5-99AE-6C9BFA009915}"/>
    <cellStyle name="Comma [0] 2 2 3 2 2 5 3" xfId="14879" xr:uid="{9A1E8AB5-75A4-4C2F-8C7A-83179C6847A2}"/>
    <cellStyle name="Comma [0] 2 2 3 2 2 5 4" xfId="44803" xr:uid="{3BA1CE09-CF0A-4C42-B35F-A3F69071E420}"/>
    <cellStyle name="Comma [0] 2 2 3 2 2 5 5" xfId="49696" xr:uid="{9D4929AA-65E6-4EED-A6C4-9BFAC3C4EDEF}"/>
    <cellStyle name="Comma [0] 2 2 3 2 2 6" xfId="10061" xr:uid="{28D20FDC-516D-4F6D-80F8-86CC56C85556}"/>
    <cellStyle name="Comma [0] 2 2 3 2 2 6 2" xfId="45221" xr:uid="{BA311649-B4DE-4631-B96E-845A15544A1D}"/>
    <cellStyle name="Comma [0] 2 2 3 2 2 7" xfId="12901" xr:uid="{769DC73F-6765-490C-A96D-CC82B58F7784}"/>
    <cellStyle name="Comma [0] 2 2 3 2 2 8" xfId="16244" xr:uid="{9EBC2839-4FD9-4898-A839-206EAB9A4B8B}"/>
    <cellStyle name="Comma [0] 2 2 3 2 2 9" xfId="16787" xr:uid="{C672A581-D53D-4BFB-B0CB-F655B54267F2}"/>
    <cellStyle name="Comma [0] 2 2 3 2 3" xfId="2122" xr:uid="{2D36E6FF-C3B2-472F-9B24-108F320F15CE}"/>
    <cellStyle name="Comma [0] 2 2 3 2 3 2" xfId="10393" xr:uid="{C8032E7D-552A-4FF2-A6F8-331F3943E037}"/>
    <cellStyle name="Comma [0] 2 2 3 2 3 2 2" xfId="45553" xr:uid="{9F4A49A3-D3A6-4246-A9AD-5D54DB9813B6}"/>
    <cellStyle name="Comma [0] 2 2 3 2 3 3" xfId="13233" xr:uid="{CACD4FDD-14F3-45FA-BFFD-10A9090A86A1}"/>
    <cellStyle name="Comma [0] 2 2 3 2 3 4" xfId="43157" xr:uid="{6F5E3942-F29B-4898-8EB0-C3E375558ADA}"/>
    <cellStyle name="Comma [0] 2 2 3 2 3 5" xfId="48050" xr:uid="{5AB08AE6-7A9E-409B-8E7E-5D4C33DFB9F8}"/>
    <cellStyle name="Comma [0] 2 2 3 2 4" xfId="2540" xr:uid="{7DD18EF0-7131-40CA-988F-AC9915435AF0}"/>
    <cellStyle name="Comma [0] 2 2 3 2 4 2" xfId="10811" xr:uid="{D704809B-852A-4A2B-9C66-72099B86BE10}"/>
    <cellStyle name="Comma [0] 2 2 3 2 4 2 2" xfId="45971" xr:uid="{8632F559-8449-40A8-9D88-97AF5D3380CC}"/>
    <cellStyle name="Comma [0] 2 2 3 2 4 3" xfId="13651" xr:uid="{1C1550DA-08D5-4727-BF0E-46A277D51798}"/>
    <cellStyle name="Comma [0] 2 2 3 2 4 4" xfId="43575" xr:uid="{44EF3FBE-3387-4358-8B2A-3DC9761EDF0A}"/>
    <cellStyle name="Comma [0] 2 2 3 2 4 5" xfId="48468" xr:uid="{559005A5-05EF-49E2-881D-7BEE8673C73F}"/>
    <cellStyle name="Comma [0] 2 2 3 2 5" xfId="3084" xr:uid="{0E1485C2-BA47-4747-88A3-83CBD55D3727}"/>
    <cellStyle name="Comma [0] 2 2 3 2 5 2" xfId="11355" xr:uid="{1F1BF2BD-51A9-4426-BB15-9198293D2E67}"/>
    <cellStyle name="Comma [0] 2 2 3 2 5 2 2" xfId="46515" xr:uid="{75CFC522-F2D8-456D-94FA-2D945932D3D0}"/>
    <cellStyle name="Comma [0] 2 2 3 2 5 3" xfId="14195" xr:uid="{57CD8288-03F0-4C17-B449-F125F732CB68}"/>
    <cellStyle name="Comma [0] 2 2 3 2 5 4" xfId="44119" xr:uid="{191E0F62-7827-491B-B9A0-96724A17DA36}"/>
    <cellStyle name="Comma [0] 2 2 3 2 5 5" xfId="49012" xr:uid="{45AA66B2-2103-40E8-9380-E4509CDEDC78}"/>
    <cellStyle name="Comma [0] 2 2 3 2 6" xfId="3586" xr:uid="{2D08D451-688E-46FE-9F20-83AC26366936}"/>
    <cellStyle name="Comma [0] 2 2 3 2 6 2" xfId="11827" xr:uid="{9A1A99FF-ACBE-4A61-8E19-77B2E3433F55}"/>
    <cellStyle name="Comma [0] 2 2 3 2 6 3" xfId="14667" xr:uid="{38DFFDE4-7E95-41A8-8F60-78C5A29EC78B}"/>
    <cellStyle name="Comma [0] 2 2 3 2 6 4" xfId="44591" xr:uid="{94F2E0B1-623B-4D99-8A14-E84E7CF0C7F9}"/>
    <cellStyle name="Comma [0] 2 2 3 2 6 5" xfId="49484" xr:uid="{596429B9-0441-414B-B245-FABD48DCF056}"/>
    <cellStyle name="Comma [0] 2 2 3 2 7" xfId="9849" xr:uid="{8A07ADD4-42D0-4A74-91E9-52F0C0CFCBC5}"/>
    <cellStyle name="Comma [0] 2 2 3 2 7 2" xfId="45009" xr:uid="{042CC857-8382-4FDC-AA3C-0E3B6FEA4CD3}"/>
    <cellStyle name="Comma [0] 2 2 3 2 8" xfId="12689" xr:uid="{7C2F4DCB-3A62-499B-B438-CED67E7331C0}"/>
    <cellStyle name="Comma [0] 2 2 3 2 9" xfId="16032" xr:uid="{44A19AF8-0583-4EFB-B582-3B3132CD89B3}"/>
    <cellStyle name="Comma [0] 2 2 3 3" xfId="417" xr:uid="{00000000-0005-0000-0000-000033000000}"/>
    <cellStyle name="Comma [0] 2 2 3 3 10" xfId="17231" xr:uid="{45E77969-080E-453D-B6C6-7BA19666E0D2}"/>
    <cellStyle name="Comma [0] 2 2 3 3 11" xfId="18038" xr:uid="{1987F589-21DD-4CA4-8165-C9A4CF12820A}"/>
    <cellStyle name="Comma [0] 2 2 3 3 12" xfId="42725" xr:uid="{1095F430-370E-4757-80A6-68AE8ADE6A29}"/>
    <cellStyle name="Comma [0] 2 2 3 3 13" xfId="47618" xr:uid="{9B648C3A-AEF2-4338-83FD-C63FDC2A7B98}"/>
    <cellStyle name="Comma [0] 2 2 3 3 2" xfId="2234" xr:uid="{5F2B7FA6-C9C8-4B57-9CFE-8741B09AF2B9}"/>
    <cellStyle name="Comma [0] 2 2 3 3 2 2" xfId="10505" xr:uid="{69486F1F-F469-4E18-9570-DEEEC3E8AAE8}"/>
    <cellStyle name="Comma [0] 2 2 3 3 2 2 2" xfId="45665" xr:uid="{03DC8332-2AB6-4375-9DCB-531C7F1E88F5}"/>
    <cellStyle name="Comma [0] 2 2 3 3 2 3" xfId="13345" xr:uid="{6AF19B29-7BD2-4A7A-B1D5-4ECE178BE270}"/>
    <cellStyle name="Comma [0] 2 2 3 3 2 4" xfId="43269" xr:uid="{86BA7544-6F05-44D8-B7AE-B828ABF78B41}"/>
    <cellStyle name="Comma [0] 2 2 3 3 2 5" xfId="48162" xr:uid="{DFBE2EB5-C339-4424-BE6C-708239EDFDB2}"/>
    <cellStyle name="Comma [0] 2 2 3 3 3" xfId="2652" xr:uid="{E595413C-17B0-42B2-8AAB-E901FB900474}"/>
    <cellStyle name="Comma [0] 2 2 3 3 3 2" xfId="10923" xr:uid="{2919B835-4D86-47B3-B9C9-5D722C739370}"/>
    <cellStyle name="Comma [0] 2 2 3 3 3 2 2" xfId="46083" xr:uid="{E563709C-61BA-440E-9F24-DEAA38F98F09}"/>
    <cellStyle name="Comma [0] 2 2 3 3 3 3" xfId="13763" xr:uid="{28D9D524-78AF-4E1C-A969-49D39014B923}"/>
    <cellStyle name="Comma [0] 2 2 3 3 3 4" xfId="43687" xr:uid="{0254BF35-376C-4993-9389-9166DA4F5EF4}"/>
    <cellStyle name="Comma [0] 2 2 3 3 3 5" xfId="48580" xr:uid="{C01868B8-588F-42E5-AA42-951A07F5785E}"/>
    <cellStyle name="Comma [0] 2 2 3 3 4" xfId="3196" xr:uid="{29859AAE-49D9-440B-B305-89F2066538FF}"/>
    <cellStyle name="Comma [0] 2 2 3 3 4 2" xfId="11467" xr:uid="{A43E6C24-F9FF-4288-9F60-BAE5AC23157F}"/>
    <cellStyle name="Comma [0] 2 2 3 3 4 2 2" xfId="46627" xr:uid="{0727B972-049C-45F0-B720-FA593635FA2D}"/>
    <cellStyle name="Comma [0] 2 2 3 3 4 3" xfId="14307" xr:uid="{BB1D8F00-ED6B-4231-B409-1023E6AF00BB}"/>
    <cellStyle name="Comma [0] 2 2 3 3 4 4" xfId="44231" xr:uid="{5FDE2425-CDE8-4237-9C39-BB776B27DDC3}"/>
    <cellStyle name="Comma [0] 2 2 3 3 4 5" xfId="49124" xr:uid="{F8203665-8FC0-467C-B46F-28897BF07CE2}"/>
    <cellStyle name="Comma [0] 2 2 3 3 5" xfId="3698" xr:uid="{F03DFF81-7E51-4F76-87AC-2B94523352A3}"/>
    <cellStyle name="Comma [0] 2 2 3 3 5 2" xfId="11939" xr:uid="{4AA509F4-B5E9-4BCC-8598-CEA92B2F2C17}"/>
    <cellStyle name="Comma [0] 2 2 3 3 5 3" xfId="14779" xr:uid="{147D1839-EC7C-4BF3-8CED-5E38E5AB78DB}"/>
    <cellStyle name="Comma [0] 2 2 3 3 5 4" xfId="44703" xr:uid="{47B8E2B0-E7A3-422D-9210-F19D3B3BCE08}"/>
    <cellStyle name="Comma [0] 2 2 3 3 5 5" xfId="49596" xr:uid="{DCDD4F46-E586-4621-8B25-46AADD89352B}"/>
    <cellStyle name="Comma [0] 2 2 3 3 6" xfId="9961" xr:uid="{2FDAD09A-FB8F-4C36-B269-9BA6ED7B7CCA}"/>
    <cellStyle name="Comma [0] 2 2 3 3 6 2" xfId="45121" xr:uid="{7525BAB2-D417-480D-A876-2BC75A43975E}"/>
    <cellStyle name="Comma [0] 2 2 3 3 7" xfId="12801" xr:uid="{141E609D-A28D-4E32-BDED-F6093024E786}"/>
    <cellStyle name="Comma [0] 2 2 3 3 8" xfId="16144" xr:uid="{80C31A9C-2684-434A-81ED-67C352EB28D5}"/>
    <cellStyle name="Comma [0] 2 2 3 3 9" xfId="16687" xr:uid="{9062EC19-A8CD-4B51-B5C8-144C3C0B1EB2}"/>
    <cellStyle name="Comma [0] 2 2 3 4" xfId="620" xr:uid="{00000000-0005-0000-0000-000034000000}"/>
    <cellStyle name="Comma [0] 2 2 3 4 10" xfId="47820" xr:uid="{6AD1F7E6-C307-4DCD-9E8E-181CE097588A}"/>
    <cellStyle name="Comma [0] 2 2 3 4 2" xfId="2854" xr:uid="{F529FCE3-CF13-419A-9470-FF77E84B12CA}"/>
    <cellStyle name="Comma [0] 2 2 3 4 2 2" xfId="11125" xr:uid="{C34C51AD-D457-4736-AEFC-FB4211DC4952}"/>
    <cellStyle name="Comma [0] 2 2 3 4 2 2 2" xfId="46285" xr:uid="{C3573D3F-CBAE-4FBA-BF9D-A357B13A7C4E}"/>
    <cellStyle name="Comma [0] 2 2 3 4 2 3" xfId="13965" xr:uid="{8B2FE835-901D-4251-8122-A59178E61D59}"/>
    <cellStyle name="Comma [0] 2 2 3 4 2 4" xfId="43889" xr:uid="{0D010610-C5B0-47C9-BE88-A9C52D0FBFF9}"/>
    <cellStyle name="Comma [0] 2 2 3 4 2 5" xfId="48782" xr:uid="{0BAAD2BE-B03E-4EEC-980F-654F3D4B1B48}"/>
    <cellStyle name="Comma [0] 2 2 3 4 3" xfId="10163" xr:uid="{D2A71F60-CE83-4138-B9BE-897A85FB6B5A}"/>
    <cellStyle name="Comma [0] 2 2 3 4 3 2" xfId="45323" xr:uid="{B7C514D2-5F33-4EB4-934F-C648182195E3}"/>
    <cellStyle name="Comma [0] 2 2 3 4 4" xfId="13003" xr:uid="{CC3D7DBF-8811-42B3-8632-BEDDB0F30E93}"/>
    <cellStyle name="Comma [0] 2 2 3 4 5" xfId="16346" xr:uid="{FFEE3ECE-D6B9-4807-B3E6-E460D4FEDA12}"/>
    <cellStyle name="Comma [0] 2 2 3 4 6" xfId="16889" xr:uid="{A479FFCC-D899-41F2-9D57-CA6913A63D49}"/>
    <cellStyle name="Comma [0] 2 2 3 4 7" xfId="17433" xr:uid="{14473A46-D265-428C-A0B9-5DE7687DBCE8}"/>
    <cellStyle name="Comma [0] 2 2 3 4 8" xfId="17846" xr:uid="{EDBC95EC-22B8-4986-9B0F-5A7295403379}"/>
    <cellStyle name="Comma [0] 2 2 3 4 9" xfId="42927" xr:uid="{D7EC4E28-811B-4DFF-B7B7-AECC41E924B5}"/>
    <cellStyle name="Comma [0] 2 2 3 5" xfId="2018" xr:uid="{B80059C2-C78D-49E8-AAD0-D0355E3B84A3}"/>
    <cellStyle name="Comma [0] 2 2 3 5 2" xfId="10289" xr:uid="{BD71EF66-A152-4519-9F2E-14A24239C71B}"/>
    <cellStyle name="Comma [0] 2 2 3 5 2 2" xfId="45449" xr:uid="{0802AF49-4199-4BC3-A493-AD8B8F484D6E}"/>
    <cellStyle name="Comma [0] 2 2 3 5 3" xfId="13129" xr:uid="{E217775F-5D5C-444D-97AE-6A466DBC247A}"/>
    <cellStyle name="Comma [0] 2 2 3 5 4" xfId="43053" xr:uid="{2D66D631-2F2C-47EA-9D52-5B76040F286B}"/>
    <cellStyle name="Comma [0] 2 2 3 5 5" xfId="47946" xr:uid="{5281B263-BEB4-4D51-9D8E-55CB4AE82AF3}"/>
    <cellStyle name="Comma [0] 2 2 3 6" xfId="2436" xr:uid="{21CB44B4-EAE8-4C4E-B145-BE5E121AE707}"/>
    <cellStyle name="Comma [0] 2 2 3 6 2" xfId="10707" xr:uid="{2A8EB29F-813F-484C-8C79-41D0AE75A693}"/>
    <cellStyle name="Comma [0] 2 2 3 6 2 2" xfId="45867" xr:uid="{77F2FD89-7F8B-4D89-A479-C7497507C527}"/>
    <cellStyle name="Comma [0] 2 2 3 6 3" xfId="13547" xr:uid="{90661745-0C32-433D-BCA9-7ED762B278C4}"/>
    <cellStyle name="Comma [0] 2 2 3 6 4" xfId="43471" xr:uid="{67E32989-BB65-4FE9-94F7-144AF103188A}"/>
    <cellStyle name="Comma [0] 2 2 3 6 5" xfId="48364" xr:uid="{F1737034-8B8E-4DE7-9CE4-5A7A1A011E04}"/>
    <cellStyle name="Comma [0] 2 2 3 7" xfId="2980" xr:uid="{E7D48E09-4BB4-4115-B27C-B5BA9D73D692}"/>
    <cellStyle name="Comma [0] 2 2 3 7 2" xfId="11251" xr:uid="{F3914884-7DB2-44F3-99F8-2D95CC5BD098}"/>
    <cellStyle name="Comma [0] 2 2 3 7 2 2" xfId="46411" xr:uid="{0DDB6FE0-1FB6-4020-A037-B765A5931061}"/>
    <cellStyle name="Comma [0] 2 2 3 7 3" xfId="14091" xr:uid="{FF5FEED7-007D-4BB6-8C9D-7BF2506A2736}"/>
    <cellStyle name="Comma [0] 2 2 3 7 4" xfId="44015" xr:uid="{81A47B05-6B43-4B99-B5D2-6B2AD6F9D45E}"/>
    <cellStyle name="Comma [0] 2 2 3 7 5" xfId="48908" xr:uid="{48CB6E4F-A3FD-412C-86B3-6149DCFA6030}"/>
    <cellStyle name="Comma [0] 2 2 3 8" xfId="3482" xr:uid="{0131C042-2505-40E4-AA46-656557327AEC}"/>
    <cellStyle name="Comma [0] 2 2 3 8 2" xfId="11723" xr:uid="{719C0DA8-9D9D-465C-9C53-CEC45A07C816}"/>
    <cellStyle name="Comma [0] 2 2 3 8 3" xfId="14563" xr:uid="{BCD051A5-73AE-4CF0-B253-AA3E37FD981E}"/>
    <cellStyle name="Comma [0] 2 2 3 8 4" xfId="44487" xr:uid="{D3E64E15-D742-4AB4-871F-DCB14083E17E}"/>
    <cellStyle name="Comma [0] 2 2 3 8 5" xfId="49380" xr:uid="{BCD7BFA8-6066-49BC-A23F-566D75EBEFCB}"/>
    <cellStyle name="Comma [0] 2 2 3 9" xfId="9745" xr:uid="{B86FD01D-1ED7-44EB-A6BE-3D2FC235C07A}"/>
    <cellStyle name="Comma [0] 2 2 3 9 2" xfId="44905" xr:uid="{1271776E-F5ED-4663-B3B1-91A6453A9878}"/>
    <cellStyle name="Comma [0] 2 2 4" xfId="167" xr:uid="{00000000-0005-0000-0000-000035000000}"/>
    <cellStyle name="Comma [0] 2 2 4 10" xfId="12574" xr:uid="{B9D95FEE-B26F-4A7B-B19C-2D9C3208A4D7}"/>
    <cellStyle name="Comma [0] 2 2 4 11" xfId="15917" xr:uid="{5FCCC149-EDE8-4F64-9C24-1CB802FCC74E}"/>
    <cellStyle name="Comma [0] 2 2 4 12" xfId="16460" xr:uid="{A3C54C92-312B-4C27-B2EE-4B94EF3EE555}"/>
    <cellStyle name="Comma [0] 2 2 4 13" xfId="17004" xr:uid="{6BA2D7AC-4216-4D68-9412-B1E1FFB7CED8}"/>
    <cellStyle name="Comma [0] 2 2 4 14" xfId="18194" xr:uid="{8E85B15F-E76F-4114-9EA1-018EE215A88D}"/>
    <cellStyle name="Comma [0] 2 2 4 15" xfId="42498" xr:uid="{6E51B277-6776-4442-9605-D0619F591EF1}"/>
    <cellStyle name="Comma [0] 2 2 4 16" xfId="47391" xr:uid="{06388935-1141-478E-8BF2-3C3AF6A79296}"/>
    <cellStyle name="Comma [0] 2 2 4 2" xfId="280" xr:uid="{00000000-0005-0000-0000-000036000000}"/>
    <cellStyle name="Comma [0] 2 2 4 2 10" xfId="16564" xr:uid="{115EAB64-D0AE-45DA-82FE-2B9BEE2A63DC}"/>
    <cellStyle name="Comma [0] 2 2 4 2 11" xfId="17108" xr:uid="{690B29D8-C3FA-454B-8E1F-DE2E5C82322B}"/>
    <cellStyle name="Comma [0] 2 2 4 2 12" xfId="17873" xr:uid="{89104576-BA1E-49FB-87B3-3A4D6F859706}"/>
    <cellStyle name="Comma [0] 2 2 4 2 13" xfId="42602" xr:uid="{4F7CB140-E29B-4D61-B56B-8BF75A88F453}"/>
    <cellStyle name="Comma [0] 2 2 4 2 14" xfId="47495" xr:uid="{F02205C3-DE19-4159-99FA-01C7F00E0D52}"/>
    <cellStyle name="Comma [0] 2 2 4 2 2" xfId="507" xr:uid="{00000000-0005-0000-0000-000037000000}"/>
    <cellStyle name="Comma [0] 2 2 4 2 2 10" xfId="17320" xr:uid="{C599409C-AF0A-4911-8A65-0BA10F713691}"/>
    <cellStyle name="Comma [0] 2 2 4 2 2 11" xfId="17670" xr:uid="{B29B36AC-2A06-4F7F-8774-957CE00BE7CA}"/>
    <cellStyle name="Comma [0] 2 2 4 2 2 12" xfId="42814" xr:uid="{41DBAB54-840F-4AD5-8BFD-8DF6827D6B63}"/>
    <cellStyle name="Comma [0] 2 2 4 2 2 13" xfId="47707" xr:uid="{3BF5843B-174B-44B7-8FF0-5566C4422E40}"/>
    <cellStyle name="Comma [0] 2 2 4 2 2 2" xfId="2323" xr:uid="{153AB024-A5E6-4BE8-AB46-0987BC8E7D23}"/>
    <cellStyle name="Comma [0] 2 2 4 2 2 2 2" xfId="10594" xr:uid="{F2F29986-DA60-431E-9135-7B983B1BF0B6}"/>
    <cellStyle name="Comma [0] 2 2 4 2 2 2 2 2" xfId="45754" xr:uid="{C874F4D6-7E74-4E83-A031-0C194A01AA3E}"/>
    <cellStyle name="Comma [0] 2 2 4 2 2 2 3" xfId="13434" xr:uid="{83CD1B3C-E8FB-4BA7-B34D-E248B9FE770F}"/>
    <cellStyle name="Comma [0] 2 2 4 2 2 2 4" xfId="43358" xr:uid="{B587488B-E5B0-49E8-9119-4E8C96486E4D}"/>
    <cellStyle name="Comma [0] 2 2 4 2 2 2 5" xfId="48251" xr:uid="{F2C6A913-056E-4036-912F-3046BA37C076}"/>
    <cellStyle name="Comma [0] 2 2 4 2 2 3" xfId="2741" xr:uid="{76D6AC77-15DE-46D5-A134-3B505ED41DDF}"/>
    <cellStyle name="Comma [0] 2 2 4 2 2 3 2" xfId="11012" xr:uid="{BA74C610-FD07-48D5-9662-83387FB88E53}"/>
    <cellStyle name="Comma [0] 2 2 4 2 2 3 2 2" xfId="46172" xr:uid="{DBF031FB-4238-4340-81C0-39371739CDBD}"/>
    <cellStyle name="Comma [0] 2 2 4 2 2 3 3" xfId="13852" xr:uid="{9F4B57F7-657B-41E6-9B91-F1BB3A01CC37}"/>
    <cellStyle name="Comma [0] 2 2 4 2 2 3 4" xfId="43776" xr:uid="{04D6361C-18B5-48F2-86A9-EF0FE44BD50C}"/>
    <cellStyle name="Comma [0] 2 2 4 2 2 3 5" xfId="48669" xr:uid="{FAC6A208-5DC0-44F4-B2DD-30387B6043CE}"/>
    <cellStyle name="Comma [0] 2 2 4 2 2 4" xfId="3285" xr:uid="{8E2E35E1-19C8-4666-8C9F-857EE7FC651E}"/>
    <cellStyle name="Comma [0] 2 2 4 2 2 4 2" xfId="11556" xr:uid="{FD3692A6-218E-4F50-AA25-C9ED0EFF15C2}"/>
    <cellStyle name="Comma [0] 2 2 4 2 2 4 2 2" xfId="46716" xr:uid="{960E794D-498A-477D-99AA-33E05BBE37C9}"/>
    <cellStyle name="Comma [0] 2 2 4 2 2 4 3" xfId="14396" xr:uid="{EE8679F7-E0AA-4C7B-8949-77FB8CA6FF39}"/>
    <cellStyle name="Comma [0] 2 2 4 2 2 4 4" xfId="44320" xr:uid="{E439E389-2EE3-42CC-BD2D-F63498B8695D}"/>
    <cellStyle name="Comma [0] 2 2 4 2 2 4 5" xfId="49213" xr:uid="{0D535DCF-4910-4D8C-A87F-7D8FC5E50B9A}"/>
    <cellStyle name="Comma [0] 2 2 4 2 2 5" xfId="3787" xr:uid="{76A24AEA-5993-4C4E-BA44-1322941AAC05}"/>
    <cellStyle name="Comma [0] 2 2 4 2 2 5 2" xfId="12028" xr:uid="{C644C2D0-A358-4D9F-9FAF-20D411A7CF6E}"/>
    <cellStyle name="Comma [0] 2 2 4 2 2 5 3" xfId="14868" xr:uid="{0A1CA6C1-D715-421A-B7CA-10513E6D1C4A}"/>
    <cellStyle name="Comma [0] 2 2 4 2 2 5 4" xfId="44792" xr:uid="{526EC6F2-AB9F-4FF3-BA67-27C7020980CC}"/>
    <cellStyle name="Comma [0] 2 2 4 2 2 5 5" xfId="49685" xr:uid="{F41F0FC4-0AF5-4619-BC40-6B1FC1CF0DDD}"/>
    <cellStyle name="Comma [0] 2 2 4 2 2 6" xfId="10050" xr:uid="{AB16CE2B-26CB-4CD5-8D7A-85F486EBDD12}"/>
    <cellStyle name="Comma [0] 2 2 4 2 2 6 2" xfId="45210" xr:uid="{E975BCE8-EE84-4AEB-9FA0-6DFEA59D1D70}"/>
    <cellStyle name="Comma [0] 2 2 4 2 2 7" xfId="12890" xr:uid="{9D551FA8-027C-41D2-A831-9BEA44685DB6}"/>
    <cellStyle name="Comma [0] 2 2 4 2 2 8" xfId="16233" xr:uid="{F066F292-1CC1-49C2-AA7F-67A4F1F30D5F}"/>
    <cellStyle name="Comma [0] 2 2 4 2 2 9" xfId="16776" xr:uid="{A7392AF2-88BD-4CD0-A4A8-276949D4F34E}"/>
    <cellStyle name="Comma [0] 2 2 4 2 3" xfId="2111" xr:uid="{D152EA6D-F8A4-4DAD-BCBC-00B70893D660}"/>
    <cellStyle name="Comma [0] 2 2 4 2 3 2" xfId="10382" xr:uid="{B0A4E30B-042C-4DF8-BC1F-AFA0E2610BB4}"/>
    <cellStyle name="Comma [0] 2 2 4 2 3 2 2" xfId="45542" xr:uid="{577F9453-07CE-4E02-82F2-B9B9448F9A55}"/>
    <cellStyle name="Comma [0] 2 2 4 2 3 3" xfId="13222" xr:uid="{EB0F3A91-E9E2-4390-8090-C516C9C323DE}"/>
    <cellStyle name="Comma [0] 2 2 4 2 3 4" xfId="43146" xr:uid="{60E123DE-A914-44CB-B45F-494678296287}"/>
    <cellStyle name="Comma [0] 2 2 4 2 3 5" xfId="48039" xr:uid="{C2700A1E-198E-40BF-96D8-9A17101714B9}"/>
    <cellStyle name="Comma [0] 2 2 4 2 4" xfId="2529" xr:uid="{9D0E4BEC-BFA0-4E17-80CE-2F2DAF0E6FD4}"/>
    <cellStyle name="Comma [0] 2 2 4 2 4 2" xfId="10800" xr:uid="{D68D48D7-CCA4-4F93-8B68-18869CEE4706}"/>
    <cellStyle name="Comma [0] 2 2 4 2 4 2 2" xfId="45960" xr:uid="{598BD9E6-2CF4-4B7D-8CB2-0D83E7B071B7}"/>
    <cellStyle name="Comma [0] 2 2 4 2 4 3" xfId="13640" xr:uid="{9FCB2229-633C-4A12-87D4-B7D2C57EA98D}"/>
    <cellStyle name="Comma [0] 2 2 4 2 4 4" xfId="43564" xr:uid="{89EC7B56-42E3-4CB0-A726-C04E5B5620FF}"/>
    <cellStyle name="Comma [0] 2 2 4 2 4 5" xfId="48457" xr:uid="{934B955E-B6B0-4AFC-BA56-9C097B31C9F4}"/>
    <cellStyle name="Comma [0] 2 2 4 2 5" xfId="3073" xr:uid="{51A110C2-A1F9-4C47-99F0-DD8BCB837A0F}"/>
    <cellStyle name="Comma [0] 2 2 4 2 5 2" xfId="11344" xr:uid="{67E2F8EF-F597-41CC-9ABA-39538EA38FF8}"/>
    <cellStyle name="Comma [0] 2 2 4 2 5 2 2" xfId="46504" xr:uid="{37851A62-30D9-422F-82C2-F7BCEBE74A45}"/>
    <cellStyle name="Comma [0] 2 2 4 2 5 3" xfId="14184" xr:uid="{CE4E4407-EC79-4FA5-AB84-EF7F5C0E3A01}"/>
    <cellStyle name="Comma [0] 2 2 4 2 5 4" xfId="44108" xr:uid="{C198B5E1-6906-4B26-B6F6-1D5DC70B757B}"/>
    <cellStyle name="Comma [0] 2 2 4 2 5 5" xfId="49001" xr:uid="{6BF93212-5034-4B47-8EB9-A7D80E5ED248}"/>
    <cellStyle name="Comma [0] 2 2 4 2 6" xfId="3575" xr:uid="{5C227699-79D3-4479-9C50-384921F0623D}"/>
    <cellStyle name="Comma [0] 2 2 4 2 6 2" xfId="11816" xr:uid="{8C25F675-BC25-40BE-B73D-E564FCC4FC2F}"/>
    <cellStyle name="Comma [0] 2 2 4 2 6 3" xfId="14656" xr:uid="{E1B45012-2B1A-46AF-8DAA-FF201D68F1EE}"/>
    <cellStyle name="Comma [0] 2 2 4 2 6 4" xfId="44580" xr:uid="{E8B2D687-68F8-48A1-A541-FFA160B57B5F}"/>
    <cellStyle name="Comma [0] 2 2 4 2 6 5" xfId="49473" xr:uid="{6B27962F-387B-4AC4-AD12-0A725E3AE7A0}"/>
    <cellStyle name="Comma [0] 2 2 4 2 7" xfId="9838" xr:uid="{038CF02C-DF68-4C7A-86BE-4B7F5881EDC8}"/>
    <cellStyle name="Comma [0] 2 2 4 2 7 2" xfId="44998" xr:uid="{BF1453B5-EAB9-4E73-ACCB-D7411A1CF032}"/>
    <cellStyle name="Comma [0] 2 2 4 2 8" xfId="12678" xr:uid="{EF48F63D-585B-417E-B143-1C9EEA09C9C6}"/>
    <cellStyle name="Comma [0] 2 2 4 2 9" xfId="16021" xr:uid="{FF936750-6ACF-45FE-BEE6-E6A062637F53}"/>
    <cellStyle name="Comma [0] 2 2 4 3" xfId="406" xr:uid="{00000000-0005-0000-0000-000038000000}"/>
    <cellStyle name="Comma [0] 2 2 4 3 10" xfId="17220" xr:uid="{E87A7A13-DFCC-4A88-887A-7AAED88BCABE}"/>
    <cellStyle name="Comma [0] 2 2 4 3 11" xfId="18002" xr:uid="{785FBE34-00D7-42FA-A325-6C352F21F562}"/>
    <cellStyle name="Comma [0] 2 2 4 3 12" xfId="42714" xr:uid="{80A11C7E-9E66-4AB8-876F-6E2327798319}"/>
    <cellStyle name="Comma [0] 2 2 4 3 13" xfId="47607" xr:uid="{D958CF44-19DB-4B91-929F-394E48AC4760}"/>
    <cellStyle name="Comma [0] 2 2 4 3 2" xfId="2223" xr:uid="{B425A18F-AE25-4E00-9B8D-1ED282750AAD}"/>
    <cellStyle name="Comma [0] 2 2 4 3 2 2" xfId="10494" xr:uid="{AB8741B2-4932-445F-94ED-2601FBB52B8E}"/>
    <cellStyle name="Comma [0] 2 2 4 3 2 2 2" xfId="45654" xr:uid="{BA3085D3-10D6-407B-920B-2DB786FF3F7C}"/>
    <cellStyle name="Comma [0] 2 2 4 3 2 3" xfId="13334" xr:uid="{E7445008-C3FE-47F8-A3A7-AEAEAE05045E}"/>
    <cellStyle name="Comma [0] 2 2 4 3 2 4" xfId="43258" xr:uid="{EE459A2B-034F-4D13-9DEA-D8EE1A392CE1}"/>
    <cellStyle name="Comma [0] 2 2 4 3 2 5" xfId="48151" xr:uid="{442FE49C-1F4B-4953-8D3D-0A39377D32ED}"/>
    <cellStyle name="Comma [0] 2 2 4 3 3" xfId="2641" xr:uid="{01F7F387-95F4-49CE-B448-CE82566DAC7B}"/>
    <cellStyle name="Comma [0] 2 2 4 3 3 2" xfId="10912" xr:uid="{9C466BCB-501F-458E-8B71-F02380511A24}"/>
    <cellStyle name="Comma [0] 2 2 4 3 3 2 2" xfId="46072" xr:uid="{B3293AD3-D684-4DF8-A995-513E885189FA}"/>
    <cellStyle name="Comma [0] 2 2 4 3 3 3" xfId="13752" xr:uid="{F0E1723A-6315-49ED-A671-04895DEFA207}"/>
    <cellStyle name="Comma [0] 2 2 4 3 3 4" xfId="43676" xr:uid="{BF44D9EC-E999-4A40-B223-BB2425F6F886}"/>
    <cellStyle name="Comma [0] 2 2 4 3 3 5" xfId="48569" xr:uid="{2A1E1CB5-98AD-4769-8EF6-CF196AD1B617}"/>
    <cellStyle name="Comma [0] 2 2 4 3 4" xfId="3185" xr:uid="{67F11288-BDC4-4CA5-A309-8D77D29DA498}"/>
    <cellStyle name="Comma [0] 2 2 4 3 4 2" xfId="11456" xr:uid="{D62FD54C-3009-457C-90D3-9920CD5CD45C}"/>
    <cellStyle name="Comma [0] 2 2 4 3 4 2 2" xfId="46616" xr:uid="{2AB7B6E5-0A4E-4A18-A86F-B03B5850307C}"/>
    <cellStyle name="Comma [0] 2 2 4 3 4 3" xfId="14296" xr:uid="{D6CD221A-838A-4F4B-9A21-BC79E48BA934}"/>
    <cellStyle name="Comma [0] 2 2 4 3 4 4" xfId="44220" xr:uid="{171D6ED0-A471-407A-97A1-FD8F6099745A}"/>
    <cellStyle name="Comma [0] 2 2 4 3 4 5" xfId="49113" xr:uid="{E43EEF6D-FD0B-495F-AF2D-7E4755A170A1}"/>
    <cellStyle name="Comma [0] 2 2 4 3 5" xfId="3687" xr:uid="{5580BFEB-41A0-4881-B5DF-9D75E3A4C5B8}"/>
    <cellStyle name="Comma [0] 2 2 4 3 5 2" xfId="11928" xr:uid="{68F10B2F-C652-4688-B3B3-57ECA213B9A1}"/>
    <cellStyle name="Comma [0] 2 2 4 3 5 3" xfId="14768" xr:uid="{4A3ABB33-8046-452D-8B7A-70E56BC7D322}"/>
    <cellStyle name="Comma [0] 2 2 4 3 5 4" xfId="44692" xr:uid="{81F75F12-8946-4C7F-A4D0-3E4FC1E72668}"/>
    <cellStyle name="Comma [0] 2 2 4 3 5 5" xfId="49585" xr:uid="{12B2776E-ADD8-44BE-9A4C-115920F6C92C}"/>
    <cellStyle name="Comma [0] 2 2 4 3 6" xfId="9950" xr:uid="{D4193FC6-11D0-44BE-A638-5345D5A4A09F}"/>
    <cellStyle name="Comma [0] 2 2 4 3 6 2" xfId="45110" xr:uid="{94BE7E2B-BD11-4562-8B42-621D681C1EAD}"/>
    <cellStyle name="Comma [0] 2 2 4 3 7" xfId="12790" xr:uid="{837B539D-E46D-4C98-BF3E-8450BF778BC2}"/>
    <cellStyle name="Comma [0] 2 2 4 3 8" xfId="16133" xr:uid="{E4801EEA-F394-4570-A599-885600672C4C}"/>
    <cellStyle name="Comma [0] 2 2 4 3 9" xfId="16676" xr:uid="{DACF3B89-96C6-4124-BDBF-F718535A14D5}"/>
    <cellStyle name="Comma [0] 2 2 4 4" xfId="609" xr:uid="{00000000-0005-0000-0000-000039000000}"/>
    <cellStyle name="Comma [0] 2 2 4 4 10" xfId="47809" xr:uid="{E4301FC2-6154-4008-A915-1F22B05993AD}"/>
    <cellStyle name="Comma [0] 2 2 4 4 2" xfId="2843" xr:uid="{0C5EE318-B68F-4635-85AE-EC21B2CD0EE5}"/>
    <cellStyle name="Comma [0] 2 2 4 4 2 2" xfId="11114" xr:uid="{F37A202C-F515-458E-B0C6-4EFB6E26C447}"/>
    <cellStyle name="Comma [0] 2 2 4 4 2 2 2" xfId="46274" xr:uid="{86D22005-2C80-4CE6-B5A8-D252E41A8BB4}"/>
    <cellStyle name="Comma [0] 2 2 4 4 2 3" xfId="13954" xr:uid="{95B9039B-3A0B-4E6D-9183-46B2AD83BC1F}"/>
    <cellStyle name="Comma [0] 2 2 4 4 2 4" xfId="43878" xr:uid="{DB7EADCD-C82F-4F8E-BC0D-32BD078DDD65}"/>
    <cellStyle name="Comma [0] 2 2 4 4 2 5" xfId="48771" xr:uid="{69D9F77B-6C50-433D-8238-FE62CB803293}"/>
    <cellStyle name="Comma [0] 2 2 4 4 3" xfId="10152" xr:uid="{0A7C76EC-7446-45EA-AEF8-1474BD914526}"/>
    <cellStyle name="Comma [0] 2 2 4 4 3 2" xfId="45312" xr:uid="{CF2EC6F8-FA40-4B15-A9AA-BC4C0AFB51F7}"/>
    <cellStyle name="Comma [0] 2 2 4 4 4" xfId="12992" xr:uid="{F7A75674-282F-47DB-B071-530580BADDF3}"/>
    <cellStyle name="Comma [0] 2 2 4 4 5" xfId="16335" xr:uid="{A4192494-F3AC-4745-9878-54F2919A84B8}"/>
    <cellStyle name="Comma [0] 2 2 4 4 6" xfId="16878" xr:uid="{1E6E1311-61E6-4979-8787-A73A20AECD11}"/>
    <cellStyle name="Comma [0] 2 2 4 4 7" xfId="17422" xr:uid="{323BF8B9-D32B-46B9-B00E-C2799981F2BE}"/>
    <cellStyle name="Comma [0] 2 2 4 4 8" xfId="17516" xr:uid="{32150E26-BA65-4EA6-9043-8E1F275ED96E}"/>
    <cellStyle name="Comma [0] 2 2 4 4 9" xfId="42916" xr:uid="{852489A1-420E-486F-8667-41E28DF71877}"/>
    <cellStyle name="Comma [0] 2 2 4 5" xfId="2007" xr:uid="{079B389D-DC5C-40DD-BBAB-14737407F23E}"/>
    <cellStyle name="Comma [0] 2 2 4 5 2" xfId="10278" xr:uid="{3D4C6FFF-92C9-488B-991C-DECE4F9674EA}"/>
    <cellStyle name="Comma [0] 2 2 4 5 2 2" xfId="45438" xr:uid="{5539382A-D972-4D55-ACE4-456BA4C2C7F7}"/>
    <cellStyle name="Comma [0] 2 2 4 5 3" xfId="13118" xr:uid="{196AF42F-7271-4CC8-9E6C-097A22A793F1}"/>
    <cellStyle name="Comma [0] 2 2 4 5 4" xfId="43042" xr:uid="{0CBBF1C5-1C0B-43B9-BFC2-16A9110D35B1}"/>
    <cellStyle name="Comma [0] 2 2 4 5 5" xfId="47935" xr:uid="{CE5AB034-D551-4B3B-BDF9-232AF6120053}"/>
    <cellStyle name="Comma [0] 2 2 4 6" xfId="2425" xr:uid="{5CC447A6-7339-4B6A-AA7D-2D038E2F8A6A}"/>
    <cellStyle name="Comma [0] 2 2 4 6 2" xfId="10696" xr:uid="{C20AE9EE-9540-4D62-AED1-096E697F6792}"/>
    <cellStyle name="Comma [0] 2 2 4 6 2 2" xfId="45856" xr:uid="{C5911613-8700-453A-B44C-0B17925FFDF2}"/>
    <cellStyle name="Comma [0] 2 2 4 6 3" xfId="13536" xr:uid="{0CBAA326-D607-47C2-9800-997E88524BE7}"/>
    <cellStyle name="Comma [0] 2 2 4 6 4" xfId="43460" xr:uid="{BB6E885E-8A6C-4852-857F-9D82B0ECADCD}"/>
    <cellStyle name="Comma [0] 2 2 4 6 5" xfId="48353" xr:uid="{B91B616F-065F-4437-849A-D1B6E9D4EFED}"/>
    <cellStyle name="Comma [0] 2 2 4 7" xfId="2969" xr:uid="{049A79AD-EBB9-4689-9734-64CA39C77DD5}"/>
    <cellStyle name="Comma [0] 2 2 4 7 2" xfId="11240" xr:uid="{C21FC6FA-8C05-436C-B73E-DF3E43DF9AD4}"/>
    <cellStyle name="Comma [0] 2 2 4 7 2 2" xfId="46400" xr:uid="{BFFA4FD0-1488-4118-A83E-7737C0ACAD50}"/>
    <cellStyle name="Comma [0] 2 2 4 7 3" xfId="14080" xr:uid="{93754D53-5764-40CF-BF06-6B2DF836C80B}"/>
    <cellStyle name="Comma [0] 2 2 4 7 4" xfId="44004" xr:uid="{D916F5FC-CA09-412E-A4A7-EFC439918ECE}"/>
    <cellStyle name="Comma [0] 2 2 4 7 5" xfId="48897" xr:uid="{9581F116-73EB-483B-B1CF-20F3CDB50F07}"/>
    <cellStyle name="Comma [0] 2 2 4 8" xfId="3471" xr:uid="{967FD913-92FA-47A7-A35A-F64A7611E060}"/>
    <cellStyle name="Comma [0] 2 2 4 8 2" xfId="11712" xr:uid="{C5E10440-06C7-4F0E-AD34-6495C27D48D7}"/>
    <cellStyle name="Comma [0] 2 2 4 8 3" xfId="14552" xr:uid="{170C63D0-7F40-4404-90DC-BE2CF9B91D0C}"/>
    <cellStyle name="Comma [0] 2 2 4 8 4" xfId="44476" xr:uid="{1B7A0127-B85D-496C-B855-93CA2876D427}"/>
    <cellStyle name="Comma [0] 2 2 4 8 5" xfId="49369" xr:uid="{4C52FB88-FFB2-4C62-9EAE-DDD3B3595CB5}"/>
    <cellStyle name="Comma [0] 2 2 4 9" xfId="9734" xr:uid="{03329A5B-73F0-40FD-9A6D-979F8D5A18D6}"/>
    <cellStyle name="Comma [0] 2 2 4 9 2" xfId="44894" xr:uid="{6A4E8A9D-3C5F-4739-8256-8C696E89ED9F}"/>
    <cellStyle name="Comma [0] 2 2 5" xfId="135" xr:uid="{00000000-0005-0000-0000-00003A000000}"/>
    <cellStyle name="Comma [0] 2 2 5 10" xfId="12543" xr:uid="{1824E1F9-34B5-4F21-97F0-17C71C861495}"/>
    <cellStyle name="Comma [0] 2 2 5 11" xfId="15886" xr:uid="{ABDF87EB-3E4E-46B6-84FC-CAB446C46A40}"/>
    <cellStyle name="Comma [0] 2 2 5 12" xfId="16429" xr:uid="{F206C830-5FFD-41DD-ACE1-6FB77DFC5894}"/>
    <cellStyle name="Comma [0] 2 2 5 13" xfId="16973" xr:uid="{38CF7008-FF55-4ABF-B56A-F8A252279259}"/>
    <cellStyle name="Comma [0] 2 2 5 14" xfId="17953" xr:uid="{7279036B-C55D-4543-9B88-DDBF524C0929}"/>
    <cellStyle name="Comma [0] 2 2 5 15" xfId="42467" xr:uid="{165BED5A-D75C-4DBB-A111-658660C569F2}"/>
    <cellStyle name="Comma [0] 2 2 5 16" xfId="47360" xr:uid="{81BDAA2B-6D25-41CF-9F64-6D89D67AC63D}"/>
    <cellStyle name="Comma [0] 2 2 5 2" xfId="249" xr:uid="{00000000-0005-0000-0000-00003B000000}"/>
    <cellStyle name="Comma [0] 2 2 5 2 10" xfId="16533" xr:uid="{79097D70-662A-45CD-A8B1-7AF507157291}"/>
    <cellStyle name="Comma [0] 2 2 5 2 11" xfId="17077" xr:uid="{BA8CA871-707F-4076-AF35-59B6F35B3FAB}"/>
    <cellStyle name="Comma [0] 2 2 5 2 12" xfId="17552" xr:uid="{270AADC8-8911-4C3E-A954-F0F560E7190F}"/>
    <cellStyle name="Comma [0] 2 2 5 2 13" xfId="42571" xr:uid="{6B82195E-E2A9-4FF9-AD14-9DCDA7CE08DF}"/>
    <cellStyle name="Comma [0] 2 2 5 2 14" xfId="47464" xr:uid="{B6A2A9AE-5773-4987-8A2E-8E8E01CEA326}"/>
    <cellStyle name="Comma [0] 2 2 5 2 2" xfId="476" xr:uid="{00000000-0005-0000-0000-00003C000000}"/>
    <cellStyle name="Comma [0] 2 2 5 2 2 10" xfId="17289" xr:uid="{0208B883-DE5B-48DB-8DAF-C7F82511F7A2}"/>
    <cellStyle name="Comma [0] 2 2 5 2 2 11" xfId="17586" xr:uid="{A5035B0D-710E-404C-AA5A-99CF7B925634}"/>
    <cellStyle name="Comma [0] 2 2 5 2 2 12" xfId="42783" xr:uid="{F6C00E21-AE64-42B4-B3E1-75E0F44DE0B9}"/>
    <cellStyle name="Comma [0] 2 2 5 2 2 13" xfId="47676" xr:uid="{0EDE7CD4-0368-4B0B-A766-56A42B652A63}"/>
    <cellStyle name="Comma [0] 2 2 5 2 2 2" xfId="2292" xr:uid="{0DE745AF-3DCC-4E0D-8005-461B5E683515}"/>
    <cellStyle name="Comma [0] 2 2 5 2 2 2 2" xfId="10563" xr:uid="{A5CB39AB-09B1-4886-A67F-666909899639}"/>
    <cellStyle name="Comma [0] 2 2 5 2 2 2 2 2" xfId="45723" xr:uid="{DDE747D9-DF0D-40F9-93CC-E26526559C8C}"/>
    <cellStyle name="Comma [0] 2 2 5 2 2 2 3" xfId="13403" xr:uid="{B509DBBD-AAEF-4CDE-AC06-28DE52692B4A}"/>
    <cellStyle name="Comma [0] 2 2 5 2 2 2 4" xfId="43327" xr:uid="{E6872C0A-67B3-4E7C-A17F-3FDBFB8A8E91}"/>
    <cellStyle name="Comma [0] 2 2 5 2 2 2 5" xfId="48220" xr:uid="{D5BF518B-C262-4B26-ACEC-989532CC5356}"/>
    <cellStyle name="Comma [0] 2 2 5 2 2 3" xfId="2710" xr:uid="{A303E432-39BB-4853-8E0B-F1207532050B}"/>
    <cellStyle name="Comma [0] 2 2 5 2 2 3 2" xfId="10981" xr:uid="{BBC56A68-2D78-419D-9F95-506CA15CEC6D}"/>
    <cellStyle name="Comma [0] 2 2 5 2 2 3 2 2" xfId="46141" xr:uid="{F793C4D0-90FE-411F-9304-3157395F2C97}"/>
    <cellStyle name="Comma [0] 2 2 5 2 2 3 3" xfId="13821" xr:uid="{14CD6298-F8D6-4D49-BF06-E139F40A29F9}"/>
    <cellStyle name="Comma [0] 2 2 5 2 2 3 4" xfId="43745" xr:uid="{33B5EC4F-D446-494A-AFCF-BC940B0123F3}"/>
    <cellStyle name="Comma [0] 2 2 5 2 2 3 5" xfId="48638" xr:uid="{077C9121-2229-4FBE-8916-6A0FA84C4206}"/>
    <cellStyle name="Comma [0] 2 2 5 2 2 4" xfId="3254" xr:uid="{FA817800-E1BD-4611-95B3-E568C4852792}"/>
    <cellStyle name="Comma [0] 2 2 5 2 2 4 2" xfId="11525" xr:uid="{BF8D8A8D-26DD-40BC-B981-2581B4512BB6}"/>
    <cellStyle name="Comma [0] 2 2 5 2 2 4 2 2" xfId="46685" xr:uid="{FC9236AE-F35A-4A8E-844E-85F429AF9DC2}"/>
    <cellStyle name="Comma [0] 2 2 5 2 2 4 3" xfId="14365" xr:uid="{17E3C30E-C8DE-4F17-A35C-3A2EB06DEB01}"/>
    <cellStyle name="Comma [0] 2 2 5 2 2 4 4" xfId="44289" xr:uid="{0141E909-30D8-4863-B299-9AA35F45996C}"/>
    <cellStyle name="Comma [0] 2 2 5 2 2 4 5" xfId="49182" xr:uid="{36D1112F-121F-4906-8DC3-6CB52B799507}"/>
    <cellStyle name="Comma [0] 2 2 5 2 2 5" xfId="3756" xr:uid="{D85ED0CD-E140-4C1B-BAC8-2D585F32BA78}"/>
    <cellStyle name="Comma [0] 2 2 5 2 2 5 2" xfId="11997" xr:uid="{9295BBD0-87BC-4CB1-BDFD-D2D06462DEC3}"/>
    <cellStyle name="Comma [0] 2 2 5 2 2 5 3" xfId="14837" xr:uid="{EDB5E263-24B1-4B25-904E-5DDB853B6E44}"/>
    <cellStyle name="Comma [0] 2 2 5 2 2 5 4" xfId="44761" xr:uid="{4B3AE8DF-AF2F-4FC5-8EE1-2AD4692CD05C}"/>
    <cellStyle name="Comma [0] 2 2 5 2 2 5 5" xfId="49654" xr:uid="{A0916714-F8F8-47EC-95E1-53EDF50DF59D}"/>
    <cellStyle name="Comma [0] 2 2 5 2 2 6" xfId="10019" xr:uid="{1F9F79AD-BF79-4CF1-A05B-1175E01105F4}"/>
    <cellStyle name="Comma [0] 2 2 5 2 2 6 2" xfId="45179" xr:uid="{77996257-DDD2-4152-84BD-F0DF4FF8C0F7}"/>
    <cellStyle name="Comma [0] 2 2 5 2 2 7" xfId="12859" xr:uid="{C2D702D5-29CE-44B4-81BC-BC04AD54B58A}"/>
    <cellStyle name="Comma [0] 2 2 5 2 2 8" xfId="16202" xr:uid="{4298F079-3CFC-4CC6-AD8F-35C51366BE45}"/>
    <cellStyle name="Comma [0] 2 2 5 2 2 9" xfId="16745" xr:uid="{71E4DAFC-4820-49B5-B6D1-BA1848E51C3A}"/>
    <cellStyle name="Comma [0] 2 2 5 2 3" xfId="2080" xr:uid="{BCBECB8C-AC86-4EBA-872E-361C4F7BF958}"/>
    <cellStyle name="Comma [0] 2 2 5 2 3 2" xfId="10351" xr:uid="{14809D7C-AAA9-4DCC-84E9-82C97EEFDDA0}"/>
    <cellStyle name="Comma [0] 2 2 5 2 3 2 2" xfId="45511" xr:uid="{4AE98CF4-3135-44CF-8DF7-A3ED61DFC145}"/>
    <cellStyle name="Comma [0] 2 2 5 2 3 3" xfId="13191" xr:uid="{4740D3E2-B6FB-483A-9892-2FED1754F325}"/>
    <cellStyle name="Comma [0] 2 2 5 2 3 4" xfId="43115" xr:uid="{AC52EA82-C3DA-44BD-A51B-37B3C1E6C5E6}"/>
    <cellStyle name="Comma [0] 2 2 5 2 3 5" xfId="48008" xr:uid="{5F5D309C-AD4A-4800-9470-BC28FBE90DCB}"/>
    <cellStyle name="Comma [0] 2 2 5 2 4" xfId="2498" xr:uid="{AD675657-8F6F-4793-A005-283449AF544C}"/>
    <cellStyle name="Comma [0] 2 2 5 2 4 2" xfId="10769" xr:uid="{5AD28F22-32EC-4B2D-B685-0B347272E228}"/>
    <cellStyle name="Comma [0] 2 2 5 2 4 2 2" xfId="45929" xr:uid="{EF78205E-6B6D-42B0-8B15-D2C27EDCDCC9}"/>
    <cellStyle name="Comma [0] 2 2 5 2 4 3" xfId="13609" xr:uid="{8626B701-8110-4BB6-B09B-E3C33F32DC29}"/>
    <cellStyle name="Comma [0] 2 2 5 2 4 4" xfId="43533" xr:uid="{4D91BCF4-36A3-4BA6-8CD2-67A4773BE573}"/>
    <cellStyle name="Comma [0] 2 2 5 2 4 5" xfId="48426" xr:uid="{DC5E9C5C-E16D-477D-9510-0C09086E56F1}"/>
    <cellStyle name="Comma [0] 2 2 5 2 5" xfId="3042" xr:uid="{9A8DBAC6-ACFE-48FC-B9E7-BE3A01D5AEA6}"/>
    <cellStyle name="Comma [0] 2 2 5 2 5 2" xfId="11313" xr:uid="{3A100F21-D59B-4BF0-9709-25C5650C1E7C}"/>
    <cellStyle name="Comma [0] 2 2 5 2 5 2 2" xfId="46473" xr:uid="{3FBFAA97-9AB5-4909-98DA-475555BE18FA}"/>
    <cellStyle name="Comma [0] 2 2 5 2 5 3" xfId="14153" xr:uid="{F1B21694-4BE4-4595-BD26-A90ACCA778C3}"/>
    <cellStyle name="Comma [0] 2 2 5 2 5 4" xfId="44077" xr:uid="{F3A3EA30-36B2-4A00-9A96-BFDE7BAEBC65}"/>
    <cellStyle name="Comma [0] 2 2 5 2 5 5" xfId="48970" xr:uid="{7ACF320C-F689-48C3-8D21-3014B399D4B1}"/>
    <cellStyle name="Comma [0] 2 2 5 2 6" xfId="3544" xr:uid="{C419F47A-95D1-4392-8AF9-AF2F41A904C6}"/>
    <cellStyle name="Comma [0] 2 2 5 2 6 2" xfId="11785" xr:uid="{E0D2F7ED-F555-44F2-AAA1-DDE9CE5EF722}"/>
    <cellStyle name="Comma [0] 2 2 5 2 6 3" xfId="14625" xr:uid="{60E932AC-76BE-470A-B7AD-79F246C3C39F}"/>
    <cellStyle name="Comma [0] 2 2 5 2 6 4" xfId="44549" xr:uid="{7FC7F9A9-3334-40C0-B579-25EC96E064AF}"/>
    <cellStyle name="Comma [0] 2 2 5 2 6 5" xfId="49442" xr:uid="{2B28403D-CD2E-44DC-8E35-3756FBE926A1}"/>
    <cellStyle name="Comma [0] 2 2 5 2 7" xfId="9807" xr:uid="{04B118BC-31F4-4013-8F0E-9F8845230B48}"/>
    <cellStyle name="Comma [0] 2 2 5 2 7 2" xfId="44967" xr:uid="{1900B6E4-3381-42EE-A1B7-D07C6D905307}"/>
    <cellStyle name="Comma [0] 2 2 5 2 8" xfId="12647" xr:uid="{7354D731-DA34-425C-BE3A-792E90C7F8EE}"/>
    <cellStyle name="Comma [0] 2 2 5 2 9" xfId="15990" xr:uid="{6C1F6A59-F203-49C3-9600-975561F58DCA}"/>
    <cellStyle name="Comma [0] 2 2 5 3" xfId="375" xr:uid="{00000000-0005-0000-0000-00003D000000}"/>
    <cellStyle name="Comma [0] 2 2 5 3 10" xfId="17189" xr:uid="{0E169A1C-2437-4FF5-B1E8-D760F5E8498A}"/>
    <cellStyle name="Comma [0] 2 2 5 3 11" xfId="17735" xr:uid="{C57BB26A-1E8F-4188-85F0-3AFB4671790D}"/>
    <cellStyle name="Comma [0] 2 2 5 3 12" xfId="42683" xr:uid="{93383578-53F4-4EC2-90F5-AB7864E02480}"/>
    <cellStyle name="Comma [0] 2 2 5 3 13" xfId="47576" xr:uid="{C9E72815-2727-4545-A9C7-D893FE0F6545}"/>
    <cellStyle name="Comma [0] 2 2 5 3 2" xfId="2192" xr:uid="{B005A5D4-322A-4B2C-9A5D-A0CDA7F6ED92}"/>
    <cellStyle name="Comma [0] 2 2 5 3 2 2" xfId="10463" xr:uid="{B1641D73-05D8-44DF-ABE8-700501906990}"/>
    <cellStyle name="Comma [0] 2 2 5 3 2 2 2" xfId="45623" xr:uid="{EECAE001-823E-4318-B78A-FA30228746FE}"/>
    <cellStyle name="Comma [0] 2 2 5 3 2 3" xfId="13303" xr:uid="{8A15F7DF-D1E1-4980-ADDE-B0F20B0B2A02}"/>
    <cellStyle name="Comma [0] 2 2 5 3 2 4" xfId="43227" xr:uid="{5FB463EF-82C2-4963-B05D-88A033AB73DB}"/>
    <cellStyle name="Comma [0] 2 2 5 3 2 5" xfId="48120" xr:uid="{A11CFC37-DF3D-447E-BD32-21C60B9350A6}"/>
    <cellStyle name="Comma [0] 2 2 5 3 3" xfId="2610" xr:uid="{EFABD81A-D7DD-4794-8A39-17220D900C5E}"/>
    <cellStyle name="Comma [0] 2 2 5 3 3 2" xfId="10881" xr:uid="{6072C442-B544-4322-996F-A90B6D3B46FB}"/>
    <cellStyle name="Comma [0] 2 2 5 3 3 2 2" xfId="46041" xr:uid="{01F31A80-40DC-4C3D-A3B7-B6F2D3DD06C5}"/>
    <cellStyle name="Comma [0] 2 2 5 3 3 3" xfId="13721" xr:uid="{2787B741-8763-4B22-99DF-CB50211760AC}"/>
    <cellStyle name="Comma [0] 2 2 5 3 3 4" xfId="43645" xr:uid="{2F7C3345-09FD-476E-8474-46C19B8118EE}"/>
    <cellStyle name="Comma [0] 2 2 5 3 3 5" xfId="48538" xr:uid="{B1488283-14F0-4BEA-B694-F5E5E774C597}"/>
    <cellStyle name="Comma [0] 2 2 5 3 4" xfId="3154" xr:uid="{59422930-CE95-4C19-9782-A7EA7ED25276}"/>
    <cellStyle name="Comma [0] 2 2 5 3 4 2" xfId="11425" xr:uid="{F3273AAD-1FC3-4978-B11E-B2843F2BF885}"/>
    <cellStyle name="Comma [0] 2 2 5 3 4 2 2" xfId="46585" xr:uid="{8117089C-61CF-4F88-9D65-B5660EEA6811}"/>
    <cellStyle name="Comma [0] 2 2 5 3 4 3" xfId="14265" xr:uid="{E0B977B0-F8E2-476D-B2E7-DD708E351AF2}"/>
    <cellStyle name="Comma [0] 2 2 5 3 4 4" xfId="44189" xr:uid="{20C34B03-3BD2-4F7E-988E-AFD06255838D}"/>
    <cellStyle name="Comma [0] 2 2 5 3 4 5" xfId="49082" xr:uid="{C379EF1E-4046-4A49-AF1C-D1581DEC5911}"/>
    <cellStyle name="Comma [0] 2 2 5 3 5" xfId="3656" xr:uid="{B194D4A1-BD2F-4BD2-9E28-36FF6C962F10}"/>
    <cellStyle name="Comma [0] 2 2 5 3 5 2" xfId="11897" xr:uid="{6751FAA3-2D31-499D-881E-F9D754C7CA1F}"/>
    <cellStyle name="Comma [0] 2 2 5 3 5 3" xfId="14737" xr:uid="{6AA10DD9-DC96-40CA-820F-4DAA122E7378}"/>
    <cellStyle name="Comma [0] 2 2 5 3 5 4" xfId="44661" xr:uid="{6E43FCC2-201E-49AD-AEFA-7CDCE0910B9D}"/>
    <cellStyle name="Comma [0] 2 2 5 3 5 5" xfId="49554" xr:uid="{37D82F74-F17F-400E-9B16-C1C11F94A4D7}"/>
    <cellStyle name="Comma [0] 2 2 5 3 6" xfId="9919" xr:uid="{CE82F6A1-1E6A-49EE-B3BC-C208E66C45A9}"/>
    <cellStyle name="Comma [0] 2 2 5 3 6 2" xfId="45079" xr:uid="{C2F95C08-ABA4-4062-B7AF-2E8EFFCA6F7E}"/>
    <cellStyle name="Comma [0] 2 2 5 3 7" xfId="12759" xr:uid="{C55F3932-6EDA-4235-AEB0-A4B16AB00B15}"/>
    <cellStyle name="Comma [0] 2 2 5 3 8" xfId="16102" xr:uid="{BAACCC7F-D15A-47EC-86FA-D03EC4DE9027}"/>
    <cellStyle name="Comma [0] 2 2 5 3 9" xfId="16645" xr:uid="{A30FFDA9-6465-424B-AC79-53BE2E81F70F}"/>
    <cellStyle name="Comma [0] 2 2 5 4" xfId="578" xr:uid="{00000000-0005-0000-0000-00003E000000}"/>
    <cellStyle name="Comma [0] 2 2 5 4 10" xfId="47778" xr:uid="{E22ABBB9-CC3A-480D-B390-D2A5E5BCB801}"/>
    <cellStyle name="Comma [0] 2 2 5 4 2" xfId="2812" xr:uid="{CE61E793-9957-46BE-A4C2-B3CBD75E6179}"/>
    <cellStyle name="Comma [0] 2 2 5 4 2 2" xfId="11083" xr:uid="{F42350B3-CD5F-464A-A818-10B2C1670614}"/>
    <cellStyle name="Comma [0] 2 2 5 4 2 2 2" xfId="46243" xr:uid="{052960C7-9E93-43D7-A3A9-15805C941B06}"/>
    <cellStyle name="Comma [0] 2 2 5 4 2 3" xfId="13923" xr:uid="{6F619C15-7B96-45A8-8F32-E64DD0EBC2FF}"/>
    <cellStyle name="Comma [0] 2 2 5 4 2 4" xfId="43847" xr:uid="{C06F04BF-E572-471F-BB4E-8CE250CB1E84}"/>
    <cellStyle name="Comma [0] 2 2 5 4 2 5" xfId="48740" xr:uid="{CFE614E2-BCB2-400E-8E16-C79AF9F06F4D}"/>
    <cellStyle name="Comma [0] 2 2 5 4 3" xfId="10121" xr:uid="{C766CFF8-5B13-474B-8826-664AF08089B4}"/>
    <cellStyle name="Comma [0] 2 2 5 4 3 2" xfId="45281" xr:uid="{23144D74-EAAA-442E-A182-29DC88931369}"/>
    <cellStyle name="Comma [0] 2 2 5 4 4" xfId="12961" xr:uid="{C69BC559-5D5A-4732-9654-DDBD4D860363}"/>
    <cellStyle name="Comma [0] 2 2 5 4 5" xfId="16304" xr:uid="{BB57E7EC-73C5-4173-B6ED-5FE14C9AE1E8}"/>
    <cellStyle name="Comma [0] 2 2 5 4 6" xfId="16847" xr:uid="{DCE074DF-F3CE-45D4-AEF1-B6BFBF78E1C2}"/>
    <cellStyle name="Comma [0] 2 2 5 4 7" xfId="17391" xr:uid="{988A6747-AB0A-42C2-AA0C-A7DDE0426C11}"/>
    <cellStyle name="Comma [0] 2 2 5 4 8" xfId="22044" xr:uid="{8182C4B6-DE47-44A8-AB1F-F7E1BFAA212B}"/>
    <cellStyle name="Comma [0] 2 2 5 4 9" xfId="42885" xr:uid="{538F7E6A-6CF9-40BA-98A3-EDED21AA9C8B}"/>
    <cellStyle name="Comma [0] 2 2 5 5" xfId="1976" xr:uid="{0B85B4D5-16F8-415B-B75C-A045236B9757}"/>
    <cellStyle name="Comma [0] 2 2 5 5 2" xfId="10247" xr:uid="{1B4732F1-4B0D-4253-84D2-F56BEABE4B33}"/>
    <cellStyle name="Comma [0] 2 2 5 5 2 2" xfId="45407" xr:uid="{746F4F71-9C22-4ED7-AD09-32F45A65316C}"/>
    <cellStyle name="Comma [0] 2 2 5 5 3" xfId="13087" xr:uid="{F08D159A-C48C-4E15-931C-0C759FD9CB0C}"/>
    <cellStyle name="Comma [0] 2 2 5 5 4" xfId="43011" xr:uid="{D5574DC7-A46F-43FA-AFB3-F40F8CC2E0A2}"/>
    <cellStyle name="Comma [0] 2 2 5 5 5" xfId="47904" xr:uid="{326BBD42-376C-4CA5-8EEE-1FABCE9CADFD}"/>
    <cellStyle name="Comma [0] 2 2 5 6" xfId="2394" xr:uid="{993A0449-3691-405E-98CA-CB3A1BACAA79}"/>
    <cellStyle name="Comma [0] 2 2 5 6 2" xfId="10665" xr:uid="{637AF473-C46A-4AF5-A8E7-B54BC08AFF67}"/>
    <cellStyle name="Comma [0] 2 2 5 6 2 2" xfId="45825" xr:uid="{A3868D38-668B-4C20-8BC5-4F9A1B4BDA54}"/>
    <cellStyle name="Comma [0] 2 2 5 6 3" xfId="13505" xr:uid="{B8748DD4-E42B-46A8-9FC2-7517C077AED3}"/>
    <cellStyle name="Comma [0] 2 2 5 6 4" xfId="43429" xr:uid="{EB83AD01-BE36-4745-A269-2A26686ADB8D}"/>
    <cellStyle name="Comma [0] 2 2 5 6 5" xfId="48322" xr:uid="{745F1CDE-7F40-4763-B646-2DB154607C99}"/>
    <cellStyle name="Comma [0] 2 2 5 7" xfId="2938" xr:uid="{6DE3E784-7D5C-4553-B9A1-7044EAEE9622}"/>
    <cellStyle name="Comma [0] 2 2 5 7 2" xfId="11209" xr:uid="{9CC212F9-8E25-4F7E-960C-B853EAC4D2E4}"/>
    <cellStyle name="Comma [0] 2 2 5 7 2 2" xfId="46369" xr:uid="{8B07CA74-ABA5-4B67-8A7D-3D1ED274559F}"/>
    <cellStyle name="Comma [0] 2 2 5 7 3" xfId="14049" xr:uid="{8421C062-20F4-4A93-AC55-F1F16E8A7C40}"/>
    <cellStyle name="Comma [0] 2 2 5 7 4" xfId="43973" xr:uid="{BA2C89FC-9ECB-44B2-9FD4-A92147F2CA19}"/>
    <cellStyle name="Comma [0] 2 2 5 7 5" xfId="48866" xr:uid="{20333AE9-4FC6-445D-867C-765ACA2016FA}"/>
    <cellStyle name="Comma [0] 2 2 5 8" xfId="3440" xr:uid="{D85AA39E-E9F2-4F8E-96DF-70981FD3CF32}"/>
    <cellStyle name="Comma [0] 2 2 5 8 2" xfId="11681" xr:uid="{5A03C356-7E23-4360-A615-B9E38C0DE4CE}"/>
    <cellStyle name="Comma [0] 2 2 5 8 3" xfId="14521" xr:uid="{3B6B95CA-C3B8-4CBB-8F90-7F3E2B848E44}"/>
    <cellStyle name="Comma [0] 2 2 5 8 4" xfId="44445" xr:uid="{31B88D5C-2E0C-4698-8211-0C12DE686095}"/>
    <cellStyle name="Comma [0] 2 2 5 8 5" xfId="49338" xr:uid="{337CE0FB-E86C-48AA-8D57-15DF247CCB26}"/>
    <cellStyle name="Comma [0] 2 2 5 9" xfId="9703" xr:uid="{2AA84798-C55D-4E44-893D-3D36042F6C87}"/>
    <cellStyle name="Comma [0] 2 2 5 9 2" xfId="44863" xr:uid="{CB4D9ED8-6C17-4E79-ABF0-42D48CB70F37}"/>
    <cellStyle name="Comma [0] 2 2 6" xfId="220" xr:uid="{00000000-0005-0000-0000-00003F000000}"/>
    <cellStyle name="Comma [0] 2 2 6 10" xfId="16504" xr:uid="{E14076A4-DECE-4E58-9757-271E3293A8B8}"/>
    <cellStyle name="Comma [0] 2 2 6 11" xfId="17048" xr:uid="{74EFB9A6-F613-4657-9E75-E2A0E1A4F53C}"/>
    <cellStyle name="Comma [0] 2 2 6 12" xfId="17969" xr:uid="{D7E812DB-E979-4978-9EF3-4D22846C6BCC}"/>
    <cellStyle name="Comma [0] 2 2 6 13" xfId="42542" xr:uid="{0928F0BB-72F3-4F95-BEE7-A2A6FA6EC3C0}"/>
    <cellStyle name="Comma [0] 2 2 6 14" xfId="47435" xr:uid="{4E9BA9D4-5600-431E-B09F-B78698030F48}"/>
    <cellStyle name="Comma [0] 2 2 6 2" xfId="447" xr:uid="{00000000-0005-0000-0000-000040000000}"/>
    <cellStyle name="Comma [0] 2 2 6 2 10" xfId="17260" xr:uid="{278055F4-78E8-4867-96B2-5F284DE2D31C}"/>
    <cellStyle name="Comma [0] 2 2 6 2 11" xfId="19817" xr:uid="{45AE7ADE-F91F-42E2-B900-605B591C4DC5}"/>
    <cellStyle name="Comma [0] 2 2 6 2 12" xfId="42754" xr:uid="{5B930355-84DD-4D0F-8642-9A5994696A8E}"/>
    <cellStyle name="Comma [0] 2 2 6 2 13" xfId="47647" xr:uid="{DAAA0E89-169F-4EF7-AEAE-D91019CF7D89}"/>
    <cellStyle name="Comma [0] 2 2 6 2 2" xfId="2263" xr:uid="{9CD9816F-ACC3-4D72-A78E-F1057D3977BF}"/>
    <cellStyle name="Comma [0] 2 2 6 2 2 2" xfId="10534" xr:uid="{25038302-A5D3-4ACE-B916-E47986FAE8D3}"/>
    <cellStyle name="Comma [0] 2 2 6 2 2 2 2" xfId="45694" xr:uid="{C88E7CC8-6AB4-42FC-98D2-EDE8022A63DD}"/>
    <cellStyle name="Comma [0] 2 2 6 2 2 3" xfId="13374" xr:uid="{9C3EBC4B-B983-4385-AEB8-9CE28526E18D}"/>
    <cellStyle name="Comma [0] 2 2 6 2 2 4" xfId="43298" xr:uid="{8F94F91B-69DA-4DB4-A23D-69E7849DBD2D}"/>
    <cellStyle name="Comma [0] 2 2 6 2 2 5" xfId="48191" xr:uid="{63373322-6388-4723-AC91-8ACC4B6E8508}"/>
    <cellStyle name="Comma [0] 2 2 6 2 3" xfId="2681" xr:uid="{D80818F4-17C9-4AAC-A746-F2742A24912C}"/>
    <cellStyle name="Comma [0] 2 2 6 2 3 2" xfId="10952" xr:uid="{EA1F97D4-8E66-4457-B0EC-85DB298C82CA}"/>
    <cellStyle name="Comma [0] 2 2 6 2 3 2 2" xfId="46112" xr:uid="{CF657304-962B-4A9A-867E-203C86C6A86F}"/>
    <cellStyle name="Comma [0] 2 2 6 2 3 3" xfId="13792" xr:uid="{A8F276D6-859F-41F2-86C2-EB547FB50760}"/>
    <cellStyle name="Comma [0] 2 2 6 2 3 4" xfId="43716" xr:uid="{E299E25A-E7DC-430F-A9EB-A3FD059E460E}"/>
    <cellStyle name="Comma [0] 2 2 6 2 3 5" xfId="48609" xr:uid="{77311769-7B96-43D0-9883-AF44314C3939}"/>
    <cellStyle name="Comma [0] 2 2 6 2 4" xfId="3225" xr:uid="{1141ABC8-5E4E-4A6E-A0A2-6A6C0B047A8D}"/>
    <cellStyle name="Comma [0] 2 2 6 2 4 2" xfId="11496" xr:uid="{FAAEDCD2-AD28-4B83-8E15-6ABB356F116C}"/>
    <cellStyle name="Comma [0] 2 2 6 2 4 2 2" xfId="46656" xr:uid="{98712FA1-97DF-4A57-9CB7-52B8415AAE61}"/>
    <cellStyle name="Comma [0] 2 2 6 2 4 3" xfId="14336" xr:uid="{B5C0A063-E748-4C6E-A44B-4D6381FB329B}"/>
    <cellStyle name="Comma [0] 2 2 6 2 4 4" xfId="44260" xr:uid="{8E54F71B-05B2-4FBD-9341-F540B2ABAC58}"/>
    <cellStyle name="Comma [0] 2 2 6 2 4 5" xfId="49153" xr:uid="{EBEF39DC-CE50-44A7-AA7A-D8AD96957061}"/>
    <cellStyle name="Comma [0] 2 2 6 2 5" xfId="3727" xr:uid="{B0F13F36-FEB2-481D-B826-E66FE50E0622}"/>
    <cellStyle name="Comma [0] 2 2 6 2 5 2" xfId="11968" xr:uid="{3D5F1075-58F1-4F46-8546-D7580A92E78D}"/>
    <cellStyle name="Comma [0] 2 2 6 2 5 3" xfId="14808" xr:uid="{5D5FE4B7-01DE-499D-97B6-71155A847959}"/>
    <cellStyle name="Comma [0] 2 2 6 2 5 4" xfId="44732" xr:uid="{7EB97678-92E7-49DC-BF5D-04DCB485E8CA}"/>
    <cellStyle name="Comma [0] 2 2 6 2 5 5" xfId="49625" xr:uid="{D9A89A48-5F77-4686-8A2F-B0B742B88416}"/>
    <cellStyle name="Comma [0] 2 2 6 2 6" xfId="9990" xr:uid="{90C2A23D-019A-49E4-9670-8EB1C67216A3}"/>
    <cellStyle name="Comma [0] 2 2 6 2 6 2" xfId="45150" xr:uid="{3EEABEE7-A00A-423E-8A10-390AC3772207}"/>
    <cellStyle name="Comma [0] 2 2 6 2 7" xfId="12830" xr:uid="{7A674F4E-CFE3-46AF-B294-FA2ED0265B1B}"/>
    <cellStyle name="Comma [0] 2 2 6 2 8" xfId="16173" xr:uid="{A634BC58-9CF2-4614-B564-A67E7D334811}"/>
    <cellStyle name="Comma [0] 2 2 6 2 9" xfId="16716" xr:uid="{A6F08042-248C-4BDE-9FD9-222CEB84FD8F}"/>
    <cellStyle name="Comma [0] 2 2 6 3" xfId="2051" xr:uid="{281083DC-ED74-4262-B7FF-2A9F8AC78462}"/>
    <cellStyle name="Comma [0] 2 2 6 3 2" xfId="10322" xr:uid="{84B2DA1E-365B-44BF-84B6-8E0CD5D0DC82}"/>
    <cellStyle name="Comma [0] 2 2 6 3 2 2" xfId="45482" xr:uid="{F0F3F108-E99D-4C00-846A-307D161FEC33}"/>
    <cellStyle name="Comma [0] 2 2 6 3 3" xfId="13162" xr:uid="{FC789CC6-9115-4D8F-B2E6-E24FAC8A4CC2}"/>
    <cellStyle name="Comma [0] 2 2 6 3 4" xfId="43086" xr:uid="{C3E30A77-1171-4B2E-A454-F393AF94E0CB}"/>
    <cellStyle name="Comma [0] 2 2 6 3 5" xfId="47979" xr:uid="{A3530B89-503A-4E69-9F6C-578FB638DDE1}"/>
    <cellStyle name="Comma [0] 2 2 6 4" xfId="2469" xr:uid="{8AC600D8-4815-4C03-BA7A-3A2FA02BCD62}"/>
    <cellStyle name="Comma [0] 2 2 6 4 2" xfId="10740" xr:uid="{9E561C2E-7894-4143-BC43-E6989BD3F2C6}"/>
    <cellStyle name="Comma [0] 2 2 6 4 2 2" xfId="45900" xr:uid="{17E6E960-F81E-418F-AB6E-254069A02F50}"/>
    <cellStyle name="Comma [0] 2 2 6 4 3" xfId="13580" xr:uid="{B73BEA44-6AA2-4E4A-B0C4-8EECCDA8734A}"/>
    <cellStyle name="Comma [0] 2 2 6 4 4" xfId="43504" xr:uid="{84E516DB-822E-47EC-AF48-788ABABBCEE5}"/>
    <cellStyle name="Comma [0] 2 2 6 4 5" xfId="48397" xr:uid="{0E03C3E6-B09F-4C26-9BA8-54CF0123ABFC}"/>
    <cellStyle name="Comma [0] 2 2 6 5" xfId="3013" xr:uid="{9B898DBD-FECB-47D7-B9EF-7E45F6861B52}"/>
    <cellStyle name="Comma [0] 2 2 6 5 2" xfId="11284" xr:uid="{C44613DF-3052-4C01-B5F5-ECA6C38C6FE0}"/>
    <cellStyle name="Comma [0] 2 2 6 5 2 2" xfId="46444" xr:uid="{B57D8A09-FDFC-45EB-9996-AE566895C4CD}"/>
    <cellStyle name="Comma [0] 2 2 6 5 3" xfId="14124" xr:uid="{663018D3-D190-46E6-BE9F-55BF585F8009}"/>
    <cellStyle name="Comma [0] 2 2 6 5 4" xfId="44048" xr:uid="{B1B26211-2695-4FD2-86EA-9C35D78194ED}"/>
    <cellStyle name="Comma [0] 2 2 6 5 5" xfId="48941" xr:uid="{1A83A156-8A3B-46FA-813D-9DFE42072E70}"/>
    <cellStyle name="Comma [0] 2 2 6 6" xfId="3515" xr:uid="{4963FA8A-1EB3-43A1-9662-6C7FC496DFAE}"/>
    <cellStyle name="Comma [0] 2 2 6 6 2" xfId="11756" xr:uid="{2ACA721E-5360-4088-BC20-1D958A6F8E02}"/>
    <cellStyle name="Comma [0] 2 2 6 6 3" xfId="14596" xr:uid="{F29CF779-4AAC-4842-AE4E-5BDB919C148F}"/>
    <cellStyle name="Comma [0] 2 2 6 6 4" xfId="44520" xr:uid="{C817327C-0207-4082-81F6-BF7FB237C838}"/>
    <cellStyle name="Comma [0] 2 2 6 6 5" xfId="49413" xr:uid="{093B04B4-AAF3-43F9-B8F2-F77468D2604F}"/>
    <cellStyle name="Comma [0] 2 2 6 7" xfId="9778" xr:uid="{36C92FFF-7928-4099-97B0-071ED3797444}"/>
    <cellStyle name="Comma [0] 2 2 6 7 2" xfId="44938" xr:uid="{ECE4DD26-41D6-4038-A329-D1A03C193033}"/>
    <cellStyle name="Comma [0] 2 2 6 8" xfId="12618" xr:uid="{718920FE-591D-4E1E-A213-C9EF0EC36106}"/>
    <cellStyle name="Comma [0] 2 2 6 9" xfId="15961" xr:uid="{07AF99E7-8339-4A10-934A-AFB6BAFB79C1}"/>
    <cellStyle name="Comma [0] 2 2 7" xfId="345" xr:uid="{00000000-0005-0000-0000-000041000000}"/>
    <cellStyle name="Comma [0] 2 2 7 10" xfId="17160" xr:uid="{79521182-9BE4-404E-9CF9-0E75D6D3414F}"/>
    <cellStyle name="Comma [0] 2 2 7 11" xfId="18206" xr:uid="{481A7903-7960-4CAC-9792-05CBA8853B69}"/>
    <cellStyle name="Comma [0] 2 2 7 12" xfId="42654" xr:uid="{EA8E70B1-9BA9-4379-AA14-F5756911D25C}"/>
    <cellStyle name="Comma [0] 2 2 7 13" xfId="47547" xr:uid="{1F7928ED-8B38-462F-9419-B3E1079B6180}"/>
    <cellStyle name="Comma [0] 2 2 7 2" xfId="2163" xr:uid="{C2FABCAE-95E7-48A9-A739-B3E69584C7CC}"/>
    <cellStyle name="Comma [0] 2 2 7 2 2" xfId="10434" xr:uid="{10D3BEFA-08F2-4570-85EF-9E96961630E7}"/>
    <cellStyle name="Comma [0] 2 2 7 2 2 2" xfId="45594" xr:uid="{2EC1DFDE-C552-436B-BBBE-C47700E1E50D}"/>
    <cellStyle name="Comma [0] 2 2 7 2 3" xfId="13274" xr:uid="{2478DAE1-B34B-4DE5-B8B2-02DC84F808F2}"/>
    <cellStyle name="Comma [0] 2 2 7 2 4" xfId="43198" xr:uid="{5F44385E-3739-442C-BA11-13EA3FFCA434}"/>
    <cellStyle name="Comma [0] 2 2 7 2 5" xfId="48091" xr:uid="{29B0D5F8-56B1-4FFD-A72C-66358289034E}"/>
    <cellStyle name="Comma [0] 2 2 7 3" xfId="2581" xr:uid="{0876AE39-F2ED-4051-B01E-CF3204047A25}"/>
    <cellStyle name="Comma [0] 2 2 7 3 2" xfId="10852" xr:uid="{3E5FB888-1F2D-444E-B49A-5BAEC3188BA7}"/>
    <cellStyle name="Comma [0] 2 2 7 3 2 2" xfId="46012" xr:uid="{52D3C3B7-CCDF-47BE-8548-59E711A35C50}"/>
    <cellStyle name="Comma [0] 2 2 7 3 3" xfId="13692" xr:uid="{0E83D858-4346-4B52-B935-7A81ABCE2097}"/>
    <cellStyle name="Comma [0] 2 2 7 3 4" xfId="43616" xr:uid="{EDE90D23-21CD-4A58-BB8E-ACF2C0AC52F3}"/>
    <cellStyle name="Comma [0] 2 2 7 3 5" xfId="48509" xr:uid="{38692E25-B4D0-486D-82F3-521B2F350A2D}"/>
    <cellStyle name="Comma [0] 2 2 7 4" xfId="3125" xr:uid="{59BEC2C6-4C53-4FBF-8AA5-24E7B837D530}"/>
    <cellStyle name="Comma [0] 2 2 7 4 2" xfId="11396" xr:uid="{33510CE5-AEFB-4AA1-ADFF-1DC9639CCE04}"/>
    <cellStyle name="Comma [0] 2 2 7 4 2 2" xfId="46556" xr:uid="{C5FAA9B8-28CA-4E44-A57C-16069C8DBEA4}"/>
    <cellStyle name="Comma [0] 2 2 7 4 3" xfId="14236" xr:uid="{7CF70A99-E33D-4A08-9655-D632D044CD03}"/>
    <cellStyle name="Comma [0] 2 2 7 4 4" xfId="44160" xr:uid="{C84DD3D1-BAE1-41CC-BB24-F4BA5BBED51C}"/>
    <cellStyle name="Comma [0] 2 2 7 4 5" xfId="49053" xr:uid="{86D3F433-3664-44B6-9C7A-C2993BFC9C40}"/>
    <cellStyle name="Comma [0] 2 2 7 5" xfId="3627" xr:uid="{84B4B3E0-DECD-4A31-AD4B-0A6D4EE1BD6B}"/>
    <cellStyle name="Comma [0] 2 2 7 5 2" xfId="11868" xr:uid="{55735F27-DF73-493B-937D-FC7FA083B657}"/>
    <cellStyle name="Comma [0] 2 2 7 5 3" xfId="14708" xr:uid="{8258CE23-4888-4CB3-8D88-E2B53B6730AD}"/>
    <cellStyle name="Comma [0] 2 2 7 5 4" xfId="44632" xr:uid="{24001EFE-01FE-48D9-B351-142DDA133A73}"/>
    <cellStyle name="Comma [0] 2 2 7 5 5" xfId="49525" xr:uid="{93347D00-5009-4B2F-95FB-200E3473F071}"/>
    <cellStyle name="Comma [0] 2 2 7 6" xfId="9890" xr:uid="{DBDD490A-4076-4191-BDA2-870B8B64AC1B}"/>
    <cellStyle name="Comma [0] 2 2 7 6 2" xfId="45050" xr:uid="{9553A57A-7228-4932-83F8-AAA6A8636414}"/>
    <cellStyle name="Comma [0] 2 2 7 7" xfId="12730" xr:uid="{85242186-00FF-4468-8D49-51B0012EFAC4}"/>
    <cellStyle name="Comma [0] 2 2 7 8" xfId="16073" xr:uid="{ED5843E2-F2B8-4737-99DF-9274FF9DEE5A}"/>
    <cellStyle name="Comma [0] 2 2 7 9" xfId="16616" xr:uid="{53454845-515C-406D-89F2-304E2070436C}"/>
    <cellStyle name="Comma [0] 2 2 8" xfId="549" xr:uid="{00000000-0005-0000-0000-000042000000}"/>
    <cellStyle name="Comma [0] 2 2 8 10" xfId="47749" xr:uid="{A2CB1BDB-B7F8-49E5-AE72-EBFFD570E3B9}"/>
    <cellStyle name="Comma [0] 2 2 8 2" xfId="2783" xr:uid="{3BB5B48D-65D3-44E3-B575-5F41A6ADBABC}"/>
    <cellStyle name="Comma [0] 2 2 8 2 2" xfId="11054" xr:uid="{30C85DBB-4096-4D43-A19C-C55C25D5CAF6}"/>
    <cellStyle name="Comma [0] 2 2 8 2 2 2" xfId="46214" xr:uid="{80E3BF02-352D-423E-88C7-E12100FEB689}"/>
    <cellStyle name="Comma [0] 2 2 8 2 3" xfId="13894" xr:uid="{E91833AD-52CB-4CB1-B832-B0B351B9926C}"/>
    <cellStyle name="Comma [0] 2 2 8 2 4" xfId="43818" xr:uid="{B083A0E1-0E5B-4602-BF0B-6FF4DE3151B5}"/>
    <cellStyle name="Comma [0] 2 2 8 2 5" xfId="48711" xr:uid="{9CA717C9-D19B-4287-982F-081C4E25F2DD}"/>
    <cellStyle name="Comma [0] 2 2 8 3" xfId="10092" xr:uid="{A7A9650B-9FD8-409E-996C-5A2EA20D3A4B}"/>
    <cellStyle name="Comma [0] 2 2 8 3 2" xfId="45252" xr:uid="{EE1B0A93-32D6-42BA-8645-B208C5B027E1}"/>
    <cellStyle name="Comma [0] 2 2 8 4" xfId="12932" xr:uid="{2DA8CF87-38D1-4923-9740-2FEC34E5CE82}"/>
    <cellStyle name="Comma [0] 2 2 8 5" xfId="16275" xr:uid="{4A173019-12BD-4970-AB8A-F428208D1E71}"/>
    <cellStyle name="Comma [0] 2 2 8 6" xfId="16818" xr:uid="{917E288F-074E-42AA-8431-DC16E317DF46}"/>
    <cellStyle name="Comma [0] 2 2 8 7" xfId="17362" xr:uid="{0EE0DC0D-1A09-47A2-94D3-AC9CFD1DBF48}"/>
    <cellStyle name="Comma [0] 2 2 8 8" xfId="23870" xr:uid="{EFCC4AA3-C844-4433-AE7B-9668131B9D23}"/>
    <cellStyle name="Comma [0] 2 2 8 9" xfId="42856" xr:uid="{0BFA0D15-42A2-4D64-83DD-91382B2C4D69}"/>
    <cellStyle name="Comma [0] 2 2 9" xfId="1947" xr:uid="{9D4D9FC4-BD11-4597-9523-976C31544909}"/>
    <cellStyle name="Comma [0] 2 2 9 2" xfId="10218" xr:uid="{D0842417-BA09-4425-8C73-7A6F3EDD0CA4}"/>
    <cellStyle name="Comma [0] 2 2 9 2 2" xfId="45378" xr:uid="{AEF949B3-A9B7-410C-8E58-0A17D2FBD18C}"/>
    <cellStyle name="Comma [0] 2 2 9 3" xfId="13058" xr:uid="{A0D060F8-0BB1-4723-9B38-76240AF53119}"/>
    <cellStyle name="Comma [0] 2 2 9 4" xfId="42982" xr:uid="{974C60FA-E499-4827-B564-B5A1CB21FE84}"/>
    <cellStyle name="Comma [0] 2 2 9 5" xfId="47875" xr:uid="{8EE070FB-3FB1-4B27-BE15-B08607D6BEDA}"/>
    <cellStyle name="Comma [0] 2 20" xfId="47330" xr:uid="{2FA14A81-1F2D-4407-BE59-1B68DA50AB35}"/>
    <cellStyle name="Comma [0] 2 3" xfId="96" xr:uid="{00000000-0005-0000-0000-000043000000}"/>
    <cellStyle name="Comma [0] 2 3 10" xfId="3422" xr:uid="{8300DE62-1EC7-454D-8718-B8A2B6CD95F1}"/>
    <cellStyle name="Comma [0] 2 3 10 2" xfId="11663" xr:uid="{D73882FC-D9C5-4617-803B-9C9F5132E674}"/>
    <cellStyle name="Comma [0] 2 3 10 3" xfId="14503" xr:uid="{D1D142CE-50E4-4556-BE55-0826FEB76E31}"/>
    <cellStyle name="Comma [0] 2 3 10 4" xfId="44427" xr:uid="{8858424E-A04C-41C3-A06B-3CA9CB80F08B}"/>
    <cellStyle name="Comma [0] 2 3 10 5" xfId="49320" xr:uid="{0CA03362-F131-4EFA-B620-C2F9F12C51DC}"/>
    <cellStyle name="Comma [0] 2 3 11" xfId="9685" xr:uid="{2D1470FE-2EAA-4A41-9302-F40AB756F429}"/>
    <cellStyle name="Comma [0] 2 3 11 2" xfId="44845" xr:uid="{AE16FAFE-B4E5-4FDD-8A67-EF3DE7708837}"/>
    <cellStyle name="Comma [0] 2 3 12" xfId="12525" xr:uid="{1F149F6D-5F6E-4F1D-B1B1-2078DFF2FCEA}"/>
    <cellStyle name="Comma [0] 2 3 13" xfId="15868" xr:uid="{56DAC082-107A-4D0D-8A36-A18DA25BBFE9}"/>
    <cellStyle name="Comma [0] 2 3 14" xfId="16411" xr:uid="{710DAFC5-2D21-45D2-847C-1F4418DE2EEC}"/>
    <cellStyle name="Comma [0] 2 3 15" xfId="16955" xr:uid="{31C1CE23-6FEC-44E4-8564-F9B20DCEE76B}"/>
    <cellStyle name="Comma [0] 2 3 16" xfId="17499" xr:uid="{6D5D8BB9-0BB3-43F3-BDCB-4F1C69261109}"/>
    <cellStyle name="Comma [0] 2 3 17" xfId="42449" xr:uid="{39A837BE-06F8-4C27-8F97-1D2831F2BF47}"/>
    <cellStyle name="Comma [0] 2 3 18" xfId="47342" xr:uid="{158BD6F9-A498-4D8B-9A1A-7B4A160B88C1}"/>
    <cellStyle name="Comma [0] 2 3 2" xfId="191" xr:uid="{00000000-0005-0000-0000-000044000000}"/>
    <cellStyle name="Comma [0] 2 3 2 10" xfId="12594" xr:uid="{509FE7F9-2FBA-4FE5-89D8-FC6965684BE4}"/>
    <cellStyle name="Comma [0] 2 3 2 11" xfId="15937" xr:uid="{610691BD-532D-400E-B764-C0150FA0EA2A}"/>
    <cellStyle name="Comma [0] 2 3 2 12" xfId="16480" xr:uid="{8571FF78-E628-408A-8F4D-99E7B816838D}"/>
    <cellStyle name="Comma [0] 2 3 2 13" xfId="17024" xr:uid="{01A8EA08-8E51-4718-9CAA-CB72699F54B4}"/>
    <cellStyle name="Comma [0] 2 3 2 14" xfId="17999" xr:uid="{8696D919-2235-42E3-9374-6998C8C90582}"/>
    <cellStyle name="Comma [0] 2 3 2 15" xfId="42518" xr:uid="{5E058B6F-0743-4D95-B808-1A8937842842}"/>
    <cellStyle name="Comma [0] 2 3 2 16" xfId="47411" xr:uid="{481853D0-8788-4256-96E9-DC8CA5383F44}"/>
    <cellStyle name="Comma [0] 2 3 2 2" xfId="300" xr:uid="{00000000-0005-0000-0000-000045000000}"/>
    <cellStyle name="Comma [0] 2 3 2 2 10" xfId="16584" xr:uid="{4AF26C93-F7BE-4552-BE6E-CE5D301E97F6}"/>
    <cellStyle name="Comma [0] 2 3 2 2 11" xfId="17128" xr:uid="{31957675-3FAE-4082-8370-8C5742F029A6}"/>
    <cellStyle name="Comma [0] 2 3 2 2 12" xfId="17502" xr:uid="{235E5C81-F27B-468D-8ABD-839939B88014}"/>
    <cellStyle name="Comma [0] 2 3 2 2 13" xfId="42622" xr:uid="{55840B31-1D46-4AA7-894C-734CA22E9D10}"/>
    <cellStyle name="Comma [0] 2 3 2 2 14" xfId="47515" xr:uid="{A9B3CB5F-8386-4F1E-BF4E-978E51FFAAB3}"/>
    <cellStyle name="Comma [0] 2 3 2 2 2" xfId="527" xr:uid="{00000000-0005-0000-0000-000046000000}"/>
    <cellStyle name="Comma [0] 2 3 2 2 2 10" xfId="17340" xr:uid="{EBB3FCEC-CE95-4CE1-87FA-622992883C45}"/>
    <cellStyle name="Comma [0] 2 3 2 2 2 11" xfId="17780" xr:uid="{94BE13F0-AA72-46BD-BC66-F8788267AAA6}"/>
    <cellStyle name="Comma [0] 2 3 2 2 2 12" xfId="42834" xr:uid="{59A9957E-E312-435E-A389-C6D1D9E5B96F}"/>
    <cellStyle name="Comma [0] 2 3 2 2 2 13" xfId="47727" xr:uid="{EBDB4C35-3CB6-4D84-96CF-3E28A6D844AA}"/>
    <cellStyle name="Comma [0] 2 3 2 2 2 2" xfId="2343" xr:uid="{E5454F42-671B-42E2-91E3-31DCB8A76911}"/>
    <cellStyle name="Comma [0] 2 3 2 2 2 2 2" xfId="10614" xr:uid="{4E8EC158-E876-4BD0-9839-9CC65CFFD136}"/>
    <cellStyle name="Comma [0] 2 3 2 2 2 2 2 2" xfId="45774" xr:uid="{7F63731C-64B0-473D-A0F5-80DDE7AD5A4E}"/>
    <cellStyle name="Comma [0] 2 3 2 2 2 2 3" xfId="13454" xr:uid="{D15C58AE-6507-450F-80E5-569C61D13784}"/>
    <cellStyle name="Comma [0] 2 3 2 2 2 2 4" xfId="43378" xr:uid="{6F4B3192-495F-49D6-8F94-1165816DDD10}"/>
    <cellStyle name="Comma [0] 2 3 2 2 2 2 5" xfId="48271" xr:uid="{ACEF3081-8A9D-4A22-BFBE-30FFBD196DFE}"/>
    <cellStyle name="Comma [0] 2 3 2 2 2 3" xfId="2761" xr:uid="{906C373E-D698-4E00-B363-4F032D195930}"/>
    <cellStyle name="Comma [0] 2 3 2 2 2 3 2" xfId="11032" xr:uid="{921CD5EC-1401-46F5-A95B-1D343C079DA8}"/>
    <cellStyle name="Comma [0] 2 3 2 2 2 3 2 2" xfId="46192" xr:uid="{99C63A4D-A69D-41BD-AD7C-27939AF075EC}"/>
    <cellStyle name="Comma [0] 2 3 2 2 2 3 3" xfId="13872" xr:uid="{EE60C306-A7F1-4060-A355-72D8530220F3}"/>
    <cellStyle name="Comma [0] 2 3 2 2 2 3 4" xfId="43796" xr:uid="{F0074806-4E2E-4CA9-9DBC-62C6B8DACDA1}"/>
    <cellStyle name="Comma [0] 2 3 2 2 2 3 5" xfId="48689" xr:uid="{3B7F101F-4787-4700-94A0-5701ED87CAC5}"/>
    <cellStyle name="Comma [0] 2 3 2 2 2 4" xfId="3305" xr:uid="{8EC62F42-C7B2-45CF-8F6C-2D7523B9D6D2}"/>
    <cellStyle name="Comma [0] 2 3 2 2 2 4 2" xfId="11576" xr:uid="{84FF72C4-A023-4647-8500-94E7D03CB888}"/>
    <cellStyle name="Comma [0] 2 3 2 2 2 4 2 2" xfId="46736" xr:uid="{22E8A06D-FA36-492A-9E33-038D61E112A9}"/>
    <cellStyle name="Comma [0] 2 3 2 2 2 4 3" xfId="14416" xr:uid="{BA2751EC-8DB9-4ECA-AA6B-E440D50F3AA5}"/>
    <cellStyle name="Comma [0] 2 3 2 2 2 4 4" xfId="44340" xr:uid="{A0A26840-34B4-4994-A118-090F59E37400}"/>
    <cellStyle name="Comma [0] 2 3 2 2 2 4 5" xfId="49233" xr:uid="{71B54646-3D57-4CB4-AC23-7028EAF260D3}"/>
    <cellStyle name="Comma [0] 2 3 2 2 2 5" xfId="3807" xr:uid="{DC6CA207-20C2-4043-A9B2-6B0E4464E881}"/>
    <cellStyle name="Comma [0] 2 3 2 2 2 5 2" xfId="12048" xr:uid="{13D8FE32-5FC3-4C57-AA02-5A749B8A3119}"/>
    <cellStyle name="Comma [0] 2 3 2 2 2 5 3" xfId="14888" xr:uid="{86A907E0-717F-4C5D-BD60-5DE33C2C719F}"/>
    <cellStyle name="Comma [0] 2 3 2 2 2 5 4" xfId="44812" xr:uid="{98469B81-BA2D-44A0-A0B2-CEE01D737666}"/>
    <cellStyle name="Comma [0] 2 3 2 2 2 5 5" xfId="49705" xr:uid="{4050A475-38A6-4AAD-8823-3F8FA555D00C}"/>
    <cellStyle name="Comma [0] 2 3 2 2 2 6" xfId="10070" xr:uid="{4951B729-4362-4327-9E62-A8F40225D37B}"/>
    <cellStyle name="Comma [0] 2 3 2 2 2 6 2" xfId="45230" xr:uid="{70B63D4E-A811-47D5-916B-38585D7D3D55}"/>
    <cellStyle name="Comma [0] 2 3 2 2 2 7" xfId="12910" xr:uid="{36A63A87-ED79-4A39-8DDA-5ED2E272AC50}"/>
    <cellStyle name="Comma [0] 2 3 2 2 2 8" xfId="16253" xr:uid="{06A1A617-DC9B-496C-803B-E23BA1F549E6}"/>
    <cellStyle name="Comma [0] 2 3 2 2 2 9" xfId="16796" xr:uid="{C8BEC0D0-6849-4C2E-B5B9-8BA73E2E2816}"/>
    <cellStyle name="Comma [0] 2 3 2 2 3" xfId="2131" xr:uid="{6D282ED3-F89E-4E65-A319-DE3DE19D71E3}"/>
    <cellStyle name="Comma [0] 2 3 2 2 3 2" xfId="10402" xr:uid="{4FF540ED-7125-4B6D-9039-1C95F29B1A0C}"/>
    <cellStyle name="Comma [0] 2 3 2 2 3 2 2" xfId="45562" xr:uid="{85BDDBBB-3F7C-4C73-94A3-9D4EF6B70B32}"/>
    <cellStyle name="Comma [0] 2 3 2 2 3 3" xfId="13242" xr:uid="{FD0184DF-876C-44B0-B8F6-F324A818B6C3}"/>
    <cellStyle name="Comma [0] 2 3 2 2 3 4" xfId="43166" xr:uid="{87375ACE-CB89-491F-AFF3-EEF4B57B3107}"/>
    <cellStyle name="Comma [0] 2 3 2 2 3 5" xfId="48059" xr:uid="{D5EC309B-9BB4-4BF6-AFD7-159740DE851D}"/>
    <cellStyle name="Comma [0] 2 3 2 2 4" xfId="2549" xr:uid="{23F96EAE-8EB4-4235-8172-25ECA1187CD8}"/>
    <cellStyle name="Comma [0] 2 3 2 2 4 2" xfId="10820" xr:uid="{E673316A-3CF8-49B3-8CA3-147C5347A1F0}"/>
    <cellStyle name="Comma [0] 2 3 2 2 4 2 2" xfId="45980" xr:uid="{11AFCACC-8ED5-4F51-82CF-978BCDCFFB2F}"/>
    <cellStyle name="Comma [0] 2 3 2 2 4 3" xfId="13660" xr:uid="{6911ED67-2C6C-4CB3-BED1-27D6151B0715}"/>
    <cellStyle name="Comma [0] 2 3 2 2 4 4" xfId="43584" xr:uid="{DAB5FFC7-3151-4201-A8CD-6F21DE6A89B4}"/>
    <cellStyle name="Comma [0] 2 3 2 2 4 5" xfId="48477" xr:uid="{DC3CC5A1-5E53-4C9D-BF3F-9A3D1EDBDDF3}"/>
    <cellStyle name="Comma [0] 2 3 2 2 5" xfId="3093" xr:uid="{005442F9-EEB6-4627-9CC9-0DB09EA7296B}"/>
    <cellStyle name="Comma [0] 2 3 2 2 5 2" xfId="11364" xr:uid="{2111D622-7295-4FBB-BD72-EF5FED30C594}"/>
    <cellStyle name="Comma [0] 2 3 2 2 5 2 2" xfId="46524" xr:uid="{8D1AB5FA-7B54-476D-9504-1BFC080E6430}"/>
    <cellStyle name="Comma [0] 2 3 2 2 5 3" xfId="14204" xr:uid="{238EE564-E068-4F24-B9B1-F9DC9A0F0A26}"/>
    <cellStyle name="Comma [0] 2 3 2 2 5 4" xfId="44128" xr:uid="{23A68959-E0AD-4137-973D-CBA9457333DD}"/>
    <cellStyle name="Comma [0] 2 3 2 2 5 5" xfId="49021" xr:uid="{891D4CCB-8C26-4E84-BA54-512B6635B38A}"/>
    <cellStyle name="Comma [0] 2 3 2 2 6" xfId="3595" xr:uid="{7981A647-6F08-46FE-A3A3-8859F447E69E}"/>
    <cellStyle name="Comma [0] 2 3 2 2 6 2" xfId="11836" xr:uid="{5A3E4A38-EFD0-44DC-A5DB-8F1284A89E28}"/>
    <cellStyle name="Comma [0] 2 3 2 2 6 3" xfId="14676" xr:uid="{C678EC78-B76C-4465-A11A-EDAEAE8ABCE3}"/>
    <cellStyle name="Comma [0] 2 3 2 2 6 4" xfId="44600" xr:uid="{376BA5FB-0765-4432-94E1-02004AA9D953}"/>
    <cellStyle name="Comma [0] 2 3 2 2 6 5" xfId="49493" xr:uid="{91763C97-6430-4E2F-948A-00BE12998837}"/>
    <cellStyle name="Comma [0] 2 3 2 2 7" xfId="9858" xr:uid="{E99D58C1-6AC1-4029-8C87-EEDAFD380E60}"/>
    <cellStyle name="Comma [0] 2 3 2 2 7 2" xfId="45018" xr:uid="{5B715866-0948-472B-903E-AE2F6FC2D9C9}"/>
    <cellStyle name="Comma [0] 2 3 2 2 8" xfId="12698" xr:uid="{FD7371C3-C132-46AD-BF38-0F817937F63C}"/>
    <cellStyle name="Comma [0] 2 3 2 2 9" xfId="16041" xr:uid="{6A9BDB6E-F509-470E-8152-BF46DD878C38}"/>
    <cellStyle name="Comma [0] 2 3 2 3" xfId="426" xr:uid="{00000000-0005-0000-0000-000047000000}"/>
    <cellStyle name="Comma [0] 2 3 2 3 10" xfId="17240" xr:uid="{AF03A5BB-7DD8-4FEB-A598-AAEA89E227CD}"/>
    <cellStyle name="Comma [0] 2 3 2 3 11" xfId="17926" xr:uid="{0384821B-F82C-42E4-8BC3-E87D8C0F6064}"/>
    <cellStyle name="Comma [0] 2 3 2 3 12" xfId="42734" xr:uid="{146AEBC8-A44F-447C-B7EA-522E259F2399}"/>
    <cellStyle name="Comma [0] 2 3 2 3 13" xfId="47627" xr:uid="{D4B2A8E7-6482-46F1-A8E3-0047DB2BDFD9}"/>
    <cellStyle name="Comma [0] 2 3 2 3 2" xfId="2243" xr:uid="{35F8609B-A8BD-4A1F-AD84-0F9A13D7CE9F}"/>
    <cellStyle name="Comma [0] 2 3 2 3 2 2" xfId="10514" xr:uid="{737DE4F7-6DFA-4FC1-9E2B-316859C93EB4}"/>
    <cellStyle name="Comma [0] 2 3 2 3 2 2 2" xfId="45674" xr:uid="{1CE7474F-F0A0-45DC-9DE1-082ABC3CFF47}"/>
    <cellStyle name="Comma [0] 2 3 2 3 2 3" xfId="13354" xr:uid="{73DF6B08-1C1E-4B08-84EE-CB8F2F4C4A00}"/>
    <cellStyle name="Comma [0] 2 3 2 3 2 4" xfId="43278" xr:uid="{F0742634-D785-4FF6-958A-F4D030D9FFDA}"/>
    <cellStyle name="Comma [0] 2 3 2 3 2 5" xfId="48171" xr:uid="{A950D6E5-E39B-4695-A3A3-75282941516D}"/>
    <cellStyle name="Comma [0] 2 3 2 3 3" xfId="2661" xr:uid="{3C00B780-B044-40D5-A186-ABA6773447A2}"/>
    <cellStyle name="Comma [0] 2 3 2 3 3 2" xfId="10932" xr:uid="{958AFCB6-8E60-4C67-8719-F6F64304927D}"/>
    <cellStyle name="Comma [0] 2 3 2 3 3 2 2" xfId="46092" xr:uid="{CBE7D06F-2897-4B11-9E86-AEBCF2B46007}"/>
    <cellStyle name="Comma [0] 2 3 2 3 3 3" xfId="13772" xr:uid="{84578E95-BBA5-42B7-80B5-70A08F42164B}"/>
    <cellStyle name="Comma [0] 2 3 2 3 3 4" xfId="43696" xr:uid="{A66208EB-89A9-4149-840E-90CAD5917300}"/>
    <cellStyle name="Comma [0] 2 3 2 3 3 5" xfId="48589" xr:uid="{E4FC3BAD-0AF3-4365-857D-69143F151663}"/>
    <cellStyle name="Comma [0] 2 3 2 3 4" xfId="3205" xr:uid="{8EB95989-7F0F-4B97-9911-2D5DE1D37E19}"/>
    <cellStyle name="Comma [0] 2 3 2 3 4 2" xfId="11476" xr:uid="{EC822C71-0ECB-478F-BEB4-32DCC697D34B}"/>
    <cellStyle name="Comma [0] 2 3 2 3 4 2 2" xfId="46636" xr:uid="{A0DEADCB-89BB-491D-95CB-4E981D29DDE8}"/>
    <cellStyle name="Comma [0] 2 3 2 3 4 3" xfId="14316" xr:uid="{CFAF6467-AF51-49C1-9014-8277678D6A79}"/>
    <cellStyle name="Comma [0] 2 3 2 3 4 4" xfId="44240" xr:uid="{E7566465-EFD9-429E-A87B-2E67F94A668E}"/>
    <cellStyle name="Comma [0] 2 3 2 3 4 5" xfId="49133" xr:uid="{B5070D62-C084-42A0-A55A-54253C9E1746}"/>
    <cellStyle name="Comma [0] 2 3 2 3 5" xfId="3707" xr:uid="{7EA27CC7-DCA3-4B78-AF3C-D8436F0845C7}"/>
    <cellStyle name="Comma [0] 2 3 2 3 5 2" xfId="11948" xr:uid="{38EBE15E-81AB-4F45-9C15-799DD14C3268}"/>
    <cellStyle name="Comma [0] 2 3 2 3 5 3" xfId="14788" xr:uid="{070DCC3C-9C4D-4C12-A6E4-644D8B17D772}"/>
    <cellStyle name="Comma [0] 2 3 2 3 5 4" xfId="44712" xr:uid="{A7AE73CF-B631-40D4-8F3B-C8F1BD228845}"/>
    <cellStyle name="Comma [0] 2 3 2 3 5 5" xfId="49605" xr:uid="{76C483FB-A3FD-4068-9E76-CD39B45BC0DC}"/>
    <cellStyle name="Comma [0] 2 3 2 3 6" xfId="9970" xr:uid="{F2B8D85A-3187-4C7B-BB62-5D54B0A295CB}"/>
    <cellStyle name="Comma [0] 2 3 2 3 6 2" xfId="45130" xr:uid="{93DDB8C6-A356-4D50-A01F-412AEBDD0F17}"/>
    <cellStyle name="Comma [0] 2 3 2 3 7" xfId="12810" xr:uid="{65AFECF6-E7C7-4B0E-948B-AB7D4B595F8B}"/>
    <cellStyle name="Comma [0] 2 3 2 3 8" xfId="16153" xr:uid="{83C12072-58A2-4143-A46B-F63B397DE62D}"/>
    <cellStyle name="Comma [0] 2 3 2 3 9" xfId="16696" xr:uid="{8AFA03CF-E7FB-4A7C-B996-983A1848057C}"/>
    <cellStyle name="Comma [0] 2 3 2 4" xfId="629" xr:uid="{00000000-0005-0000-0000-000048000000}"/>
    <cellStyle name="Comma [0] 2 3 2 4 10" xfId="47829" xr:uid="{183F8CF5-6FD9-4289-820E-BD8A21DC5B00}"/>
    <cellStyle name="Comma [0] 2 3 2 4 2" xfId="2863" xr:uid="{CB8BF788-985D-4FA9-A1DC-0E26478E6B42}"/>
    <cellStyle name="Comma [0] 2 3 2 4 2 2" xfId="11134" xr:uid="{96722540-CFE5-4024-9380-D403DAD37CD4}"/>
    <cellStyle name="Comma [0] 2 3 2 4 2 2 2" xfId="46294" xr:uid="{B17C6DA4-72C7-45DF-AB27-1BBCC568FAED}"/>
    <cellStyle name="Comma [0] 2 3 2 4 2 3" xfId="13974" xr:uid="{50169488-22E7-46E8-85F8-5A30BDFBB8C8}"/>
    <cellStyle name="Comma [0] 2 3 2 4 2 4" xfId="43898" xr:uid="{B61261CE-0B67-4943-B3CD-3485423E65E6}"/>
    <cellStyle name="Comma [0] 2 3 2 4 2 5" xfId="48791" xr:uid="{6B0046FF-DF0E-446C-BDDC-B7232627EC10}"/>
    <cellStyle name="Comma [0] 2 3 2 4 3" xfId="10172" xr:uid="{5AD8F6E2-47A6-41A3-8800-3A8A06626B9F}"/>
    <cellStyle name="Comma [0] 2 3 2 4 3 2" xfId="45332" xr:uid="{0DA17247-B637-4804-B594-A79EE1C21611}"/>
    <cellStyle name="Comma [0] 2 3 2 4 4" xfId="13012" xr:uid="{7A237AF6-13EB-4F95-93C5-497FEED035EC}"/>
    <cellStyle name="Comma [0] 2 3 2 4 5" xfId="16355" xr:uid="{2030F270-8540-4D5B-8A71-3BCCF88E4F46}"/>
    <cellStyle name="Comma [0] 2 3 2 4 6" xfId="16898" xr:uid="{91595115-B3F9-4F59-8991-423DE69EAA77}"/>
    <cellStyle name="Comma [0] 2 3 2 4 7" xfId="17442" xr:uid="{FE2ACFA7-F2B5-4E9D-8F6F-E1DEA8E9AAC7}"/>
    <cellStyle name="Comma [0] 2 3 2 4 8" xfId="18209" xr:uid="{FB98F5D9-2BCB-42F4-BEB4-614527BA0F63}"/>
    <cellStyle name="Comma [0] 2 3 2 4 9" xfId="42936" xr:uid="{6317A87E-9320-4CA6-941F-9642DF8265DD}"/>
    <cellStyle name="Comma [0] 2 3 2 5" xfId="2027" xr:uid="{40E0D767-4CCD-404A-A624-03EA1DC775F8}"/>
    <cellStyle name="Comma [0] 2 3 2 5 2" xfId="10298" xr:uid="{3503C621-7E61-49C6-9292-0F8CFCCD88CC}"/>
    <cellStyle name="Comma [0] 2 3 2 5 2 2" xfId="45458" xr:uid="{D8A86A3D-DDA5-4C18-9690-BBD6E2CEC728}"/>
    <cellStyle name="Comma [0] 2 3 2 5 3" xfId="13138" xr:uid="{A807D9EF-48C9-4341-8322-27D7701A5497}"/>
    <cellStyle name="Comma [0] 2 3 2 5 4" xfId="43062" xr:uid="{70788CBE-5E57-4E02-B126-A642DB4C9ECF}"/>
    <cellStyle name="Comma [0] 2 3 2 5 5" xfId="47955" xr:uid="{8CB22701-FC92-4928-A01F-D1C3BFA97F8F}"/>
    <cellStyle name="Comma [0] 2 3 2 6" xfId="2445" xr:uid="{8D19B2B1-C0B3-41D9-9030-8E7682E0DF6F}"/>
    <cellStyle name="Comma [0] 2 3 2 6 2" xfId="10716" xr:uid="{9468BF6B-4430-40C9-8FE8-9181569C5D27}"/>
    <cellStyle name="Comma [0] 2 3 2 6 2 2" xfId="45876" xr:uid="{6E56D92B-0C57-4680-9367-D5F31AA3CFC9}"/>
    <cellStyle name="Comma [0] 2 3 2 6 3" xfId="13556" xr:uid="{153A0FC0-7B68-4578-979F-5D87019A1EB6}"/>
    <cellStyle name="Comma [0] 2 3 2 6 4" xfId="43480" xr:uid="{AE590640-A26F-442D-8AF3-719CA18C71AD}"/>
    <cellStyle name="Comma [0] 2 3 2 6 5" xfId="48373" xr:uid="{14EDABB2-F6C6-4C7D-9334-8B9990BD033D}"/>
    <cellStyle name="Comma [0] 2 3 2 7" xfId="2989" xr:uid="{B05DFBA6-F1FF-4ADE-9BBF-9BD488FB8DEB}"/>
    <cellStyle name="Comma [0] 2 3 2 7 2" xfId="11260" xr:uid="{045DF992-4BD9-482A-A1BA-A3B83FBF675F}"/>
    <cellStyle name="Comma [0] 2 3 2 7 2 2" xfId="46420" xr:uid="{A99F179B-0A9D-4D26-A573-47ED84651D92}"/>
    <cellStyle name="Comma [0] 2 3 2 7 3" xfId="14100" xr:uid="{415458B5-8522-4BD6-AEC8-74BB5D3696E2}"/>
    <cellStyle name="Comma [0] 2 3 2 7 4" xfId="44024" xr:uid="{4806926E-0DDD-4345-8048-BF47231665B2}"/>
    <cellStyle name="Comma [0] 2 3 2 7 5" xfId="48917" xr:uid="{8D5DF7CF-7092-4417-AD90-C81A33389780}"/>
    <cellStyle name="Comma [0] 2 3 2 8" xfId="3491" xr:uid="{789DE1F8-B6C1-46C8-A97B-B788C0595844}"/>
    <cellStyle name="Comma [0] 2 3 2 8 2" xfId="11732" xr:uid="{3C85F200-BDAE-402D-8105-7EF8CE19E611}"/>
    <cellStyle name="Comma [0] 2 3 2 8 3" xfId="14572" xr:uid="{D856F3FD-6181-4BB3-B8C9-097F6E986C84}"/>
    <cellStyle name="Comma [0] 2 3 2 8 4" xfId="44496" xr:uid="{B6CC4F5E-7AFA-4890-BC6D-9A647A23BC28}"/>
    <cellStyle name="Comma [0] 2 3 2 8 5" xfId="49389" xr:uid="{149D0B73-8C57-4C81-8F27-9912AED8DC87}"/>
    <cellStyle name="Comma [0] 2 3 2 9" xfId="9754" xr:uid="{B637CE2C-67DF-43AA-AD91-FFD00D21F2D6}"/>
    <cellStyle name="Comma [0] 2 3 2 9 2" xfId="44914" xr:uid="{3509001B-507A-4D93-A329-C95093320D0C}"/>
    <cellStyle name="Comma [0] 2 3 3" xfId="144" xr:uid="{00000000-0005-0000-0000-000049000000}"/>
    <cellStyle name="Comma [0] 2 3 3 10" xfId="12552" xr:uid="{B16E9237-B9CC-4BD4-9B0D-1751CE553326}"/>
    <cellStyle name="Comma [0] 2 3 3 11" xfId="15895" xr:uid="{5F26B533-7B64-4288-9565-84BC0BEC0D55}"/>
    <cellStyle name="Comma [0] 2 3 3 12" xfId="16438" xr:uid="{9241C966-934C-48F7-9713-57113D0F3992}"/>
    <cellStyle name="Comma [0] 2 3 3 13" xfId="16982" xr:uid="{54109EAF-AB5D-4C07-B4F0-B47539E0CC0B}"/>
    <cellStyle name="Comma [0] 2 3 3 14" xfId="17764" xr:uid="{7615C85E-81C4-43C1-92E6-4465909E368E}"/>
    <cellStyle name="Comma [0] 2 3 3 15" xfId="42476" xr:uid="{52065D2F-F029-43D1-BE0A-3CE7C43631D7}"/>
    <cellStyle name="Comma [0] 2 3 3 16" xfId="47369" xr:uid="{1C02FD77-B9E3-4A45-A6CA-9BE293E5CB07}"/>
    <cellStyle name="Comma [0] 2 3 3 2" xfId="258" xr:uid="{00000000-0005-0000-0000-00004A000000}"/>
    <cellStyle name="Comma [0] 2 3 3 2 10" xfId="16542" xr:uid="{0B04B4DC-F81E-4E94-B3B0-B5794BB80C97}"/>
    <cellStyle name="Comma [0] 2 3 3 2 11" xfId="17086" xr:uid="{E7F579A2-42B7-4348-B682-75F4B66F3A60}"/>
    <cellStyle name="Comma [0] 2 3 3 2 12" xfId="18102" xr:uid="{E98BB179-CA78-4CF6-ADC9-098DA8C71846}"/>
    <cellStyle name="Comma [0] 2 3 3 2 13" xfId="42580" xr:uid="{C49ABE34-BEFE-47E0-8199-85E7EFEEAEE1}"/>
    <cellStyle name="Comma [0] 2 3 3 2 14" xfId="47473" xr:uid="{366BB4B1-208D-40CF-8F64-F295B0EAB2C0}"/>
    <cellStyle name="Comma [0] 2 3 3 2 2" xfId="485" xr:uid="{00000000-0005-0000-0000-00004B000000}"/>
    <cellStyle name="Comma [0] 2 3 3 2 2 10" xfId="17298" xr:uid="{F0FDF5FD-AEBE-4576-9693-8991FF31A3D9}"/>
    <cellStyle name="Comma [0] 2 3 3 2 2 11" xfId="17741" xr:uid="{88C76119-8D6A-42AA-BDB5-5436C25BB43C}"/>
    <cellStyle name="Comma [0] 2 3 3 2 2 12" xfId="42792" xr:uid="{52C42D7A-3DB1-403E-BA21-1C8651A58BC4}"/>
    <cellStyle name="Comma [0] 2 3 3 2 2 13" xfId="47685" xr:uid="{3FE6F9FB-CFB8-41F3-BFC2-4E12F158146E}"/>
    <cellStyle name="Comma [0] 2 3 3 2 2 2" xfId="2301" xr:uid="{563B84EF-DFF1-462E-9599-116BA8CE2B99}"/>
    <cellStyle name="Comma [0] 2 3 3 2 2 2 2" xfId="10572" xr:uid="{1850764B-AAC9-4273-91F2-2CF97F84ACBA}"/>
    <cellStyle name="Comma [0] 2 3 3 2 2 2 2 2" xfId="45732" xr:uid="{4D9A3E7A-E0C1-4272-B30E-4BE60E8966FF}"/>
    <cellStyle name="Comma [0] 2 3 3 2 2 2 3" xfId="13412" xr:uid="{76D9C5B9-2041-4172-A328-F5BA52A8F1ED}"/>
    <cellStyle name="Comma [0] 2 3 3 2 2 2 4" xfId="43336" xr:uid="{A75A68C2-20EE-45A6-84C1-F6F28745E7D7}"/>
    <cellStyle name="Comma [0] 2 3 3 2 2 2 5" xfId="48229" xr:uid="{EA231EB4-1662-41D7-A78E-A4C0AE98D6C4}"/>
    <cellStyle name="Comma [0] 2 3 3 2 2 3" xfId="2719" xr:uid="{A5C5CA99-3829-48C6-8AF1-2FAF4AE7B2DA}"/>
    <cellStyle name="Comma [0] 2 3 3 2 2 3 2" xfId="10990" xr:uid="{8C50DCE6-A72D-4FDB-B300-54FCE051850B}"/>
    <cellStyle name="Comma [0] 2 3 3 2 2 3 2 2" xfId="46150" xr:uid="{8E5097EE-B527-4631-A8B3-224894A748BC}"/>
    <cellStyle name="Comma [0] 2 3 3 2 2 3 3" xfId="13830" xr:uid="{8A47B072-6C0C-48BB-BBA6-2714403472AD}"/>
    <cellStyle name="Comma [0] 2 3 3 2 2 3 4" xfId="43754" xr:uid="{82091164-9C07-43D4-9D53-79A52E3A63B0}"/>
    <cellStyle name="Comma [0] 2 3 3 2 2 3 5" xfId="48647" xr:uid="{6DEBDDF4-72CE-440A-9DEA-BE33D97B9CBF}"/>
    <cellStyle name="Comma [0] 2 3 3 2 2 4" xfId="3263" xr:uid="{4A71EED8-FD13-4442-BEF2-B5C0DB1D0D5F}"/>
    <cellStyle name="Comma [0] 2 3 3 2 2 4 2" xfId="11534" xr:uid="{C4AA0DDA-9FF5-4D08-B845-B2AECA35B819}"/>
    <cellStyle name="Comma [0] 2 3 3 2 2 4 2 2" xfId="46694" xr:uid="{87ADFDC6-A154-4D1E-948B-658F996747D0}"/>
    <cellStyle name="Comma [0] 2 3 3 2 2 4 3" xfId="14374" xr:uid="{A20F22EB-F618-4A0D-97E6-8424C1580207}"/>
    <cellStyle name="Comma [0] 2 3 3 2 2 4 4" xfId="44298" xr:uid="{821A7A41-50EC-4570-AF7E-F52ACC7EDF11}"/>
    <cellStyle name="Comma [0] 2 3 3 2 2 4 5" xfId="49191" xr:uid="{04FD8DE0-6D52-4FDE-94C1-80BB01C73098}"/>
    <cellStyle name="Comma [0] 2 3 3 2 2 5" xfId="3765" xr:uid="{4F0B96E6-99D7-40E0-BDE7-CA5242EB5DF0}"/>
    <cellStyle name="Comma [0] 2 3 3 2 2 5 2" xfId="12006" xr:uid="{C513F4E3-5453-49CB-817B-656BEEF481BE}"/>
    <cellStyle name="Comma [0] 2 3 3 2 2 5 3" xfId="14846" xr:uid="{04FDBE1F-C6A8-40D6-B3E1-FDCC952A266E}"/>
    <cellStyle name="Comma [0] 2 3 3 2 2 5 4" xfId="44770" xr:uid="{8975DC21-36D3-40D3-82A1-3730DBCC8CB2}"/>
    <cellStyle name="Comma [0] 2 3 3 2 2 5 5" xfId="49663" xr:uid="{F2119A1C-803C-4F65-B14B-9D4AC51A3C31}"/>
    <cellStyle name="Comma [0] 2 3 3 2 2 6" xfId="10028" xr:uid="{6AA0E275-DC5F-487F-AC06-11FB902C64B4}"/>
    <cellStyle name="Comma [0] 2 3 3 2 2 6 2" xfId="45188" xr:uid="{73999742-2648-4EA3-8505-A41B4E7E80EB}"/>
    <cellStyle name="Comma [0] 2 3 3 2 2 7" xfId="12868" xr:uid="{AA236CE6-05BA-41DD-8595-DFA2163E8198}"/>
    <cellStyle name="Comma [0] 2 3 3 2 2 8" xfId="16211" xr:uid="{E7AEC032-0E54-4686-80E9-39A6FCE86F59}"/>
    <cellStyle name="Comma [0] 2 3 3 2 2 9" xfId="16754" xr:uid="{C21BD19B-9F38-4717-9F5B-EEC3BD1B3262}"/>
    <cellStyle name="Comma [0] 2 3 3 2 3" xfId="2089" xr:uid="{B4A85A5E-C169-48A7-A992-AC44E72015C3}"/>
    <cellStyle name="Comma [0] 2 3 3 2 3 2" xfId="10360" xr:uid="{9476C3E2-1A21-43CD-A8D9-6BD9EA3D4880}"/>
    <cellStyle name="Comma [0] 2 3 3 2 3 2 2" xfId="45520" xr:uid="{D4AFD628-E45A-422C-B239-88E44AA88466}"/>
    <cellStyle name="Comma [0] 2 3 3 2 3 3" xfId="13200" xr:uid="{EE91A841-92FB-465B-A393-D856A0D2916E}"/>
    <cellStyle name="Comma [0] 2 3 3 2 3 4" xfId="43124" xr:uid="{92A73417-E1CA-426D-A8D1-1E9A9AEBE1AF}"/>
    <cellStyle name="Comma [0] 2 3 3 2 3 5" xfId="48017" xr:uid="{AC90104D-70A4-4684-BD89-FCB6C6C3321E}"/>
    <cellStyle name="Comma [0] 2 3 3 2 4" xfId="2507" xr:uid="{27354887-FCD0-4414-8727-47CDE466847D}"/>
    <cellStyle name="Comma [0] 2 3 3 2 4 2" xfId="10778" xr:uid="{BE4BAC13-BAAC-42A6-825D-1631A9128517}"/>
    <cellStyle name="Comma [0] 2 3 3 2 4 2 2" xfId="45938" xr:uid="{61C23689-F23E-4A01-9C5E-E859D2219BC3}"/>
    <cellStyle name="Comma [0] 2 3 3 2 4 3" xfId="13618" xr:uid="{BFF418A1-4278-4487-9E35-B38BD648061F}"/>
    <cellStyle name="Comma [0] 2 3 3 2 4 4" xfId="43542" xr:uid="{CB782C9D-FDCB-4E13-8513-6FEF282E1E22}"/>
    <cellStyle name="Comma [0] 2 3 3 2 4 5" xfId="48435" xr:uid="{BF01F7D5-336B-4290-8ADE-08746EA87C2B}"/>
    <cellStyle name="Comma [0] 2 3 3 2 5" xfId="3051" xr:uid="{603FAF62-359C-4BC9-B8EC-5179714E1933}"/>
    <cellStyle name="Comma [0] 2 3 3 2 5 2" xfId="11322" xr:uid="{75C4F9D9-C232-43B0-868E-804782DA72F5}"/>
    <cellStyle name="Comma [0] 2 3 3 2 5 2 2" xfId="46482" xr:uid="{0BAEAAD3-9E0C-4824-BBEC-392EDCB8BC50}"/>
    <cellStyle name="Comma [0] 2 3 3 2 5 3" xfId="14162" xr:uid="{E74D32DE-89EB-4210-9DBA-DB6587293C17}"/>
    <cellStyle name="Comma [0] 2 3 3 2 5 4" xfId="44086" xr:uid="{3C5C57C7-82B4-4EC3-908C-A13BF70BDC66}"/>
    <cellStyle name="Comma [0] 2 3 3 2 5 5" xfId="48979" xr:uid="{632197F4-AC29-45D1-AA8C-883435F1E808}"/>
    <cellStyle name="Comma [0] 2 3 3 2 6" xfId="3553" xr:uid="{2655133A-27BE-4E2B-BC3C-30BE6EA18324}"/>
    <cellStyle name="Comma [0] 2 3 3 2 6 2" xfId="11794" xr:uid="{F7BE76F9-C459-4492-B148-C66BD3F8AD5B}"/>
    <cellStyle name="Comma [0] 2 3 3 2 6 3" xfId="14634" xr:uid="{690974D5-D921-46AF-BD85-6E9175AA0551}"/>
    <cellStyle name="Comma [0] 2 3 3 2 6 4" xfId="44558" xr:uid="{840003CE-48C2-48A9-B365-DA8E2736B392}"/>
    <cellStyle name="Comma [0] 2 3 3 2 6 5" xfId="49451" xr:uid="{8B90CA83-5F6F-4B56-8991-89C48B7F7D9C}"/>
    <cellStyle name="Comma [0] 2 3 3 2 7" xfId="9816" xr:uid="{5F6CA4DA-73C2-486B-8C7F-7D0F1FAA181A}"/>
    <cellStyle name="Comma [0] 2 3 3 2 7 2" xfId="44976" xr:uid="{EFC7FF39-300B-44E2-AB83-DB7B3B099B40}"/>
    <cellStyle name="Comma [0] 2 3 3 2 8" xfId="12656" xr:uid="{7EA1B005-BACF-48C9-87E8-AA45027918B1}"/>
    <cellStyle name="Comma [0] 2 3 3 2 9" xfId="15999" xr:uid="{BCFDF218-A70C-4CC4-B56F-11D7624298D6}"/>
    <cellStyle name="Comma [0] 2 3 3 3" xfId="384" xr:uid="{00000000-0005-0000-0000-00004C000000}"/>
    <cellStyle name="Comma [0] 2 3 3 3 10" xfId="17198" xr:uid="{3C143932-A33E-4D91-A159-B20A8513C148}"/>
    <cellStyle name="Comma [0] 2 3 3 3 11" xfId="17804" xr:uid="{E8BBB4FD-F9AA-464A-B8C7-81B980F9410A}"/>
    <cellStyle name="Comma [0] 2 3 3 3 12" xfId="42692" xr:uid="{BBF7987C-AE22-48F2-BE8E-99A4B16F65BE}"/>
    <cellStyle name="Comma [0] 2 3 3 3 13" xfId="47585" xr:uid="{EA2A9DEB-A5C5-4025-B30F-E7E74E13C220}"/>
    <cellStyle name="Comma [0] 2 3 3 3 2" xfId="2201" xr:uid="{02108A28-468B-45E4-B4C9-3515D0B207C4}"/>
    <cellStyle name="Comma [0] 2 3 3 3 2 2" xfId="10472" xr:uid="{CDC3B4C2-2267-4DF0-BBBF-B79F7DD741BA}"/>
    <cellStyle name="Comma [0] 2 3 3 3 2 2 2" xfId="45632" xr:uid="{34B71B33-1AB8-4284-BE87-01484EE467C6}"/>
    <cellStyle name="Comma [0] 2 3 3 3 2 3" xfId="13312" xr:uid="{810CEF3A-847A-463E-A5BD-97907DCA7827}"/>
    <cellStyle name="Comma [0] 2 3 3 3 2 4" xfId="43236" xr:uid="{185CA320-9E94-4FB8-8509-3804D7AA169F}"/>
    <cellStyle name="Comma [0] 2 3 3 3 2 5" xfId="48129" xr:uid="{3275C25C-FE2B-4197-B3FB-8CE65667AED0}"/>
    <cellStyle name="Comma [0] 2 3 3 3 3" xfId="2619" xr:uid="{0784022C-4F8B-48CC-A3DE-AA26970DA849}"/>
    <cellStyle name="Comma [0] 2 3 3 3 3 2" xfId="10890" xr:uid="{F817B8FD-6056-48FC-9440-4B70E972F2A3}"/>
    <cellStyle name="Comma [0] 2 3 3 3 3 2 2" xfId="46050" xr:uid="{4FA7B4FA-3508-403A-B2CF-56D8A5A4388E}"/>
    <cellStyle name="Comma [0] 2 3 3 3 3 3" xfId="13730" xr:uid="{CF2AE849-99A4-44F0-B741-921930C167B1}"/>
    <cellStyle name="Comma [0] 2 3 3 3 3 4" xfId="43654" xr:uid="{56CA146A-E910-4F17-8750-CB41909897E5}"/>
    <cellStyle name="Comma [0] 2 3 3 3 3 5" xfId="48547" xr:uid="{9730DA9A-E7BB-4C92-B15D-0F5E39FFEFAA}"/>
    <cellStyle name="Comma [0] 2 3 3 3 4" xfId="3163" xr:uid="{48CC6F18-094F-48A0-B864-71A011669C3A}"/>
    <cellStyle name="Comma [0] 2 3 3 3 4 2" xfId="11434" xr:uid="{F937BB3F-EEF0-46E8-A344-FAC7FD6E3391}"/>
    <cellStyle name="Comma [0] 2 3 3 3 4 2 2" xfId="46594" xr:uid="{B4CCB49E-0760-402F-911D-8D8D6963F75E}"/>
    <cellStyle name="Comma [0] 2 3 3 3 4 3" xfId="14274" xr:uid="{79DC63B5-6ABE-4C3D-B331-75A16051D20E}"/>
    <cellStyle name="Comma [0] 2 3 3 3 4 4" xfId="44198" xr:uid="{546F49A0-1C77-4FE1-B732-F1ED54A58400}"/>
    <cellStyle name="Comma [0] 2 3 3 3 4 5" xfId="49091" xr:uid="{87E3C43D-8C97-4EDB-88D7-425EBFDFED74}"/>
    <cellStyle name="Comma [0] 2 3 3 3 5" xfId="3665" xr:uid="{9ACB2850-B2DB-4456-A68D-51596253D5A4}"/>
    <cellStyle name="Comma [0] 2 3 3 3 5 2" xfId="11906" xr:uid="{7B6E6CE9-90E3-4A7D-991B-C9CB0FEF5B8F}"/>
    <cellStyle name="Comma [0] 2 3 3 3 5 3" xfId="14746" xr:uid="{FFA19974-DB09-485D-A31C-53460EBAD0AB}"/>
    <cellStyle name="Comma [0] 2 3 3 3 5 4" xfId="44670" xr:uid="{4192BF93-BA14-4266-886D-3F7969518745}"/>
    <cellStyle name="Comma [0] 2 3 3 3 5 5" xfId="49563" xr:uid="{1A35FD52-15BF-4596-B9FD-85ACB111351E}"/>
    <cellStyle name="Comma [0] 2 3 3 3 6" xfId="9928" xr:uid="{E954FF9D-3815-4720-BDF1-41AC3381C315}"/>
    <cellStyle name="Comma [0] 2 3 3 3 6 2" xfId="45088" xr:uid="{9A72A79C-D61E-4DEB-BB66-DEE1664947F4}"/>
    <cellStyle name="Comma [0] 2 3 3 3 7" xfId="12768" xr:uid="{99B08A8E-8C2C-400C-AFE8-F82AD6FDC5D2}"/>
    <cellStyle name="Comma [0] 2 3 3 3 8" xfId="16111" xr:uid="{5B86CD9A-195C-450A-B8BF-0DD8E03CF23B}"/>
    <cellStyle name="Comma [0] 2 3 3 3 9" xfId="16654" xr:uid="{1EEBD9DC-8EDC-49E4-BB88-7B47128EA188}"/>
    <cellStyle name="Comma [0] 2 3 3 4" xfId="587" xr:uid="{00000000-0005-0000-0000-00004D000000}"/>
    <cellStyle name="Comma [0] 2 3 3 4 10" xfId="47787" xr:uid="{06AFA724-5889-496D-8F1E-2DB80F9C2DF7}"/>
    <cellStyle name="Comma [0] 2 3 3 4 2" xfId="2821" xr:uid="{40C31DC8-998F-427B-982B-C21AA90471BD}"/>
    <cellStyle name="Comma [0] 2 3 3 4 2 2" xfId="11092" xr:uid="{39BB0D40-9481-49A9-BBBB-B99AFDDB002B}"/>
    <cellStyle name="Comma [0] 2 3 3 4 2 2 2" xfId="46252" xr:uid="{91131219-242D-44A0-8E77-DC2B5FAD64A8}"/>
    <cellStyle name="Comma [0] 2 3 3 4 2 3" xfId="13932" xr:uid="{93543C60-3940-49D5-B22F-888C11F35CF7}"/>
    <cellStyle name="Comma [0] 2 3 3 4 2 4" xfId="43856" xr:uid="{22548031-4487-4CBE-8BA9-244F99516EE3}"/>
    <cellStyle name="Comma [0] 2 3 3 4 2 5" xfId="48749" xr:uid="{498BF701-1306-432A-A6B0-F341C173261F}"/>
    <cellStyle name="Comma [0] 2 3 3 4 3" xfId="10130" xr:uid="{9B08A27E-D099-425B-A5B3-C87DB2D6A893}"/>
    <cellStyle name="Comma [0] 2 3 3 4 3 2" xfId="45290" xr:uid="{FF489250-DE16-42A5-A9A7-C7C893FF7D83}"/>
    <cellStyle name="Comma [0] 2 3 3 4 4" xfId="12970" xr:uid="{562AE4A9-7F33-49E8-8C57-D1762D5C19F4}"/>
    <cellStyle name="Comma [0] 2 3 3 4 5" xfId="16313" xr:uid="{0E48B9A9-ECDA-4A8E-AEC5-C242CECAF2FD}"/>
    <cellStyle name="Comma [0] 2 3 3 4 6" xfId="16856" xr:uid="{BD40D393-785E-4B96-86C4-2F69EA46C4AE}"/>
    <cellStyle name="Comma [0] 2 3 3 4 7" xfId="17400" xr:uid="{F6129056-5E4E-4740-9C36-0DD5FE698819}"/>
    <cellStyle name="Comma [0] 2 3 3 4 8" xfId="21530" xr:uid="{AC05C93B-6A81-4A7F-A26A-6D1A57DB3E83}"/>
    <cellStyle name="Comma [0] 2 3 3 4 9" xfId="42894" xr:uid="{0F7CB64D-D233-4881-9305-12AEC7E08726}"/>
    <cellStyle name="Comma [0] 2 3 3 5" xfId="1985" xr:uid="{26039EB2-54B5-4934-9C3B-BE1029AFA32A}"/>
    <cellStyle name="Comma [0] 2 3 3 5 2" xfId="10256" xr:uid="{2B3B463C-E993-4845-AC15-A47C2C426621}"/>
    <cellStyle name="Comma [0] 2 3 3 5 2 2" xfId="45416" xr:uid="{8686B088-E9F9-4059-B87D-08DD12209E4B}"/>
    <cellStyle name="Comma [0] 2 3 3 5 3" xfId="13096" xr:uid="{4A414A2A-715D-4494-93DA-22FFC8380BAA}"/>
    <cellStyle name="Comma [0] 2 3 3 5 4" xfId="43020" xr:uid="{905F9746-3D92-446F-8902-0C8C87E421F8}"/>
    <cellStyle name="Comma [0] 2 3 3 5 5" xfId="47913" xr:uid="{1D744EDB-7754-4E85-BC52-3525CBA4C363}"/>
    <cellStyle name="Comma [0] 2 3 3 6" xfId="2403" xr:uid="{755148CE-E78D-4039-8B3F-05B272069AA6}"/>
    <cellStyle name="Comma [0] 2 3 3 6 2" xfId="10674" xr:uid="{6944DE85-35D4-4DC5-A1DB-8ACD0AB80512}"/>
    <cellStyle name="Comma [0] 2 3 3 6 2 2" xfId="45834" xr:uid="{5296E15E-DD72-416F-B465-E5629B548B37}"/>
    <cellStyle name="Comma [0] 2 3 3 6 3" xfId="13514" xr:uid="{CCFFCBF5-746C-4835-A9D2-A25787686AA6}"/>
    <cellStyle name="Comma [0] 2 3 3 6 4" xfId="43438" xr:uid="{EAA1F081-39F5-48B9-9BCF-5DD3F31FDDD2}"/>
    <cellStyle name="Comma [0] 2 3 3 6 5" xfId="48331" xr:uid="{CE68E234-63E8-4CCA-B2D2-C67B7F426AE4}"/>
    <cellStyle name="Comma [0] 2 3 3 7" xfId="2947" xr:uid="{F25DB63B-CBD6-4A16-AABB-8C14085C0699}"/>
    <cellStyle name="Comma [0] 2 3 3 7 2" xfId="11218" xr:uid="{2F385F4F-DD72-4C29-9F06-80D7CE076BBC}"/>
    <cellStyle name="Comma [0] 2 3 3 7 2 2" xfId="46378" xr:uid="{ADCCC8CB-14B4-4C5B-B945-2F57293D8397}"/>
    <cellStyle name="Comma [0] 2 3 3 7 3" xfId="14058" xr:uid="{97DE9A14-5FF1-47DF-ABE7-FD179B68E851}"/>
    <cellStyle name="Comma [0] 2 3 3 7 4" xfId="43982" xr:uid="{7E4FDF69-CE6C-44CC-95C7-B7F685027637}"/>
    <cellStyle name="Comma [0] 2 3 3 7 5" xfId="48875" xr:uid="{F067D7CA-AD20-4BEC-A276-625B7004744C}"/>
    <cellStyle name="Comma [0] 2 3 3 8" xfId="3449" xr:uid="{1C2721C5-A650-4C90-AF29-B3E97A2FA69E}"/>
    <cellStyle name="Comma [0] 2 3 3 8 2" xfId="11690" xr:uid="{05B7A749-3FB0-4CAC-A794-0E1FD41465A7}"/>
    <cellStyle name="Comma [0] 2 3 3 8 3" xfId="14530" xr:uid="{47FD49B0-8962-4BDD-9AC2-7620CD6839C6}"/>
    <cellStyle name="Comma [0] 2 3 3 8 4" xfId="44454" xr:uid="{5C3A2A5C-5EFD-46FE-AEF4-5FA6651932FC}"/>
    <cellStyle name="Comma [0] 2 3 3 8 5" xfId="49347" xr:uid="{DAE763BD-A722-432C-85DC-44A54F2811CE}"/>
    <cellStyle name="Comma [0] 2 3 3 9" xfId="9712" xr:uid="{223406DB-1C4B-48C0-AE9C-70EBE8FAE211}"/>
    <cellStyle name="Comma [0] 2 3 3 9 2" xfId="44872" xr:uid="{701B5EAC-56C6-45F3-BCF8-1003007B22CB}"/>
    <cellStyle name="Comma [0] 2 3 4" xfId="231" xr:uid="{00000000-0005-0000-0000-00004E000000}"/>
    <cellStyle name="Comma [0] 2 3 4 10" xfId="16515" xr:uid="{A429FD58-465C-4CB7-BBAF-20E3F1BE72FF}"/>
    <cellStyle name="Comma [0] 2 3 4 11" xfId="17059" xr:uid="{8FE5A443-C972-4AB5-B41A-85E9F2F51622}"/>
    <cellStyle name="Comma [0] 2 3 4 12" xfId="17554" xr:uid="{06BFE433-A66A-47E4-996C-0EF49978FBFF}"/>
    <cellStyle name="Comma [0] 2 3 4 13" xfId="42553" xr:uid="{EEB177FC-07FA-4348-99A1-C6AB13069C8C}"/>
    <cellStyle name="Comma [0] 2 3 4 14" xfId="47446" xr:uid="{5F875EEE-E4DA-455E-8937-65CFC8F5F867}"/>
    <cellStyle name="Comma [0] 2 3 4 2" xfId="458" xr:uid="{00000000-0005-0000-0000-00004F000000}"/>
    <cellStyle name="Comma [0] 2 3 4 2 10" xfId="17271" xr:uid="{250D1247-FF8A-4F1F-818E-9F5CED56997D}"/>
    <cellStyle name="Comma [0] 2 3 4 2 11" xfId="18131" xr:uid="{5B4D36F0-3C7B-4E12-B00D-0C2052E89604}"/>
    <cellStyle name="Comma [0] 2 3 4 2 12" xfId="42765" xr:uid="{FD95FED8-C03D-45FD-BC4F-20C42D678A08}"/>
    <cellStyle name="Comma [0] 2 3 4 2 13" xfId="47658" xr:uid="{7051C170-508C-4CC5-B227-EDF22088F079}"/>
    <cellStyle name="Comma [0] 2 3 4 2 2" xfId="2274" xr:uid="{4935CEF0-093B-4447-80BE-A911CE87F2B5}"/>
    <cellStyle name="Comma [0] 2 3 4 2 2 2" xfId="10545" xr:uid="{0FBF0B66-1DFF-41B0-B559-A4E95254EFA1}"/>
    <cellStyle name="Comma [0] 2 3 4 2 2 2 2" xfId="45705" xr:uid="{67F39DEF-F97B-429B-9803-385440D0A751}"/>
    <cellStyle name="Comma [0] 2 3 4 2 2 3" xfId="13385" xr:uid="{98C4FA81-EC9D-4CE6-BF88-32DB004E3440}"/>
    <cellStyle name="Comma [0] 2 3 4 2 2 4" xfId="43309" xr:uid="{AED3E13F-7F0B-4C23-91DE-403328E677E6}"/>
    <cellStyle name="Comma [0] 2 3 4 2 2 5" xfId="48202" xr:uid="{556B5E2E-9AFF-4493-BEB0-B065D2810627}"/>
    <cellStyle name="Comma [0] 2 3 4 2 3" xfId="2692" xr:uid="{D4D843D3-6F21-4DCB-AFCE-7B6DED9F9CD5}"/>
    <cellStyle name="Comma [0] 2 3 4 2 3 2" xfId="10963" xr:uid="{8329BC6A-7475-4697-950F-07DD3A69847D}"/>
    <cellStyle name="Comma [0] 2 3 4 2 3 2 2" xfId="46123" xr:uid="{2509CC56-5761-466B-8684-47D86FBDE7F5}"/>
    <cellStyle name="Comma [0] 2 3 4 2 3 3" xfId="13803" xr:uid="{DA211860-71EB-4C1D-8C03-FB1D116AF225}"/>
    <cellStyle name="Comma [0] 2 3 4 2 3 4" xfId="43727" xr:uid="{7423E3F2-49BD-48E5-B7A9-4967339AA437}"/>
    <cellStyle name="Comma [0] 2 3 4 2 3 5" xfId="48620" xr:uid="{4DB4CE89-A7C4-4137-9349-A671320CCF2B}"/>
    <cellStyle name="Comma [0] 2 3 4 2 4" xfId="3236" xr:uid="{E46285EC-6A17-49B6-B8CC-5DBC30C5A81B}"/>
    <cellStyle name="Comma [0] 2 3 4 2 4 2" xfId="11507" xr:uid="{369BA8CF-D2D3-4534-B7F9-8ACB4C175BC4}"/>
    <cellStyle name="Comma [0] 2 3 4 2 4 2 2" xfId="46667" xr:uid="{54C38E14-5922-41D4-B8BB-31836DE31A0B}"/>
    <cellStyle name="Comma [0] 2 3 4 2 4 3" xfId="14347" xr:uid="{4ED21B04-C60E-4478-ACB3-25548D79C5C5}"/>
    <cellStyle name="Comma [0] 2 3 4 2 4 4" xfId="44271" xr:uid="{75F78757-CB0F-45A7-A536-C9B3B21D1EC7}"/>
    <cellStyle name="Comma [0] 2 3 4 2 4 5" xfId="49164" xr:uid="{2215E33F-7DA0-4006-8B3E-9EDD93894DA6}"/>
    <cellStyle name="Comma [0] 2 3 4 2 5" xfId="3738" xr:uid="{896CB694-1DD5-4270-9664-F3014F29CA10}"/>
    <cellStyle name="Comma [0] 2 3 4 2 5 2" xfId="11979" xr:uid="{88F91151-EF67-4055-AF84-4386BE0C5588}"/>
    <cellStyle name="Comma [0] 2 3 4 2 5 3" xfId="14819" xr:uid="{413A9ECA-E568-43AC-9D46-201B76960D41}"/>
    <cellStyle name="Comma [0] 2 3 4 2 5 4" xfId="44743" xr:uid="{B808E8C9-05D7-4069-8686-F69615BABA7C}"/>
    <cellStyle name="Comma [0] 2 3 4 2 5 5" xfId="49636" xr:uid="{CC7E60CC-3BB9-4419-807D-A777FD8C3240}"/>
    <cellStyle name="Comma [0] 2 3 4 2 6" xfId="10001" xr:uid="{6A159EFA-D367-48FF-AEC7-F108BAEAB7FF}"/>
    <cellStyle name="Comma [0] 2 3 4 2 6 2" xfId="45161" xr:uid="{9B8D1260-EE5C-4507-9D78-A8FF0D473B98}"/>
    <cellStyle name="Comma [0] 2 3 4 2 7" xfId="12841" xr:uid="{66FECEC3-956C-4EA9-A1F5-C1EFE6EA9B13}"/>
    <cellStyle name="Comma [0] 2 3 4 2 8" xfId="16184" xr:uid="{8681AD69-CF79-471C-BA2D-44237BCF11B6}"/>
    <cellStyle name="Comma [0] 2 3 4 2 9" xfId="16727" xr:uid="{BAC58060-7486-43F5-BC0B-029AB766F702}"/>
    <cellStyle name="Comma [0] 2 3 4 3" xfId="2062" xr:uid="{7DC87286-81CF-4EC7-8321-A652468AE579}"/>
    <cellStyle name="Comma [0] 2 3 4 3 2" xfId="10333" xr:uid="{A63A8893-7B33-4FB7-B112-34E098603896}"/>
    <cellStyle name="Comma [0] 2 3 4 3 2 2" xfId="45493" xr:uid="{4E16E418-B940-4B95-BFF8-88A5D6F256FE}"/>
    <cellStyle name="Comma [0] 2 3 4 3 3" xfId="13173" xr:uid="{76A46A0F-6E16-45D0-B8DF-6DA0697E9E41}"/>
    <cellStyle name="Comma [0] 2 3 4 3 4" xfId="43097" xr:uid="{F09747E1-5E6D-4903-BF3E-153D3F0AC6D9}"/>
    <cellStyle name="Comma [0] 2 3 4 3 5" xfId="47990" xr:uid="{A13207A6-4C76-41A3-BF25-F2C88B75C95C}"/>
    <cellStyle name="Comma [0] 2 3 4 4" xfId="2480" xr:uid="{57682890-09BE-43F3-A310-39D157B4C9B3}"/>
    <cellStyle name="Comma [0] 2 3 4 4 2" xfId="10751" xr:uid="{F6A348A2-1897-477B-96E4-243104B56E8A}"/>
    <cellStyle name="Comma [0] 2 3 4 4 2 2" xfId="45911" xr:uid="{FEBC8B48-96F9-4F8D-90C4-5CBDC514C1EF}"/>
    <cellStyle name="Comma [0] 2 3 4 4 3" xfId="13591" xr:uid="{1EA22842-71D4-4F84-BDC8-977A60E8245F}"/>
    <cellStyle name="Comma [0] 2 3 4 4 4" xfId="43515" xr:uid="{906CCCD7-B105-4A8B-8989-4A71D71796F9}"/>
    <cellStyle name="Comma [0] 2 3 4 4 5" xfId="48408" xr:uid="{D539D9B5-1D16-4A2A-A0AF-AFD6E2FB3BA5}"/>
    <cellStyle name="Comma [0] 2 3 4 5" xfId="3024" xr:uid="{19E2EA77-5DFA-47B5-8897-09983508A45C}"/>
    <cellStyle name="Comma [0] 2 3 4 5 2" xfId="11295" xr:uid="{7565F359-2981-49AC-AAB9-A51E0D566BA3}"/>
    <cellStyle name="Comma [0] 2 3 4 5 2 2" xfId="46455" xr:uid="{7ADA09DE-C8D7-4AAC-B6AE-58F280580BC4}"/>
    <cellStyle name="Comma [0] 2 3 4 5 3" xfId="14135" xr:uid="{8A88C558-A557-433E-9C9F-97E516776D7C}"/>
    <cellStyle name="Comma [0] 2 3 4 5 4" xfId="44059" xr:uid="{53CFEA63-85A3-43BD-98E3-2D845393651C}"/>
    <cellStyle name="Comma [0] 2 3 4 5 5" xfId="48952" xr:uid="{1B90CB11-A72B-4A26-BEE5-AB68C381F750}"/>
    <cellStyle name="Comma [0] 2 3 4 6" xfId="3526" xr:uid="{5371A071-45F7-4E5F-BEA8-51DEE2E41012}"/>
    <cellStyle name="Comma [0] 2 3 4 6 2" xfId="11767" xr:uid="{A42661B3-2F0F-4C5E-A52A-B119A6CBFB6A}"/>
    <cellStyle name="Comma [0] 2 3 4 6 3" xfId="14607" xr:uid="{EC6807A1-43CE-4D46-ADBF-BDC17DB03EB0}"/>
    <cellStyle name="Comma [0] 2 3 4 6 4" xfId="44531" xr:uid="{072388ED-163E-4771-8E91-65701B873B46}"/>
    <cellStyle name="Comma [0] 2 3 4 6 5" xfId="49424" xr:uid="{ABEFF1E9-75FF-448D-9948-DDB1638FE059}"/>
    <cellStyle name="Comma [0] 2 3 4 7" xfId="9789" xr:uid="{C463D7AD-5310-4B04-AC52-A55B9E15D269}"/>
    <cellStyle name="Comma [0] 2 3 4 7 2" xfId="44949" xr:uid="{AA1FBB73-9F23-47D9-9A1A-082E643964B4}"/>
    <cellStyle name="Comma [0] 2 3 4 8" xfId="12629" xr:uid="{1720EC7E-92EA-4559-A5EC-DE66E5DE27C2}"/>
    <cellStyle name="Comma [0] 2 3 4 9" xfId="15972" xr:uid="{D7321A14-CEDD-4366-B5BC-532E364492C1}"/>
    <cellStyle name="Comma [0] 2 3 5" xfId="357" xr:uid="{00000000-0005-0000-0000-000050000000}"/>
    <cellStyle name="Comma [0] 2 3 5 10" xfId="17171" xr:uid="{004848CA-FB8E-414C-865E-01F8939A450C}"/>
    <cellStyle name="Comma [0] 2 3 5 11" xfId="18188" xr:uid="{A0A2F54D-3CAD-4651-BA86-4EFE8C83A386}"/>
    <cellStyle name="Comma [0] 2 3 5 12" xfId="42665" xr:uid="{AC3DBE13-7B6D-4BE7-A95A-D9B33A9BD081}"/>
    <cellStyle name="Comma [0] 2 3 5 13" xfId="47558" xr:uid="{AE419859-5FA7-43D0-9EE7-51FEE53E1B83}"/>
    <cellStyle name="Comma [0] 2 3 5 2" xfId="2174" xr:uid="{72747717-2C8D-4D4A-BE11-E6431E0D628A}"/>
    <cellStyle name="Comma [0] 2 3 5 2 2" xfId="10445" xr:uid="{401DD479-941A-4F8E-99FA-F3715BEC8612}"/>
    <cellStyle name="Comma [0] 2 3 5 2 2 2" xfId="45605" xr:uid="{4596A189-2CC2-432B-9DC3-279F8425D986}"/>
    <cellStyle name="Comma [0] 2 3 5 2 3" xfId="13285" xr:uid="{C5E1C15B-9AB2-45F3-BED5-ED8A346E70D7}"/>
    <cellStyle name="Comma [0] 2 3 5 2 4" xfId="43209" xr:uid="{AF880AC0-6CEE-4EFC-B271-4F30D8BF1CB5}"/>
    <cellStyle name="Comma [0] 2 3 5 2 5" xfId="48102" xr:uid="{8701B0F6-0385-4985-8C74-796497715C62}"/>
    <cellStyle name="Comma [0] 2 3 5 3" xfId="2592" xr:uid="{E652CE40-8D0B-4B70-9599-42AF4A5D9EFE}"/>
    <cellStyle name="Comma [0] 2 3 5 3 2" xfId="10863" xr:uid="{B088FDCF-0A40-4B48-B7AC-AE0D83679117}"/>
    <cellStyle name="Comma [0] 2 3 5 3 2 2" xfId="46023" xr:uid="{DFA81C3C-F8EB-4313-ADF0-2BD47CAEE1EE}"/>
    <cellStyle name="Comma [0] 2 3 5 3 3" xfId="13703" xr:uid="{129CD8C9-692C-4379-8C6E-B9F5717E894E}"/>
    <cellStyle name="Comma [0] 2 3 5 3 4" xfId="43627" xr:uid="{8C1442B5-E967-4D18-B5D9-7EB4763E189F}"/>
    <cellStyle name="Comma [0] 2 3 5 3 5" xfId="48520" xr:uid="{07E363E0-39ED-482F-9B17-2A31A449B811}"/>
    <cellStyle name="Comma [0] 2 3 5 4" xfId="3136" xr:uid="{060D4BC8-B71F-4910-BD0A-80A09A9A9C47}"/>
    <cellStyle name="Comma [0] 2 3 5 4 2" xfId="11407" xr:uid="{1B55E282-C191-4E41-BE09-E0EDEE84F236}"/>
    <cellStyle name="Comma [0] 2 3 5 4 2 2" xfId="46567" xr:uid="{FC81ABA9-7BCC-4440-9123-598BA64FA6CC}"/>
    <cellStyle name="Comma [0] 2 3 5 4 3" xfId="14247" xr:uid="{0BAC1D15-D6FE-4F27-8319-33C8CB44CF27}"/>
    <cellStyle name="Comma [0] 2 3 5 4 4" xfId="44171" xr:uid="{2C2D8E45-6788-4F6A-B436-A9171C7E8488}"/>
    <cellStyle name="Comma [0] 2 3 5 4 5" xfId="49064" xr:uid="{281858B0-0091-42EE-B623-E5D4A4BCC884}"/>
    <cellStyle name="Comma [0] 2 3 5 5" xfId="3638" xr:uid="{6E3EF124-E75E-466F-A14C-F30DD38352B5}"/>
    <cellStyle name="Comma [0] 2 3 5 5 2" xfId="11879" xr:uid="{886D3338-6F12-4EA3-BE5F-512A841FE6AC}"/>
    <cellStyle name="Comma [0] 2 3 5 5 3" xfId="14719" xr:uid="{663259A0-C433-435D-BFDE-7F5BBEC49C4F}"/>
    <cellStyle name="Comma [0] 2 3 5 5 4" xfId="44643" xr:uid="{2D684372-A2DD-42AC-8275-EB41A5A99DE9}"/>
    <cellStyle name="Comma [0] 2 3 5 5 5" xfId="49536" xr:uid="{883C497A-F823-49B9-A9B3-624EBF7E8019}"/>
    <cellStyle name="Comma [0] 2 3 5 6" xfId="9901" xr:uid="{C119A375-4966-4D38-9CB1-5D0EA258CAFE}"/>
    <cellStyle name="Comma [0] 2 3 5 6 2" xfId="45061" xr:uid="{171AB486-2B1D-4369-869E-DA40CF0CD90E}"/>
    <cellStyle name="Comma [0] 2 3 5 7" xfId="12741" xr:uid="{81AFC06B-6038-4032-9FD2-C34454B4ED4E}"/>
    <cellStyle name="Comma [0] 2 3 5 8" xfId="16084" xr:uid="{CAB66211-7E90-43A6-A882-0DFF29A71170}"/>
    <cellStyle name="Comma [0] 2 3 5 9" xfId="16627" xr:uid="{86CC776F-7149-4C3E-92EF-970665747628}"/>
    <cellStyle name="Comma [0] 2 3 6" xfId="560" xr:uid="{00000000-0005-0000-0000-000051000000}"/>
    <cellStyle name="Comma [0] 2 3 6 10" xfId="47760" xr:uid="{F8CBE809-C126-4AE7-9021-8D00108060DE}"/>
    <cellStyle name="Comma [0] 2 3 6 2" xfId="2794" xr:uid="{C7F999A4-F4BA-48D1-9896-09553C3F26B6}"/>
    <cellStyle name="Comma [0] 2 3 6 2 2" xfId="11065" xr:uid="{C8021F9F-AFC1-4972-BBF8-C1C11AC7ECBD}"/>
    <cellStyle name="Comma [0] 2 3 6 2 2 2" xfId="46225" xr:uid="{66B459CD-0257-4153-BA26-070C8580A67E}"/>
    <cellStyle name="Comma [0] 2 3 6 2 3" xfId="13905" xr:uid="{1BB53556-71C5-4EE2-A366-5BE4891C4D2F}"/>
    <cellStyle name="Comma [0] 2 3 6 2 4" xfId="43829" xr:uid="{1DE8EAAE-DE59-4732-BDD8-7F6D1D7FB0D5}"/>
    <cellStyle name="Comma [0] 2 3 6 2 5" xfId="48722" xr:uid="{031F96F6-953C-4ECB-904B-CF5681CFAA7B}"/>
    <cellStyle name="Comma [0] 2 3 6 3" xfId="10103" xr:uid="{A57C4223-B8D6-4545-B286-F2F81B71BFF1}"/>
    <cellStyle name="Comma [0] 2 3 6 3 2" xfId="45263" xr:uid="{9025BA24-C2E1-4E21-AF21-0F2991628B1A}"/>
    <cellStyle name="Comma [0] 2 3 6 4" xfId="12943" xr:uid="{AA02367C-B78B-4EE0-B2DE-0EA63562D480}"/>
    <cellStyle name="Comma [0] 2 3 6 5" xfId="16286" xr:uid="{8F13E007-0019-4BD3-9A9C-73160C92BF24}"/>
    <cellStyle name="Comma [0] 2 3 6 6" xfId="16829" xr:uid="{692E1F82-D075-41C6-95DB-A0AF493CC90A}"/>
    <cellStyle name="Comma [0] 2 3 6 7" xfId="17373" xr:uid="{2EC4E437-6DBB-4E44-90D9-7BC3B5AFD54A}"/>
    <cellStyle name="Comma [0] 2 3 6 8" xfId="17870" xr:uid="{0AFA14C2-46F6-4482-B7B8-A76E1BADF574}"/>
    <cellStyle name="Comma [0] 2 3 6 9" xfId="42867" xr:uid="{CDE58539-78DB-4DC0-BF40-D35F7263A9BC}"/>
    <cellStyle name="Comma [0] 2 3 7" xfId="1958" xr:uid="{FE04C902-5D2A-42F9-AB90-71AEB1A7C3FB}"/>
    <cellStyle name="Comma [0] 2 3 7 2" xfId="10229" xr:uid="{0FDD789A-C2B4-48D4-BF31-BAD48D21665C}"/>
    <cellStyle name="Comma [0] 2 3 7 2 2" xfId="45389" xr:uid="{E031BC2E-828A-42E5-9653-677E9F0980D4}"/>
    <cellStyle name="Comma [0] 2 3 7 3" xfId="13069" xr:uid="{1104976C-E073-482F-A5D5-7907D2383AB7}"/>
    <cellStyle name="Comma [0] 2 3 7 4" xfId="42993" xr:uid="{D3BB0427-E5CC-430A-9EC5-B85799B3D9CE}"/>
    <cellStyle name="Comma [0] 2 3 7 5" xfId="47886" xr:uid="{66A38F42-5839-4515-8801-6AC8F69BFA05}"/>
    <cellStyle name="Comma [0] 2 3 8" xfId="2376" xr:uid="{F7B855B9-7731-4D6A-9D59-E75A936DE425}"/>
    <cellStyle name="Comma [0] 2 3 8 2" xfId="10647" xr:uid="{67943EDE-5659-4F3F-8A27-4B6D71062C99}"/>
    <cellStyle name="Comma [0] 2 3 8 2 2" xfId="45807" xr:uid="{E390F232-7F01-44BA-BCCE-DC3AE1EBDAE0}"/>
    <cellStyle name="Comma [0] 2 3 8 3" xfId="13487" xr:uid="{6AD80603-5CC9-4E9C-AC1B-11AA0204366F}"/>
    <cellStyle name="Comma [0] 2 3 8 4" xfId="43411" xr:uid="{61C13CE5-DF02-4ED9-9537-C8017697B042}"/>
    <cellStyle name="Comma [0] 2 3 8 5" xfId="48304" xr:uid="{A04DC4EE-878A-4AF6-AF6E-BD282BFC5A9A}"/>
    <cellStyle name="Comma [0] 2 3 9" xfId="2920" xr:uid="{4FED5FCD-0FA0-40D9-9845-9DF285A6830D}"/>
    <cellStyle name="Comma [0] 2 3 9 2" xfId="11191" xr:uid="{C7B76E2B-F468-448A-9AF0-39F4BD8710E2}"/>
    <cellStyle name="Comma [0] 2 3 9 2 2" xfId="46351" xr:uid="{471AFFC2-4F42-494E-98A8-BBFC7CD45876}"/>
    <cellStyle name="Comma [0] 2 3 9 3" xfId="14031" xr:uid="{4F6A5973-6A9F-423F-9E09-F8207016EBEC}"/>
    <cellStyle name="Comma [0] 2 3 9 4" xfId="43955" xr:uid="{40061935-19A2-444C-91C5-65943BF55FD2}"/>
    <cellStyle name="Comma [0] 2 3 9 5" xfId="48848" xr:uid="{69810B11-BEED-49DC-A596-EB853CC0CA21}"/>
    <cellStyle name="Comma [0] 2 4" xfId="132" xr:uid="{00000000-0005-0000-0000-000052000000}"/>
    <cellStyle name="Comma [0] 2 5" xfId="166" xr:uid="{00000000-0005-0000-0000-000053000000}"/>
    <cellStyle name="Comma [0] 2 5 10" xfId="12573" xr:uid="{510EFF04-BA52-487D-A9D5-69D740B96332}"/>
    <cellStyle name="Comma [0] 2 5 11" xfId="15916" xr:uid="{CA3DF61D-0260-4059-A24A-844D89F6C219}"/>
    <cellStyle name="Comma [0] 2 5 12" xfId="16459" xr:uid="{CD9A0595-8521-43D7-BFDC-98926595BC7E}"/>
    <cellStyle name="Comma [0] 2 5 13" xfId="17003" xr:uid="{EC5C2C3E-21C8-4AEE-A718-57557D912BE1}"/>
    <cellStyle name="Comma [0] 2 5 14" xfId="17827" xr:uid="{A994ABFD-32D9-433B-85C6-F5434503F51A}"/>
    <cellStyle name="Comma [0] 2 5 15" xfId="42497" xr:uid="{623F87AA-03B2-4AB1-B2D3-AD7BA8F45524}"/>
    <cellStyle name="Comma [0] 2 5 16" xfId="47390" xr:uid="{0113A512-69B2-452D-8EF4-77911E7E44B9}"/>
    <cellStyle name="Comma [0] 2 5 2" xfId="279" xr:uid="{00000000-0005-0000-0000-000054000000}"/>
    <cellStyle name="Comma [0] 2 5 2 10" xfId="16563" xr:uid="{1DE67CD9-0393-4AB0-A736-FDA2C36ECD6D}"/>
    <cellStyle name="Comma [0] 2 5 2 11" xfId="17107" xr:uid="{D0075F3A-75EA-4D25-9640-F806E2BF0861}"/>
    <cellStyle name="Comma [0] 2 5 2 12" xfId="18247" xr:uid="{90FB6318-4BEC-4778-BD3E-2CEA78ACD250}"/>
    <cellStyle name="Comma [0] 2 5 2 13" xfId="42601" xr:uid="{A3F55849-9A09-4D15-B7D3-D45845A03A7B}"/>
    <cellStyle name="Comma [0] 2 5 2 14" xfId="47494" xr:uid="{B1003F9B-12F2-4550-B4C5-184C98216FC8}"/>
    <cellStyle name="Comma [0] 2 5 2 2" xfId="506" xr:uid="{00000000-0005-0000-0000-000055000000}"/>
    <cellStyle name="Comma [0] 2 5 2 2 10" xfId="17319" xr:uid="{5DF18581-4ABA-4FB7-8C8C-52D59A89626F}"/>
    <cellStyle name="Comma [0] 2 5 2 2 11" xfId="18051" xr:uid="{D1B210CD-E278-4B97-9079-038F0AD548B9}"/>
    <cellStyle name="Comma [0] 2 5 2 2 12" xfId="42813" xr:uid="{11ADC528-9F43-47B7-9310-AC93465D992D}"/>
    <cellStyle name="Comma [0] 2 5 2 2 13" xfId="47706" xr:uid="{B525D87B-8D6C-45DA-8B4E-B1C6186A563D}"/>
    <cellStyle name="Comma [0] 2 5 2 2 2" xfId="2322" xr:uid="{208E02A1-E993-430C-B05D-401800254392}"/>
    <cellStyle name="Comma [0] 2 5 2 2 2 2" xfId="10593" xr:uid="{C5118423-D71A-4B89-B652-CB8BB5D3249A}"/>
    <cellStyle name="Comma [0] 2 5 2 2 2 2 2" xfId="45753" xr:uid="{BA6E6AAB-EE34-45EA-9148-6546DA8ABC9C}"/>
    <cellStyle name="Comma [0] 2 5 2 2 2 3" xfId="13433" xr:uid="{DA3E1052-CB3C-412E-AAB5-7BC93364B521}"/>
    <cellStyle name="Comma [0] 2 5 2 2 2 4" xfId="43357" xr:uid="{7C55D593-EDB0-4BEB-89BD-6C8D9C280E54}"/>
    <cellStyle name="Comma [0] 2 5 2 2 2 5" xfId="48250" xr:uid="{F2F8803E-CF92-4F62-8043-268AE866D8EC}"/>
    <cellStyle name="Comma [0] 2 5 2 2 3" xfId="2740" xr:uid="{CDEED799-B59F-40E6-8A7E-0E33810C425F}"/>
    <cellStyle name="Comma [0] 2 5 2 2 3 2" xfId="11011" xr:uid="{43C10F63-2BF5-471E-9A40-DC5631BE45A0}"/>
    <cellStyle name="Comma [0] 2 5 2 2 3 2 2" xfId="46171" xr:uid="{016EC28D-FD59-4259-AD7B-8843905C7CD9}"/>
    <cellStyle name="Comma [0] 2 5 2 2 3 3" xfId="13851" xr:uid="{67D3E74B-A6AF-403E-8D08-24930A30DCF2}"/>
    <cellStyle name="Comma [0] 2 5 2 2 3 4" xfId="43775" xr:uid="{926C46E0-7DC3-49BB-B806-C9790AC8F2AF}"/>
    <cellStyle name="Comma [0] 2 5 2 2 3 5" xfId="48668" xr:uid="{96978951-0F96-48A2-B3CA-EF32399CB6EA}"/>
    <cellStyle name="Comma [0] 2 5 2 2 4" xfId="3284" xr:uid="{F9906AAA-7B10-4EF6-82A5-C4DD3CD10508}"/>
    <cellStyle name="Comma [0] 2 5 2 2 4 2" xfId="11555" xr:uid="{6175BF38-4050-4A61-B3BC-6E59F0D7ECF6}"/>
    <cellStyle name="Comma [0] 2 5 2 2 4 2 2" xfId="46715" xr:uid="{7A64BC6E-3ECC-4EAB-B56D-32942728E3DE}"/>
    <cellStyle name="Comma [0] 2 5 2 2 4 3" xfId="14395" xr:uid="{55439189-9CC6-457E-B85E-1D8A384328A3}"/>
    <cellStyle name="Comma [0] 2 5 2 2 4 4" xfId="44319" xr:uid="{6603E8D4-E0B0-4AFB-AC69-EE23E28AFF6A}"/>
    <cellStyle name="Comma [0] 2 5 2 2 4 5" xfId="49212" xr:uid="{BBBB9D7C-76BB-4B4E-9CBA-A15DB469D601}"/>
    <cellStyle name="Comma [0] 2 5 2 2 5" xfId="3786" xr:uid="{F0D53562-F7AB-4E34-ADC5-8476B4501B1A}"/>
    <cellStyle name="Comma [0] 2 5 2 2 5 2" xfId="12027" xr:uid="{19844012-509C-47BF-BF71-2B6ADCAD67D0}"/>
    <cellStyle name="Comma [0] 2 5 2 2 5 3" xfId="14867" xr:uid="{E9A3FA14-59C8-4E5A-A877-29156E60EEDD}"/>
    <cellStyle name="Comma [0] 2 5 2 2 5 4" xfId="44791" xr:uid="{09C97473-DEB6-41D7-993F-3931957D8980}"/>
    <cellStyle name="Comma [0] 2 5 2 2 5 5" xfId="49684" xr:uid="{98BD6554-E660-44A1-AC2E-861BAFF34560}"/>
    <cellStyle name="Comma [0] 2 5 2 2 6" xfId="10049" xr:uid="{9D51ACE2-DAF8-48B0-9F01-C6AA11EA7AD2}"/>
    <cellStyle name="Comma [0] 2 5 2 2 6 2" xfId="45209" xr:uid="{D82F79D6-DA21-44E4-98AF-35BA905FB683}"/>
    <cellStyle name="Comma [0] 2 5 2 2 7" xfId="12889" xr:uid="{4A78DFBE-431B-4092-884D-C50DC1B4E78B}"/>
    <cellStyle name="Comma [0] 2 5 2 2 8" xfId="16232" xr:uid="{7BCB0CB8-2946-4478-B395-B0C62213D220}"/>
    <cellStyle name="Comma [0] 2 5 2 2 9" xfId="16775" xr:uid="{0CF2D09F-CE41-46B9-A6B5-2EA81E6B0AB4}"/>
    <cellStyle name="Comma [0] 2 5 2 3" xfId="2110" xr:uid="{476244BB-BBD4-4C0C-BF36-0A9219F42F95}"/>
    <cellStyle name="Comma [0] 2 5 2 3 2" xfId="10381" xr:uid="{AB0AC110-6B80-4F8A-9C4E-11B6F642F55D}"/>
    <cellStyle name="Comma [0] 2 5 2 3 2 2" xfId="45541" xr:uid="{51DD56AB-D293-46FD-9579-C9480659E896}"/>
    <cellStyle name="Comma [0] 2 5 2 3 3" xfId="13221" xr:uid="{BF645F8C-327E-4BC3-96F1-F2A91E5C8111}"/>
    <cellStyle name="Comma [0] 2 5 2 3 4" xfId="43145" xr:uid="{BB892AD6-DF4E-4ADF-B8AA-57644EF142BB}"/>
    <cellStyle name="Comma [0] 2 5 2 3 5" xfId="48038" xr:uid="{ED29EA1B-06B8-422B-87BC-17C6A006D7C1}"/>
    <cellStyle name="Comma [0] 2 5 2 4" xfId="2528" xr:uid="{A648B626-BFD5-4F0D-9C30-AE2554739FC6}"/>
    <cellStyle name="Comma [0] 2 5 2 4 2" xfId="10799" xr:uid="{4578D8B3-85C7-4948-876A-8305297A654C}"/>
    <cellStyle name="Comma [0] 2 5 2 4 2 2" xfId="45959" xr:uid="{BEEBBF36-03AF-4B67-AA9D-2283159C48CA}"/>
    <cellStyle name="Comma [0] 2 5 2 4 3" xfId="13639" xr:uid="{D044C99F-706A-41D8-88D6-B0897840AD32}"/>
    <cellStyle name="Comma [0] 2 5 2 4 4" xfId="43563" xr:uid="{54CEBCEC-FC79-41C6-8C0F-C1316499B76F}"/>
    <cellStyle name="Comma [0] 2 5 2 4 5" xfId="48456" xr:uid="{BE16F73C-DA7B-4228-8714-910E19CC3D16}"/>
    <cellStyle name="Comma [0] 2 5 2 5" xfId="3072" xr:uid="{FBFBA9EE-93DE-4090-AF65-A7F6385C57F6}"/>
    <cellStyle name="Comma [0] 2 5 2 5 2" xfId="11343" xr:uid="{107F0365-3317-4DCE-A128-9B6A6D7C218C}"/>
    <cellStyle name="Comma [0] 2 5 2 5 2 2" xfId="46503" xr:uid="{4B386449-0910-44A6-B0FE-97B0E9E87869}"/>
    <cellStyle name="Comma [0] 2 5 2 5 3" xfId="14183" xr:uid="{95A33EA4-C163-40F2-A295-FF7C233AD537}"/>
    <cellStyle name="Comma [0] 2 5 2 5 4" xfId="44107" xr:uid="{48FEC79D-0CC6-4973-8E29-D7D52D4FDDD3}"/>
    <cellStyle name="Comma [0] 2 5 2 5 5" xfId="49000" xr:uid="{87CB7A2F-8016-408D-95F2-D7543E91CBB8}"/>
    <cellStyle name="Comma [0] 2 5 2 6" xfId="3574" xr:uid="{37E71A2C-0A73-46FB-8A7A-4C2863F2682A}"/>
    <cellStyle name="Comma [0] 2 5 2 6 2" xfId="11815" xr:uid="{A7853999-BBB6-48C4-A3BA-66373A0CE4C7}"/>
    <cellStyle name="Comma [0] 2 5 2 6 3" xfId="14655" xr:uid="{D19AA300-AB10-4CBA-AAB4-98704B3BA81A}"/>
    <cellStyle name="Comma [0] 2 5 2 6 4" xfId="44579" xr:uid="{A479EA0B-EB8C-45BC-BCF3-DA2896C855FD}"/>
    <cellStyle name="Comma [0] 2 5 2 6 5" xfId="49472" xr:uid="{C0D759D0-24D0-47F6-B2C7-61DA8651AC7F}"/>
    <cellStyle name="Comma [0] 2 5 2 7" xfId="9837" xr:uid="{C3887C63-14C4-4A15-ADEF-8B2D43C9E0E1}"/>
    <cellStyle name="Comma [0] 2 5 2 7 2" xfId="44997" xr:uid="{F428D6E8-A4A1-4692-8C6E-904F14989708}"/>
    <cellStyle name="Comma [0] 2 5 2 8" xfId="12677" xr:uid="{51BD5F7A-A898-4D55-9E31-1B7516AF3DA9}"/>
    <cellStyle name="Comma [0] 2 5 2 9" xfId="16020" xr:uid="{C4315CB1-71DC-4A51-B30F-26C34D1D7DF1}"/>
    <cellStyle name="Comma [0] 2 5 3" xfId="405" xr:uid="{00000000-0005-0000-0000-000056000000}"/>
    <cellStyle name="Comma [0] 2 5 3 10" xfId="17219" xr:uid="{DF42F364-03DA-4B63-8B46-37D869FDD487}"/>
    <cellStyle name="Comma [0] 2 5 3 11" xfId="17689" xr:uid="{64AE5A9B-B69F-412F-A817-18C8A70F7027}"/>
    <cellStyle name="Comma [0] 2 5 3 12" xfId="42713" xr:uid="{58D3CF12-5CCF-436A-BCEA-93510AAB77DF}"/>
    <cellStyle name="Comma [0] 2 5 3 13" xfId="47606" xr:uid="{B8BA0623-8F97-4104-9318-66065AAB38F3}"/>
    <cellStyle name="Comma [0] 2 5 3 2" xfId="2222" xr:uid="{BC54D81A-6D2F-4F50-8F58-FBFEB97661FC}"/>
    <cellStyle name="Comma [0] 2 5 3 2 2" xfId="10493" xr:uid="{8403A90E-EF4D-4AF3-BF57-5388286AB496}"/>
    <cellStyle name="Comma [0] 2 5 3 2 2 2" xfId="45653" xr:uid="{8C9743CF-379F-4CB2-8AEB-0337EBD3FD39}"/>
    <cellStyle name="Comma [0] 2 5 3 2 3" xfId="13333" xr:uid="{311A3B2E-50B7-4E75-A045-B7EEEE637930}"/>
    <cellStyle name="Comma [0] 2 5 3 2 4" xfId="43257" xr:uid="{03E73624-1EF3-40D4-912C-2432A71FD5AD}"/>
    <cellStyle name="Comma [0] 2 5 3 2 5" xfId="48150" xr:uid="{0F5091D9-AD86-41F7-850F-17DBC910CB07}"/>
    <cellStyle name="Comma [0] 2 5 3 3" xfId="2640" xr:uid="{68ED43EB-DB0F-435F-9364-E7130900C051}"/>
    <cellStyle name="Comma [0] 2 5 3 3 2" xfId="10911" xr:uid="{C879547E-64A1-4D08-9EF6-53087ABB060E}"/>
    <cellStyle name="Comma [0] 2 5 3 3 2 2" xfId="46071" xr:uid="{98094F0F-F0EF-4772-800F-A21C181B35CC}"/>
    <cellStyle name="Comma [0] 2 5 3 3 3" xfId="13751" xr:uid="{5684E504-BE3A-42C2-B37B-5AF3F75685E7}"/>
    <cellStyle name="Comma [0] 2 5 3 3 4" xfId="43675" xr:uid="{F799E1CB-ADC9-42D1-81D7-65EA91ECA490}"/>
    <cellStyle name="Comma [0] 2 5 3 3 5" xfId="48568" xr:uid="{4D0CC08D-D982-4675-B1FA-7885CA7EB900}"/>
    <cellStyle name="Comma [0] 2 5 3 4" xfId="3184" xr:uid="{7B7B1053-25AC-4B2F-B347-8ED2499E3139}"/>
    <cellStyle name="Comma [0] 2 5 3 4 2" xfId="11455" xr:uid="{4B15BB35-E1EC-4689-81BF-2841DD1F9668}"/>
    <cellStyle name="Comma [0] 2 5 3 4 2 2" xfId="46615" xr:uid="{E2B0A467-E838-4616-A109-8A4BBF619DD3}"/>
    <cellStyle name="Comma [0] 2 5 3 4 3" xfId="14295" xr:uid="{2DD08EB1-9CAE-4FF3-8F7E-6531814978F0}"/>
    <cellStyle name="Comma [0] 2 5 3 4 4" xfId="44219" xr:uid="{D082C7BF-78EA-4DA0-8C81-0919A3776F65}"/>
    <cellStyle name="Comma [0] 2 5 3 4 5" xfId="49112" xr:uid="{EFCEAB5E-CAF4-497B-9B0B-3004BC78D8DB}"/>
    <cellStyle name="Comma [0] 2 5 3 5" xfId="3686" xr:uid="{D774B756-3F9C-4B80-967E-D5140B1CBF8F}"/>
    <cellStyle name="Comma [0] 2 5 3 5 2" xfId="11927" xr:uid="{022D9ED0-F062-4DB4-AA86-586B6ADC9B7E}"/>
    <cellStyle name="Comma [0] 2 5 3 5 3" xfId="14767" xr:uid="{40D29B41-96A3-43BF-953A-A48F79D0EE2B}"/>
    <cellStyle name="Comma [0] 2 5 3 5 4" xfId="44691" xr:uid="{80C3C510-407A-4815-A3ED-A0FDBD41E6C7}"/>
    <cellStyle name="Comma [0] 2 5 3 5 5" xfId="49584" xr:uid="{B3A9A580-A29D-4440-8F2B-841F93B48B46}"/>
    <cellStyle name="Comma [0] 2 5 3 6" xfId="9949" xr:uid="{B4D6A0E2-E3C4-4871-9EFD-55AA115BA67B}"/>
    <cellStyle name="Comma [0] 2 5 3 6 2" xfId="45109" xr:uid="{4B7165E3-B36E-4936-A595-30D00799887D}"/>
    <cellStyle name="Comma [0] 2 5 3 7" xfId="12789" xr:uid="{792F8267-E31E-47F0-847B-17CBD65A8B45}"/>
    <cellStyle name="Comma [0] 2 5 3 8" xfId="16132" xr:uid="{49F2E589-B690-4BCE-B35D-0583AA8E47B7}"/>
    <cellStyle name="Comma [0] 2 5 3 9" xfId="16675" xr:uid="{8FD50527-0E32-4B7F-BE02-E4C5F466666F}"/>
    <cellStyle name="Comma [0] 2 5 4" xfId="608" xr:uid="{00000000-0005-0000-0000-000057000000}"/>
    <cellStyle name="Comma [0] 2 5 4 10" xfId="47808" xr:uid="{E5D70A9D-D6E4-4C22-92C3-DC9CB0DEB73C}"/>
    <cellStyle name="Comma [0] 2 5 4 2" xfId="2842" xr:uid="{C2DC95F7-9530-4155-B98D-697F3E4CDB33}"/>
    <cellStyle name="Comma [0] 2 5 4 2 2" xfId="11113" xr:uid="{15561750-4B75-43B3-8410-F1D5DA1623E5}"/>
    <cellStyle name="Comma [0] 2 5 4 2 2 2" xfId="46273" xr:uid="{50A64203-20B1-414E-9234-F6859F866355}"/>
    <cellStyle name="Comma [0] 2 5 4 2 3" xfId="13953" xr:uid="{0C09F8F4-2F1C-4204-9B7B-22596FE2BF72}"/>
    <cellStyle name="Comma [0] 2 5 4 2 4" xfId="43877" xr:uid="{7D9C63CF-7447-4FBB-9E99-E1EDBD636045}"/>
    <cellStyle name="Comma [0] 2 5 4 2 5" xfId="48770" xr:uid="{E8DE08D9-7262-4DDC-B6DF-6CD115E6B0AE}"/>
    <cellStyle name="Comma [0] 2 5 4 3" xfId="10151" xr:uid="{CDD1F5B9-089D-4A7B-B606-5B0115AB922E}"/>
    <cellStyle name="Comma [0] 2 5 4 3 2" xfId="45311" xr:uid="{5A372A74-2F70-4B52-9C2C-83338227CCF7}"/>
    <cellStyle name="Comma [0] 2 5 4 4" xfId="12991" xr:uid="{412D456F-15A4-4C51-B3A1-89AF8F186AFA}"/>
    <cellStyle name="Comma [0] 2 5 4 5" xfId="16334" xr:uid="{6B7DD6A6-968E-431D-BF97-FC54FA94660E}"/>
    <cellStyle name="Comma [0] 2 5 4 6" xfId="16877" xr:uid="{9B889340-0F8D-49BB-9911-AF602912DFF9}"/>
    <cellStyle name="Comma [0] 2 5 4 7" xfId="17421" xr:uid="{FF840D4A-D0F3-443F-B85E-BC4BDECD77C2}"/>
    <cellStyle name="Comma [0] 2 5 4 8" xfId="17534" xr:uid="{7F5056B0-98A5-4794-B1C6-6CDA13B5591F}"/>
    <cellStyle name="Comma [0] 2 5 4 9" xfId="42915" xr:uid="{E84E9E81-1BD7-4146-B256-EAB08D55B44E}"/>
    <cellStyle name="Comma [0] 2 5 5" xfId="2006" xr:uid="{3AC138C6-14E9-47E0-BDCE-305D18B9FF0C}"/>
    <cellStyle name="Comma [0] 2 5 5 2" xfId="10277" xr:uid="{30BBD9C1-1531-444D-93AF-BEEB9163A279}"/>
    <cellStyle name="Comma [0] 2 5 5 2 2" xfId="45437" xr:uid="{A71C8165-F3B0-4AD8-A407-6E41CA33DEE3}"/>
    <cellStyle name="Comma [0] 2 5 5 3" xfId="13117" xr:uid="{BEB8BD98-6811-481F-AD37-B832B8CB7382}"/>
    <cellStyle name="Comma [0] 2 5 5 4" xfId="43041" xr:uid="{D1973590-162C-432B-8449-7F921E08F255}"/>
    <cellStyle name="Comma [0] 2 5 5 5" xfId="47934" xr:uid="{94C7949A-B102-4CDE-A929-8ED316CE7D51}"/>
    <cellStyle name="Comma [0] 2 5 6" xfId="2424" xr:uid="{4F56E39F-6714-4D26-B5D2-61772B5AA3A5}"/>
    <cellStyle name="Comma [0] 2 5 6 2" xfId="10695" xr:uid="{945D7BD0-DAD3-4300-B6FD-40924E76D2D7}"/>
    <cellStyle name="Comma [0] 2 5 6 2 2" xfId="45855" xr:uid="{432F362A-4C0D-416F-A5D9-D3C472F3B925}"/>
    <cellStyle name="Comma [0] 2 5 6 3" xfId="13535" xr:uid="{74997540-6CAA-4132-9736-A49833476F2B}"/>
    <cellStyle name="Comma [0] 2 5 6 4" xfId="43459" xr:uid="{D67E3FF4-1616-4BC2-94B7-F95AD313D0F3}"/>
    <cellStyle name="Comma [0] 2 5 6 5" xfId="48352" xr:uid="{4877281D-DCA5-4D5E-962E-315234AD566B}"/>
    <cellStyle name="Comma [0] 2 5 7" xfId="2968" xr:uid="{FF3AAC98-BB80-43D9-A0B5-192FB3E542F1}"/>
    <cellStyle name="Comma [0] 2 5 7 2" xfId="11239" xr:uid="{A813D753-2787-4C1A-82AB-57E731BD04BA}"/>
    <cellStyle name="Comma [0] 2 5 7 2 2" xfId="46399" xr:uid="{230A677F-ADE3-426B-B669-0AF3989FAC3F}"/>
    <cellStyle name="Comma [0] 2 5 7 3" xfId="14079" xr:uid="{537E21E5-07F0-46AE-BDCE-A9D141EC2F4F}"/>
    <cellStyle name="Comma [0] 2 5 7 4" xfId="44003" xr:uid="{691F052C-97C5-4F20-A174-FBA508691DA3}"/>
    <cellStyle name="Comma [0] 2 5 7 5" xfId="48896" xr:uid="{10121ECF-0420-4F4A-9E40-66D6846DCD49}"/>
    <cellStyle name="Comma [0] 2 5 8" xfId="3470" xr:uid="{78B58C1D-A88D-4759-9652-9BE05E04D2A6}"/>
    <cellStyle name="Comma [0] 2 5 8 2" xfId="11711" xr:uid="{5E40CA60-4D90-46E6-B56E-A8970767720B}"/>
    <cellStyle name="Comma [0] 2 5 8 3" xfId="14551" xr:uid="{FEB8A75A-AFCB-407E-97BB-3CC39CEA2E5F}"/>
    <cellStyle name="Comma [0] 2 5 8 4" xfId="44475" xr:uid="{D1FC8CA6-66A2-41D8-BBDB-CF12689228CC}"/>
    <cellStyle name="Comma [0] 2 5 8 5" xfId="49368" xr:uid="{518FE81B-EE98-423C-BCD8-6DD76DBD3A8B}"/>
    <cellStyle name="Comma [0] 2 5 9" xfId="9733" xr:uid="{95DA3DDE-5789-433E-B786-282AEA2F1779}"/>
    <cellStyle name="Comma [0] 2 5 9 2" xfId="44893" xr:uid="{0DC03CCA-9090-4017-84FB-73770EE68033}"/>
    <cellStyle name="Comma [0] 2 6" xfId="219" xr:uid="{00000000-0005-0000-0000-000058000000}"/>
    <cellStyle name="Comma [0] 2 6 10" xfId="16503" xr:uid="{FFE0DF42-88FD-4A66-B79A-82FAB37E47EA}"/>
    <cellStyle name="Comma [0] 2 6 11" xfId="17047" xr:uid="{6984141A-06FB-412A-82F3-97A306EBE5AF}"/>
    <cellStyle name="Comma [0] 2 6 12" xfId="17659" xr:uid="{EE24AA6B-375F-495C-8F0A-276A4A3671C0}"/>
    <cellStyle name="Comma [0] 2 6 13" xfId="42541" xr:uid="{CA9800ED-AD58-4526-93B5-A99BC991915E}"/>
    <cellStyle name="Comma [0] 2 6 14" xfId="47434" xr:uid="{356C508C-C98A-4E19-AE3A-BF0697329A22}"/>
    <cellStyle name="Comma [0] 2 6 2" xfId="446" xr:uid="{00000000-0005-0000-0000-000059000000}"/>
    <cellStyle name="Comma [0] 2 6 2 10" xfId="17259" xr:uid="{EB9C6FE8-BF39-41AE-9FE0-4F0B378985CE}"/>
    <cellStyle name="Comma [0] 2 6 2 11" xfId="17965" xr:uid="{E07CAE20-AE32-4E9A-933B-517F5F63B9B2}"/>
    <cellStyle name="Comma [0] 2 6 2 12" xfId="42753" xr:uid="{B2D76FB9-AC3B-437A-90D8-A2552E82EAE8}"/>
    <cellStyle name="Comma [0] 2 6 2 13" xfId="47646" xr:uid="{77BC7F27-B085-4A9F-8C43-37B3AC138970}"/>
    <cellStyle name="Comma [0] 2 6 2 2" xfId="2262" xr:uid="{143ED465-C3C5-43AB-BCF1-6075802F594B}"/>
    <cellStyle name="Comma [0] 2 6 2 2 2" xfId="10533" xr:uid="{7B5E26F0-81EE-4639-B1DE-C89EB19C6C01}"/>
    <cellStyle name="Comma [0] 2 6 2 2 2 2" xfId="45693" xr:uid="{764245B6-943E-4AA9-977A-89FD6949E5E7}"/>
    <cellStyle name="Comma [0] 2 6 2 2 3" xfId="13373" xr:uid="{A0521241-7174-4999-97B5-A6FFD49A6996}"/>
    <cellStyle name="Comma [0] 2 6 2 2 4" xfId="43297" xr:uid="{E2712D58-1930-4EB3-8616-4A874A0DCEA5}"/>
    <cellStyle name="Comma [0] 2 6 2 2 5" xfId="48190" xr:uid="{110A56A9-CB8C-427F-950A-29B215483603}"/>
    <cellStyle name="Comma [0] 2 6 2 3" xfId="2680" xr:uid="{6E49BA82-2462-4DE1-BAA1-FD535F41DD78}"/>
    <cellStyle name="Comma [0] 2 6 2 3 2" xfId="10951" xr:uid="{DA008BD5-523F-49A8-AA8D-D44A199EC315}"/>
    <cellStyle name="Comma [0] 2 6 2 3 2 2" xfId="46111" xr:uid="{3FAD49E6-78F2-448A-9BEF-6EB982212C95}"/>
    <cellStyle name="Comma [0] 2 6 2 3 3" xfId="13791" xr:uid="{3A0B63B3-8DA4-4324-92EE-19A6A2962DA8}"/>
    <cellStyle name="Comma [0] 2 6 2 3 4" xfId="43715" xr:uid="{105E3226-6894-4550-926A-C0C22AB245EB}"/>
    <cellStyle name="Comma [0] 2 6 2 3 5" xfId="48608" xr:uid="{61BE6EAD-E5F1-4805-895E-A5FDBE325C97}"/>
    <cellStyle name="Comma [0] 2 6 2 4" xfId="3224" xr:uid="{A03F9FDE-A966-46B8-81DF-0300A17C2E77}"/>
    <cellStyle name="Comma [0] 2 6 2 4 2" xfId="11495" xr:uid="{D469372B-EDDD-479F-8DB0-E93B59467DBB}"/>
    <cellStyle name="Comma [0] 2 6 2 4 2 2" xfId="46655" xr:uid="{8203F145-C840-41CE-960C-EBC7DCC3AAE0}"/>
    <cellStyle name="Comma [0] 2 6 2 4 3" xfId="14335" xr:uid="{95A39388-4836-4B07-AAD0-86E73F42E4CA}"/>
    <cellStyle name="Comma [0] 2 6 2 4 4" xfId="44259" xr:uid="{9BDFD390-1ECE-477A-9136-1EB48C9EA4C0}"/>
    <cellStyle name="Comma [0] 2 6 2 4 5" xfId="49152" xr:uid="{C838C368-3514-48D9-AD4A-C8A534C4F9F8}"/>
    <cellStyle name="Comma [0] 2 6 2 5" xfId="3726" xr:uid="{6A335053-65AD-4578-806C-8C92AA3E6669}"/>
    <cellStyle name="Comma [0] 2 6 2 5 2" xfId="11967" xr:uid="{9C9D84F3-8A39-4552-8F98-32F1D2C91B81}"/>
    <cellStyle name="Comma [0] 2 6 2 5 3" xfId="14807" xr:uid="{6EA95D02-047E-4880-AD14-2E94BF614389}"/>
    <cellStyle name="Comma [0] 2 6 2 5 4" xfId="44731" xr:uid="{7124B114-B8D3-4C9B-96F7-A765FE69E538}"/>
    <cellStyle name="Comma [0] 2 6 2 5 5" xfId="49624" xr:uid="{C227D620-3CC4-4117-BFFC-9CA7447D1629}"/>
    <cellStyle name="Comma [0] 2 6 2 6" xfId="9989" xr:uid="{B5803CB2-AE57-45A5-A155-7EC5753E3873}"/>
    <cellStyle name="Comma [0] 2 6 2 6 2" xfId="45149" xr:uid="{6A8ACAED-B555-4A9D-95DB-6B04E7E3EA9E}"/>
    <cellStyle name="Comma [0] 2 6 2 7" xfId="12829" xr:uid="{D70C6BD8-E8A6-46AE-8BF2-F5938DA58381}"/>
    <cellStyle name="Comma [0] 2 6 2 8" xfId="16172" xr:uid="{69FAFEE7-E7E9-4096-AF1A-6E1C4A7E4B0A}"/>
    <cellStyle name="Comma [0] 2 6 2 9" xfId="16715" xr:uid="{C0ABE548-2C53-4604-93EF-0BD712B531BD}"/>
    <cellStyle name="Comma [0] 2 6 3" xfId="2050" xr:uid="{EAE12D9B-4FEA-400D-8998-290EC50E04F7}"/>
    <cellStyle name="Comma [0] 2 6 3 2" xfId="10321" xr:uid="{3E4AFA86-EF12-464B-BF72-682BB636C0A6}"/>
    <cellStyle name="Comma [0] 2 6 3 2 2" xfId="45481" xr:uid="{BDA51664-C5E8-4FD6-9202-B8FDB5ADFB93}"/>
    <cellStyle name="Comma [0] 2 6 3 3" xfId="13161" xr:uid="{19D66278-D54F-48DF-AC74-EFB23FED7525}"/>
    <cellStyle name="Comma [0] 2 6 3 4" xfId="43085" xr:uid="{ED936639-0731-49C7-A3D3-FA4262DCD5A1}"/>
    <cellStyle name="Comma [0] 2 6 3 5" xfId="47978" xr:uid="{2EBC1365-3FFB-4645-906A-F5BA9D23FB9A}"/>
    <cellStyle name="Comma [0] 2 6 4" xfId="2468" xr:uid="{6D989377-5F97-4548-97AA-5876EC83C3B3}"/>
    <cellStyle name="Comma [0] 2 6 4 2" xfId="10739" xr:uid="{4C24968A-D704-4C18-BD7C-C10597BED052}"/>
    <cellStyle name="Comma [0] 2 6 4 2 2" xfId="45899" xr:uid="{F11460E3-BFC0-4F27-8FF0-7AE63632D695}"/>
    <cellStyle name="Comma [0] 2 6 4 3" xfId="13579" xr:uid="{C6A1E329-5B0F-4AD2-801C-467B0690C83C}"/>
    <cellStyle name="Comma [0] 2 6 4 4" xfId="43503" xr:uid="{6248E280-8D61-4DF9-B042-AA2F13CEAB63}"/>
    <cellStyle name="Comma [0] 2 6 4 5" xfId="48396" xr:uid="{31587A7C-8AD9-488D-9EB7-76AD22A2790A}"/>
    <cellStyle name="Comma [0] 2 6 5" xfId="3012" xr:uid="{C7C8DE38-4E49-4C03-BACD-AED4AB737044}"/>
    <cellStyle name="Comma [0] 2 6 5 2" xfId="11283" xr:uid="{F17ACC52-5059-495D-A939-BF77A7E84B7F}"/>
    <cellStyle name="Comma [0] 2 6 5 2 2" xfId="46443" xr:uid="{786B2D2B-8195-493E-AA39-1677908CE683}"/>
    <cellStyle name="Comma [0] 2 6 5 3" xfId="14123" xr:uid="{FD486192-4F98-4434-B842-3D7FDEC4588E}"/>
    <cellStyle name="Comma [0] 2 6 5 4" xfId="44047" xr:uid="{7360BAC2-EA71-4E68-9FC5-3C87C6E294E1}"/>
    <cellStyle name="Comma [0] 2 6 5 5" xfId="48940" xr:uid="{4BA1DE85-2D1B-4EDA-A941-E291EFB698FF}"/>
    <cellStyle name="Comma [0] 2 6 6" xfId="3514" xr:uid="{235C8FD3-F2DE-4F67-87C2-3052425DCE19}"/>
    <cellStyle name="Comma [0] 2 6 6 2" xfId="11755" xr:uid="{CDD5506E-B39C-4CB2-BC04-2A0BECCB5EA7}"/>
    <cellStyle name="Comma [0] 2 6 6 3" xfId="14595" xr:uid="{8CDF45BF-5E16-4A46-8845-2FCEC3C72B28}"/>
    <cellStyle name="Comma [0] 2 6 6 4" xfId="44519" xr:uid="{E9839C37-A77C-4FD7-BC5A-1E8E7FC9CBEE}"/>
    <cellStyle name="Comma [0] 2 6 6 5" xfId="49412" xr:uid="{96DEAD2C-13B3-4DA6-BA86-EA9D3FBEFCE8}"/>
    <cellStyle name="Comma [0] 2 6 7" xfId="9777" xr:uid="{476152A4-7B1A-4854-82C8-DBF6885E31D3}"/>
    <cellStyle name="Comma [0] 2 6 7 2" xfId="44937" xr:uid="{B73AF604-8036-4803-B36B-F626655D2FE4}"/>
    <cellStyle name="Comma [0] 2 6 8" xfId="12617" xr:uid="{E4D09525-09E0-4F5C-9F13-8C568AD2C173}"/>
    <cellStyle name="Comma [0] 2 6 9" xfId="15960" xr:uid="{B4B6FF69-DCE0-4781-8B25-E08F0FE8B92E}"/>
    <cellStyle name="Comma [0] 2 7" xfId="344" xr:uid="{00000000-0005-0000-0000-00005A000000}"/>
    <cellStyle name="Comma [0] 2 7 10" xfId="17159" xr:uid="{43DC304B-85CF-47C1-A376-6BC8FDB33C15}"/>
    <cellStyle name="Comma [0] 2 7 11" xfId="17824" xr:uid="{37077475-1535-4B22-A56B-A1BE483B44F7}"/>
    <cellStyle name="Comma [0] 2 7 12" xfId="42653" xr:uid="{2D71C802-D67C-45DD-A902-66FBE9E42B1B}"/>
    <cellStyle name="Comma [0] 2 7 13" xfId="47546" xr:uid="{18C55191-C7F3-48F4-80E1-484713307569}"/>
    <cellStyle name="Comma [0] 2 7 2" xfId="2162" xr:uid="{4EBF230D-BAD9-47D8-BDC8-D0C7278CF006}"/>
    <cellStyle name="Comma [0] 2 7 2 2" xfId="10433" xr:uid="{2792C649-2D5A-499D-B82A-A8E0B4DB1724}"/>
    <cellStyle name="Comma [0] 2 7 2 2 2" xfId="45593" xr:uid="{D940FA8A-078D-4821-8F9B-35DC36CB7AE9}"/>
    <cellStyle name="Comma [0] 2 7 2 3" xfId="13273" xr:uid="{76097E98-EB3C-463B-AAAA-947A7390CCC3}"/>
    <cellStyle name="Comma [0] 2 7 2 4" xfId="43197" xr:uid="{F839D920-EE51-4BF1-A876-AF9C74B2B50B}"/>
    <cellStyle name="Comma [0] 2 7 2 5" xfId="48090" xr:uid="{191092FC-3BD9-4BD0-8EF9-F391E2B236EE}"/>
    <cellStyle name="Comma [0] 2 7 3" xfId="2580" xr:uid="{D2E402CC-4F7A-4A26-A442-772748E5CC61}"/>
    <cellStyle name="Comma [0] 2 7 3 2" xfId="10851" xr:uid="{8C078D9E-4C58-4D1C-98A8-8ECFDDEA2C90}"/>
    <cellStyle name="Comma [0] 2 7 3 2 2" xfId="46011" xr:uid="{AC89F5F5-8516-42D8-AE82-17CC0E3B9171}"/>
    <cellStyle name="Comma [0] 2 7 3 3" xfId="13691" xr:uid="{CBB19094-8789-4DEC-AAB4-8F2BCC9CCD86}"/>
    <cellStyle name="Comma [0] 2 7 3 4" xfId="43615" xr:uid="{CE2DEF31-9F46-4917-90BC-0B66AA870464}"/>
    <cellStyle name="Comma [0] 2 7 3 5" xfId="48508" xr:uid="{02092AFE-9652-4AB4-865E-3C25B5C64F93}"/>
    <cellStyle name="Comma [0] 2 7 4" xfId="3124" xr:uid="{2696FBDF-4D84-42FA-AA79-198069D86D76}"/>
    <cellStyle name="Comma [0] 2 7 4 2" xfId="11395" xr:uid="{D6E95CE8-BB35-471C-9E9D-56176E2E4EC9}"/>
    <cellStyle name="Comma [0] 2 7 4 2 2" xfId="46555" xr:uid="{C23D1541-A920-4702-8764-6A731691603A}"/>
    <cellStyle name="Comma [0] 2 7 4 3" xfId="14235" xr:uid="{C0C0EEBB-3B79-4F7F-8030-C18998C10662}"/>
    <cellStyle name="Comma [0] 2 7 4 4" xfId="44159" xr:uid="{45507874-23C6-4FCA-84B3-7E5FDE4A8CAA}"/>
    <cellStyle name="Comma [0] 2 7 4 5" xfId="49052" xr:uid="{55532E06-19C3-49BC-B9DD-6C2A32CC7E4B}"/>
    <cellStyle name="Comma [0] 2 7 5" xfId="3626" xr:uid="{F18F90AB-7419-414B-87D1-B5627551E9E3}"/>
    <cellStyle name="Comma [0] 2 7 5 2" xfId="11867" xr:uid="{4990DB20-4B76-461D-955F-86F57B99D878}"/>
    <cellStyle name="Comma [0] 2 7 5 3" xfId="14707" xr:uid="{769D1344-06CB-493A-93F7-6EE6C852DF2C}"/>
    <cellStyle name="Comma [0] 2 7 5 4" xfId="44631" xr:uid="{FF45D0F6-FD16-4AD6-977B-961E07239974}"/>
    <cellStyle name="Comma [0] 2 7 5 5" xfId="49524" xr:uid="{6CB038E8-3A8E-465A-BEDA-63344AA975CD}"/>
    <cellStyle name="Comma [0] 2 7 6" xfId="9889" xr:uid="{8AABF24A-241F-442B-8F6E-734C59956C13}"/>
    <cellStyle name="Comma [0] 2 7 6 2" xfId="45049" xr:uid="{5F5C0766-AA0F-49B7-88E3-61A28A956A54}"/>
    <cellStyle name="Comma [0] 2 7 7" xfId="12729" xr:uid="{4A6F629B-581B-44C4-9D5A-D7B7D64B2B09}"/>
    <cellStyle name="Comma [0] 2 7 8" xfId="16072" xr:uid="{472D9280-AA1D-4B9F-B4BC-FF0ECC130B8F}"/>
    <cellStyle name="Comma [0] 2 7 9" xfId="16615" xr:uid="{A9ECA0AF-682C-486F-A936-563992645D1C}"/>
    <cellStyle name="Comma [0] 2 8" xfId="548" xr:uid="{00000000-0005-0000-0000-00005B000000}"/>
    <cellStyle name="Comma [0] 2 8 10" xfId="47748" xr:uid="{0FE17D3E-65C7-41C0-A692-FEEC18DB7E9F}"/>
    <cellStyle name="Comma [0] 2 8 2" xfId="2782" xr:uid="{01FE3BB4-C0AE-4FDE-AA5D-E52D466716F1}"/>
    <cellStyle name="Comma [0] 2 8 2 2" xfId="11053" xr:uid="{E335C46A-3701-4496-A91C-A5A74DC66B22}"/>
    <cellStyle name="Comma [0] 2 8 2 2 2" xfId="46213" xr:uid="{34D2E62F-7850-40B5-94BC-4936DE1B44D5}"/>
    <cellStyle name="Comma [0] 2 8 2 3" xfId="13893" xr:uid="{C74D55F9-C112-42C9-9DB8-38936DDF7B37}"/>
    <cellStyle name="Comma [0] 2 8 2 4" xfId="43817" xr:uid="{F46D5A8D-6EED-4747-829A-82A26BB09D5B}"/>
    <cellStyle name="Comma [0] 2 8 2 5" xfId="48710" xr:uid="{BCA8308F-6139-4C68-9C8D-B367BBCF3F02}"/>
    <cellStyle name="Comma [0] 2 8 3" xfId="10091" xr:uid="{9E3362C8-F2E4-46A0-B4C1-E61EEEBD7AB3}"/>
    <cellStyle name="Comma [0] 2 8 3 2" xfId="45251" xr:uid="{2A0C6F8F-B35D-4E50-BE48-2915BE84D687}"/>
    <cellStyle name="Comma [0] 2 8 4" xfId="12931" xr:uid="{42DB12F8-6ECB-4037-9368-C4B2ECE7E625}"/>
    <cellStyle name="Comma [0] 2 8 5" xfId="16274" xr:uid="{56048AF7-F9D1-4954-BBF8-48E1CA12CB6A}"/>
    <cellStyle name="Comma [0] 2 8 6" xfId="16817" xr:uid="{C0437DF3-74DD-4912-869D-41180DA4772A}"/>
    <cellStyle name="Comma [0] 2 8 7" xfId="17361" xr:uid="{46AFE9E3-AD02-4EF6-B5F0-F5E9EB64C2E5}"/>
    <cellStyle name="Comma [0] 2 8 8" xfId="17493" xr:uid="{AED64062-7FC4-4CD5-B3EE-56A5EC3CC68A}"/>
    <cellStyle name="Comma [0] 2 8 9" xfId="42855" xr:uid="{4B985BF5-D723-40AB-A2F5-C6FD84637CEC}"/>
    <cellStyle name="Comma [0] 2 9" xfId="1946" xr:uid="{B0D9588C-64AE-46E4-A29D-598BB1F09FED}"/>
    <cellStyle name="Comma [0] 2 9 2" xfId="10217" xr:uid="{C320E1BE-91A6-411B-8F99-A1937A6A129C}"/>
    <cellStyle name="Comma [0] 2 9 2 2" xfId="45377" xr:uid="{3353C1F9-AF10-438B-852C-387BB838C332}"/>
    <cellStyle name="Comma [0] 2 9 3" xfId="13057" xr:uid="{BA822417-8A0B-4338-AD09-5BE32AFE4C8C}"/>
    <cellStyle name="Comma [0] 2 9 4" xfId="42981" xr:uid="{81161D17-F59E-4D5E-BDDD-15372ECA24DA}"/>
    <cellStyle name="Comma [0] 2 9 5" xfId="47874" xr:uid="{D0A66E5B-6AD3-4520-98F5-A51D3366F067}"/>
    <cellStyle name="Comma 13" xfId="3379" xr:uid="{DDB99EC7-20F8-4C47-88AD-99FA57854A0C}"/>
    <cellStyle name="Comma 13 2" xfId="9663" xr:uid="{A789E234-CE37-4796-9787-01D7A0B21443}"/>
    <cellStyle name="Comma 13 2 2" xfId="12503" xr:uid="{D011FD10-FBD2-4898-8F90-2D959F8BE69A}"/>
    <cellStyle name="Comma 13 2 2 2" xfId="47278" xr:uid="{FE4B2281-006C-4BE7-95C2-800DA41A4BF9}"/>
    <cellStyle name="Comma 13 2 2 3" xfId="47146" xr:uid="{19635523-F1A8-48FE-BC49-6107029EA33B}"/>
    <cellStyle name="Comma 13 2 2 4" xfId="50379" xr:uid="{02EA7282-9098-4A2A-B39A-C196AF5FC444}"/>
    <cellStyle name="Comma 13 2 3" xfId="15344" xr:uid="{02149640-6998-4370-ACB6-A1AEC75B321B}"/>
    <cellStyle name="Comma 13 2 4" xfId="42055" xr:uid="{A9E6FFD1-0FAA-4AFB-9D99-903E2BAAAC8B}"/>
    <cellStyle name="Comma 13 2 5" xfId="46787" xr:uid="{2B74729E-19E6-4910-9F4E-42E1C71AE700}"/>
    <cellStyle name="Comma 13 2 6" xfId="50160" xr:uid="{CCE4E53F-EAF1-4DB1-8CF2-FB2B8C854396}"/>
    <cellStyle name="Comma 13 2 7" xfId="50233" xr:uid="{7DABC26B-2EC9-4183-8618-149B18BD1C8D}"/>
    <cellStyle name="Comma 13 2 8" xfId="50307" xr:uid="{459E6106-CD42-4965-941C-D5D1DEF8A150}"/>
    <cellStyle name="Comma 13 3" xfId="11627" xr:uid="{05B8FB22-82D3-4857-9B79-D2C8A583FD4A}"/>
    <cellStyle name="Comma 13 3 2" xfId="47263" xr:uid="{88C47AB5-4C54-4899-9554-EB69FE4D38BD}"/>
    <cellStyle name="Comma 13 3 3" xfId="47125" xr:uid="{93939968-CB9A-4EBB-89A2-01DBB04F6895}"/>
    <cellStyle name="Comma 13 3 4" xfId="50341" xr:uid="{D52B9234-3ED3-498E-B102-7689DC982BEC}"/>
    <cellStyle name="Comma 13 4" xfId="14467" xr:uid="{E6B32B4B-14BE-4FEE-85A1-1965C6B45DFD}"/>
    <cellStyle name="Comma 13 4 2" xfId="47243" xr:uid="{F2728995-2101-4088-B717-D7F486120B94}"/>
    <cellStyle name="Comma 13 5" xfId="42056" xr:uid="{CBA158C7-A3C3-4EAC-8520-407ED389F76E}"/>
    <cellStyle name="Comma 13 6" xfId="44391" xr:uid="{4E544DFD-7D01-460D-B6F8-4A6CB13C7985}"/>
    <cellStyle name="Comma 13 7" xfId="49284" xr:uid="{BE4F884D-C5ED-41F2-B91C-F73933868627}"/>
    <cellStyle name="Comma 13 8" xfId="50195" xr:uid="{45746B0F-7329-424B-8EF7-C1903B630023}"/>
    <cellStyle name="Comma 13 9" xfId="50269" xr:uid="{AACB38FF-498D-4887-B365-A54F3804B468}"/>
    <cellStyle name="Comma 2" xfId="50" xr:uid="{00000000-0005-0000-0000-00005C000000}"/>
    <cellStyle name="Comma 2 10" xfId="42057" xr:uid="{C9B422B8-0B60-4A10-A159-A2F0B755F1ED}"/>
    <cellStyle name="Comma 2 10 2" xfId="46809" xr:uid="{3177D002-9152-4B94-A886-75AE3AD4BCBA}"/>
    <cellStyle name="Comma 2 10 3" xfId="47017" xr:uid="{CACC9F83-0095-43C7-AE74-455F43CBC0B8}"/>
    <cellStyle name="Comma 2 11" xfId="47091" xr:uid="{D49A9856-A9F9-4AF5-9C35-2BC5EFF45F6A}"/>
    <cellStyle name="Comma 2 11 2" xfId="47239" xr:uid="{3829EB1C-AD1B-4803-BE17-5C800020A685}"/>
    <cellStyle name="Comma 2 12" xfId="47097" xr:uid="{479D1B9F-E975-4F5D-9AF8-A6645471C4BE}"/>
    <cellStyle name="Comma 2 13" xfId="50176" xr:uid="{8CE77582-A872-4832-BD38-9B2A687C93A3}"/>
    <cellStyle name="Comma 2 14" xfId="50250" xr:uid="{109F5E0C-D482-4460-9059-58A39932D0C4}"/>
    <cellStyle name="Comma 2 2" xfId="81" xr:uid="{00000000-0005-0000-0000-00005D000000}"/>
    <cellStyle name="Comma 2 2 10" xfId="1950" xr:uid="{9546ABB4-0585-4F82-AEBD-D6E9BD812444}"/>
    <cellStyle name="Comma 2 2 10 2" xfId="10221" xr:uid="{9BC5333B-9B66-4E54-8929-9379EF866E5B}"/>
    <cellStyle name="Comma 2 2 10 2 2" xfId="45381" xr:uid="{FA36A818-8DED-4896-867F-30EDB7CCFE8A}"/>
    <cellStyle name="Comma 2 2 10 3" xfId="13061" xr:uid="{3A959E9C-9300-4793-B540-CDD3D3A5C3A0}"/>
    <cellStyle name="Comma 2 2 10 4" xfId="42985" xr:uid="{FEE0B1EE-DD08-4935-8956-305BD4D05D50}"/>
    <cellStyle name="Comma 2 2 10 5" xfId="47878" xr:uid="{88CA5785-332F-473B-A73C-C4C046DD5713}"/>
    <cellStyle name="Comma 2 2 11" xfId="2368" xr:uid="{7E73F22A-EF37-4168-8538-FDCF6EADB8CE}"/>
    <cellStyle name="Comma 2 2 11 2" xfId="10639" xr:uid="{CDD66C88-4473-4433-9AFC-BFB0E62AD287}"/>
    <cellStyle name="Comma 2 2 11 2 2" xfId="45799" xr:uid="{8E0C7636-E9D2-481B-A2D1-F53539826640}"/>
    <cellStyle name="Comma 2 2 11 3" xfId="13479" xr:uid="{30D0D5DE-B903-4ACA-9946-D2BA6E9331EE}"/>
    <cellStyle name="Comma 2 2 11 4" xfId="43403" xr:uid="{2AC04542-796A-48FB-9A44-0FCBCE6DF0F9}"/>
    <cellStyle name="Comma 2 2 11 5" xfId="48296" xr:uid="{C3F2D8B4-8C04-4DCF-83B1-BA94B9939551}"/>
    <cellStyle name="Comma 2 2 12" xfId="2912" xr:uid="{1E069690-98B6-4DD3-8EB5-C064DBF7EE45}"/>
    <cellStyle name="Comma 2 2 12 2" xfId="11183" xr:uid="{BA9284FF-7EB3-4FC3-B195-B9EB84BF9F99}"/>
    <cellStyle name="Comma 2 2 12 2 2" xfId="46343" xr:uid="{9DC9E43A-4591-4836-BDDD-35A3EFB5EF36}"/>
    <cellStyle name="Comma 2 2 12 3" xfId="14023" xr:uid="{37B4AE25-2DB6-420B-9A96-2A9F9A4E456E}"/>
    <cellStyle name="Comma 2 2 12 4" xfId="43947" xr:uid="{1A0349D3-47C4-4117-AB40-579ED07BB7F1}"/>
    <cellStyle name="Comma 2 2 12 5" xfId="48840" xr:uid="{D861B4B4-5E67-44F3-B9BB-1611E0AF7A14}"/>
    <cellStyle name="Comma 2 2 13" xfId="3361" xr:uid="{568E9450-D60D-4C51-A96F-905EB5AEE136}"/>
    <cellStyle name="Comma 2 2 13 2" xfId="11612" xr:uid="{D8CA2C11-AD2B-43ED-A104-C37A9C49B259}"/>
    <cellStyle name="Comma 2 2 13 2 2" xfId="46772" xr:uid="{81222152-3541-4B33-816C-34A8DFE81A68}"/>
    <cellStyle name="Comma 2 2 13 3" xfId="14452" xr:uid="{55B37BAF-EA48-4BEF-A48A-C4040E93F8C0}"/>
    <cellStyle name="Comma 2 2 13 4" xfId="44376" xr:uid="{AB0265CA-A5F0-4253-AEDB-380B68806AD8}"/>
    <cellStyle name="Comma 2 2 13 5" xfId="49269" xr:uid="{8972C7E0-7961-44C7-A214-68FFA0A2C2B3}"/>
    <cellStyle name="Comma 2 2 14" xfId="3414" xr:uid="{F0D29307-B1BF-4160-B400-38EF00DB8EE4}"/>
    <cellStyle name="Comma 2 2 14 2" xfId="11655" xr:uid="{53006305-7034-4AB0-A7C2-34EF112167EB}"/>
    <cellStyle name="Comma 2 2 14 3" xfId="14495" xr:uid="{761E4D30-A8D0-4F24-85F1-A6062B1DB356}"/>
    <cellStyle name="Comma 2 2 14 4" xfId="44419" xr:uid="{327A22F3-294E-42C1-B32B-3FC90AED8F62}"/>
    <cellStyle name="Comma 2 2 14 5" xfId="49312" xr:uid="{EF967146-2EE1-4517-A7CC-FF66BEDD6EFA}"/>
    <cellStyle name="Comma 2 2 15" xfId="9652" xr:uid="{7BA9611A-5447-43CF-8328-BEA7D8A38989}"/>
    <cellStyle name="Comma 2 2 15 2" xfId="12492" xr:uid="{0AF1889A-ACA4-4DE5-95D6-E8F55BB5C7ED}"/>
    <cellStyle name="Comma 2 2 15 3" xfId="15333" xr:uid="{4C482377-9221-400C-8ADF-79401F9C4AB2}"/>
    <cellStyle name="Comma 2 2 15 4" xfId="44837" xr:uid="{CE4305D3-C661-4A82-A162-9BB745E70A1B}"/>
    <cellStyle name="Comma 2 2 15 5" xfId="50149" xr:uid="{A530CF28-3884-443E-BBED-92B4EB0384FB}"/>
    <cellStyle name="Comma 2 2 16" xfId="9677" xr:uid="{5138EDEC-9A5D-4BD4-A871-052B9EA15817}"/>
    <cellStyle name="Comma 2 2 17" xfId="12517" xr:uid="{2E97A249-6A43-484A-878C-A95EC28F0732}"/>
    <cellStyle name="Comma 2 2 18" xfId="15852" xr:uid="{B76B1FA6-552D-49C3-B862-AECACEC8B584}"/>
    <cellStyle name="Comma 2 2 19" xfId="16403" xr:uid="{850CA788-2EA4-409D-8E25-105663C0F14A}"/>
    <cellStyle name="Comma 2 2 2" xfId="84" xr:uid="{00000000-0005-0000-0000-00005E000000}"/>
    <cellStyle name="Comma 2 2 2 10" xfId="2371" xr:uid="{5EA4FC13-E5D4-4956-A6E1-297EA354468B}"/>
    <cellStyle name="Comma 2 2 2 10 2" xfId="10642" xr:uid="{7A0FA633-D372-4FAF-A5AC-8EEE89CBAC32}"/>
    <cellStyle name="Comma 2 2 2 10 2 2" xfId="45802" xr:uid="{4E37B3EE-CCA3-4A85-9231-A5231C362058}"/>
    <cellStyle name="Comma 2 2 2 10 3" xfId="13482" xr:uid="{EA8123EF-7F6F-480A-AFD9-05A2C44834D8}"/>
    <cellStyle name="Comma 2 2 2 10 4" xfId="43406" xr:uid="{41065258-5C4D-41C2-964B-DAD850F53E5C}"/>
    <cellStyle name="Comma 2 2 2 10 5" xfId="48299" xr:uid="{FEBCBE88-5113-4049-B2FD-76A41532FB85}"/>
    <cellStyle name="Comma 2 2 2 11" xfId="2915" xr:uid="{633ABB49-14E3-45F4-A1E5-88DB76427BDA}"/>
    <cellStyle name="Comma 2 2 2 11 2" xfId="11186" xr:uid="{42FD2581-8E80-4D1D-9E07-A0BE8717B9C4}"/>
    <cellStyle name="Comma 2 2 2 11 2 2" xfId="46346" xr:uid="{317CAAFF-8C1B-459F-9916-08DDBAB73443}"/>
    <cellStyle name="Comma 2 2 2 11 3" xfId="14026" xr:uid="{E0CE40BE-440D-4856-B06F-DE5E1CA0082D}"/>
    <cellStyle name="Comma 2 2 2 11 4" xfId="43950" xr:uid="{7CFCD21D-C17A-4B91-80EF-A55E5DC0E5CB}"/>
    <cellStyle name="Comma 2 2 2 11 5" xfId="48843" xr:uid="{6B22ABE4-8D20-4084-9A40-39F3271A10B8}"/>
    <cellStyle name="Comma 2 2 2 12" xfId="3373" xr:uid="{809430BB-9C4C-4DF5-86CF-9E4AAE2BB091}"/>
    <cellStyle name="Comma 2 2 2 12 2" xfId="11621" xr:uid="{B579C7AA-ED16-4078-873D-1732B9A0A0C3}"/>
    <cellStyle name="Comma 2 2 2 12 2 2" xfId="46781" xr:uid="{2D089DE6-E1CA-473D-90F7-A75F91D0BD74}"/>
    <cellStyle name="Comma 2 2 2 12 3" xfId="14461" xr:uid="{AD23E30D-6EA3-4D0F-8072-3E7B1213BC44}"/>
    <cellStyle name="Comma 2 2 2 12 4" xfId="44385" xr:uid="{E0E1BE74-F0F3-433D-8317-7DDCCDD19FEA}"/>
    <cellStyle name="Comma 2 2 2 12 5" xfId="49278" xr:uid="{AF01B8CE-C6C9-482E-BD9B-8990EABB7306}"/>
    <cellStyle name="Comma 2 2 2 13" xfId="3417" xr:uid="{40129C29-B33F-4079-B602-8094CACCE272}"/>
    <cellStyle name="Comma 2 2 2 13 2" xfId="11658" xr:uid="{3B766550-BFC5-4F11-8493-8F49CCE3A75A}"/>
    <cellStyle name="Comma 2 2 2 13 3" xfId="14498" xr:uid="{6E53A9E5-AA35-446D-B04A-184F49ECF2CE}"/>
    <cellStyle name="Comma 2 2 2 13 4" xfId="44422" xr:uid="{4EE3A6BD-07F1-4064-B357-3F7B3AEE187C}"/>
    <cellStyle name="Comma 2 2 2 13 5" xfId="49315" xr:uid="{E8D9F42E-9316-44B5-83B1-C53C8635AC09}"/>
    <cellStyle name="Comma 2 2 2 14" xfId="9657" xr:uid="{76D1B174-81D6-4B21-BB7F-F54FD13F852E}"/>
    <cellStyle name="Comma 2 2 2 14 2" xfId="12497" xr:uid="{CA57852E-C2F6-4CCB-9B6B-BB28C5E63988}"/>
    <cellStyle name="Comma 2 2 2 14 3" xfId="15338" xr:uid="{E057B5F0-F9B3-4251-9A82-B2ED1A825BB0}"/>
    <cellStyle name="Comma 2 2 2 14 4" xfId="44840" xr:uid="{B5B5DC5E-1F77-423B-9097-235FB736AAFF}"/>
    <cellStyle name="Comma 2 2 2 14 5" xfId="50154" xr:uid="{4A9AADD1-1E01-4BB8-8B35-D5504E627197}"/>
    <cellStyle name="Comma 2 2 2 15" xfId="9680" xr:uid="{47C49CA2-3636-4793-A39F-1C17C20C0DEB}"/>
    <cellStyle name="Comma 2 2 2 15 2" xfId="47099" xr:uid="{946624AE-85D8-4B9C-ABB8-E4CDC0CDE7EE}"/>
    <cellStyle name="Comma 2 2 2 16" xfId="12520" xr:uid="{8536572E-B797-4BC8-A7CE-B8ED611ECBB6}"/>
    <cellStyle name="Comma 2 2 2 17" xfId="15863" xr:uid="{D9E9ECA5-E49C-4DE9-916E-1370516BC80B}"/>
    <cellStyle name="Comma 2 2 2 18" xfId="16406" xr:uid="{11E9E87C-16D2-4BFD-A4A5-FDB5ED0A5213}"/>
    <cellStyle name="Comma 2 2 2 19" xfId="16950" xr:uid="{677CDFFD-90CE-4AA8-97D2-2DAE7585039E}"/>
    <cellStyle name="Comma 2 2 2 2" xfId="102" xr:uid="{00000000-0005-0000-0000-00005F000000}"/>
    <cellStyle name="Comma 2 2 2 2 10" xfId="3428" xr:uid="{C6043B66-8498-4D53-A440-E3969B09B87A}"/>
    <cellStyle name="Comma 2 2 2 2 10 2" xfId="11669" xr:uid="{0A93E926-B8B3-4F5B-9234-1BCFF9DF4747}"/>
    <cellStyle name="Comma 2 2 2 2 10 3" xfId="14509" xr:uid="{C0701AD7-F927-4565-8261-215323AF64B4}"/>
    <cellStyle name="Comma 2 2 2 2 10 4" xfId="44433" xr:uid="{F6656DC7-0019-4CE9-BCA9-B417221D4A0F}"/>
    <cellStyle name="Comma 2 2 2 2 10 5" xfId="49326" xr:uid="{13F9E8D1-499A-4B5B-9083-6882BA591E56}"/>
    <cellStyle name="Comma 2 2 2 2 11" xfId="9691" xr:uid="{5F12A8C5-B643-466A-B56A-514D378C0EE3}"/>
    <cellStyle name="Comma 2 2 2 2 11 2" xfId="44851" xr:uid="{A038C0C2-4906-4C6D-9FE9-7C28B1C08D3D}"/>
    <cellStyle name="Comma 2 2 2 2 11 3" xfId="47252" xr:uid="{36AD393D-FFCF-4DBE-85AD-604153FD888A}"/>
    <cellStyle name="Comma 2 2 2 2 12" xfId="12531" xr:uid="{B80C7A88-201F-4706-AF44-90864C1845AF}"/>
    <cellStyle name="Comma 2 2 2 2 12 2" xfId="47114" xr:uid="{E00D6811-ED8C-40FC-99AE-AF0807F8C620}"/>
    <cellStyle name="Comma 2 2 2 2 13" xfId="15874" xr:uid="{3A5E5433-16AB-465F-8238-C3CFEC4715B3}"/>
    <cellStyle name="Comma 2 2 2 2 14" xfId="16417" xr:uid="{D568986C-2AC2-4400-979C-B5F5DCD4DD87}"/>
    <cellStyle name="Comma 2 2 2 2 15" xfId="16961" xr:uid="{090478D3-60DC-4781-84A0-C8C3B9D1DB97}"/>
    <cellStyle name="Comma 2 2 2 2 16" xfId="17781" xr:uid="{DD48EAAD-2A5F-401E-BB9C-173F25784228}"/>
    <cellStyle name="Comma 2 2 2 2 17" xfId="42058" xr:uid="{F6775F1A-932E-4F17-974D-0FF993E75AD9}"/>
    <cellStyle name="Comma 2 2 2 2 18" xfId="42455" xr:uid="{D29ECE7D-232D-4BF6-9A44-B47E2DBE2696}"/>
    <cellStyle name="Comma 2 2 2 2 19" xfId="47348" xr:uid="{67255992-BE5D-4096-BB90-08BA2FC16907}"/>
    <cellStyle name="Comma 2 2 2 2 2" xfId="197" xr:uid="{00000000-0005-0000-0000-000060000000}"/>
    <cellStyle name="Comma 2 2 2 2 2 10" xfId="12600" xr:uid="{B9250FA5-1C79-401F-9977-A8C823085C3B}"/>
    <cellStyle name="Comma 2 2 2 2 2 10 2" xfId="47141" xr:uid="{7B5C236C-24E5-4930-A41E-2FCEEF7E8760}"/>
    <cellStyle name="Comma 2 2 2 2 2 11" xfId="15943" xr:uid="{CCA7CF4A-319B-4FF3-B330-44837C24D531}"/>
    <cellStyle name="Comma 2 2 2 2 2 12" xfId="16486" xr:uid="{C03DFAEC-C9DD-4335-A69F-DCF58C9F762B}"/>
    <cellStyle name="Comma 2 2 2 2 2 13" xfId="17030" xr:uid="{69AE92A6-C307-4F06-A1D3-1C5996309234}"/>
    <cellStyle name="Comma 2 2 2 2 2 14" xfId="17902" xr:uid="{5FE04F82-58D6-4B92-85FD-340CD70B9DD5}"/>
    <cellStyle name="Comma 2 2 2 2 2 15" xfId="42524" xr:uid="{A2AA44C2-D76C-45F9-8378-286113D8104E}"/>
    <cellStyle name="Comma 2 2 2 2 2 16" xfId="46810" xr:uid="{283EDB89-6705-4B94-90BE-BB3CAAC8C824}"/>
    <cellStyle name="Comma 2 2 2 2 2 17" xfId="47417" xr:uid="{2EBBF7B8-5F4F-4B3B-AE85-4289100A2B1B}"/>
    <cellStyle name="Comma 2 2 2 2 2 18" xfId="50373" xr:uid="{6CE2D955-57A4-4512-B03F-AC1B37380BD1}"/>
    <cellStyle name="Comma 2 2 2 2 2 2" xfId="306" xr:uid="{00000000-0005-0000-0000-000061000000}"/>
    <cellStyle name="Comma 2 2 2 2 2 2 10" xfId="16590" xr:uid="{D7BB526D-C124-4AE9-9300-6FE51CABB8A7}"/>
    <cellStyle name="Comma 2 2 2 2 2 2 11" xfId="17134" xr:uid="{58F24F9F-D8D2-4632-900D-C73D4C9526B7}"/>
    <cellStyle name="Comma 2 2 2 2 2 2 12" xfId="17861" xr:uid="{3D4A738C-D3CE-4E14-A91C-10A190D944E4}"/>
    <cellStyle name="Comma 2 2 2 2 2 2 13" xfId="42628" xr:uid="{75BE56BC-B59F-4E14-82FB-D6FE4579F9E1}"/>
    <cellStyle name="Comma 2 2 2 2 2 2 14" xfId="47521" xr:uid="{56067497-9C80-42A9-83EF-77E68CB92B83}"/>
    <cellStyle name="Comma 2 2 2 2 2 2 2" xfId="533" xr:uid="{00000000-0005-0000-0000-000062000000}"/>
    <cellStyle name="Comma 2 2 2 2 2 2 2 10" xfId="17346" xr:uid="{8CAD5999-555A-4766-A376-4F7A94DE0DC3}"/>
    <cellStyle name="Comma 2 2 2 2 2 2 2 11" xfId="19745" xr:uid="{7879C986-9A1E-428F-A044-2F48E1CC8618}"/>
    <cellStyle name="Comma 2 2 2 2 2 2 2 12" xfId="42840" xr:uid="{B180CB5A-A06D-4005-BB71-3305ABD5ECE7}"/>
    <cellStyle name="Comma 2 2 2 2 2 2 2 13" xfId="47733" xr:uid="{EF0906D0-8813-4451-BC99-1266F6049BAB}"/>
    <cellStyle name="Comma 2 2 2 2 2 2 2 2" xfId="2349" xr:uid="{D2F5B784-34A5-45F2-BBC9-96AA9FB3E14F}"/>
    <cellStyle name="Comma 2 2 2 2 2 2 2 2 2" xfId="10620" xr:uid="{9DF800ED-7154-4705-B0AE-4EF22F131E15}"/>
    <cellStyle name="Comma 2 2 2 2 2 2 2 2 2 2" xfId="45780" xr:uid="{8AA01082-968F-4DF1-BF3D-23617BE87887}"/>
    <cellStyle name="Comma 2 2 2 2 2 2 2 2 3" xfId="13460" xr:uid="{6E7721A6-2B86-4432-8550-6ECB67624917}"/>
    <cellStyle name="Comma 2 2 2 2 2 2 2 2 4" xfId="43384" xr:uid="{A94D326D-9BFB-4F1E-B406-BD91CFB9B7EF}"/>
    <cellStyle name="Comma 2 2 2 2 2 2 2 2 5" xfId="48277" xr:uid="{3AAA15F7-01E2-4F2F-A084-894D14F8EC75}"/>
    <cellStyle name="Comma 2 2 2 2 2 2 2 3" xfId="2767" xr:uid="{A3F85B09-DA39-4EDA-8CED-37953596655F}"/>
    <cellStyle name="Comma 2 2 2 2 2 2 2 3 2" xfId="11038" xr:uid="{AF15ABAD-8A64-449B-B443-CF6F368F49C6}"/>
    <cellStyle name="Comma 2 2 2 2 2 2 2 3 2 2" xfId="46198" xr:uid="{A962B776-80A4-4553-BB0C-9462232AB529}"/>
    <cellStyle name="Comma 2 2 2 2 2 2 2 3 3" xfId="13878" xr:uid="{B723E937-AC22-4413-856B-7C544AA3B1E1}"/>
    <cellStyle name="Comma 2 2 2 2 2 2 2 3 4" xfId="43802" xr:uid="{22E22BF1-33BE-4628-A30C-7AFBED9409E5}"/>
    <cellStyle name="Comma 2 2 2 2 2 2 2 3 5" xfId="48695" xr:uid="{70AE1DCB-E594-4F73-91FE-7DADE26BE402}"/>
    <cellStyle name="Comma 2 2 2 2 2 2 2 4" xfId="3311" xr:uid="{C3405E2C-C972-4956-A373-2D8267219A3F}"/>
    <cellStyle name="Comma 2 2 2 2 2 2 2 4 2" xfId="11582" xr:uid="{3C74EF5E-69D8-43EB-901F-C6E9204FC093}"/>
    <cellStyle name="Comma 2 2 2 2 2 2 2 4 2 2" xfId="46742" xr:uid="{DBAF4CF9-9E4D-4489-9986-7C72B95AEB7D}"/>
    <cellStyle name="Comma 2 2 2 2 2 2 2 4 3" xfId="14422" xr:uid="{1770B787-2288-49B0-B903-B9FFB34AE816}"/>
    <cellStyle name="Comma 2 2 2 2 2 2 2 4 4" xfId="44346" xr:uid="{6325161C-ABFB-4F47-ACB0-3310134D4583}"/>
    <cellStyle name="Comma 2 2 2 2 2 2 2 4 5" xfId="49239" xr:uid="{04A67B51-5A26-4329-BCDF-AEAF10030882}"/>
    <cellStyle name="Comma 2 2 2 2 2 2 2 5" xfId="3813" xr:uid="{CB89E4F9-0EAA-493B-913D-C31548A5A2E1}"/>
    <cellStyle name="Comma 2 2 2 2 2 2 2 5 2" xfId="12054" xr:uid="{468C4067-5847-421F-9ABF-9B07B1488E7F}"/>
    <cellStyle name="Comma 2 2 2 2 2 2 2 5 3" xfId="14894" xr:uid="{6FA9E90D-7F34-4EE9-A86F-8BBF37D2B9D8}"/>
    <cellStyle name="Comma 2 2 2 2 2 2 2 5 4" xfId="44818" xr:uid="{38EE41AF-1341-49FD-AC32-5F725A7C8C3D}"/>
    <cellStyle name="Comma 2 2 2 2 2 2 2 5 5" xfId="49711" xr:uid="{82DD7577-1B28-4E63-B0D8-D619C5324900}"/>
    <cellStyle name="Comma 2 2 2 2 2 2 2 6" xfId="10076" xr:uid="{E8C25116-1C4C-4B34-B7ED-2D0002F6EDEC}"/>
    <cellStyle name="Comma 2 2 2 2 2 2 2 6 2" xfId="45236" xr:uid="{F35ECFBC-3368-4FBB-A768-107BDEA6F446}"/>
    <cellStyle name="Comma 2 2 2 2 2 2 2 7" xfId="12916" xr:uid="{BEBC0B4E-D110-4B0B-9E37-F29C0B317B45}"/>
    <cellStyle name="Comma 2 2 2 2 2 2 2 8" xfId="16259" xr:uid="{436B714D-BC18-428D-90E0-66A9E94D09B1}"/>
    <cellStyle name="Comma 2 2 2 2 2 2 2 9" xfId="16802" xr:uid="{90E88C27-FD2C-4CC3-916A-712A2E3CBDC9}"/>
    <cellStyle name="Comma 2 2 2 2 2 2 3" xfId="2137" xr:uid="{47D61DCA-9DDE-4A96-B4E1-393443541477}"/>
    <cellStyle name="Comma 2 2 2 2 2 2 3 2" xfId="10408" xr:uid="{C8847729-7665-4FF6-B3E5-07EB7A0B0578}"/>
    <cellStyle name="Comma 2 2 2 2 2 2 3 2 2" xfId="45568" xr:uid="{D4128B55-EFB3-4CAA-AFC3-32642F6CFB3F}"/>
    <cellStyle name="Comma 2 2 2 2 2 2 3 3" xfId="13248" xr:uid="{D7047DD5-0C3A-481E-9E90-B6AD7C3A64A8}"/>
    <cellStyle name="Comma 2 2 2 2 2 2 3 4" xfId="43172" xr:uid="{0DFE6A6A-BE94-457B-87CC-CAA70B5E7E28}"/>
    <cellStyle name="Comma 2 2 2 2 2 2 3 5" xfId="48065" xr:uid="{2ABD8F97-C101-42F4-A923-EBE5709FD8D5}"/>
    <cellStyle name="Comma 2 2 2 2 2 2 4" xfId="2555" xr:uid="{B97CA674-7DC4-49B3-A8C6-446F5DDF35F3}"/>
    <cellStyle name="Comma 2 2 2 2 2 2 4 2" xfId="10826" xr:uid="{92DCE9D7-CF8E-46AB-84D1-5FA8314CAF46}"/>
    <cellStyle name="Comma 2 2 2 2 2 2 4 2 2" xfId="45986" xr:uid="{0BEB7186-F349-41B9-A0FF-4F2CB3669488}"/>
    <cellStyle name="Comma 2 2 2 2 2 2 4 3" xfId="13666" xr:uid="{694E6ED1-9575-4752-BAD3-1CA11EBBFCD6}"/>
    <cellStyle name="Comma 2 2 2 2 2 2 4 4" xfId="43590" xr:uid="{823629DC-2687-46CB-9A7D-D57BDDA127FF}"/>
    <cellStyle name="Comma 2 2 2 2 2 2 4 5" xfId="48483" xr:uid="{895BB59E-02BD-4749-9576-3E862C8FC442}"/>
    <cellStyle name="Comma 2 2 2 2 2 2 5" xfId="3099" xr:uid="{7B39330C-D623-4C91-8747-E6F325AFCBF0}"/>
    <cellStyle name="Comma 2 2 2 2 2 2 5 2" xfId="11370" xr:uid="{563AF059-38BF-418A-B998-87ACEF8C9348}"/>
    <cellStyle name="Comma 2 2 2 2 2 2 5 2 2" xfId="46530" xr:uid="{AD7AAC33-193A-4E64-9B61-15B845A96513}"/>
    <cellStyle name="Comma 2 2 2 2 2 2 5 3" xfId="14210" xr:uid="{4044A9A1-B4F1-4D5C-8A63-3167CCFB9941}"/>
    <cellStyle name="Comma 2 2 2 2 2 2 5 4" xfId="44134" xr:uid="{D86F140B-AF1B-49DB-815D-5E4D2A09F76F}"/>
    <cellStyle name="Comma 2 2 2 2 2 2 5 5" xfId="49027" xr:uid="{E3C8FBEE-67BD-4E85-A975-C398E1E99BEA}"/>
    <cellStyle name="Comma 2 2 2 2 2 2 6" xfId="3601" xr:uid="{450236D4-7230-45A4-9D46-11BDB6765EE5}"/>
    <cellStyle name="Comma 2 2 2 2 2 2 6 2" xfId="11842" xr:uid="{D6EF93B4-AE4D-4769-8F17-43D5FF1E480B}"/>
    <cellStyle name="Comma 2 2 2 2 2 2 6 3" xfId="14682" xr:uid="{65B5026B-21A0-4819-BE15-DC282188BB35}"/>
    <cellStyle name="Comma 2 2 2 2 2 2 6 4" xfId="44606" xr:uid="{F72657F0-4A29-47A5-9E45-D87F27EC9A81}"/>
    <cellStyle name="Comma 2 2 2 2 2 2 6 5" xfId="49499" xr:uid="{FD72C66F-9148-48AB-8BFA-CC0A597922B5}"/>
    <cellStyle name="Comma 2 2 2 2 2 2 7" xfId="9864" xr:uid="{C7677F3C-8C56-4DAF-AC3E-7F7D64B633CE}"/>
    <cellStyle name="Comma 2 2 2 2 2 2 7 2" xfId="45024" xr:uid="{5B653F76-BFA7-4DBC-9FFD-96D125BC9F39}"/>
    <cellStyle name="Comma 2 2 2 2 2 2 8" xfId="12704" xr:uid="{9958FDED-AE8E-49BE-A410-0134CBC31550}"/>
    <cellStyle name="Comma 2 2 2 2 2 2 9" xfId="16047" xr:uid="{05614528-CD54-4496-9A0B-DBE19FEFA88B}"/>
    <cellStyle name="Comma 2 2 2 2 2 3" xfId="432" xr:uid="{00000000-0005-0000-0000-000063000000}"/>
    <cellStyle name="Comma 2 2 2 2 2 3 10" xfId="17246" xr:uid="{ADF04365-071A-4ACD-B02D-57A792A3D802}"/>
    <cellStyle name="Comma 2 2 2 2 2 3 11" xfId="18133" xr:uid="{45EB4B91-9802-4817-8224-CC7DD43537EF}"/>
    <cellStyle name="Comma 2 2 2 2 2 3 12" xfId="42740" xr:uid="{46D6CAAA-0A5C-45E0-8C85-DC8ADFA96FB9}"/>
    <cellStyle name="Comma 2 2 2 2 2 3 13" xfId="47633" xr:uid="{78A3896A-CF66-42CA-9EF4-6B93C5E96F25}"/>
    <cellStyle name="Comma 2 2 2 2 2 3 2" xfId="2249" xr:uid="{5353C557-8585-4468-854A-E012612C1970}"/>
    <cellStyle name="Comma 2 2 2 2 2 3 2 2" xfId="10520" xr:uid="{7A41A2DD-958D-41B1-8FBD-EA18C568CFD1}"/>
    <cellStyle name="Comma 2 2 2 2 2 3 2 2 2" xfId="45680" xr:uid="{3F8CF7E3-DBCF-4183-922C-01B40B2E376E}"/>
    <cellStyle name="Comma 2 2 2 2 2 3 2 3" xfId="13360" xr:uid="{201C74FE-02B2-4127-B885-D63E67DB025B}"/>
    <cellStyle name="Comma 2 2 2 2 2 3 2 4" xfId="43284" xr:uid="{123DD22A-0C7F-4860-9749-E52AA4DF5575}"/>
    <cellStyle name="Comma 2 2 2 2 2 3 2 5" xfId="48177" xr:uid="{57544F52-795C-499D-9D1B-E4E8178E17A3}"/>
    <cellStyle name="Comma 2 2 2 2 2 3 3" xfId="2667" xr:uid="{3CCAD32C-6457-4436-8F4D-81CFC576BA8B}"/>
    <cellStyle name="Comma 2 2 2 2 2 3 3 2" xfId="10938" xr:uid="{8B450944-1641-4D1F-9B96-FDA8AE249D71}"/>
    <cellStyle name="Comma 2 2 2 2 2 3 3 2 2" xfId="46098" xr:uid="{0A844C05-08E7-4091-ACD1-8FD0B7843070}"/>
    <cellStyle name="Comma 2 2 2 2 2 3 3 3" xfId="13778" xr:uid="{C195C7D0-7CD2-49EB-88E6-398ACA50E54F}"/>
    <cellStyle name="Comma 2 2 2 2 2 3 3 4" xfId="43702" xr:uid="{E9FB86DB-0B2D-4D4A-9AF2-88EBDAC8BCF3}"/>
    <cellStyle name="Comma 2 2 2 2 2 3 3 5" xfId="48595" xr:uid="{BDC4F477-AD1B-40CD-A6AF-691C2A6D6B75}"/>
    <cellStyle name="Comma 2 2 2 2 2 3 4" xfId="3211" xr:uid="{357217CE-0CDB-4971-896F-5E3BC916DC02}"/>
    <cellStyle name="Comma 2 2 2 2 2 3 4 2" xfId="11482" xr:uid="{3F02E1E7-0CF7-4E41-B978-331751C3C5A7}"/>
    <cellStyle name="Comma 2 2 2 2 2 3 4 2 2" xfId="46642" xr:uid="{FAEFF084-0271-4092-A5FA-F1F87D132948}"/>
    <cellStyle name="Comma 2 2 2 2 2 3 4 3" xfId="14322" xr:uid="{7FEE53AD-90D9-49E6-A233-3E6BBB7E8DF8}"/>
    <cellStyle name="Comma 2 2 2 2 2 3 4 4" xfId="44246" xr:uid="{17CB992E-1067-4FF7-9E6C-3599C95068C0}"/>
    <cellStyle name="Comma 2 2 2 2 2 3 4 5" xfId="49139" xr:uid="{E92684F8-F181-4CF8-B292-9BD9B4EB4BA8}"/>
    <cellStyle name="Comma 2 2 2 2 2 3 5" xfId="3713" xr:uid="{D5946D2D-948C-4F49-94C5-6CEFDE23EE80}"/>
    <cellStyle name="Comma 2 2 2 2 2 3 5 2" xfId="11954" xr:uid="{5910FA98-74AD-4334-AF14-989325001A91}"/>
    <cellStyle name="Comma 2 2 2 2 2 3 5 2 2" xfId="47321" xr:uid="{A5CAFA02-FB2E-4BBA-8857-4A7F865B2632}"/>
    <cellStyle name="Comma 2 2 2 2 2 3 5 3" xfId="14794" xr:uid="{8601290C-7345-4E9D-ACE8-76A3CC3B27C7}"/>
    <cellStyle name="Comma 2 2 2 2 2 3 5 3 2" xfId="47233" xr:uid="{3EDA4759-00EC-4C65-8D8A-C0A312D869EC}"/>
    <cellStyle name="Comma 2 2 2 2 2 3 5 4" xfId="44718" xr:uid="{5A8FC0F8-9888-4EF1-93F3-B6C6AE0DA382}"/>
    <cellStyle name="Comma 2 2 2 2 2 3 5 5" xfId="46811" xr:uid="{30198A98-8B12-4F8B-836B-70A147A5473A}"/>
    <cellStyle name="Comma 2 2 2 2 2 3 5 6" xfId="49611" xr:uid="{958BA423-5C46-4892-BFD5-B5ACB9463D84}"/>
    <cellStyle name="Comma 2 2 2 2 2 3 6" xfId="9976" xr:uid="{119F2FFD-B2D2-4B1A-AF1F-9C3FF1D2DF38}"/>
    <cellStyle name="Comma 2 2 2 2 2 3 6 2" xfId="45136" xr:uid="{83198046-80AB-439E-B236-AE20AC231DB8}"/>
    <cellStyle name="Comma 2 2 2 2 2 3 7" xfId="12816" xr:uid="{885E0658-C3F9-42A0-99C4-228DED3F17D1}"/>
    <cellStyle name="Comma 2 2 2 2 2 3 8" xfId="16159" xr:uid="{9F7DEC9E-02B5-48BA-9C1C-4DD950D1A492}"/>
    <cellStyle name="Comma 2 2 2 2 2 3 9" xfId="16702" xr:uid="{A55194D2-C382-45CB-930A-9A9D7134B83B}"/>
    <cellStyle name="Comma 2 2 2 2 2 4" xfId="635" xr:uid="{00000000-0005-0000-0000-000064000000}"/>
    <cellStyle name="Comma 2 2 2 2 2 4 10" xfId="47835" xr:uid="{1220E421-B508-4321-B52C-49E1C75CA9EE}"/>
    <cellStyle name="Comma 2 2 2 2 2 4 2" xfId="2869" xr:uid="{417D7FE6-CCF8-4CCA-80D0-1C541EAB4F2F}"/>
    <cellStyle name="Comma 2 2 2 2 2 4 2 2" xfId="11140" xr:uid="{AAADBDA7-0E37-4228-8D6D-2AD1A618519D}"/>
    <cellStyle name="Comma 2 2 2 2 2 4 2 2 2" xfId="46300" xr:uid="{B654AE9A-C33B-4101-9989-1F572EA82AD4}"/>
    <cellStyle name="Comma 2 2 2 2 2 4 2 3" xfId="13980" xr:uid="{943C75A0-7FDD-4DF8-B3D2-80371FBBE28D}"/>
    <cellStyle name="Comma 2 2 2 2 2 4 2 4" xfId="43904" xr:uid="{25CAF36C-DA5B-4B95-A311-3E37895883AA}"/>
    <cellStyle name="Comma 2 2 2 2 2 4 2 5" xfId="48797" xr:uid="{65228DF9-7A01-4FCE-895E-2D98E140B99B}"/>
    <cellStyle name="Comma 2 2 2 2 2 4 3" xfId="10178" xr:uid="{00548386-60B3-4DE9-9993-B5A9698BAF3F}"/>
    <cellStyle name="Comma 2 2 2 2 2 4 3 2" xfId="45338" xr:uid="{4F3ED79D-3D20-4F3E-9D04-398EB2DEC06B}"/>
    <cellStyle name="Comma 2 2 2 2 2 4 4" xfId="13018" xr:uid="{6E31CAAD-FEC8-4D52-81CA-AC70D3FBA5F8}"/>
    <cellStyle name="Comma 2 2 2 2 2 4 5" xfId="16361" xr:uid="{D24E94AA-227F-4216-B851-D444DB29A4EC}"/>
    <cellStyle name="Comma 2 2 2 2 2 4 6" xfId="16904" xr:uid="{609757E7-A500-4F0E-94CF-EB4DA8D099F4}"/>
    <cellStyle name="Comma 2 2 2 2 2 4 7" xfId="17448" xr:uid="{6D9BC1FF-F39F-41E6-BDAB-A87326301459}"/>
    <cellStyle name="Comma 2 2 2 2 2 4 8" xfId="20663" xr:uid="{C30F3D51-A498-489F-BF14-B2C4DE488A8F}"/>
    <cellStyle name="Comma 2 2 2 2 2 4 9" xfId="42942" xr:uid="{355F7A2E-BA4C-48E0-A152-62536B11E43C}"/>
    <cellStyle name="Comma 2 2 2 2 2 5" xfId="2033" xr:uid="{C50F181F-0486-443A-A420-84F70100665F}"/>
    <cellStyle name="Comma 2 2 2 2 2 5 2" xfId="10304" xr:uid="{16E38954-866D-4B06-BB1B-76C75000EC7C}"/>
    <cellStyle name="Comma 2 2 2 2 2 5 2 2" xfId="45464" xr:uid="{47937AFB-25F7-4D23-AE82-0E974AC2AE94}"/>
    <cellStyle name="Comma 2 2 2 2 2 5 3" xfId="13144" xr:uid="{0D78ECCE-B604-4169-A1EF-CAEAA6ACD7F9}"/>
    <cellStyle name="Comma 2 2 2 2 2 5 4" xfId="43068" xr:uid="{20E3520D-1050-4115-9E00-2AC3C7F11B0A}"/>
    <cellStyle name="Comma 2 2 2 2 2 5 5" xfId="47961" xr:uid="{821D4740-928A-4AC2-9387-B9834D7E33F3}"/>
    <cellStyle name="Comma 2 2 2 2 2 6" xfId="2451" xr:uid="{44629DE4-8A88-4E86-A09D-8F6494A52FF1}"/>
    <cellStyle name="Comma 2 2 2 2 2 6 2" xfId="10722" xr:uid="{2F603AF1-626D-4DF4-AF1B-BD7D579D4A1F}"/>
    <cellStyle name="Comma 2 2 2 2 2 6 2 2" xfId="45882" xr:uid="{20332AF2-6898-41BA-BCEC-92EC7770E8AC}"/>
    <cellStyle name="Comma 2 2 2 2 2 6 3" xfId="13562" xr:uid="{E8DA2C0E-3699-44EC-B994-42B2BA4E6D30}"/>
    <cellStyle name="Comma 2 2 2 2 2 6 4" xfId="43486" xr:uid="{42B831AD-90F6-4D32-A3B7-956708F4E6AE}"/>
    <cellStyle name="Comma 2 2 2 2 2 6 5" xfId="48379" xr:uid="{21C3B600-212D-41CF-AC37-4DA82309CBEA}"/>
    <cellStyle name="Comma 2 2 2 2 2 7" xfId="2995" xr:uid="{2E9F736D-9D11-410A-94CA-74AD78F248D9}"/>
    <cellStyle name="Comma 2 2 2 2 2 7 2" xfId="11266" xr:uid="{879A8FD9-5299-4FAB-A76A-EFDA421F6DC8}"/>
    <cellStyle name="Comma 2 2 2 2 2 7 2 2" xfId="46426" xr:uid="{D2C3B244-343F-4576-8234-383A71BFAF7A}"/>
    <cellStyle name="Comma 2 2 2 2 2 7 3" xfId="14106" xr:uid="{3B2766C4-0AD7-4708-806A-A97715150B33}"/>
    <cellStyle name="Comma 2 2 2 2 2 7 4" xfId="44030" xr:uid="{019E6AFB-A9F5-47F3-BB4F-D74ED84C0E55}"/>
    <cellStyle name="Comma 2 2 2 2 2 7 5" xfId="48923" xr:uid="{6CCF6524-AD3F-465F-A45E-84724877B8FE}"/>
    <cellStyle name="Comma 2 2 2 2 2 8" xfId="3497" xr:uid="{6B8CA884-66F7-42B6-BF93-52F7E8122AE2}"/>
    <cellStyle name="Comma 2 2 2 2 2 8 2" xfId="11738" xr:uid="{B2FD26F4-ADFB-4D02-A110-8027B58B4970}"/>
    <cellStyle name="Comma 2 2 2 2 2 8 3" xfId="14578" xr:uid="{3CBAA8DD-9AD1-46AC-9E60-C3990461F4C1}"/>
    <cellStyle name="Comma 2 2 2 2 2 8 4" xfId="44502" xr:uid="{16AF26A6-4DA8-4A13-AADE-A9F90544D9D0}"/>
    <cellStyle name="Comma 2 2 2 2 2 8 5" xfId="49395" xr:uid="{93163185-EE98-42F9-A79B-F94EA72E7EFF}"/>
    <cellStyle name="Comma 2 2 2 2 2 9" xfId="9760" xr:uid="{424E1B41-FE4D-41FF-BFFC-FA8B69C9E329}"/>
    <cellStyle name="Comma 2 2 2 2 2 9 2" xfId="44920" xr:uid="{B91034CD-AA86-4B94-9F0D-C6930F38E235}"/>
    <cellStyle name="Comma 2 2 2 2 2 9 3" xfId="47275" xr:uid="{25A2A2C4-5835-4C22-B6CE-316E400FDBB9}"/>
    <cellStyle name="Comma 2 2 2 2 20" xfId="50227" xr:uid="{C792E4D5-7718-42B2-BB43-37D7B819811B}"/>
    <cellStyle name="Comma 2 2 2 2 21" xfId="50301" xr:uid="{CBB86C0B-8658-4080-93A9-97353AA5D5C8}"/>
    <cellStyle name="Comma 2 2 2 2 3" xfId="150" xr:uid="{00000000-0005-0000-0000-000065000000}"/>
    <cellStyle name="Comma 2 2 2 2 3 10" xfId="12558" xr:uid="{03915849-526B-4C39-8BB6-39A70FE3E41E}"/>
    <cellStyle name="Comma 2 2 2 2 3 11" xfId="15901" xr:uid="{FD3E1F28-0AB4-4F68-A239-A9DA11B04037}"/>
    <cellStyle name="Comma 2 2 2 2 3 12" xfId="16444" xr:uid="{4488E46A-4674-4C27-9E19-6D43A25D0E2A}"/>
    <cellStyle name="Comma 2 2 2 2 3 13" xfId="16988" xr:uid="{586EC167-1FC4-4254-9186-D19BA962E98F}"/>
    <cellStyle name="Comma 2 2 2 2 3 14" xfId="17976" xr:uid="{02CFAAD7-9D64-4218-B5DE-7CC7467A1535}"/>
    <cellStyle name="Comma 2 2 2 2 3 15" xfId="42482" xr:uid="{C937A601-5284-4AF0-AB97-A4103414C2B9}"/>
    <cellStyle name="Comma 2 2 2 2 3 16" xfId="47375" xr:uid="{5A45B39E-9D12-4956-A373-F95F00B5C687}"/>
    <cellStyle name="Comma 2 2 2 2 3 2" xfId="264" xr:uid="{00000000-0005-0000-0000-000066000000}"/>
    <cellStyle name="Comma 2 2 2 2 3 2 10" xfId="16548" xr:uid="{E33CF837-823F-4FC3-A2E3-917EBFDBF60B}"/>
    <cellStyle name="Comma 2 2 2 2 3 2 11" xfId="17092" xr:uid="{A126E666-4659-447E-8401-0FC6D288E9D4}"/>
    <cellStyle name="Comma 2 2 2 2 3 2 12" xfId="17989" xr:uid="{99127F74-0EBE-40A2-B380-CF424C350AD3}"/>
    <cellStyle name="Comma 2 2 2 2 3 2 13" xfId="42586" xr:uid="{C24A1586-CAAD-4C79-AEAE-7178FABED952}"/>
    <cellStyle name="Comma 2 2 2 2 3 2 14" xfId="47479" xr:uid="{B1317132-ABAD-4A8A-8166-A71407D5899B}"/>
    <cellStyle name="Comma 2 2 2 2 3 2 2" xfId="491" xr:uid="{00000000-0005-0000-0000-000067000000}"/>
    <cellStyle name="Comma 2 2 2 2 3 2 2 10" xfId="17304" xr:uid="{F7AA4066-D5BA-4462-8BB1-7EBB4973E81A}"/>
    <cellStyle name="Comma 2 2 2 2 3 2 2 11" xfId="23061" xr:uid="{74EC6644-C5D0-48CC-9A39-B073DA717279}"/>
    <cellStyle name="Comma 2 2 2 2 3 2 2 12" xfId="42798" xr:uid="{2A1826D9-4B46-4EF6-A2CB-E414E056ED8D}"/>
    <cellStyle name="Comma 2 2 2 2 3 2 2 13" xfId="47691" xr:uid="{F077C67D-E751-4D22-AC67-BB3F669C5766}"/>
    <cellStyle name="Comma 2 2 2 2 3 2 2 2" xfId="2307" xr:uid="{DA4B7510-3D8E-4423-B13B-5A5F2D9E0152}"/>
    <cellStyle name="Comma 2 2 2 2 3 2 2 2 2" xfId="10578" xr:uid="{1285F57D-9ED3-450C-8FA1-EDC268D175BA}"/>
    <cellStyle name="Comma 2 2 2 2 3 2 2 2 2 2" xfId="45738" xr:uid="{895CE661-CF7F-41EB-AC57-95027C1326DF}"/>
    <cellStyle name="Comma 2 2 2 2 3 2 2 2 3" xfId="13418" xr:uid="{F8336A1B-6994-44E0-8C03-92436975C5A3}"/>
    <cellStyle name="Comma 2 2 2 2 3 2 2 2 4" xfId="43342" xr:uid="{C8E667D4-ED96-4D69-AB03-754DBE561013}"/>
    <cellStyle name="Comma 2 2 2 2 3 2 2 2 5" xfId="48235" xr:uid="{8FBAE396-88F7-487D-95B5-0F53252DC657}"/>
    <cellStyle name="Comma 2 2 2 2 3 2 2 3" xfId="2725" xr:uid="{E6DA1056-8BC3-45C5-8AAF-5CEC87AC1976}"/>
    <cellStyle name="Comma 2 2 2 2 3 2 2 3 2" xfId="10996" xr:uid="{DCB25E61-189B-47A9-9968-FAADC172FC86}"/>
    <cellStyle name="Comma 2 2 2 2 3 2 2 3 2 2" xfId="46156" xr:uid="{9CC90B0E-2D61-43DA-A427-E2B9E698BF1D}"/>
    <cellStyle name="Comma 2 2 2 2 3 2 2 3 3" xfId="13836" xr:uid="{535454BE-F718-429A-BEF9-65BEFE3F5B6E}"/>
    <cellStyle name="Comma 2 2 2 2 3 2 2 3 4" xfId="43760" xr:uid="{4867A040-D504-4B78-8487-A8BDEA82800D}"/>
    <cellStyle name="Comma 2 2 2 2 3 2 2 3 5" xfId="48653" xr:uid="{F4A4419C-8390-47D2-9827-5C9818B4B764}"/>
    <cellStyle name="Comma 2 2 2 2 3 2 2 4" xfId="3269" xr:uid="{4C9E975E-1361-4EB7-8E92-94E00FE7B942}"/>
    <cellStyle name="Comma 2 2 2 2 3 2 2 4 2" xfId="11540" xr:uid="{863B3B85-2EAB-492F-82DD-A7D53DCAF74F}"/>
    <cellStyle name="Comma 2 2 2 2 3 2 2 4 2 2" xfId="46700" xr:uid="{16C655BF-E5E8-42AA-B04A-DDE0FB32481E}"/>
    <cellStyle name="Comma 2 2 2 2 3 2 2 4 3" xfId="14380" xr:uid="{BE680B61-4B46-4F9D-ABE8-02DD2E9AC908}"/>
    <cellStyle name="Comma 2 2 2 2 3 2 2 4 4" xfId="44304" xr:uid="{B721FE49-F265-4EF3-8DEE-213F433A9354}"/>
    <cellStyle name="Comma 2 2 2 2 3 2 2 4 5" xfId="49197" xr:uid="{46C4B9FA-E31C-478A-82A9-8196C7BF2EFA}"/>
    <cellStyle name="Comma 2 2 2 2 3 2 2 5" xfId="3771" xr:uid="{38B568E5-516F-44B5-948A-CF8323840501}"/>
    <cellStyle name="Comma 2 2 2 2 3 2 2 5 2" xfId="12012" xr:uid="{05A9C114-6361-479D-BDA8-EA50DD2E284F}"/>
    <cellStyle name="Comma 2 2 2 2 3 2 2 5 3" xfId="14852" xr:uid="{D165B293-C1CA-4DDA-AF88-C7F467388A00}"/>
    <cellStyle name="Comma 2 2 2 2 3 2 2 5 4" xfId="44776" xr:uid="{EC31A1F3-A195-4B3D-B062-59E2B2C34E1F}"/>
    <cellStyle name="Comma 2 2 2 2 3 2 2 5 5" xfId="49669" xr:uid="{C8F70DF0-6145-42D5-95C3-411B40FA2263}"/>
    <cellStyle name="Comma 2 2 2 2 3 2 2 6" xfId="10034" xr:uid="{9D38070C-8E29-4BEE-A5A0-51E4A6DB9AB7}"/>
    <cellStyle name="Comma 2 2 2 2 3 2 2 6 2" xfId="45194" xr:uid="{86455902-CA47-4C24-A3ED-AB58427BCC10}"/>
    <cellStyle name="Comma 2 2 2 2 3 2 2 7" xfId="12874" xr:uid="{EF5AF90E-9A62-4EA6-A49F-C6147A0B20A9}"/>
    <cellStyle name="Comma 2 2 2 2 3 2 2 8" xfId="16217" xr:uid="{B47C4E77-D12C-406A-B53C-4CBE7B22105C}"/>
    <cellStyle name="Comma 2 2 2 2 3 2 2 9" xfId="16760" xr:uid="{5A197E25-3560-4C52-9705-27E97405270B}"/>
    <cellStyle name="Comma 2 2 2 2 3 2 3" xfId="2095" xr:uid="{2C0E9096-50EF-4CCD-9CB0-F99E2C0EDF38}"/>
    <cellStyle name="Comma 2 2 2 2 3 2 3 2" xfId="10366" xr:uid="{426E5511-9017-4B34-ADBE-D56B013F14D8}"/>
    <cellStyle name="Comma 2 2 2 2 3 2 3 2 2" xfId="45526" xr:uid="{7199578B-0825-4BAD-AA01-F18FDBE4FC94}"/>
    <cellStyle name="Comma 2 2 2 2 3 2 3 3" xfId="13206" xr:uid="{B155B60F-3638-4D93-9D64-BE776B2035AA}"/>
    <cellStyle name="Comma 2 2 2 2 3 2 3 4" xfId="43130" xr:uid="{32AA8C3A-D520-4885-B466-C935E73A1943}"/>
    <cellStyle name="Comma 2 2 2 2 3 2 3 5" xfId="48023" xr:uid="{7B88CE74-3C7D-4B2B-AA2F-74D94CDBD324}"/>
    <cellStyle name="Comma 2 2 2 2 3 2 4" xfId="2513" xr:uid="{6516F588-39B5-4850-8DEA-A0F6D71D0257}"/>
    <cellStyle name="Comma 2 2 2 2 3 2 4 2" xfId="10784" xr:uid="{103B4D26-88EE-4545-817E-A6BD9A1A4A81}"/>
    <cellStyle name="Comma 2 2 2 2 3 2 4 2 2" xfId="45944" xr:uid="{C585C986-6786-4F85-BA9B-AFF670C269C1}"/>
    <cellStyle name="Comma 2 2 2 2 3 2 4 3" xfId="13624" xr:uid="{DCAEBC50-7392-432F-BCEF-734831A7E203}"/>
    <cellStyle name="Comma 2 2 2 2 3 2 4 4" xfId="43548" xr:uid="{119B2B4D-E01E-4122-9737-D1CBF0CFE003}"/>
    <cellStyle name="Comma 2 2 2 2 3 2 4 5" xfId="48441" xr:uid="{CD7967D0-3FA1-4350-95C2-F72F2AA46DD3}"/>
    <cellStyle name="Comma 2 2 2 2 3 2 5" xfId="3057" xr:uid="{20245027-B708-498C-BAC9-BDD9A899327D}"/>
    <cellStyle name="Comma 2 2 2 2 3 2 5 2" xfId="11328" xr:uid="{2BA3E1A6-7150-4595-B906-0EF9971209A7}"/>
    <cellStyle name="Comma 2 2 2 2 3 2 5 2 2" xfId="46488" xr:uid="{C1EECE10-0D44-4FB8-B75E-33D070020B75}"/>
    <cellStyle name="Comma 2 2 2 2 3 2 5 3" xfId="14168" xr:uid="{DFE1B932-0DE2-4419-AEBD-A01D134B1AAA}"/>
    <cellStyle name="Comma 2 2 2 2 3 2 5 4" xfId="44092" xr:uid="{D36B0D50-6DD6-4DDE-ABFB-05BDA6FDAEA7}"/>
    <cellStyle name="Comma 2 2 2 2 3 2 5 5" xfId="48985" xr:uid="{2D67395C-1C1A-4445-A6E6-41D34A12D3B8}"/>
    <cellStyle name="Comma 2 2 2 2 3 2 6" xfId="3559" xr:uid="{D192548B-B6A0-4F79-B8F3-43EA46CD38A7}"/>
    <cellStyle name="Comma 2 2 2 2 3 2 6 2" xfId="11800" xr:uid="{2AF954D6-AAC3-48A8-B260-775DCE643853}"/>
    <cellStyle name="Comma 2 2 2 2 3 2 6 3" xfId="14640" xr:uid="{BD8CE2D8-0C8D-422F-8206-2987931CF754}"/>
    <cellStyle name="Comma 2 2 2 2 3 2 6 4" xfId="44564" xr:uid="{5EFA0C14-B37A-4B8C-AFA7-7D58E386E389}"/>
    <cellStyle name="Comma 2 2 2 2 3 2 6 5" xfId="49457" xr:uid="{CCD28038-1EA3-4363-9E52-5DEA44898E67}"/>
    <cellStyle name="Comma 2 2 2 2 3 2 7" xfId="9822" xr:uid="{E75F1A88-6CB6-46BA-8B09-34BF940A75E4}"/>
    <cellStyle name="Comma 2 2 2 2 3 2 7 2" xfId="44982" xr:uid="{C4B1B05D-23BA-45D8-BA9E-231E846FAC8F}"/>
    <cellStyle name="Comma 2 2 2 2 3 2 8" xfId="12662" xr:uid="{1CAFB0C8-8C76-4992-980F-FA7CEDD740C2}"/>
    <cellStyle name="Comma 2 2 2 2 3 2 9" xfId="16005" xr:uid="{B3656771-6AB3-4AB8-ADD8-B298C8877FAE}"/>
    <cellStyle name="Comma 2 2 2 2 3 3" xfId="390" xr:uid="{00000000-0005-0000-0000-000068000000}"/>
    <cellStyle name="Comma 2 2 2 2 3 3 10" xfId="17204" xr:uid="{41EF961B-BD79-4860-9D45-CB291AD406C1}"/>
    <cellStyle name="Comma 2 2 2 2 3 3 11" xfId="17801" xr:uid="{02606F39-D828-4717-A40D-39CE9C1D29FB}"/>
    <cellStyle name="Comma 2 2 2 2 3 3 12" xfId="42698" xr:uid="{7C1C37FC-7CF3-4D90-BF14-9F80CCAFA7A4}"/>
    <cellStyle name="Comma 2 2 2 2 3 3 13" xfId="47591" xr:uid="{30291893-E24C-4CE1-9E11-BD65DC547920}"/>
    <cellStyle name="Comma 2 2 2 2 3 3 2" xfId="2207" xr:uid="{533B1F1D-75A5-4871-80BA-A3E0726A30A5}"/>
    <cellStyle name="Comma 2 2 2 2 3 3 2 2" xfId="10478" xr:uid="{F0949BFA-2F1F-43AC-BBC2-BFA77EC8F271}"/>
    <cellStyle name="Comma 2 2 2 2 3 3 2 2 2" xfId="45638" xr:uid="{49EBEC18-69B2-4101-8870-B5A702292A1D}"/>
    <cellStyle name="Comma 2 2 2 2 3 3 2 3" xfId="13318" xr:uid="{3D58AC78-7EB3-48C0-83D2-2AE795C22791}"/>
    <cellStyle name="Comma 2 2 2 2 3 3 2 4" xfId="43242" xr:uid="{52455F43-C926-4469-9A2B-E5B2A7C78429}"/>
    <cellStyle name="Comma 2 2 2 2 3 3 2 5" xfId="48135" xr:uid="{C1FEA81C-46E9-44DC-A35B-8861DD671328}"/>
    <cellStyle name="Comma 2 2 2 2 3 3 3" xfId="2625" xr:uid="{3EDACAB0-774B-4F41-B55B-E42D63AC0E21}"/>
    <cellStyle name="Comma 2 2 2 2 3 3 3 2" xfId="10896" xr:uid="{9D38926C-91F1-441D-B9C3-1EB503D5D835}"/>
    <cellStyle name="Comma 2 2 2 2 3 3 3 2 2" xfId="46056" xr:uid="{C9E75420-0095-4F4D-9C04-939635B9469D}"/>
    <cellStyle name="Comma 2 2 2 2 3 3 3 3" xfId="13736" xr:uid="{16FF5652-9C6F-494E-95E0-55C5DE0AD597}"/>
    <cellStyle name="Comma 2 2 2 2 3 3 3 4" xfId="43660" xr:uid="{FDA0C8CE-9E5A-4796-8968-4B681A42A24E}"/>
    <cellStyle name="Comma 2 2 2 2 3 3 3 5" xfId="48553" xr:uid="{2144C175-A139-48B1-B2D0-CE54FE63F90A}"/>
    <cellStyle name="Comma 2 2 2 2 3 3 4" xfId="3169" xr:uid="{8F445C3D-527E-4995-A643-BD357FC88C72}"/>
    <cellStyle name="Comma 2 2 2 2 3 3 4 2" xfId="11440" xr:uid="{37179DD4-8B02-46A9-A216-9D1FC7A70129}"/>
    <cellStyle name="Comma 2 2 2 2 3 3 4 2 2" xfId="46600" xr:uid="{F4AB1417-2429-4009-AA1E-7F0621F3449A}"/>
    <cellStyle name="Comma 2 2 2 2 3 3 4 3" xfId="14280" xr:uid="{FE2CAE4E-C679-4517-A6C1-763949D4EB51}"/>
    <cellStyle name="Comma 2 2 2 2 3 3 4 4" xfId="44204" xr:uid="{DCBD47F5-8E30-471D-AE1F-B2FFE48ED9F6}"/>
    <cellStyle name="Comma 2 2 2 2 3 3 4 5" xfId="49097" xr:uid="{1AB0E0CA-025A-4255-A048-E35CE8BC4CFD}"/>
    <cellStyle name="Comma 2 2 2 2 3 3 5" xfId="3671" xr:uid="{770A0CBD-AE73-4955-B5A1-74A0DABFEBD7}"/>
    <cellStyle name="Comma 2 2 2 2 3 3 5 2" xfId="11912" xr:uid="{D08C0971-5500-425F-8D99-8F486FF0045C}"/>
    <cellStyle name="Comma 2 2 2 2 3 3 5 3" xfId="14752" xr:uid="{DBE2C544-290A-4B61-95D9-EC29261C70BB}"/>
    <cellStyle name="Comma 2 2 2 2 3 3 5 4" xfId="44676" xr:uid="{41EFA4BF-623B-46CD-A811-9BB8667453BC}"/>
    <cellStyle name="Comma 2 2 2 2 3 3 5 5" xfId="49569" xr:uid="{871AC96E-2CB4-4C02-8EC1-C9CC34308D91}"/>
    <cellStyle name="Comma 2 2 2 2 3 3 6" xfId="9934" xr:uid="{36919641-C921-435C-B989-E92A57802CFF}"/>
    <cellStyle name="Comma 2 2 2 2 3 3 6 2" xfId="45094" xr:uid="{9244188E-0A6F-4B2B-9F70-5C9F9D7CA3A8}"/>
    <cellStyle name="Comma 2 2 2 2 3 3 7" xfId="12774" xr:uid="{89AA3103-B0A5-41B7-85D7-92CFD84550C7}"/>
    <cellStyle name="Comma 2 2 2 2 3 3 8" xfId="16117" xr:uid="{52D86946-F3A7-40CC-BB49-5BC6C9C86F54}"/>
    <cellStyle name="Comma 2 2 2 2 3 3 9" xfId="16660" xr:uid="{5FC6ECE5-56DC-412A-B874-1C179CF0F2FA}"/>
    <cellStyle name="Comma 2 2 2 2 3 4" xfId="593" xr:uid="{00000000-0005-0000-0000-000069000000}"/>
    <cellStyle name="Comma 2 2 2 2 3 4 10" xfId="47793" xr:uid="{EF988A78-0E95-413A-8FCD-D9C7A13EBCB4}"/>
    <cellStyle name="Comma 2 2 2 2 3 4 2" xfId="2827" xr:uid="{BAE68A0B-A146-4E75-A444-D6B9F16F507E}"/>
    <cellStyle name="Comma 2 2 2 2 3 4 2 2" xfId="11098" xr:uid="{91C4D826-A7DA-4FA2-877A-ADE7F2DCBBF4}"/>
    <cellStyle name="Comma 2 2 2 2 3 4 2 2 2" xfId="46258" xr:uid="{765335B2-44B5-42F9-99E0-1CFD93867103}"/>
    <cellStyle name="Comma 2 2 2 2 3 4 2 3" xfId="13938" xr:uid="{A250DCA0-EA45-4584-877A-E1A656033D44}"/>
    <cellStyle name="Comma 2 2 2 2 3 4 2 4" xfId="43862" xr:uid="{C41FBBF1-B16A-4992-A374-13C2615B6096}"/>
    <cellStyle name="Comma 2 2 2 2 3 4 2 5" xfId="48755" xr:uid="{A46DAB53-8D27-41B8-A68C-EE0B0C41A833}"/>
    <cellStyle name="Comma 2 2 2 2 3 4 3" xfId="10136" xr:uid="{4AC92FFF-D458-4A99-A69B-010B2D40EA03}"/>
    <cellStyle name="Comma 2 2 2 2 3 4 3 2" xfId="45296" xr:uid="{DF55B6C2-A716-4D02-801B-211203EDE1BA}"/>
    <cellStyle name="Comma 2 2 2 2 3 4 4" xfId="12976" xr:uid="{D1251514-E27B-4299-8126-062897435D05}"/>
    <cellStyle name="Comma 2 2 2 2 3 4 5" xfId="16319" xr:uid="{C913D096-040F-4DD4-978C-1FF481D12DC0}"/>
    <cellStyle name="Comma 2 2 2 2 3 4 6" xfId="16862" xr:uid="{9B224180-3209-4754-8A65-4C89214A1284}"/>
    <cellStyle name="Comma 2 2 2 2 3 4 7" xfId="17406" xr:uid="{BFA591F7-887B-43F0-A432-0AA8359322C7}"/>
    <cellStyle name="Comma 2 2 2 2 3 4 8" xfId="18014" xr:uid="{3838497A-CC0C-4149-AD4F-67D39637AE7D}"/>
    <cellStyle name="Comma 2 2 2 2 3 4 9" xfId="42900" xr:uid="{BF05D8C9-6340-4EF9-913B-EFBBED2E01CD}"/>
    <cellStyle name="Comma 2 2 2 2 3 5" xfId="1991" xr:uid="{CBCD905A-B8B1-40E0-8ED2-702F4D80B334}"/>
    <cellStyle name="Comma 2 2 2 2 3 5 2" xfId="10262" xr:uid="{EB82034C-2156-4B09-9963-D4E702E6B51A}"/>
    <cellStyle name="Comma 2 2 2 2 3 5 2 2" xfId="45422" xr:uid="{9E5AC268-4053-4DE2-A956-D3FBFBAE9E48}"/>
    <cellStyle name="Comma 2 2 2 2 3 5 3" xfId="13102" xr:uid="{5F7FD8E4-FF61-4999-BB13-4AE4B273DE77}"/>
    <cellStyle name="Comma 2 2 2 2 3 5 4" xfId="43026" xr:uid="{2020A8CC-770A-4479-8DC7-7C2BF62A69BF}"/>
    <cellStyle name="Comma 2 2 2 2 3 5 5" xfId="47919" xr:uid="{891F2671-1850-4DB8-B6FE-2807BB4B2B77}"/>
    <cellStyle name="Comma 2 2 2 2 3 6" xfId="2409" xr:uid="{5D2B14F5-1A72-4740-A814-56525AEF74CD}"/>
    <cellStyle name="Comma 2 2 2 2 3 6 2" xfId="10680" xr:uid="{0C42C094-9369-4A4A-9CEC-EFAAE0C35500}"/>
    <cellStyle name="Comma 2 2 2 2 3 6 2 2" xfId="45840" xr:uid="{0A074D17-65CD-4EA5-B8A9-175F488C8721}"/>
    <cellStyle name="Comma 2 2 2 2 3 6 3" xfId="13520" xr:uid="{E4DAB976-2B00-434E-B8C7-967CBC7CB154}"/>
    <cellStyle name="Comma 2 2 2 2 3 6 4" xfId="43444" xr:uid="{02F820A9-77DB-49A0-8E5D-7596616DA618}"/>
    <cellStyle name="Comma 2 2 2 2 3 6 5" xfId="48337" xr:uid="{DAD257E0-5FD3-4FCD-95B7-4A490E111D57}"/>
    <cellStyle name="Comma 2 2 2 2 3 7" xfId="2953" xr:uid="{23E15463-22FC-4CFE-A3D6-8019D3C51C48}"/>
    <cellStyle name="Comma 2 2 2 2 3 7 2" xfId="11224" xr:uid="{2AA2DE7E-717B-4F40-BB48-B5F94DB9E37B}"/>
    <cellStyle name="Comma 2 2 2 2 3 7 2 2" xfId="46384" xr:uid="{3A5D439B-DC3D-4AAF-945A-C106E76EB8E9}"/>
    <cellStyle name="Comma 2 2 2 2 3 7 3" xfId="14064" xr:uid="{783F4A0A-5A34-47A4-B8FF-D72F74AAA8CC}"/>
    <cellStyle name="Comma 2 2 2 2 3 7 4" xfId="43988" xr:uid="{537D5104-07AB-45C3-ADF5-AB52CC07BCD5}"/>
    <cellStyle name="Comma 2 2 2 2 3 7 5" xfId="48881" xr:uid="{A7C8E486-020C-48D6-9A83-E8DD3D03DD35}"/>
    <cellStyle name="Comma 2 2 2 2 3 8" xfId="3455" xr:uid="{E53DEC11-EBF4-4B2F-896C-9D4A20E4F0AD}"/>
    <cellStyle name="Comma 2 2 2 2 3 8 2" xfId="11696" xr:uid="{132211E9-D0CD-4AF8-BEC5-962370E3D6EC}"/>
    <cellStyle name="Comma 2 2 2 2 3 8 3" xfId="14536" xr:uid="{D3275D11-E00E-4885-A3C5-486024776E2A}"/>
    <cellStyle name="Comma 2 2 2 2 3 8 4" xfId="44460" xr:uid="{41126380-D548-450D-85D8-3CB4BFCE62C0}"/>
    <cellStyle name="Comma 2 2 2 2 3 8 5" xfId="49353" xr:uid="{600529A9-451C-41C7-AA75-0261AA15F1B7}"/>
    <cellStyle name="Comma 2 2 2 2 3 9" xfId="9718" xr:uid="{68C17077-2E9A-4258-AA7C-E9628393D0DF}"/>
    <cellStyle name="Comma 2 2 2 2 3 9 2" xfId="44878" xr:uid="{5578CE8C-BD35-435F-9D84-23BCA3C900D6}"/>
    <cellStyle name="Comma 2 2 2 2 4" xfId="237" xr:uid="{00000000-0005-0000-0000-00006A000000}"/>
    <cellStyle name="Comma 2 2 2 2 4 10" xfId="16521" xr:uid="{C0175BD7-93E4-40E5-98FB-7162423E1480}"/>
    <cellStyle name="Comma 2 2 2 2 4 11" xfId="17065" xr:uid="{16A53CC9-0C68-4E9D-BD2F-FD6E8767D734}"/>
    <cellStyle name="Comma 2 2 2 2 4 12" xfId="17656" xr:uid="{8E9E55AB-6BA7-43BF-9F25-05F61900BCED}"/>
    <cellStyle name="Comma 2 2 2 2 4 13" xfId="42559" xr:uid="{11DC3866-A351-4E83-BB66-28C3715454C7}"/>
    <cellStyle name="Comma 2 2 2 2 4 14" xfId="47452" xr:uid="{D85E78A8-BC57-47C1-9F9C-3C6678512672}"/>
    <cellStyle name="Comma 2 2 2 2 4 2" xfId="464" xr:uid="{00000000-0005-0000-0000-00006B000000}"/>
    <cellStyle name="Comma 2 2 2 2 4 2 10" xfId="17277" xr:uid="{C526FA9A-505A-4F5F-A5F9-745C65E8A63D}"/>
    <cellStyle name="Comma 2 2 2 2 4 2 11" xfId="17880" xr:uid="{BCCB9274-5DA6-48BF-82B8-B4BBB3D363AD}"/>
    <cellStyle name="Comma 2 2 2 2 4 2 12" xfId="42771" xr:uid="{F87E74AC-A8CA-4796-B025-84AEC15286D7}"/>
    <cellStyle name="Comma 2 2 2 2 4 2 13" xfId="47664" xr:uid="{A81CFBD6-EFBF-467D-AA1B-A650247FDDED}"/>
    <cellStyle name="Comma 2 2 2 2 4 2 2" xfId="2280" xr:uid="{779BB852-15E9-4FE3-8DC1-09B012048831}"/>
    <cellStyle name="Comma 2 2 2 2 4 2 2 2" xfId="10551" xr:uid="{ABB32688-B174-4FA4-B51D-42D65263D058}"/>
    <cellStyle name="Comma 2 2 2 2 4 2 2 2 2" xfId="45711" xr:uid="{AFA5EC63-75BC-422F-B3D4-C84B9431AAC8}"/>
    <cellStyle name="Comma 2 2 2 2 4 2 2 3" xfId="13391" xr:uid="{1D05F093-2038-492F-A558-5FA2375ED56B}"/>
    <cellStyle name="Comma 2 2 2 2 4 2 2 4" xfId="43315" xr:uid="{5147A5DD-ACE4-4B88-9326-07216FFB59CE}"/>
    <cellStyle name="Comma 2 2 2 2 4 2 2 5" xfId="48208" xr:uid="{7399DBD6-E25F-4CB5-A89F-EAE5A46F6A40}"/>
    <cellStyle name="Comma 2 2 2 2 4 2 3" xfId="2698" xr:uid="{1A69A0C5-C6FD-4A17-86BC-2502A8B77636}"/>
    <cellStyle name="Comma 2 2 2 2 4 2 3 2" xfId="10969" xr:uid="{9F645B41-7141-4BA5-9D14-5F1F778AFC4D}"/>
    <cellStyle name="Comma 2 2 2 2 4 2 3 2 2" xfId="46129" xr:uid="{363AEBB7-88B5-479C-A30B-EE00595F1695}"/>
    <cellStyle name="Comma 2 2 2 2 4 2 3 3" xfId="13809" xr:uid="{49639D89-4B8D-4F80-9153-5AFBEAB8625E}"/>
    <cellStyle name="Comma 2 2 2 2 4 2 3 4" xfId="43733" xr:uid="{E602CE12-37AE-4D47-9CDF-2E29B7E7EBCE}"/>
    <cellStyle name="Comma 2 2 2 2 4 2 3 5" xfId="48626" xr:uid="{609C9790-E16E-4013-91BE-90997CE95FA4}"/>
    <cellStyle name="Comma 2 2 2 2 4 2 4" xfId="3242" xr:uid="{ECBDF12C-AFAD-45DF-BB00-DC2E16A16A86}"/>
    <cellStyle name="Comma 2 2 2 2 4 2 4 2" xfId="11513" xr:uid="{8DFE548B-9AE5-4AFF-A00C-DD3085B28C3D}"/>
    <cellStyle name="Comma 2 2 2 2 4 2 4 2 2" xfId="46673" xr:uid="{2D691978-AB20-49EC-8F91-369FA08AC4B8}"/>
    <cellStyle name="Comma 2 2 2 2 4 2 4 3" xfId="14353" xr:uid="{40004C88-31FB-4CB2-8FC7-100C3FDF66C9}"/>
    <cellStyle name="Comma 2 2 2 2 4 2 4 4" xfId="44277" xr:uid="{D5F76CF2-821C-4EE9-BA70-9301B43B7965}"/>
    <cellStyle name="Comma 2 2 2 2 4 2 4 5" xfId="49170" xr:uid="{9EAF7D47-D08C-4EAE-A6D2-B15A1B900FAC}"/>
    <cellStyle name="Comma 2 2 2 2 4 2 5" xfId="3744" xr:uid="{1A972111-978E-4E3D-AE29-0EEC0CDDBEA3}"/>
    <cellStyle name="Comma 2 2 2 2 4 2 5 2" xfId="11985" xr:uid="{BCEF9515-57F8-42BD-8DD6-213CCC423D71}"/>
    <cellStyle name="Comma 2 2 2 2 4 2 5 3" xfId="14825" xr:uid="{35E5A76C-B6A4-42EE-B067-6EA9867BD9A7}"/>
    <cellStyle name="Comma 2 2 2 2 4 2 5 4" xfId="44749" xr:uid="{7E5C6F9A-D457-46BB-9062-BA7C95C9BB4B}"/>
    <cellStyle name="Comma 2 2 2 2 4 2 5 5" xfId="49642" xr:uid="{EBF518FC-1492-474C-B75D-34A85BF192D8}"/>
    <cellStyle name="Comma 2 2 2 2 4 2 6" xfId="10007" xr:uid="{644AFFE6-7244-4080-8ED4-E2BC0D11CE09}"/>
    <cellStyle name="Comma 2 2 2 2 4 2 6 2" xfId="45167" xr:uid="{8364B68D-EDF2-4A16-81C8-4320E87F255B}"/>
    <cellStyle name="Comma 2 2 2 2 4 2 7" xfId="12847" xr:uid="{CB7FE9FE-7053-40C9-8033-7739C9047E65}"/>
    <cellStyle name="Comma 2 2 2 2 4 2 8" xfId="16190" xr:uid="{3C87CDE4-414A-4141-80AF-CF7A01B25FF5}"/>
    <cellStyle name="Comma 2 2 2 2 4 2 9" xfId="16733" xr:uid="{8CC2D26D-4796-47BA-B6E0-9400EEA8FD2D}"/>
    <cellStyle name="Comma 2 2 2 2 4 3" xfId="2068" xr:uid="{ECF6DE8C-2B3B-43E7-A0DA-3CD85CDFD1B1}"/>
    <cellStyle name="Comma 2 2 2 2 4 3 2" xfId="10339" xr:uid="{A5423002-8FCF-4809-B334-8FB3F8F97959}"/>
    <cellStyle name="Comma 2 2 2 2 4 3 2 2" xfId="45499" xr:uid="{C984C0D3-8C15-416F-9D89-C8698403392C}"/>
    <cellStyle name="Comma 2 2 2 2 4 3 3" xfId="13179" xr:uid="{E184D432-F469-4DC3-8479-6E4B4983564E}"/>
    <cellStyle name="Comma 2 2 2 2 4 3 4" xfId="43103" xr:uid="{93BDA363-F2C9-4DE2-8A37-8E6210933D84}"/>
    <cellStyle name="Comma 2 2 2 2 4 3 5" xfId="47996" xr:uid="{02D4769D-E2F9-4117-B5EC-D5F82E68BC52}"/>
    <cellStyle name="Comma 2 2 2 2 4 4" xfId="2486" xr:uid="{69287053-1D0F-4734-B742-F0EAD9CB978B}"/>
    <cellStyle name="Comma 2 2 2 2 4 4 2" xfId="10757" xr:uid="{AE445CEC-FCCB-4276-850B-EC204B8982A5}"/>
    <cellStyle name="Comma 2 2 2 2 4 4 2 2" xfId="45917" xr:uid="{BB40BD6D-8F6B-4DCC-ADC2-E97C99D842B6}"/>
    <cellStyle name="Comma 2 2 2 2 4 4 3" xfId="13597" xr:uid="{A430A297-DF54-4DD8-AD6C-D0419B779004}"/>
    <cellStyle name="Comma 2 2 2 2 4 4 4" xfId="43521" xr:uid="{3A6654E6-3501-48C6-B0DD-2A54A317A198}"/>
    <cellStyle name="Comma 2 2 2 2 4 4 5" xfId="48414" xr:uid="{308DE64F-153A-439F-BBAF-ED1B816DFDE0}"/>
    <cellStyle name="Comma 2 2 2 2 4 5" xfId="3030" xr:uid="{1E0B66D1-AE80-49D0-BDE0-BEDD065A08B5}"/>
    <cellStyle name="Comma 2 2 2 2 4 5 2" xfId="11301" xr:uid="{A62EA570-93EF-4ECB-A303-BA2DB06A68E3}"/>
    <cellStyle name="Comma 2 2 2 2 4 5 2 2" xfId="46461" xr:uid="{2B728D6C-24B0-4725-81AD-8A72F6B6BD5B}"/>
    <cellStyle name="Comma 2 2 2 2 4 5 3" xfId="14141" xr:uid="{E8EB3F69-EAA8-4CFA-B39F-268CD34A2B6C}"/>
    <cellStyle name="Comma 2 2 2 2 4 5 4" xfId="44065" xr:uid="{F603B410-0ED9-4820-B4EC-9457DD37961F}"/>
    <cellStyle name="Comma 2 2 2 2 4 5 5" xfId="48958" xr:uid="{4DA7C848-375F-4B53-823A-2D598CFD4D59}"/>
    <cellStyle name="Comma 2 2 2 2 4 6" xfId="3532" xr:uid="{70A23873-2F69-4034-8C3E-3C5F4DD0002B}"/>
    <cellStyle name="Comma 2 2 2 2 4 6 2" xfId="11773" xr:uid="{EB655061-502F-4965-B2F4-4C106E2B2FAD}"/>
    <cellStyle name="Comma 2 2 2 2 4 6 3" xfId="14613" xr:uid="{C4BF17D8-95D7-462C-870F-1BB551472F41}"/>
    <cellStyle name="Comma 2 2 2 2 4 6 4" xfId="44537" xr:uid="{77F0B37E-4652-42B6-B048-835E63DB427D}"/>
    <cellStyle name="Comma 2 2 2 2 4 6 5" xfId="49430" xr:uid="{713B1EF4-3734-4EB3-831F-1B465F46AF5D}"/>
    <cellStyle name="Comma 2 2 2 2 4 7" xfId="9795" xr:uid="{215A92A5-23C0-40F4-96A1-5A35BC9E78EC}"/>
    <cellStyle name="Comma 2 2 2 2 4 7 2" xfId="44955" xr:uid="{0ABD2D6F-8D7B-4804-BCAB-BB850FA08EDE}"/>
    <cellStyle name="Comma 2 2 2 2 4 8" xfId="12635" xr:uid="{9CD24EAA-36E1-436B-A3BF-8B3A81F61FF3}"/>
    <cellStyle name="Comma 2 2 2 2 4 9" xfId="15978" xr:uid="{9D41E401-6C08-4CA9-8088-5C62A04CC511}"/>
    <cellStyle name="Comma 2 2 2 2 5" xfId="363" xr:uid="{00000000-0005-0000-0000-00006C000000}"/>
    <cellStyle name="Comma 2 2 2 2 5 10" xfId="17177" xr:uid="{F92F47F6-E972-4B53-8692-BAF2BB613922}"/>
    <cellStyle name="Comma 2 2 2 2 5 11" xfId="18024" xr:uid="{D719F5AD-1C4C-4347-9B52-F21E1180C81F}"/>
    <cellStyle name="Comma 2 2 2 2 5 12" xfId="42671" xr:uid="{93B9FDDA-AC1B-44BF-A4D7-95ED3B628887}"/>
    <cellStyle name="Comma 2 2 2 2 5 13" xfId="47564" xr:uid="{095FFB9D-53EB-4074-B0C1-705245F5EBF4}"/>
    <cellStyle name="Comma 2 2 2 2 5 2" xfId="2180" xr:uid="{3B76F31D-371B-4E8F-B2C2-EB8A3332A8A2}"/>
    <cellStyle name="Comma 2 2 2 2 5 2 2" xfId="10451" xr:uid="{3731C523-E764-423B-B2CF-5E27457F9BA9}"/>
    <cellStyle name="Comma 2 2 2 2 5 2 2 2" xfId="45611" xr:uid="{F8093F6A-242E-439F-9A0B-CF358CF0CDC6}"/>
    <cellStyle name="Comma 2 2 2 2 5 2 3" xfId="13291" xr:uid="{74FE94A6-D3FB-4C89-B4AD-7843EB1DD349}"/>
    <cellStyle name="Comma 2 2 2 2 5 2 4" xfId="43215" xr:uid="{117F8D11-359B-4A83-A7E6-6C81F6E5DF0D}"/>
    <cellStyle name="Comma 2 2 2 2 5 2 5" xfId="48108" xr:uid="{56B25384-940D-407D-8A10-6FF4604E7E45}"/>
    <cellStyle name="Comma 2 2 2 2 5 3" xfId="2598" xr:uid="{3E7A93EE-A3A2-404B-8A24-EFEFAD7B8293}"/>
    <cellStyle name="Comma 2 2 2 2 5 3 2" xfId="10869" xr:uid="{F90BF43F-9C5D-4A8E-9E3D-B7EDBA6451FB}"/>
    <cellStyle name="Comma 2 2 2 2 5 3 2 2" xfId="46029" xr:uid="{95F3055D-3258-432B-B164-E28CE12D9576}"/>
    <cellStyle name="Comma 2 2 2 2 5 3 3" xfId="13709" xr:uid="{309173EC-3C4C-4464-9F47-6390455C3F4A}"/>
    <cellStyle name="Comma 2 2 2 2 5 3 4" xfId="43633" xr:uid="{63BF6E73-B2D8-4262-B1B8-CFD01975E066}"/>
    <cellStyle name="Comma 2 2 2 2 5 3 5" xfId="48526" xr:uid="{01456A0D-DAD5-4014-B75A-6081B0AFB82B}"/>
    <cellStyle name="Comma 2 2 2 2 5 4" xfId="3142" xr:uid="{ADDBD08B-7DA4-4A6B-9771-2A16AFE901E7}"/>
    <cellStyle name="Comma 2 2 2 2 5 4 2" xfId="11413" xr:uid="{E193E32B-A08F-4A2E-9900-6A5C9F1EAD2F}"/>
    <cellStyle name="Comma 2 2 2 2 5 4 2 2" xfId="46573" xr:uid="{EEB32925-B6F7-4EEE-8059-768C296E68B6}"/>
    <cellStyle name="Comma 2 2 2 2 5 4 3" xfId="14253" xr:uid="{8691A390-19C6-4EE9-9337-33645896B464}"/>
    <cellStyle name="Comma 2 2 2 2 5 4 4" xfId="44177" xr:uid="{B82B3E51-8FFC-4AF1-B667-285A53EA212F}"/>
    <cellStyle name="Comma 2 2 2 2 5 4 5" xfId="49070" xr:uid="{6140BC70-3901-4D82-ACA0-2B88B858B37A}"/>
    <cellStyle name="Comma 2 2 2 2 5 5" xfId="3644" xr:uid="{8A660CE4-E6B3-4C0D-9664-BBA8E9A6C0B9}"/>
    <cellStyle name="Comma 2 2 2 2 5 5 2" xfId="11885" xr:uid="{F0329436-4145-4B78-9DB6-F1FEBD124544}"/>
    <cellStyle name="Comma 2 2 2 2 5 5 2 2" xfId="47306" xr:uid="{F804EEC1-EF14-4E6B-9618-B12F63AB4EFB}"/>
    <cellStyle name="Comma 2 2 2 2 5 5 3" xfId="14725" xr:uid="{3C6B6458-8E3D-457F-ADA4-921ACED1F247}"/>
    <cellStyle name="Comma 2 2 2 2 5 5 3 2" xfId="47218" xr:uid="{77FA0A7F-736F-4C17-9D21-AD5AB183B225}"/>
    <cellStyle name="Comma 2 2 2 2 5 5 4" xfId="44649" xr:uid="{1F3E1B50-E5A1-445B-AAF0-50DDC31B6B92}"/>
    <cellStyle name="Comma 2 2 2 2 5 5 5" xfId="46812" xr:uid="{E0C39D80-1D2C-42C3-9F93-583C46F9E283}"/>
    <cellStyle name="Comma 2 2 2 2 5 5 6" xfId="49542" xr:uid="{07BF2BD5-2F0E-4175-BD34-8CE13FB9FB1F}"/>
    <cellStyle name="Comma 2 2 2 2 5 6" xfId="9907" xr:uid="{16ED9125-A83B-496D-8EF5-CD784ED9B496}"/>
    <cellStyle name="Comma 2 2 2 2 5 6 2" xfId="45067" xr:uid="{EE6775A3-07D6-4864-9AA6-0DA985D5B14B}"/>
    <cellStyle name="Comma 2 2 2 2 5 7" xfId="12747" xr:uid="{2D35FA5A-2F2C-4EC5-8E5A-840B346576D8}"/>
    <cellStyle name="Comma 2 2 2 2 5 8" xfId="16090" xr:uid="{13536C24-0C27-49AD-9FC1-857118CE1B7B}"/>
    <cellStyle name="Comma 2 2 2 2 5 9" xfId="16633" xr:uid="{CB6BDFFD-87DA-4E9D-9F96-E51D0F424860}"/>
    <cellStyle name="Comma 2 2 2 2 6" xfId="566" xr:uid="{00000000-0005-0000-0000-00006D000000}"/>
    <cellStyle name="Comma 2 2 2 2 6 10" xfId="47766" xr:uid="{7B8B1259-F72F-4C1E-9318-1B0E2EEDEF8A}"/>
    <cellStyle name="Comma 2 2 2 2 6 2" xfId="2800" xr:uid="{D197A898-DC33-4B71-BC80-433CD5BBEC12}"/>
    <cellStyle name="Comma 2 2 2 2 6 2 2" xfId="11071" xr:uid="{9622A2C9-FD9E-4EA7-98EC-420DA1A94774}"/>
    <cellStyle name="Comma 2 2 2 2 6 2 2 2" xfId="46231" xr:uid="{D3D7896E-51D3-43C7-BD5E-AF0E320E515C}"/>
    <cellStyle name="Comma 2 2 2 2 6 2 3" xfId="13911" xr:uid="{6443B8DC-5489-4EA8-A5DA-A5724804C06D}"/>
    <cellStyle name="Comma 2 2 2 2 6 2 4" xfId="43835" xr:uid="{4BFE390A-D557-4525-9E2B-4A00F58B9E75}"/>
    <cellStyle name="Comma 2 2 2 2 6 2 5" xfId="48728" xr:uid="{D132FB79-798A-494C-BA60-3DFF3B6876A6}"/>
    <cellStyle name="Comma 2 2 2 2 6 3" xfId="10109" xr:uid="{4CC90D30-3360-42A9-8733-02B1AF488A1E}"/>
    <cellStyle name="Comma 2 2 2 2 6 3 2" xfId="45269" xr:uid="{A0111D7D-D3A5-4A66-A267-EA15553B798A}"/>
    <cellStyle name="Comma 2 2 2 2 6 4" xfId="12949" xr:uid="{B1A87113-BE04-401F-AFC5-16065F1B6659}"/>
    <cellStyle name="Comma 2 2 2 2 6 5" xfId="16292" xr:uid="{15A2FB08-807F-4308-8582-D6E2DA026AF3}"/>
    <cellStyle name="Comma 2 2 2 2 6 6" xfId="16835" xr:uid="{593AAE8E-BB54-42C5-9F88-411B3E387876}"/>
    <cellStyle name="Comma 2 2 2 2 6 7" xfId="17379" xr:uid="{14A2741E-9F18-4FFC-B12C-61B4395FB5E3}"/>
    <cellStyle name="Comma 2 2 2 2 6 8" xfId="17866" xr:uid="{247509A0-41AC-4FC7-B1DE-5A3916A57A9A}"/>
    <cellStyle name="Comma 2 2 2 2 6 9" xfId="42873" xr:uid="{360A9AD7-8B19-4AB6-A6B6-CADBD63F4058}"/>
    <cellStyle name="Comma 2 2 2 2 7" xfId="1964" xr:uid="{FA9C8632-1B66-4AB0-BDD6-996AC802637A}"/>
    <cellStyle name="Comma 2 2 2 2 7 2" xfId="10235" xr:uid="{827DB23A-9009-48AA-A73B-AFD49F587683}"/>
    <cellStyle name="Comma 2 2 2 2 7 2 2" xfId="45395" xr:uid="{505743BC-D8A4-4C30-9107-6F11051878CF}"/>
    <cellStyle name="Comma 2 2 2 2 7 3" xfId="13075" xr:uid="{905D3255-2E00-4C44-B4BC-6E3519460A77}"/>
    <cellStyle name="Comma 2 2 2 2 7 4" xfId="42999" xr:uid="{CFA9B255-EF1D-4871-9504-5BC71FC42728}"/>
    <cellStyle name="Comma 2 2 2 2 7 5" xfId="47892" xr:uid="{E669C919-EC36-4664-A1F7-43420414CD9E}"/>
    <cellStyle name="Comma 2 2 2 2 8" xfId="2382" xr:uid="{C374BA53-32C5-4EA1-B20A-5FDF02A2FC83}"/>
    <cellStyle name="Comma 2 2 2 2 8 2" xfId="10653" xr:uid="{7BD1E994-77B7-4571-BE55-CA2106624104}"/>
    <cellStyle name="Comma 2 2 2 2 8 2 2" xfId="45813" xr:uid="{4E54D110-730C-48D4-8381-C8ADDDBA4F34}"/>
    <cellStyle name="Comma 2 2 2 2 8 3" xfId="13493" xr:uid="{E2A2B19F-BCC3-4408-8A95-72E3C98CB800}"/>
    <cellStyle name="Comma 2 2 2 2 8 4" xfId="43417" xr:uid="{9C935BBE-C766-4B2E-A1C4-BBDED67856AB}"/>
    <cellStyle name="Comma 2 2 2 2 8 5" xfId="48310" xr:uid="{E41F9C2D-FF82-43D6-B129-539E2B7C77E7}"/>
    <cellStyle name="Comma 2 2 2 2 9" xfId="2926" xr:uid="{52E5E1A2-905D-4185-8817-5E95204E9290}"/>
    <cellStyle name="Comma 2 2 2 2 9 2" xfId="11197" xr:uid="{3B0B4C29-9F0F-42C1-BC6F-A2A885FA7E41}"/>
    <cellStyle name="Comma 2 2 2 2 9 2 2" xfId="46357" xr:uid="{210722E9-D182-4FA9-BF10-E8E356DB3C5D}"/>
    <cellStyle name="Comma 2 2 2 2 9 3" xfId="14037" xr:uid="{EE9193E2-FD4A-4E84-86EA-7E1044E6C0A0}"/>
    <cellStyle name="Comma 2 2 2 2 9 4" xfId="43961" xr:uid="{DE692BEB-ACE9-4B21-AF02-01B310947744}"/>
    <cellStyle name="Comma 2 2 2 2 9 5" xfId="48854" xr:uid="{ABC08364-750F-4645-9755-06DE65AE81C0}"/>
    <cellStyle name="Comma 2 2 2 20" xfId="17958" xr:uid="{0B0719A6-C365-4212-A23A-3024DBFAF986}"/>
    <cellStyle name="Comma 2 2 2 21" xfId="42059" xr:uid="{37F05578-B99F-4EC7-8350-CAF4F3635DB7}"/>
    <cellStyle name="Comma 2 2 2 22" xfId="42444" xr:uid="{18192CC5-8DAA-4C13-82E9-319F6B7602E7}"/>
    <cellStyle name="Comma 2 2 2 23" xfId="47337" xr:uid="{54670ECD-CB74-47A3-AC16-F72FBDA8C33D}"/>
    <cellStyle name="Comma 2 2 2 24" xfId="50189" xr:uid="{FDAD8FB9-AE8E-4045-BB84-23CA74B1132A}"/>
    <cellStyle name="Comma 2 2 2 25" xfId="50263" xr:uid="{C8FFAA2C-C21D-446D-91C5-F2E6010F999B}"/>
    <cellStyle name="Comma 2 2 2 3" xfId="183" xr:uid="{00000000-0005-0000-0000-00006E000000}"/>
    <cellStyle name="Comma 2 2 2 3 10" xfId="12589" xr:uid="{9243D7F9-9C68-4C04-9F33-24312A4F9AC5}"/>
    <cellStyle name="Comma 2 2 2 3 10 2" xfId="47124" xr:uid="{0ADBC06B-D5E0-4030-ACC4-BE3027F41836}"/>
    <cellStyle name="Comma 2 2 2 3 11" xfId="15932" xr:uid="{AECE9AF8-CF38-44FB-972C-616FC0CC75C9}"/>
    <cellStyle name="Comma 2 2 2 3 12" xfId="16475" xr:uid="{F3744289-0F3B-41FF-A623-494759D9D367}"/>
    <cellStyle name="Comma 2 2 2 3 13" xfId="17019" xr:uid="{F9F65E47-DAB2-4609-A344-52657379CA28}"/>
    <cellStyle name="Comma 2 2 2 3 14" xfId="17664" xr:uid="{5614FB48-4605-4E7A-B7FC-488B1F1FEC19}"/>
    <cellStyle name="Comma 2 2 2 3 15" xfId="42513" xr:uid="{DB0E38D1-635F-46AB-BE58-47771470E270}"/>
    <cellStyle name="Comma 2 2 2 3 16" xfId="46813" xr:uid="{F61EEA2E-060C-4D50-BB85-760B0B14EBCB}"/>
    <cellStyle name="Comma 2 2 2 3 17" xfId="47406" xr:uid="{0E922DF6-9770-4816-9388-39C1A0C79BAF}"/>
    <cellStyle name="Comma 2 2 2 3 18" xfId="50335" xr:uid="{E2EF926C-4F84-448D-AB89-4DA706AB6AF2}"/>
    <cellStyle name="Comma 2 2 2 3 2" xfId="295" xr:uid="{00000000-0005-0000-0000-00006F000000}"/>
    <cellStyle name="Comma 2 2 2 3 2 10" xfId="16579" xr:uid="{55745280-CFC1-4CDB-8114-8405E67C2F75}"/>
    <cellStyle name="Comma 2 2 2 3 2 11" xfId="17123" xr:uid="{BFE87861-84C6-48A8-B413-0BCB4EEFFFA5}"/>
    <cellStyle name="Comma 2 2 2 3 2 12" xfId="17985" xr:uid="{D7CA52E6-62B8-4A7C-A041-04437F6E3A58}"/>
    <cellStyle name="Comma 2 2 2 3 2 13" xfId="42617" xr:uid="{7461699E-D773-4096-BC8B-E94370723C4D}"/>
    <cellStyle name="Comma 2 2 2 3 2 14" xfId="47510" xr:uid="{84EA5B4C-927C-43E5-BC86-61A6606F090C}"/>
    <cellStyle name="Comma 2 2 2 3 2 2" xfId="522" xr:uid="{00000000-0005-0000-0000-000070000000}"/>
    <cellStyle name="Comma 2 2 2 3 2 2 10" xfId="17335" xr:uid="{2B66658A-C638-4A02-8B80-42B001124C9E}"/>
    <cellStyle name="Comma 2 2 2 3 2 2 11" xfId="18254" xr:uid="{A4A8B4B8-8BBB-4ED5-B064-9AD1F772AE89}"/>
    <cellStyle name="Comma 2 2 2 3 2 2 12" xfId="42829" xr:uid="{D4480A66-520A-4BD8-BD36-7BFC55807423}"/>
    <cellStyle name="Comma 2 2 2 3 2 2 13" xfId="47722" xr:uid="{1858520E-965E-4B86-8C2A-87CFD104200C}"/>
    <cellStyle name="Comma 2 2 2 3 2 2 2" xfId="2338" xr:uid="{D13D7E60-EF26-44AE-B77B-288A4C9BBF13}"/>
    <cellStyle name="Comma 2 2 2 3 2 2 2 2" xfId="10609" xr:uid="{EF3B9FED-932C-4C9D-9DBF-BD2A9BC2AE55}"/>
    <cellStyle name="Comma 2 2 2 3 2 2 2 2 2" xfId="45769" xr:uid="{20ECFE48-D7A9-4B60-AB2D-B9D10361D27D}"/>
    <cellStyle name="Comma 2 2 2 3 2 2 2 3" xfId="13449" xr:uid="{34C0492E-6B91-47B8-93EC-6198B1242FF9}"/>
    <cellStyle name="Comma 2 2 2 3 2 2 2 4" xfId="43373" xr:uid="{0D5D32A9-47A8-488A-97CE-F52F01D6733A}"/>
    <cellStyle name="Comma 2 2 2 3 2 2 2 5" xfId="48266" xr:uid="{1BFB122E-2C13-4A6B-AE39-F0B8FB6863D9}"/>
    <cellStyle name="Comma 2 2 2 3 2 2 3" xfId="2756" xr:uid="{D51F07F6-4834-4019-BECF-6CC15458BAAE}"/>
    <cellStyle name="Comma 2 2 2 3 2 2 3 2" xfId="11027" xr:uid="{87F87C1F-E709-44F4-B292-B177C9718725}"/>
    <cellStyle name="Comma 2 2 2 3 2 2 3 2 2" xfId="46187" xr:uid="{1A3B52B1-A392-4276-A90A-64BFE461EE23}"/>
    <cellStyle name="Comma 2 2 2 3 2 2 3 3" xfId="13867" xr:uid="{6FF62CFB-0AE2-4758-A0EE-12C732FE9FDE}"/>
    <cellStyle name="Comma 2 2 2 3 2 2 3 4" xfId="43791" xr:uid="{8F97F8C2-BBBE-41A5-8258-13130D4DC8DC}"/>
    <cellStyle name="Comma 2 2 2 3 2 2 3 5" xfId="48684" xr:uid="{C57EDA15-26D8-4888-951A-6229A0E18228}"/>
    <cellStyle name="Comma 2 2 2 3 2 2 4" xfId="3300" xr:uid="{232E4E19-1FBF-452A-94D7-3416E451327C}"/>
    <cellStyle name="Comma 2 2 2 3 2 2 4 2" xfId="11571" xr:uid="{FEA791EC-7A83-4CA9-A7B2-B4464C92758E}"/>
    <cellStyle name="Comma 2 2 2 3 2 2 4 2 2" xfId="46731" xr:uid="{F8B483F6-AD5E-4387-AC68-D392D29290AC}"/>
    <cellStyle name="Comma 2 2 2 3 2 2 4 3" xfId="14411" xr:uid="{1EEA31EE-0756-4F53-B501-FB3647A2B7A1}"/>
    <cellStyle name="Comma 2 2 2 3 2 2 4 4" xfId="44335" xr:uid="{8628BB7E-7139-4D67-A2D1-C08F1320183B}"/>
    <cellStyle name="Comma 2 2 2 3 2 2 4 5" xfId="49228" xr:uid="{99AEE11D-E992-45B3-8F43-A501B7C2DB5C}"/>
    <cellStyle name="Comma 2 2 2 3 2 2 5" xfId="3802" xr:uid="{9C5F9D48-B8E3-4B51-AA6C-39C8469E7F86}"/>
    <cellStyle name="Comma 2 2 2 3 2 2 5 2" xfId="12043" xr:uid="{BCEBDD3F-B442-4B5C-A59F-D238024B5386}"/>
    <cellStyle name="Comma 2 2 2 3 2 2 5 3" xfId="14883" xr:uid="{EB0C97DF-5B44-4F09-8F2A-3B596DCAC7A2}"/>
    <cellStyle name="Comma 2 2 2 3 2 2 5 4" xfId="44807" xr:uid="{4BA05F23-7D9F-4683-B388-9D83298E144C}"/>
    <cellStyle name="Comma 2 2 2 3 2 2 5 5" xfId="49700" xr:uid="{251910FF-CD8F-4FC7-81DF-B141DB26383D}"/>
    <cellStyle name="Comma 2 2 2 3 2 2 6" xfId="10065" xr:uid="{4B23F017-2CFA-49E4-9F7A-9ED65E9AF889}"/>
    <cellStyle name="Comma 2 2 2 3 2 2 6 2" xfId="45225" xr:uid="{CD54FCAC-0197-4035-9AD4-02BF91E3B8B3}"/>
    <cellStyle name="Comma 2 2 2 3 2 2 7" xfId="12905" xr:uid="{ECE15964-8CF1-491E-AC4F-6BEC7EBC9917}"/>
    <cellStyle name="Comma 2 2 2 3 2 2 8" xfId="16248" xr:uid="{754F2363-3193-43C6-BE71-83DFB9988E7D}"/>
    <cellStyle name="Comma 2 2 2 3 2 2 9" xfId="16791" xr:uid="{F0B43D79-D438-4BEF-A905-76D1204630BF}"/>
    <cellStyle name="Comma 2 2 2 3 2 3" xfId="2126" xr:uid="{C19C2F4D-0B62-4DC0-BF18-4D3DDF4551BA}"/>
    <cellStyle name="Comma 2 2 2 3 2 3 2" xfId="10397" xr:uid="{606876BC-2019-4C65-89F3-93583735E449}"/>
    <cellStyle name="Comma 2 2 2 3 2 3 2 2" xfId="45557" xr:uid="{3D162CF3-E2B4-4EC7-BD20-96B4C067746F}"/>
    <cellStyle name="Comma 2 2 2 3 2 3 3" xfId="13237" xr:uid="{E9229392-94D0-4A18-8CAC-F359E75F2C07}"/>
    <cellStyle name="Comma 2 2 2 3 2 3 4" xfId="43161" xr:uid="{DB4F6FBD-DC43-4D0B-8A5D-2BD8492B5BEB}"/>
    <cellStyle name="Comma 2 2 2 3 2 3 5" xfId="48054" xr:uid="{8B3DCB36-C038-49AD-ABCF-5D4CDC1FA56C}"/>
    <cellStyle name="Comma 2 2 2 3 2 4" xfId="2544" xr:uid="{A4116108-F2E1-4800-ABA7-EF8BB6340581}"/>
    <cellStyle name="Comma 2 2 2 3 2 4 2" xfId="10815" xr:uid="{9ED5923B-B68A-45E7-A4DA-93F4A3A15DEA}"/>
    <cellStyle name="Comma 2 2 2 3 2 4 2 2" xfId="45975" xr:uid="{798474D2-9D1F-46D1-9909-FF64E0DE5535}"/>
    <cellStyle name="Comma 2 2 2 3 2 4 3" xfId="13655" xr:uid="{0BC6162C-65E5-47DD-AD93-832D48B909FD}"/>
    <cellStyle name="Comma 2 2 2 3 2 4 4" xfId="43579" xr:uid="{109F4D38-3297-4B87-9D6C-45C826D78073}"/>
    <cellStyle name="Comma 2 2 2 3 2 4 5" xfId="48472" xr:uid="{5C48CB4B-0266-427E-8471-92C0F2509B09}"/>
    <cellStyle name="Comma 2 2 2 3 2 5" xfId="3088" xr:uid="{18DC3E99-0311-418C-B0D8-04D56CF1B06C}"/>
    <cellStyle name="Comma 2 2 2 3 2 5 2" xfId="11359" xr:uid="{712DBF28-940D-4ED9-AE65-C9F6CE678192}"/>
    <cellStyle name="Comma 2 2 2 3 2 5 2 2" xfId="46519" xr:uid="{21DF4B45-8BD7-4150-B48B-7CDA114800F4}"/>
    <cellStyle name="Comma 2 2 2 3 2 5 3" xfId="14199" xr:uid="{883865DF-AC90-48A7-9DD6-62BBAEDD5317}"/>
    <cellStyle name="Comma 2 2 2 3 2 5 4" xfId="44123" xr:uid="{280FB024-F6AC-407E-A82D-5890D63C797B}"/>
    <cellStyle name="Comma 2 2 2 3 2 5 5" xfId="49016" xr:uid="{FFB1CE7E-D130-44F8-93D4-887E9B33573F}"/>
    <cellStyle name="Comma 2 2 2 3 2 6" xfId="3590" xr:uid="{3C1810CA-281A-4B46-8C1B-850EA6B52828}"/>
    <cellStyle name="Comma 2 2 2 3 2 6 2" xfId="11831" xr:uid="{C3AAC41C-D8D9-4AC4-873F-57B2C6C37027}"/>
    <cellStyle name="Comma 2 2 2 3 2 6 3" xfId="14671" xr:uid="{40687592-5076-4587-9BC3-A7544FA7B2E5}"/>
    <cellStyle name="Comma 2 2 2 3 2 6 4" xfId="44595" xr:uid="{60ABDDD4-0AB5-4228-8998-D079C975FEDE}"/>
    <cellStyle name="Comma 2 2 2 3 2 6 5" xfId="49488" xr:uid="{40A2B3BB-B035-4454-A179-BDE2850BBD60}"/>
    <cellStyle name="Comma 2 2 2 3 2 7" xfId="9853" xr:uid="{8DE64E98-C849-47EC-B717-1E4ABA340EED}"/>
    <cellStyle name="Comma 2 2 2 3 2 7 2" xfId="45013" xr:uid="{DCB68713-13F1-4A14-8C05-7EE8A54CF09A}"/>
    <cellStyle name="Comma 2 2 2 3 2 8" xfId="12693" xr:uid="{AA1D9C12-3A06-4DE2-98FF-DA9AC4173351}"/>
    <cellStyle name="Comma 2 2 2 3 2 9" xfId="16036" xr:uid="{7910F4B4-6048-47DD-AA0B-FD630481D2BB}"/>
    <cellStyle name="Comma 2 2 2 3 3" xfId="421" xr:uid="{00000000-0005-0000-0000-000071000000}"/>
    <cellStyle name="Comma 2 2 2 3 3 10" xfId="17235" xr:uid="{85797035-89F8-42AA-B6CD-CF887FEA4C63}"/>
    <cellStyle name="Comma 2 2 2 3 3 11" xfId="19839" xr:uid="{DF7B5344-3C38-45D1-8186-F874D8470E54}"/>
    <cellStyle name="Comma 2 2 2 3 3 12" xfId="42729" xr:uid="{C64B62B0-342A-4A0B-B217-B5140F2FF397}"/>
    <cellStyle name="Comma 2 2 2 3 3 13" xfId="47622" xr:uid="{2CE9871F-BECC-487D-9EBF-6BD3685C6DC9}"/>
    <cellStyle name="Comma 2 2 2 3 3 2" xfId="2238" xr:uid="{A4840A59-9791-45D2-837C-E67C3C4F7DF3}"/>
    <cellStyle name="Comma 2 2 2 3 3 2 2" xfId="10509" xr:uid="{ED8D5FD9-E22C-47C0-ACF7-442BE2F29E0D}"/>
    <cellStyle name="Comma 2 2 2 3 3 2 2 2" xfId="45669" xr:uid="{0F814C7E-C83C-4590-BADE-62E090B4B899}"/>
    <cellStyle name="Comma 2 2 2 3 3 2 3" xfId="13349" xr:uid="{0779FCE1-28C3-48B6-96A3-F2AFDA9E3ED6}"/>
    <cellStyle name="Comma 2 2 2 3 3 2 4" xfId="43273" xr:uid="{DBE73C7C-2AF4-4BFA-AC34-27DF7BA6D540}"/>
    <cellStyle name="Comma 2 2 2 3 3 2 5" xfId="48166" xr:uid="{B0F3A501-72AB-4C74-82D0-DBA26D901D4A}"/>
    <cellStyle name="Comma 2 2 2 3 3 3" xfId="2656" xr:uid="{9FF4AB3D-5D3B-4C11-B3CA-685E2FDC978D}"/>
    <cellStyle name="Comma 2 2 2 3 3 3 2" xfId="10927" xr:uid="{6D4E1F42-B60F-4067-AFEB-B95E45F66DD3}"/>
    <cellStyle name="Comma 2 2 2 3 3 3 2 2" xfId="46087" xr:uid="{70CDF43A-A2CD-4E72-971D-DB141DA45E70}"/>
    <cellStyle name="Comma 2 2 2 3 3 3 3" xfId="13767" xr:uid="{7503F93C-16DE-4D0C-8E33-1E0B285CFF41}"/>
    <cellStyle name="Comma 2 2 2 3 3 3 4" xfId="43691" xr:uid="{0AE34303-75DC-4CD6-AB18-983BBC41AA8E}"/>
    <cellStyle name="Comma 2 2 2 3 3 3 5" xfId="48584" xr:uid="{5736FDC4-D77F-4545-812E-AFF103F87E39}"/>
    <cellStyle name="Comma 2 2 2 3 3 4" xfId="3200" xr:uid="{2432C0A1-5F54-4A11-A877-9B3A1363B534}"/>
    <cellStyle name="Comma 2 2 2 3 3 4 2" xfId="11471" xr:uid="{F2FE32FD-7E53-4E00-877C-CCE82A2CDE80}"/>
    <cellStyle name="Comma 2 2 2 3 3 4 2 2" xfId="46631" xr:uid="{BA3D78EB-5F9F-4AAA-916E-531CA3586451}"/>
    <cellStyle name="Comma 2 2 2 3 3 4 3" xfId="14311" xr:uid="{C7FC495E-D0F1-41C4-8C87-FE2ECCAF45DC}"/>
    <cellStyle name="Comma 2 2 2 3 3 4 4" xfId="44235" xr:uid="{219BC1EC-8051-496A-A9D6-D4B58298FC89}"/>
    <cellStyle name="Comma 2 2 2 3 3 4 5" xfId="49128" xr:uid="{17EB1D19-379D-44F4-ABFF-338CFF99AFF3}"/>
    <cellStyle name="Comma 2 2 2 3 3 5" xfId="3702" xr:uid="{A79EE139-A5A2-47EC-AE99-8755A31057E8}"/>
    <cellStyle name="Comma 2 2 2 3 3 5 2" xfId="11943" xr:uid="{83BC9C09-AD09-41CF-949B-6E582D0E9D9E}"/>
    <cellStyle name="Comma 2 2 2 3 3 5 2 2" xfId="47308" xr:uid="{7AD52B72-9427-4327-994C-7795FB4219DA}"/>
    <cellStyle name="Comma 2 2 2 3 3 5 3" xfId="14783" xr:uid="{61CC7D35-9B4B-4C29-8CA5-A3C72B7C1124}"/>
    <cellStyle name="Comma 2 2 2 3 3 5 3 2" xfId="47220" xr:uid="{922F2D34-BF3D-42D2-AD90-C01266130C49}"/>
    <cellStyle name="Comma 2 2 2 3 3 5 4" xfId="44707" xr:uid="{64034659-03F9-44B4-B10E-93E2E4E76FA2}"/>
    <cellStyle name="Comma 2 2 2 3 3 5 5" xfId="46814" xr:uid="{5B627B6F-9D30-4737-9092-874C12374D59}"/>
    <cellStyle name="Comma 2 2 2 3 3 5 6" xfId="49600" xr:uid="{49E1ED6D-AA7B-4A83-984D-BDB1C9430168}"/>
    <cellStyle name="Comma 2 2 2 3 3 6" xfId="9965" xr:uid="{F4C8A148-6D93-449D-A322-858C685EA1F0}"/>
    <cellStyle name="Comma 2 2 2 3 3 6 2" xfId="45125" xr:uid="{98732C43-91A1-4280-B6BC-3F5094EA77A9}"/>
    <cellStyle name="Comma 2 2 2 3 3 7" xfId="12805" xr:uid="{2EE4B773-9F7E-4225-AD93-886436000CE4}"/>
    <cellStyle name="Comma 2 2 2 3 3 8" xfId="16148" xr:uid="{3C9273DE-9DB4-4857-8289-4BC14AD16D1C}"/>
    <cellStyle name="Comma 2 2 2 3 3 9" xfId="16691" xr:uid="{E5E90CFF-BD39-4125-A7CD-C5E98181E7DF}"/>
    <cellStyle name="Comma 2 2 2 3 4" xfId="624" xr:uid="{00000000-0005-0000-0000-000072000000}"/>
    <cellStyle name="Comma 2 2 2 3 4 10" xfId="47824" xr:uid="{C9442459-372D-40C9-901A-079CB3224577}"/>
    <cellStyle name="Comma 2 2 2 3 4 2" xfId="2858" xr:uid="{08DFDCB6-3EE6-4609-A60D-095ED0525ED4}"/>
    <cellStyle name="Comma 2 2 2 3 4 2 2" xfId="11129" xr:uid="{4B3DA6E7-EB48-4D75-94C8-57F3D27209F8}"/>
    <cellStyle name="Comma 2 2 2 3 4 2 2 2" xfId="46289" xr:uid="{876D43A0-AE6A-42F9-A8C1-FFF8801F649D}"/>
    <cellStyle name="Comma 2 2 2 3 4 2 3" xfId="13969" xr:uid="{13C1A518-3A01-4F27-8A6D-36E5A327DFBE}"/>
    <cellStyle name="Comma 2 2 2 3 4 2 4" xfId="43893" xr:uid="{E0A7B4FA-E7A1-410C-96E9-1C3B80134617}"/>
    <cellStyle name="Comma 2 2 2 3 4 2 5" xfId="48786" xr:uid="{CD770C1D-68C2-4801-A473-4507076FD18D}"/>
    <cellStyle name="Comma 2 2 2 3 4 3" xfId="10167" xr:uid="{E2405783-7CDD-43D2-A73B-42133187445D}"/>
    <cellStyle name="Comma 2 2 2 3 4 3 2" xfId="45327" xr:uid="{FBDECC32-483C-488A-B826-F546CF4BD217}"/>
    <cellStyle name="Comma 2 2 2 3 4 4" xfId="13007" xr:uid="{ABFF96C9-78E2-44E5-B45F-31FC8F135309}"/>
    <cellStyle name="Comma 2 2 2 3 4 5" xfId="16350" xr:uid="{B5EB5F1B-C6BB-4B08-AE56-1E37C8E8E592}"/>
    <cellStyle name="Comma 2 2 2 3 4 6" xfId="16893" xr:uid="{DF6F0565-5F29-4799-A771-A031EF15D19F}"/>
    <cellStyle name="Comma 2 2 2 3 4 7" xfId="17437" xr:uid="{A9AA31D0-595D-4323-BE0C-B073693A179E}"/>
    <cellStyle name="Comma 2 2 2 3 4 8" xfId="17842" xr:uid="{C2C58A73-FC27-4F9C-98AC-C16699407DAB}"/>
    <cellStyle name="Comma 2 2 2 3 4 9" xfId="42931" xr:uid="{5A1DFD19-4F98-487B-82BA-DB5D966AEA9B}"/>
    <cellStyle name="Comma 2 2 2 3 5" xfId="2022" xr:uid="{8764D869-F18D-41CB-8EAC-87FA1F2E4300}"/>
    <cellStyle name="Comma 2 2 2 3 5 2" xfId="10293" xr:uid="{D87AAF11-82FE-4FE5-A919-1BFD3D7F5176}"/>
    <cellStyle name="Comma 2 2 2 3 5 2 2" xfId="45453" xr:uid="{8802994F-8978-422B-A438-03595C451D5B}"/>
    <cellStyle name="Comma 2 2 2 3 5 3" xfId="13133" xr:uid="{3A52DEE7-AB82-4CCD-8188-8D5069E5A7D4}"/>
    <cellStyle name="Comma 2 2 2 3 5 4" xfId="43057" xr:uid="{47F85112-928F-4CB1-9B99-671359FF1D91}"/>
    <cellStyle name="Comma 2 2 2 3 5 5" xfId="47950" xr:uid="{6ADCC060-3736-4B0D-A5F7-36DE625BF65C}"/>
    <cellStyle name="Comma 2 2 2 3 6" xfId="2440" xr:uid="{2BD5B19D-3FC1-4F1F-A322-A83A25F9006A}"/>
    <cellStyle name="Comma 2 2 2 3 6 2" xfId="10711" xr:uid="{D35291F2-A795-42CE-B5BA-8BFC592EFE45}"/>
    <cellStyle name="Comma 2 2 2 3 6 2 2" xfId="45871" xr:uid="{93120C5C-4101-4C71-89BE-AC7BB089D24A}"/>
    <cellStyle name="Comma 2 2 2 3 6 3" xfId="13551" xr:uid="{DA46DC30-B29B-4557-A552-CA75CF66B85F}"/>
    <cellStyle name="Comma 2 2 2 3 6 4" xfId="43475" xr:uid="{5764EA1C-BC58-4FCE-BDCB-24BA00A1ECCE}"/>
    <cellStyle name="Comma 2 2 2 3 6 5" xfId="48368" xr:uid="{ADE45446-5628-4E89-B235-2A456DA1A8E8}"/>
    <cellStyle name="Comma 2 2 2 3 7" xfId="2984" xr:uid="{D13692C1-6577-4A3F-AC45-7C3A4EACFDDD}"/>
    <cellStyle name="Comma 2 2 2 3 7 2" xfId="11255" xr:uid="{DE6C0E26-4995-4DDD-A3F9-DAFD1D2D1BA4}"/>
    <cellStyle name="Comma 2 2 2 3 7 2 2" xfId="46415" xr:uid="{BC90C62D-8CA9-48C2-A432-A1DC8AE40A70}"/>
    <cellStyle name="Comma 2 2 2 3 7 3" xfId="14095" xr:uid="{0B5992CF-01B1-48BE-9851-FE6FEC7FDF9A}"/>
    <cellStyle name="Comma 2 2 2 3 7 4" xfId="44019" xr:uid="{40C50806-91D5-42BF-ABEC-3BF9713A6068}"/>
    <cellStyle name="Comma 2 2 2 3 7 5" xfId="48912" xr:uid="{534AAB53-EF94-48E8-AF15-F0704DB4917F}"/>
    <cellStyle name="Comma 2 2 2 3 8" xfId="3486" xr:uid="{90BFAB41-2541-4A63-924B-12907D319E4B}"/>
    <cellStyle name="Comma 2 2 2 3 8 2" xfId="11727" xr:uid="{650D04ED-37F6-48EF-B49D-7FA5314B6D84}"/>
    <cellStyle name="Comma 2 2 2 3 8 3" xfId="14567" xr:uid="{200D09D8-C67E-453C-A2A2-6B50711F4AFA}"/>
    <cellStyle name="Comma 2 2 2 3 8 4" xfId="44491" xr:uid="{ED54E7AB-1608-4338-9C17-1F91653AAF55}"/>
    <cellStyle name="Comma 2 2 2 3 8 5" xfId="49384" xr:uid="{4DB04240-44E1-42BF-A091-4B63E9D42795}"/>
    <cellStyle name="Comma 2 2 2 3 9" xfId="9749" xr:uid="{6889D2D5-61B9-4984-AE19-6AA878598E9C}"/>
    <cellStyle name="Comma 2 2 2 3 9 2" xfId="44909" xr:uid="{EEC30649-3CBF-4309-9FE6-9E98688C6C5E}"/>
    <cellStyle name="Comma 2 2 2 3 9 3" xfId="47262" xr:uid="{EF65DFF4-41F5-4FB3-839A-53EBC1384B5C}"/>
    <cellStyle name="Comma 2 2 2 4" xfId="172" xr:uid="{00000000-0005-0000-0000-000073000000}"/>
    <cellStyle name="Comma 2 2 2 4 10" xfId="12579" xr:uid="{67C6AA5D-DC30-4CA1-856D-0E530BA18F44}"/>
    <cellStyle name="Comma 2 2 2 4 11" xfId="15922" xr:uid="{51DF059F-D5D4-4158-908B-D2FC48FE334D}"/>
    <cellStyle name="Comma 2 2 2 4 12" xfId="16465" xr:uid="{CE028F03-E05E-4C8E-8BE5-DF4F34AAA3DE}"/>
    <cellStyle name="Comma 2 2 2 4 13" xfId="17009" xr:uid="{C48EE9A3-CB9F-4BE3-9622-B48F50C5231E}"/>
    <cellStyle name="Comma 2 2 2 4 14" xfId="17691" xr:uid="{D1669882-625B-4628-B0A1-64A2BA80F191}"/>
    <cellStyle name="Comma 2 2 2 4 15" xfId="42503" xr:uid="{BAEB1F17-6732-4E15-B3C5-83DB1EBD68D2}"/>
    <cellStyle name="Comma 2 2 2 4 16" xfId="47396" xr:uid="{8CFE255E-B067-4AF7-8B09-4532C107D6F5}"/>
    <cellStyle name="Comma 2 2 2 4 2" xfId="285" xr:uid="{00000000-0005-0000-0000-000074000000}"/>
    <cellStyle name="Comma 2 2 2 4 2 10" xfId="16569" xr:uid="{254E63E4-99C4-46CF-8710-10F4986BC11E}"/>
    <cellStyle name="Comma 2 2 2 4 2 11" xfId="17113" xr:uid="{ECA282B9-EFBA-4AF8-86AE-7D68B8CDC43C}"/>
    <cellStyle name="Comma 2 2 2 4 2 12" xfId="17786" xr:uid="{3F5E7ED9-BFA9-4CDC-A561-9B31C63B9197}"/>
    <cellStyle name="Comma 2 2 2 4 2 13" xfId="42607" xr:uid="{0A99B962-9925-4973-86F1-7566DBE9C9AE}"/>
    <cellStyle name="Comma 2 2 2 4 2 14" xfId="47500" xr:uid="{162FA918-FE02-46C2-A1D9-DA2A64AC9745}"/>
    <cellStyle name="Comma 2 2 2 4 2 2" xfId="512" xr:uid="{00000000-0005-0000-0000-000075000000}"/>
    <cellStyle name="Comma 2 2 2 4 2 2 10" xfId="17325" xr:uid="{7621C2E2-1DB8-499C-B205-1C74AB4B060C}"/>
    <cellStyle name="Comma 2 2 2 4 2 2 11" xfId="17605" xr:uid="{DA928B6E-4C99-491E-8283-3C350DE43096}"/>
    <cellStyle name="Comma 2 2 2 4 2 2 12" xfId="42819" xr:uid="{9B7AC6AA-6753-4A4F-85D2-60CAA2AFF321}"/>
    <cellStyle name="Comma 2 2 2 4 2 2 13" xfId="47712" xr:uid="{5F43A0B5-B622-4728-90CA-E1A9FF7E26D1}"/>
    <cellStyle name="Comma 2 2 2 4 2 2 2" xfId="2328" xr:uid="{493EBC0D-9F58-4C2B-BAEA-69DB075B74CF}"/>
    <cellStyle name="Comma 2 2 2 4 2 2 2 2" xfId="10599" xr:uid="{40D50D16-C55C-4405-89CA-80D37EA23D97}"/>
    <cellStyle name="Comma 2 2 2 4 2 2 2 2 2" xfId="45759" xr:uid="{9C15AE84-F866-4E17-9311-402DED7A7FA0}"/>
    <cellStyle name="Comma 2 2 2 4 2 2 2 3" xfId="13439" xr:uid="{6F27A030-E16B-4D2D-A980-96119F246BF1}"/>
    <cellStyle name="Comma 2 2 2 4 2 2 2 4" xfId="43363" xr:uid="{CD8B138C-90B8-40EB-A9C2-470469E7AADB}"/>
    <cellStyle name="Comma 2 2 2 4 2 2 2 5" xfId="48256" xr:uid="{FF6F535A-6515-47E1-906F-D5BE2ECC6617}"/>
    <cellStyle name="Comma 2 2 2 4 2 2 3" xfId="2746" xr:uid="{237A1EBE-E7E7-4066-A97E-C7A9C4117147}"/>
    <cellStyle name="Comma 2 2 2 4 2 2 3 2" xfId="11017" xr:uid="{09399799-032D-414A-94AF-898F4F119A12}"/>
    <cellStyle name="Comma 2 2 2 4 2 2 3 2 2" xfId="46177" xr:uid="{989B6767-138C-4895-B885-B4FB54A785A4}"/>
    <cellStyle name="Comma 2 2 2 4 2 2 3 3" xfId="13857" xr:uid="{F30BD18E-3812-4A56-83A6-D793D5D60527}"/>
    <cellStyle name="Comma 2 2 2 4 2 2 3 4" xfId="43781" xr:uid="{22E8C478-F880-448D-B44B-A6E33E106DA5}"/>
    <cellStyle name="Comma 2 2 2 4 2 2 3 5" xfId="48674" xr:uid="{A24056DE-4B60-4CCB-90B1-898AD6921373}"/>
    <cellStyle name="Comma 2 2 2 4 2 2 4" xfId="3290" xr:uid="{71388F14-891D-40DF-B208-4707C669A992}"/>
    <cellStyle name="Comma 2 2 2 4 2 2 4 2" xfId="11561" xr:uid="{8F52CAB7-600C-4D80-A5F0-CF7BA7E11877}"/>
    <cellStyle name="Comma 2 2 2 4 2 2 4 2 2" xfId="46721" xr:uid="{0F79433E-172F-4676-822B-43B2B84DA9B6}"/>
    <cellStyle name="Comma 2 2 2 4 2 2 4 3" xfId="14401" xr:uid="{D4B20EED-2EB7-4208-BB81-EE23775BE50C}"/>
    <cellStyle name="Comma 2 2 2 4 2 2 4 4" xfId="44325" xr:uid="{59495C59-E53B-4630-9501-22CE86875B8F}"/>
    <cellStyle name="Comma 2 2 2 4 2 2 4 5" xfId="49218" xr:uid="{2915E1BC-A550-4005-8266-AB8A03E33CFA}"/>
    <cellStyle name="Comma 2 2 2 4 2 2 5" xfId="3792" xr:uid="{DF0C13A0-E989-4447-8B9B-AB65F8F49997}"/>
    <cellStyle name="Comma 2 2 2 4 2 2 5 2" xfId="12033" xr:uid="{A50066A5-8127-4ABF-BA43-E6D26F09CD8C}"/>
    <cellStyle name="Comma 2 2 2 4 2 2 5 3" xfId="14873" xr:uid="{8ACCCD0B-6175-4D2D-8D0F-81E103ED7961}"/>
    <cellStyle name="Comma 2 2 2 4 2 2 5 4" xfId="44797" xr:uid="{FE7D3C53-F467-4D9D-92C0-DC820161CD43}"/>
    <cellStyle name="Comma 2 2 2 4 2 2 5 5" xfId="49690" xr:uid="{B632AA81-4143-4CC9-87E9-9300E7137E41}"/>
    <cellStyle name="Comma 2 2 2 4 2 2 6" xfId="10055" xr:uid="{36C0E733-C066-43C8-A699-11DAEAAE20C5}"/>
    <cellStyle name="Comma 2 2 2 4 2 2 6 2" xfId="45215" xr:uid="{9504A92F-EED6-459F-904F-8C27B9D983C7}"/>
    <cellStyle name="Comma 2 2 2 4 2 2 7" xfId="12895" xr:uid="{502F1B53-82AB-406E-A03E-69251FE3492D}"/>
    <cellStyle name="Comma 2 2 2 4 2 2 8" xfId="16238" xr:uid="{4B790B03-10B6-4063-A254-735C4B3C0A21}"/>
    <cellStyle name="Comma 2 2 2 4 2 2 9" xfId="16781" xr:uid="{A270FC75-0AC4-4408-98F1-E3780B430D49}"/>
    <cellStyle name="Comma 2 2 2 4 2 3" xfId="2116" xr:uid="{FA9868DD-C903-4266-9F2A-B23E0E1F8DAB}"/>
    <cellStyle name="Comma 2 2 2 4 2 3 2" xfId="10387" xr:uid="{DBF2D482-C895-4C91-8482-18D9A5115E6A}"/>
    <cellStyle name="Comma 2 2 2 4 2 3 2 2" xfId="45547" xr:uid="{1ED82D39-D662-4385-8CA9-E8997C790699}"/>
    <cellStyle name="Comma 2 2 2 4 2 3 3" xfId="13227" xr:uid="{C569CBA2-6D99-48EA-9F62-FA8966410545}"/>
    <cellStyle name="Comma 2 2 2 4 2 3 4" xfId="43151" xr:uid="{2C454559-A5DC-4A69-8081-EEA1FE7D2545}"/>
    <cellStyle name="Comma 2 2 2 4 2 3 5" xfId="48044" xr:uid="{79B2DE61-9724-4EEA-AE37-26F7AC660640}"/>
    <cellStyle name="Comma 2 2 2 4 2 4" xfId="2534" xr:uid="{8ADA0663-A3D1-4E04-9EC9-FC73580B04C5}"/>
    <cellStyle name="Comma 2 2 2 4 2 4 2" xfId="10805" xr:uid="{9CA00AAA-806A-43CC-84C4-438079CDF6AE}"/>
    <cellStyle name="Comma 2 2 2 4 2 4 2 2" xfId="45965" xr:uid="{5544DC51-1DEE-47A1-9E01-E883DC1557BC}"/>
    <cellStyle name="Comma 2 2 2 4 2 4 3" xfId="13645" xr:uid="{4C4533E1-B71C-47F8-9D2F-1F9269AC3DEC}"/>
    <cellStyle name="Comma 2 2 2 4 2 4 4" xfId="43569" xr:uid="{AC92DF7F-D4A1-4C5C-9410-920DD76AF2A0}"/>
    <cellStyle name="Comma 2 2 2 4 2 4 5" xfId="48462" xr:uid="{AB979191-D52D-4144-8486-0B8146248389}"/>
    <cellStyle name="Comma 2 2 2 4 2 5" xfId="3078" xr:uid="{FDBCC6D6-2472-4543-8EE0-EB05F841DB43}"/>
    <cellStyle name="Comma 2 2 2 4 2 5 2" xfId="11349" xr:uid="{4E9B5389-0817-496E-ABD6-E0CB47064044}"/>
    <cellStyle name="Comma 2 2 2 4 2 5 2 2" xfId="46509" xr:uid="{699BC20A-A30E-401C-ABED-3C634DE225A5}"/>
    <cellStyle name="Comma 2 2 2 4 2 5 3" xfId="14189" xr:uid="{063C8E19-B2DE-49BA-982F-F0EB3C2CB87E}"/>
    <cellStyle name="Comma 2 2 2 4 2 5 4" xfId="44113" xr:uid="{565389E6-CFF9-4564-A792-107D995667FC}"/>
    <cellStyle name="Comma 2 2 2 4 2 5 5" xfId="49006" xr:uid="{AE49F808-1D49-486F-93E2-9E73C11FD37F}"/>
    <cellStyle name="Comma 2 2 2 4 2 6" xfId="3580" xr:uid="{4F02C7FE-E46F-4617-8656-3FEA16BC665C}"/>
    <cellStyle name="Comma 2 2 2 4 2 6 2" xfId="11821" xr:uid="{D63F4F0C-AFA1-4AFC-9F61-951E2FD83B8A}"/>
    <cellStyle name="Comma 2 2 2 4 2 6 3" xfId="14661" xr:uid="{69C3866C-846A-4925-A90F-528B7F4781D7}"/>
    <cellStyle name="Comma 2 2 2 4 2 6 4" xfId="44585" xr:uid="{8F44526A-7545-4A72-A1EE-5E7CE95266D6}"/>
    <cellStyle name="Comma 2 2 2 4 2 6 5" xfId="49478" xr:uid="{F6D4AC4A-5423-4149-BCDB-A9F33EEB0EA9}"/>
    <cellStyle name="Comma 2 2 2 4 2 7" xfId="9843" xr:uid="{E2A9E575-DDCA-4741-B340-F2E72B9CD44A}"/>
    <cellStyle name="Comma 2 2 2 4 2 7 2" xfId="45003" xr:uid="{1A1956FE-8CD9-4558-AD25-44CF9755600B}"/>
    <cellStyle name="Comma 2 2 2 4 2 8" xfId="12683" xr:uid="{1F89416F-B4C3-4F9D-A76E-E6AEAFB4E01B}"/>
    <cellStyle name="Comma 2 2 2 4 2 9" xfId="16026" xr:uid="{AA970C9A-3338-43DC-B117-CA299F09C948}"/>
    <cellStyle name="Comma 2 2 2 4 3" xfId="411" xr:uid="{00000000-0005-0000-0000-000076000000}"/>
    <cellStyle name="Comma 2 2 2 4 3 10" xfId="17225" xr:uid="{15B650E7-96B8-4C15-A1D0-26256662D393}"/>
    <cellStyle name="Comma 2 2 2 4 3 11" xfId="17898" xr:uid="{FE5C28F0-0193-4B92-8AD6-3A9A7B1013E7}"/>
    <cellStyle name="Comma 2 2 2 4 3 12" xfId="42719" xr:uid="{BA040477-19CF-48B0-9B68-B1B373ED0583}"/>
    <cellStyle name="Comma 2 2 2 4 3 13" xfId="47612" xr:uid="{88B8D9EF-70B6-47D3-8620-D9E475B60078}"/>
    <cellStyle name="Comma 2 2 2 4 3 2" xfId="2228" xr:uid="{9631838E-FD87-4140-8600-079DAAA649DD}"/>
    <cellStyle name="Comma 2 2 2 4 3 2 2" xfId="10499" xr:uid="{0E1D3075-F51F-4DC3-B943-329C0102F339}"/>
    <cellStyle name="Comma 2 2 2 4 3 2 2 2" xfId="45659" xr:uid="{269E847D-F1B7-44B1-AEC8-29F493C2FBD8}"/>
    <cellStyle name="Comma 2 2 2 4 3 2 3" xfId="13339" xr:uid="{1CD5E784-2640-4C6C-BEEF-C7D63C0FD5BE}"/>
    <cellStyle name="Comma 2 2 2 4 3 2 4" xfId="43263" xr:uid="{218960C8-2000-4E7A-A8A5-B8419681C740}"/>
    <cellStyle name="Comma 2 2 2 4 3 2 5" xfId="48156" xr:uid="{AC4BAA33-C720-4B82-9942-D9CE8529FB11}"/>
    <cellStyle name="Comma 2 2 2 4 3 3" xfId="2646" xr:uid="{F0E952FD-F5E0-4CAD-9703-94D03C4B3439}"/>
    <cellStyle name="Comma 2 2 2 4 3 3 2" xfId="10917" xr:uid="{280F767B-9357-4D63-B808-F7A19030E993}"/>
    <cellStyle name="Comma 2 2 2 4 3 3 2 2" xfId="46077" xr:uid="{F12133A6-DA18-4F89-9235-3CE9F1EE8E21}"/>
    <cellStyle name="Comma 2 2 2 4 3 3 3" xfId="13757" xr:uid="{FE9F1EC3-D0B1-480D-943F-530A8A42FEC3}"/>
    <cellStyle name="Comma 2 2 2 4 3 3 4" xfId="43681" xr:uid="{C3015D94-5E86-4EB4-BB2A-F6A86EFE066D}"/>
    <cellStyle name="Comma 2 2 2 4 3 3 5" xfId="48574" xr:uid="{DFE544B3-3A4D-41FF-81E7-E14A4A02EDD1}"/>
    <cellStyle name="Comma 2 2 2 4 3 4" xfId="3190" xr:uid="{A40FFB72-D7B2-4B59-ADA7-BEB4AF6A27FB}"/>
    <cellStyle name="Comma 2 2 2 4 3 4 2" xfId="11461" xr:uid="{C0B868E7-AAEA-4AA8-A029-15403005CC13}"/>
    <cellStyle name="Comma 2 2 2 4 3 4 2 2" xfId="46621" xr:uid="{719B93EF-CE0A-4F75-BDBF-C95640071E33}"/>
    <cellStyle name="Comma 2 2 2 4 3 4 3" xfId="14301" xr:uid="{AD146963-F2DA-4D8C-8E83-B0AFA8FEC399}"/>
    <cellStyle name="Comma 2 2 2 4 3 4 4" xfId="44225" xr:uid="{7D08D69C-582E-4FE1-B43D-90BD0668B90B}"/>
    <cellStyle name="Comma 2 2 2 4 3 4 5" xfId="49118" xr:uid="{660D40D9-9383-4C68-9BB0-841182AEF4A0}"/>
    <cellStyle name="Comma 2 2 2 4 3 5" xfId="3692" xr:uid="{32B8535C-4334-448D-8A4A-4C5856D0D504}"/>
    <cellStyle name="Comma 2 2 2 4 3 5 2" xfId="11933" xr:uid="{254556A0-BBDC-41E8-B7A2-119D11B328D6}"/>
    <cellStyle name="Comma 2 2 2 4 3 5 3" xfId="14773" xr:uid="{F969785F-D51C-4E77-81BF-5F929113AE14}"/>
    <cellStyle name="Comma 2 2 2 4 3 5 4" xfId="44697" xr:uid="{C68D9196-8867-4857-AEC9-0FBC27644D8A}"/>
    <cellStyle name="Comma 2 2 2 4 3 5 5" xfId="49590" xr:uid="{E4D2B745-420F-48DF-92A3-C18BACF63167}"/>
    <cellStyle name="Comma 2 2 2 4 3 6" xfId="9955" xr:uid="{BD7143EE-1FB1-49F7-9C40-00BC994ADD18}"/>
    <cellStyle name="Comma 2 2 2 4 3 6 2" xfId="45115" xr:uid="{05377612-679A-40EE-86C7-63AFE36DA26C}"/>
    <cellStyle name="Comma 2 2 2 4 3 7" xfId="12795" xr:uid="{A2ADD545-76A1-47BA-B8F4-A60646A7EF89}"/>
    <cellStyle name="Comma 2 2 2 4 3 8" xfId="16138" xr:uid="{CBA14511-1BA7-4499-87B8-C232E3C76D66}"/>
    <cellStyle name="Comma 2 2 2 4 3 9" xfId="16681" xr:uid="{3E8E568B-C6F8-4895-AC07-E4194CFD9203}"/>
    <cellStyle name="Comma 2 2 2 4 4" xfId="614" xr:uid="{00000000-0005-0000-0000-000077000000}"/>
    <cellStyle name="Comma 2 2 2 4 4 10" xfId="47814" xr:uid="{B73F6928-A52B-4A84-9305-4E1711477C89}"/>
    <cellStyle name="Comma 2 2 2 4 4 2" xfId="2848" xr:uid="{0CD8B230-B70F-457F-B688-BF40E9D608A8}"/>
    <cellStyle name="Comma 2 2 2 4 4 2 2" xfId="11119" xr:uid="{2626E0CB-1DA8-44A3-9947-D456376FA078}"/>
    <cellStyle name="Comma 2 2 2 4 4 2 2 2" xfId="46279" xr:uid="{70F91EDE-085B-496D-84DA-8C0C7676D1F7}"/>
    <cellStyle name="Comma 2 2 2 4 4 2 3" xfId="13959" xr:uid="{7355EDA1-EC8A-4F2E-96C6-967CA8224B23}"/>
    <cellStyle name="Comma 2 2 2 4 4 2 4" xfId="43883" xr:uid="{EBDF8702-59BE-495F-B919-54F52CAC282B}"/>
    <cellStyle name="Comma 2 2 2 4 4 2 5" xfId="48776" xr:uid="{CD86BB06-1EA4-438C-9B51-B044FDD36554}"/>
    <cellStyle name="Comma 2 2 2 4 4 3" xfId="10157" xr:uid="{CC0CA9B2-D9DE-48F7-A75F-11F94E267DFB}"/>
    <cellStyle name="Comma 2 2 2 4 4 3 2" xfId="45317" xr:uid="{53DD1C40-5AB2-4770-A586-72403E6CE412}"/>
    <cellStyle name="Comma 2 2 2 4 4 4" xfId="12997" xr:uid="{0B1757F9-5871-4191-A4FC-6E4928E8FBEC}"/>
    <cellStyle name="Comma 2 2 2 4 4 5" xfId="16340" xr:uid="{1C059F4D-C7FF-4D35-9921-7E641E97258D}"/>
    <cellStyle name="Comma 2 2 2 4 4 6" xfId="16883" xr:uid="{C6FEC433-C076-4EDC-B58D-8722FD2678E3}"/>
    <cellStyle name="Comma 2 2 2 4 4 7" xfId="17427" xr:uid="{C82DA29F-357D-4843-93F2-9D0791843A10}"/>
    <cellStyle name="Comma 2 2 2 4 4 8" xfId="17858" xr:uid="{2662D24D-ACDB-424F-B328-8D1DAABCB8EC}"/>
    <cellStyle name="Comma 2 2 2 4 4 9" xfId="42921" xr:uid="{FF41162C-3107-4D27-B60C-572DBE1826E6}"/>
    <cellStyle name="Comma 2 2 2 4 5" xfId="2012" xr:uid="{1B2414FA-37D1-4D97-9E10-3D5E6EF99C08}"/>
    <cellStyle name="Comma 2 2 2 4 5 2" xfId="10283" xr:uid="{6D0A238C-A038-4DD4-B4F8-661FE835E8F3}"/>
    <cellStyle name="Comma 2 2 2 4 5 2 2" xfId="45443" xr:uid="{3C701CE0-6733-44B2-866E-6D99C4E27C86}"/>
    <cellStyle name="Comma 2 2 2 4 5 3" xfId="13123" xr:uid="{CE18B082-BBCD-4564-805B-C2486DE3E9C4}"/>
    <cellStyle name="Comma 2 2 2 4 5 4" xfId="43047" xr:uid="{58D62A08-0A13-4F11-AB91-FD9078031294}"/>
    <cellStyle name="Comma 2 2 2 4 5 5" xfId="47940" xr:uid="{AF314D64-0BE4-48B9-B81B-78178F76F484}"/>
    <cellStyle name="Comma 2 2 2 4 6" xfId="2430" xr:uid="{33E4FC8B-B2E0-4726-8977-D38F49F8B1ED}"/>
    <cellStyle name="Comma 2 2 2 4 6 2" xfId="10701" xr:uid="{6EE6AC8A-2760-4C71-A046-2FF3D4FAB9CC}"/>
    <cellStyle name="Comma 2 2 2 4 6 2 2" xfId="45861" xr:uid="{8A8DBBF4-0CEE-4306-99B3-7659A211D5A2}"/>
    <cellStyle name="Comma 2 2 2 4 6 3" xfId="13541" xr:uid="{708C5C00-CEA7-408F-908B-0286F7193ABC}"/>
    <cellStyle name="Comma 2 2 2 4 6 4" xfId="43465" xr:uid="{69636BBE-7B0C-4412-8728-B9F4D1F7375E}"/>
    <cellStyle name="Comma 2 2 2 4 6 5" xfId="48358" xr:uid="{30EEF5D3-9321-427A-A6EC-9A86527F977E}"/>
    <cellStyle name="Comma 2 2 2 4 7" xfId="2974" xr:uid="{21DD0944-FC36-467A-BD3A-4F30719065C5}"/>
    <cellStyle name="Comma 2 2 2 4 7 2" xfId="11245" xr:uid="{98EF779F-6EC8-42AD-95A3-2DA9AA483430}"/>
    <cellStyle name="Comma 2 2 2 4 7 2 2" xfId="46405" xr:uid="{B2CBEEBE-F56B-4E18-A441-3A03E8CF38AB}"/>
    <cellStyle name="Comma 2 2 2 4 7 3" xfId="14085" xr:uid="{3B744D07-7082-43C7-865C-CE33778607DA}"/>
    <cellStyle name="Comma 2 2 2 4 7 4" xfId="44009" xr:uid="{4182598A-C5DB-448A-8DE2-F00A6F6D6CCB}"/>
    <cellStyle name="Comma 2 2 2 4 7 5" xfId="48902" xr:uid="{B9CDA116-FB07-4674-97B4-A4B41B1E92FE}"/>
    <cellStyle name="Comma 2 2 2 4 8" xfId="3476" xr:uid="{D30251EE-20CD-4B70-BB25-7F9BCAFD1DD1}"/>
    <cellStyle name="Comma 2 2 2 4 8 2" xfId="11717" xr:uid="{ADB20039-C9B2-401C-B911-988AD17D0E0B}"/>
    <cellStyle name="Comma 2 2 2 4 8 3" xfId="14557" xr:uid="{2952CAA4-C368-4C41-9CB5-EA95EACDA517}"/>
    <cellStyle name="Comma 2 2 2 4 8 4" xfId="44481" xr:uid="{6A45DF6A-1476-45AE-87A7-B5D98C913ABF}"/>
    <cellStyle name="Comma 2 2 2 4 8 5" xfId="49374" xr:uid="{9B74DA8A-4952-44E3-9CBA-63411A45DDBF}"/>
    <cellStyle name="Comma 2 2 2 4 9" xfId="9739" xr:uid="{16886CAB-3F18-4E62-8C74-2D8D3152C8C2}"/>
    <cellStyle name="Comma 2 2 2 4 9 2" xfId="44899" xr:uid="{35067804-E651-4CAC-9C59-4561A2105E78}"/>
    <cellStyle name="Comma 2 2 2 5" xfId="139" xr:uid="{00000000-0005-0000-0000-000078000000}"/>
    <cellStyle name="Comma 2 2 2 5 10" xfId="12547" xr:uid="{6EFE46FD-04ED-4A8A-9B01-F3F71ED22943}"/>
    <cellStyle name="Comma 2 2 2 5 11" xfId="15890" xr:uid="{03FA733A-2442-4EB3-9B1C-369227D4D7E0}"/>
    <cellStyle name="Comma 2 2 2 5 12" xfId="16433" xr:uid="{7B3B6958-5378-4DB9-BBDC-B1B05BF89760}"/>
    <cellStyle name="Comma 2 2 2 5 13" xfId="16977" xr:uid="{1138F939-3498-4B39-A3C2-A38D18E70C3C}"/>
    <cellStyle name="Comma 2 2 2 5 14" xfId="17943" xr:uid="{B205AC60-7905-4198-AC21-92056CAF222D}"/>
    <cellStyle name="Comma 2 2 2 5 15" xfId="42471" xr:uid="{E983F73D-0203-4ED1-8CA1-783D99FAB563}"/>
    <cellStyle name="Comma 2 2 2 5 16" xfId="47364" xr:uid="{5A3CA1B6-8CCB-45DD-B31D-EC031CD4057E}"/>
    <cellStyle name="Comma 2 2 2 5 2" xfId="253" xr:uid="{00000000-0005-0000-0000-000079000000}"/>
    <cellStyle name="Comma 2 2 2 5 2 10" xfId="16537" xr:uid="{4E6A6AB9-688E-48A5-8DFB-D1C3C96D86CB}"/>
    <cellStyle name="Comma 2 2 2 5 2 11" xfId="17081" xr:uid="{42A55102-021E-4720-99A1-E7ED304AC409}"/>
    <cellStyle name="Comma 2 2 2 5 2 12" xfId="18171" xr:uid="{9C83FCDC-456F-4031-8ECE-D02878448746}"/>
    <cellStyle name="Comma 2 2 2 5 2 13" xfId="42575" xr:uid="{2CEC036B-B92E-46B9-85D1-D7279A4A6E7B}"/>
    <cellStyle name="Comma 2 2 2 5 2 14" xfId="47468" xr:uid="{747D3EC1-E0E0-471E-A71D-75241FB5E9DD}"/>
    <cellStyle name="Comma 2 2 2 5 2 2" xfId="480" xr:uid="{00000000-0005-0000-0000-00007A000000}"/>
    <cellStyle name="Comma 2 2 2 5 2 2 10" xfId="17293" xr:uid="{2F8E456E-FD4D-46A2-9C4C-C67789368B88}"/>
    <cellStyle name="Comma 2 2 2 5 2 2 11" xfId="18056" xr:uid="{F591B80A-61DD-49B9-948B-82F41787892E}"/>
    <cellStyle name="Comma 2 2 2 5 2 2 12" xfId="42787" xr:uid="{CFD320DB-A876-459B-9101-4F52F7FFC4DE}"/>
    <cellStyle name="Comma 2 2 2 5 2 2 13" xfId="47680" xr:uid="{C3140034-E9A2-4BB0-8491-57EE16196EEA}"/>
    <cellStyle name="Comma 2 2 2 5 2 2 2" xfId="2296" xr:uid="{00D712D4-2893-4793-B9D5-C13121102F97}"/>
    <cellStyle name="Comma 2 2 2 5 2 2 2 2" xfId="10567" xr:uid="{905F4EE4-4B5C-48F9-94FC-BB8ADE6B253F}"/>
    <cellStyle name="Comma 2 2 2 5 2 2 2 2 2" xfId="45727" xr:uid="{4115D8F9-2372-4A70-ABC5-DD520CD4924F}"/>
    <cellStyle name="Comma 2 2 2 5 2 2 2 3" xfId="13407" xr:uid="{68E8763F-A851-42AD-8354-881D0654733D}"/>
    <cellStyle name="Comma 2 2 2 5 2 2 2 4" xfId="43331" xr:uid="{0AF2CD76-C490-4631-860A-C32901A9300F}"/>
    <cellStyle name="Comma 2 2 2 5 2 2 2 5" xfId="48224" xr:uid="{1E3450D6-0688-4BBD-8F52-AD3CBE566AF8}"/>
    <cellStyle name="Comma 2 2 2 5 2 2 3" xfId="2714" xr:uid="{12A87693-C52B-4AFC-8761-A10284155478}"/>
    <cellStyle name="Comma 2 2 2 5 2 2 3 2" xfId="10985" xr:uid="{0CBB9E00-5F5F-4FE1-8DE8-408DF5DD08DE}"/>
    <cellStyle name="Comma 2 2 2 5 2 2 3 2 2" xfId="46145" xr:uid="{EB1C63EC-D196-4771-A5F0-34DF84882C85}"/>
    <cellStyle name="Comma 2 2 2 5 2 2 3 3" xfId="13825" xr:uid="{54B7F8DE-B466-42C5-BC04-A6885DA9C9DC}"/>
    <cellStyle name="Comma 2 2 2 5 2 2 3 4" xfId="43749" xr:uid="{DF934B6E-66E3-4B13-B3E7-728779F3CD68}"/>
    <cellStyle name="Comma 2 2 2 5 2 2 3 5" xfId="48642" xr:uid="{0D788B33-8B5D-482B-8B37-16DBB08033C9}"/>
    <cellStyle name="Comma 2 2 2 5 2 2 4" xfId="3258" xr:uid="{F562C6C3-3233-4771-B5DF-03F7CDFBD6C1}"/>
    <cellStyle name="Comma 2 2 2 5 2 2 4 2" xfId="11529" xr:uid="{141A975D-D586-4BF3-A7CC-BF7A4932B508}"/>
    <cellStyle name="Comma 2 2 2 5 2 2 4 2 2" xfId="46689" xr:uid="{6E8FFDC4-9859-4601-BFE3-7319335A3DF5}"/>
    <cellStyle name="Comma 2 2 2 5 2 2 4 3" xfId="14369" xr:uid="{90FA068F-866E-47EC-AB3A-CD2915C03666}"/>
    <cellStyle name="Comma 2 2 2 5 2 2 4 4" xfId="44293" xr:uid="{1AE7A449-6C34-4B4B-96FF-2A9FDE6E59CA}"/>
    <cellStyle name="Comma 2 2 2 5 2 2 4 5" xfId="49186" xr:uid="{D539B614-0185-4A4F-AA7A-0BD4BA51C12A}"/>
    <cellStyle name="Comma 2 2 2 5 2 2 5" xfId="3760" xr:uid="{C237273C-98E7-41FC-B557-AF49C788F6EA}"/>
    <cellStyle name="Comma 2 2 2 5 2 2 5 2" xfId="12001" xr:uid="{B7C55A66-692F-409E-A876-07ABD81944A0}"/>
    <cellStyle name="Comma 2 2 2 5 2 2 5 3" xfId="14841" xr:uid="{CB7F46C7-5DE3-4B23-9986-0825A1B096E8}"/>
    <cellStyle name="Comma 2 2 2 5 2 2 5 4" xfId="44765" xr:uid="{80ED4986-C393-4DE7-BC13-A927CA438D84}"/>
    <cellStyle name="Comma 2 2 2 5 2 2 5 5" xfId="49658" xr:uid="{4D03919A-947B-456A-939D-BA8D09C2F5A3}"/>
    <cellStyle name="Comma 2 2 2 5 2 2 6" xfId="10023" xr:uid="{2E5EDBC7-2738-4EDD-AA72-70253789B798}"/>
    <cellStyle name="Comma 2 2 2 5 2 2 6 2" xfId="45183" xr:uid="{5E2105A7-267A-402D-8FF5-3A4A0B338047}"/>
    <cellStyle name="Comma 2 2 2 5 2 2 7" xfId="12863" xr:uid="{A1956D5B-5D31-4E76-9EED-0AE131584777}"/>
    <cellStyle name="Comma 2 2 2 5 2 2 8" xfId="16206" xr:uid="{2A40E8A7-5D7F-4556-AD37-5EAB39197754}"/>
    <cellStyle name="Comma 2 2 2 5 2 2 9" xfId="16749" xr:uid="{F0FB22E6-2040-4EF6-8170-F2ED5940DB57}"/>
    <cellStyle name="Comma 2 2 2 5 2 3" xfId="2084" xr:uid="{21DD855E-A483-44D7-870A-46A29ED8BE2C}"/>
    <cellStyle name="Comma 2 2 2 5 2 3 2" xfId="10355" xr:uid="{6A21CA65-B0B7-4177-9858-FF0F9F8BA5F4}"/>
    <cellStyle name="Comma 2 2 2 5 2 3 2 2" xfId="45515" xr:uid="{99331972-6FFE-49A4-9B01-63147A8815BB}"/>
    <cellStyle name="Comma 2 2 2 5 2 3 3" xfId="13195" xr:uid="{2B859818-09BC-4234-8258-1A705C6DE148}"/>
    <cellStyle name="Comma 2 2 2 5 2 3 4" xfId="43119" xr:uid="{2F2DFDBE-8B9F-4947-B163-5240F71B3C13}"/>
    <cellStyle name="Comma 2 2 2 5 2 3 5" xfId="48012" xr:uid="{16A12032-9E64-4E5A-8DA7-4F47788737DD}"/>
    <cellStyle name="Comma 2 2 2 5 2 4" xfId="2502" xr:uid="{3CB2BFF8-53C3-4F24-9738-50737371C8AA}"/>
    <cellStyle name="Comma 2 2 2 5 2 4 2" xfId="10773" xr:uid="{953495FC-F305-4C2E-B976-F2253BF813D6}"/>
    <cellStyle name="Comma 2 2 2 5 2 4 2 2" xfId="45933" xr:uid="{8E4242A3-9C3B-415B-86D3-33DDEFB66BE4}"/>
    <cellStyle name="Comma 2 2 2 5 2 4 3" xfId="13613" xr:uid="{BCC527DB-3CA9-45B0-927A-E8497A8E9738}"/>
    <cellStyle name="Comma 2 2 2 5 2 4 4" xfId="43537" xr:uid="{E71FBFEC-38D4-4495-AD5E-6485E2CA2562}"/>
    <cellStyle name="Comma 2 2 2 5 2 4 5" xfId="48430" xr:uid="{E220B4D3-312D-40EC-A155-9626FA58BFAC}"/>
    <cellStyle name="Comma 2 2 2 5 2 5" xfId="3046" xr:uid="{06AB6E08-F041-4E33-92F7-3C53A805B358}"/>
    <cellStyle name="Comma 2 2 2 5 2 5 2" xfId="11317" xr:uid="{02B1DF0B-70D6-45A4-BCAC-29361088E326}"/>
    <cellStyle name="Comma 2 2 2 5 2 5 2 2" xfId="46477" xr:uid="{635605AB-20AA-4F56-AFF7-B6A141569C0F}"/>
    <cellStyle name="Comma 2 2 2 5 2 5 3" xfId="14157" xr:uid="{1988C012-1934-442D-B9DE-CC0A0E6CEA52}"/>
    <cellStyle name="Comma 2 2 2 5 2 5 4" xfId="44081" xr:uid="{E8BC70B6-B988-4AFB-BE9D-1E8700E59B16}"/>
    <cellStyle name="Comma 2 2 2 5 2 5 5" xfId="48974" xr:uid="{7B2F8EF3-A60F-477B-956D-26D7574CD1BA}"/>
    <cellStyle name="Comma 2 2 2 5 2 6" xfId="3548" xr:uid="{6FFB6BD8-2EF6-4BE7-8D06-9E2F28D22BEF}"/>
    <cellStyle name="Comma 2 2 2 5 2 6 2" xfId="11789" xr:uid="{A169B39C-38A0-41ED-ACE1-4B27D5DF44E6}"/>
    <cellStyle name="Comma 2 2 2 5 2 6 3" xfId="14629" xr:uid="{53D8A3A6-E4E6-42F0-86F4-AFE16D955D83}"/>
    <cellStyle name="Comma 2 2 2 5 2 6 4" xfId="44553" xr:uid="{20A3F1E1-A68C-4482-A9D9-B3FA076BCFFC}"/>
    <cellStyle name="Comma 2 2 2 5 2 6 5" xfId="49446" xr:uid="{73249857-7EC1-4DD8-AE64-A5D686A56423}"/>
    <cellStyle name="Comma 2 2 2 5 2 7" xfId="9811" xr:uid="{DCBE9561-CECE-47AD-906D-9CAC17DA73BB}"/>
    <cellStyle name="Comma 2 2 2 5 2 7 2" xfId="44971" xr:uid="{E848ACF8-A4D0-4C3C-85D3-B8C01E767726}"/>
    <cellStyle name="Comma 2 2 2 5 2 8" xfId="12651" xr:uid="{0F3B9584-1AFF-4993-A9D1-A620B6AAAF2C}"/>
    <cellStyle name="Comma 2 2 2 5 2 9" xfId="15994" xr:uid="{8C4C635C-96E0-4B3F-BAAA-186C8B6F1474}"/>
    <cellStyle name="Comma 2 2 2 5 3" xfId="379" xr:uid="{00000000-0005-0000-0000-00007B000000}"/>
    <cellStyle name="Comma 2 2 2 5 3 10" xfId="17193" xr:uid="{2DEC0444-0CFD-444B-8889-FD7A4ED42E87}"/>
    <cellStyle name="Comma 2 2 2 5 3 11" xfId="18187" xr:uid="{87808FED-0BF2-44FF-BF5D-F53B428D895D}"/>
    <cellStyle name="Comma 2 2 2 5 3 12" xfId="42687" xr:uid="{74856123-9D28-4E32-B13F-C0D8D71A519E}"/>
    <cellStyle name="Comma 2 2 2 5 3 13" xfId="47580" xr:uid="{85A8FAE8-0A26-4D47-A6AA-2A8227B6C12F}"/>
    <cellStyle name="Comma 2 2 2 5 3 2" xfId="2196" xr:uid="{1715C657-833F-4B52-A799-D5CAE54B0B36}"/>
    <cellStyle name="Comma 2 2 2 5 3 2 2" xfId="10467" xr:uid="{EE1D2233-FB4D-45B3-8C18-D6CA4B19A905}"/>
    <cellStyle name="Comma 2 2 2 5 3 2 2 2" xfId="45627" xr:uid="{56F07A3E-45C5-43BD-A2DD-A180552748F9}"/>
    <cellStyle name="Comma 2 2 2 5 3 2 3" xfId="13307" xr:uid="{E5262340-D0CE-440F-9756-E67C6FA91C32}"/>
    <cellStyle name="Comma 2 2 2 5 3 2 4" xfId="43231" xr:uid="{C0095977-4003-4BD0-BB0F-2DE005F12AD8}"/>
    <cellStyle name="Comma 2 2 2 5 3 2 5" xfId="48124" xr:uid="{5D62C552-4FE0-40E7-AC58-B7C98402109C}"/>
    <cellStyle name="Comma 2 2 2 5 3 3" xfId="2614" xr:uid="{D1AF91D9-25CB-44E4-9600-385D58009286}"/>
    <cellStyle name="Comma 2 2 2 5 3 3 2" xfId="10885" xr:uid="{4756149E-E4F3-445D-BD6B-F647049DC934}"/>
    <cellStyle name="Comma 2 2 2 5 3 3 2 2" xfId="46045" xr:uid="{AA05C596-EF85-4602-BDA0-CAC5615DE563}"/>
    <cellStyle name="Comma 2 2 2 5 3 3 3" xfId="13725" xr:uid="{C82ECF4B-F837-489D-9CF8-C68C10922E06}"/>
    <cellStyle name="Comma 2 2 2 5 3 3 4" xfId="43649" xr:uid="{23837B39-30BA-4387-B340-5664780D6711}"/>
    <cellStyle name="Comma 2 2 2 5 3 3 5" xfId="48542" xr:uid="{290990C9-579C-4D70-9349-B332C7A8F6B3}"/>
    <cellStyle name="Comma 2 2 2 5 3 4" xfId="3158" xr:uid="{997B1145-2C40-4BF3-B6CE-DE39C6FA8023}"/>
    <cellStyle name="Comma 2 2 2 5 3 4 2" xfId="11429" xr:uid="{3A57F6FC-976E-4B00-B88E-68C9C9D39324}"/>
    <cellStyle name="Comma 2 2 2 5 3 4 2 2" xfId="46589" xr:uid="{AE4F7E39-D893-48E0-BB31-7C3FFF54E7E5}"/>
    <cellStyle name="Comma 2 2 2 5 3 4 3" xfId="14269" xr:uid="{833502FA-16CE-4832-A781-9F38F7F98727}"/>
    <cellStyle name="Comma 2 2 2 5 3 4 4" xfId="44193" xr:uid="{EB618C96-FB55-4737-8DCB-0F22E75C2069}"/>
    <cellStyle name="Comma 2 2 2 5 3 4 5" xfId="49086" xr:uid="{37A1F185-CB3B-4706-8B3A-8D9F3A44E2F2}"/>
    <cellStyle name="Comma 2 2 2 5 3 5" xfId="3660" xr:uid="{F2F397D8-19E4-4BA1-8FF7-35F409F0F77A}"/>
    <cellStyle name="Comma 2 2 2 5 3 5 2" xfId="11901" xr:uid="{37E753AC-2379-45CC-9DD5-D3D937C5D2E8}"/>
    <cellStyle name="Comma 2 2 2 5 3 5 3" xfId="14741" xr:uid="{5B811065-F7C6-4DB6-A394-A37A234CA65C}"/>
    <cellStyle name="Comma 2 2 2 5 3 5 4" xfId="44665" xr:uid="{6BA8109D-B324-4D47-8900-F0868D2FE97C}"/>
    <cellStyle name="Comma 2 2 2 5 3 5 5" xfId="49558" xr:uid="{33C57BAA-5E62-4530-AECA-49D93C7DBFE8}"/>
    <cellStyle name="Comma 2 2 2 5 3 6" xfId="9923" xr:uid="{46065C49-98F8-47C4-89E4-B454ED96882F}"/>
    <cellStyle name="Comma 2 2 2 5 3 6 2" xfId="45083" xr:uid="{1CB9659F-A3E5-4A08-9CEB-42EA776F73D9}"/>
    <cellStyle name="Comma 2 2 2 5 3 7" xfId="12763" xr:uid="{89D8808D-2E3A-4EC0-AE44-F7CDB76BB0AE}"/>
    <cellStyle name="Comma 2 2 2 5 3 8" xfId="16106" xr:uid="{B10D93D8-0C07-4512-9453-A4028A1696E1}"/>
    <cellStyle name="Comma 2 2 2 5 3 9" xfId="16649" xr:uid="{835FB0EF-6196-4793-854C-D9925847B304}"/>
    <cellStyle name="Comma 2 2 2 5 4" xfId="582" xr:uid="{00000000-0005-0000-0000-00007C000000}"/>
    <cellStyle name="Comma 2 2 2 5 4 10" xfId="47782" xr:uid="{57AC2F0A-CFE9-4524-812A-2D7C1F18D9AE}"/>
    <cellStyle name="Comma 2 2 2 5 4 2" xfId="2816" xr:uid="{A927AD89-AAAB-47E8-8130-5208994CC846}"/>
    <cellStyle name="Comma 2 2 2 5 4 2 2" xfId="11087" xr:uid="{A7DE54E9-4A32-4B2C-9638-5C4585649DDE}"/>
    <cellStyle name="Comma 2 2 2 5 4 2 2 2" xfId="46247" xr:uid="{21A6748C-678D-473E-9DFA-E2D1B413D42B}"/>
    <cellStyle name="Comma 2 2 2 5 4 2 3" xfId="13927" xr:uid="{EFD8E081-6E35-489A-B5E5-0FABB68136E7}"/>
    <cellStyle name="Comma 2 2 2 5 4 2 4" xfId="43851" xr:uid="{FD6D1368-33D9-4DE9-9141-ECEAD50CF733}"/>
    <cellStyle name="Comma 2 2 2 5 4 2 5" xfId="48744" xr:uid="{DE20D3CF-B253-45F3-85B9-B7881208A610}"/>
    <cellStyle name="Comma 2 2 2 5 4 3" xfId="10125" xr:uid="{6CF63228-B0C7-4DB7-B887-C550A8C3D03F}"/>
    <cellStyle name="Comma 2 2 2 5 4 3 2" xfId="45285" xr:uid="{5FC99BAC-5FB1-49E7-A41D-3C6F769FE9FC}"/>
    <cellStyle name="Comma 2 2 2 5 4 4" xfId="12965" xr:uid="{6DAFAC57-861F-45F8-95C1-3A7FFAFF3C69}"/>
    <cellStyle name="Comma 2 2 2 5 4 5" xfId="16308" xr:uid="{54A8B0C5-CC52-4BA7-855F-FA0AE97F983F}"/>
    <cellStyle name="Comma 2 2 2 5 4 6" xfId="16851" xr:uid="{166DB550-E4E5-4D99-9B7E-D39B59870DAD}"/>
    <cellStyle name="Comma 2 2 2 5 4 7" xfId="17395" xr:uid="{C5BC6C13-31EB-4B47-B780-2DDBD9FD5D12}"/>
    <cellStyle name="Comma 2 2 2 5 4 8" xfId="17952" xr:uid="{2CE80811-BAA1-4794-859D-AD78F0CCFAE3}"/>
    <cellStyle name="Comma 2 2 2 5 4 9" xfId="42889" xr:uid="{DACB9727-1568-4E04-8BE9-DD4682193D1A}"/>
    <cellStyle name="Comma 2 2 2 5 5" xfId="1980" xr:uid="{3A4C547E-6526-4933-AF1A-75DCC3300CF3}"/>
    <cellStyle name="Comma 2 2 2 5 5 2" xfId="10251" xr:uid="{ACB04BBA-5AA3-4988-91FD-C1AC93D3D895}"/>
    <cellStyle name="Comma 2 2 2 5 5 2 2" xfId="45411" xr:uid="{6079500E-8E07-427A-A43C-55DF7AAA9D0A}"/>
    <cellStyle name="Comma 2 2 2 5 5 3" xfId="13091" xr:uid="{A83E952D-6BE1-4FCB-9C30-1FFBD25ABA71}"/>
    <cellStyle name="Comma 2 2 2 5 5 4" xfId="43015" xr:uid="{9424329B-4CCC-424C-A5D8-7F547EF9AD50}"/>
    <cellStyle name="Comma 2 2 2 5 5 5" xfId="47908" xr:uid="{8B85F4F1-3A04-4831-A30E-AED658685FDD}"/>
    <cellStyle name="Comma 2 2 2 5 6" xfId="2398" xr:uid="{FB1BD288-342A-47D3-A3DB-5E015610D357}"/>
    <cellStyle name="Comma 2 2 2 5 6 2" xfId="10669" xr:uid="{CB49476B-339D-491C-9DB0-15FEA0C840EE}"/>
    <cellStyle name="Comma 2 2 2 5 6 2 2" xfId="45829" xr:uid="{2B10BEEA-1F66-4148-9203-C53F6EC2FE0B}"/>
    <cellStyle name="Comma 2 2 2 5 6 3" xfId="13509" xr:uid="{38E1A492-4924-4B3C-AFCC-EB79CA155FF6}"/>
    <cellStyle name="Comma 2 2 2 5 6 4" xfId="43433" xr:uid="{F90712CE-BCDF-4A88-AC0D-271800183C54}"/>
    <cellStyle name="Comma 2 2 2 5 6 5" xfId="48326" xr:uid="{587C055A-5732-41BA-AD64-A623A6C74230}"/>
    <cellStyle name="Comma 2 2 2 5 7" xfId="2942" xr:uid="{7FA4B0E3-EE57-4748-A738-4792A7A9F317}"/>
    <cellStyle name="Comma 2 2 2 5 7 2" xfId="11213" xr:uid="{CD7B7F1A-8C4E-4F4E-9B73-22543D56DE94}"/>
    <cellStyle name="Comma 2 2 2 5 7 2 2" xfId="46373" xr:uid="{A29D9AEA-8738-4D66-A98E-7A60A68451D8}"/>
    <cellStyle name="Comma 2 2 2 5 7 3" xfId="14053" xr:uid="{64E16ADB-89F5-4B95-BCF9-ED92BC5A72CD}"/>
    <cellStyle name="Comma 2 2 2 5 7 4" xfId="43977" xr:uid="{108E93FB-D88F-4FE7-BAC9-A1162656E897}"/>
    <cellStyle name="Comma 2 2 2 5 7 5" xfId="48870" xr:uid="{11AD4FB5-4243-4216-B67E-351134C1C8DD}"/>
    <cellStyle name="Comma 2 2 2 5 8" xfId="3444" xr:uid="{716BC1CA-B107-4512-AAF1-AADF9C2DD357}"/>
    <cellStyle name="Comma 2 2 2 5 8 2" xfId="11685" xr:uid="{9C22C31C-8188-421D-8897-067E84696763}"/>
    <cellStyle name="Comma 2 2 2 5 8 3" xfId="14525" xr:uid="{1DE23D85-F436-434D-9B10-2A760E4B4839}"/>
    <cellStyle name="Comma 2 2 2 5 8 4" xfId="44449" xr:uid="{B6A3CF0F-E091-4E2C-810C-4854EBB4ABC8}"/>
    <cellStyle name="Comma 2 2 2 5 8 5" xfId="49342" xr:uid="{1DE7F1DF-D54B-46E7-B367-74C6997C7BCB}"/>
    <cellStyle name="Comma 2 2 2 5 9" xfId="9707" xr:uid="{BE592CB7-AD51-4844-8F01-23DCA65B98C2}"/>
    <cellStyle name="Comma 2 2 2 5 9 2" xfId="44867" xr:uid="{96CC621B-AC6A-4DAF-8102-ACE41098AB35}"/>
    <cellStyle name="Comma 2 2 2 6" xfId="226" xr:uid="{00000000-0005-0000-0000-00007D000000}"/>
    <cellStyle name="Comma 2 2 2 6 10" xfId="16510" xr:uid="{498820B5-9F72-4156-B50D-16CD0C46E965}"/>
    <cellStyle name="Comma 2 2 2 6 11" xfId="17054" xr:uid="{29B04E6B-AF98-4DD6-AE2A-81D23A5DCD81}"/>
    <cellStyle name="Comma 2 2 2 6 12" xfId="17681" xr:uid="{684FD6D9-030E-419C-B221-7E7A19324E1F}"/>
    <cellStyle name="Comma 2 2 2 6 13" xfId="42548" xr:uid="{CDCCBDF8-E9C1-4386-9EE9-3F5A42FD8110}"/>
    <cellStyle name="Comma 2 2 2 6 14" xfId="47441" xr:uid="{108CA02E-8647-4EE8-B8DE-4A260152BE3A}"/>
    <cellStyle name="Comma 2 2 2 6 2" xfId="453" xr:uid="{00000000-0005-0000-0000-00007E000000}"/>
    <cellStyle name="Comma 2 2 2 6 2 10" xfId="17266" xr:uid="{3CB11655-7BB1-451D-B44D-D25C9845C7B1}"/>
    <cellStyle name="Comma 2 2 2 6 2 11" xfId="19538" xr:uid="{879A73AF-0C67-49EC-A09C-24ACC4ED1DD1}"/>
    <cellStyle name="Comma 2 2 2 6 2 12" xfId="42760" xr:uid="{45765BB2-2F6E-46C5-8EB0-9B8D003B35D0}"/>
    <cellStyle name="Comma 2 2 2 6 2 13" xfId="47653" xr:uid="{AC15BE5D-E77D-4992-BF8D-161B53705E48}"/>
    <cellStyle name="Comma 2 2 2 6 2 2" xfId="2269" xr:uid="{3C8F909F-F769-45C2-801E-F0102272713D}"/>
    <cellStyle name="Comma 2 2 2 6 2 2 2" xfId="10540" xr:uid="{3F4987B4-CE3D-4C36-A7DE-2621E491B404}"/>
    <cellStyle name="Comma 2 2 2 6 2 2 2 2" xfId="45700" xr:uid="{1C80F5EA-A3FA-45BE-82E4-7F46F71098FF}"/>
    <cellStyle name="Comma 2 2 2 6 2 2 3" xfId="13380" xr:uid="{20DAB4F6-6F52-4DC5-B7CE-DA5D5AEE4F4E}"/>
    <cellStyle name="Comma 2 2 2 6 2 2 4" xfId="43304" xr:uid="{08EA05A7-561D-436A-AB1D-D8247EB79AD0}"/>
    <cellStyle name="Comma 2 2 2 6 2 2 5" xfId="48197" xr:uid="{E8BC376A-0D55-43BB-86EC-8D7F3AABD9CC}"/>
    <cellStyle name="Comma 2 2 2 6 2 3" xfId="2687" xr:uid="{E1675C82-5F1A-4F20-B3DF-B749AAC2FC13}"/>
    <cellStyle name="Comma 2 2 2 6 2 3 2" xfId="10958" xr:uid="{449592BA-3A25-45E8-88FF-A985628FE232}"/>
    <cellStyle name="Comma 2 2 2 6 2 3 2 2" xfId="46118" xr:uid="{E0712E05-75D2-4BA3-8208-8DCED0410795}"/>
    <cellStyle name="Comma 2 2 2 6 2 3 3" xfId="13798" xr:uid="{A9F52B6E-F7F9-4946-92C5-44E30DE274AE}"/>
    <cellStyle name="Comma 2 2 2 6 2 3 4" xfId="43722" xr:uid="{B84BC6BD-C839-4D84-854B-98027BEEED99}"/>
    <cellStyle name="Comma 2 2 2 6 2 3 5" xfId="48615" xr:uid="{661BD1C2-9088-4D47-A1E1-9F666D3B8268}"/>
    <cellStyle name="Comma 2 2 2 6 2 4" xfId="3231" xr:uid="{268DC680-611E-4D4C-A008-60E19D6DB69A}"/>
    <cellStyle name="Comma 2 2 2 6 2 4 2" xfId="11502" xr:uid="{CDC7C7F5-B58B-44EC-8683-5BBFACB8C059}"/>
    <cellStyle name="Comma 2 2 2 6 2 4 2 2" xfId="46662" xr:uid="{B9ABFDDA-1793-4601-9D7D-9B3CFA1F3D67}"/>
    <cellStyle name="Comma 2 2 2 6 2 4 3" xfId="14342" xr:uid="{86D332CF-BE05-4B1B-9C15-5661760A8E8D}"/>
    <cellStyle name="Comma 2 2 2 6 2 4 4" xfId="44266" xr:uid="{1990C8FC-5C0F-480D-9132-E63FB96C8958}"/>
    <cellStyle name="Comma 2 2 2 6 2 4 5" xfId="49159" xr:uid="{8500AA00-470E-4EE5-BE79-267B2403DAAF}"/>
    <cellStyle name="Comma 2 2 2 6 2 5" xfId="3733" xr:uid="{6A4E318F-77A0-4727-9E59-27539A2676E3}"/>
    <cellStyle name="Comma 2 2 2 6 2 5 2" xfId="11974" xr:uid="{ABDC13E2-630C-47B6-8FCF-2FB868D8E9C1}"/>
    <cellStyle name="Comma 2 2 2 6 2 5 3" xfId="14814" xr:uid="{30B9DF2C-B2D5-4DF7-9D38-D0B0E883D6F9}"/>
    <cellStyle name="Comma 2 2 2 6 2 5 4" xfId="44738" xr:uid="{8D977DC8-9CF4-47B3-A343-371F2D548D57}"/>
    <cellStyle name="Comma 2 2 2 6 2 5 5" xfId="49631" xr:uid="{B33DE3C9-B7E0-49E1-8DDD-82AE723991AB}"/>
    <cellStyle name="Comma 2 2 2 6 2 6" xfId="9996" xr:uid="{34614330-1AF5-4DEA-85FA-014048BBDD87}"/>
    <cellStyle name="Comma 2 2 2 6 2 6 2" xfId="45156" xr:uid="{42A57302-F487-4AC7-AD73-BBD13D77A70E}"/>
    <cellStyle name="Comma 2 2 2 6 2 7" xfId="12836" xr:uid="{4360ED44-4720-4585-9222-E41D487B6510}"/>
    <cellStyle name="Comma 2 2 2 6 2 8" xfId="16179" xr:uid="{B817D616-6C3B-425D-945D-6CA0A6E319A3}"/>
    <cellStyle name="Comma 2 2 2 6 2 9" xfId="16722" xr:uid="{48FD72A1-F25D-4F26-9558-DF0325365126}"/>
    <cellStyle name="Comma 2 2 2 6 3" xfId="2057" xr:uid="{DED12877-45FE-432A-9448-66AA279B002A}"/>
    <cellStyle name="Comma 2 2 2 6 3 2" xfId="10328" xr:uid="{857F0D50-9B64-4724-91D6-8AF620A9E40F}"/>
    <cellStyle name="Comma 2 2 2 6 3 2 2" xfId="45488" xr:uid="{B2C3A01D-1E90-446D-A042-4158EBE32606}"/>
    <cellStyle name="Comma 2 2 2 6 3 3" xfId="13168" xr:uid="{4E154B21-06F6-468D-B203-A7DFB2B01968}"/>
    <cellStyle name="Comma 2 2 2 6 3 4" xfId="43092" xr:uid="{F41753A6-4E54-412C-A330-F857E9399EB1}"/>
    <cellStyle name="Comma 2 2 2 6 3 5" xfId="47985" xr:uid="{39552196-A116-4BDE-BF50-59252386768A}"/>
    <cellStyle name="Comma 2 2 2 6 4" xfId="2475" xr:uid="{4C51F0F0-BC28-4776-B257-988B0B9C5260}"/>
    <cellStyle name="Comma 2 2 2 6 4 2" xfId="10746" xr:uid="{9C498614-46BF-4D56-9018-E14D95A58991}"/>
    <cellStyle name="Comma 2 2 2 6 4 2 2" xfId="45906" xr:uid="{37A7FC04-C2C5-40C5-8337-D8C4FD54430C}"/>
    <cellStyle name="Comma 2 2 2 6 4 3" xfId="13586" xr:uid="{5140F8C5-DF90-4BA3-8EEB-BA7294D8E734}"/>
    <cellStyle name="Comma 2 2 2 6 4 4" xfId="43510" xr:uid="{55A44658-738F-4573-A504-A7264A079AED}"/>
    <cellStyle name="Comma 2 2 2 6 4 5" xfId="48403" xr:uid="{D9AEA16C-A9FF-48C3-B1D0-7B5E1E2F2018}"/>
    <cellStyle name="Comma 2 2 2 6 5" xfId="3019" xr:uid="{5B5137CE-D717-4930-B6EF-98297B2DAE30}"/>
    <cellStyle name="Comma 2 2 2 6 5 2" xfId="11290" xr:uid="{ED467241-D8BF-4694-B6A6-EA5BCDAEC371}"/>
    <cellStyle name="Comma 2 2 2 6 5 2 2" xfId="46450" xr:uid="{CE2E2A08-AD56-47E7-8CDD-8AA23CDB3FC1}"/>
    <cellStyle name="Comma 2 2 2 6 5 3" xfId="14130" xr:uid="{6865DC0B-BD34-4EC3-9D25-6696CA412728}"/>
    <cellStyle name="Comma 2 2 2 6 5 4" xfId="44054" xr:uid="{28224B74-8ACF-481F-9297-9002238C911D}"/>
    <cellStyle name="Comma 2 2 2 6 5 5" xfId="48947" xr:uid="{18C53271-5627-4364-9E66-B12F95E39F44}"/>
    <cellStyle name="Comma 2 2 2 6 6" xfId="3521" xr:uid="{32083E0D-A830-427C-98B2-CD755B35579D}"/>
    <cellStyle name="Comma 2 2 2 6 6 2" xfId="11762" xr:uid="{C6782F50-49AF-4D15-9228-B9E20F62CC69}"/>
    <cellStyle name="Comma 2 2 2 6 6 3" xfId="14602" xr:uid="{57E82495-3BE9-4438-9280-400A931517C7}"/>
    <cellStyle name="Comma 2 2 2 6 6 4" xfId="44526" xr:uid="{18C9ED75-6C08-4972-9951-0C865C46386F}"/>
    <cellStyle name="Comma 2 2 2 6 6 5" xfId="49419" xr:uid="{5BA98EE6-A069-40C8-8B10-6F4778B1B5C1}"/>
    <cellStyle name="Comma 2 2 2 6 7" xfId="9784" xr:uid="{36C70031-DB82-4C25-AE0E-A8394175AB01}"/>
    <cellStyle name="Comma 2 2 2 6 7 2" xfId="44944" xr:uid="{F28024EC-A65D-4E9B-A77D-9F44E192E994}"/>
    <cellStyle name="Comma 2 2 2 6 8" xfId="12624" xr:uid="{E2A83EDC-880C-4344-B680-7944B2981DEE}"/>
    <cellStyle name="Comma 2 2 2 6 9" xfId="15967" xr:uid="{50CBEDA8-1D5E-4519-BF98-B9FE61FB01AD}"/>
    <cellStyle name="Comma 2 2 2 7" xfId="352" xr:uid="{00000000-0005-0000-0000-00007F000000}"/>
    <cellStyle name="Comma 2 2 2 7 10" xfId="17166" xr:uid="{7F8F1219-D2AD-4F66-BAED-223DD1F20DB0}"/>
    <cellStyle name="Comma 2 2 2 7 11" xfId="17810" xr:uid="{2B377F97-A6CD-46F6-A776-53D1059AEA51}"/>
    <cellStyle name="Comma 2 2 2 7 12" xfId="42660" xr:uid="{F499513A-C859-4EF2-B0BA-0D8D65A13DD0}"/>
    <cellStyle name="Comma 2 2 2 7 13" xfId="47553" xr:uid="{EAD94DD9-048A-4782-901E-AE5D9ED1F476}"/>
    <cellStyle name="Comma 2 2 2 7 2" xfId="2169" xr:uid="{12AE1614-93E0-41B9-BC92-B184F6B02AB4}"/>
    <cellStyle name="Comma 2 2 2 7 2 2" xfId="10440" xr:uid="{C8C06462-4436-48C7-9CC4-15F7B14A30B5}"/>
    <cellStyle name="Comma 2 2 2 7 2 2 2" xfId="45600" xr:uid="{A9E6DFFA-F408-43B8-B8C0-CA9930DBB6B0}"/>
    <cellStyle name="Comma 2 2 2 7 2 3" xfId="13280" xr:uid="{F618D693-C14D-4BF5-887C-0DDEF473AF96}"/>
    <cellStyle name="Comma 2 2 2 7 2 4" xfId="43204" xr:uid="{42743DF1-040E-49AD-B108-05902D9F4CE1}"/>
    <cellStyle name="Comma 2 2 2 7 2 5" xfId="48097" xr:uid="{6E61A560-767D-4DF7-83BB-1CE255F90858}"/>
    <cellStyle name="Comma 2 2 2 7 3" xfId="2587" xr:uid="{2F223A42-9057-4F5F-AC77-770929C7BDD8}"/>
    <cellStyle name="Comma 2 2 2 7 3 2" xfId="10858" xr:uid="{A6366BF0-0D9B-4585-A450-4BA191A8F034}"/>
    <cellStyle name="Comma 2 2 2 7 3 2 2" xfId="46018" xr:uid="{47225CC0-4E95-4646-A75A-B59E378590DB}"/>
    <cellStyle name="Comma 2 2 2 7 3 3" xfId="13698" xr:uid="{EBB7EE61-8982-49E0-811B-E5EA848799E6}"/>
    <cellStyle name="Comma 2 2 2 7 3 4" xfId="43622" xr:uid="{A8124FB6-969F-4962-97C5-FCE26A0FCD00}"/>
    <cellStyle name="Comma 2 2 2 7 3 5" xfId="48515" xr:uid="{1DB0227D-47A2-43F3-A4DB-DCB5EB2533F8}"/>
    <cellStyle name="Comma 2 2 2 7 4" xfId="3131" xr:uid="{EDB225A6-107A-4783-A4F3-F8AE051C176D}"/>
    <cellStyle name="Comma 2 2 2 7 4 2" xfId="11402" xr:uid="{C925E98C-B08F-4EF2-8FFA-7833E9B76B55}"/>
    <cellStyle name="Comma 2 2 2 7 4 2 2" xfId="46562" xr:uid="{C6317151-970D-44C1-B440-E7FAE44AB622}"/>
    <cellStyle name="Comma 2 2 2 7 4 3" xfId="14242" xr:uid="{FB7DE11A-0ACE-476A-84D8-C7884EBA4044}"/>
    <cellStyle name="Comma 2 2 2 7 4 4" xfId="44166" xr:uid="{2EB96F27-FE38-4A3D-A8A4-CF721DB1049A}"/>
    <cellStyle name="Comma 2 2 2 7 4 5" xfId="49059" xr:uid="{112CFF73-DDF7-42E8-ACB7-4819507ECD3A}"/>
    <cellStyle name="Comma 2 2 2 7 5" xfId="3633" xr:uid="{CA3066CD-1523-49AF-B97E-AB28C4AEDC05}"/>
    <cellStyle name="Comma 2 2 2 7 5 2" xfId="11874" xr:uid="{6D55D29A-346D-40CB-AD56-7B80EA8EA137}"/>
    <cellStyle name="Comma 2 2 2 7 5 2 2" xfId="47294" xr:uid="{BA4B92AD-C9BA-4D3B-B465-5C35C3E0AF0A}"/>
    <cellStyle name="Comma 2 2 2 7 5 3" xfId="14714" xr:uid="{5105FE65-38DC-463A-A0F4-3918F6D85A05}"/>
    <cellStyle name="Comma 2 2 2 7 5 3 2" xfId="47206" xr:uid="{043F2D13-4922-4172-8ED9-1BD2681C60F9}"/>
    <cellStyle name="Comma 2 2 2 7 5 4" xfId="44638" xr:uid="{E005D45C-75DA-4D86-87C0-F89E59C77FF2}"/>
    <cellStyle name="Comma 2 2 2 7 5 5" xfId="46815" xr:uid="{40AAED17-54EA-4A22-BC1A-43C41A826423}"/>
    <cellStyle name="Comma 2 2 2 7 5 6" xfId="49531" xr:uid="{58B09FE0-3539-4036-B66A-AA5F9200EF8C}"/>
    <cellStyle name="Comma 2 2 2 7 6" xfId="9896" xr:uid="{D1BC7A3A-E150-43E8-AD12-552F366A990F}"/>
    <cellStyle name="Comma 2 2 2 7 6 2" xfId="45056" xr:uid="{2573FBD5-9754-4C0F-9525-11B2D1CB6335}"/>
    <cellStyle name="Comma 2 2 2 7 7" xfId="12736" xr:uid="{63D24623-D2C6-4240-A873-95CB386E3AAF}"/>
    <cellStyle name="Comma 2 2 2 7 8" xfId="16079" xr:uid="{77CBA450-5A85-4432-8A3B-DDC03F14B189}"/>
    <cellStyle name="Comma 2 2 2 7 9" xfId="16622" xr:uid="{2A3D544C-2CC3-4727-9B37-3DA20C5E1DB4}"/>
    <cellStyle name="Comma 2 2 2 8" xfId="555" xr:uid="{00000000-0005-0000-0000-000080000000}"/>
    <cellStyle name="Comma 2 2 2 8 10" xfId="47755" xr:uid="{E1CF1641-1CC3-43DE-AEE6-339528A03241}"/>
    <cellStyle name="Comma 2 2 2 8 2" xfId="2789" xr:uid="{48C32806-06CE-42C8-93DC-47C2133E3E92}"/>
    <cellStyle name="Comma 2 2 2 8 2 2" xfId="11060" xr:uid="{CAFDC41F-9B29-4764-986B-952CCF4DFB95}"/>
    <cellStyle name="Comma 2 2 2 8 2 2 2" xfId="46220" xr:uid="{9277A9E7-4403-44E0-9663-A65E62EB101B}"/>
    <cellStyle name="Comma 2 2 2 8 2 3" xfId="13900" xr:uid="{B7CFAF86-0B5D-46EF-8048-79E4DC052245}"/>
    <cellStyle name="Comma 2 2 2 8 2 4" xfId="43824" xr:uid="{FD8DB977-1CB1-4AC2-926A-C50EC01BECE6}"/>
    <cellStyle name="Comma 2 2 2 8 2 5" xfId="48717" xr:uid="{937C64E8-721C-40F6-872C-08C11E5CC89A}"/>
    <cellStyle name="Comma 2 2 2 8 3" xfId="10098" xr:uid="{041E1037-6AC3-4084-BC31-04EFB45BA302}"/>
    <cellStyle name="Comma 2 2 2 8 3 2" xfId="45258" xr:uid="{FE58C3FF-83A4-4F0A-B8AC-8B4044230F8C}"/>
    <cellStyle name="Comma 2 2 2 8 4" xfId="12938" xr:uid="{8B696FBD-0AE4-4198-9809-FD4F28B40700}"/>
    <cellStyle name="Comma 2 2 2 8 5" xfId="16281" xr:uid="{6F7EB8A1-AC2A-4CC2-9DF0-E863385E38F7}"/>
    <cellStyle name="Comma 2 2 2 8 6" xfId="16824" xr:uid="{8804FBD6-CA3E-4ADC-B231-E15241E0497F}"/>
    <cellStyle name="Comma 2 2 2 8 7" xfId="17368" xr:uid="{1EA2B211-556D-4CA3-A43B-E1DC38083FA9}"/>
    <cellStyle name="Comma 2 2 2 8 8" xfId="17877" xr:uid="{6168925E-1B1F-4FDF-9F8A-ACCA56DA147A}"/>
    <cellStyle name="Comma 2 2 2 8 9" xfId="42862" xr:uid="{21160A00-1F34-42F3-87DA-1A2DBD38AC1A}"/>
    <cellStyle name="Comma 2 2 2 9" xfId="1953" xr:uid="{E47E38E3-28FB-40DC-A625-7046B0F4A1C0}"/>
    <cellStyle name="Comma 2 2 2 9 2" xfId="10224" xr:uid="{3337AA64-D369-47F8-AAB0-667FC30B1665}"/>
    <cellStyle name="Comma 2 2 2 9 2 2" xfId="45384" xr:uid="{28E879D9-A3AA-4F5B-9FAE-88E1639C8D4B}"/>
    <cellStyle name="Comma 2 2 2 9 3" xfId="13064" xr:uid="{BFE11DA9-E263-47D0-9616-337EFA745F9D}"/>
    <cellStyle name="Comma 2 2 2 9 4" xfId="42988" xr:uid="{8132DCA1-7C6B-4002-B4C2-8727BEAE0171}"/>
    <cellStyle name="Comma 2 2 2 9 5" xfId="47881" xr:uid="{3DAA4258-AA5A-4E68-9637-121EA3929DCC}"/>
    <cellStyle name="Comma 2 2 20" xfId="16947" xr:uid="{4EF3159A-30CF-4744-984C-93D52EB7ECE0}"/>
    <cellStyle name="Comma 2 2 21" xfId="17784" xr:uid="{BE87AEAF-802F-4316-B663-F24115569516}"/>
    <cellStyle name="Comma 2 2 22" xfId="42060" xr:uid="{05D1BA1C-C927-46B9-96BD-1D43BEE49E14}"/>
    <cellStyle name="Comma 2 2 23" xfId="42441" xr:uid="{7BB57D22-15F7-4FE2-AA09-B8626F312CFD}"/>
    <cellStyle name="Comma 2 2 24" xfId="47334" xr:uid="{84AF0700-031D-44D1-80FB-3AD59469E3C3}"/>
    <cellStyle name="Comma 2 2 25" xfId="50179" xr:uid="{13DB7A45-D386-4BCD-8CB9-DFA1B6FD756C}"/>
    <cellStyle name="Comma 2 2 26" xfId="50253" xr:uid="{4749DE1F-8E1B-41D7-A576-9E6D02FD5D71}"/>
    <cellStyle name="Comma 2 2 3" xfId="100" xr:uid="{00000000-0005-0000-0000-000081000000}"/>
    <cellStyle name="Comma 2 2 3 10" xfId="3426" xr:uid="{0852F488-1B3C-45DC-9E05-47DDAD401657}"/>
    <cellStyle name="Comma 2 2 3 10 2" xfId="11667" xr:uid="{EF11FC34-2DEB-4EA7-A60B-3429048BD254}"/>
    <cellStyle name="Comma 2 2 3 10 3" xfId="14507" xr:uid="{F329E0ED-8DC8-42E7-B50D-6ED968A0B43A}"/>
    <cellStyle name="Comma 2 2 3 10 4" xfId="44431" xr:uid="{538A1A71-692E-4FD5-9BB4-58830538E2A0}"/>
    <cellStyle name="Comma 2 2 3 10 5" xfId="49324" xr:uid="{BE17C701-9F42-4E77-9734-0DDDD2A56D33}"/>
    <cellStyle name="Comma 2 2 3 11" xfId="9689" xr:uid="{43D5FCA1-85CF-423B-87B7-754B67E55DF4}"/>
    <cellStyle name="Comma 2 2 3 11 2" xfId="44849" xr:uid="{7BEEEE8E-C4DC-4109-81E8-2BC43ACBFBE7}"/>
    <cellStyle name="Comma 2 2 3 12" xfId="12529" xr:uid="{D2272CBB-88A5-4E41-8727-130D56FAB3A8}"/>
    <cellStyle name="Comma 2 2 3 13" xfId="15872" xr:uid="{843E82F4-4D0A-4CF6-8509-986DD54AE0E0}"/>
    <cellStyle name="Comma 2 2 3 14" xfId="16415" xr:uid="{C10A840E-077D-4818-BC4B-B65E403A830B}"/>
    <cellStyle name="Comma 2 2 3 15" xfId="16959" xr:uid="{A1BB0D3C-0926-461A-9DC8-D525480A4583}"/>
    <cellStyle name="Comma 2 2 3 16" xfId="17820" xr:uid="{30451969-36A4-4124-85CF-00F3644DEE28}"/>
    <cellStyle name="Comma 2 2 3 17" xfId="42061" xr:uid="{A8421204-061C-4BFB-BE67-41BF9A89D2C4}"/>
    <cellStyle name="Comma 2 2 3 18" xfId="42453" xr:uid="{762DA70F-99F9-4851-919D-CB38DF9DF622}"/>
    <cellStyle name="Comma 2 2 3 19" xfId="47346" xr:uid="{5D1F9378-3F9B-4110-B9F1-5EA83A694D1A}"/>
    <cellStyle name="Comma 2 2 3 2" xfId="195" xr:uid="{00000000-0005-0000-0000-000082000000}"/>
    <cellStyle name="Comma 2 2 3 2 10" xfId="12598" xr:uid="{0633E685-2F0D-47E2-8A61-6C3BC3A20FD2}"/>
    <cellStyle name="Comma 2 2 3 2 11" xfId="15941" xr:uid="{015DFCC7-1B84-4579-9354-1AAD615851FF}"/>
    <cellStyle name="Comma 2 2 3 2 12" xfId="16484" xr:uid="{A2661160-3AD4-45E5-8922-42E925D25644}"/>
    <cellStyle name="Comma 2 2 3 2 13" xfId="17028" xr:uid="{2DA03D0F-0C9A-4264-B079-E635A2EB2C78}"/>
    <cellStyle name="Comma 2 2 3 2 14" xfId="17559" xr:uid="{320B2A63-34CD-4295-8A15-B8865D7500D8}"/>
    <cellStyle name="Comma 2 2 3 2 15" xfId="42522" xr:uid="{DA94D8DE-12F6-44D8-8209-B0D04E129384}"/>
    <cellStyle name="Comma 2 2 3 2 16" xfId="47415" xr:uid="{7006D691-3051-4E4D-945C-17DC013EB90C}"/>
    <cellStyle name="Comma 2 2 3 2 17" xfId="50363" xr:uid="{B4A5B848-ABDD-4358-9E3C-7A667D81B64C}"/>
    <cellStyle name="Comma 2 2 3 2 2" xfId="304" xr:uid="{00000000-0005-0000-0000-000083000000}"/>
    <cellStyle name="Comma 2 2 3 2 2 10" xfId="16588" xr:uid="{630D55FA-A70D-45AE-9E42-DC1D833B619D}"/>
    <cellStyle name="Comma 2 2 3 2 2 11" xfId="17132" xr:uid="{D53B434F-4529-4483-A07A-17413FD8D48A}"/>
    <cellStyle name="Comma 2 2 3 2 2 12" xfId="17863" xr:uid="{84084EBF-D5C8-47FB-B677-45D78B397D9B}"/>
    <cellStyle name="Comma 2 2 3 2 2 13" xfId="42626" xr:uid="{BA197E85-C9B1-48D8-9F43-94C5C973853F}"/>
    <cellStyle name="Comma 2 2 3 2 2 14" xfId="47519" xr:uid="{4A0401CE-B7F8-44B0-A7B6-C4A6B30FA875}"/>
    <cellStyle name="Comma 2 2 3 2 2 2" xfId="531" xr:uid="{00000000-0005-0000-0000-000084000000}"/>
    <cellStyle name="Comma 2 2 3 2 2 2 10" xfId="17344" xr:uid="{2ED91646-1123-41F5-9B64-8073116D6700}"/>
    <cellStyle name="Comma 2 2 3 2 2 2 11" xfId="21579" xr:uid="{AD0C2426-969C-4BB0-AB19-79461EA4EB74}"/>
    <cellStyle name="Comma 2 2 3 2 2 2 12" xfId="42838" xr:uid="{D2254BF7-A12F-48F8-83BF-6D2854ED4AB3}"/>
    <cellStyle name="Comma 2 2 3 2 2 2 13" xfId="47731" xr:uid="{9FE67D81-1B84-4355-90C2-79ECFC43454F}"/>
    <cellStyle name="Comma 2 2 3 2 2 2 2" xfId="2347" xr:uid="{DC6289B7-B72A-4CC5-83A1-D16966B81190}"/>
    <cellStyle name="Comma 2 2 3 2 2 2 2 2" xfId="10618" xr:uid="{C6FFF7A9-B465-44C0-8644-C264DF07D15E}"/>
    <cellStyle name="Comma 2 2 3 2 2 2 2 2 2" xfId="45778" xr:uid="{75E8EFB7-2DBD-486F-9FAE-19A78DDEC106}"/>
    <cellStyle name="Comma 2 2 3 2 2 2 2 3" xfId="13458" xr:uid="{884B3CE6-D1B4-434D-8FAB-68826C4B9DCC}"/>
    <cellStyle name="Comma 2 2 3 2 2 2 2 4" xfId="43382" xr:uid="{03C8B77E-BD8B-4972-97DF-166CA5D81680}"/>
    <cellStyle name="Comma 2 2 3 2 2 2 2 5" xfId="48275" xr:uid="{2902F13B-3171-4469-AB97-922400FD7978}"/>
    <cellStyle name="Comma 2 2 3 2 2 2 3" xfId="2765" xr:uid="{0D2C2614-4654-41D9-9CDD-65F3726F818E}"/>
    <cellStyle name="Comma 2 2 3 2 2 2 3 2" xfId="11036" xr:uid="{B7AD93BA-E33D-4B70-9286-8918731A79AD}"/>
    <cellStyle name="Comma 2 2 3 2 2 2 3 2 2" xfId="46196" xr:uid="{5BBFAA4E-8E65-4B0E-8B4C-F65595998E0A}"/>
    <cellStyle name="Comma 2 2 3 2 2 2 3 3" xfId="13876" xr:uid="{052D00E2-6E57-463A-964E-7164E3003E58}"/>
    <cellStyle name="Comma 2 2 3 2 2 2 3 4" xfId="43800" xr:uid="{06A59CCD-C214-4972-A91D-2484FE1B517B}"/>
    <cellStyle name="Comma 2 2 3 2 2 2 3 5" xfId="48693" xr:uid="{31C1B0BB-3BE2-408E-B875-7031A9586EFB}"/>
    <cellStyle name="Comma 2 2 3 2 2 2 4" xfId="3309" xr:uid="{3079486D-9DE7-43AB-8379-AB536AF1801D}"/>
    <cellStyle name="Comma 2 2 3 2 2 2 4 2" xfId="11580" xr:uid="{A11AEAE8-C725-4E60-BFE4-44402F4E3183}"/>
    <cellStyle name="Comma 2 2 3 2 2 2 4 2 2" xfId="46740" xr:uid="{0574D876-1DCF-4261-8352-7E002A3AE3F0}"/>
    <cellStyle name="Comma 2 2 3 2 2 2 4 3" xfId="14420" xr:uid="{71596508-9F63-44E5-B722-6BCDB20ABFAD}"/>
    <cellStyle name="Comma 2 2 3 2 2 2 4 4" xfId="44344" xr:uid="{C044B91C-163E-40D1-904B-A2A5D3AB5B8E}"/>
    <cellStyle name="Comma 2 2 3 2 2 2 4 5" xfId="49237" xr:uid="{3870C5C9-36B0-4931-91D6-1CDDE8831177}"/>
    <cellStyle name="Comma 2 2 3 2 2 2 5" xfId="3811" xr:uid="{FCE0C0A8-4A9D-4F5D-8D93-616EC8DC3B8E}"/>
    <cellStyle name="Comma 2 2 3 2 2 2 5 2" xfId="12052" xr:uid="{18539D99-34B6-466D-A97D-D597328A9913}"/>
    <cellStyle name="Comma 2 2 3 2 2 2 5 3" xfId="14892" xr:uid="{66DDC5CC-1786-4867-9A15-FDF87AF9BA12}"/>
    <cellStyle name="Comma 2 2 3 2 2 2 5 4" xfId="44816" xr:uid="{385A0BB2-618B-4B3E-A042-AA8B2DDDEEEC}"/>
    <cellStyle name="Comma 2 2 3 2 2 2 5 5" xfId="49709" xr:uid="{6B546324-1DBD-448F-8E30-7E1F983A82B1}"/>
    <cellStyle name="Comma 2 2 3 2 2 2 6" xfId="10074" xr:uid="{3C07B139-0C8A-40AE-A6B1-99CF52C33498}"/>
    <cellStyle name="Comma 2 2 3 2 2 2 6 2" xfId="45234" xr:uid="{58EBAC7E-3EEC-4325-974E-D0B766D18DFB}"/>
    <cellStyle name="Comma 2 2 3 2 2 2 7" xfId="12914" xr:uid="{B3883952-9B10-4762-9475-85BE99DEFB54}"/>
    <cellStyle name="Comma 2 2 3 2 2 2 8" xfId="16257" xr:uid="{0D16DB2E-0842-472B-B28D-EC4675D272D1}"/>
    <cellStyle name="Comma 2 2 3 2 2 2 9" xfId="16800" xr:uid="{EB5CE3AE-944C-4A90-B647-F0646A59120E}"/>
    <cellStyle name="Comma 2 2 3 2 2 3" xfId="2135" xr:uid="{1B96C150-3372-4176-9040-8709ABEE4334}"/>
    <cellStyle name="Comma 2 2 3 2 2 3 2" xfId="10406" xr:uid="{0F21C45F-F02B-488F-9E22-98CE0DC40BE6}"/>
    <cellStyle name="Comma 2 2 3 2 2 3 2 2" xfId="45566" xr:uid="{4286F488-B5D4-468E-BE21-B45F4DD80ACD}"/>
    <cellStyle name="Comma 2 2 3 2 2 3 3" xfId="13246" xr:uid="{1826F5C6-411E-405D-B42A-554526C9FA8B}"/>
    <cellStyle name="Comma 2 2 3 2 2 3 4" xfId="43170" xr:uid="{F3C26941-3C52-4181-A681-52C6C262DA7E}"/>
    <cellStyle name="Comma 2 2 3 2 2 3 5" xfId="48063" xr:uid="{EAACA2AE-180D-4C6C-B52C-7320D238080C}"/>
    <cellStyle name="Comma 2 2 3 2 2 4" xfId="2553" xr:uid="{F0E81463-1049-4EA1-80B1-2CE24B985714}"/>
    <cellStyle name="Comma 2 2 3 2 2 4 2" xfId="10824" xr:uid="{609D5248-E883-480A-9C2A-5392778CBA0C}"/>
    <cellStyle name="Comma 2 2 3 2 2 4 2 2" xfId="45984" xr:uid="{0650FE4B-F51E-4A3F-A5EA-601CF9C6C397}"/>
    <cellStyle name="Comma 2 2 3 2 2 4 3" xfId="13664" xr:uid="{BD65E564-7B3B-4B61-BDA9-9AAC91CD71E3}"/>
    <cellStyle name="Comma 2 2 3 2 2 4 4" xfId="43588" xr:uid="{32262EFD-690A-4D8D-85FB-0D2C4EC925FA}"/>
    <cellStyle name="Comma 2 2 3 2 2 4 5" xfId="48481" xr:uid="{D763E008-C13C-4D04-93F1-0CC5303CA277}"/>
    <cellStyle name="Comma 2 2 3 2 2 5" xfId="3097" xr:uid="{B4790875-D39B-4F0F-8B80-BFB51A46B388}"/>
    <cellStyle name="Comma 2 2 3 2 2 5 2" xfId="11368" xr:uid="{5A7F13BC-CD91-4424-BD2A-0E43E57F2290}"/>
    <cellStyle name="Comma 2 2 3 2 2 5 2 2" xfId="46528" xr:uid="{AF8DDD05-1EB3-4899-AE2B-20AF5C6EB2DF}"/>
    <cellStyle name="Comma 2 2 3 2 2 5 3" xfId="14208" xr:uid="{365B10BC-4776-4964-BCEF-F69A85F5CCDC}"/>
    <cellStyle name="Comma 2 2 3 2 2 5 4" xfId="44132" xr:uid="{397FE6DD-AD88-4C2A-8802-46F3F6BC666F}"/>
    <cellStyle name="Comma 2 2 3 2 2 5 5" xfId="49025" xr:uid="{37D4A32D-11CC-49B9-A6EB-6EA167E1D491}"/>
    <cellStyle name="Comma 2 2 3 2 2 6" xfId="3599" xr:uid="{44D37770-DAEB-4634-8669-B1410C0270CC}"/>
    <cellStyle name="Comma 2 2 3 2 2 6 2" xfId="11840" xr:uid="{9ED8755E-A509-4134-8996-5CF61EB1E941}"/>
    <cellStyle name="Comma 2 2 3 2 2 6 3" xfId="14680" xr:uid="{8B81FD5E-A908-45D5-A965-488228BBA409}"/>
    <cellStyle name="Comma 2 2 3 2 2 6 4" xfId="44604" xr:uid="{3CC7E0CF-9D54-46FC-9B36-4B7C899552AF}"/>
    <cellStyle name="Comma 2 2 3 2 2 6 5" xfId="49497" xr:uid="{9DB750CB-0FD6-41A7-83D3-2C1073840A2B}"/>
    <cellStyle name="Comma 2 2 3 2 2 7" xfId="9862" xr:uid="{2D1BF668-369D-455B-9F33-CF22F6131565}"/>
    <cellStyle name="Comma 2 2 3 2 2 7 2" xfId="45022" xr:uid="{86C959D5-BE29-4BC0-8D94-962AA28D9775}"/>
    <cellStyle name="Comma 2 2 3 2 2 8" xfId="12702" xr:uid="{DA6199EA-AC64-4C2C-A172-89C8975D9FA1}"/>
    <cellStyle name="Comma 2 2 3 2 2 9" xfId="16045" xr:uid="{8833102B-0EA4-4BFE-8D6C-32B7D76AD7CF}"/>
    <cellStyle name="Comma 2 2 3 2 3" xfId="430" xr:uid="{00000000-0005-0000-0000-000085000000}"/>
    <cellStyle name="Comma 2 2 3 2 3 10" xfId="17244" xr:uid="{3C9F3F2C-0342-424B-A76F-85A21DA9B4E6}"/>
    <cellStyle name="Comma 2 2 3 2 3 11" xfId="19095" xr:uid="{7EDB5B39-61B0-49E7-8865-92A3D6A2CE8A}"/>
    <cellStyle name="Comma 2 2 3 2 3 12" xfId="42738" xr:uid="{9BBC4842-20B8-46EF-845C-BBEBCFFF3DEF}"/>
    <cellStyle name="Comma 2 2 3 2 3 13" xfId="47631" xr:uid="{26A02239-B0EB-4F89-8426-BF108D9B66C5}"/>
    <cellStyle name="Comma 2 2 3 2 3 2" xfId="2247" xr:uid="{AF37B108-0981-4717-A563-CE08A1B3EC6C}"/>
    <cellStyle name="Comma 2 2 3 2 3 2 2" xfId="10518" xr:uid="{87AD7625-4681-4009-B356-0B135DC28A6E}"/>
    <cellStyle name="Comma 2 2 3 2 3 2 2 2" xfId="45678" xr:uid="{BB43B78C-C9CE-494B-82C6-755945CD7F03}"/>
    <cellStyle name="Comma 2 2 3 2 3 2 3" xfId="13358" xr:uid="{8BC8F5A6-AD5E-4899-9D7C-4F60DFB236EC}"/>
    <cellStyle name="Comma 2 2 3 2 3 2 4" xfId="43282" xr:uid="{37AEF5F8-9660-4B16-8BB0-C7B0CC1FBBCC}"/>
    <cellStyle name="Comma 2 2 3 2 3 2 5" xfId="48175" xr:uid="{18376B46-67E7-4BD9-B348-48D37EBB3159}"/>
    <cellStyle name="Comma 2 2 3 2 3 3" xfId="2665" xr:uid="{D734DAA0-9806-4BF3-972F-8FED6B855653}"/>
    <cellStyle name="Comma 2 2 3 2 3 3 2" xfId="10936" xr:uid="{D82513C1-A2AE-46FB-BAF4-43CA41924EEB}"/>
    <cellStyle name="Comma 2 2 3 2 3 3 2 2" xfId="46096" xr:uid="{9360441B-2179-4343-B9B8-E339E728FD84}"/>
    <cellStyle name="Comma 2 2 3 2 3 3 3" xfId="13776" xr:uid="{A711D1F2-35DD-46A3-AC7B-631F8C367F87}"/>
    <cellStyle name="Comma 2 2 3 2 3 3 4" xfId="43700" xr:uid="{C9DD8286-10D7-4AE5-A715-559E47CCE57E}"/>
    <cellStyle name="Comma 2 2 3 2 3 3 5" xfId="48593" xr:uid="{D04EA242-28C7-4279-8A18-49D5D011AB80}"/>
    <cellStyle name="Comma 2 2 3 2 3 4" xfId="3209" xr:uid="{6C90F041-55C1-476D-BD08-93239CFB79B7}"/>
    <cellStyle name="Comma 2 2 3 2 3 4 2" xfId="11480" xr:uid="{E1EB9F8C-CFDE-4540-B27A-E6C3D279E187}"/>
    <cellStyle name="Comma 2 2 3 2 3 4 2 2" xfId="46640" xr:uid="{79CB91E9-675E-4697-9C8F-574DF498C413}"/>
    <cellStyle name="Comma 2 2 3 2 3 4 3" xfId="14320" xr:uid="{7A3AAC86-4CF9-4E22-803C-698058FE70B3}"/>
    <cellStyle name="Comma 2 2 3 2 3 4 4" xfId="44244" xr:uid="{0181DEDC-2682-454F-94F2-8F81FFF55A41}"/>
    <cellStyle name="Comma 2 2 3 2 3 4 5" xfId="49137" xr:uid="{F4B75260-EC35-44EE-8112-0DEEE6ABE05C}"/>
    <cellStyle name="Comma 2 2 3 2 3 5" xfId="3711" xr:uid="{C6E0DB90-5A94-4436-9674-1BD208A0E8DC}"/>
    <cellStyle name="Comma 2 2 3 2 3 5 2" xfId="11952" xr:uid="{68C458C1-887C-4F69-91C5-6BA09F3A6417}"/>
    <cellStyle name="Comma 2 2 3 2 3 5 3" xfId="14792" xr:uid="{6613377E-3E21-4F28-97A4-776FFD46A926}"/>
    <cellStyle name="Comma 2 2 3 2 3 5 4" xfId="44716" xr:uid="{2C42472A-CA5C-4837-9289-1517DFF7ABAF}"/>
    <cellStyle name="Comma 2 2 3 2 3 5 5" xfId="49609" xr:uid="{AA0F7CC1-F783-4414-B4BC-D1C706B6315D}"/>
    <cellStyle name="Comma 2 2 3 2 3 6" xfId="9974" xr:uid="{CA07809D-93AA-4A08-9351-002FD1F07F95}"/>
    <cellStyle name="Comma 2 2 3 2 3 6 2" xfId="45134" xr:uid="{CCABD6C6-AA6A-4D48-83A8-63AA02A06586}"/>
    <cellStyle name="Comma 2 2 3 2 3 7" xfId="12814" xr:uid="{024CA6C0-4CAC-4AD0-B002-4DEFA22DF73A}"/>
    <cellStyle name="Comma 2 2 3 2 3 8" xfId="16157" xr:uid="{B8BE25F2-7B6A-4002-B36E-1D86F0FBBD5B}"/>
    <cellStyle name="Comma 2 2 3 2 3 9" xfId="16700" xr:uid="{8F5E2B46-7C95-4668-89A4-3AA7D0553B4F}"/>
    <cellStyle name="Comma 2 2 3 2 4" xfId="633" xr:uid="{00000000-0005-0000-0000-000086000000}"/>
    <cellStyle name="Comma 2 2 3 2 4 10" xfId="47833" xr:uid="{C7609F7E-5BF0-46D9-A4B3-BA89561DAC8F}"/>
    <cellStyle name="Comma 2 2 3 2 4 2" xfId="2867" xr:uid="{075947FF-5B85-44E5-A8DB-D9803EBF8FDB}"/>
    <cellStyle name="Comma 2 2 3 2 4 2 2" xfId="11138" xr:uid="{5876B0EF-F677-4535-956D-4A6B3780C9E2}"/>
    <cellStyle name="Comma 2 2 3 2 4 2 2 2" xfId="46298" xr:uid="{EDBE15A0-C63A-46CE-B27C-85076C2C2599}"/>
    <cellStyle name="Comma 2 2 3 2 4 2 3" xfId="13978" xr:uid="{80F6FFCE-08B7-45FA-A2F9-FCD41C080578}"/>
    <cellStyle name="Comma 2 2 3 2 4 2 4" xfId="43902" xr:uid="{C8EA0DB8-E175-4EDD-A216-53FC99533A28}"/>
    <cellStyle name="Comma 2 2 3 2 4 2 5" xfId="48795" xr:uid="{767B08ED-72BD-4B1F-9706-89A036B2F8D2}"/>
    <cellStyle name="Comma 2 2 3 2 4 3" xfId="10176" xr:uid="{BA5A98D8-E636-4097-B859-59887FA0DE5E}"/>
    <cellStyle name="Comma 2 2 3 2 4 3 2" xfId="45336" xr:uid="{FDF530F3-4E91-4CD4-BB50-B8DF1FA02A31}"/>
    <cellStyle name="Comma 2 2 3 2 4 4" xfId="13016" xr:uid="{7E9E2FE5-05E6-42F8-B3F3-153E2CA012C5}"/>
    <cellStyle name="Comma 2 2 3 2 4 5" xfId="16359" xr:uid="{4B752E3C-D13F-4EEB-B88C-86E6ECF86CD9}"/>
    <cellStyle name="Comma 2 2 3 2 4 6" xfId="16902" xr:uid="{802BA8BC-C0DF-41DB-8857-96989CA060BC}"/>
    <cellStyle name="Comma 2 2 3 2 4 7" xfId="17446" xr:uid="{4E312C63-9AFD-44A2-A757-D1AE82E562DB}"/>
    <cellStyle name="Comma 2 2 3 2 4 8" xfId="17825" xr:uid="{3265DD04-3062-4027-BDE1-76124BCFF2ED}"/>
    <cellStyle name="Comma 2 2 3 2 4 9" xfId="42940" xr:uid="{241FA800-B3D3-4236-9390-A1D4116EF5E5}"/>
    <cellStyle name="Comma 2 2 3 2 5" xfId="2031" xr:uid="{81687CCE-DC59-40A2-B382-3CEF2A9A554B}"/>
    <cellStyle name="Comma 2 2 3 2 5 2" xfId="10302" xr:uid="{FEAC83E7-7BA2-4787-890C-25E7E78960D9}"/>
    <cellStyle name="Comma 2 2 3 2 5 2 2" xfId="45462" xr:uid="{F24CFCE5-4691-4C66-89AF-E85EF970F83F}"/>
    <cellStyle name="Comma 2 2 3 2 5 3" xfId="13142" xr:uid="{82ECE072-2AC2-4437-987F-57536B15B13E}"/>
    <cellStyle name="Comma 2 2 3 2 5 4" xfId="43066" xr:uid="{7E3A3235-986E-4B16-85BE-DCE5E53EE9E5}"/>
    <cellStyle name="Comma 2 2 3 2 5 5" xfId="47959" xr:uid="{D6ACFD86-2415-428E-9A67-4F07AF23ED66}"/>
    <cellStyle name="Comma 2 2 3 2 6" xfId="2449" xr:uid="{21F08653-001D-4B78-873C-3950D08D6776}"/>
    <cellStyle name="Comma 2 2 3 2 6 2" xfId="10720" xr:uid="{82DA74F8-C84E-43E2-861A-6A2C629D42C0}"/>
    <cellStyle name="Comma 2 2 3 2 6 2 2" xfId="45880" xr:uid="{45E14B60-31E6-43BB-9D92-C7E69E9EAE65}"/>
    <cellStyle name="Comma 2 2 3 2 6 3" xfId="13560" xr:uid="{136F7A01-130C-496B-9104-54F6A9AE86B8}"/>
    <cellStyle name="Comma 2 2 3 2 6 4" xfId="43484" xr:uid="{752FC166-7A00-4264-9A0B-A28B09B98A3E}"/>
    <cellStyle name="Comma 2 2 3 2 6 5" xfId="48377" xr:uid="{FB31B7F3-76CF-41F5-AADB-6B4D992A654A}"/>
    <cellStyle name="Comma 2 2 3 2 7" xfId="2993" xr:uid="{A0E9A38A-650F-4D50-B174-C4999167A701}"/>
    <cellStyle name="Comma 2 2 3 2 7 2" xfId="11264" xr:uid="{720D57DF-8B5A-4208-BE83-F8BF1C6ED937}"/>
    <cellStyle name="Comma 2 2 3 2 7 2 2" xfId="46424" xr:uid="{6390A594-DD30-4F2A-BB30-9FE19318E9FA}"/>
    <cellStyle name="Comma 2 2 3 2 7 3" xfId="14104" xr:uid="{98D85924-8D74-46E2-809D-534675D90DC8}"/>
    <cellStyle name="Comma 2 2 3 2 7 4" xfId="44028" xr:uid="{262C506F-232E-4C5A-8321-D7D4B9F07B5A}"/>
    <cellStyle name="Comma 2 2 3 2 7 5" xfId="48921" xr:uid="{ADDA6FB8-9B15-480F-957B-28998AF5E8E4}"/>
    <cellStyle name="Comma 2 2 3 2 8" xfId="3495" xr:uid="{BE65830A-ABAE-4E70-9D2B-2445257FF3A6}"/>
    <cellStyle name="Comma 2 2 3 2 8 2" xfId="11736" xr:uid="{FF007A64-F0A8-4FBD-AB65-88F4C68E0011}"/>
    <cellStyle name="Comma 2 2 3 2 8 3" xfId="14576" xr:uid="{58CD83AD-75EF-474F-98D3-DBC712CDD4AD}"/>
    <cellStyle name="Comma 2 2 3 2 8 4" xfId="44500" xr:uid="{CD5698A4-CEED-4BF4-970C-B7A1D95122A7}"/>
    <cellStyle name="Comma 2 2 3 2 8 5" xfId="49393" xr:uid="{015DBA8F-F9E5-42CB-B31A-7453137C01C6}"/>
    <cellStyle name="Comma 2 2 3 2 9" xfId="9758" xr:uid="{3490A273-1CB4-4098-BBD3-144C2C6ECD7F}"/>
    <cellStyle name="Comma 2 2 3 2 9 2" xfId="44918" xr:uid="{8906E37A-FD36-4415-A7D2-2EABA2211430}"/>
    <cellStyle name="Comma 2 2 3 20" xfId="50217" xr:uid="{4C8E0246-2CC6-4D8B-A1EF-81DE862AF2C3}"/>
    <cellStyle name="Comma 2 2 3 21" xfId="50291" xr:uid="{ABAC3353-F000-49F5-8AFA-62279D024F78}"/>
    <cellStyle name="Comma 2 2 3 3" xfId="148" xr:uid="{00000000-0005-0000-0000-000087000000}"/>
    <cellStyle name="Comma 2 2 3 3 10" xfId="12556" xr:uid="{ED1E4078-1171-4B81-BC50-5F803705BC2A}"/>
    <cellStyle name="Comma 2 2 3 3 11" xfId="15899" xr:uid="{9A3CB8E1-DA52-41AF-AB27-2B9B08323AF4}"/>
    <cellStyle name="Comma 2 2 3 3 12" xfId="16442" xr:uid="{D17DD12F-25F3-43E6-B64A-7E9736C74DD7}"/>
    <cellStyle name="Comma 2 2 3 3 13" xfId="16986" xr:uid="{E5B4222A-B481-4B44-B81A-98AE288FF323}"/>
    <cellStyle name="Comma 2 2 3 3 14" xfId="18046" xr:uid="{5DC27CFA-4FA4-494F-B99E-B0B65DB6713D}"/>
    <cellStyle name="Comma 2 2 3 3 15" xfId="42480" xr:uid="{F9FBABE2-00E8-412A-A95B-F7A702B443A2}"/>
    <cellStyle name="Comma 2 2 3 3 16" xfId="47373" xr:uid="{5849870A-13B8-45D7-822D-BC01390B9903}"/>
    <cellStyle name="Comma 2 2 3 3 2" xfId="262" xr:uid="{00000000-0005-0000-0000-000088000000}"/>
    <cellStyle name="Comma 2 2 3 3 2 10" xfId="16546" xr:uid="{03DF9094-FFFB-4D92-BFA8-F5D1BB4C4D1C}"/>
    <cellStyle name="Comma 2 2 3 3 2 11" xfId="17090" xr:uid="{F17DB33C-5B96-431F-B5FA-4A15D127C48F}"/>
    <cellStyle name="Comma 2 2 3 3 2 12" xfId="18058" xr:uid="{06BEC06D-1CAA-4A2B-B9FB-13D25A3F3382}"/>
    <cellStyle name="Comma 2 2 3 3 2 13" xfId="42584" xr:uid="{6760FC3D-6780-4D2C-AA2F-EDFE5C0B5149}"/>
    <cellStyle name="Comma 2 2 3 3 2 14" xfId="47477" xr:uid="{88BA837A-5609-4FA4-86FD-8D445198D791}"/>
    <cellStyle name="Comma 2 2 3 3 2 2" xfId="489" xr:uid="{00000000-0005-0000-0000-000089000000}"/>
    <cellStyle name="Comma 2 2 3 3 2 2 10" xfId="17302" xr:uid="{66F96107-790D-4BF0-B3D8-A230F65AF0BF}"/>
    <cellStyle name="Comma 2 2 3 3 2 2 11" xfId="17889" xr:uid="{F7DD2698-4E02-4CBE-BB5C-EB0CF674E898}"/>
    <cellStyle name="Comma 2 2 3 3 2 2 12" xfId="42796" xr:uid="{A0FCDAC6-C742-46B6-B406-899F6BFBD492}"/>
    <cellStyle name="Comma 2 2 3 3 2 2 13" xfId="47689" xr:uid="{8FB61C46-D4DD-4389-88BA-0A795F284092}"/>
    <cellStyle name="Comma 2 2 3 3 2 2 2" xfId="2305" xr:uid="{34CB000D-CD68-412C-9836-18ACDD7CAB86}"/>
    <cellStyle name="Comma 2 2 3 3 2 2 2 2" xfId="10576" xr:uid="{5439A7EE-2822-4B90-A4C1-A2AEC84E2FF7}"/>
    <cellStyle name="Comma 2 2 3 3 2 2 2 2 2" xfId="45736" xr:uid="{8C66413F-5958-48E0-8803-D911BAE30655}"/>
    <cellStyle name="Comma 2 2 3 3 2 2 2 3" xfId="13416" xr:uid="{157A322D-4B11-428B-8880-045E1B8C2196}"/>
    <cellStyle name="Comma 2 2 3 3 2 2 2 4" xfId="43340" xr:uid="{A90BB92F-8BDC-443B-A204-81DB750E97D1}"/>
    <cellStyle name="Comma 2 2 3 3 2 2 2 5" xfId="48233" xr:uid="{0B23B950-2444-4D40-B04F-5257611EDCE1}"/>
    <cellStyle name="Comma 2 2 3 3 2 2 3" xfId="2723" xr:uid="{46BAAC05-F570-4748-942C-0A68648CFD58}"/>
    <cellStyle name="Comma 2 2 3 3 2 2 3 2" xfId="10994" xr:uid="{E72C55BE-AEBB-4D48-ADC8-3925CBFB9079}"/>
    <cellStyle name="Comma 2 2 3 3 2 2 3 2 2" xfId="46154" xr:uid="{B8920597-A4BB-49FC-836F-153C20C8CABF}"/>
    <cellStyle name="Comma 2 2 3 3 2 2 3 3" xfId="13834" xr:uid="{864CD1AB-F1AA-4ECA-806E-4B25B71AF947}"/>
    <cellStyle name="Comma 2 2 3 3 2 2 3 4" xfId="43758" xr:uid="{2DA98BF3-F684-497F-8043-C6E6DCC8EEB1}"/>
    <cellStyle name="Comma 2 2 3 3 2 2 3 5" xfId="48651" xr:uid="{3002E4DC-A76B-47E0-9154-8E52E53D3902}"/>
    <cellStyle name="Comma 2 2 3 3 2 2 4" xfId="3267" xr:uid="{041F5546-7EEE-4048-84A0-65F70CE6B5B4}"/>
    <cellStyle name="Comma 2 2 3 3 2 2 4 2" xfId="11538" xr:uid="{52339A4A-A288-4929-8E96-9BAFE9660B00}"/>
    <cellStyle name="Comma 2 2 3 3 2 2 4 2 2" xfId="46698" xr:uid="{EE63DCF0-5067-48DB-97CD-184598E37E55}"/>
    <cellStyle name="Comma 2 2 3 3 2 2 4 3" xfId="14378" xr:uid="{3B8D9AD8-C3D3-4FB7-909A-726D15946DD7}"/>
    <cellStyle name="Comma 2 2 3 3 2 2 4 4" xfId="44302" xr:uid="{05559374-4CAE-47F4-8208-97C33AE3195D}"/>
    <cellStyle name="Comma 2 2 3 3 2 2 4 5" xfId="49195" xr:uid="{9FC1D823-FE83-4599-8616-0AD900C7CBAD}"/>
    <cellStyle name="Comma 2 2 3 3 2 2 5" xfId="3769" xr:uid="{CD5FBBC7-0714-4110-8B0E-83A7F7CD81F7}"/>
    <cellStyle name="Comma 2 2 3 3 2 2 5 2" xfId="12010" xr:uid="{74DFF528-800C-4BF3-A477-6DAEAD3785DA}"/>
    <cellStyle name="Comma 2 2 3 3 2 2 5 3" xfId="14850" xr:uid="{AD431FE1-F744-486D-8286-65523E647AE2}"/>
    <cellStyle name="Comma 2 2 3 3 2 2 5 4" xfId="44774" xr:uid="{5EEF88BE-FF57-4CA3-BDA0-25CA7069C803}"/>
    <cellStyle name="Comma 2 2 3 3 2 2 5 5" xfId="49667" xr:uid="{84E93D8F-4CC3-430F-BFC5-F6F0EF829432}"/>
    <cellStyle name="Comma 2 2 3 3 2 2 6" xfId="10032" xr:uid="{61F5851D-34BB-4961-8607-5AF564D74010}"/>
    <cellStyle name="Comma 2 2 3 3 2 2 6 2" xfId="45192" xr:uid="{53278A46-00BB-483F-83CE-539A657729BC}"/>
    <cellStyle name="Comma 2 2 3 3 2 2 7" xfId="12872" xr:uid="{697A2CF9-7F02-4F70-B06E-692EE4B364D8}"/>
    <cellStyle name="Comma 2 2 3 3 2 2 8" xfId="16215" xr:uid="{C3F0EB28-730F-407D-91AC-1B60C62CD1C1}"/>
    <cellStyle name="Comma 2 2 3 3 2 2 9" xfId="16758" xr:uid="{AF1632D1-FF18-42C1-A373-CAB1D38FF38A}"/>
    <cellStyle name="Comma 2 2 3 3 2 3" xfId="2093" xr:uid="{C0CC41DE-7BDB-4E45-8DD4-35C820114906}"/>
    <cellStyle name="Comma 2 2 3 3 2 3 2" xfId="10364" xr:uid="{FCD5A402-8125-4F8F-B36D-E82A09325C82}"/>
    <cellStyle name="Comma 2 2 3 3 2 3 2 2" xfId="45524" xr:uid="{C785BFD5-9FE0-4EDE-B155-07F1A7D08A34}"/>
    <cellStyle name="Comma 2 2 3 3 2 3 3" xfId="13204" xr:uid="{CFF6C380-947C-4D25-996B-512573C820D5}"/>
    <cellStyle name="Comma 2 2 3 3 2 3 4" xfId="43128" xr:uid="{730AA79C-B8F2-4291-8789-FF6798DEE6E5}"/>
    <cellStyle name="Comma 2 2 3 3 2 3 5" xfId="48021" xr:uid="{22D8DE57-FB18-4611-8D45-C58396C9A949}"/>
    <cellStyle name="Comma 2 2 3 3 2 4" xfId="2511" xr:uid="{C1FD8C90-D7CD-4D46-B41E-F16975E2CBE9}"/>
    <cellStyle name="Comma 2 2 3 3 2 4 2" xfId="10782" xr:uid="{D56846ED-1E1B-41E7-AF7C-6186DC59FADB}"/>
    <cellStyle name="Comma 2 2 3 3 2 4 2 2" xfId="45942" xr:uid="{44A96E9B-B437-4A1C-B073-E21F0F721741}"/>
    <cellStyle name="Comma 2 2 3 3 2 4 3" xfId="13622" xr:uid="{7E06CC48-15BD-4EE3-8005-89713E17742E}"/>
    <cellStyle name="Comma 2 2 3 3 2 4 4" xfId="43546" xr:uid="{2B2078EB-EF38-4428-916A-B7140C40D5F1}"/>
    <cellStyle name="Comma 2 2 3 3 2 4 5" xfId="48439" xr:uid="{1AF734FC-3A84-4685-A043-6939461346E0}"/>
    <cellStyle name="Comma 2 2 3 3 2 5" xfId="3055" xr:uid="{23FF6866-3D75-456D-971D-9EC16E8EBF85}"/>
    <cellStyle name="Comma 2 2 3 3 2 5 2" xfId="11326" xr:uid="{49DFFE75-F553-41B1-AB5E-4C988AF97078}"/>
    <cellStyle name="Comma 2 2 3 3 2 5 2 2" xfId="46486" xr:uid="{BCB24A40-8784-426C-866F-EA47CF33D89D}"/>
    <cellStyle name="Comma 2 2 3 3 2 5 3" xfId="14166" xr:uid="{765221B5-81C8-42A7-8ACB-209CFD0C47D5}"/>
    <cellStyle name="Comma 2 2 3 3 2 5 4" xfId="44090" xr:uid="{0EB117FB-2B93-4EEC-8CDC-478BBC15B416}"/>
    <cellStyle name="Comma 2 2 3 3 2 5 5" xfId="48983" xr:uid="{C7C3C487-8057-4E5F-AAF6-52EF23234E14}"/>
    <cellStyle name="Comma 2 2 3 3 2 6" xfId="3557" xr:uid="{8C1ECC1C-F1ED-4730-860F-D2D04340D8C1}"/>
    <cellStyle name="Comma 2 2 3 3 2 6 2" xfId="11798" xr:uid="{1810DF9E-9F14-44AD-9928-E313FD9A103D}"/>
    <cellStyle name="Comma 2 2 3 3 2 6 3" xfId="14638" xr:uid="{34C55105-9FE1-4C6B-88F9-07D0F04FFE25}"/>
    <cellStyle name="Comma 2 2 3 3 2 6 4" xfId="44562" xr:uid="{D9A50638-E71A-45F5-BCFE-E34B14385FC9}"/>
    <cellStyle name="Comma 2 2 3 3 2 6 5" xfId="49455" xr:uid="{A3B9A0A9-855F-4B75-9C75-430D35FE0C31}"/>
    <cellStyle name="Comma 2 2 3 3 2 7" xfId="9820" xr:uid="{FC3CA826-BABE-414B-BBF5-E0F68FDDC74C}"/>
    <cellStyle name="Comma 2 2 3 3 2 7 2" xfId="44980" xr:uid="{0ACA6737-C96B-4415-AF35-087DA5D84680}"/>
    <cellStyle name="Comma 2 2 3 3 2 8" xfId="12660" xr:uid="{BD69A417-A9EB-467A-890E-CD906A6C50A6}"/>
    <cellStyle name="Comma 2 2 3 3 2 9" xfId="16003" xr:uid="{7F6F90DC-35EC-4F53-94AC-DE738025F1C1}"/>
    <cellStyle name="Comma 2 2 3 3 3" xfId="388" xr:uid="{00000000-0005-0000-0000-00008A000000}"/>
    <cellStyle name="Comma 2 2 3 3 3 10" xfId="17202" xr:uid="{0DAE90F8-FDC8-48ED-831C-5C2DA904F93D}"/>
    <cellStyle name="Comma 2 2 3 3 3 11" xfId="17802" xr:uid="{45F7D23E-C697-4726-953E-DF1F27F64E02}"/>
    <cellStyle name="Comma 2 2 3 3 3 12" xfId="42696" xr:uid="{50EC55DD-7A3F-4ED3-9354-64D44DAD9FFF}"/>
    <cellStyle name="Comma 2 2 3 3 3 13" xfId="47589" xr:uid="{A3B61EC4-2F7E-4159-976D-53C7438267C2}"/>
    <cellStyle name="Comma 2 2 3 3 3 2" xfId="2205" xr:uid="{7E7D5D0C-793C-4069-A5FD-8EB7C89FEFD2}"/>
    <cellStyle name="Comma 2 2 3 3 3 2 2" xfId="10476" xr:uid="{B66FA9B8-0C8F-4442-9D5D-24B0188E5414}"/>
    <cellStyle name="Comma 2 2 3 3 3 2 2 2" xfId="45636" xr:uid="{D54486A1-46CE-4367-83DE-DE9C00C6C32F}"/>
    <cellStyle name="Comma 2 2 3 3 3 2 3" xfId="13316" xr:uid="{4F4F4FF8-43DA-4539-AAAC-31B86CA12043}"/>
    <cellStyle name="Comma 2 2 3 3 3 2 4" xfId="43240" xr:uid="{73A9CDD9-582D-4F40-8798-0124D20BF619}"/>
    <cellStyle name="Comma 2 2 3 3 3 2 5" xfId="48133" xr:uid="{8CCF1F74-243B-4FEB-AF5C-7DA0A867570C}"/>
    <cellStyle name="Comma 2 2 3 3 3 3" xfId="2623" xr:uid="{BC0D72BA-4F49-4C85-A792-C7D999996982}"/>
    <cellStyle name="Comma 2 2 3 3 3 3 2" xfId="10894" xr:uid="{A1937D7B-42A6-42D6-96B6-FCEF4FD764DA}"/>
    <cellStyle name="Comma 2 2 3 3 3 3 2 2" xfId="46054" xr:uid="{D1495623-C799-4708-BDD5-69EB14412241}"/>
    <cellStyle name="Comma 2 2 3 3 3 3 3" xfId="13734" xr:uid="{2E8B414D-DEA6-4299-A5AC-689A1B187DAD}"/>
    <cellStyle name="Comma 2 2 3 3 3 3 4" xfId="43658" xr:uid="{59892179-4D2A-4D88-A93F-53F2929D5C54}"/>
    <cellStyle name="Comma 2 2 3 3 3 3 5" xfId="48551" xr:uid="{E4B815E7-4181-418E-891B-DC0D7EA45E3A}"/>
    <cellStyle name="Comma 2 2 3 3 3 4" xfId="3167" xr:uid="{F39BB5DC-AC69-4945-B9E6-EE96CBFF12F5}"/>
    <cellStyle name="Comma 2 2 3 3 3 4 2" xfId="11438" xr:uid="{3F001C1F-4B60-4DDF-8DB5-5B7E6876886A}"/>
    <cellStyle name="Comma 2 2 3 3 3 4 2 2" xfId="46598" xr:uid="{1698726D-510F-479B-A728-ED118DB70A6F}"/>
    <cellStyle name="Comma 2 2 3 3 3 4 3" xfId="14278" xr:uid="{CFD9D96D-807F-476C-AF44-E9BA6329748A}"/>
    <cellStyle name="Comma 2 2 3 3 3 4 4" xfId="44202" xr:uid="{A73E1C57-59D2-4265-B6D4-3A18F0AF3301}"/>
    <cellStyle name="Comma 2 2 3 3 3 4 5" xfId="49095" xr:uid="{1CCC4957-BF25-4C16-85D1-070A735CF3D3}"/>
    <cellStyle name="Comma 2 2 3 3 3 5" xfId="3669" xr:uid="{34C949B2-3BC3-4CDE-B77F-C1723D61464D}"/>
    <cellStyle name="Comma 2 2 3 3 3 5 2" xfId="11910" xr:uid="{45DD311B-4781-44AA-A4DF-B1C15D09AACE}"/>
    <cellStyle name="Comma 2 2 3 3 3 5 3" xfId="14750" xr:uid="{AE1D8401-1643-47DE-8B80-1A5D86503832}"/>
    <cellStyle name="Comma 2 2 3 3 3 5 4" xfId="44674" xr:uid="{F5B0A392-313A-4D80-92FD-EC1F9F647FBD}"/>
    <cellStyle name="Comma 2 2 3 3 3 5 5" xfId="49567" xr:uid="{3F03E1F0-8854-4BE2-8BCB-8AC915CE2C49}"/>
    <cellStyle name="Comma 2 2 3 3 3 6" xfId="9932" xr:uid="{A66C40A2-5D41-4C6E-8FD3-74C07A77C0A8}"/>
    <cellStyle name="Comma 2 2 3 3 3 6 2" xfId="45092" xr:uid="{8473ABAE-282F-4245-95CB-160E792FA370}"/>
    <cellStyle name="Comma 2 2 3 3 3 7" xfId="12772" xr:uid="{2A4DFD79-43BB-4EE2-AA5C-D046C4A0F637}"/>
    <cellStyle name="Comma 2 2 3 3 3 8" xfId="16115" xr:uid="{B879EFBF-1C1C-4896-A0D5-4F1D583AF98C}"/>
    <cellStyle name="Comma 2 2 3 3 3 9" xfId="16658" xr:uid="{3AE969B0-DD21-4CB7-8C9A-A38639F9A4BB}"/>
    <cellStyle name="Comma 2 2 3 3 4" xfId="591" xr:uid="{00000000-0005-0000-0000-00008B000000}"/>
    <cellStyle name="Comma 2 2 3 3 4 10" xfId="47791" xr:uid="{809872C2-7BEF-4279-8372-FD016E035024}"/>
    <cellStyle name="Comma 2 2 3 3 4 2" xfId="2825" xr:uid="{B0867F8E-A725-4C2D-B40E-8D666CC57804}"/>
    <cellStyle name="Comma 2 2 3 3 4 2 2" xfId="11096" xr:uid="{DC909846-67F8-4F2E-BE6E-0BB6CA6D17E0}"/>
    <cellStyle name="Comma 2 2 3 3 4 2 2 2" xfId="46256" xr:uid="{89B88A0F-AD2C-4446-8865-FDDDAA1CF964}"/>
    <cellStyle name="Comma 2 2 3 3 4 2 3" xfId="13936" xr:uid="{07996F75-BC1A-4D99-A265-CFBFEFEA43FF}"/>
    <cellStyle name="Comma 2 2 3 3 4 2 4" xfId="43860" xr:uid="{7BDF366B-E197-4D2D-80C7-1358BF66A37C}"/>
    <cellStyle name="Comma 2 2 3 3 4 2 5" xfId="48753" xr:uid="{8195B794-9D72-407C-B235-D3856AE4DBEC}"/>
    <cellStyle name="Comma 2 2 3 3 4 3" xfId="10134" xr:uid="{12BEDE18-CE19-4C0A-9D66-842E4E7F7D13}"/>
    <cellStyle name="Comma 2 2 3 3 4 3 2" xfId="45294" xr:uid="{E90DFBEF-AB02-4907-92EE-03C921AE3282}"/>
    <cellStyle name="Comma 2 2 3 3 4 4" xfId="12974" xr:uid="{20FCB769-578E-4440-8048-14FFFA9A63AE}"/>
    <cellStyle name="Comma 2 2 3 3 4 5" xfId="16317" xr:uid="{FB880372-9DB2-4B39-ADDD-3BD882C26E35}"/>
    <cellStyle name="Comma 2 2 3 3 4 6" xfId="16860" xr:uid="{C3ED3F4D-7029-4810-BBD2-AE8DD2D13BE1}"/>
    <cellStyle name="Comma 2 2 3 3 4 7" xfId="17404" xr:uid="{F04F8169-75AD-4DE7-90E6-CEAB94C43104}"/>
    <cellStyle name="Comma 2 2 3 3 4 8" xfId="17702" xr:uid="{8B2B1E1B-A887-453E-8D2F-93A40C75EFFA}"/>
    <cellStyle name="Comma 2 2 3 3 4 9" xfId="42898" xr:uid="{FE2BDCF5-3068-4941-BE10-ADDBDE55C7B7}"/>
    <cellStyle name="Comma 2 2 3 3 5" xfId="1989" xr:uid="{4B1BCD93-146E-47E5-94F8-4813A152BF55}"/>
    <cellStyle name="Comma 2 2 3 3 5 2" xfId="10260" xr:uid="{3BDB0A3F-0B01-4235-A6B2-D85B90997735}"/>
    <cellStyle name="Comma 2 2 3 3 5 2 2" xfId="45420" xr:uid="{96CB8540-2483-4FD1-80CE-BD5D4DA30860}"/>
    <cellStyle name="Comma 2 2 3 3 5 3" xfId="13100" xr:uid="{CEA4392B-8898-4C6C-B4DE-B9F4F5109515}"/>
    <cellStyle name="Comma 2 2 3 3 5 4" xfId="43024" xr:uid="{DA7827F5-EDCC-42D5-A3B3-457563EBD7F1}"/>
    <cellStyle name="Comma 2 2 3 3 5 5" xfId="47917" xr:uid="{3B004ABC-BDD4-4688-AE13-6E2532C7B8E8}"/>
    <cellStyle name="Comma 2 2 3 3 6" xfId="2407" xr:uid="{37EBE0E6-4D30-42FD-9328-9A25427F94A4}"/>
    <cellStyle name="Comma 2 2 3 3 6 2" xfId="10678" xr:uid="{9E9A691D-28F9-4259-976F-4FFD30965371}"/>
    <cellStyle name="Comma 2 2 3 3 6 2 2" xfId="45838" xr:uid="{20F0A4F1-7356-4A6E-AB79-AF219DC9598F}"/>
    <cellStyle name="Comma 2 2 3 3 6 3" xfId="13518" xr:uid="{1F6B55C9-E4C3-4035-8EAB-30C4E556D96E}"/>
    <cellStyle name="Comma 2 2 3 3 6 4" xfId="43442" xr:uid="{56A675EE-4CB4-4251-BB82-70B4DF2EC23D}"/>
    <cellStyle name="Comma 2 2 3 3 6 5" xfId="48335" xr:uid="{7A877204-CDB9-4445-AF76-79403483C7A5}"/>
    <cellStyle name="Comma 2 2 3 3 7" xfId="2951" xr:uid="{4E667FBB-6049-499C-A78B-9DED63A5D27C}"/>
    <cellStyle name="Comma 2 2 3 3 7 2" xfId="11222" xr:uid="{8B9D9A75-F381-4F78-9F1A-A04F2D2914EC}"/>
    <cellStyle name="Comma 2 2 3 3 7 2 2" xfId="46382" xr:uid="{10CE1FE1-7749-4810-85A9-05BFCCDB25B1}"/>
    <cellStyle name="Comma 2 2 3 3 7 3" xfId="14062" xr:uid="{63A8B75D-3C73-4FF8-BAD2-F8361726DDDA}"/>
    <cellStyle name="Comma 2 2 3 3 7 4" xfId="43986" xr:uid="{C5C7EC87-355D-43BE-A68F-A3DB0CC7BFFA}"/>
    <cellStyle name="Comma 2 2 3 3 7 5" xfId="48879" xr:uid="{1F83ED5E-709C-4339-A95A-170972841C9D}"/>
    <cellStyle name="Comma 2 2 3 3 8" xfId="3453" xr:uid="{868A16F2-BDA9-4BD4-8D0A-FA26F5D27D88}"/>
    <cellStyle name="Comma 2 2 3 3 8 2" xfId="11694" xr:uid="{69DDDA70-A998-4753-9A6E-7C5EBCDEF304}"/>
    <cellStyle name="Comma 2 2 3 3 8 3" xfId="14534" xr:uid="{B669FBEF-1243-49D5-AB4E-9C61A8A5698E}"/>
    <cellStyle name="Comma 2 2 3 3 8 4" xfId="44458" xr:uid="{7CC3EF40-4D78-44ED-A31E-58ECA0802AA8}"/>
    <cellStyle name="Comma 2 2 3 3 8 5" xfId="49351" xr:uid="{A72885A7-7915-4A27-88AA-B93C96D8CB2E}"/>
    <cellStyle name="Comma 2 2 3 3 9" xfId="9716" xr:uid="{C0C37AFC-D43E-40C3-91CD-C811FB795EDF}"/>
    <cellStyle name="Comma 2 2 3 3 9 2" xfId="44876" xr:uid="{2C2DF4C9-D173-49DA-8335-D729DEDA1318}"/>
    <cellStyle name="Comma 2 2 3 4" xfId="235" xr:uid="{00000000-0005-0000-0000-00008C000000}"/>
    <cellStyle name="Comma 2 2 3 4 10" xfId="16519" xr:uid="{34F96D4D-12CB-427E-B505-DA8D32A89C0D}"/>
    <cellStyle name="Comma 2 2 3 4 11" xfId="17063" xr:uid="{2030AC44-4BC7-432E-A927-7994D4A756F9}"/>
    <cellStyle name="Comma 2 2 3 4 12" xfId="17793" xr:uid="{034F83B1-2C63-42FC-8C00-E8B195C04EC2}"/>
    <cellStyle name="Comma 2 2 3 4 13" xfId="42557" xr:uid="{2A7983E0-B411-469A-B922-62DCA88F0065}"/>
    <cellStyle name="Comma 2 2 3 4 14" xfId="47450" xr:uid="{1CB15D00-EA19-4E99-B0E1-785E3806CB06}"/>
    <cellStyle name="Comma 2 2 3 4 2" xfId="462" xr:uid="{00000000-0005-0000-0000-00008D000000}"/>
    <cellStyle name="Comma 2 2 3 4 2 10" xfId="17275" xr:uid="{5BB5DBA7-D738-4C27-8188-432B550357EA}"/>
    <cellStyle name="Comma 2 2 3 4 2 11" xfId="17514" xr:uid="{1F00928C-4BA5-4FA0-BE88-771C5E22F6B4}"/>
    <cellStyle name="Comma 2 2 3 4 2 12" xfId="42769" xr:uid="{59073833-9D3E-48E7-BB6B-CD565DBB9741}"/>
    <cellStyle name="Comma 2 2 3 4 2 13" xfId="47662" xr:uid="{8D964289-9061-4591-ADD7-F846FC74D42A}"/>
    <cellStyle name="Comma 2 2 3 4 2 2" xfId="2278" xr:uid="{ED8314FB-684C-45A0-B588-5CF2169B34C0}"/>
    <cellStyle name="Comma 2 2 3 4 2 2 2" xfId="10549" xr:uid="{32C07849-D61C-43BA-9A40-659564FA54BC}"/>
    <cellStyle name="Comma 2 2 3 4 2 2 2 2" xfId="45709" xr:uid="{868176F7-211F-4032-8039-7ABB6F96B318}"/>
    <cellStyle name="Comma 2 2 3 4 2 2 3" xfId="13389" xr:uid="{7D4FADCB-C1C2-448C-BBFC-58CAA34A20B5}"/>
    <cellStyle name="Comma 2 2 3 4 2 2 4" xfId="43313" xr:uid="{D65ED7F8-8CD5-4549-AC70-20DDD5C9250A}"/>
    <cellStyle name="Comma 2 2 3 4 2 2 5" xfId="48206" xr:uid="{EFD861BB-527C-42EB-A35B-7112845CB5F5}"/>
    <cellStyle name="Comma 2 2 3 4 2 3" xfId="2696" xr:uid="{C617BFEA-0973-42FA-A5CF-0BEEEF51B0E1}"/>
    <cellStyle name="Comma 2 2 3 4 2 3 2" xfId="10967" xr:uid="{1A8F0979-12AC-43E2-8A51-B489CB149AD2}"/>
    <cellStyle name="Comma 2 2 3 4 2 3 2 2" xfId="46127" xr:uid="{4A522711-8D2E-4484-A168-E16D7B85F4EA}"/>
    <cellStyle name="Comma 2 2 3 4 2 3 3" xfId="13807" xr:uid="{1D11A64E-55D9-4922-8FD6-965C238F552E}"/>
    <cellStyle name="Comma 2 2 3 4 2 3 4" xfId="43731" xr:uid="{AE1DF34B-AA83-44BF-9EA8-2C173FDA9A9F}"/>
    <cellStyle name="Comma 2 2 3 4 2 3 5" xfId="48624" xr:uid="{7F116FD6-772D-4A8C-B228-4A7C9067F09D}"/>
    <cellStyle name="Comma 2 2 3 4 2 4" xfId="3240" xr:uid="{5F641901-DA30-4176-8470-A8661B6356B8}"/>
    <cellStyle name="Comma 2 2 3 4 2 4 2" xfId="11511" xr:uid="{141AAE8F-D15D-4609-AE62-F75692965C0B}"/>
    <cellStyle name="Comma 2 2 3 4 2 4 2 2" xfId="46671" xr:uid="{AAFC731A-153A-4328-BB8D-7BABB0F3D11B}"/>
    <cellStyle name="Comma 2 2 3 4 2 4 3" xfId="14351" xr:uid="{0873B63B-2453-4B33-848E-7EF89FE0C2B9}"/>
    <cellStyle name="Comma 2 2 3 4 2 4 4" xfId="44275" xr:uid="{8427BE0F-9780-4BB4-9C42-4CA3E973E8FC}"/>
    <cellStyle name="Comma 2 2 3 4 2 4 5" xfId="49168" xr:uid="{5A6BF4C6-F11C-44C8-806C-93E6BE99BC7F}"/>
    <cellStyle name="Comma 2 2 3 4 2 5" xfId="3742" xr:uid="{6E04AB47-E551-4F1D-8B5B-5F4927B1703E}"/>
    <cellStyle name="Comma 2 2 3 4 2 5 2" xfId="11983" xr:uid="{2BBA64CD-1813-4074-B687-D269344B772A}"/>
    <cellStyle name="Comma 2 2 3 4 2 5 3" xfId="14823" xr:uid="{F8753221-31E0-4DD8-AAD1-F66C7B2D794F}"/>
    <cellStyle name="Comma 2 2 3 4 2 5 4" xfId="44747" xr:uid="{5D6BF662-09C8-46C2-9D72-32068766D9DC}"/>
    <cellStyle name="Comma 2 2 3 4 2 5 5" xfId="49640" xr:uid="{001E1B23-A788-49A0-8C82-4433F80E8120}"/>
    <cellStyle name="Comma 2 2 3 4 2 6" xfId="10005" xr:uid="{1B0F611A-61FA-4228-BE8A-6D9E73817C35}"/>
    <cellStyle name="Comma 2 2 3 4 2 6 2" xfId="45165" xr:uid="{FDD0EDBF-BB23-484F-AA42-DDF9382C1310}"/>
    <cellStyle name="Comma 2 2 3 4 2 7" xfId="12845" xr:uid="{8B534540-B473-4DC1-A5F2-F9FE3DBA43C0}"/>
    <cellStyle name="Comma 2 2 3 4 2 8" xfId="16188" xr:uid="{5E478322-89D3-46C9-B9B4-270A972E38F1}"/>
    <cellStyle name="Comma 2 2 3 4 2 9" xfId="16731" xr:uid="{8C67B26C-B96C-4ADE-8409-B0C592508E64}"/>
    <cellStyle name="Comma 2 2 3 4 3" xfId="2066" xr:uid="{EA461B1B-5EB7-47E4-A576-48A70255CC26}"/>
    <cellStyle name="Comma 2 2 3 4 3 2" xfId="10337" xr:uid="{3F3D345F-14B3-4EC7-9269-DCB2A6B58A8E}"/>
    <cellStyle name="Comma 2 2 3 4 3 2 2" xfId="45497" xr:uid="{5019717B-233E-4E8D-B095-046E54136A0A}"/>
    <cellStyle name="Comma 2 2 3 4 3 3" xfId="13177" xr:uid="{89ECF67C-579B-41FE-A505-8A2E3DAE9F55}"/>
    <cellStyle name="Comma 2 2 3 4 3 4" xfId="43101" xr:uid="{78FEAC49-AA2E-4D43-8206-E4E2232F9D06}"/>
    <cellStyle name="Comma 2 2 3 4 3 5" xfId="47994" xr:uid="{E2E3634F-8C5D-4835-AD1A-8E795C7C6679}"/>
    <cellStyle name="Comma 2 2 3 4 4" xfId="2484" xr:uid="{BAEAA368-5AAF-4571-8907-7D2AD60E18C9}"/>
    <cellStyle name="Comma 2 2 3 4 4 2" xfId="10755" xr:uid="{C08FBC3A-F7E3-4881-93A5-93ECFBF95DBF}"/>
    <cellStyle name="Comma 2 2 3 4 4 2 2" xfId="45915" xr:uid="{1C490F68-2384-4D81-BB71-3DCD853AB437}"/>
    <cellStyle name="Comma 2 2 3 4 4 3" xfId="13595" xr:uid="{97B4E832-0C9F-4384-9E01-F83AB8EDACD2}"/>
    <cellStyle name="Comma 2 2 3 4 4 4" xfId="43519" xr:uid="{3FB88272-9806-4632-A62F-CA400C188FE4}"/>
    <cellStyle name="Comma 2 2 3 4 4 5" xfId="48412" xr:uid="{DA3308C6-73B1-4238-9A0E-151016A6C554}"/>
    <cellStyle name="Comma 2 2 3 4 5" xfId="3028" xr:uid="{5E958D6D-4CA0-4E00-BEE1-C1502117D424}"/>
    <cellStyle name="Comma 2 2 3 4 5 2" xfId="11299" xr:uid="{9201131D-738F-468E-AD55-1AE31275A92B}"/>
    <cellStyle name="Comma 2 2 3 4 5 2 2" xfId="46459" xr:uid="{88F3225D-A746-4591-9F8C-BE2229E24273}"/>
    <cellStyle name="Comma 2 2 3 4 5 3" xfId="14139" xr:uid="{F260E0E0-5948-4CFD-A1A7-5B7C63C78007}"/>
    <cellStyle name="Comma 2 2 3 4 5 4" xfId="44063" xr:uid="{B1BA443A-6331-45C4-822C-9965C1FEE7C6}"/>
    <cellStyle name="Comma 2 2 3 4 5 5" xfId="48956" xr:uid="{94E85A39-9E9D-4407-8426-B7881C13103A}"/>
    <cellStyle name="Comma 2 2 3 4 6" xfId="3530" xr:uid="{4EEBC2D7-E1FE-4639-B04E-43532061F7BD}"/>
    <cellStyle name="Comma 2 2 3 4 6 2" xfId="11771" xr:uid="{AC6A211B-AB4E-4FE4-A280-47EE9541B365}"/>
    <cellStyle name="Comma 2 2 3 4 6 3" xfId="14611" xr:uid="{7375E266-299E-4C08-8E54-B6B31DCDC969}"/>
    <cellStyle name="Comma 2 2 3 4 6 4" xfId="44535" xr:uid="{B6C69CAA-8760-4D2B-8C67-B812B3CEC936}"/>
    <cellStyle name="Comma 2 2 3 4 6 5" xfId="49428" xr:uid="{5B9861D1-397D-4A1C-9B95-001DCBDED377}"/>
    <cellStyle name="Comma 2 2 3 4 7" xfId="9793" xr:uid="{BF76E9D5-8AC5-4073-8C4D-762498DC3316}"/>
    <cellStyle name="Comma 2 2 3 4 7 2" xfId="44953" xr:uid="{2C852566-3E82-4143-8C09-659A4FC9C945}"/>
    <cellStyle name="Comma 2 2 3 4 8" xfId="12633" xr:uid="{B1790A9F-D7EB-4EE9-9930-8FE66A3E85E9}"/>
    <cellStyle name="Comma 2 2 3 4 9" xfId="15976" xr:uid="{3FDA821B-A7A5-4641-BD3B-AB105A55C1B4}"/>
    <cellStyle name="Comma 2 2 3 5" xfId="361" xr:uid="{00000000-0005-0000-0000-00008E000000}"/>
    <cellStyle name="Comma 2 2 3 5 10" xfId="17175" xr:uid="{F63F6A7D-2A9C-43C8-8ADB-A8603DE2E5BA}"/>
    <cellStyle name="Comma 2 2 3 5 11" xfId="17779" xr:uid="{C34A8D16-5DEE-4FBB-9F5F-3ECDB594A0B6}"/>
    <cellStyle name="Comma 2 2 3 5 12" xfId="42669" xr:uid="{B8FD3C3A-19D0-441D-B169-9292DF374A28}"/>
    <cellStyle name="Comma 2 2 3 5 13" xfId="47562" xr:uid="{FD9BA7D1-63E9-49AF-AD87-8D5125A100F2}"/>
    <cellStyle name="Comma 2 2 3 5 2" xfId="2178" xr:uid="{D71A163D-144E-4751-BD1C-278E113F68A9}"/>
    <cellStyle name="Comma 2 2 3 5 2 2" xfId="10449" xr:uid="{D4CAA48E-87D6-435F-B355-8D7718AB6AA7}"/>
    <cellStyle name="Comma 2 2 3 5 2 2 2" xfId="45609" xr:uid="{4E8D5E68-5482-437D-B83E-5F168D49FD0A}"/>
    <cellStyle name="Comma 2 2 3 5 2 3" xfId="13289" xr:uid="{F845F858-7100-41B8-BB2F-7BE6127BDAC4}"/>
    <cellStyle name="Comma 2 2 3 5 2 4" xfId="43213" xr:uid="{1DC2DCD0-0C11-4121-9A29-8842EFC139B9}"/>
    <cellStyle name="Comma 2 2 3 5 2 5" xfId="48106" xr:uid="{3C1831C5-10D0-4472-BF60-E8DE88B315A7}"/>
    <cellStyle name="Comma 2 2 3 5 3" xfId="2596" xr:uid="{5401D516-0485-4D3B-BB09-7B0BFCA0F317}"/>
    <cellStyle name="Comma 2 2 3 5 3 2" xfId="10867" xr:uid="{4ED00581-034F-458A-83B4-AA73176FC0BD}"/>
    <cellStyle name="Comma 2 2 3 5 3 2 2" xfId="46027" xr:uid="{A4D25406-0360-4D04-B688-9E93D433CA39}"/>
    <cellStyle name="Comma 2 2 3 5 3 3" xfId="13707" xr:uid="{1B869B61-E35E-4D62-94EE-7C835FAC6534}"/>
    <cellStyle name="Comma 2 2 3 5 3 4" xfId="43631" xr:uid="{E1726072-1617-4496-832D-901D82E06E5F}"/>
    <cellStyle name="Comma 2 2 3 5 3 5" xfId="48524" xr:uid="{2CB12894-93C2-4100-8706-EBBD5A32BA40}"/>
    <cellStyle name="Comma 2 2 3 5 4" xfId="3140" xr:uid="{85A73D37-EF9E-40D5-9CFA-88DA12C4F370}"/>
    <cellStyle name="Comma 2 2 3 5 4 2" xfId="11411" xr:uid="{CEACB38B-0992-4B20-A026-7B46D2801D70}"/>
    <cellStyle name="Comma 2 2 3 5 4 2 2" xfId="46571" xr:uid="{EF5E434F-099C-4D5F-AD70-28D7C95DCA4D}"/>
    <cellStyle name="Comma 2 2 3 5 4 3" xfId="14251" xr:uid="{32E75847-2A54-4DE0-9C89-77DB002CC481}"/>
    <cellStyle name="Comma 2 2 3 5 4 4" xfId="44175" xr:uid="{71D1D5EB-0C75-416B-BF6C-07660C983FE9}"/>
    <cellStyle name="Comma 2 2 3 5 4 5" xfId="49068" xr:uid="{AD2B958A-952D-4FC2-8415-34AA43C4332D}"/>
    <cellStyle name="Comma 2 2 3 5 5" xfId="3642" xr:uid="{15EB14D3-11F0-45B7-A10D-5AB835BB32A5}"/>
    <cellStyle name="Comma 2 2 3 5 5 2" xfId="11883" xr:uid="{ACE06FA2-5ECF-443E-AB5D-18F7CDC6E6EE}"/>
    <cellStyle name="Comma 2 2 3 5 5 3" xfId="14723" xr:uid="{67120384-2AE9-4276-A7FF-BDAA590E26D8}"/>
    <cellStyle name="Comma 2 2 3 5 5 4" xfId="44647" xr:uid="{68EB568A-8F05-47AA-A4CF-8657B4348812}"/>
    <cellStyle name="Comma 2 2 3 5 5 5" xfId="49540" xr:uid="{E115446C-8AB8-453C-BA82-EAF7738D20E7}"/>
    <cellStyle name="Comma 2 2 3 5 6" xfId="9905" xr:uid="{C9189F14-A2AD-4A82-B611-6FBDF2F4378E}"/>
    <cellStyle name="Comma 2 2 3 5 6 2" xfId="45065" xr:uid="{78DAEB1E-664B-47C2-8874-1DFAD3844021}"/>
    <cellStyle name="Comma 2 2 3 5 7" xfId="12745" xr:uid="{F2B9D343-15B9-4D7C-A6ED-2B4BF526269B}"/>
    <cellStyle name="Comma 2 2 3 5 8" xfId="16088" xr:uid="{1EAE0CC7-7FB8-4719-A6F9-48D10A0253E4}"/>
    <cellStyle name="Comma 2 2 3 5 9" xfId="16631" xr:uid="{DAA72D30-5314-4BB0-9703-1343AA8E2C3F}"/>
    <cellStyle name="Comma 2 2 3 6" xfId="564" xr:uid="{00000000-0005-0000-0000-00008F000000}"/>
    <cellStyle name="Comma 2 2 3 6 10" xfId="47764" xr:uid="{6E926482-AEB6-42B3-BF57-BF1C1E785386}"/>
    <cellStyle name="Comma 2 2 3 6 2" xfId="2798" xr:uid="{FF8484C0-E79D-44B1-B654-AF1990A89B6C}"/>
    <cellStyle name="Comma 2 2 3 6 2 2" xfId="11069" xr:uid="{6E41F51D-7BA3-46C6-863F-CC4C871DE04C}"/>
    <cellStyle name="Comma 2 2 3 6 2 2 2" xfId="46229" xr:uid="{E0FA25AC-D7C5-4858-917B-257A9AA8D9FA}"/>
    <cellStyle name="Comma 2 2 3 6 2 3" xfId="13909" xr:uid="{BDBC0DA2-2501-439D-B1B4-79EA5A1FD076}"/>
    <cellStyle name="Comma 2 2 3 6 2 4" xfId="43833" xr:uid="{F5636FC2-B613-428A-9E94-5CE35896A6D1}"/>
    <cellStyle name="Comma 2 2 3 6 2 5" xfId="48726" xr:uid="{C1429915-1591-4847-B711-926B24262EF2}"/>
    <cellStyle name="Comma 2 2 3 6 3" xfId="10107" xr:uid="{1E7344E8-F2AE-4E54-9551-F5DB816F4958}"/>
    <cellStyle name="Comma 2 2 3 6 3 2" xfId="45267" xr:uid="{567F029E-6706-45C5-8436-1C02E012D6F8}"/>
    <cellStyle name="Comma 2 2 3 6 4" xfId="12947" xr:uid="{9ECCE843-9CFA-4B5A-BB8A-EDBF5D7A9478}"/>
    <cellStyle name="Comma 2 2 3 6 5" xfId="16290" xr:uid="{45729E3C-B921-48B0-98A0-2119C9DFD2E5}"/>
    <cellStyle name="Comma 2 2 3 6 6" xfId="16833" xr:uid="{1AF342A4-44A2-4042-9813-850595075BFE}"/>
    <cellStyle name="Comma 2 2 3 6 7" xfId="17377" xr:uid="{8C27D55A-2C76-4175-B93A-639E77F45C82}"/>
    <cellStyle name="Comma 2 2 3 6 8" xfId="17869" xr:uid="{D981BA25-BEF7-4FAD-8D12-72162BFA3213}"/>
    <cellStyle name="Comma 2 2 3 6 9" xfId="42871" xr:uid="{D34DC893-82BF-440D-B388-55F97D70B46C}"/>
    <cellStyle name="Comma 2 2 3 7" xfId="1962" xr:uid="{45B703FF-9BF9-4F97-B8A2-FC48718EED71}"/>
    <cellStyle name="Comma 2 2 3 7 2" xfId="10233" xr:uid="{74B628D6-F22C-4A26-B395-F6BB1F89B348}"/>
    <cellStyle name="Comma 2 2 3 7 2 2" xfId="45393" xr:uid="{AA6D8BAA-9154-4B08-A0AE-96947A39D9C5}"/>
    <cellStyle name="Comma 2 2 3 7 3" xfId="13073" xr:uid="{42BC7CEA-EBEF-4091-8FB9-1A165EDEAE36}"/>
    <cellStyle name="Comma 2 2 3 7 4" xfId="42997" xr:uid="{D07AAEC2-2FD2-4CBE-B0B3-B53494E7F09D}"/>
    <cellStyle name="Comma 2 2 3 7 5" xfId="47890" xr:uid="{80330E20-9ED3-40D9-AA35-2576712D7F97}"/>
    <cellStyle name="Comma 2 2 3 8" xfId="2380" xr:uid="{0A554B93-9278-4D9F-8FC3-81CEEE22D95F}"/>
    <cellStyle name="Comma 2 2 3 8 2" xfId="10651" xr:uid="{48F56C98-A6ED-4FFA-8FC1-EEFB3C0FAECE}"/>
    <cellStyle name="Comma 2 2 3 8 2 2" xfId="45811" xr:uid="{6500A822-158F-4887-A444-47C10A1173C3}"/>
    <cellStyle name="Comma 2 2 3 8 3" xfId="13491" xr:uid="{83D2772D-49E2-47FB-893E-F71CDC857333}"/>
    <cellStyle name="Comma 2 2 3 8 4" xfId="43415" xr:uid="{AE23A09E-75C6-4B7B-B1E2-084062167F71}"/>
    <cellStyle name="Comma 2 2 3 8 5" xfId="48308" xr:uid="{396EF952-C42A-4354-A13A-6DB809512842}"/>
    <cellStyle name="Comma 2 2 3 9" xfId="2924" xr:uid="{B2C2493A-073E-40B1-B01C-422BC91640F3}"/>
    <cellStyle name="Comma 2 2 3 9 2" xfId="11195" xr:uid="{B6847E33-4109-49A8-981C-EDBC0BCD87B8}"/>
    <cellStyle name="Comma 2 2 3 9 2 2" xfId="46355" xr:uid="{C592CF1D-8466-4ACE-91DA-CC4F415E35BA}"/>
    <cellStyle name="Comma 2 2 3 9 3" xfId="14035" xr:uid="{7B55065C-541B-423B-AAD9-F54507F85F8B}"/>
    <cellStyle name="Comma 2 2 3 9 4" xfId="43959" xr:uid="{D9850258-C978-4E87-BA5E-1698CBDEFD5A}"/>
    <cellStyle name="Comma 2 2 3 9 5" xfId="48852" xr:uid="{97043F80-82F8-4526-87DC-170D2CB607DB}"/>
    <cellStyle name="Comma 2 2 4" xfId="128" xr:uid="{00000000-0005-0000-0000-000090000000}"/>
    <cellStyle name="Comma 2 2 4 2" xfId="46816" xr:uid="{2D7767B7-285A-45EF-8461-0A7A881B3F76}"/>
    <cellStyle name="Comma 2 2 4 2 2" xfId="47307" xr:uid="{DAED096E-3214-4BC0-80F8-38EA6F8FD941}"/>
    <cellStyle name="Comma 2 2 4 2 3" xfId="47219" xr:uid="{CAC9F6E3-A97E-40E4-8F3B-E94C7CE32D6C}"/>
    <cellStyle name="Comma 2 2 4 3" xfId="46817" xr:uid="{1B2EE294-96A8-4F55-AC08-6EF5B25875AF}"/>
    <cellStyle name="Comma 2 2 4 4" xfId="46818" xr:uid="{8779E1E8-6396-4600-91CB-4CEDB503BB6E}"/>
    <cellStyle name="Comma 2 2 4 5" xfId="47122" xr:uid="{C968C805-1186-46DF-ABBA-585EFFD1FF05}"/>
    <cellStyle name="Comma 2 2 4 6" xfId="50325" xr:uid="{2BEC02C2-CC59-451C-A8C7-C14150DD2256}"/>
    <cellStyle name="Comma 2 2 5" xfId="170" xr:uid="{00000000-0005-0000-0000-000091000000}"/>
    <cellStyle name="Comma 2 2 5 10" xfId="12577" xr:uid="{14B634D1-4747-451D-B449-FB481509D137}"/>
    <cellStyle name="Comma 2 2 5 11" xfId="15920" xr:uid="{A780E47F-5B12-48B1-B708-47CD1D2634BF}"/>
    <cellStyle name="Comma 2 2 5 12" xfId="16463" xr:uid="{1E4D58CC-ED0F-4870-9A0A-6E6684ED8E30}"/>
    <cellStyle name="Comma 2 2 5 13" xfId="17007" xr:uid="{188C2B1C-6F15-4B1C-858D-394D4AB310C5}"/>
    <cellStyle name="Comma 2 2 5 14" xfId="17937" xr:uid="{0344A743-116A-40C7-8B6E-4777E4B2A22E}"/>
    <cellStyle name="Comma 2 2 5 15" xfId="42501" xr:uid="{B738BAA1-79AF-401E-8C8C-C8814AE0BAD0}"/>
    <cellStyle name="Comma 2 2 5 16" xfId="47394" xr:uid="{0919D3F3-0365-44A6-AD5E-624E03D001F9}"/>
    <cellStyle name="Comma 2 2 5 2" xfId="283" xr:uid="{00000000-0005-0000-0000-000092000000}"/>
    <cellStyle name="Comma 2 2 5 2 10" xfId="16567" xr:uid="{40F6E50F-54CC-4C45-A7E4-6CB88D2125B0}"/>
    <cellStyle name="Comma 2 2 5 2 11" xfId="17111" xr:uid="{CB5EAC10-2E2D-4F34-9D9E-5F92471513D1}"/>
    <cellStyle name="Comma 2 2 5 2 12" xfId="17891" xr:uid="{6F14887D-706C-41F2-BD96-5E455E52050B}"/>
    <cellStyle name="Comma 2 2 5 2 13" xfId="42605" xr:uid="{0B78407D-F651-49B4-A118-117BAC222203}"/>
    <cellStyle name="Comma 2 2 5 2 14" xfId="47498" xr:uid="{3438247F-744A-4D8B-A4E3-C8D588B41478}"/>
    <cellStyle name="Comma 2 2 5 2 2" xfId="510" xr:uid="{00000000-0005-0000-0000-000093000000}"/>
    <cellStyle name="Comma 2 2 5 2 2 10" xfId="17323" xr:uid="{A838E83A-1E8D-4BCB-93AA-0D7CBBD2F606}"/>
    <cellStyle name="Comma 2 2 5 2 2 11" xfId="18122" xr:uid="{F41A9D12-DD73-420F-8C54-791C70EEE984}"/>
    <cellStyle name="Comma 2 2 5 2 2 12" xfId="42817" xr:uid="{74D03CFC-A9DF-4D1A-8D0D-B45DD29AE67C}"/>
    <cellStyle name="Comma 2 2 5 2 2 13" xfId="47710" xr:uid="{07D13C7D-C2CA-42DD-A205-5A4F867522DD}"/>
    <cellStyle name="Comma 2 2 5 2 2 2" xfId="2326" xr:uid="{3C7927A5-A9BD-437B-AC66-68C20F87AD0B}"/>
    <cellStyle name="Comma 2 2 5 2 2 2 2" xfId="10597" xr:uid="{8C56674A-4453-4D5D-A09B-4D98AEF56143}"/>
    <cellStyle name="Comma 2 2 5 2 2 2 2 2" xfId="45757" xr:uid="{26D7B874-8677-4271-8B4E-DBB5138E560F}"/>
    <cellStyle name="Comma 2 2 5 2 2 2 3" xfId="13437" xr:uid="{BB9189EA-350F-4ECE-AEBD-52AC3309E44C}"/>
    <cellStyle name="Comma 2 2 5 2 2 2 4" xfId="43361" xr:uid="{448997BF-BEDE-4D18-BE1A-A52D137DA562}"/>
    <cellStyle name="Comma 2 2 5 2 2 2 5" xfId="48254" xr:uid="{D2ECF60F-79F2-471D-AE64-168E4F9C4109}"/>
    <cellStyle name="Comma 2 2 5 2 2 3" xfId="2744" xr:uid="{9F6CF72F-34AE-43AF-8084-2DDB7BDBB318}"/>
    <cellStyle name="Comma 2 2 5 2 2 3 2" xfId="11015" xr:uid="{51BC6882-0216-4710-923A-4BDF3E3FAB11}"/>
    <cellStyle name="Comma 2 2 5 2 2 3 2 2" xfId="46175" xr:uid="{0EE3525D-3DC3-4759-A64C-8F2F3C0669A7}"/>
    <cellStyle name="Comma 2 2 5 2 2 3 3" xfId="13855" xr:uid="{5A575B36-E96C-4FBA-9982-BA67718CB865}"/>
    <cellStyle name="Comma 2 2 5 2 2 3 4" xfId="43779" xr:uid="{D9C7ADB9-EB92-45B3-88CC-1AE3C44F041F}"/>
    <cellStyle name="Comma 2 2 5 2 2 3 5" xfId="48672" xr:uid="{42DAC082-7E2F-4441-80AC-3FC59184155F}"/>
    <cellStyle name="Comma 2 2 5 2 2 4" xfId="3288" xr:uid="{96318FA8-D46A-40C1-BBE3-76FCA360DCD6}"/>
    <cellStyle name="Comma 2 2 5 2 2 4 2" xfId="11559" xr:uid="{17CF5876-CD60-4D1B-BE71-175A3D30C89E}"/>
    <cellStyle name="Comma 2 2 5 2 2 4 2 2" xfId="46719" xr:uid="{57198F5C-B025-4E6B-A872-EB2C098FFA0A}"/>
    <cellStyle name="Comma 2 2 5 2 2 4 3" xfId="14399" xr:uid="{E8829A9B-7C98-4283-8F19-A60E0AE576A2}"/>
    <cellStyle name="Comma 2 2 5 2 2 4 4" xfId="44323" xr:uid="{936EDBBE-1292-4A09-A499-53DAF228F37C}"/>
    <cellStyle name="Comma 2 2 5 2 2 4 5" xfId="49216" xr:uid="{289B2AA7-C50B-4C8B-929F-4DBC2FD25508}"/>
    <cellStyle name="Comma 2 2 5 2 2 5" xfId="3790" xr:uid="{8A350BC7-296C-4E2B-BDF1-001905B052D2}"/>
    <cellStyle name="Comma 2 2 5 2 2 5 2" xfId="12031" xr:uid="{57A2EBE5-013A-4C4C-95D5-04F187EEF6C2}"/>
    <cellStyle name="Comma 2 2 5 2 2 5 3" xfId="14871" xr:uid="{D4B09C3F-0519-4DA7-89E8-C24C8CE8FC70}"/>
    <cellStyle name="Comma 2 2 5 2 2 5 4" xfId="44795" xr:uid="{BB57528B-0A56-4BEB-8F46-5C3F904B0EB1}"/>
    <cellStyle name="Comma 2 2 5 2 2 5 5" xfId="49688" xr:uid="{8A05D0BC-662F-4832-BE9B-7AABF9803F91}"/>
    <cellStyle name="Comma 2 2 5 2 2 6" xfId="10053" xr:uid="{651656F1-2270-422A-A215-3E254673FBD1}"/>
    <cellStyle name="Comma 2 2 5 2 2 6 2" xfId="45213" xr:uid="{547365B4-A09E-4D01-B857-6C6E2BAA7CD3}"/>
    <cellStyle name="Comma 2 2 5 2 2 7" xfId="12893" xr:uid="{57D7D5F2-BD67-4C3B-8A51-39B1659A230D}"/>
    <cellStyle name="Comma 2 2 5 2 2 8" xfId="16236" xr:uid="{CCFB0C1B-ACAE-43C0-953C-AF1D3E3E86EE}"/>
    <cellStyle name="Comma 2 2 5 2 2 9" xfId="16779" xr:uid="{D2FEF1C1-96C0-4EB7-A19E-2325D229D519}"/>
    <cellStyle name="Comma 2 2 5 2 3" xfId="2114" xr:uid="{2B73424D-6DE4-4987-8D6E-49DED13C5F97}"/>
    <cellStyle name="Comma 2 2 5 2 3 2" xfId="10385" xr:uid="{C92073EF-CE80-42A1-832A-0DB4270FCE79}"/>
    <cellStyle name="Comma 2 2 5 2 3 2 2" xfId="45545" xr:uid="{429E513A-A133-4A3A-A12A-34083EFB4505}"/>
    <cellStyle name="Comma 2 2 5 2 3 3" xfId="13225" xr:uid="{94E9F48A-2D06-4140-A62E-3EE0A25F5BA9}"/>
    <cellStyle name="Comma 2 2 5 2 3 4" xfId="43149" xr:uid="{40F8A9AE-3A87-4BDD-AC7D-F895BA3A8C01}"/>
    <cellStyle name="Comma 2 2 5 2 3 5" xfId="48042" xr:uid="{96C9A4A2-A219-49AA-ADEB-2EF4C4A44389}"/>
    <cellStyle name="Comma 2 2 5 2 4" xfId="2532" xr:uid="{0DE090B9-904B-47D3-AD38-3211798E48AC}"/>
    <cellStyle name="Comma 2 2 5 2 4 2" xfId="10803" xr:uid="{5B2B455D-B173-43D1-A0D3-F3FFA85B9D0C}"/>
    <cellStyle name="Comma 2 2 5 2 4 2 2" xfId="45963" xr:uid="{A5AE1A8D-0945-4C09-B0A8-87EB827AC345}"/>
    <cellStyle name="Comma 2 2 5 2 4 3" xfId="13643" xr:uid="{1ED189C8-5E65-4A7F-8A3A-EB4DEB47D2E3}"/>
    <cellStyle name="Comma 2 2 5 2 4 4" xfId="43567" xr:uid="{19FD1CAC-5692-4D9E-9D95-EAC38B7533FE}"/>
    <cellStyle name="Comma 2 2 5 2 4 5" xfId="48460" xr:uid="{49E4987B-05CF-48A6-815F-8E77D0D70CB9}"/>
    <cellStyle name="Comma 2 2 5 2 5" xfId="3076" xr:uid="{D2A0BC38-8290-4B27-BBA1-FDA5361B320E}"/>
    <cellStyle name="Comma 2 2 5 2 5 2" xfId="11347" xr:uid="{69010DE0-A06C-454A-B7AF-4238E49628CF}"/>
    <cellStyle name="Comma 2 2 5 2 5 2 2" xfId="46507" xr:uid="{0BFB156E-8610-4C57-9405-E93BFE97A2AE}"/>
    <cellStyle name="Comma 2 2 5 2 5 3" xfId="14187" xr:uid="{4A9804CB-98F1-4CA2-BEA6-89968E6E3CC5}"/>
    <cellStyle name="Comma 2 2 5 2 5 4" xfId="44111" xr:uid="{0321B882-2ADB-4E95-B84E-24F63FCB0548}"/>
    <cellStyle name="Comma 2 2 5 2 5 5" xfId="49004" xr:uid="{9540CB4F-4003-458E-940F-7087B1E687E1}"/>
    <cellStyle name="Comma 2 2 5 2 6" xfId="3578" xr:uid="{E6ED9322-5182-457E-BDD8-45FE45354FEC}"/>
    <cellStyle name="Comma 2 2 5 2 6 2" xfId="11819" xr:uid="{4AF71133-0D74-4A1A-AFDC-03B45278A7D1}"/>
    <cellStyle name="Comma 2 2 5 2 6 3" xfId="14659" xr:uid="{E79FABC9-9CD3-4543-BD66-5CEE362D2FF9}"/>
    <cellStyle name="Comma 2 2 5 2 6 4" xfId="44583" xr:uid="{5C0A0E80-F274-4AF7-97D9-4F25DA8AEA9B}"/>
    <cellStyle name="Comma 2 2 5 2 6 5" xfId="49476" xr:uid="{8274A84E-C50F-4AFE-80A3-757AA65B342B}"/>
    <cellStyle name="Comma 2 2 5 2 7" xfId="9841" xr:uid="{4426D454-B636-4B35-BA26-C330569F99A9}"/>
    <cellStyle name="Comma 2 2 5 2 7 2" xfId="45001" xr:uid="{9E3E21F4-2094-4610-9AE3-D6AE64CD7A3E}"/>
    <cellStyle name="Comma 2 2 5 2 8" xfId="12681" xr:uid="{6F23A5DA-35E7-4B8F-8366-75E0A9997E5A}"/>
    <cellStyle name="Comma 2 2 5 2 9" xfId="16024" xr:uid="{0B8C1385-8CDF-49AC-8AD9-24ADA9A40F85}"/>
    <cellStyle name="Comma 2 2 5 3" xfId="409" xr:uid="{00000000-0005-0000-0000-000094000000}"/>
    <cellStyle name="Comma 2 2 5 3 10" xfId="17223" xr:uid="{4213E2D2-8568-4CAF-A974-B85164AAF6EF}"/>
    <cellStyle name="Comma 2 2 5 3 11" xfId="17624" xr:uid="{52CA3E51-F285-4F05-AAB6-1307A1B3C3A3}"/>
    <cellStyle name="Comma 2 2 5 3 12" xfId="42717" xr:uid="{0DD411EB-0D91-4F1B-81E7-9F62A326E092}"/>
    <cellStyle name="Comma 2 2 5 3 13" xfId="47610" xr:uid="{B825CD03-B2A7-40C3-8BBD-B8CB8D831320}"/>
    <cellStyle name="Comma 2 2 5 3 2" xfId="2226" xr:uid="{D7C5F278-07FE-4CDE-96D2-986145532E11}"/>
    <cellStyle name="Comma 2 2 5 3 2 2" xfId="10497" xr:uid="{BF8D9F3A-074A-480D-8A7A-877A4140554A}"/>
    <cellStyle name="Comma 2 2 5 3 2 2 2" xfId="45657" xr:uid="{19315DBA-2EFB-4BD0-B51D-36CD7A0C2713}"/>
    <cellStyle name="Comma 2 2 5 3 2 3" xfId="13337" xr:uid="{4C8C25B8-D5AB-4C3D-B9DE-75E4BF0D3B85}"/>
    <cellStyle name="Comma 2 2 5 3 2 4" xfId="43261" xr:uid="{FEB8A136-C390-4A78-BDA0-C5A50F711DE6}"/>
    <cellStyle name="Comma 2 2 5 3 2 5" xfId="48154" xr:uid="{793381E5-7E47-4A8C-85D2-C0042A4A744B}"/>
    <cellStyle name="Comma 2 2 5 3 3" xfId="2644" xr:uid="{B5758618-806D-483E-BA92-C9F098783F36}"/>
    <cellStyle name="Comma 2 2 5 3 3 2" xfId="10915" xr:uid="{4724CEA5-AC11-4083-B6CB-B1E702D7A5A7}"/>
    <cellStyle name="Comma 2 2 5 3 3 2 2" xfId="46075" xr:uid="{50EEF438-3303-43C5-BC79-F1A3F349B204}"/>
    <cellStyle name="Comma 2 2 5 3 3 3" xfId="13755" xr:uid="{8B0DC784-E854-455E-AE4C-C5AD02ED2FCD}"/>
    <cellStyle name="Comma 2 2 5 3 3 4" xfId="43679" xr:uid="{6E5AB3EC-7B40-483A-B684-15C3D31EB937}"/>
    <cellStyle name="Comma 2 2 5 3 3 5" xfId="48572" xr:uid="{8AC0C73A-10BB-43DA-8475-139E34B08FA9}"/>
    <cellStyle name="Comma 2 2 5 3 4" xfId="3188" xr:uid="{55BCD98F-2918-4913-862C-4784C7892F3F}"/>
    <cellStyle name="Comma 2 2 5 3 4 2" xfId="11459" xr:uid="{EAAC53E0-70BE-45E8-A494-15BA1DBE4827}"/>
    <cellStyle name="Comma 2 2 5 3 4 2 2" xfId="46619" xr:uid="{400FDBB4-F5F2-44F0-B9D1-4BC5777DD03E}"/>
    <cellStyle name="Comma 2 2 5 3 4 3" xfId="14299" xr:uid="{5D4C9CCF-4407-4320-9B1F-1C6ABCC663C4}"/>
    <cellStyle name="Comma 2 2 5 3 4 4" xfId="44223" xr:uid="{B79133D0-72AB-4EBD-87F7-FAE40440BAC8}"/>
    <cellStyle name="Comma 2 2 5 3 4 5" xfId="49116" xr:uid="{C4453094-42F3-4F7F-8219-645A2D704E3F}"/>
    <cellStyle name="Comma 2 2 5 3 5" xfId="3690" xr:uid="{1D642008-124B-4E07-9AA0-BDC7245ED1F9}"/>
    <cellStyle name="Comma 2 2 5 3 5 2" xfId="11931" xr:uid="{ECF75F4A-EAC1-486E-85D0-62BD3EC6EA5D}"/>
    <cellStyle name="Comma 2 2 5 3 5 3" xfId="14771" xr:uid="{E1BB2082-073B-435B-92C2-A7139C2D667B}"/>
    <cellStyle name="Comma 2 2 5 3 5 4" xfId="44695" xr:uid="{64F18C71-7CA3-46A1-AF46-1B9350189364}"/>
    <cellStyle name="Comma 2 2 5 3 5 5" xfId="49588" xr:uid="{BA4E2362-AB2B-45C1-9674-A427ACC1F21C}"/>
    <cellStyle name="Comma 2 2 5 3 6" xfId="9953" xr:uid="{8102FFA4-DC30-47AE-98F3-FCEB0B12152E}"/>
    <cellStyle name="Comma 2 2 5 3 6 2" xfId="45113" xr:uid="{6B396DB4-8525-48A5-AE79-74C768B05254}"/>
    <cellStyle name="Comma 2 2 5 3 7" xfId="12793" xr:uid="{B27F8B65-A245-4E04-88EE-14E4FD4431D2}"/>
    <cellStyle name="Comma 2 2 5 3 8" xfId="16136" xr:uid="{9DBF27E6-1437-4FE1-92F4-2005C2B5815A}"/>
    <cellStyle name="Comma 2 2 5 3 9" xfId="16679" xr:uid="{B7184B14-DBE6-4532-BEBD-00A6B9A5B44E}"/>
    <cellStyle name="Comma 2 2 5 4" xfId="612" xr:uid="{00000000-0005-0000-0000-000095000000}"/>
    <cellStyle name="Comma 2 2 5 4 10" xfId="47812" xr:uid="{450C7338-83F9-4D3B-A1FB-D646532716B7}"/>
    <cellStyle name="Comma 2 2 5 4 2" xfId="2846" xr:uid="{73B07D39-FE70-4D6C-A4B5-03510FE5EB0E}"/>
    <cellStyle name="Comma 2 2 5 4 2 2" xfId="11117" xr:uid="{09A63BC9-37D2-44B4-BADF-E557A77B9CAF}"/>
    <cellStyle name="Comma 2 2 5 4 2 2 2" xfId="46277" xr:uid="{3E38D39C-0AE1-4FD4-819D-98F0CC0081A3}"/>
    <cellStyle name="Comma 2 2 5 4 2 3" xfId="13957" xr:uid="{2F877118-B953-43C5-8628-89DAEFBC3035}"/>
    <cellStyle name="Comma 2 2 5 4 2 4" xfId="43881" xr:uid="{225AC441-331F-422A-8261-90F9FF00DEE7}"/>
    <cellStyle name="Comma 2 2 5 4 2 5" xfId="48774" xr:uid="{D5E3F7C6-A866-4A79-B9E8-1BB6A9C4C5C3}"/>
    <cellStyle name="Comma 2 2 5 4 3" xfId="10155" xr:uid="{14C49866-5485-4F0B-BF78-A0CB5E627CC9}"/>
    <cellStyle name="Comma 2 2 5 4 3 2" xfId="45315" xr:uid="{8A4EB096-08FC-408B-BE65-600A9A2AE458}"/>
    <cellStyle name="Comma 2 2 5 4 4" xfId="12995" xr:uid="{8FA7EB87-F81C-465B-ADD8-D8A0779F3D29}"/>
    <cellStyle name="Comma 2 2 5 4 5" xfId="16338" xr:uid="{4BE14313-5551-4697-AB4D-882716FE502F}"/>
    <cellStyle name="Comma 2 2 5 4 6" xfId="16881" xr:uid="{48FCE611-E646-41FB-B9F4-4276B4503DEF}"/>
    <cellStyle name="Comma 2 2 5 4 7" xfId="17425" xr:uid="{78D34E54-BE95-40A1-A3DA-CF08BF884BF8}"/>
    <cellStyle name="Comma 2 2 5 4 8" xfId="17860" xr:uid="{7AC35898-27D0-463D-B9F0-D640D10D01D3}"/>
    <cellStyle name="Comma 2 2 5 4 9" xfId="42919" xr:uid="{3716E05F-E674-4BD6-884D-1E217F4B24F2}"/>
    <cellStyle name="Comma 2 2 5 5" xfId="2010" xr:uid="{9EEC7464-F1F5-4106-B54B-9B2D83CE8140}"/>
    <cellStyle name="Comma 2 2 5 5 2" xfId="10281" xr:uid="{488957E2-5363-41FA-9D9D-B5256FF7D064}"/>
    <cellStyle name="Comma 2 2 5 5 2 2" xfId="45441" xr:uid="{457BEF14-F55B-422C-8F9C-17A76E1DB33C}"/>
    <cellStyle name="Comma 2 2 5 5 3" xfId="13121" xr:uid="{D53F8089-096E-4CA5-AE25-00B808142C8D}"/>
    <cellStyle name="Comma 2 2 5 5 4" xfId="43045" xr:uid="{C0A0B717-22B1-4FD1-A24A-BE4B1AC953E0}"/>
    <cellStyle name="Comma 2 2 5 5 5" xfId="47938" xr:uid="{34220E32-1A99-462C-9CC9-77C80A028D43}"/>
    <cellStyle name="Comma 2 2 5 6" xfId="2428" xr:uid="{EB9219A2-B465-4273-865A-1850129299ED}"/>
    <cellStyle name="Comma 2 2 5 6 2" xfId="10699" xr:uid="{47653533-67F2-4BDE-A90A-3B1AC8D0D8CF}"/>
    <cellStyle name="Comma 2 2 5 6 2 2" xfId="45859" xr:uid="{C937FD6C-455B-4EBD-9404-113D817F1360}"/>
    <cellStyle name="Comma 2 2 5 6 3" xfId="13539" xr:uid="{B0F8E47F-F254-49CB-A7E1-3DFB4EF2D506}"/>
    <cellStyle name="Comma 2 2 5 6 4" xfId="43463" xr:uid="{9FA6B5E7-DC01-4F33-8DB6-22EB3A761C95}"/>
    <cellStyle name="Comma 2 2 5 6 5" xfId="48356" xr:uid="{BD988D56-EA75-477E-8D6E-6E74BE1F4D57}"/>
    <cellStyle name="Comma 2 2 5 7" xfId="2972" xr:uid="{2E33D693-188E-480D-8EA8-5C7C355E400F}"/>
    <cellStyle name="Comma 2 2 5 7 2" xfId="11243" xr:uid="{DCC6ECBD-F11B-4F4A-A5C9-BF52391946B4}"/>
    <cellStyle name="Comma 2 2 5 7 2 2" xfId="46403" xr:uid="{F1B60A37-49B9-4FBF-BD0E-9D29BA65C339}"/>
    <cellStyle name="Comma 2 2 5 7 3" xfId="14083" xr:uid="{0D2DF9F4-0A8C-47D6-BC63-11FA56AA54A7}"/>
    <cellStyle name="Comma 2 2 5 7 4" xfId="44007" xr:uid="{C80302F5-51B3-4D03-906A-E586CA8CDB08}"/>
    <cellStyle name="Comma 2 2 5 7 5" xfId="48900" xr:uid="{8C8FF655-F23C-49CD-9160-42EB3C4DD98F}"/>
    <cellStyle name="Comma 2 2 5 8" xfId="3474" xr:uid="{A835DA3A-F732-4C8C-9F7A-A274ED2B3E17}"/>
    <cellStyle name="Comma 2 2 5 8 2" xfId="11715" xr:uid="{B34C29A1-4B29-465B-8527-08EA5BBC7E23}"/>
    <cellStyle name="Comma 2 2 5 8 3" xfId="14555" xr:uid="{306214FE-FC06-4511-93E6-DAC0FC2E0751}"/>
    <cellStyle name="Comma 2 2 5 8 4" xfId="44479" xr:uid="{D6DBA527-BCB4-4D6C-88EC-978510D9B473}"/>
    <cellStyle name="Comma 2 2 5 8 5" xfId="49372" xr:uid="{F1F265C3-5BB8-4D64-B395-FB82A9D3613F}"/>
    <cellStyle name="Comma 2 2 5 9" xfId="9737" xr:uid="{B39106D1-C251-4980-90D3-E7019CC52736}"/>
    <cellStyle name="Comma 2 2 5 9 2" xfId="44897" xr:uid="{388B07EF-88AE-4B18-B179-859133CB43EE}"/>
    <cellStyle name="Comma 2 2 6" xfId="223" xr:uid="{00000000-0005-0000-0000-000096000000}"/>
    <cellStyle name="Comma 2 2 6 10" xfId="16507" xr:uid="{F9971400-164D-4E2F-83F6-70F7B07F07F4}"/>
    <cellStyle name="Comma 2 2 6 11" xfId="17051" xr:uid="{9213A154-81D0-4763-B633-6FADB2AE8CFB}"/>
    <cellStyle name="Comma 2 2 6 12" xfId="17595" xr:uid="{4E01E3CD-FCA6-4A76-897A-2BE44291DF04}"/>
    <cellStyle name="Comma 2 2 6 13" xfId="42545" xr:uid="{012D8B82-F3FE-42E1-A06D-B74EC0E1A971}"/>
    <cellStyle name="Comma 2 2 6 14" xfId="47438" xr:uid="{74C93588-E0C8-4C21-85E6-8228680B6421}"/>
    <cellStyle name="Comma 2 2 6 2" xfId="349" xr:uid="{00000000-0005-0000-0000-000097000000}"/>
    <cellStyle name="Comma 2 2 6 2 10" xfId="17163" xr:uid="{152888C2-C2DA-46AC-A6BD-43E1F648C808}"/>
    <cellStyle name="Comma 2 2 6 2 11" xfId="18193" xr:uid="{98D1D19D-006E-471A-97B6-EE41AA9275D7}"/>
    <cellStyle name="Comma 2 2 6 2 12" xfId="42657" xr:uid="{9638B10B-8BE9-494E-A3D8-C052147762C9}"/>
    <cellStyle name="Comma 2 2 6 2 13" xfId="47550" xr:uid="{91332CEE-BD19-49CE-88FE-C47DD173F191}"/>
    <cellStyle name="Comma 2 2 6 2 2" xfId="2166" xr:uid="{854342D5-2C75-4CD9-AFF0-4D7A678E2C26}"/>
    <cellStyle name="Comma 2 2 6 2 2 2" xfId="10437" xr:uid="{7C4FC07B-94E1-48D0-8B34-24A94731215C}"/>
    <cellStyle name="Comma 2 2 6 2 2 2 2" xfId="45597" xr:uid="{D591F793-439C-4AE9-8078-1909C6DF30C4}"/>
    <cellStyle name="Comma 2 2 6 2 2 3" xfId="13277" xr:uid="{FD6EC188-B71B-4707-91AB-C727BDC17590}"/>
    <cellStyle name="Comma 2 2 6 2 2 4" xfId="43201" xr:uid="{4292C4AA-2639-4608-8CE9-1BD9ADCEEF54}"/>
    <cellStyle name="Comma 2 2 6 2 2 5" xfId="48094" xr:uid="{E2A82E81-BC30-4F9E-8857-5A2C2923DBD8}"/>
    <cellStyle name="Comma 2 2 6 2 3" xfId="2584" xr:uid="{7F2A49C0-DF55-4F08-90B6-288326D3B73A}"/>
    <cellStyle name="Comma 2 2 6 2 3 2" xfId="10855" xr:uid="{29870F6C-F41F-4EDA-BB95-A21289DBEC18}"/>
    <cellStyle name="Comma 2 2 6 2 3 2 2" xfId="46015" xr:uid="{56F34DCE-B43C-44B3-8AAC-3E81274AE92F}"/>
    <cellStyle name="Comma 2 2 6 2 3 3" xfId="13695" xr:uid="{391B7F79-CDD4-4C3B-8DF1-72973E842169}"/>
    <cellStyle name="Comma 2 2 6 2 3 4" xfId="43619" xr:uid="{BAE93FE8-C43D-456F-A728-B1FDB514907E}"/>
    <cellStyle name="Comma 2 2 6 2 3 5" xfId="48512" xr:uid="{3BEF1823-E812-45EB-B958-5A46D707A38C}"/>
    <cellStyle name="Comma 2 2 6 2 4" xfId="3128" xr:uid="{AECAD74C-BE3E-4F35-A197-8F659DB5A59A}"/>
    <cellStyle name="Comma 2 2 6 2 4 2" xfId="11399" xr:uid="{65A527EC-200F-4F80-95C3-F8C67C2D9788}"/>
    <cellStyle name="Comma 2 2 6 2 4 2 2" xfId="46559" xr:uid="{1B11B2E8-6620-462C-BEDB-4E48ABEF9435}"/>
    <cellStyle name="Comma 2 2 6 2 4 3" xfId="14239" xr:uid="{28E8C38F-774A-47CD-9991-BB5BABE1AC95}"/>
    <cellStyle name="Comma 2 2 6 2 4 4" xfId="44163" xr:uid="{B8FB203E-2674-47E9-9587-5B261984F059}"/>
    <cellStyle name="Comma 2 2 6 2 4 5" xfId="49056" xr:uid="{AFEABCA9-5D1E-48E0-9675-F03E4CFF7FD2}"/>
    <cellStyle name="Comma 2 2 6 2 5" xfId="3630" xr:uid="{8F393024-5759-40C9-8ACD-09F58D190551}"/>
    <cellStyle name="Comma 2 2 6 2 5 2" xfId="11871" xr:uid="{FD6286A1-D813-4E43-8ECB-99A13CF3FF01}"/>
    <cellStyle name="Comma 2 2 6 2 5 3" xfId="14711" xr:uid="{C144D44C-6863-4007-BCE2-3054FC6E17EA}"/>
    <cellStyle name="Comma 2 2 6 2 5 4" xfId="44635" xr:uid="{56E11D94-2BD4-4566-89AA-C68F7FBFAAD1}"/>
    <cellStyle name="Comma 2 2 6 2 5 5" xfId="49528" xr:uid="{6F5594CB-07A4-4724-866B-FB2B64310E42}"/>
    <cellStyle name="Comma 2 2 6 2 6" xfId="9893" xr:uid="{3EDF5D0C-7973-4FE1-AB6C-898D999E220B}"/>
    <cellStyle name="Comma 2 2 6 2 6 2" xfId="45053" xr:uid="{DAA9ED1D-50D2-4FAC-841B-524D514D6E86}"/>
    <cellStyle name="Comma 2 2 6 2 7" xfId="12733" xr:uid="{D2E4669D-8B13-482D-A955-D5B3CA8DB33F}"/>
    <cellStyle name="Comma 2 2 6 2 8" xfId="16076" xr:uid="{7423DCD3-F8D1-4BC7-96B8-1FA0A0E557EC}"/>
    <cellStyle name="Comma 2 2 6 2 9" xfId="16619" xr:uid="{05382D77-9729-45D3-B038-BF40D18FD227}"/>
    <cellStyle name="Comma 2 2 6 3" xfId="2054" xr:uid="{06E14C42-47B5-4AD9-B512-36E3288E1F88}"/>
    <cellStyle name="Comma 2 2 6 3 2" xfId="10325" xr:uid="{C092B552-38AE-4916-9363-C016C3C848E8}"/>
    <cellStyle name="Comma 2 2 6 3 2 2" xfId="45485" xr:uid="{CF6CD5D8-C039-4B4F-AA2D-EA12C7C78DC6}"/>
    <cellStyle name="Comma 2 2 6 3 3" xfId="13165" xr:uid="{A51992A0-3B7A-4E45-8C73-B87F2AE91A70}"/>
    <cellStyle name="Comma 2 2 6 3 4" xfId="43089" xr:uid="{1904B363-5CC4-4AA8-9B61-BF7EFDA00DB3}"/>
    <cellStyle name="Comma 2 2 6 3 5" xfId="47982" xr:uid="{71270012-C13E-453B-B8B1-74E5162C9648}"/>
    <cellStyle name="Comma 2 2 6 4" xfId="2472" xr:uid="{B50231D7-9F45-4476-A932-587198B012F6}"/>
    <cellStyle name="Comma 2 2 6 4 2" xfId="10743" xr:uid="{97F95EDB-D628-4645-B8B7-C65FA5CF1C73}"/>
    <cellStyle name="Comma 2 2 6 4 2 2" xfId="45903" xr:uid="{748A4FD9-F678-46E5-9A7A-CA54AE780CC3}"/>
    <cellStyle name="Comma 2 2 6 4 3" xfId="13583" xr:uid="{C33438BC-8C97-4AD2-990B-B1A8B37F06C4}"/>
    <cellStyle name="Comma 2 2 6 4 4" xfId="43507" xr:uid="{D23D81E3-EAF5-4914-8B76-0324EA0482EF}"/>
    <cellStyle name="Comma 2 2 6 4 5" xfId="48400" xr:uid="{18ECD163-B5EE-4BE2-9BC2-5E28402E81FA}"/>
    <cellStyle name="Comma 2 2 6 5" xfId="3016" xr:uid="{1C08DE19-5DD9-423B-AB4E-7D964238F60F}"/>
    <cellStyle name="Comma 2 2 6 5 2" xfId="11287" xr:uid="{B145B5BB-D40E-4330-88C4-77A61F3A8E91}"/>
    <cellStyle name="Comma 2 2 6 5 2 2" xfId="46447" xr:uid="{8E594B91-140E-4B9E-8418-273A1495C7B3}"/>
    <cellStyle name="Comma 2 2 6 5 3" xfId="14127" xr:uid="{E27E91B3-A305-4533-951F-0CC3038390DA}"/>
    <cellStyle name="Comma 2 2 6 5 4" xfId="44051" xr:uid="{CE88E356-83C0-4F9F-BCB5-806CB261BC44}"/>
    <cellStyle name="Comma 2 2 6 5 5" xfId="48944" xr:uid="{6BCE3347-8779-4C2E-853F-911834922072}"/>
    <cellStyle name="Comma 2 2 6 6" xfId="3518" xr:uid="{F1E7103F-0700-4EFF-9393-C4A11CCF20DD}"/>
    <cellStyle name="Comma 2 2 6 6 2" xfId="11759" xr:uid="{3BCF7C56-DDBD-4F8B-92BF-9F98E93445E8}"/>
    <cellStyle name="Comma 2 2 6 6 3" xfId="14599" xr:uid="{2D5ECA8F-CE4B-433A-8073-D342C99C4E6E}"/>
    <cellStyle name="Comma 2 2 6 6 4" xfId="44523" xr:uid="{8EB3FFB3-6CD5-4597-9863-723CFF4DF7BE}"/>
    <cellStyle name="Comma 2 2 6 6 5" xfId="49416" xr:uid="{95C46C1B-2F76-4119-B42A-FD2ADB45A021}"/>
    <cellStyle name="Comma 2 2 6 7" xfId="9781" xr:uid="{263648BA-92AD-414D-9A49-CBAEC92BE81F}"/>
    <cellStyle name="Comma 2 2 6 7 2" xfId="44941" xr:uid="{36CFDCC8-3D4A-4054-BC6C-99D1F61844BA}"/>
    <cellStyle name="Comma 2 2 6 8" xfId="12621" xr:uid="{E1526A3C-EF54-4D3B-BCD4-E6DE506904E6}"/>
    <cellStyle name="Comma 2 2 6 9" xfId="15964" xr:uid="{27AA7720-A129-47A1-8D73-4B8EC0C8EA38}"/>
    <cellStyle name="Comma 2 2 7" xfId="450" xr:uid="{00000000-0005-0000-0000-000098000000}"/>
    <cellStyle name="Comma 2 2 7 10" xfId="17263" xr:uid="{0FCF1F6E-8F29-4F3A-859D-0061BFE33868}"/>
    <cellStyle name="Comma 2 2 7 11" xfId="17590" xr:uid="{0934F8FA-F292-4129-B615-A31E9F3A8400}"/>
    <cellStyle name="Comma 2 2 7 12" xfId="42757" xr:uid="{148D90CE-DF1A-4148-B8A7-4092CC2AC92C}"/>
    <cellStyle name="Comma 2 2 7 13" xfId="47650" xr:uid="{B9AC2541-4B32-4E78-BF7A-D39F777B9EDC}"/>
    <cellStyle name="Comma 2 2 7 2" xfId="2266" xr:uid="{6B2F7AC8-7569-4BC8-89C4-AA9B1E107337}"/>
    <cellStyle name="Comma 2 2 7 2 2" xfId="10537" xr:uid="{7583B350-3CBB-4F61-8EA0-CA286BAAEE1B}"/>
    <cellStyle name="Comma 2 2 7 2 2 2" xfId="45697" xr:uid="{EC61529A-1B4E-4CC6-B67D-DAAC5852AACB}"/>
    <cellStyle name="Comma 2 2 7 2 3" xfId="13377" xr:uid="{ACECB8DB-0CBB-47CE-98EA-2C1E9A3EC3C9}"/>
    <cellStyle name="Comma 2 2 7 2 4" xfId="43301" xr:uid="{7836FFAB-3D9F-43F8-9C88-3A8530FFE291}"/>
    <cellStyle name="Comma 2 2 7 2 5" xfId="48194" xr:uid="{C62B0573-3023-4628-AE2A-AAF4B4E8895F}"/>
    <cellStyle name="Comma 2 2 7 3" xfId="2684" xr:uid="{F36EE46A-1DC0-48A6-BD7E-B684C129AE52}"/>
    <cellStyle name="Comma 2 2 7 3 2" xfId="10955" xr:uid="{87AE66BE-1F95-4873-BD6B-DBEDCCF312EA}"/>
    <cellStyle name="Comma 2 2 7 3 2 2" xfId="46115" xr:uid="{C94A6355-3329-4877-8973-EEE87E22443D}"/>
    <cellStyle name="Comma 2 2 7 3 3" xfId="13795" xr:uid="{89F706CD-B21D-49D0-99BC-0F5CE52A4E8B}"/>
    <cellStyle name="Comma 2 2 7 3 4" xfId="43719" xr:uid="{605B774E-23CC-47F1-99BE-2C1E883A7DF6}"/>
    <cellStyle name="Comma 2 2 7 3 5" xfId="48612" xr:uid="{0D92274B-D58C-49C1-A3DA-4AC5C4C0DA68}"/>
    <cellStyle name="Comma 2 2 7 4" xfId="3228" xr:uid="{0C264504-846C-446B-A896-2F0303B1D212}"/>
    <cellStyle name="Comma 2 2 7 4 2" xfId="11499" xr:uid="{D118182E-B1D2-4935-B88F-D5D7D4560F6B}"/>
    <cellStyle name="Comma 2 2 7 4 2 2" xfId="46659" xr:uid="{D4194BC8-8DBE-4EB5-AE7B-E30B5C0A1F31}"/>
    <cellStyle name="Comma 2 2 7 4 3" xfId="14339" xr:uid="{2202EE80-9E89-407E-AB78-F7E9CDFD9F01}"/>
    <cellStyle name="Comma 2 2 7 4 4" xfId="44263" xr:uid="{490F0361-5B1B-4519-BCBA-C593DB9BBFFF}"/>
    <cellStyle name="Comma 2 2 7 4 5" xfId="49156" xr:uid="{BFF7901F-9614-461B-94E4-3FFFA5AC40FF}"/>
    <cellStyle name="Comma 2 2 7 5" xfId="3730" xr:uid="{6215ACB7-6DBB-42D1-8784-E9B93673FC85}"/>
    <cellStyle name="Comma 2 2 7 5 2" xfId="11971" xr:uid="{874545E2-59E7-4FD3-A731-9BB561009ACF}"/>
    <cellStyle name="Comma 2 2 7 5 3" xfId="14811" xr:uid="{D8A49E2F-93D1-4E64-BEA0-9133EB86FE38}"/>
    <cellStyle name="Comma 2 2 7 5 4" xfId="44735" xr:uid="{8E0F6C6E-A06A-4FCF-BB78-F6C3CF0C6A44}"/>
    <cellStyle name="Comma 2 2 7 5 5" xfId="49628" xr:uid="{4F058DD6-71F4-42A7-BA55-C84680F68751}"/>
    <cellStyle name="Comma 2 2 7 6" xfId="9993" xr:uid="{8DB2D06A-5D11-4F38-A313-DB168C800CDE}"/>
    <cellStyle name="Comma 2 2 7 6 2" xfId="45153" xr:uid="{08D1EA68-3879-4B5C-A728-73614E0AC352}"/>
    <cellStyle name="Comma 2 2 7 7" xfId="12833" xr:uid="{9F823384-3074-4F84-8C78-0A70435E0BDD}"/>
    <cellStyle name="Comma 2 2 7 8" xfId="16176" xr:uid="{9603D270-1D36-48EA-9D09-557420B533AD}"/>
    <cellStyle name="Comma 2 2 7 9" xfId="16719" xr:uid="{B3A11761-0869-4287-B500-DA1D988D491A}"/>
    <cellStyle name="Comma 2 2 8" xfId="338" xr:uid="{00000000-0005-0000-0000-000099000000}"/>
    <cellStyle name="Comma 2 2 8 10" xfId="17155" xr:uid="{5DE79F89-6A2B-45A6-9F81-F950E2A4BFEC}"/>
    <cellStyle name="Comma 2 2 8 11" xfId="17496" xr:uid="{F7E21325-6855-464E-95C6-4071989E456A}"/>
    <cellStyle name="Comma 2 2 8 12" xfId="42649" xr:uid="{151CEB32-0B66-4135-B5DA-903C8D208048}"/>
    <cellStyle name="Comma 2 2 8 13" xfId="47542" xr:uid="{7484D875-7EE8-4360-9BD6-14CE7E951A30}"/>
    <cellStyle name="Comma 2 2 8 2" xfId="2158" xr:uid="{C48CF8E8-335E-453A-B3B9-E63967095EDF}"/>
    <cellStyle name="Comma 2 2 8 2 2" xfId="10429" xr:uid="{A0158B28-B636-432E-8A64-8E5204B4478B}"/>
    <cellStyle name="Comma 2 2 8 2 2 2" xfId="45589" xr:uid="{F8272922-EBC2-4CC7-832B-59B466ACBA72}"/>
    <cellStyle name="Comma 2 2 8 2 3" xfId="13269" xr:uid="{CC2467BE-8832-402E-9298-B73A38DE6824}"/>
    <cellStyle name="Comma 2 2 8 2 4" xfId="43193" xr:uid="{915774DA-563B-4E2F-B944-4CD322F1DA84}"/>
    <cellStyle name="Comma 2 2 8 2 5" xfId="48086" xr:uid="{58F9572C-7A33-4377-BF91-FD732D8F6D5F}"/>
    <cellStyle name="Comma 2 2 8 3" xfId="2576" xr:uid="{7164D660-B11E-4357-8F94-1EB28F4A46AC}"/>
    <cellStyle name="Comma 2 2 8 3 2" xfId="10847" xr:uid="{A99FBF9D-9E76-4DE7-B6F7-6A8E81BDEF7D}"/>
    <cellStyle name="Comma 2 2 8 3 2 2" xfId="46007" xr:uid="{BCB0CA5E-6BE8-4D91-AF8D-E786F4E3C2CE}"/>
    <cellStyle name="Comma 2 2 8 3 3" xfId="13687" xr:uid="{83CAA839-9D4B-4FE3-8314-9986BB7A1742}"/>
    <cellStyle name="Comma 2 2 8 3 4" xfId="43611" xr:uid="{E268553B-F15C-4272-8B4D-B9E1A9F336B0}"/>
    <cellStyle name="Comma 2 2 8 3 5" xfId="48504" xr:uid="{785CC690-6B5D-4B16-8488-AD30AE037ADE}"/>
    <cellStyle name="Comma 2 2 8 4" xfId="3120" xr:uid="{6EF929BC-B769-4478-AB8A-FFDB2A42B878}"/>
    <cellStyle name="Comma 2 2 8 4 2" xfId="11391" xr:uid="{A36AA591-8863-468B-BF50-2BEBB22FB8CA}"/>
    <cellStyle name="Comma 2 2 8 4 2 2" xfId="46551" xr:uid="{C77FAFBF-CC22-4C3C-B650-8B5304F2C1C1}"/>
    <cellStyle name="Comma 2 2 8 4 3" xfId="14231" xr:uid="{180E3103-3175-41B1-9404-FB4D7610B1C4}"/>
    <cellStyle name="Comma 2 2 8 4 4" xfId="44155" xr:uid="{17FD03FD-307A-4572-B9D1-63ED98D529AE}"/>
    <cellStyle name="Comma 2 2 8 4 5" xfId="49048" xr:uid="{D030B133-1FE6-496D-9987-1506FC49D0D6}"/>
    <cellStyle name="Comma 2 2 8 5" xfId="3622" xr:uid="{C44E974A-CD8F-42F6-A639-2BA4A2CC1D1F}"/>
    <cellStyle name="Comma 2 2 8 5 2" xfId="11863" xr:uid="{3A6CCFDA-158B-4143-B6C9-755BEFE3B8B4}"/>
    <cellStyle name="Comma 2 2 8 5 3" xfId="14703" xr:uid="{C134D9EA-AC48-4AE2-8155-14165FA5A513}"/>
    <cellStyle name="Comma 2 2 8 5 4" xfId="44627" xr:uid="{1AD24A21-B2F8-45F3-9CAC-ABF26F6B1946}"/>
    <cellStyle name="Comma 2 2 8 5 5" xfId="49520" xr:uid="{6B0C9A2B-1EB1-4462-9814-7BFA85A71BE8}"/>
    <cellStyle name="Comma 2 2 8 6" xfId="9885" xr:uid="{1AEF10F1-DB86-4694-A222-13BC891961CC}"/>
    <cellStyle name="Comma 2 2 8 6 2" xfId="45045" xr:uid="{0CEC95B8-162D-4BEA-9F01-4019BC7A9130}"/>
    <cellStyle name="Comma 2 2 8 7" xfId="12725" xr:uid="{2046DECF-398B-498D-8BAB-81FE22BD4C00}"/>
    <cellStyle name="Comma 2 2 8 8" xfId="16068" xr:uid="{CF6774D7-5A7C-4179-90A2-10ED96D47A62}"/>
    <cellStyle name="Comma 2 2 8 9" xfId="16611" xr:uid="{26606A8A-54C8-4683-87E7-0865789AA8E5}"/>
    <cellStyle name="Comma 2 2 9" xfId="552" xr:uid="{00000000-0005-0000-0000-00009A000000}"/>
    <cellStyle name="Comma 2 2 9 10" xfId="47752" xr:uid="{F2659015-CE89-4C76-A197-0F4FC3C02064}"/>
    <cellStyle name="Comma 2 2 9 2" xfId="2786" xr:uid="{B2A5B903-5839-454B-82D1-B314CBCB68AF}"/>
    <cellStyle name="Comma 2 2 9 2 2" xfId="11057" xr:uid="{E32A944B-37DF-47E4-8A14-A503138DD893}"/>
    <cellStyle name="Comma 2 2 9 2 2 2" xfId="46217" xr:uid="{30AFF935-CF31-4732-9F94-6BDAEFE8A697}"/>
    <cellStyle name="Comma 2 2 9 2 3" xfId="13897" xr:uid="{8A6417F1-6654-4183-A7A3-2DD78E8F54E4}"/>
    <cellStyle name="Comma 2 2 9 2 4" xfId="43821" xr:uid="{C3F36460-9D76-409F-9D41-1E7C619A24BE}"/>
    <cellStyle name="Comma 2 2 9 2 5" xfId="48714" xr:uid="{01675D04-E784-4A42-A96D-7F511937AF7D}"/>
    <cellStyle name="Comma 2 2 9 3" xfId="10095" xr:uid="{593E06E6-A465-4AB3-BE54-75D268A0A12D}"/>
    <cellStyle name="Comma 2 2 9 3 2" xfId="45255" xr:uid="{12A8E181-0E1D-4EC6-88B3-3C4E8D58F5CB}"/>
    <cellStyle name="Comma 2 2 9 4" xfId="12935" xr:uid="{0BB87922-662B-4ED0-B49C-08C0C74D6F88}"/>
    <cellStyle name="Comma 2 2 9 5" xfId="16278" xr:uid="{AADFDF70-0CD8-4C62-A99D-600BB4EC722F}"/>
    <cellStyle name="Comma 2 2 9 6" xfId="16821" xr:uid="{669C5722-27E2-487F-93A5-4F8DE2D4FEFD}"/>
    <cellStyle name="Comma 2 2 9 7" xfId="17365" xr:uid="{3B58E70E-F2BA-49BC-9361-D48E19136CAC}"/>
    <cellStyle name="Comma 2 2 9 8" xfId="18252" xr:uid="{8D55B379-ED64-4D9D-9728-A656CF907924}"/>
    <cellStyle name="Comma 2 2 9 9" xfId="42859" xr:uid="{B50F6509-214F-4974-8C85-2988D24A7C78}"/>
    <cellStyle name="Comma 2 3" xfId="98" xr:uid="{00000000-0005-0000-0000-00009B000000}"/>
    <cellStyle name="Comma 2 3 10" xfId="3381" xr:uid="{0564EBC5-0BC3-4F0E-A92C-FF887CD015A7}"/>
    <cellStyle name="Comma 2 3 10 2" xfId="11629" xr:uid="{A36C2E92-0DCC-4179-94D0-8816C7F70DE9}"/>
    <cellStyle name="Comma 2 3 10 2 2" xfId="46789" xr:uid="{1747C762-11C5-4DCB-A57A-90B03D3CC4B4}"/>
    <cellStyle name="Comma 2 3 10 3" xfId="14469" xr:uid="{2EA4ECAF-8226-4914-863E-B0FFBB4C53A5}"/>
    <cellStyle name="Comma 2 3 10 4" xfId="44393" xr:uid="{76907D4D-ECBB-4B55-83C7-73B3D44596ED}"/>
    <cellStyle name="Comma 2 3 10 5" xfId="49286" xr:uid="{0E610020-5429-4D1A-8408-118DD9868280}"/>
    <cellStyle name="Comma 2 3 11" xfId="3424" xr:uid="{B83DDA54-787A-4D27-9305-6996167170A1}"/>
    <cellStyle name="Comma 2 3 11 2" xfId="11665" xr:uid="{6687B967-3887-44DF-99CB-260E0AF01490}"/>
    <cellStyle name="Comma 2 3 11 3" xfId="14505" xr:uid="{4C4D3FF5-BBA2-471C-98A7-D5273D23686C}"/>
    <cellStyle name="Comma 2 3 11 4" xfId="44429" xr:uid="{FF1DE870-303D-4DA9-8818-4A801C547732}"/>
    <cellStyle name="Comma 2 3 11 5" xfId="49322" xr:uid="{E2EE6085-C272-4795-9CC0-474BFAC57524}"/>
    <cellStyle name="Comma 2 3 12" xfId="9665" xr:uid="{2AB5AF6E-529F-4455-A76F-E54AAEA36836}"/>
    <cellStyle name="Comma 2 3 12 2" xfId="12505" xr:uid="{9C4298AC-CDD4-4F12-816D-ADB2C7984F1F}"/>
    <cellStyle name="Comma 2 3 12 3" xfId="15346" xr:uid="{11E8B5B5-B160-47F8-889C-063E8F4A36CC}"/>
    <cellStyle name="Comma 2 3 12 4" xfId="44847" xr:uid="{E6EAFAE7-7712-4373-92A2-C52AD3E7AC7E}"/>
    <cellStyle name="Comma 2 3 12 5" xfId="50162" xr:uid="{A6A90766-1B35-4D99-9C51-C94040C6FC82}"/>
    <cellStyle name="Comma 2 3 13" xfId="9687" xr:uid="{DBD7C960-EF10-4505-959E-296A48BC1D1B}"/>
    <cellStyle name="Comma 2 3 13 2" xfId="47104" xr:uid="{382BA2E7-9082-4A9D-816F-26B7A7D34A11}"/>
    <cellStyle name="Comma 2 3 14" xfId="12527" xr:uid="{43B14584-9B11-4C38-96E9-FA4F476B71EC}"/>
    <cellStyle name="Comma 2 3 15" xfId="15870" xr:uid="{2D56A3F2-1CBB-42C9-95CF-791D52F044EE}"/>
    <cellStyle name="Comma 2 3 16" xfId="16413" xr:uid="{983068F1-89B5-44A7-8CCA-F13238F2B878}"/>
    <cellStyle name="Comma 2 3 17" xfId="16957" xr:uid="{CAD980DF-2E11-4AA9-9D0B-45DD7D6A1598}"/>
    <cellStyle name="Comma 2 3 18" xfId="17887" xr:uid="{3FE68B68-7E27-4315-B121-E4F749D9C48E}"/>
    <cellStyle name="Comma 2 3 19" xfId="42062" xr:uid="{7BDF096A-787D-4758-9A71-6E4780F3943E}"/>
    <cellStyle name="Comma 2 3 2" xfId="193" xr:uid="{00000000-0005-0000-0000-00009C000000}"/>
    <cellStyle name="Comma 2 3 2 10" xfId="12596" xr:uid="{6B95E6EE-85F5-4C2E-81EB-DF0918AABC40}"/>
    <cellStyle name="Comma 2 3 2 10 2" xfId="47117" xr:uid="{E1855911-FB36-4DDE-ACE9-810AAB13894D}"/>
    <cellStyle name="Comma 2 3 2 11" xfId="15939" xr:uid="{73AD5558-849E-4436-9765-81FFE074B043}"/>
    <cellStyle name="Comma 2 3 2 12" xfId="16482" xr:uid="{E1151AC1-CE02-4D0B-9C06-F949329BA450}"/>
    <cellStyle name="Comma 2 3 2 13" xfId="17026" xr:uid="{6A7B5E5A-C90B-44BF-B063-C819CE83DBA3}"/>
    <cellStyle name="Comma 2 3 2 14" xfId="17753" xr:uid="{EA96D56D-D562-4ACA-954A-2248031715DB}"/>
    <cellStyle name="Comma 2 3 2 15" xfId="42063" xr:uid="{9788CC87-202E-43DF-93C1-C67A2B686834}"/>
    <cellStyle name="Comma 2 3 2 16" xfId="42520" xr:uid="{200ACC3B-47D4-4323-A49E-EEC468BE040E}"/>
    <cellStyle name="Comma 2 3 2 17" xfId="47413" xr:uid="{D019DE86-7AF4-4F55-B20F-A69FCEAAD3F4}"/>
    <cellStyle name="Comma 2 3 2 18" xfId="50235" xr:uid="{69B274AB-7C05-4984-B188-F45B3072E67B}"/>
    <cellStyle name="Comma 2 3 2 19" xfId="50309" xr:uid="{E1306794-7573-4980-9525-BE7D349EFA64}"/>
    <cellStyle name="Comma 2 3 2 2" xfId="302" xr:uid="{00000000-0005-0000-0000-00009D000000}"/>
    <cellStyle name="Comma 2 3 2 2 10" xfId="16586" xr:uid="{0F2FF7A4-1140-4D7A-AA73-C72BABCD6E3D}"/>
    <cellStyle name="Comma 2 3 2 2 11" xfId="17130" xr:uid="{05020E8B-E1C3-454D-ADAD-4C0B29C08583}"/>
    <cellStyle name="Comma 2 3 2 2 12" xfId="17865" xr:uid="{28F39AEC-3B81-4B10-9AC3-9247C4A3B9EB}"/>
    <cellStyle name="Comma 2 3 2 2 13" xfId="42624" xr:uid="{00113FF0-9D65-4FF2-9EF8-2FB05372204D}"/>
    <cellStyle name="Comma 2 3 2 2 14" xfId="46819" xr:uid="{DDA2CAF6-4B38-4F1A-8198-D7F147CCCCFB}"/>
    <cellStyle name="Comma 2 3 2 2 15" xfId="47517" xr:uid="{E7B9741E-F798-46EB-A8EE-F7530D449142}"/>
    <cellStyle name="Comma 2 3 2 2 16" xfId="50381" xr:uid="{E3BF80FB-D3C5-4291-9E4E-938F385674BD}"/>
    <cellStyle name="Comma 2 3 2 2 2" xfId="529" xr:uid="{00000000-0005-0000-0000-00009E000000}"/>
    <cellStyle name="Comma 2 3 2 2 2 10" xfId="17342" xr:uid="{16DDE4C6-5DB2-435C-991E-A9EE3287F1FA}"/>
    <cellStyle name="Comma 2 3 2 2 2 11" xfId="18025" xr:uid="{CD1721DD-985E-4329-8404-98E0ED039B2C}"/>
    <cellStyle name="Comma 2 3 2 2 2 12" xfId="42836" xr:uid="{1645951F-42A4-40C3-8455-B3F4FB5ADC2F}"/>
    <cellStyle name="Comma 2 3 2 2 2 13" xfId="47729" xr:uid="{F7DAEDFE-1F53-4039-BB3C-90E677BAC7EC}"/>
    <cellStyle name="Comma 2 3 2 2 2 2" xfId="2345" xr:uid="{06BD0C44-0171-4504-8005-05F530058848}"/>
    <cellStyle name="Comma 2 3 2 2 2 2 2" xfId="10616" xr:uid="{CF611DDD-67A0-4F01-9A78-81AB0532FB18}"/>
    <cellStyle name="Comma 2 3 2 2 2 2 2 2" xfId="45776" xr:uid="{19778526-9103-45CE-8D91-A190C2149C94}"/>
    <cellStyle name="Comma 2 3 2 2 2 2 3" xfId="13456" xr:uid="{7EAD38CC-1002-4213-91D4-D45592F9899A}"/>
    <cellStyle name="Comma 2 3 2 2 2 2 4" xfId="43380" xr:uid="{E6F75D7B-C5D8-466F-8AB1-68DDD1FA6DE4}"/>
    <cellStyle name="Comma 2 3 2 2 2 2 5" xfId="48273" xr:uid="{56CC5419-EC14-4156-8F61-8FC7F262F4DD}"/>
    <cellStyle name="Comma 2 3 2 2 2 3" xfId="2763" xr:uid="{0D675B9B-3D6B-43D5-A7B8-6E1E085B3E52}"/>
    <cellStyle name="Comma 2 3 2 2 2 3 2" xfId="11034" xr:uid="{B43E9A47-FE92-4C94-9B17-F838D01A39C0}"/>
    <cellStyle name="Comma 2 3 2 2 2 3 2 2" xfId="46194" xr:uid="{7D43F47E-1BEE-444E-9DD9-ABED23261DF1}"/>
    <cellStyle name="Comma 2 3 2 2 2 3 3" xfId="13874" xr:uid="{6F4BCE16-7856-45C4-B6FA-ED89A68228C7}"/>
    <cellStyle name="Comma 2 3 2 2 2 3 4" xfId="43798" xr:uid="{0B26EE2A-DC6C-46A4-92BB-3383B10C0FFB}"/>
    <cellStyle name="Comma 2 3 2 2 2 3 5" xfId="48691" xr:uid="{523AFADB-8D2D-44C5-8C76-57F793A38A5A}"/>
    <cellStyle name="Comma 2 3 2 2 2 4" xfId="3307" xr:uid="{4F0AA8C0-562F-48AD-B24C-DD805CAB8D55}"/>
    <cellStyle name="Comma 2 3 2 2 2 4 2" xfId="11578" xr:uid="{0AFF9D12-4D58-4A20-B738-AE975E26F5B0}"/>
    <cellStyle name="Comma 2 3 2 2 2 4 2 2" xfId="46738" xr:uid="{1E6CE849-4A1D-4873-99A0-177866218223}"/>
    <cellStyle name="Comma 2 3 2 2 2 4 3" xfId="14418" xr:uid="{3D3E6C0B-AA2A-4DAF-BBBF-2103706483F0}"/>
    <cellStyle name="Comma 2 3 2 2 2 4 4" xfId="44342" xr:uid="{476AA0BC-26C0-49BC-87F1-05C136CD7316}"/>
    <cellStyle name="Comma 2 3 2 2 2 4 5" xfId="49235" xr:uid="{24A8C532-30D4-4AA9-A440-62C1BDD9BCEB}"/>
    <cellStyle name="Comma 2 3 2 2 2 5" xfId="3809" xr:uid="{B7BDEF69-55BB-401D-AE15-E45526511208}"/>
    <cellStyle name="Comma 2 3 2 2 2 5 2" xfId="12050" xr:uid="{8D4D119F-51FE-4B30-85FD-9690AC6372A3}"/>
    <cellStyle name="Comma 2 3 2 2 2 5 3" xfId="14890" xr:uid="{EDFF4AAE-A546-4687-9308-4EC32F9EE608}"/>
    <cellStyle name="Comma 2 3 2 2 2 5 4" xfId="44814" xr:uid="{518DD7E2-8D1A-4AF2-8140-9E2D938BCFF2}"/>
    <cellStyle name="Comma 2 3 2 2 2 5 5" xfId="49707" xr:uid="{ACE3B70E-ED31-4A56-8382-DE01E84CF947}"/>
    <cellStyle name="Comma 2 3 2 2 2 6" xfId="10072" xr:uid="{EB7FEB5D-3D0D-477F-913A-D82DB6C651ED}"/>
    <cellStyle name="Comma 2 3 2 2 2 6 2" xfId="45232" xr:uid="{A8176BE0-18DE-4A35-80E4-A133DAEF78DB}"/>
    <cellStyle name="Comma 2 3 2 2 2 7" xfId="12912" xr:uid="{0BF0DBE8-3E8B-4500-A345-855628AD826D}"/>
    <cellStyle name="Comma 2 3 2 2 2 8" xfId="16255" xr:uid="{D7888D44-E002-46D5-8095-2C5F8666A802}"/>
    <cellStyle name="Comma 2 3 2 2 2 9" xfId="16798" xr:uid="{D19A1850-0202-47F5-8F93-CB391F448DB5}"/>
    <cellStyle name="Comma 2 3 2 2 3" xfId="2133" xr:uid="{04E10FDF-2C40-430D-A952-1B00E5ADBA34}"/>
    <cellStyle name="Comma 2 3 2 2 3 2" xfId="10404" xr:uid="{36B2C6EF-8D85-4DF3-BF29-217999FA3D1F}"/>
    <cellStyle name="Comma 2 3 2 2 3 2 2" xfId="45564" xr:uid="{186E1479-33FC-4513-881D-E4D4F6C8E554}"/>
    <cellStyle name="Comma 2 3 2 2 3 3" xfId="13244" xr:uid="{166DEF58-6429-40BB-85BE-FFF9D3BDAD5B}"/>
    <cellStyle name="Comma 2 3 2 2 3 4" xfId="43168" xr:uid="{FF368286-ADD1-415A-844F-474C96CFCD7E}"/>
    <cellStyle name="Comma 2 3 2 2 3 5" xfId="48061" xr:uid="{FB79AE64-AC54-4E6D-B964-DB4FB2E046A8}"/>
    <cellStyle name="Comma 2 3 2 2 4" xfId="2551" xr:uid="{ED0D624B-42A0-48AB-8D84-C6FB85224F7D}"/>
    <cellStyle name="Comma 2 3 2 2 4 2" xfId="10822" xr:uid="{5A99B54D-C236-4FCF-ADE3-09ECD7C1F117}"/>
    <cellStyle name="Comma 2 3 2 2 4 2 2" xfId="45982" xr:uid="{2AA95280-397B-4331-93B9-A6D0E03CC092}"/>
    <cellStyle name="Comma 2 3 2 2 4 3" xfId="13662" xr:uid="{813826F9-AED1-43A6-AFEC-62245BA879AF}"/>
    <cellStyle name="Comma 2 3 2 2 4 4" xfId="43586" xr:uid="{0F6D9047-40FB-4039-9600-8ABB2962629B}"/>
    <cellStyle name="Comma 2 3 2 2 4 5" xfId="48479" xr:uid="{DFD79130-8B4B-402B-AC32-412B346FB9AD}"/>
    <cellStyle name="Comma 2 3 2 2 5" xfId="3095" xr:uid="{80DE9D61-6FE8-4D2E-BF7D-FBD6644B6424}"/>
    <cellStyle name="Comma 2 3 2 2 5 2" xfId="11366" xr:uid="{01AB12C3-1780-47FE-A360-12D9402FAE7E}"/>
    <cellStyle name="Comma 2 3 2 2 5 2 2" xfId="46526" xr:uid="{109E2FB5-042D-48CD-B1FD-E32CF723631B}"/>
    <cellStyle name="Comma 2 3 2 2 5 3" xfId="14206" xr:uid="{D366C649-375E-42A9-AB16-B14201951E39}"/>
    <cellStyle name="Comma 2 3 2 2 5 4" xfId="44130" xr:uid="{20DCFB51-13B6-4C3A-ADEC-65C6D9E05E4C}"/>
    <cellStyle name="Comma 2 3 2 2 5 5" xfId="49023" xr:uid="{672DCA86-5C17-4DBC-A0DE-4409BF8F5709}"/>
    <cellStyle name="Comma 2 3 2 2 6" xfId="3597" xr:uid="{F88018A4-CB72-4677-AFC8-FE84A28EAC19}"/>
    <cellStyle name="Comma 2 3 2 2 6 2" xfId="11838" xr:uid="{E8FB656C-BB8E-4F98-AB3F-101643E39A80}"/>
    <cellStyle name="Comma 2 3 2 2 6 3" xfId="14678" xr:uid="{22FA82AC-AB02-4ADC-A4AD-07E594A0A262}"/>
    <cellStyle name="Comma 2 3 2 2 6 4" xfId="44602" xr:uid="{BDA8C81C-6ED6-43AB-936E-9EDB734ADE3B}"/>
    <cellStyle name="Comma 2 3 2 2 6 5" xfId="49495" xr:uid="{15868706-5432-4D9F-A21C-78482A849BEE}"/>
    <cellStyle name="Comma 2 3 2 2 7" xfId="9860" xr:uid="{C9A48F57-D9C2-4C5E-AEC2-A79AF56331AE}"/>
    <cellStyle name="Comma 2 3 2 2 7 2" xfId="45020" xr:uid="{1C1E1404-1958-4075-B727-4CFBCBA5CE9D}"/>
    <cellStyle name="Comma 2 3 2 2 7 3" xfId="47280" xr:uid="{A8FBB2F1-B826-474B-8662-F5900A8B16B0}"/>
    <cellStyle name="Comma 2 3 2 2 8" xfId="12700" xr:uid="{388F3E6B-4AF9-4B99-A9E4-E8A202608D52}"/>
    <cellStyle name="Comma 2 3 2 2 8 2" xfId="47148" xr:uid="{0EB87599-2608-428E-9C0D-9D0B3D15F26B}"/>
    <cellStyle name="Comma 2 3 2 2 9" xfId="16043" xr:uid="{956C731A-C51C-4580-A3D1-C4978070C790}"/>
    <cellStyle name="Comma 2 3 2 3" xfId="428" xr:uid="{00000000-0005-0000-0000-00009F000000}"/>
    <cellStyle name="Comma 2 3 2 3 10" xfId="17242" xr:uid="{1521FBAD-3C72-495E-855F-EB2B1DC0FFFA}"/>
    <cellStyle name="Comma 2 3 2 3 11" xfId="18063" xr:uid="{FBED1F2B-A0DF-4139-ABFB-254AB0F86674}"/>
    <cellStyle name="Comma 2 3 2 3 12" xfId="42736" xr:uid="{31F23648-3C36-435A-BAD8-32793D41996C}"/>
    <cellStyle name="Comma 2 3 2 3 13" xfId="47629" xr:uid="{17A95AC3-A6EA-4055-A981-B60191D317C0}"/>
    <cellStyle name="Comma 2 3 2 3 2" xfId="2245" xr:uid="{E774797C-CDB7-4FA7-8EEC-AF3CE9F17CF2}"/>
    <cellStyle name="Comma 2 3 2 3 2 2" xfId="10516" xr:uid="{36B432AE-C4CE-4A9F-8E26-6859225DD2F0}"/>
    <cellStyle name="Comma 2 3 2 3 2 2 2" xfId="45676" xr:uid="{18F9F3EB-6B9D-46F1-BB49-020714A63568}"/>
    <cellStyle name="Comma 2 3 2 3 2 3" xfId="13356" xr:uid="{BE49DCF0-40F3-4E4C-B92E-E703E92719F7}"/>
    <cellStyle name="Comma 2 3 2 3 2 4" xfId="43280" xr:uid="{C69C2DC0-F2C3-4EFA-AE8D-98686A748B01}"/>
    <cellStyle name="Comma 2 3 2 3 2 5" xfId="48173" xr:uid="{D761EAAE-0E71-4140-A71B-EC40C0634B75}"/>
    <cellStyle name="Comma 2 3 2 3 3" xfId="2663" xr:uid="{B418F376-13B2-4019-B238-E4BB64AF71F1}"/>
    <cellStyle name="Comma 2 3 2 3 3 2" xfId="10934" xr:uid="{669D5EE5-EC8E-4873-873C-7909EC9EF3EC}"/>
    <cellStyle name="Comma 2 3 2 3 3 2 2" xfId="46094" xr:uid="{343B8269-7707-41B6-82F5-297551819AB0}"/>
    <cellStyle name="Comma 2 3 2 3 3 3" xfId="13774" xr:uid="{9C289779-A400-469F-9651-8F8FBC86203B}"/>
    <cellStyle name="Comma 2 3 2 3 3 4" xfId="43698" xr:uid="{5862FF0E-17AB-4246-B70A-4B6DCDCF6731}"/>
    <cellStyle name="Comma 2 3 2 3 3 5" xfId="48591" xr:uid="{36EAD788-446F-4955-AD3C-9938789166BC}"/>
    <cellStyle name="Comma 2 3 2 3 4" xfId="3207" xr:uid="{44490BEE-4CF1-413C-8421-528F74E9C1AA}"/>
    <cellStyle name="Comma 2 3 2 3 4 2" xfId="11478" xr:uid="{BFE1EE47-A265-4C62-8EFE-480D6C9DD254}"/>
    <cellStyle name="Comma 2 3 2 3 4 2 2" xfId="46638" xr:uid="{408A4320-4F10-49DC-9F52-DEB63F4A2A4B}"/>
    <cellStyle name="Comma 2 3 2 3 4 3" xfId="14318" xr:uid="{B7C7D380-EEBD-4538-ACF2-37168C1ED1B4}"/>
    <cellStyle name="Comma 2 3 2 3 4 4" xfId="44242" xr:uid="{14AF76D9-E2F5-4A78-866C-86ADC7F184A9}"/>
    <cellStyle name="Comma 2 3 2 3 4 5" xfId="49135" xr:uid="{466FB97A-216D-4555-AFB3-F36C6D93364E}"/>
    <cellStyle name="Comma 2 3 2 3 5" xfId="3709" xr:uid="{F9624E99-69AF-4FA8-9395-586B5EBE775E}"/>
    <cellStyle name="Comma 2 3 2 3 5 2" xfId="11950" xr:uid="{13E1BDC9-2BA6-409E-A531-4AC3338681BF}"/>
    <cellStyle name="Comma 2 3 2 3 5 3" xfId="14790" xr:uid="{6882E1C1-0BE1-42C5-ADBC-341D4019203F}"/>
    <cellStyle name="Comma 2 3 2 3 5 4" xfId="44714" xr:uid="{6EE364BA-B928-47CC-8BE5-AACD7D02C496}"/>
    <cellStyle name="Comma 2 3 2 3 5 5" xfId="49607" xr:uid="{379CB382-D12F-4301-AC04-175C9F82A966}"/>
    <cellStyle name="Comma 2 3 2 3 6" xfId="9972" xr:uid="{824C52D6-0BF7-45E6-8B21-73FF24CE6704}"/>
    <cellStyle name="Comma 2 3 2 3 6 2" xfId="45132" xr:uid="{1E7F2D05-756C-45F6-B691-C7502C0A9043}"/>
    <cellStyle name="Comma 2 3 2 3 7" xfId="12812" xr:uid="{884F9AD8-0058-48C7-BD15-9507FE27CF52}"/>
    <cellStyle name="Comma 2 3 2 3 8" xfId="16155" xr:uid="{7697C28F-729F-4B95-B681-42BF10ED5090}"/>
    <cellStyle name="Comma 2 3 2 3 9" xfId="16698" xr:uid="{6A5DDE4A-B759-4FBF-AB1D-DAB656A8E306}"/>
    <cellStyle name="Comma 2 3 2 4" xfId="631" xr:uid="{00000000-0005-0000-0000-0000A0000000}"/>
    <cellStyle name="Comma 2 3 2 4 10" xfId="47831" xr:uid="{1694BC7F-C5C0-41F4-9941-5F72E02A5DF1}"/>
    <cellStyle name="Comma 2 3 2 4 2" xfId="2865" xr:uid="{218D696A-1742-4389-B514-F47AE7493374}"/>
    <cellStyle name="Comma 2 3 2 4 2 2" xfId="11136" xr:uid="{8163333C-0550-4DAA-A9A4-632FD79D3250}"/>
    <cellStyle name="Comma 2 3 2 4 2 2 2" xfId="46296" xr:uid="{52CAD6E6-3A0C-43F7-ACD4-A0F91D247994}"/>
    <cellStyle name="Comma 2 3 2 4 2 3" xfId="13976" xr:uid="{D982A325-9E0F-4CC4-B49F-E6E0448E71C2}"/>
    <cellStyle name="Comma 2 3 2 4 2 4" xfId="43900" xr:uid="{25859B20-BF4F-4FE1-9DFE-DDC6BE3E417F}"/>
    <cellStyle name="Comma 2 3 2 4 2 5" xfId="48793" xr:uid="{F6C03846-E370-4BFF-A0C1-61EEA23B963B}"/>
    <cellStyle name="Comma 2 3 2 4 3" xfId="10174" xr:uid="{5DA41772-D931-4935-A70C-49698DB4CD4C}"/>
    <cellStyle name="Comma 2 3 2 4 3 2" xfId="45334" xr:uid="{B2D1AE98-D71A-4F35-810E-9F37EE3124A9}"/>
    <cellStyle name="Comma 2 3 2 4 4" xfId="13014" xr:uid="{BAB6B9AA-421C-4926-8F36-6860F0D4BA09}"/>
    <cellStyle name="Comma 2 3 2 4 5" xfId="16357" xr:uid="{4352FE8D-6200-429E-8382-7FB988CDCE17}"/>
    <cellStyle name="Comma 2 3 2 4 6" xfId="16900" xr:uid="{1E4A7D7E-E9C2-4A81-99A3-604B661AC5DE}"/>
    <cellStyle name="Comma 2 3 2 4 7" xfId="17444" xr:uid="{C36D7B7F-8617-4841-87AE-53219F6D1AD8}"/>
    <cellStyle name="Comma 2 3 2 4 8" xfId="41113" xr:uid="{CF6AE515-73BA-4DA0-981C-9628EA049091}"/>
    <cellStyle name="Comma 2 3 2 4 9" xfId="42938" xr:uid="{71DDE9B5-87C0-45E2-A261-37F68B3B6BF9}"/>
    <cellStyle name="Comma 2 3 2 5" xfId="2029" xr:uid="{CFFEBD5A-32AA-4AF2-8CCF-59203573F3FA}"/>
    <cellStyle name="Comma 2 3 2 5 2" xfId="10300" xr:uid="{4EFFDF1A-D469-4F2C-A87E-983CAECB0B82}"/>
    <cellStyle name="Comma 2 3 2 5 2 2" xfId="45460" xr:uid="{FC2B43B2-21A5-4397-BE94-DA54320BA72F}"/>
    <cellStyle name="Comma 2 3 2 5 3" xfId="13140" xr:uid="{4C05E97F-7BA5-4629-9E8F-2EC470797737}"/>
    <cellStyle name="Comma 2 3 2 5 4" xfId="43064" xr:uid="{5DB92639-7ABF-4616-A08A-F71A8F221647}"/>
    <cellStyle name="Comma 2 3 2 5 5" xfId="47957" xr:uid="{4651D210-62C5-4DF4-B626-B0C14E4A38CE}"/>
    <cellStyle name="Comma 2 3 2 6" xfId="2447" xr:uid="{316E1A4C-CD8D-46E0-8028-06278213C53C}"/>
    <cellStyle name="Comma 2 3 2 6 2" xfId="10718" xr:uid="{C1AD2ED6-B6B1-4A4D-9B84-3FF4F9820693}"/>
    <cellStyle name="Comma 2 3 2 6 2 2" xfId="45878" xr:uid="{6CD6F8F2-BF90-434D-BD17-69FE183946F1}"/>
    <cellStyle name="Comma 2 3 2 6 3" xfId="13558" xr:uid="{873D0B11-AC34-4C2A-9D02-D4E289DB1BA8}"/>
    <cellStyle name="Comma 2 3 2 6 4" xfId="43482" xr:uid="{28AFDA25-57A1-450B-BE09-5070669B5C20}"/>
    <cellStyle name="Comma 2 3 2 6 5" xfId="48375" xr:uid="{4AA2215A-399C-4CDD-801A-7362E5CFFB84}"/>
    <cellStyle name="Comma 2 3 2 7" xfId="2991" xr:uid="{D142733C-8925-4D00-964C-653BB0E19F0E}"/>
    <cellStyle name="Comma 2 3 2 7 2" xfId="11262" xr:uid="{17292341-4CF3-4347-99BE-6D167CA53699}"/>
    <cellStyle name="Comma 2 3 2 7 2 2" xfId="46422" xr:uid="{03950DBF-F7D7-402A-A640-1202401F8CA3}"/>
    <cellStyle name="Comma 2 3 2 7 3" xfId="14102" xr:uid="{B7C8FCBA-60A6-4E79-BE3F-D7BA6B7B7407}"/>
    <cellStyle name="Comma 2 3 2 7 4" xfId="44026" xr:uid="{8D53183D-D64E-4FD9-955C-3FDB4F72DCB0}"/>
    <cellStyle name="Comma 2 3 2 7 5" xfId="48919" xr:uid="{03156347-CF87-45B8-AB72-A091207A09DE}"/>
    <cellStyle name="Comma 2 3 2 8" xfId="3493" xr:uid="{31BFCA96-586E-481B-A945-CA62F0A66A67}"/>
    <cellStyle name="Comma 2 3 2 8 2" xfId="11734" xr:uid="{FCBB604F-09C1-4A17-8C5E-E19760E1CB02}"/>
    <cellStyle name="Comma 2 3 2 8 3" xfId="14574" xr:uid="{F7F8C270-D5AC-4AB6-91AD-5609AF16C783}"/>
    <cellStyle name="Comma 2 3 2 8 4" xfId="44498" xr:uid="{017B9715-B2B6-4F5A-90AB-3661DEABC076}"/>
    <cellStyle name="Comma 2 3 2 8 5" xfId="49391" xr:uid="{EF2716C1-2A0B-48AA-AB22-882C3C0F8CB3}"/>
    <cellStyle name="Comma 2 3 2 9" xfId="9756" xr:uid="{AF5F6573-D849-4DF2-A8B4-983C2AAC37E2}"/>
    <cellStyle name="Comma 2 3 2 9 2" xfId="44916" xr:uid="{7D38B4FC-8571-4EAD-B8EF-3785CFCAC6B1}"/>
    <cellStyle name="Comma 2 3 2 9 3" xfId="47256" xr:uid="{C4B0309D-6D24-48A3-8957-D8133CA37B8E}"/>
    <cellStyle name="Comma 2 3 20" xfId="42451" xr:uid="{16E8BEDF-1D99-45A5-9AD0-BE0DBB7B4CAB}"/>
    <cellStyle name="Comma 2 3 21" xfId="47344" xr:uid="{BE356C17-7FC7-4D28-8233-34E73A9099FE}"/>
    <cellStyle name="Comma 2 3 22" xfId="50197" xr:uid="{7C4CD0B5-1B48-4F27-AEC7-3FAF1B3F1A34}"/>
    <cellStyle name="Comma 2 3 23" xfId="50271" xr:uid="{B1EE1C95-2D02-4B45-B834-08E251FDC1CB}"/>
    <cellStyle name="Comma 2 3 3" xfId="146" xr:uid="{00000000-0005-0000-0000-0000A1000000}"/>
    <cellStyle name="Comma 2 3 3 10" xfId="12554" xr:uid="{155D3727-3D3A-4F8F-8E9D-D6F6141DC95D}"/>
    <cellStyle name="Comma 2 3 3 10 2" xfId="47127" xr:uid="{0A301DA7-D7B9-426E-A6BC-584F63FA16A5}"/>
    <cellStyle name="Comma 2 3 3 11" xfId="15897" xr:uid="{AC924AA9-5177-4C9F-B0B3-DD283C085E6B}"/>
    <cellStyle name="Comma 2 3 3 12" xfId="16440" xr:uid="{FDDCB4B1-076B-47DD-8F1C-4F602B209A8D}"/>
    <cellStyle name="Comma 2 3 3 13" xfId="16984" xr:uid="{C0A8E2B5-D462-4AB3-9BAF-536726D6606F}"/>
    <cellStyle name="Comma 2 3 3 14" xfId="17568" xr:uid="{A1DC42A2-1E03-4CD4-ABB0-CD0A7536312C}"/>
    <cellStyle name="Comma 2 3 3 15" xfId="42478" xr:uid="{BD354571-1BF9-43CA-82D8-36108BAD0212}"/>
    <cellStyle name="Comma 2 3 3 16" xfId="46820" xr:uid="{C993E0FD-3C7C-47E4-ACE1-541A4083BA87}"/>
    <cellStyle name="Comma 2 3 3 17" xfId="47371" xr:uid="{12B11612-8E12-483D-8E9B-6F9B7F289037}"/>
    <cellStyle name="Comma 2 3 3 18" xfId="50343" xr:uid="{26A2CB6B-927D-42D2-BAE4-F45D4159DCA1}"/>
    <cellStyle name="Comma 2 3 3 2" xfId="260" xr:uid="{00000000-0005-0000-0000-0000A2000000}"/>
    <cellStyle name="Comma 2 3 3 2 10" xfId="16544" xr:uid="{342980D4-3498-49DD-AF00-23E8C02B2986}"/>
    <cellStyle name="Comma 2 3 3 2 11" xfId="17088" xr:uid="{AFF932B1-FA95-4167-8503-081425518DA3}"/>
    <cellStyle name="Comma 2 3 3 2 12" xfId="17588" xr:uid="{0FF72803-4C3E-4271-AC0F-DC38EEDE8340}"/>
    <cellStyle name="Comma 2 3 3 2 13" xfId="42582" xr:uid="{432CAD44-4833-4378-8A12-E165FB33480E}"/>
    <cellStyle name="Comma 2 3 3 2 14" xfId="47475" xr:uid="{2773BC22-1254-493B-A5AD-4AD94314EB04}"/>
    <cellStyle name="Comma 2 3 3 2 2" xfId="487" xr:uid="{00000000-0005-0000-0000-0000A3000000}"/>
    <cellStyle name="Comma 2 3 3 2 2 10" xfId="17300" xr:uid="{4DE21ED1-A759-4354-AB8A-4F6F16C0DD0F}"/>
    <cellStyle name="Comma 2 3 3 2 2 11" xfId="17546" xr:uid="{715571E4-B13C-407E-B1EB-C2CA70F84E47}"/>
    <cellStyle name="Comma 2 3 3 2 2 12" xfId="42794" xr:uid="{3FDDF7BC-2AF6-4311-B0AE-422C0D8B6A57}"/>
    <cellStyle name="Comma 2 3 3 2 2 13" xfId="47687" xr:uid="{7E273CC5-0B62-4286-B690-C6E509EDEA53}"/>
    <cellStyle name="Comma 2 3 3 2 2 2" xfId="2303" xr:uid="{248CA08F-98DB-4557-86CF-3FDC887AFDB1}"/>
    <cellStyle name="Comma 2 3 3 2 2 2 2" xfId="10574" xr:uid="{DCE1DCE6-3EFF-4FEC-BCB0-442FCFBE143C}"/>
    <cellStyle name="Comma 2 3 3 2 2 2 2 2" xfId="45734" xr:uid="{03A5B006-D742-4AF8-93C9-A84029B4989B}"/>
    <cellStyle name="Comma 2 3 3 2 2 2 3" xfId="13414" xr:uid="{12BE16EA-8182-4704-A9AA-6E3574902D9D}"/>
    <cellStyle name="Comma 2 3 3 2 2 2 4" xfId="43338" xr:uid="{D138E521-7E24-4F37-966C-8C68A5B963F2}"/>
    <cellStyle name="Comma 2 3 3 2 2 2 5" xfId="48231" xr:uid="{D73F7102-270A-48F1-804E-FFC37535B7E5}"/>
    <cellStyle name="Comma 2 3 3 2 2 3" xfId="2721" xr:uid="{87CCD0FC-8706-497B-873A-99023BF189D4}"/>
    <cellStyle name="Comma 2 3 3 2 2 3 2" xfId="10992" xr:uid="{8E9E3AE2-8A07-47E5-BDD4-6894BA747703}"/>
    <cellStyle name="Comma 2 3 3 2 2 3 2 2" xfId="46152" xr:uid="{0D57CC06-91F5-4928-B37D-81903057CD82}"/>
    <cellStyle name="Comma 2 3 3 2 2 3 3" xfId="13832" xr:uid="{9DFDFB3F-8BB6-4B79-ADD8-FF796398EB74}"/>
    <cellStyle name="Comma 2 3 3 2 2 3 4" xfId="43756" xr:uid="{0A7EC8A2-9BD2-4A01-AECA-9EB04B4A9CF4}"/>
    <cellStyle name="Comma 2 3 3 2 2 3 5" xfId="48649" xr:uid="{1C2144B5-7FB8-478F-AD03-E479E0BA0854}"/>
    <cellStyle name="Comma 2 3 3 2 2 4" xfId="3265" xr:uid="{636272E6-EA57-4AF4-867A-048FA215E5BF}"/>
    <cellStyle name="Comma 2 3 3 2 2 4 2" xfId="11536" xr:uid="{760DD462-EAC8-4A3B-A2DC-98C4CC6F9466}"/>
    <cellStyle name="Comma 2 3 3 2 2 4 2 2" xfId="46696" xr:uid="{111E0607-F16A-4387-8BF6-E8A443720042}"/>
    <cellStyle name="Comma 2 3 3 2 2 4 3" xfId="14376" xr:uid="{9C2CEBA7-3CB6-48DC-83BB-1E5DCDADD411}"/>
    <cellStyle name="Comma 2 3 3 2 2 4 4" xfId="44300" xr:uid="{0C6B65B5-76E5-413F-AF83-85676124CCEA}"/>
    <cellStyle name="Comma 2 3 3 2 2 4 5" xfId="49193" xr:uid="{16F288AC-97F9-4328-AB6F-02B75B96197A}"/>
    <cellStyle name="Comma 2 3 3 2 2 5" xfId="3767" xr:uid="{5DE6D06A-82FC-4F84-B349-7A9CF19E53FA}"/>
    <cellStyle name="Comma 2 3 3 2 2 5 2" xfId="12008" xr:uid="{B09495AD-96F4-47DC-B955-7F09FE1A8DBB}"/>
    <cellStyle name="Comma 2 3 3 2 2 5 3" xfId="14848" xr:uid="{69781356-A105-42B5-A8F9-9FF203874BDF}"/>
    <cellStyle name="Comma 2 3 3 2 2 5 4" xfId="44772" xr:uid="{6EA5CA50-345B-4445-A49F-BB9FFCD61ED1}"/>
    <cellStyle name="Comma 2 3 3 2 2 5 5" xfId="49665" xr:uid="{635CF8FF-E0B8-4F3F-AFFD-FE08CB276426}"/>
    <cellStyle name="Comma 2 3 3 2 2 6" xfId="10030" xr:uid="{5E7A31F3-48AF-4CB4-915D-58C9BA874943}"/>
    <cellStyle name="Comma 2 3 3 2 2 6 2" xfId="45190" xr:uid="{17A7F79E-922D-49E5-84CB-8AEFF448CAAA}"/>
    <cellStyle name="Comma 2 3 3 2 2 7" xfId="12870" xr:uid="{5074192E-294C-48DE-BF17-490033AF1C68}"/>
    <cellStyle name="Comma 2 3 3 2 2 8" xfId="16213" xr:uid="{FF606CDF-BE3E-4628-9C5C-B6F3A9F63CC3}"/>
    <cellStyle name="Comma 2 3 3 2 2 9" xfId="16756" xr:uid="{420CADC9-3008-4345-A9C1-8C335B6395CE}"/>
    <cellStyle name="Comma 2 3 3 2 3" xfId="2091" xr:uid="{5B744624-149A-4412-A3C2-5A48904EEED5}"/>
    <cellStyle name="Comma 2 3 3 2 3 2" xfId="10362" xr:uid="{BA813B73-39F9-4211-AB8F-3E3B82369F07}"/>
    <cellStyle name="Comma 2 3 3 2 3 2 2" xfId="45522" xr:uid="{329DDA5C-D7E6-43C5-B879-16AB1B849FC5}"/>
    <cellStyle name="Comma 2 3 3 2 3 3" xfId="13202" xr:uid="{1592F53E-0DBE-45DC-A5A6-CCFDDD3A3872}"/>
    <cellStyle name="Comma 2 3 3 2 3 4" xfId="43126" xr:uid="{7B9FBDD5-A9C0-498F-90BE-9569E94E09C6}"/>
    <cellStyle name="Comma 2 3 3 2 3 5" xfId="48019" xr:uid="{42479EE7-9B13-43EF-8ABB-94AB2983A4E3}"/>
    <cellStyle name="Comma 2 3 3 2 4" xfId="2509" xr:uid="{FCF37665-1CE9-4A17-83FA-FD06290FD7D5}"/>
    <cellStyle name="Comma 2 3 3 2 4 2" xfId="10780" xr:uid="{51821B1C-F151-4E12-83BF-83557BC518E4}"/>
    <cellStyle name="Comma 2 3 3 2 4 2 2" xfId="45940" xr:uid="{7B9BB259-7A6A-465F-B8FE-458F6ADA0E3E}"/>
    <cellStyle name="Comma 2 3 3 2 4 3" xfId="13620" xr:uid="{F40C347B-F9E6-42EA-B69A-0FF8016D0A56}"/>
    <cellStyle name="Comma 2 3 3 2 4 4" xfId="43544" xr:uid="{78DB14AB-8E3A-42B6-AC42-52CAA2A641F0}"/>
    <cellStyle name="Comma 2 3 3 2 4 5" xfId="48437" xr:uid="{E0DC51E9-B4D4-48A1-B456-D177DA1714CC}"/>
    <cellStyle name="Comma 2 3 3 2 5" xfId="3053" xr:uid="{D01E897A-0195-4814-9912-DFA23188EAC9}"/>
    <cellStyle name="Comma 2 3 3 2 5 2" xfId="11324" xr:uid="{917B5CDC-E739-4B23-A3DF-9C4FB58A58C5}"/>
    <cellStyle name="Comma 2 3 3 2 5 2 2" xfId="46484" xr:uid="{0F3A0278-1261-4055-9829-C4B366A09B65}"/>
    <cellStyle name="Comma 2 3 3 2 5 3" xfId="14164" xr:uid="{CF4EFC97-01CE-4DA4-97C2-8EBA26A443F5}"/>
    <cellStyle name="Comma 2 3 3 2 5 4" xfId="44088" xr:uid="{7F04BBEF-951C-4459-825F-36E53B9EF50A}"/>
    <cellStyle name="Comma 2 3 3 2 5 5" xfId="48981" xr:uid="{C1A30125-EFBC-41D1-90EF-DAE7A6380B72}"/>
    <cellStyle name="Comma 2 3 3 2 6" xfId="3555" xr:uid="{0317E6EE-8D82-4F58-9A68-2ABC765468B7}"/>
    <cellStyle name="Comma 2 3 3 2 6 2" xfId="11796" xr:uid="{E4BC5B40-DDED-476F-A29D-B0B0BCD3D7AC}"/>
    <cellStyle name="Comma 2 3 3 2 6 3" xfId="14636" xr:uid="{663E5287-37EE-4470-8D3D-8AE33B9392D4}"/>
    <cellStyle name="Comma 2 3 3 2 6 4" xfId="44560" xr:uid="{05907F8F-A1E2-4C29-98FC-762B43D64244}"/>
    <cellStyle name="Comma 2 3 3 2 6 5" xfId="49453" xr:uid="{7C92F7CE-A3D4-4F89-ADF0-21420429B86E}"/>
    <cellStyle name="Comma 2 3 3 2 7" xfId="9818" xr:uid="{A50C8A33-DE7A-4FCD-81C2-C0A05D5F0756}"/>
    <cellStyle name="Comma 2 3 3 2 7 2" xfId="44978" xr:uid="{5FE00BBA-929F-4194-8607-C8F4F47E201B}"/>
    <cellStyle name="Comma 2 3 3 2 8" xfId="12658" xr:uid="{843EA645-F85A-406F-89C2-7311D598052C}"/>
    <cellStyle name="Comma 2 3 3 2 9" xfId="16001" xr:uid="{0F481329-E18A-4971-8828-0CD5F0B1A938}"/>
    <cellStyle name="Comma 2 3 3 3" xfId="386" xr:uid="{00000000-0005-0000-0000-0000A4000000}"/>
    <cellStyle name="Comma 2 3 3 3 10" xfId="17200" xr:uid="{88137E69-199A-41DB-B942-2623584E79F2}"/>
    <cellStyle name="Comma 2 3 3 3 11" xfId="17803" xr:uid="{2B988238-D5DA-4E47-82B2-4D53D77DBB90}"/>
    <cellStyle name="Comma 2 3 3 3 12" xfId="42694" xr:uid="{AB222E55-31E7-49CF-9ABD-C969B924BE36}"/>
    <cellStyle name="Comma 2 3 3 3 13" xfId="47587" xr:uid="{59CDC1B3-85A0-4582-B06D-4FA1BABDC1D8}"/>
    <cellStyle name="Comma 2 3 3 3 2" xfId="2203" xr:uid="{BFF87B83-5534-4DCD-9776-DED897776C6C}"/>
    <cellStyle name="Comma 2 3 3 3 2 2" xfId="10474" xr:uid="{ECB7888C-43AB-440F-AEF5-BB04A4D52D82}"/>
    <cellStyle name="Comma 2 3 3 3 2 2 2" xfId="45634" xr:uid="{B5FC68AA-69D2-4531-A90B-CC477D017FCB}"/>
    <cellStyle name="Comma 2 3 3 3 2 3" xfId="13314" xr:uid="{A75486A0-2632-499F-8350-AAF03B5DE756}"/>
    <cellStyle name="Comma 2 3 3 3 2 4" xfId="43238" xr:uid="{7ADB8C5E-C621-46BB-B8BA-5DCBB9A132DE}"/>
    <cellStyle name="Comma 2 3 3 3 2 5" xfId="48131" xr:uid="{0BB034C9-6D37-4CC5-8958-CB52613EE8E9}"/>
    <cellStyle name="Comma 2 3 3 3 3" xfId="2621" xr:uid="{BA63312E-B017-457A-B2D5-46820D180C1F}"/>
    <cellStyle name="Comma 2 3 3 3 3 2" xfId="10892" xr:uid="{44E23362-655E-4CC2-B0D2-85D40B4E7BDA}"/>
    <cellStyle name="Comma 2 3 3 3 3 2 2" xfId="46052" xr:uid="{35CDA555-87CA-4D81-8FFC-33BEBDA08CEF}"/>
    <cellStyle name="Comma 2 3 3 3 3 3" xfId="13732" xr:uid="{F9850B9F-C2DE-4378-AC36-419EF7A8B084}"/>
    <cellStyle name="Comma 2 3 3 3 3 4" xfId="43656" xr:uid="{A631C451-3797-421A-81A7-BD6559751486}"/>
    <cellStyle name="Comma 2 3 3 3 3 5" xfId="48549" xr:uid="{49915874-2E17-433E-A79A-7F9C47B32EC9}"/>
    <cellStyle name="Comma 2 3 3 3 4" xfId="3165" xr:uid="{7530D12C-74BC-4226-B37E-871470C3295B}"/>
    <cellStyle name="Comma 2 3 3 3 4 2" xfId="11436" xr:uid="{9522E8CD-8AE7-46E7-B982-4C1E2B536B0C}"/>
    <cellStyle name="Comma 2 3 3 3 4 2 2" xfId="46596" xr:uid="{25AABBD0-9B80-46B6-B438-4199861F7365}"/>
    <cellStyle name="Comma 2 3 3 3 4 3" xfId="14276" xr:uid="{7EDAEEDC-27B4-4EA6-BD3D-77A07A2C7160}"/>
    <cellStyle name="Comma 2 3 3 3 4 4" xfId="44200" xr:uid="{9F306312-7C81-4025-BC5D-31110BCD0C1E}"/>
    <cellStyle name="Comma 2 3 3 3 4 5" xfId="49093" xr:uid="{C98D9BFA-2D8A-4689-BA04-28AFD94A57FE}"/>
    <cellStyle name="Comma 2 3 3 3 5" xfId="3667" xr:uid="{DBE09F97-3129-4034-9A06-EC7E29919181}"/>
    <cellStyle name="Comma 2 3 3 3 5 2" xfId="11908" xr:uid="{DDC5B70B-0FB6-40E6-86FD-66BFB9C2745E}"/>
    <cellStyle name="Comma 2 3 3 3 5 3" xfId="14748" xr:uid="{D4B42952-1128-4888-B1B6-8BF3BCD63705}"/>
    <cellStyle name="Comma 2 3 3 3 5 4" xfId="44672" xr:uid="{9FDB25B5-6DD4-44CF-8EA8-8D392B101425}"/>
    <cellStyle name="Comma 2 3 3 3 5 5" xfId="49565" xr:uid="{998D66B2-78E2-4924-AFE3-8F68B6D0447A}"/>
    <cellStyle name="Comma 2 3 3 3 6" xfId="9930" xr:uid="{73961C95-8649-41F4-9A50-CC187F936470}"/>
    <cellStyle name="Comma 2 3 3 3 6 2" xfId="45090" xr:uid="{5F3870C1-82BE-4586-9E6F-BD8BFFCF913B}"/>
    <cellStyle name="Comma 2 3 3 3 7" xfId="12770" xr:uid="{AA563FF4-EB44-424A-B9B4-5855364E3645}"/>
    <cellStyle name="Comma 2 3 3 3 8" xfId="16113" xr:uid="{3DE612E4-711F-4893-850A-46ED0F086C0E}"/>
    <cellStyle name="Comma 2 3 3 3 9" xfId="16656" xr:uid="{24044E19-FB32-46BB-B5E0-B98E311E621E}"/>
    <cellStyle name="Comma 2 3 3 4" xfId="589" xr:uid="{00000000-0005-0000-0000-0000A5000000}"/>
    <cellStyle name="Comma 2 3 3 4 10" xfId="47789" xr:uid="{2A2F3BE4-446C-47C1-AACE-463CF8976E56}"/>
    <cellStyle name="Comma 2 3 3 4 2" xfId="2823" xr:uid="{0D47DC20-C874-458D-A999-65816266E984}"/>
    <cellStyle name="Comma 2 3 3 4 2 2" xfId="11094" xr:uid="{BFF2D157-26CC-4A5C-93E0-22EDDCB2D961}"/>
    <cellStyle name="Comma 2 3 3 4 2 2 2" xfId="46254" xr:uid="{EC34E94E-9625-41F8-A904-677156B7B5DB}"/>
    <cellStyle name="Comma 2 3 3 4 2 3" xfId="13934" xr:uid="{2176C306-13C6-4836-8AF9-FD5BDEA16E88}"/>
    <cellStyle name="Comma 2 3 3 4 2 4" xfId="43858" xr:uid="{C9DED9F7-BE66-4B45-AEEE-E01169967DEB}"/>
    <cellStyle name="Comma 2 3 3 4 2 5" xfId="48751" xr:uid="{FC63705D-D1EE-493F-BF8E-55815F2E0188}"/>
    <cellStyle name="Comma 2 3 3 4 3" xfId="10132" xr:uid="{E321C1B5-AAD2-4E4A-9CA1-39C21208572F}"/>
    <cellStyle name="Comma 2 3 3 4 3 2" xfId="45292" xr:uid="{7ECF85C5-D0F2-4B88-A396-151D700E0AEE}"/>
    <cellStyle name="Comma 2 3 3 4 4" xfId="12972" xr:uid="{F67A2623-A40C-42D8-9146-A03AB04FD92A}"/>
    <cellStyle name="Comma 2 3 3 4 5" xfId="16315" xr:uid="{5B019E4E-A99E-4B8D-8D14-2B8D7CF10372}"/>
    <cellStyle name="Comma 2 3 3 4 6" xfId="16858" xr:uid="{79FE752C-C955-4BE2-B53B-9626729B4F0F}"/>
    <cellStyle name="Comma 2 3 3 4 7" xfId="17402" xr:uid="{7A57151E-EDF3-4AFA-80A2-A75064BA2DC2}"/>
    <cellStyle name="Comma 2 3 3 4 8" xfId="19694" xr:uid="{DAFECDEB-C925-4EC9-A4D4-B228039D4399}"/>
    <cellStyle name="Comma 2 3 3 4 9" xfId="42896" xr:uid="{250F71B5-3EC9-4694-9557-7101086A4276}"/>
    <cellStyle name="Comma 2 3 3 5" xfId="1987" xr:uid="{9A6D5206-C280-49BA-A5FB-BFBFBE8F3B64}"/>
    <cellStyle name="Comma 2 3 3 5 2" xfId="10258" xr:uid="{84146261-4AED-4DD8-809E-9146BB60E4AF}"/>
    <cellStyle name="Comma 2 3 3 5 2 2" xfId="45418" xr:uid="{0C65F2FA-FA5B-46A5-9AB9-3BC415379949}"/>
    <cellStyle name="Comma 2 3 3 5 3" xfId="13098" xr:uid="{C9380ECB-DC75-4DFC-9BF2-F456BD51DC5C}"/>
    <cellStyle name="Comma 2 3 3 5 4" xfId="43022" xr:uid="{BC2D3F51-F587-4F9D-A731-3B655845C0D3}"/>
    <cellStyle name="Comma 2 3 3 5 5" xfId="47915" xr:uid="{49400894-5470-4854-8824-959194E90E8B}"/>
    <cellStyle name="Comma 2 3 3 6" xfId="2405" xr:uid="{D51434BA-DFFE-481E-9BF0-F396B66C1E69}"/>
    <cellStyle name="Comma 2 3 3 6 2" xfId="10676" xr:uid="{0AFC5ED5-4E18-4168-8782-E98AC2731A17}"/>
    <cellStyle name="Comma 2 3 3 6 2 2" xfId="45836" xr:uid="{94117291-568F-4A9C-AA3C-B13EB9871AE8}"/>
    <cellStyle name="Comma 2 3 3 6 3" xfId="13516" xr:uid="{5C779C1E-6061-4165-901A-25A164FA7135}"/>
    <cellStyle name="Comma 2 3 3 6 4" xfId="43440" xr:uid="{35C9813E-165B-4A2D-9F7A-15ABC5930A3A}"/>
    <cellStyle name="Comma 2 3 3 6 5" xfId="48333" xr:uid="{677C2A81-B65B-43F3-9D7C-CD1FCBE68460}"/>
    <cellStyle name="Comma 2 3 3 7" xfId="2949" xr:uid="{B9D81839-787B-4C2F-B135-A4E71ECC8F11}"/>
    <cellStyle name="Comma 2 3 3 7 2" xfId="11220" xr:uid="{E2DEEECD-6637-47EF-A6D0-64E975188208}"/>
    <cellStyle name="Comma 2 3 3 7 2 2" xfId="46380" xr:uid="{1401DF00-ADD8-4BDC-BEAC-3B9790FC8E4B}"/>
    <cellStyle name="Comma 2 3 3 7 3" xfId="14060" xr:uid="{78407B82-7ADE-4143-9430-635CE0711380}"/>
    <cellStyle name="Comma 2 3 3 7 4" xfId="43984" xr:uid="{809C04F6-CBAE-4CBA-8987-2CD2079F6DAE}"/>
    <cellStyle name="Comma 2 3 3 7 5" xfId="48877" xr:uid="{61F13BB3-43D3-4824-A982-3DA50E0C2220}"/>
    <cellStyle name="Comma 2 3 3 8" xfId="3451" xr:uid="{74D27F29-CC1B-41B7-BDC9-525F0F5AB43D}"/>
    <cellStyle name="Comma 2 3 3 8 2" xfId="11692" xr:uid="{BE3A2CC7-E581-4B70-A9C1-FD3B07EC37A1}"/>
    <cellStyle name="Comma 2 3 3 8 3" xfId="14532" xr:uid="{1B992912-D3AF-4559-B528-B4AAE8173843}"/>
    <cellStyle name="Comma 2 3 3 8 4" xfId="44456" xr:uid="{0FFAFC0B-21FB-4E7B-848B-F7091AEC1858}"/>
    <cellStyle name="Comma 2 3 3 8 5" xfId="49349" xr:uid="{CC2AD9D9-3188-48FB-B625-221C1E710852}"/>
    <cellStyle name="Comma 2 3 3 9" xfId="9714" xr:uid="{26090D33-C901-4830-9817-B8A2F14F8167}"/>
    <cellStyle name="Comma 2 3 3 9 2" xfId="44874" xr:uid="{0CDE14D1-E3E8-4660-BF23-01D6F530AAFD}"/>
    <cellStyle name="Comma 2 3 3 9 3" xfId="47265" xr:uid="{A5810BC5-71D6-4806-B365-E67D5E7CAE5C}"/>
    <cellStyle name="Comma 2 3 4" xfId="233" xr:uid="{00000000-0005-0000-0000-0000A6000000}"/>
    <cellStyle name="Comma 2 3 4 10" xfId="16517" xr:uid="{044A7606-FD93-4808-BB81-FFA159FEEC1F}"/>
    <cellStyle name="Comma 2 3 4 11" xfId="17061" xr:uid="{F16AD5FF-7F42-44B2-A4A8-8F3DD69D5C83}"/>
    <cellStyle name="Comma 2 3 4 12" xfId="17897" xr:uid="{137A5E3A-73DC-4709-95D1-FFC5881D627D}"/>
    <cellStyle name="Comma 2 3 4 13" xfId="42555" xr:uid="{10435A33-A5A0-4DF9-BD81-614255DCBDA9}"/>
    <cellStyle name="Comma 2 3 4 14" xfId="47448" xr:uid="{8C4B428F-918A-4544-9FC4-A00ADC3BEC1C}"/>
    <cellStyle name="Comma 2 3 4 2" xfId="460" xr:uid="{00000000-0005-0000-0000-0000A7000000}"/>
    <cellStyle name="Comma 2 3 4 2 10" xfId="17273" xr:uid="{28B50905-BB4E-4441-B1C6-A01B369A8282}"/>
    <cellStyle name="Comma 2 3 4 2 11" xfId="17612" xr:uid="{F0E798D6-8447-4D29-9757-3DE2D584CD25}"/>
    <cellStyle name="Comma 2 3 4 2 12" xfId="42767" xr:uid="{CC645921-9C98-40E7-BC65-B88B32B65798}"/>
    <cellStyle name="Comma 2 3 4 2 13" xfId="47660" xr:uid="{EEFB375C-D0DA-4443-A120-F9BAED3BDBE2}"/>
    <cellStyle name="Comma 2 3 4 2 2" xfId="2276" xr:uid="{7510324E-B131-490E-801C-9A135C22164B}"/>
    <cellStyle name="Comma 2 3 4 2 2 2" xfId="10547" xr:uid="{FD036807-04C9-4608-803C-56D8807D83D9}"/>
    <cellStyle name="Comma 2 3 4 2 2 2 2" xfId="45707" xr:uid="{EBCD1F82-347E-4D52-B3CF-2DD741B8420A}"/>
    <cellStyle name="Comma 2 3 4 2 2 3" xfId="13387" xr:uid="{D37EE481-E15D-438E-B881-5BC5CF4CCF77}"/>
    <cellStyle name="Comma 2 3 4 2 2 4" xfId="43311" xr:uid="{B6C6E28E-361D-46F0-BA52-9506D2B3C342}"/>
    <cellStyle name="Comma 2 3 4 2 2 5" xfId="48204" xr:uid="{52C3FD81-FCBF-4456-998A-BEDD6ADA93B8}"/>
    <cellStyle name="Comma 2 3 4 2 3" xfId="2694" xr:uid="{821C4C3F-8657-427B-BFA4-11BDC731E984}"/>
    <cellStyle name="Comma 2 3 4 2 3 2" xfId="10965" xr:uid="{262B5A49-BE3C-4FB1-8D7E-590B26442BCB}"/>
    <cellStyle name="Comma 2 3 4 2 3 2 2" xfId="46125" xr:uid="{07EE7048-D8A5-4155-9A9C-5C84275AB18B}"/>
    <cellStyle name="Comma 2 3 4 2 3 3" xfId="13805" xr:uid="{FF2CF451-33CC-4598-AA7F-D152A49C356F}"/>
    <cellStyle name="Comma 2 3 4 2 3 4" xfId="43729" xr:uid="{4A2F95E1-1997-4D55-A0D6-9CE56B94BB79}"/>
    <cellStyle name="Comma 2 3 4 2 3 5" xfId="48622" xr:uid="{A1ED0169-2A01-410B-A058-B45D2A70FF88}"/>
    <cellStyle name="Comma 2 3 4 2 4" xfId="3238" xr:uid="{F8F3D66B-BB68-4A83-A26F-FF3EB0BC0FF0}"/>
    <cellStyle name="Comma 2 3 4 2 4 2" xfId="11509" xr:uid="{187835E0-047A-48D2-A554-7E4A49F2625B}"/>
    <cellStyle name="Comma 2 3 4 2 4 2 2" xfId="46669" xr:uid="{DBD74A08-9AED-4ADC-AF52-BB42AB11FDAF}"/>
    <cellStyle name="Comma 2 3 4 2 4 3" xfId="14349" xr:uid="{B8EBEE3B-D9AB-4EB9-91C5-4FF0905ED5B3}"/>
    <cellStyle name="Comma 2 3 4 2 4 4" xfId="44273" xr:uid="{CF238003-4AF5-429C-8FA5-6F1D0874772E}"/>
    <cellStyle name="Comma 2 3 4 2 4 5" xfId="49166" xr:uid="{214AAEB9-959F-4EDB-9302-87447039CC0D}"/>
    <cellStyle name="Comma 2 3 4 2 5" xfId="3740" xr:uid="{3C082161-315C-434F-BBB4-730228E383EC}"/>
    <cellStyle name="Comma 2 3 4 2 5 2" xfId="11981" xr:uid="{4FBCFE4D-1092-49D2-B0C1-04FE7F7E2123}"/>
    <cellStyle name="Comma 2 3 4 2 5 3" xfId="14821" xr:uid="{1FC76799-BB25-4083-8A8F-DC14101FCECF}"/>
    <cellStyle name="Comma 2 3 4 2 5 4" xfId="44745" xr:uid="{FD63270C-F6EE-484F-9BC4-74B75933FD85}"/>
    <cellStyle name="Comma 2 3 4 2 5 5" xfId="49638" xr:uid="{411E62BA-593A-49F9-BAB9-D5930A72400A}"/>
    <cellStyle name="Comma 2 3 4 2 6" xfId="10003" xr:uid="{0B827AAE-958D-4D94-824E-52559D471BDD}"/>
    <cellStyle name="Comma 2 3 4 2 6 2" xfId="45163" xr:uid="{6367743A-342A-4A9D-AB04-3C997E772DF3}"/>
    <cellStyle name="Comma 2 3 4 2 7" xfId="12843" xr:uid="{311F9629-40C4-4E7E-960E-E6E75E15A0DA}"/>
    <cellStyle name="Comma 2 3 4 2 8" xfId="16186" xr:uid="{49D1F636-FE16-424E-9FBC-5EE9ECC93D5F}"/>
    <cellStyle name="Comma 2 3 4 2 9" xfId="16729" xr:uid="{6F8BA1E1-775E-4FA9-8C57-EBC20C7A4356}"/>
    <cellStyle name="Comma 2 3 4 3" xfId="2064" xr:uid="{D27178EA-DAFA-4ADB-9964-64B3D94E09C5}"/>
    <cellStyle name="Comma 2 3 4 3 2" xfId="10335" xr:uid="{83ECBA35-D9E3-4476-AF99-C19E44417D9F}"/>
    <cellStyle name="Comma 2 3 4 3 2 2" xfId="45495" xr:uid="{F36BCFF8-AB3D-48AE-82F1-E392E522CCC2}"/>
    <cellStyle name="Comma 2 3 4 3 3" xfId="13175" xr:uid="{1E424D34-9032-48AA-BDA4-D35B547D35F5}"/>
    <cellStyle name="Comma 2 3 4 3 4" xfId="43099" xr:uid="{337257AA-0B8B-4556-BDE0-15AD616C6186}"/>
    <cellStyle name="Comma 2 3 4 3 5" xfId="47992" xr:uid="{40E96C8F-8B70-40B5-AEDB-6D822B284BB3}"/>
    <cellStyle name="Comma 2 3 4 4" xfId="2482" xr:uid="{6DA474AE-A9B5-4006-9DBF-8C281DD11547}"/>
    <cellStyle name="Comma 2 3 4 4 2" xfId="10753" xr:uid="{EE784844-2FD7-4D4E-998A-39AD1CE20B9B}"/>
    <cellStyle name="Comma 2 3 4 4 2 2" xfId="45913" xr:uid="{50E440BC-5D46-413E-BEFA-7D049BBDCC8D}"/>
    <cellStyle name="Comma 2 3 4 4 3" xfId="13593" xr:uid="{D499DA31-2882-4630-96B4-4AAFDED914F5}"/>
    <cellStyle name="Comma 2 3 4 4 4" xfId="43517" xr:uid="{7DDD5C58-F76F-4DB8-A96F-7FA8E4C61D6C}"/>
    <cellStyle name="Comma 2 3 4 4 5" xfId="48410" xr:uid="{D35C7F9B-AD7E-415E-8429-B9CB23F12A19}"/>
    <cellStyle name="Comma 2 3 4 5" xfId="3026" xr:uid="{56238A97-D117-409B-AA36-7D1FDAD0049F}"/>
    <cellStyle name="Comma 2 3 4 5 2" xfId="11297" xr:uid="{50EADDA4-90D4-462D-8BE5-044549002764}"/>
    <cellStyle name="Comma 2 3 4 5 2 2" xfId="46457" xr:uid="{2C32A331-D20F-4620-A7A7-8D2E159CD776}"/>
    <cellStyle name="Comma 2 3 4 5 3" xfId="14137" xr:uid="{376E8FED-7BBF-446F-83DE-B5B903BED52F}"/>
    <cellStyle name="Comma 2 3 4 5 4" xfId="44061" xr:uid="{2A0B8FA7-0BE3-4B70-8B15-51ADD79F88FD}"/>
    <cellStyle name="Comma 2 3 4 5 5" xfId="48954" xr:uid="{E4C89C07-E55B-499F-A1D3-D0D6A8318AD2}"/>
    <cellStyle name="Comma 2 3 4 6" xfId="3528" xr:uid="{ADB9B5F0-1954-498F-B86A-7EE891F670F7}"/>
    <cellStyle name="Comma 2 3 4 6 2" xfId="11769" xr:uid="{35A6FB19-4505-4AEE-BED2-1DF374B17592}"/>
    <cellStyle name="Comma 2 3 4 6 3" xfId="14609" xr:uid="{ECD837AB-FF6E-4FFF-95AE-0052CC50C44C}"/>
    <cellStyle name="Comma 2 3 4 6 4" xfId="44533" xr:uid="{DBD049F6-25CA-4AA1-8FAC-23C32827C71B}"/>
    <cellStyle name="Comma 2 3 4 6 5" xfId="49426" xr:uid="{C05F1E6E-5065-48AC-B27F-47D2937739F1}"/>
    <cellStyle name="Comma 2 3 4 7" xfId="9791" xr:uid="{4B71ECFF-26C9-4589-ACDC-38ED22E8C010}"/>
    <cellStyle name="Comma 2 3 4 7 2" xfId="44951" xr:uid="{DFC287A9-C05D-4D12-A00B-B85EEDE5743F}"/>
    <cellStyle name="Comma 2 3 4 8" xfId="12631" xr:uid="{C0DDB141-8089-4DAE-A0B0-75E1C479A94E}"/>
    <cellStyle name="Comma 2 3 4 9" xfId="15974" xr:uid="{340A8C97-E753-497F-B1D1-8EB00FE25BD9}"/>
    <cellStyle name="Comma 2 3 5" xfId="359" xr:uid="{00000000-0005-0000-0000-0000A8000000}"/>
    <cellStyle name="Comma 2 3 5 10" xfId="17173" xr:uid="{59ADC9E5-EAFC-43F4-A13C-F510B23168B5}"/>
    <cellStyle name="Comma 2 3 5 11" xfId="17885" xr:uid="{1D3338CE-6924-48A7-8DD9-BD7523B204F7}"/>
    <cellStyle name="Comma 2 3 5 12" xfId="42667" xr:uid="{4D138F73-1014-46E7-B364-FCAA6C97B965}"/>
    <cellStyle name="Comma 2 3 5 13" xfId="47560" xr:uid="{FBB6F327-F5F9-4D01-9DA1-CE5F2C37466D}"/>
    <cellStyle name="Comma 2 3 5 2" xfId="2176" xr:uid="{CD8E77A8-DDAC-4A06-A24F-EDAB4DAF4F1A}"/>
    <cellStyle name="Comma 2 3 5 2 2" xfId="10447" xr:uid="{F345A9A1-8E7B-4EBA-8223-9FCBF35A2A84}"/>
    <cellStyle name="Comma 2 3 5 2 2 2" xfId="45607" xr:uid="{01C3DBD7-7D6B-497D-BA38-769B02142B91}"/>
    <cellStyle name="Comma 2 3 5 2 3" xfId="13287" xr:uid="{5ABC3E33-6CE6-4E36-90FA-6B699960B382}"/>
    <cellStyle name="Comma 2 3 5 2 4" xfId="43211" xr:uid="{B006DD57-6E44-453B-A427-090916CDFDB3}"/>
    <cellStyle name="Comma 2 3 5 2 5" xfId="48104" xr:uid="{356EDFD3-3091-480F-9D60-93A74EFFE9DA}"/>
    <cellStyle name="Comma 2 3 5 3" xfId="2594" xr:uid="{F3759104-F3AE-4F5C-B1EA-230F4685D32F}"/>
    <cellStyle name="Comma 2 3 5 3 2" xfId="10865" xr:uid="{5D786081-FE0C-4DE5-A207-191BCE129EA6}"/>
    <cellStyle name="Comma 2 3 5 3 2 2" xfId="46025" xr:uid="{2E38CE9C-C354-4F38-BC78-0CB471973ED4}"/>
    <cellStyle name="Comma 2 3 5 3 3" xfId="13705" xr:uid="{F8D6813C-DA09-40EA-B2C2-190707D4B893}"/>
    <cellStyle name="Comma 2 3 5 3 4" xfId="43629" xr:uid="{C63C7681-A747-4B81-BC3B-04E5811B34F5}"/>
    <cellStyle name="Comma 2 3 5 3 5" xfId="48522" xr:uid="{4F40AAC7-2408-4C96-9FAF-32D70C81E2FF}"/>
    <cellStyle name="Comma 2 3 5 4" xfId="3138" xr:uid="{4CBB60AA-B2FF-48D2-91E9-3D8254FA5567}"/>
    <cellStyle name="Comma 2 3 5 4 2" xfId="11409" xr:uid="{56EC891E-DA50-4E96-B3AE-8FB9269F9F8F}"/>
    <cellStyle name="Comma 2 3 5 4 2 2" xfId="46569" xr:uid="{40DE86B8-3481-40C9-9469-3B04878EB73E}"/>
    <cellStyle name="Comma 2 3 5 4 3" xfId="14249" xr:uid="{30A9B134-3781-4D37-8A16-BE1B67E53B4B}"/>
    <cellStyle name="Comma 2 3 5 4 4" xfId="44173" xr:uid="{C05F81E8-5230-4ED9-8FC1-B1356A97FB74}"/>
    <cellStyle name="Comma 2 3 5 4 5" xfId="49066" xr:uid="{45B4628B-6547-4F0C-8D2E-69B5A0AD173A}"/>
    <cellStyle name="Comma 2 3 5 5" xfId="3640" xr:uid="{685BAB6A-9D9C-496C-ADDF-5E1B8BDFA397}"/>
    <cellStyle name="Comma 2 3 5 5 2" xfId="11881" xr:uid="{37C86CEE-D5D2-417D-90EB-94D6CC6FEFB7}"/>
    <cellStyle name="Comma 2 3 5 5 3" xfId="14721" xr:uid="{816D5426-9A0D-4628-A8F4-1881298D05A8}"/>
    <cellStyle name="Comma 2 3 5 5 4" xfId="44645" xr:uid="{09000723-1F07-4E98-B26D-4058AD50C242}"/>
    <cellStyle name="Comma 2 3 5 5 5" xfId="49538" xr:uid="{AE04E9C2-F2ED-418F-8DA5-65EBADD24CBA}"/>
    <cellStyle name="Comma 2 3 5 6" xfId="9903" xr:uid="{8836A38C-949F-4470-94E8-1F7DCD078D26}"/>
    <cellStyle name="Comma 2 3 5 6 2" xfId="45063" xr:uid="{09FD2448-4017-4E91-B9CE-A2885DB4E465}"/>
    <cellStyle name="Comma 2 3 5 7" xfId="12743" xr:uid="{62A6FF46-47E5-4B76-A96D-A7277116A44C}"/>
    <cellStyle name="Comma 2 3 5 8" xfId="16086" xr:uid="{196780DE-CD04-423C-82B6-3EEFD6EC15CD}"/>
    <cellStyle name="Comma 2 3 5 9" xfId="16629" xr:uid="{D9154EEA-1842-4366-A9D5-94D589FCF322}"/>
    <cellStyle name="Comma 2 3 6" xfId="562" xr:uid="{00000000-0005-0000-0000-0000A9000000}"/>
    <cellStyle name="Comma 2 3 6 10" xfId="47762" xr:uid="{22A0EA3F-9F83-4289-9B2F-D4A8CB836B6F}"/>
    <cellStyle name="Comma 2 3 6 2" xfId="2796" xr:uid="{3154F162-754C-47B9-8DE6-3D84BA9E7325}"/>
    <cellStyle name="Comma 2 3 6 2 2" xfId="11067" xr:uid="{5B060CBE-71CE-4CFE-91C4-8E9329372849}"/>
    <cellStyle name="Comma 2 3 6 2 2 2" xfId="46227" xr:uid="{CD8F6C2A-102D-47F4-8624-3BE89AB171DA}"/>
    <cellStyle name="Comma 2 3 6 2 3" xfId="13907" xr:uid="{227D194A-229A-4165-873C-4B047F8C98AE}"/>
    <cellStyle name="Comma 2 3 6 2 4" xfId="43831" xr:uid="{EA02F1B9-0A89-4C86-9B80-635321CADE91}"/>
    <cellStyle name="Comma 2 3 6 2 5" xfId="48724" xr:uid="{7A36D83D-87FE-477E-9800-D7138CED7C27}"/>
    <cellStyle name="Comma 2 3 6 3" xfId="10105" xr:uid="{62CC33C9-2CA5-4E99-89BD-9FF12F8FD0A2}"/>
    <cellStyle name="Comma 2 3 6 3 2" xfId="45265" xr:uid="{C08D9119-5068-4E9F-9535-5E37FBCA3444}"/>
    <cellStyle name="Comma 2 3 6 4" xfId="12945" xr:uid="{1D010D2D-CC13-44FB-B1F3-5BBF24B64C68}"/>
    <cellStyle name="Comma 2 3 6 5" xfId="16288" xr:uid="{4DDB6324-DF81-4EC5-8C8E-C98DB0F8D0CB}"/>
    <cellStyle name="Comma 2 3 6 6" xfId="16831" xr:uid="{E79D58DD-2DA0-4063-AE34-964AB4B4BE65}"/>
    <cellStyle name="Comma 2 3 6 7" xfId="17375" xr:uid="{30C6055F-88E1-421D-AEB7-78227DEE4CCD}"/>
    <cellStyle name="Comma 2 3 6 8" xfId="23800" xr:uid="{DB14BC09-BCED-4059-B1D6-EDB3B309791B}"/>
    <cellStyle name="Comma 2 3 6 9" xfId="42869" xr:uid="{80A27817-9517-4290-9497-94AE586F43C5}"/>
    <cellStyle name="Comma 2 3 7" xfId="1960" xr:uid="{09C6AA95-44E1-430F-AC1E-3020466E1723}"/>
    <cellStyle name="Comma 2 3 7 2" xfId="10231" xr:uid="{B4DF6F31-AED8-4A43-8367-69392843D400}"/>
    <cellStyle name="Comma 2 3 7 2 2" xfId="45391" xr:uid="{DDBF5E9D-76D2-4E6E-ACD5-F90B36ACA650}"/>
    <cellStyle name="Comma 2 3 7 3" xfId="13071" xr:uid="{B02032FE-3887-4C59-A32F-3E15ABAF82F4}"/>
    <cellStyle name="Comma 2 3 7 4" xfId="42995" xr:uid="{4433A945-6131-41EF-B276-804EBEE3E0B6}"/>
    <cellStyle name="Comma 2 3 7 5" xfId="47888" xr:uid="{94E7D25B-1D32-4FA7-9847-9BF9FA893EB3}"/>
    <cellStyle name="Comma 2 3 8" xfId="2378" xr:uid="{A4665791-0CC3-4498-88BA-50F8040C9B82}"/>
    <cellStyle name="Comma 2 3 8 2" xfId="10649" xr:uid="{8C5D3F3D-C19C-497C-8001-E82273E8347E}"/>
    <cellStyle name="Comma 2 3 8 2 2" xfId="45809" xr:uid="{32B8563B-FFDB-4498-B740-9E82922416CE}"/>
    <cellStyle name="Comma 2 3 8 3" xfId="13489" xr:uid="{FCDA9F84-6DAE-47CA-B28C-EDFBD44CC1E8}"/>
    <cellStyle name="Comma 2 3 8 4" xfId="43413" xr:uid="{24C3A772-BE98-4461-A109-7FDC3B6B9877}"/>
    <cellStyle name="Comma 2 3 8 5" xfId="48306" xr:uid="{F3D15BF6-7CA8-4BC7-A45A-6CA53BB94810}"/>
    <cellStyle name="Comma 2 3 9" xfId="2922" xr:uid="{EFD024A5-BCA2-44EC-A36F-C055CF74AED9}"/>
    <cellStyle name="Comma 2 3 9 2" xfId="11193" xr:uid="{E42FFF96-FB10-4E17-A639-9D454098D159}"/>
    <cellStyle name="Comma 2 3 9 2 2" xfId="46353" xr:uid="{B4DB6302-698F-4729-841D-98B21A224DA2}"/>
    <cellStyle name="Comma 2 3 9 3" xfId="14033" xr:uid="{5FE249D8-F617-4BEE-AF29-02733B89F43F}"/>
    <cellStyle name="Comma 2 3 9 4" xfId="43957" xr:uid="{BAB70174-3A9A-4D16-9CB5-536C9DBA92DB}"/>
    <cellStyle name="Comma 2 3 9 5" xfId="48850" xr:uid="{32E529E4-A231-4F0C-9436-D6F0AA7859BB}"/>
    <cellStyle name="Comma 2 4" xfId="180" xr:uid="{00000000-0005-0000-0000-0000AA000000}"/>
    <cellStyle name="Comma 2 4 10" xfId="9666" xr:uid="{7361AD0C-9FA7-4B9F-82F5-7739DC02F5B1}"/>
    <cellStyle name="Comma 2 4 10 2" xfId="12506" xr:uid="{DA7012A1-75B3-4871-8EA2-A6BAE7BDD4C4}"/>
    <cellStyle name="Comma 2 4 10 3" xfId="15347" xr:uid="{BA797AF2-8240-41CF-BD46-D97FBA3B7F81}"/>
    <cellStyle name="Comma 2 4 10 4" xfId="44906" xr:uid="{9A7C18A1-F30C-4C58-A613-E31DFEA08AD7}"/>
    <cellStyle name="Comma 2 4 10 5" xfId="50163" xr:uid="{30F2D972-ECF4-48A8-A4CD-A92251AEADE8}"/>
    <cellStyle name="Comma 2 4 11" xfId="9746" xr:uid="{D4BEC88F-CB3A-4D67-82E1-4279E0CC79F4}"/>
    <cellStyle name="Comma 2 4 11 2" xfId="47105" xr:uid="{DCC72DA9-D51D-4FE3-8455-A8B081766FA7}"/>
    <cellStyle name="Comma 2 4 12" xfId="12586" xr:uid="{296F1B2A-12D3-41CC-978D-35A9CD68CC76}"/>
    <cellStyle name="Comma 2 4 13" xfId="15929" xr:uid="{934F6266-081B-4470-94CA-FFB49B586832}"/>
    <cellStyle name="Comma 2 4 14" xfId="16472" xr:uid="{27E343D6-CBD6-4E74-AF4F-E283162F7164}"/>
    <cellStyle name="Comma 2 4 15" xfId="17016" xr:uid="{12B49937-80C9-49A3-9739-FC3C9746C45E}"/>
    <cellStyle name="Comma 2 4 16" xfId="18181" xr:uid="{FC661895-24F8-47E1-B77E-4BA2E3FA0E55}"/>
    <cellStyle name="Comma 2 4 17" xfId="42064" xr:uid="{EA05780B-ADCC-4AF9-907E-9C685AE2C050}"/>
    <cellStyle name="Comma 2 4 18" xfId="42510" xr:uid="{F79EF050-0B70-4559-AF9B-B3CF3B456C23}"/>
    <cellStyle name="Comma 2 4 19" xfId="47403" xr:uid="{7649C94D-20BE-4E33-951A-4C4AF3E6F732}"/>
    <cellStyle name="Comma 2 4 2" xfId="292" xr:uid="{00000000-0005-0000-0000-0000AB000000}"/>
    <cellStyle name="Comma 2 4 2 10" xfId="16576" xr:uid="{1A1FF998-AEB8-4381-8963-61210E716747}"/>
    <cellStyle name="Comma 2 4 2 11" xfId="17120" xr:uid="{8EC5692B-5B61-45C1-89A9-F23E1C822DC7}"/>
    <cellStyle name="Comma 2 4 2 12" xfId="17916" xr:uid="{336B3545-29D5-4197-A00E-514B338B066E}"/>
    <cellStyle name="Comma 2 4 2 13" xfId="42065" xr:uid="{20AA7FAE-C207-4E6B-B24F-51BBB4CDD148}"/>
    <cellStyle name="Comma 2 4 2 14" xfId="42614" xr:uid="{2DA00F30-3E74-478C-93A6-8D4F26C4565F}"/>
    <cellStyle name="Comma 2 4 2 15" xfId="47507" xr:uid="{1DB1CFC5-1FB5-4D9E-899F-616FDBED16AB}"/>
    <cellStyle name="Comma 2 4 2 16" xfId="50236" xr:uid="{910F4ED0-52E4-4B3A-B52F-73461914F205}"/>
    <cellStyle name="Comma 2 4 2 17" xfId="50310" xr:uid="{E8987ABB-9147-44D8-AAE9-26A98C4AE53F}"/>
    <cellStyle name="Comma 2 4 2 2" xfId="519" xr:uid="{00000000-0005-0000-0000-0000AC000000}"/>
    <cellStyle name="Comma 2 4 2 2 10" xfId="17332" xr:uid="{5079CD5D-6A08-4D20-BC98-FC32401029F5}"/>
    <cellStyle name="Comma 2 4 2 2 11" xfId="18267" xr:uid="{CA6F021C-DD5C-438C-9E5B-34685F5096E3}"/>
    <cellStyle name="Comma 2 4 2 2 12" xfId="42826" xr:uid="{F71B7D45-3DF1-42C9-B632-F9E891030972}"/>
    <cellStyle name="Comma 2 4 2 2 13" xfId="46821" xr:uid="{DA02728E-5519-4FEF-9B75-6300CF7E30FA}"/>
    <cellStyle name="Comma 2 4 2 2 14" xfId="47719" xr:uid="{FEEC7399-26CD-44B9-B7EF-6C61298B543C}"/>
    <cellStyle name="Comma 2 4 2 2 15" xfId="50382" xr:uid="{A93474B8-99B4-49F6-B350-94CA98AFE463}"/>
    <cellStyle name="Comma 2 4 2 2 2" xfId="2335" xr:uid="{70A899D8-458B-4F5F-BCBD-F5F76D7698B2}"/>
    <cellStyle name="Comma 2 4 2 2 2 2" xfId="10606" xr:uid="{97082AAF-76F6-43DD-8675-2B9F8880D121}"/>
    <cellStyle name="Comma 2 4 2 2 2 2 2" xfId="45766" xr:uid="{D35E64E4-33FD-4205-B9E8-5ABD615321C3}"/>
    <cellStyle name="Comma 2 4 2 2 2 3" xfId="13446" xr:uid="{3C581352-6D6F-4AD1-AD13-4EDD3C23CB36}"/>
    <cellStyle name="Comma 2 4 2 2 2 4" xfId="43370" xr:uid="{5C973154-D148-4F31-B6F2-FBECD192BA0B}"/>
    <cellStyle name="Comma 2 4 2 2 2 5" xfId="48263" xr:uid="{C0A91B29-E6A2-46A7-93C4-D7D3D7D6AE39}"/>
    <cellStyle name="Comma 2 4 2 2 3" xfId="2753" xr:uid="{D853FB7F-7C98-4BC0-B072-D89E06F89CFE}"/>
    <cellStyle name="Comma 2 4 2 2 3 2" xfId="11024" xr:uid="{EADDFC94-180D-48A3-A2BB-705E5E142240}"/>
    <cellStyle name="Comma 2 4 2 2 3 2 2" xfId="46184" xr:uid="{66A62214-F650-4049-B96F-EAF4684FCEE8}"/>
    <cellStyle name="Comma 2 4 2 2 3 3" xfId="13864" xr:uid="{44953FB4-DF06-4DFA-A18F-F7D13C56A33E}"/>
    <cellStyle name="Comma 2 4 2 2 3 4" xfId="43788" xr:uid="{6F2A2F6F-5DF0-4BBB-B950-D2DE3C4E1BEB}"/>
    <cellStyle name="Comma 2 4 2 2 3 5" xfId="48681" xr:uid="{E42B97B7-F0CE-4DF4-B31D-7A923CA05F0D}"/>
    <cellStyle name="Comma 2 4 2 2 4" xfId="3297" xr:uid="{93B49547-763F-42FA-AE57-42D130F37F7D}"/>
    <cellStyle name="Comma 2 4 2 2 4 2" xfId="11568" xr:uid="{69B135F6-49DA-4D24-87D2-79A9F0E73F23}"/>
    <cellStyle name="Comma 2 4 2 2 4 2 2" xfId="46728" xr:uid="{08521522-F2F8-4BC4-84E0-351B9A7E6C22}"/>
    <cellStyle name="Comma 2 4 2 2 4 3" xfId="14408" xr:uid="{852DB6FE-DD1F-4A9F-B13C-11DDBC13B311}"/>
    <cellStyle name="Comma 2 4 2 2 4 4" xfId="44332" xr:uid="{B8D9411C-611C-46D7-9322-048269E0FFBB}"/>
    <cellStyle name="Comma 2 4 2 2 4 5" xfId="49225" xr:uid="{9887EF95-92BA-487D-84E6-877FD6793656}"/>
    <cellStyle name="Comma 2 4 2 2 5" xfId="3799" xr:uid="{4EA04292-7C6F-4508-9C72-37D611025EEC}"/>
    <cellStyle name="Comma 2 4 2 2 5 2" xfId="12040" xr:uid="{B61A1A8D-69FF-4B57-8CE7-3CC9A37291A4}"/>
    <cellStyle name="Comma 2 4 2 2 5 3" xfId="14880" xr:uid="{94A19DA4-EA97-4766-8A1B-E05880E99D01}"/>
    <cellStyle name="Comma 2 4 2 2 5 4" xfId="44804" xr:uid="{CCA82EAF-4381-4B53-A158-75BC0EFC257B}"/>
    <cellStyle name="Comma 2 4 2 2 5 5" xfId="49697" xr:uid="{29316DD9-773F-49BA-A387-7210DE3E296F}"/>
    <cellStyle name="Comma 2 4 2 2 6" xfId="10062" xr:uid="{9E9EF12E-DEBC-40BA-B77E-F2DCFC9BF56D}"/>
    <cellStyle name="Comma 2 4 2 2 6 2" xfId="45222" xr:uid="{EA8915CB-177E-47F3-B564-FDC4E3825B8E}"/>
    <cellStyle name="Comma 2 4 2 2 6 3" xfId="47281" xr:uid="{CF705851-C316-4F5F-A7ED-02F35072A210}"/>
    <cellStyle name="Comma 2 4 2 2 7" xfId="12902" xr:uid="{D49B935D-73CD-4C84-82AE-D2BB23C83A21}"/>
    <cellStyle name="Comma 2 4 2 2 7 2" xfId="47149" xr:uid="{A06429A8-3635-4CBE-B4B0-B16438841D2B}"/>
    <cellStyle name="Comma 2 4 2 2 8" xfId="16245" xr:uid="{C1107C42-58CA-4515-A440-0C7A190F50E7}"/>
    <cellStyle name="Comma 2 4 2 2 9" xfId="16788" xr:uid="{85EBA4C0-C078-4F2A-A4DE-945670F9C082}"/>
    <cellStyle name="Comma 2 4 2 3" xfId="2123" xr:uid="{DEFD2E13-F1D2-41F0-9EF9-4B77304B10E5}"/>
    <cellStyle name="Comma 2 4 2 3 2" xfId="10394" xr:uid="{976DC2F4-285A-4AA3-87B5-AA3EDD65F2D1}"/>
    <cellStyle name="Comma 2 4 2 3 2 2" xfId="45554" xr:uid="{CC753201-FB1F-4EF0-8FED-DF9ED554451F}"/>
    <cellStyle name="Comma 2 4 2 3 3" xfId="13234" xr:uid="{5AC1BB33-607B-4000-9EA2-166B4359AA07}"/>
    <cellStyle name="Comma 2 4 2 3 4" xfId="43158" xr:uid="{4184BE3A-CB95-43B5-89A8-6C8D9848AC6D}"/>
    <cellStyle name="Comma 2 4 2 3 5" xfId="48051" xr:uid="{78AE159D-18AF-4769-A217-8A27774FD3E1}"/>
    <cellStyle name="Comma 2 4 2 4" xfId="2541" xr:uid="{EC864A2A-BEF6-4A7A-B4BA-BFAA72EE512A}"/>
    <cellStyle name="Comma 2 4 2 4 2" xfId="10812" xr:uid="{E73933D8-D7A9-4C07-87C7-304A23294BB9}"/>
    <cellStyle name="Comma 2 4 2 4 2 2" xfId="45972" xr:uid="{3E5A1005-EC6C-4738-8339-410815DA8A1C}"/>
    <cellStyle name="Comma 2 4 2 4 3" xfId="13652" xr:uid="{6F19F8EF-AFA5-477D-9848-ED8635EE2581}"/>
    <cellStyle name="Comma 2 4 2 4 4" xfId="43576" xr:uid="{6D1813CE-AF48-4A6D-B91B-230581163A16}"/>
    <cellStyle name="Comma 2 4 2 4 5" xfId="48469" xr:uid="{F34C689B-B1E0-4B3D-B8C7-55797981AA6A}"/>
    <cellStyle name="Comma 2 4 2 5" xfId="3085" xr:uid="{AAB98E9A-02C4-4D16-B462-4937002AD58A}"/>
    <cellStyle name="Comma 2 4 2 5 2" xfId="11356" xr:uid="{FD63CBCF-9FE7-4563-B59B-766A0FBC419B}"/>
    <cellStyle name="Comma 2 4 2 5 2 2" xfId="46516" xr:uid="{A8B8DE27-22E6-49F7-9A18-D1F3C34DDD0A}"/>
    <cellStyle name="Comma 2 4 2 5 3" xfId="14196" xr:uid="{CED8DA8B-E7BA-4601-8E22-15B1BBECCA67}"/>
    <cellStyle name="Comma 2 4 2 5 4" xfId="44120" xr:uid="{ACF40E7A-F491-4A01-8F0A-9644F8C79DD1}"/>
    <cellStyle name="Comma 2 4 2 5 5" xfId="49013" xr:uid="{B822732B-E991-4411-AF2B-E429E707FE95}"/>
    <cellStyle name="Comma 2 4 2 6" xfId="3587" xr:uid="{26DDDBD8-1F09-4168-85F0-7BF142446BC6}"/>
    <cellStyle name="Comma 2 4 2 6 2" xfId="11828" xr:uid="{F4312060-D4D8-4F7F-862B-72FC9A7844C0}"/>
    <cellStyle name="Comma 2 4 2 6 3" xfId="14668" xr:uid="{C5DAF1AF-DFAE-48F6-8C58-3559215BE8C8}"/>
    <cellStyle name="Comma 2 4 2 6 4" xfId="44592" xr:uid="{6343FF8A-BD39-4A0E-8DDA-8ECA0CE53B17}"/>
    <cellStyle name="Comma 2 4 2 6 5" xfId="49485" xr:uid="{B210987F-3C30-4006-9669-AAF8F0893F70}"/>
    <cellStyle name="Comma 2 4 2 7" xfId="9850" xr:uid="{775FA256-D163-450C-850B-A0B38E8A9EF5}"/>
    <cellStyle name="Comma 2 4 2 7 2" xfId="45010" xr:uid="{6DED0EBA-6927-44F1-AF44-92895AE9F5FD}"/>
    <cellStyle name="Comma 2 4 2 7 3" xfId="47257" xr:uid="{3BE5FBA3-EA73-4638-8CCD-D35A07D38C73}"/>
    <cellStyle name="Comma 2 4 2 8" xfId="12690" xr:uid="{7557C20C-6A65-4A41-A491-9A91858E9338}"/>
    <cellStyle name="Comma 2 4 2 8 2" xfId="47118" xr:uid="{45DBAC94-ACA6-4631-B025-27D2263B3086}"/>
    <cellStyle name="Comma 2 4 2 9" xfId="16033" xr:uid="{EF76D879-9A8E-4CB7-BD8D-91412357E9FF}"/>
    <cellStyle name="Comma 2 4 20" xfId="50198" xr:uid="{7728F8CE-46CA-4B56-A3B2-21B07FC22855}"/>
    <cellStyle name="Comma 2 4 21" xfId="50272" xr:uid="{E8348910-3384-4B84-A279-8988F2322AEC}"/>
    <cellStyle name="Comma 2 4 3" xfId="418" xr:uid="{00000000-0005-0000-0000-0000AD000000}"/>
    <cellStyle name="Comma 2 4 3 10" xfId="17232" xr:uid="{4CA13966-12B9-4535-98F9-D11E0E067119}"/>
    <cellStyle name="Comma 2 4 3 11" xfId="17657" xr:uid="{DD4A2DAE-CE63-43B9-82D7-BEB5FB247850}"/>
    <cellStyle name="Comma 2 4 3 12" xfId="42726" xr:uid="{B8DA52B1-DFC9-43A1-B438-195A18BC81D2}"/>
    <cellStyle name="Comma 2 4 3 13" xfId="46822" xr:uid="{AD3A163B-5851-4939-BEC9-67014598EA47}"/>
    <cellStyle name="Comma 2 4 3 14" xfId="47619" xr:uid="{567DD8D1-63E4-4FC6-A9C5-C7F967FE3BF9}"/>
    <cellStyle name="Comma 2 4 3 15" xfId="50344" xr:uid="{ADB44534-82D1-42E6-B87F-BDF12D9A8946}"/>
    <cellStyle name="Comma 2 4 3 2" xfId="2235" xr:uid="{1249C0AC-F39A-4625-AB29-2E60E16A6ED0}"/>
    <cellStyle name="Comma 2 4 3 2 2" xfId="10506" xr:uid="{775ED9F7-FA3C-4C8C-9CCD-D37078214899}"/>
    <cellStyle name="Comma 2 4 3 2 2 2" xfId="45666" xr:uid="{38BCEDBB-C309-465A-99F1-1D8F140E6CC1}"/>
    <cellStyle name="Comma 2 4 3 2 3" xfId="13346" xr:uid="{BCD06656-5B56-4C48-A3FD-A9D9EB597340}"/>
    <cellStyle name="Comma 2 4 3 2 4" xfId="43270" xr:uid="{5A63BF8F-5310-480F-9F8C-9AA444ED6ED8}"/>
    <cellStyle name="Comma 2 4 3 2 5" xfId="48163" xr:uid="{B1577400-7A08-4323-973F-0A94C6E6D8B2}"/>
    <cellStyle name="Comma 2 4 3 3" xfId="2653" xr:uid="{6739572B-9240-421C-99F8-F0E29F16BD74}"/>
    <cellStyle name="Comma 2 4 3 3 2" xfId="10924" xr:uid="{76A96459-E0AC-46DD-8A7E-54A1663EF807}"/>
    <cellStyle name="Comma 2 4 3 3 2 2" xfId="46084" xr:uid="{54B7D81C-DB01-4BDC-BFA2-F093A7EA56FF}"/>
    <cellStyle name="Comma 2 4 3 3 3" xfId="13764" xr:uid="{C7FF7431-AB8F-463B-AE09-4255C3D527C4}"/>
    <cellStyle name="Comma 2 4 3 3 4" xfId="43688" xr:uid="{F359E506-6481-4C70-8B5D-A1B4B7C1E639}"/>
    <cellStyle name="Comma 2 4 3 3 5" xfId="48581" xr:uid="{04FCA5A1-8CC9-4986-86DF-E42F19872AA8}"/>
    <cellStyle name="Comma 2 4 3 4" xfId="3197" xr:uid="{1FE7341A-94D6-4D55-891D-6DE5EB0981E5}"/>
    <cellStyle name="Comma 2 4 3 4 2" xfId="11468" xr:uid="{40B69186-DA9B-477D-B005-F634D013723A}"/>
    <cellStyle name="Comma 2 4 3 4 2 2" xfId="46628" xr:uid="{1BD852D9-3209-411C-B50C-5ACA0B1D5629}"/>
    <cellStyle name="Comma 2 4 3 4 3" xfId="14308" xr:uid="{C6449C21-958D-43B2-9DF5-316469147E21}"/>
    <cellStyle name="Comma 2 4 3 4 4" xfId="44232" xr:uid="{FAF4ED8F-243A-42EA-BB10-62A57DD5561A}"/>
    <cellStyle name="Comma 2 4 3 4 5" xfId="49125" xr:uid="{9B6EDE95-9214-49EB-8C68-3325A0347E60}"/>
    <cellStyle name="Comma 2 4 3 5" xfId="3699" xr:uid="{BC56ED4D-58D3-4FA8-89C0-CACBAFC59356}"/>
    <cellStyle name="Comma 2 4 3 5 2" xfId="11940" xr:uid="{641445A6-21E4-4866-9B8F-4743EEEDD718}"/>
    <cellStyle name="Comma 2 4 3 5 3" xfId="14780" xr:uid="{66D7B780-63CC-4D0B-97FC-3C544308768F}"/>
    <cellStyle name="Comma 2 4 3 5 4" xfId="44704" xr:uid="{47583CC3-A71D-45FD-BC6F-D28A6F533B87}"/>
    <cellStyle name="Comma 2 4 3 5 5" xfId="49597" xr:uid="{2DB161DC-0FFA-49CB-92F0-781881DC31AD}"/>
    <cellStyle name="Comma 2 4 3 6" xfId="9962" xr:uid="{5A3BE96F-5FF6-4165-ADB0-DFF14945CFF9}"/>
    <cellStyle name="Comma 2 4 3 6 2" xfId="45122" xr:uid="{0BE01ABD-1FD5-450F-B953-83BE35B57A21}"/>
    <cellStyle name="Comma 2 4 3 6 3" xfId="47266" xr:uid="{5F9750B3-E2BB-49D3-A239-4794508F03F9}"/>
    <cellStyle name="Comma 2 4 3 7" xfId="12802" xr:uid="{89365899-CC67-4FB2-816B-B863C6340971}"/>
    <cellStyle name="Comma 2 4 3 7 2" xfId="47128" xr:uid="{4ABE93DD-16AF-4083-A1FF-EBE138AF488C}"/>
    <cellStyle name="Comma 2 4 3 8" xfId="16145" xr:uid="{792E367D-B8E2-4FF0-A7A7-CB65196B55D6}"/>
    <cellStyle name="Comma 2 4 3 9" xfId="16688" xr:uid="{48164ACC-1E5F-4D6A-BAA1-29D5B89958FC}"/>
    <cellStyle name="Comma 2 4 4" xfId="621" xr:uid="{00000000-0005-0000-0000-0000AE000000}"/>
    <cellStyle name="Comma 2 4 4 10" xfId="47821" xr:uid="{1AEBAF90-FD16-4F3C-94FB-17AC477ADB83}"/>
    <cellStyle name="Comma 2 4 4 2" xfId="2855" xr:uid="{78978037-A046-4CD9-A2D5-FF2129D4DBB5}"/>
    <cellStyle name="Comma 2 4 4 2 2" xfId="11126" xr:uid="{A55152C7-247A-4AFE-A97C-C13AC10A4F87}"/>
    <cellStyle name="Comma 2 4 4 2 2 2" xfId="46286" xr:uid="{3EF03BA7-3352-44DE-AEFF-5AA719C0234D}"/>
    <cellStyle name="Comma 2 4 4 2 3" xfId="13966" xr:uid="{A95941C6-0796-49CE-B022-0BB304072F9E}"/>
    <cellStyle name="Comma 2 4 4 2 4" xfId="43890" xr:uid="{6CAE5BFB-48A1-4F93-A43E-3999D2A3EFCC}"/>
    <cellStyle name="Comma 2 4 4 2 5" xfId="48783" xr:uid="{DDE9D51B-341A-4B19-8B3C-737209E0ADF6}"/>
    <cellStyle name="Comma 2 4 4 3" xfId="10164" xr:uid="{254A7123-1EF5-46DB-9DDD-3E71B338CF97}"/>
    <cellStyle name="Comma 2 4 4 3 2" xfId="45324" xr:uid="{15A1D1EB-F433-4424-9C09-E17B897CC7E6}"/>
    <cellStyle name="Comma 2 4 4 4" xfId="13004" xr:uid="{6FD63B1F-12B2-405D-9F8A-044BAFBE4893}"/>
    <cellStyle name="Comma 2 4 4 5" xfId="16347" xr:uid="{CA3C42F0-CE82-43A2-8B4D-5D95D58F7C9F}"/>
    <cellStyle name="Comma 2 4 4 6" xfId="16890" xr:uid="{C92C3895-3B28-4C68-A847-5F1E6508FC18}"/>
    <cellStyle name="Comma 2 4 4 7" xfId="17434" xr:uid="{153D8D1F-CAE5-4F5F-BC5A-E18BEDD3A423}"/>
    <cellStyle name="Comma 2 4 4 8" xfId="18222" xr:uid="{041B72C0-E07D-44E2-8004-3551D8309320}"/>
    <cellStyle name="Comma 2 4 4 9" xfId="42928" xr:uid="{38E39950-D4AA-4899-9061-E7BFA634E5CD}"/>
    <cellStyle name="Comma 2 4 5" xfId="2019" xr:uid="{EFB74704-7A39-40EF-8E97-22297DBDD4DE}"/>
    <cellStyle name="Comma 2 4 5 2" xfId="10290" xr:uid="{1FF2495F-C986-433E-B6D3-0DE001F19C2D}"/>
    <cellStyle name="Comma 2 4 5 2 2" xfId="45450" xr:uid="{83D1EF76-3850-476B-AE8D-5E14FD8D6035}"/>
    <cellStyle name="Comma 2 4 5 3" xfId="13130" xr:uid="{4E743219-129E-4CA9-B56F-12415118F01D}"/>
    <cellStyle name="Comma 2 4 5 4" xfId="43054" xr:uid="{554B9478-01FE-473B-B2F6-F4D266619C56}"/>
    <cellStyle name="Comma 2 4 5 5" xfId="47947" xr:uid="{1B5E261C-672B-4B19-897E-2DCB717EA618}"/>
    <cellStyle name="Comma 2 4 6" xfId="2437" xr:uid="{78F9DE94-4E76-4975-A2A6-8FCD2CDEA9DE}"/>
    <cellStyle name="Comma 2 4 6 2" xfId="10708" xr:uid="{B2B8A319-9695-4DEE-BE3C-B3928B2E9843}"/>
    <cellStyle name="Comma 2 4 6 2 2" xfId="45868" xr:uid="{88A3E538-870F-48B4-A8F5-01B19112B081}"/>
    <cellStyle name="Comma 2 4 6 3" xfId="13548" xr:uid="{CE68A9FF-AA08-4B08-9373-6714A1BF3E48}"/>
    <cellStyle name="Comma 2 4 6 4" xfId="43472" xr:uid="{B1BCB2A0-F8E7-40AB-A008-F2F7D42460C8}"/>
    <cellStyle name="Comma 2 4 6 5" xfId="48365" xr:uid="{D0BCA30C-9F54-4CD3-959B-EB18944FE16F}"/>
    <cellStyle name="Comma 2 4 7" xfId="2981" xr:uid="{9A5131B1-5637-4860-A314-6156ADBAC400}"/>
    <cellStyle name="Comma 2 4 7 2" xfId="11252" xr:uid="{91A31B77-3F2B-4339-82EB-87797A5C21BE}"/>
    <cellStyle name="Comma 2 4 7 2 2" xfId="46412" xr:uid="{F1A783BB-6FD7-47B6-A082-1E8B91BDA751}"/>
    <cellStyle name="Comma 2 4 7 3" xfId="14092" xr:uid="{82BDF356-F1D3-4319-9FFA-2A1E41A9136D}"/>
    <cellStyle name="Comma 2 4 7 4" xfId="44016" xr:uid="{AE15E5DF-9AC0-4B41-A9A4-A3AD0BFE7754}"/>
    <cellStyle name="Comma 2 4 7 5" xfId="48909" xr:uid="{93485B43-BFA7-4DDB-B495-830F0BA86A3A}"/>
    <cellStyle name="Comma 2 4 8" xfId="3382" xr:uid="{5D0784F1-79E3-4DA8-987E-1A28BC8F2487}"/>
    <cellStyle name="Comma 2 4 8 2" xfId="11630" xr:uid="{8FB23502-500A-4CFB-BFB3-FDAD81EF57DB}"/>
    <cellStyle name="Comma 2 4 8 2 2" xfId="46790" xr:uid="{43903EFD-4776-455F-9A05-FCF0D5B5454A}"/>
    <cellStyle name="Comma 2 4 8 3" xfId="14470" xr:uid="{D6BC91CB-2389-4E5A-998A-D8570AC0D6EB}"/>
    <cellStyle name="Comma 2 4 8 4" xfId="44394" xr:uid="{DFC413FD-32C7-4BCD-A110-31D3C4DA4383}"/>
    <cellStyle name="Comma 2 4 8 5" xfId="49287" xr:uid="{3833E0CC-747C-482C-B037-F8F7CDCA2579}"/>
    <cellStyle name="Comma 2 4 9" xfId="3483" xr:uid="{2C89C1CE-5E8D-408F-A54F-2D6341C002E6}"/>
    <cellStyle name="Comma 2 4 9 2" xfId="11724" xr:uid="{972E0ED9-162B-47AF-8893-7E3F9D07BED3}"/>
    <cellStyle name="Comma 2 4 9 3" xfId="14564" xr:uid="{3FECAEE7-5347-48BA-9F9C-0C4585A6EA3C}"/>
    <cellStyle name="Comma 2 4 9 4" xfId="44488" xr:uid="{49C33A83-6189-4B5C-9995-519D7A0A3ADF}"/>
    <cellStyle name="Comma 2 4 9 5" xfId="49381" xr:uid="{3116DB7C-D19C-4386-A163-E859270D4AD3}"/>
    <cellStyle name="Comma 2 5" xfId="168" xr:uid="{00000000-0005-0000-0000-0000AF000000}"/>
    <cellStyle name="Comma 2 5 10" xfId="12575" xr:uid="{F407EADD-F02A-4027-8B72-D7A81919FB74}"/>
    <cellStyle name="Comma 2 5 11" xfId="15918" xr:uid="{59706BD0-7870-4878-97D5-23C4B7D7189A}"/>
    <cellStyle name="Comma 2 5 12" xfId="16461" xr:uid="{39B91670-7655-4885-8966-60C48F102CDE}"/>
    <cellStyle name="Comma 2 5 13" xfId="17005" xr:uid="{A3F87B09-AF69-4BD3-B3CB-B6C58F6D14A3}"/>
    <cellStyle name="Comma 2 5 14" xfId="17812" xr:uid="{EA210663-6B28-4607-9B3A-7F0AD2F4ED80}"/>
    <cellStyle name="Comma 2 5 15" xfId="42066" xr:uid="{5CB8323C-8265-4801-AA70-61DA8CDCF4C6}"/>
    <cellStyle name="Comma 2 5 16" xfId="42499" xr:uid="{C01A889B-007C-47B4-9ED0-960417BA6269}"/>
    <cellStyle name="Comma 2 5 17" xfId="47392" xr:uid="{87F3F959-B2F5-4008-B8B3-7C1B25732589}"/>
    <cellStyle name="Comma 2 5 18" xfId="50214" xr:uid="{A4FC424D-86DF-4C0D-BE5E-60382BF76427}"/>
    <cellStyle name="Comma 2 5 19" xfId="50288" xr:uid="{C21D9265-08A8-4E07-AE3E-A7C9778287C1}"/>
    <cellStyle name="Comma 2 5 2" xfId="281" xr:uid="{00000000-0005-0000-0000-0000B0000000}"/>
    <cellStyle name="Comma 2 5 2 10" xfId="16565" xr:uid="{6CD54891-71F8-4192-B732-A57B57D9FA9F}"/>
    <cellStyle name="Comma 2 5 2 11" xfId="17109" xr:uid="{AE92948A-ECF2-48C7-9EDB-E4F140BB569E}"/>
    <cellStyle name="Comma 2 5 2 12" xfId="18242" xr:uid="{79CC3395-B45D-4B85-BB1F-700FD7A35874}"/>
    <cellStyle name="Comma 2 5 2 13" xfId="42603" xr:uid="{13BB5DAB-30D3-4C95-A3F6-AE95B39E3B03}"/>
    <cellStyle name="Comma 2 5 2 14" xfId="47496" xr:uid="{F75C8EE9-429C-454A-9E0E-FA4920767A18}"/>
    <cellStyle name="Comma 2 5 2 15" xfId="50360" xr:uid="{BA5870B7-5AD7-461F-89C2-E8BDE0670F8F}"/>
    <cellStyle name="Comma 2 5 2 2" xfId="508" xr:uid="{00000000-0005-0000-0000-0000B1000000}"/>
    <cellStyle name="Comma 2 5 2 2 10" xfId="17321" xr:uid="{4E5D4087-DA24-4D9A-A2F0-991F67F3F50E}"/>
    <cellStyle name="Comma 2 5 2 2 11" xfId="19026" xr:uid="{B6F1BD4D-D859-47B3-9D64-63BED0109274}"/>
    <cellStyle name="Comma 2 5 2 2 12" xfId="42815" xr:uid="{2ECEB8D8-C35D-41C5-B258-34EFD9DB6F8E}"/>
    <cellStyle name="Comma 2 5 2 2 13" xfId="47708" xr:uid="{AD15E008-3382-42C1-ABF1-19E23399D613}"/>
    <cellStyle name="Comma 2 5 2 2 2" xfId="2324" xr:uid="{3EE6CDC7-94A4-4377-BCA0-303E7FA43C34}"/>
    <cellStyle name="Comma 2 5 2 2 2 2" xfId="10595" xr:uid="{DD4E849B-2A61-4AF2-98B6-464CBDEE83EC}"/>
    <cellStyle name="Comma 2 5 2 2 2 2 2" xfId="45755" xr:uid="{3110A993-6B19-45AB-9062-6640E5BEA59E}"/>
    <cellStyle name="Comma 2 5 2 2 2 3" xfId="13435" xr:uid="{32CB4971-945E-427A-BA8A-5C2B5E6B18DA}"/>
    <cellStyle name="Comma 2 5 2 2 2 4" xfId="43359" xr:uid="{A0816E36-D23F-49DD-837A-F86604CD2B78}"/>
    <cellStyle name="Comma 2 5 2 2 2 5" xfId="48252" xr:uid="{5650525E-ED47-4D13-B40E-507AD8647FD2}"/>
    <cellStyle name="Comma 2 5 2 2 3" xfId="2742" xr:uid="{64D8700F-E0D7-45CF-8278-5B05F6B90300}"/>
    <cellStyle name="Comma 2 5 2 2 3 2" xfId="11013" xr:uid="{2177116A-7077-4041-80ED-9CD6A669F942}"/>
    <cellStyle name="Comma 2 5 2 2 3 2 2" xfId="46173" xr:uid="{526DFC8F-D898-41DB-9A19-E49F5E011F10}"/>
    <cellStyle name="Comma 2 5 2 2 3 3" xfId="13853" xr:uid="{F92337A7-DCBE-4EFB-B533-6BC683E09B59}"/>
    <cellStyle name="Comma 2 5 2 2 3 4" xfId="43777" xr:uid="{311AEA6C-91AD-48A6-BE4E-B8600B075220}"/>
    <cellStyle name="Comma 2 5 2 2 3 5" xfId="48670" xr:uid="{2C5F2F92-45D2-4140-987D-03BD6C165FA9}"/>
    <cellStyle name="Comma 2 5 2 2 4" xfId="3286" xr:uid="{885072AC-9DB1-45A5-A4DC-C9C020649D7C}"/>
    <cellStyle name="Comma 2 5 2 2 4 2" xfId="11557" xr:uid="{6C65F6FB-EAB7-4ADF-A734-1F8535756C3C}"/>
    <cellStyle name="Comma 2 5 2 2 4 2 2" xfId="46717" xr:uid="{1AE87174-B7AB-4392-9608-94300D447A1D}"/>
    <cellStyle name="Comma 2 5 2 2 4 3" xfId="14397" xr:uid="{CBB78595-3D5D-4F16-BA48-D55173424A4F}"/>
    <cellStyle name="Comma 2 5 2 2 4 4" xfId="44321" xr:uid="{B4318DA2-5BAC-4AFD-B4B7-14156664F862}"/>
    <cellStyle name="Comma 2 5 2 2 4 5" xfId="49214" xr:uid="{0CA0B0FE-88C2-443C-897C-C5AD7FB2BFB5}"/>
    <cellStyle name="Comma 2 5 2 2 5" xfId="3788" xr:uid="{E1CF374E-B994-46A6-8208-33533B48C694}"/>
    <cellStyle name="Comma 2 5 2 2 5 2" xfId="12029" xr:uid="{03668C61-001E-4D80-BA46-1B1F98A49D89}"/>
    <cellStyle name="Comma 2 5 2 2 5 3" xfId="14869" xr:uid="{C956F828-5036-4267-BBB5-1CDE047A6848}"/>
    <cellStyle name="Comma 2 5 2 2 5 4" xfId="44793" xr:uid="{19D98642-2C5D-4D83-80AF-14B7A201DF7C}"/>
    <cellStyle name="Comma 2 5 2 2 5 5" xfId="49686" xr:uid="{9198E2F7-8944-4AF7-9194-3E1EACF7FC69}"/>
    <cellStyle name="Comma 2 5 2 2 6" xfId="10051" xr:uid="{22086ACA-2F4B-4C2D-90DF-66F7B8E6996F}"/>
    <cellStyle name="Comma 2 5 2 2 6 2" xfId="45211" xr:uid="{CDAD4E7D-F098-4547-9413-A565D5EBA7C3}"/>
    <cellStyle name="Comma 2 5 2 2 7" xfId="12891" xr:uid="{27EF3880-E75D-4AAD-825F-9150BCA5A953}"/>
    <cellStyle name="Comma 2 5 2 2 8" xfId="16234" xr:uid="{A9B54FAD-3F97-4FB0-A742-00667BB9007A}"/>
    <cellStyle name="Comma 2 5 2 2 9" xfId="16777" xr:uid="{D29B79EA-2273-4C9E-9CD5-2C374F5EDC94}"/>
    <cellStyle name="Comma 2 5 2 3" xfId="2112" xr:uid="{DB273FD4-16F0-4EB9-8A58-B0FF5BB8D7D0}"/>
    <cellStyle name="Comma 2 5 2 3 2" xfId="10383" xr:uid="{8A0A2AFB-6642-4A05-A733-DF5DA5A5B533}"/>
    <cellStyle name="Comma 2 5 2 3 2 2" xfId="45543" xr:uid="{35EF9495-1841-45DE-880A-C1864E066485}"/>
    <cellStyle name="Comma 2 5 2 3 3" xfId="13223" xr:uid="{579A5F02-63CB-4A70-BA0E-FC0E4A352A9B}"/>
    <cellStyle name="Comma 2 5 2 3 4" xfId="43147" xr:uid="{64F63C7E-2412-4266-9C88-9C42750C30FB}"/>
    <cellStyle name="Comma 2 5 2 3 5" xfId="48040" xr:uid="{36C2B7DA-F150-4D03-8689-BE54BBAB88FD}"/>
    <cellStyle name="Comma 2 5 2 4" xfId="2530" xr:uid="{B180C657-A2F4-4B1C-8B1E-BDFF5034F482}"/>
    <cellStyle name="Comma 2 5 2 4 2" xfId="10801" xr:uid="{99F4BC5B-14F8-4022-B5C1-00A92CC12020}"/>
    <cellStyle name="Comma 2 5 2 4 2 2" xfId="45961" xr:uid="{473247CF-36D5-474C-B7B7-47DC460E3239}"/>
    <cellStyle name="Comma 2 5 2 4 3" xfId="13641" xr:uid="{20654970-9BCC-44B2-B5A0-E554D65BA4DA}"/>
    <cellStyle name="Comma 2 5 2 4 4" xfId="43565" xr:uid="{D06CE55C-C5BB-42A1-A346-0B0B133BF7E4}"/>
    <cellStyle name="Comma 2 5 2 4 5" xfId="48458" xr:uid="{02E63D5B-109B-4BC7-BF84-01E6AB05CD25}"/>
    <cellStyle name="Comma 2 5 2 5" xfId="3074" xr:uid="{79EE8B6A-C8F8-41FE-9A01-33A8AD116CB1}"/>
    <cellStyle name="Comma 2 5 2 5 2" xfId="11345" xr:uid="{0F511644-A547-4DBD-B012-9BC696A89002}"/>
    <cellStyle name="Comma 2 5 2 5 2 2" xfId="46505" xr:uid="{25E39310-B03D-4B14-B526-E2ACE6E1E114}"/>
    <cellStyle name="Comma 2 5 2 5 3" xfId="14185" xr:uid="{A6634AD0-41C4-4896-83BD-3AD3F85CC062}"/>
    <cellStyle name="Comma 2 5 2 5 4" xfId="44109" xr:uid="{F05DE1CB-C3D5-4F31-80D0-BCEC6F9D4B2D}"/>
    <cellStyle name="Comma 2 5 2 5 5" xfId="49002" xr:uid="{C3ED2509-8D84-404F-9E19-F259257124A3}"/>
    <cellStyle name="Comma 2 5 2 6" xfId="3576" xr:uid="{16E2211A-498B-4A8B-A1A0-F0A56DED276B}"/>
    <cellStyle name="Comma 2 5 2 6 2" xfId="11817" xr:uid="{CA5F3D46-10C6-4B03-B41F-C1375AD0469B}"/>
    <cellStyle name="Comma 2 5 2 6 3" xfId="14657" xr:uid="{15E1AEB6-A642-42F5-B1B7-0A552BF3A81B}"/>
    <cellStyle name="Comma 2 5 2 6 4" xfId="44581" xr:uid="{CB1B9FF2-1867-4DAE-8FB6-480941C4387A}"/>
    <cellStyle name="Comma 2 5 2 6 5" xfId="49474" xr:uid="{6DE01DFD-22F7-4CFF-8781-0E61FA120AF2}"/>
    <cellStyle name="Comma 2 5 2 7" xfId="9839" xr:uid="{309AB987-E3C5-48E9-A9A6-DC3495CDDB3E}"/>
    <cellStyle name="Comma 2 5 2 7 2" xfId="44999" xr:uid="{A609F003-EDC0-4F68-817B-2DA1062203FB}"/>
    <cellStyle name="Comma 2 5 2 8" xfId="12679" xr:uid="{EAF623AA-E89E-41BA-8188-4E2413CDD325}"/>
    <cellStyle name="Comma 2 5 2 9" xfId="16022" xr:uid="{620F1917-8B7D-4061-B6B1-5337F1A0C808}"/>
    <cellStyle name="Comma 2 5 3" xfId="407" xr:uid="{00000000-0005-0000-0000-0000B2000000}"/>
    <cellStyle name="Comma 2 5 3 10" xfId="17221" xr:uid="{BF2FEAE3-D222-4F5F-B7B7-3C079223F727}"/>
    <cellStyle name="Comma 2 5 3 11" xfId="18142" xr:uid="{6EBC66F9-919D-4D2D-95F2-C027D64B5191}"/>
    <cellStyle name="Comma 2 5 3 12" xfId="42715" xr:uid="{7E3FF8E9-19C4-4C24-ABD2-181F99BAB8D7}"/>
    <cellStyle name="Comma 2 5 3 13" xfId="47608" xr:uid="{D9C41E15-7FCF-41B3-BD08-F361D2DAE51E}"/>
    <cellStyle name="Comma 2 5 3 2" xfId="2224" xr:uid="{F93175BD-8C82-4573-93E8-1EE154464537}"/>
    <cellStyle name="Comma 2 5 3 2 2" xfId="10495" xr:uid="{67731329-7D42-47DB-895B-D452294CC73F}"/>
    <cellStyle name="Comma 2 5 3 2 2 2" xfId="45655" xr:uid="{3B549D28-42A4-4284-8843-D2A6A7D60609}"/>
    <cellStyle name="Comma 2 5 3 2 3" xfId="13335" xr:uid="{FF4C8583-EA13-4D6C-A440-B9890E999E96}"/>
    <cellStyle name="Comma 2 5 3 2 4" xfId="43259" xr:uid="{E1EFFACE-B006-446C-B7C1-AFBF8D97B737}"/>
    <cellStyle name="Comma 2 5 3 2 5" xfId="48152" xr:uid="{058AF434-3ABB-400C-8957-40B4CD03F252}"/>
    <cellStyle name="Comma 2 5 3 3" xfId="2642" xr:uid="{A5F42728-4A10-4962-A0B9-06DCBFB212DC}"/>
    <cellStyle name="Comma 2 5 3 3 2" xfId="10913" xr:uid="{60881B53-0687-49C5-A0FD-B9ACBAED0DE9}"/>
    <cellStyle name="Comma 2 5 3 3 2 2" xfId="46073" xr:uid="{05AF4FDD-2416-45AF-910B-F3B303C0BA9F}"/>
    <cellStyle name="Comma 2 5 3 3 3" xfId="13753" xr:uid="{AEAAC237-39CA-4BB0-A725-30DA7383C981}"/>
    <cellStyle name="Comma 2 5 3 3 4" xfId="43677" xr:uid="{D583BB2A-F25C-46AA-9F3D-A88CC21E1F35}"/>
    <cellStyle name="Comma 2 5 3 3 5" xfId="48570" xr:uid="{757FB445-16FB-48BA-955B-03D43886B162}"/>
    <cellStyle name="Comma 2 5 3 4" xfId="3186" xr:uid="{C7C3E7CF-D9F0-4AE5-B0AD-3ADA26C43DC4}"/>
    <cellStyle name="Comma 2 5 3 4 2" xfId="11457" xr:uid="{23F6387B-B452-49DC-966A-F7ECFD0CBDD8}"/>
    <cellStyle name="Comma 2 5 3 4 2 2" xfId="46617" xr:uid="{53AED948-D399-49EE-9DED-96667BFED812}"/>
    <cellStyle name="Comma 2 5 3 4 3" xfId="14297" xr:uid="{EBC2C149-EC01-4CFC-B45E-4EF24D23DEF3}"/>
    <cellStyle name="Comma 2 5 3 4 4" xfId="44221" xr:uid="{6AB99BD5-5E55-46C5-994C-CBC61849BCD2}"/>
    <cellStyle name="Comma 2 5 3 4 5" xfId="49114" xr:uid="{E22859ED-B5B1-474E-ACAE-86A345BFDA9E}"/>
    <cellStyle name="Comma 2 5 3 5" xfId="3688" xr:uid="{5B5716CC-6CE9-4A2E-B56E-8047025385D2}"/>
    <cellStyle name="Comma 2 5 3 5 2" xfId="11929" xr:uid="{DEDFD019-6F10-4B3C-922C-B3DF7559EF72}"/>
    <cellStyle name="Comma 2 5 3 5 3" xfId="14769" xr:uid="{D013BD37-3EBB-4A62-9209-0F6C6D9D1D40}"/>
    <cellStyle name="Comma 2 5 3 5 4" xfId="44693" xr:uid="{EB7318D3-186E-4FAD-AECE-31D946897FED}"/>
    <cellStyle name="Comma 2 5 3 5 5" xfId="49586" xr:uid="{6C1FB760-20C0-433A-9372-651C82D83CCF}"/>
    <cellStyle name="Comma 2 5 3 6" xfId="9951" xr:uid="{FB71FF33-552E-4887-BAB1-6DF4BA6096B4}"/>
    <cellStyle name="Comma 2 5 3 6 2" xfId="45111" xr:uid="{18F6B059-D8CA-4175-B459-01AB40620CD9}"/>
    <cellStyle name="Comma 2 5 3 7" xfId="12791" xr:uid="{F4D2C541-5070-4D5B-9766-607260B14318}"/>
    <cellStyle name="Comma 2 5 3 8" xfId="16134" xr:uid="{4342FD04-3E47-4F99-92DE-03CD45102894}"/>
    <cellStyle name="Comma 2 5 3 9" xfId="16677" xr:uid="{423F8BD2-AE91-41F9-97C4-B8279A54A081}"/>
    <cellStyle name="Comma 2 5 4" xfId="610" xr:uid="{00000000-0005-0000-0000-0000B3000000}"/>
    <cellStyle name="Comma 2 5 4 10" xfId="47810" xr:uid="{6FC28128-1463-4739-8191-ABAA322BA528}"/>
    <cellStyle name="Comma 2 5 4 2" xfId="2844" xr:uid="{9E3BF73B-9807-4838-AF0D-B8DC04399844}"/>
    <cellStyle name="Comma 2 5 4 2 2" xfId="11115" xr:uid="{B75AB167-BE23-4FB9-A9DE-2E689A5B4855}"/>
    <cellStyle name="Comma 2 5 4 2 2 2" xfId="46275" xr:uid="{05CA2191-8A64-4201-A08B-45CDF25901E4}"/>
    <cellStyle name="Comma 2 5 4 2 3" xfId="13955" xr:uid="{7700309D-0879-42D8-94F8-360C12EA7456}"/>
    <cellStyle name="Comma 2 5 4 2 4" xfId="43879" xr:uid="{3BB7BBEA-28C4-4E77-96D6-FAABDD869C45}"/>
    <cellStyle name="Comma 2 5 4 2 5" xfId="48772" xr:uid="{C97CED1C-03BB-437E-B6F2-B22BE22E11AC}"/>
    <cellStyle name="Comma 2 5 4 3" xfId="10153" xr:uid="{5B1D46BD-3CCC-428A-A841-E89F3BA3AF99}"/>
    <cellStyle name="Comma 2 5 4 3 2" xfId="45313" xr:uid="{491863C1-1C39-4226-85D0-A0B50AAC26FC}"/>
    <cellStyle name="Comma 2 5 4 4" xfId="12993" xr:uid="{9ECCD61B-A502-4517-87D5-298E6AAF482B}"/>
    <cellStyle name="Comma 2 5 4 5" xfId="16336" xr:uid="{D7B24E1A-CA6B-4417-80DF-FA3E9616090B}"/>
    <cellStyle name="Comma 2 5 4 6" xfId="16879" xr:uid="{AA4AC722-243D-4E71-AE29-177027BA1687}"/>
    <cellStyle name="Comma 2 5 4 7" xfId="17423" xr:uid="{6D038F4D-3615-41AF-B4FE-19B9E5FC5C51}"/>
    <cellStyle name="Comma 2 5 4 8" xfId="17488" xr:uid="{6099FB6D-3EDD-4B8B-B3D2-DBF44A583125}"/>
    <cellStyle name="Comma 2 5 4 9" xfId="42917" xr:uid="{88716AD0-FC2C-4FB4-A43E-32CDF72BE268}"/>
    <cellStyle name="Comma 2 5 5" xfId="2008" xr:uid="{397012CF-0BB9-4E11-A395-5E313E98120D}"/>
    <cellStyle name="Comma 2 5 5 2" xfId="10279" xr:uid="{4D41F380-0376-4231-B829-7CEEFB98425C}"/>
    <cellStyle name="Comma 2 5 5 2 2" xfId="45439" xr:uid="{294A2C9E-3B01-4845-8F8C-8AD287103D24}"/>
    <cellStyle name="Comma 2 5 5 3" xfId="13119" xr:uid="{6887DD40-3AF4-47B6-8605-522C040A45D0}"/>
    <cellStyle name="Comma 2 5 5 4" xfId="43043" xr:uid="{81DA074F-50E4-42E1-9F19-2A93CF02CAC0}"/>
    <cellStyle name="Comma 2 5 5 5" xfId="47936" xr:uid="{C5F56D5F-F09B-43DE-A6A6-4C2ED5906BDB}"/>
    <cellStyle name="Comma 2 5 6" xfId="2426" xr:uid="{58BF9597-6091-4595-A8DC-7C44D7757B19}"/>
    <cellStyle name="Comma 2 5 6 2" xfId="10697" xr:uid="{294052C4-54CA-4E9A-AB9C-2594F6613B3B}"/>
    <cellStyle name="Comma 2 5 6 2 2" xfId="45857" xr:uid="{001699F7-9B0F-4B88-BEF7-3ADBB17868FA}"/>
    <cellStyle name="Comma 2 5 6 3" xfId="13537" xr:uid="{08A389E4-0F01-4CE2-AF07-56F3A95DD2A4}"/>
    <cellStyle name="Comma 2 5 6 4" xfId="43461" xr:uid="{9510145F-BC2F-4623-AA82-859DBF0FDE7C}"/>
    <cellStyle name="Comma 2 5 6 5" xfId="48354" xr:uid="{BA010816-C829-462F-A449-E481C3781B91}"/>
    <cellStyle name="Comma 2 5 7" xfId="2970" xr:uid="{489BB04D-F464-4C92-8526-38E288052B46}"/>
    <cellStyle name="Comma 2 5 7 2" xfId="11241" xr:uid="{92596C03-78AB-463E-8944-EDB5BF6A8693}"/>
    <cellStyle name="Comma 2 5 7 2 2" xfId="46401" xr:uid="{0B4BB6E5-4982-42A7-834B-8B1649DEB40D}"/>
    <cellStyle name="Comma 2 5 7 3" xfId="14081" xr:uid="{4F2E0CD1-204D-4F1E-92B7-0C0E08B72DAE}"/>
    <cellStyle name="Comma 2 5 7 4" xfId="44005" xr:uid="{08EBFDC3-41A8-4478-84B4-F6E62F906893}"/>
    <cellStyle name="Comma 2 5 7 5" xfId="48898" xr:uid="{F5094807-CB86-4303-BD75-73D19790CF10}"/>
    <cellStyle name="Comma 2 5 8" xfId="3472" xr:uid="{6306C5D0-97F8-4ED7-9E3A-485ADE849617}"/>
    <cellStyle name="Comma 2 5 8 2" xfId="11713" xr:uid="{6196BD92-EA86-4EC6-853D-3A5D0CC86A66}"/>
    <cellStyle name="Comma 2 5 8 3" xfId="14553" xr:uid="{FDF57551-5246-46CD-9572-7C3CF0768793}"/>
    <cellStyle name="Comma 2 5 8 4" xfId="44477" xr:uid="{43780AA1-EBA2-462A-90D7-5769BDCB5680}"/>
    <cellStyle name="Comma 2 5 8 5" xfId="49370" xr:uid="{C2CF4B53-A649-45B7-8EE8-B27237FE9CB4}"/>
    <cellStyle name="Comma 2 5 9" xfId="9735" xr:uid="{56C3328E-E01F-4D6B-8F73-CDD947182373}"/>
    <cellStyle name="Comma 2 5 9 2" xfId="44895" xr:uid="{6A5E700A-A780-4C08-B0CA-5DA612CD7292}"/>
    <cellStyle name="Comma 2 6" xfId="136" xr:uid="{00000000-0005-0000-0000-0000B4000000}"/>
    <cellStyle name="Comma 2 6 10" xfId="12544" xr:uid="{A581A559-5954-4D2C-A3E0-4C8CB8B56872}"/>
    <cellStyle name="Comma 2 6 11" xfId="15887" xr:uid="{96029508-FB24-4901-AC9B-307F89015A59}"/>
    <cellStyle name="Comma 2 6 12" xfId="16430" xr:uid="{78CB9EF8-70BD-4B4D-8EFE-8F2AB018FF9C}"/>
    <cellStyle name="Comma 2 6 13" xfId="16974" xr:uid="{63BBFE98-311B-4791-A484-15469EAE309D}"/>
    <cellStyle name="Comma 2 6 14" xfId="18091" xr:uid="{AA09B0C5-CC2A-4E6E-B664-A504065A2608}"/>
    <cellStyle name="Comma 2 6 15" xfId="42468" xr:uid="{0654A9A0-8896-4988-B6D9-3DF7F6815B50}"/>
    <cellStyle name="Comma 2 6 16" xfId="47361" xr:uid="{64CDC657-0C63-4AEB-B30F-05F64EFC8315}"/>
    <cellStyle name="Comma 2 6 17" xfId="50322" xr:uid="{D9290DB4-8A26-4803-939F-4FB2C64F61F4}"/>
    <cellStyle name="Comma 2 6 2" xfId="250" xr:uid="{00000000-0005-0000-0000-0000B5000000}"/>
    <cellStyle name="Comma 2 6 2 10" xfId="16534" xr:uid="{1DA72C02-E6D0-45BD-8842-95D41FDC178F}"/>
    <cellStyle name="Comma 2 6 2 11" xfId="17078" xr:uid="{C5ECF29D-CA13-4825-9034-C746186386B6}"/>
    <cellStyle name="Comma 2 6 2 12" xfId="17517" xr:uid="{418AEB8A-FB9C-4043-B6FE-DF7A21791F21}"/>
    <cellStyle name="Comma 2 6 2 13" xfId="42572" xr:uid="{82F69BF2-85D7-4237-BBFD-BA72BABABCFB}"/>
    <cellStyle name="Comma 2 6 2 14" xfId="47465" xr:uid="{B92DB50A-2671-466F-BBC3-980B860F67A6}"/>
    <cellStyle name="Comma 2 6 2 2" xfId="477" xr:uid="{00000000-0005-0000-0000-0000B6000000}"/>
    <cellStyle name="Comma 2 6 2 2 10" xfId="17290" xr:uid="{D7E5F447-7890-4697-AEDA-FFC650D59965}"/>
    <cellStyle name="Comma 2 6 2 2 11" xfId="21352" xr:uid="{4F6EE06C-7FBD-4500-8801-B62D8C7A869A}"/>
    <cellStyle name="Comma 2 6 2 2 12" xfId="42784" xr:uid="{9159368C-3D18-4512-90D8-57E7EA82EF0D}"/>
    <cellStyle name="Comma 2 6 2 2 13" xfId="47677" xr:uid="{7C9C90E9-D0FF-4F69-9538-D972D14D9C21}"/>
    <cellStyle name="Comma 2 6 2 2 2" xfId="2293" xr:uid="{540B4F54-5BCC-44F8-88C1-67BFD07DE0BB}"/>
    <cellStyle name="Comma 2 6 2 2 2 2" xfId="10564" xr:uid="{B8EB6DA4-4ED3-4D13-9A2E-CF6C814B94BF}"/>
    <cellStyle name="Comma 2 6 2 2 2 2 2" xfId="45724" xr:uid="{55CA8F81-3F1F-4EC5-B401-F782B78AA2AC}"/>
    <cellStyle name="Comma 2 6 2 2 2 3" xfId="13404" xr:uid="{4CD05A9F-4354-482E-8AD6-4C45607081AF}"/>
    <cellStyle name="Comma 2 6 2 2 2 4" xfId="43328" xr:uid="{3DA0BA39-71E9-42FB-A2EF-399E3A325F7A}"/>
    <cellStyle name="Comma 2 6 2 2 2 5" xfId="48221" xr:uid="{F3827743-7B3E-4B15-AF39-5D42BE0E7461}"/>
    <cellStyle name="Comma 2 6 2 2 3" xfId="2711" xr:uid="{147AF9D7-AE3C-45B3-95D7-2CD139453F21}"/>
    <cellStyle name="Comma 2 6 2 2 3 2" xfId="10982" xr:uid="{45169AEB-5F37-4878-9727-6065BE7FC93E}"/>
    <cellStyle name="Comma 2 6 2 2 3 2 2" xfId="46142" xr:uid="{5FE6190A-4A82-46D3-BC0B-8D2552226DE9}"/>
    <cellStyle name="Comma 2 6 2 2 3 3" xfId="13822" xr:uid="{7AE7A43E-9D13-4597-B90B-A23A402EB27B}"/>
    <cellStyle name="Comma 2 6 2 2 3 4" xfId="43746" xr:uid="{0300A4E0-963C-42F7-BCEF-442DC8EC6983}"/>
    <cellStyle name="Comma 2 6 2 2 3 5" xfId="48639" xr:uid="{F167D162-87C1-4D37-B653-4106C7FC400F}"/>
    <cellStyle name="Comma 2 6 2 2 4" xfId="3255" xr:uid="{253B4675-A5FD-4F20-A50A-05FDA0BEA0EC}"/>
    <cellStyle name="Comma 2 6 2 2 4 2" xfId="11526" xr:uid="{4C6C0963-91C5-4592-A878-DF570CC13D4D}"/>
    <cellStyle name="Comma 2 6 2 2 4 2 2" xfId="46686" xr:uid="{330875A6-4894-4934-A648-51A6FB16195D}"/>
    <cellStyle name="Comma 2 6 2 2 4 3" xfId="14366" xr:uid="{56D870E8-AB8F-40D3-A629-14C06A8A03D1}"/>
    <cellStyle name="Comma 2 6 2 2 4 4" xfId="44290" xr:uid="{3E6563FF-E8EA-469E-B2CA-8A798FA671A2}"/>
    <cellStyle name="Comma 2 6 2 2 4 5" xfId="49183" xr:uid="{F3FAC3A1-2663-4FFE-8EEB-AF5681053B1C}"/>
    <cellStyle name="Comma 2 6 2 2 5" xfId="3757" xr:uid="{F75F64EC-5E56-45F5-8727-3CBF46343555}"/>
    <cellStyle name="Comma 2 6 2 2 5 2" xfId="11998" xr:uid="{C08CE0DF-7172-40A6-86D6-BC950B93AA76}"/>
    <cellStyle name="Comma 2 6 2 2 5 3" xfId="14838" xr:uid="{82A7FD11-89F5-4233-BD89-2A31866D38C6}"/>
    <cellStyle name="Comma 2 6 2 2 5 4" xfId="44762" xr:uid="{313CBCD3-058A-4EE7-8E50-934CB3EACDCA}"/>
    <cellStyle name="Comma 2 6 2 2 5 5" xfId="49655" xr:uid="{62940FE4-67C0-4215-A11C-454A69CE3494}"/>
    <cellStyle name="Comma 2 6 2 2 6" xfId="10020" xr:uid="{67C0D867-8E97-478C-AADE-DF27D508C954}"/>
    <cellStyle name="Comma 2 6 2 2 6 2" xfId="45180" xr:uid="{A77966EF-6A13-437A-8501-D46A5D0800C0}"/>
    <cellStyle name="Comma 2 6 2 2 7" xfId="12860" xr:uid="{D3FE5357-0F97-4778-BA28-5EAB8F27CE6B}"/>
    <cellStyle name="Comma 2 6 2 2 8" xfId="16203" xr:uid="{1177F61C-E3A6-4F96-ADC9-5AF8E9D38CDF}"/>
    <cellStyle name="Comma 2 6 2 2 9" xfId="16746" xr:uid="{A7939601-8A35-40F5-BA09-3F845FD8B82C}"/>
    <cellStyle name="Comma 2 6 2 3" xfId="2081" xr:uid="{EE4020E0-8A87-4C1B-B512-97F9B24D5CC2}"/>
    <cellStyle name="Comma 2 6 2 3 2" xfId="10352" xr:uid="{872A612C-4E33-49D9-ADDA-5A1FBFFE885F}"/>
    <cellStyle name="Comma 2 6 2 3 2 2" xfId="45512" xr:uid="{77B6C1C6-CA2F-4085-A428-06CA6C35D26F}"/>
    <cellStyle name="Comma 2 6 2 3 3" xfId="13192" xr:uid="{D1611EFF-4F60-4E87-8504-C350007419AD}"/>
    <cellStyle name="Comma 2 6 2 3 4" xfId="43116" xr:uid="{15E041A2-9E5C-4A8F-B22B-8258B5BA5407}"/>
    <cellStyle name="Comma 2 6 2 3 5" xfId="48009" xr:uid="{17DFA7C4-5D84-4A4E-8D68-704BD830104F}"/>
    <cellStyle name="Comma 2 6 2 4" xfId="2499" xr:uid="{C9FE7969-6E96-436D-9393-BFF14CA5577A}"/>
    <cellStyle name="Comma 2 6 2 4 2" xfId="10770" xr:uid="{4725F89E-6C7D-4AC0-9866-1258A8FEA9A0}"/>
    <cellStyle name="Comma 2 6 2 4 2 2" xfId="45930" xr:uid="{4540BEF6-2D8C-4A00-BD80-5D49DB96670E}"/>
    <cellStyle name="Comma 2 6 2 4 3" xfId="13610" xr:uid="{8DC126E8-6F72-4732-BD1C-E0FCF0D337F3}"/>
    <cellStyle name="Comma 2 6 2 4 4" xfId="43534" xr:uid="{0527E94C-D74F-49E9-8145-E0A5AAB97858}"/>
    <cellStyle name="Comma 2 6 2 4 5" xfId="48427" xr:uid="{B2D9152F-A8D6-4653-A412-FCFF7AAA0C52}"/>
    <cellStyle name="Comma 2 6 2 5" xfId="3043" xr:uid="{F7E7E9F9-681E-4478-B2AA-F788ED91688A}"/>
    <cellStyle name="Comma 2 6 2 5 2" xfId="11314" xr:uid="{A3D3358D-0135-4B06-8711-9BE6AFCE47DF}"/>
    <cellStyle name="Comma 2 6 2 5 2 2" xfId="46474" xr:uid="{7236563B-91D1-4DF4-BF02-54ED507B3F19}"/>
    <cellStyle name="Comma 2 6 2 5 3" xfId="14154" xr:uid="{9EDE1890-DDAF-40B2-AD92-B9E04592D31E}"/>
    <cellStyle name="Comma 2 6 2 5 4" xfId="44078" xr:uid="{D26293C0-0B9A-4D81-B551-B79C21FC9094}"/>
    <cellStyle name="Comma 2 6 2 5 5" xfId="48971" xr:uid="{BBD00CE4-9189-4CC4-9489-CDE3BD2D9174}"/>
    <cellStyle name="Comma 2 6 2 6" xfId="3545" xr:uid="{4DFCE860-DB1A-4486-A804-57AA3B5E23A8}"/>
    <cellStyle name="Comma 2 6 2 6 2" xfId="11786" xr:uid="{E39AB4A0-B29E-4BD2-BB59-92CA85FD9321}"/>
    <cellStyle name="Comma 2 6 2 6 3" xfId="14626" xr:uid="{2E760C51-41ED-451A-88E4-CC4F8BFCB1F6}"/>
    <cellStyle name="Comma 2 6 2 6 4" xfId="44550" xr:uid="{BC260CF5-91B0-4791-90C1-AA31A07D07F5}"/>
    <cellStyle name="Comma 2 6 2 6 5" xfId="49443" xr:uid="{0D8B978A-FB08-4FA0-B19D-2A45E5654D2A}"/>
    <cellStyle name="Comma 2 6 2 7" xfId="9808" xr:uid="{6CD000CC-DA94-4D39-98BE-55FF7BDF7556}"/>
    <cellStyle name="Comma 2 6 2 7 2" xfId="44968" xr:uid="{390FEDA0-2CA0-4373-82F6-D46EC46DE69C}"/>
    <cellStyle name="Comma 2 6 2 8" xfId="12648" xr:uid="{D9210183-1615-48CB-BA7B-21F38EEFBB77}"/>
    <cellStyle name="Comma 2 6 2 9" xfId="15991" xr:uid="{4E9D0260-3218-4463-8F59-E3D6258D514C}"/>
    <cellStyle name="Comma 2 6 3" xfId="376" xr:uid="{00000000-0005-0000-0000-0000B7000000}"/>
    <cellStyle name="Comma 2 6 3 10" xfId="17190" xr:uid="{5B7253A4-702A-43A0-AF9E-0BE7A2B6AD15}"/>
    <cellStyle name="Comma 2 6 3 11" xfId="17603" xr:uid="{35E4B4B6-328C-4F33-96CC-078B175BDD0A}"/>
    <cellStyle name="Comma 2 6 3 12" xfId="42684" xr:uid="{FB9B5573-954A-4D74-97C4-88E5465B4FF3}"/>
    <cellStyle name="Comma 2 6 3 13" xfId="47577" xr:uid="{E32B2147-238C-46AE-9D27-97E6A267AC73}"/>
    <cellStyle name="Comma 2 6 3 2" xfId="2193" xr:uid="{082AFB9D-AEEF-43A5-BB10-C8170FCEC1EA}"/>
    <cellStyle name="Comma 2 6 3 2 2" xfId="10464" xr:uid="{F2DC816D-7FF9-4E3A-A75D-86086F2F30F8}"/>
    <cellStyle name="Comma 2 6 3 2 2 2" xfId="45624" xr:uid="{A89E3729-3F99-47A4-9B56-AEC1825AA087}"/>
    <cellStyle name="Comma 2 6 3 2 3" xfId="13304" xr:uid="{0E8CBE59-B5BF-469E-8714-2196286030AF}"/>
    <cellStyle name="Comma 2 6 3 2 4" xfId="43228" xr:uid="{9F1C6E0F-524F-4E97-BDCB-A5F42F643B5C}"/>
    <cellStyle name="Comma 2 6 3 2 5" xfId="48121" xr:uid="{A4597A4C-CD5A-4F2F-BC35-973EC7CBD1CC}"/>
    <cellStyle name="Comma 2 6 3 3" xfId="2611" xr:uid="{B49C0936-F4C3-4415-8B4E-4D614868D0FC}"/>
    <cellStyle name="Comma 2 6 3 3 2" xfId="10882" xr:uid="{CE3E3DC8-036F-4AC7-BE3C-884142662386}"/>
    <cellStyle name="Comma 2 6 3 3 2 2" xfId="46042" xr:uid="{44A279C8-A81E-4D11-9D8E-6656F93C49ED}"/>
    <cellStyle name="Comma 2 6 3 3 3" xfId="13722" xr:uid="{F8AA93BB-A8AB-4732-89F6-EB1A84B0D097}"/>
    <cellStyle name="Comma 2 6 3 3 4" xfId="43646" xr:uid="{DFFA6ED0-4519-48CC-9CEF-0D0A43BFBE5F}"/>
    <cellStyle name="Comma 2 6 3 3 5" xfId="48539" xr:uid="{71045E72-EA10-43AD-B3B8-0982C3997FC8}"/>
    <cellStyle name="Comma 2 6 3 4" xfId="3155" xr:uid="{1AD32B09-FD87-4C47-9154-B06D34BB2C6E}"/>
    <cellStyle name="Comma 2 6 3 4 2" xfId="11426" xr:uid="{9B516A38-6925-496F-97AC-16456C98BDA4}"/>
    <cellStyle name="Comma 2 6 3 4 2 2" xfId="46586" xr:uid="{682AD689-AF24-4E52-8B31-257BB71A33BF}"/>
    <cellStyle name="Comma 2 6 3 4 3" xfId="14266" xr:uid="{E2AE4B33-92BC-4511-8C58-6808F172CB34}"/>
    <cellStyle name="Comma 2 6 3 4 4" xfId="44190" xr:uid="{99E94963-2C6A-4B34-AE99-3188299DDEAE}"/>
    <cellStyle name="Comma 2 6 3 4 5" xfId="49083" xr:uid="{D33B542E-4751-430E-AF18-4F61473AF434}"/>
    <cellStyle name="Comma 2 6 3 5" xfId="3657" xr:uid="{35216336-1962-4E95-9582-B555E54904BA}"/>
    <cellStyle name="Comma 2 6 3 5 2" xfId="11898" xr:uid="{B51B49F9-4DEC-4DEB-B77B-9F293CE08E26}"/>
    <cellStyle name="Comma 2 6 3 5 3" xfId="14738" xr:uid="{FF1FCCB7-AAC6-424F-885E-BC752E5A1784}"/>
    <cellStyle name="Comma 2 6 3 5 4" xfId="44662" xr:uid="{917DA8E3-BB7A-4D3F-B920-8EE6947572B0}"/>
    <cellStyle name="Comma 2 6 3 5 5" xfId="49555" xr:uid="{AE68C247-6942-4A94-998B-3D3AFA01A13D}"/>
    <cellStyle name="Comma 2 6 3 6" xfId="9920" xr:uid="{0D0DD3F2-5D49-465C-A740-2D7E234DBEC9}"/>
    <cellStyle name="Comma 2 6 3 6 2" xfId="45080" xr:uid="{0DEB191E-C880-4F48-978F-E4CBE597E942}"/>
    <cellStyle name="Comma 2 6 3 7" xfId="12760" xr:uid="{36FF24E9-BCEB-4C08-B933-66066E3781ED}"/>
    <cellStyle name="Comma 2 6 3 8" xfId="16103" xr:uid="{A64ED161-722E-4887-B9D2-9A1411B724D5}"/>
    <cellStyle name="Comma 2 6 3 9" xfId="16646" xr:uid="{B951BC5C-48B9-4BA0-AD96-3417AD789A9B}"/>
    <cellStyle name="Comma 2 6 4" xfId="579" xr:uid="{00000000-0005-0000-0000-0000B8000000}"/>
    <cellStyle name="Comma 2 6 4 10" xfId="47779" xr:uid="{06440815-FAEB-449A-8329-975AFFE1EF60}"/>
    <cellStyle name="Comma 2 6 4 2" xfId="2813" xr:uid="{3D2CBF3A-0756-4CB2-B86C-FB87FB8E2DDF}"/>
    <cellStyle name="Comma 2 6 4 2 2" xfId="11084" xr:uid="{94CEB86B-8F9E-4BC8-86ED-FCE30BAAFF34}"/>
    <cellStyle name="Comma 2 6 4 2 2 2" xfId="46244" xr:uid="{C35D7426-0919-445B-A70A-8D1D18659157}"/>
    <cellStyle name="Comma 2 6 4 2 3" xfId="13924" xr:uid="{684213B1-2A1A-4C65-A832-2BB20F2D3B27}"/>
    <cellStyle name="Comma 2 6 4 2 4" xfId="43848" xr:uid="{E5CF8823-77A7-4A61-BE05-3C36B5E4BB1F}"/>
    <cellStyle name="Comma 2 6 4 2 5" xfId="48741" xr:uid="{2C438F50-DBEC-46D9-8EC1-59D7C5F8F4C5}"/>
    <cellStyle name="Comma 2 6 4 3" xfId="10122" xr:uid="{CCF38D93-C78B-413D-BD7A-40981EE913AB}"/>
    <cellStyle name="Comma 2 6 4 3 2" xfId="45282" xr:uid="{4BCB662E-439A-40D0-8130-7917D462A13D}"/>
    <cellStyle name="Comma 2 6 4 4" xfId="12962" xr:uid="{A01667AC-06C2-4FEC-9065-035093FB4077}"/>
    <cellStyle name="Comma 2 6 4 5" xfId="16305" xr:uid="{32187329-A7A9-43E2-835B-A41A3FEBC306}"/>
    <cellStyle name="Comma 2 6 4 6" xfId="16848" xr:uid="{883B6051-ED3E-4D7A-9711-B45ECF635A06}"/>
    <cellStyle name="Comma 2 6 4 7" xfId="17392" xr:uid="{B7AABAD4-91CC-4676-B0BB-54B3B1AB5C1F}"/>
    <cellStyle name="Comma 2 6 4 8" xfId="18021" xr:uid="{23F701E3-4C08-4E1C-8F09-560FE2EDC717}"/>
    <cellStyle name="Comma 2 6 4 9" xfId="42886" xr:uid="{C9F1A8A4-C13E-4BBC-B952-A331F75C85AE}"/>
    <cellStyle name="Comma 2 6 5" xfId="1977" xr:uid="{8ED3657C-E9A7-4DF0-A8AA-0CF65F7F0289}"/>
    <cellStyle name="Comma 2 6 5 2" xfId="10248" xr:uid="{B1CE0983-D5E9-4471-A1F8-A019AEC5B6C4}"/>
    <cellStyle name="Comma 2 6 5 2 2" xfId="45408" xr:uid="{D29AB990-7595-4691-8DA8-BD985E668D32}"/>
    <cellStyle name="Comma 2 6 5 3" xfId="13088" xr:uid="{69A77369-EE69-4F45-922C-5432C762462D}"/>
    <cellStyle name="Comma 2 6 5 4" xfId="43012" xr:uid="{E82D4682-E89A-4C0D-8CA6-901A373D15A3}"/>
    <cellStyle name="Comma 2 6 5 5" xfId="47905" xr:uid="{C9B9952A-72F3-4D31-87E1-3A0A4908F381}"/>
    <cellStyle name="Comma 2 6 6" xfId="2395" xr:uid="{2A6CBE93-8564-4FAD-9347-0EA76B5A96CD}"/>
    <cellStyle name="Comma 2 6 6 2" xfId="10666" xr:uid="{4EE7B2FB-5E2E-4EBE-B3B6-2EB6F40555F8}"/>
    <cellStyle name="Comma 2 6 6 2 2" xfId="45826" xr:uid="{454EFF65-C9E6-43CD-9712-8601D914C3BF}"/>
    <cellStyle name="Comma 2 6 6 3" xfId="13506" xr:uid="{3E1F50D1-1471-428A-8937-D4E536FB0DA7}"/>
    <cellStyle name="Comma 2 6 6 4" xfId="43430" xr:uid="{3BA72DC9-D3B0-4703-BE60-570B1E5F8B91}"/>
    <cellStyle name="Comma 2 6 6 5" xfId="48323" xr:uid="{13F5D379-7D77-4F9C-964C-12E51846772C}"/>
    <cellStyle name="Comma 2 6 7" xfId="2939" xr:uid="{92E0E0DF-767A-45CF-8B9C-91B531E94C93}"/>
    <cellStyle name="Comma 2 6 7 2" xfId="11210" xr:uid="{E86A44AF-04E3-47D4-91B6-7DCBA353AB88}"/>
    <cellStyle name="Comma 2 6 7 2 2" xfId="46370" xr:uid="{F110F66C-00B2-4420-85D8-6E00F0D4C937}"/>
    <cellStyle name="Comma 2 6 7 3" xfId="14050" xr:uid="{821DACE6-B6CB-464A-92E5-CEFA67237801}"/>
    <cellStyle name="Comma 2 6 7 4" xfId="43974" xr:uid="{16FB6594-A4D6-45A2-A2C5-60A167E8A76F}"/>
    <cellStyle name="Comma 2 6 7 5" xfId="48867" xr:uid="{4E1C6CCD-3991-404F-A49E-10E26B17CCFE}"/>
    <cellStyle name="Comma 2 6 8" xfId="3441" xr:uid="{081FAAFB-B7F7-4D67-952A-157BF7982CE0}"/>
    <cellStyle name="Comma 2 6 8 2" xfId="11682" xr:uid="{2D2BD793-74D6-46F8-9B6A-3EE42F70058B}"/>
    <cellStyle name="Comma 2 6 8 3" xfId="14522" xr:uid="{09043A61-55F7-4EDD-847E-37317CFCD4AE}"/>
    <cellStyle name="Comma 2 6 8 4" xfId="44446" xr:uid="{2ACC8A21-F113-4E1D-9792-2C87DF13DAA3}"/>
    <cellStyle name="Comma 2 6 8 5" xfId="49339" xr:uid="{DCAB9630-4AE6-4F77-8849-7562CB22C0CA}"/>
    <cellStyle name="Comma 2 6 9" xfId="9704" xr:uid="{A189AC19-EC92-41B2-96B6-D67DB00B5605}"/>
    <cellStyle name="Comma 2 6 9 2" xfId="44864" xr:uid="{40FC6149-E53D-479F-B0DC-114E19C06081}"/>
    <cellStyle name="Comma 2 7" xfId="67" xr:uid="{00000000-0005-0000-0000-0000B9000000}"/>
    <cellStyle name="Comma 2 7 10" xfId="12515" xr:uid="{DD033F21-9997-4C24-A6A6-5CC8279AFC0C}"/>
    <cellStyle name="Comma 2 7 11" xfId="15861" xr:uid="{6FE078A9-FB44-43F2-8FB0-DC174ACCE775}"/>
    <cellStyle name="Comma 2 7 12" xfId="16401" xr:uid="{21174CE9-1197-44CC-8810-22716C3F9263}"/>
    <cellStyle name="Comma 2 7 13" xfId="16945" xr:uid="{C0CAFCF9-CBAA-4090-AC6C-13BB877FAD52}"/>
    <cellStyle name="Comma 2 7 14" xfId="17718" xr:uid="{F5CF8768-C97C-46AF-9528-033247458BCC}"/>
    <cellStyle name="Comma 2 7 15" xfId="42439" xr:uid="{3A9DC62E-407C-4CDA-9EFE-2FE117F0C5D0}"/>
    <cellStyle name="Comma 2 7 16" xfId="47332" xr:uid="{A9EB524F-5ACB-41C8-9A76-5FEAD96AD06E}"/>
    <cellStyle name="Comma 2 7 2" xfId="221" xr:uid="{00000000-0005-0000-0000-0000BA000000}"/>
    <cellStyle name="Comma 2 7 2 10" xfId="16505" xr:uid="{56768046-2788-4E50-82A2-EEA805C6733D}"/>
    <cellStyle name="Comma 2 7 2 11" xfId="17049" xr:uid="{B02A773E-C925-415E-9730-15BB0890F008}"/>
    <cellStyle name="Comma 2 7 2 12" xfId="18109" xr:uid="{2D03A643-7E8E-4368-8977-26235C081D6A}"/>
    <cellStyle name="Comma 2 7 2 13" xfId="42543" xr:uid="{6854BE94-B46C-4812-8685-AB3C02074DD1}"/>
    <cellStyle name="Comma 2 7 2 14" xfId="47436" xr:uid="{AC4CF384-9BDF-4F79-A052-E37B729F5526}"/>
    <cellStyle name="Comma 2 7 2 2" xfId="448" xr:uid="{00000000-0005-0000-0000-0000BB000000}"/>
    <cellStyle name="Comma 2 7 2 2 10" xfId="17261" xr:uid="{B0D320F8-DF0E-4225-914E-1CC45519D74F}"/>
    <cellStyle name="Comma 2 7 2 2 11" xfId="18104" xr:uid="{922957AA-B594-4624-B00E-98E8A35B1D84}"/>
    <cellStyle name="Comma 2 7 2 2 12" xfId="42755" xr:uid="{55CBDCD9-88CB-4800-B485-42E0593BB370}"/>
    <cellStyle name="Comma 2 7 2 2 13" xfId="47648" xr:uid="{F8697D14-E9DA-4433-BF5F-2E3BE011BDFF}"/>
    <cellStyle name="Comma 2 7 2 2 2" xfId="2264" xr:uid="{F55F2615-321A-4AFC-BFB0-C2581B88EB1E}"/>
    <cellStyle name="Comma 2 7 2 2 2 2" xfId="10535" xr:uid="{899FF424-458B-4B2B-84FD-4AC57C1F6939}"/>
    <cellStyle name="Comma 2 7 2 2 2 2 2" xfId="45695" xr:uid="{751428D2-8F15-4E2C-BE5A-73CC80D938B0}"/>
    <cellStyle name="Comma 2 7 2 2 2 3" xfId="13375" xr:uid="{488DCB23-C32F-4FBD-A84C-8326A600B441}"/>
    <cellStyle name="Comma 2 7 2 2 2 4" xfId="43299" xr:uid="{AE44CB28-5CE3-412A-AD0E-70AB422B229A}"/>
    <cellStyle name="Comma 2 7 2 2 2 5" xfId="48192" xr:uid="{B37A03FB-DBA6-4B32-99E4-72DACAC709B7}"/>
    <cellStyle name="Comma 2 7 2 2 3" xfId="2682" xr:uid="{D03B8D26-6F91-486F-A1D7-7C8E718A03D7}"/>
    <cellStyle name="Comma 2 7 2 2 3 2" xfId="10953" xr:uid="{B7BC7E5B-3685-45AF-B17C-9A9B0263A0D6}"/>
    <cellStyle name="Comma 2 7 2 2 3 2 2" xfId="46113" xr:uid="{22D5B0D4-A9CE-447D-A08D-D0FDFF6E9AA9}"/>
    <cellStyle name="Comma 2 7 2 2 3 3" xfId="13793" xr:uid="{64852976-4F04-4DCC-8465-6EB1D30B8927}"/>
    <cellStyle name="Comma 2 7 2 2 3 4" xfId="43717" xr:uid="{12216CC9-2245-4478-B267-AABF5AD09680}"/>
    <cellStyle name="Comma 2 7 2 2 3 5" xfId="48610" xr:uid="{899D9021-7979-49E8-8E20-533AC45FBA9F}"/>
    <cellStyle name="Comma 2 7 2 2 4" xfId="3226" xr:uid="{3127BF55-6289-4F8D-A36A-3C7C959AB9B9}"/>
    <cellStyle name="Comma 2 7 2 2 4 2" xfId="11497" xr:uid="{78E0DFF8-C89C-4E1B-8490-7145DC91775C}"/>
    <cellStyle name="Comma 2 7 2 2 4 2 2" xfId="46657" xr:uid="{FC44C559-65DA-4989-AD6E-F31DF17AB5F7}"/>
    <cellStyle name="Comma 2 7 2 2 4 3" xfId="14337" xr:uid="{FDFD22D6-9A03-4A87-9172-19F1219B6F8A}"/>
    <cellStyle name="Comma 2 7 2 2 4 4" xfId="44261" xr:uid="{62EC5163-1714-4BF0-BCE9-2E4495CCBB45}"/>
    <cellStyle name="Comma 2 7 2 2 4 5" xfId="49154" xr:uid="{D2F07D52-B010-4B9C-8318-81E79E885CB3}"/>
    <cellStyle name="Comma 2 7 2 2 5" xfId="3728" xr:uid="{8EB167B4-884C-4302-91C4-C8172B00DFC5}"/>
    <cellStyle name="Comma 2 7 2 2 5 2" xfId="11969" xr:uid="{D7EBCD24-C82C-48B4-AB08-87C8148E9AFB}"/>
    <cellStyle name="Comma 2 7 2 2 5 3" xfId="14809" xr:uid="{C8AE6E46-FFD8-48A6-AB79-1932665BD557}"/>
    <cellStyle name="Comma 2 7 2 2 5 4" xfId="44733" xr:uid="{08775DB0-514A-4029-8A08-F48BC32DC7F5}"/>
    <cellStyle name="Comma 2 7 2 2 5 5" xfId="49626" xr:uid="{ADBFBB81-2033-4BDA-9D0E-6BA8F3E53CB8}"/>
    <cellStyle name="Comma 2 7 2 2 6" xfId="9991" xr:uid="{97944019-2E79-4020-98B6-B4A044EEF304}"/>
    <cellStyle name="Comma 2 7 2 2 6 2" xfId="45151" xr:uid="{DB808874-2F2E-4AFF-866D-0387CCC4FA14}"/>
    <cellStyle name="Comma 2 7 2 2 7" xfId="12831" xr:uid="{BD45C4DD-6D4B-4EB7-995B-0A1D11FE2754}"/>
    <cellStyle name="Comma 2 7 2 2 8" xfId="16174" xr:uid="{1A1F3908-108B-40F3-9E00-6174077E9B15}"/>
    <cellStyle name="Comma 2 7 2 2 9" xfId="16717" xr:uid="{839E5D4D-3F7F-48E1-992C-2DDF3F859CA0}"/>
    <cellStyle name="Comma 2 7 2 3" xfId="2052" xr:uid="{87C1DBEA-D8A9-4A3C-8A83-CBCA215C4335}"/>
    <cellStyle name="Comma 2 7 2 3 2" xfId="10323" xr:uid="{12B02629-5780-4F82-ACBE-CD38683E2340}"/>
    <cellStyle name="Comma 2 7 2 3 2 2" xfId="45483" xr:uid="{57B93396-8D8D-453C-A9EF-20AFF4733B33}"/>
    <cellStyle name="Comma 2 7 2 3 3" xfId="13163" xr:uid="{9A57D9CD-0D31-4D67-B50D-699EECE8E943}"/>
    <cellStyle name="Comma 2 7 2 3 4" xfId="43087" xr:uid="{9BA63823-8E24-4DFB-8F9B-45094002C259}"/>
    <cellStyle name="Comma 2 7 2 3 5" xfId="47980" xr:uid="{EB213D9D-1CCC-400E-A542-3E12BEA4A831}"/>
    <cellStyle name="Comma 2 7 2 4" xfId="2470" xr:uid="{4016CF88-0446-4F18-9323-8E59FB906FEA}"/>
    <cellStyle name="Comma 2 7 2 4 2" xfId="10741" xr:uid="{6D1A4777-60CB-40FE-99DD-64C7E8CB83C9}"/>
    <cellStyle name="Comma 2 7 2 4 2 2" xfId="45901" xr:uid="{387E5FCD-4B55-44C7-8261-B308D8BE4EDB}"/>
    <cellStyle name="Comma 2 7 2 4 3" xfId="13581" xr:uid="{A784B33F-81EC-436E-8429-00358FF2B796}"/>
    <cellStyle name="Comma 2 7 2 4 4" xfId="43505" xr:uid="{58145C76-E9DB-4C42-A765-BAE148E0147C}"/>
    <cellStyle name="Comma 2 7 2 4 5" xfId="48398" xr:uid="{75C78997-A121-45AC-8CBA-42F5D0FDD6FF}"/>
    <cellStyle name="Comma 2 7 2 5" xfId="3014" xr:uid="{0C23588C-C676-45F2-9031-5D6B9FF3F1A6}"/>
    <cellStyle name="Comma 2 7 2 5 2" xfId="11285" xr:uid="{24D13A14-517F-4FD0-BB95-390DD3659077}"/>
    <cellStyle name="Comma 2 7 2 5 2 2" xfId="46445" xr:uid="{42A32269-3B0F-477B-A796-879C92EAE576}"/>
    <cellStyle name="Comma 2 7 2 5 3" xfId="14125" xr:uid="{8EE2C3E0-4B6B-4495-8554-E136F2EAB616}"/>
    <cellStyle name="Comma 2 7 2 5 4" xfId="44049" xr:uid="{341BEF76-A01E-4FA0-BB86-9C15C5B85C15}"/>
    <cellStyle name="Comma 2 7 2 5 5" xfId="48942" xr:uid="{AE405017-A2C2-4D09-B442-3A7E8A94D4FE}"/>
    <cellStyle name="Comma 2 7 2 6" xfId="3516" xr:uid="{DD386312-D959-4CB0-B681-DA349E176E13}"/>
    <cellStyle name="Comma 2 7 2 6 2" xfId="11757" xr:uid="{DE8E3C1A-533E-4AE7-A80A-660D72CBCBA7}"/>
    <cellStyle name="Comma 2 7 2 6 3" xfId="14597" xr:uid="{12773D88-6DC1-41E1-BB27-09BADF9C0C9D}"/>
    <cellStyle name="Comma 2 7 2 6 4" xfId="44521" xr:uid="{D1196F19-CBE3-404E-B61A-BCD0037ED83F}"/>
    <cellStyle name="Comma 2 7 2 6 5" xfId="49414" xr:uid="{E1A71F50-7D5E-4CE1-BAEB-B13E5E652AAE}"/>
    <cellStyle name="Comma 2 7 2 7" xfId="9779" xr:uid="{C46C5D82-3A04-4583-B05B-11CE72A44C46}"/>
    <cellStyle name="Comma 2 7 2 7 2" xfId="44939" xr:uid="{667BF41D-F3DB-4466-BA88-8A9A20E5CF20}"/>
    <cellStyle name="Comma 2 7 2 8" xfId="12619" xr:uid="{94F140D1-5D20-4751-A7E9-38905827D571}"/>
    <cellStyle name="Comma 2 7 2 9" xfId="15962" xr:uid="{7699BA32-584D-4DB7-B521-DD11E5AE7348}"/>
    <cellStyle name="Comma 2 7 3" xfId="346" xr:uid="{00000000-0005-0000-0000-0000BC000000}"/>
    <cellStyle name="Comma 2 7 3 10" xfId="17161" xr:uid="{BB05E3ED-35CE-4802-B218-C676A952222B}"/>
    <cellStyle name="Comma 2 7 3 11" xfId="17823" xr:uid="{1715F476-7E39-4C82-AB68-FB9E8234157A}"/>
    <cellStyle name="Comma 2 7 3 12" xfId="42655" xr:uid="{2EB636BD-1864-461F-8C03-D00D0D6157DF}"/>
    <cellStyle name="Comma 2 7 3 13" xfId="47548" xr:uid="{0C1A8992-3505-4C40-9759-8908AF89B8B1}"/>
    <cellStyle name="Comma 2 7 3 2" xfId="2164" xr:uid="{049A8329-A5E7-4A52-9288-A2EFBFC8A586}"/>
    <cellStyle name="Comma 2 7 3 2 2" xfId="10435" xr:uid="{F0D11C8A-153B-4B1C-B4A1-49EA5FF09BC7}"/>
    <cellStyle name="Comma 2 7 3 2 2 2" xfId="45595" xr:uid="{66633D55-289F-4374-ADCC-2EB48380A568}"/>
    <cellStyle name="Comma 2 7 3 2 3" xfId="13275" xr:uid="{EBED1B34-79CB-4443-B62D-1A7E81884D05}"/>
    <cellStyle name="Comma 2 7 3 2 4" xfId="43199" xr:uid="{BB320F89-3E12-4026-831D-EC86C42EB367}"/>
    <cellStyle name="Comma 2 7 3 2 5" xfId="48092" xr:uid="{FE878333-27BC-48FB-AFE6-DDA14A4D4C69}"/>
    <cellStyle name="Comma 2 7 3 3" xfId="2582" xr:uid="{1DF13111-15B0-43A0-BF4E-F506565A3A85}"/>
    <cellStyle name="Comma 2 7 3 3 2" xfId="10853" xr:uid="{83F7E939-E664-46E6-BBDC-4279AC9428C0}"/>
    <cellStyle name="Comma 2 7 3 3 2 2" xfId="46013" xr:uid="{C6295DF3-76D8-4D83-B64F-7E18408B7BE9}"/>
    <cellStyle name="Comma 2 7 3 3 3" xfId="13693" xr:uid="{F12E4994-48AF-4979-922D-65FB0A3F0A45}"/>
    <cellStyle name="Comma 2 7 3 3 4" xfId="43617" xr:uid="{3D216CC6-C98D-4952-9BEF-24EF32FE82CA}"/>
    <cellStyle name="Comma 2 7 3 3 5" xfId="48510" xr:uid="{FD54FD88-0A62-4260-B0BF-9F284FE5FB39}"/>
    <cellStyle name="Comma 2 7 3 4" xfId="3126" xr:uid="{3D01F8DD-837C-4D50-BCA9-4B142A148948}"/>
    <cellStyle name="Comma 2 7 3 4 2" xfId="11397" xr:uid="{8A0EE2E8-0C0E-4F2E-87D5-9CE348CBE93C}"/>
    <cellStyle name="Comma 2 7 3 4 2 2" xfId="46557" xr:uid="{B5A58E04-B322-4D24-A9F5-A8F77C2BD48E}"/>
    <cellStyle name="Comma 2 7 3 4 3" xfId="14237" xr:uid="{9F8BB2AE-C104-413A-A77E-48FC016B9C13}"/>
    <cellStyle name="Comma 2 7 3 4 4" xfId="44161" xr:uid="{3A2F5D6A-DB75-43B5-A8EF-2E06E7AF0F0F}"/>
    <cellStyle name="Comma 2 7 3 4 5" xfId="49054" xr:uid="{A0AB4480-C95C-4152-AF12-4B0CCBE30949}"/>
    <cellStyle name="Comma 2 7 3 5" xfId="3628" xr:uid="{EE3FB5FE-9EC4-4170-8751-4103D3BD0E76}"/>
    <cellStyle name="Comma 2 7 3 5 2" xfId="11869" xr:uid="{F74635E8-3AFF-45C9-8BCE-3E3AF9018676}"/>
    <cellStyle name="Comma 2 7 3 5 3" xfId="14709" xr:uid="{B7E4D804-6575-481F-8A40-9B3B2AD41FD3}"/>
    <cellStyle name="Comma 2 7 3 5 4" xfId="44633" xr:uid="{E17D64B7-3798-4140-887D-B585594FB171}"/>
    <cellStyle name="Comma 2 7 3 5 5" xfId="49526" xr:uid="{34D58482-2DA4-48AB-930C-65A73C50B59A}"/>
    <cellStyle name="Comma 2 7 3 6" xfId="9891" xr:uid="{1A6BD186-4315-474C-8156-F5C2B7C52836}"/>
    <cellStyle name="Comma 2 7 3 6 2" xfId="45051" xr:uid="{5F2D8103-41FA-4AD1-8300-7E11DE408E56}"/>
    <cellStyle name="Comma 2 7 3 7" xfId="12731" xr:uid="{80B9E460-8EAC-4F02-BC26-4F5CB6651F49}"/>
    <cellStyle name="Comma 2 7 3 8" xfId="16074" xr:uid="{E051E2C1-B8AC-4D9A-97AC-67AB2A32FF5A}"/>
    <cellStyle name="Comma 2 7 3 9" xfId="16617" xr:uid="{C07B3828-3BD6-4DE6-A184-A5B628CBDA93}"/>
    <cellStyle name="Comma 2 7 4" xfId="550" xr:uid="{00000000-0005-0000-0000-0000BD000000}"/>
    <cellStyle name="Comma 2 7 4 10" xfId="47750" xr:uid="{14481243-DABB-4A6C-B360-EE5A3F98A519}"/>
    <cellStyle name="Comma 2 7 4 2" xfId="2784" xr:uid="{C3D20106-0D1C-42C6-BEDA-98F3BC1F0C92}"/>
    <cellStyle name="Comma 2 7 4 2 2" xfId="11055" xr:uid="{39811B99-143A-4E1C-B762-0CC5DCD97CE0}"/>
    <cellStyle name="Comma 2 7 4 2 2 2" xfId="46215" xr:uid="{28B54F78-439B-48B5-BA78-EB3B9CBD83C6}"/>
    <cellStyle name="Comma 2 7 4 2 3" xfId="13895" xr:uid="{A40552F9-8C19-4E52-A8AC-3B7BF8D34F22}"/>
    <cellStyle name="Comma 2 7 4 2 4" xfId="43819" xr:uid="{35B4E4F4-4EB9-4E09-AA44-0EF7384E3C27}"/>
    <cellStyle name="Comma 2 7 4 2 5" xfId="48712" xr:uid="{6C682CA9-6E2D-4BC5-8351-80AB8B3A517D}"/>
    <cellStyle name="Comma 2 7 4 3" xfId="10093" xr:uid="{35875B9A-D014-4743-ABCE-832329FB452D}"/>
    <cellStyle name="Comma 2 7 4 3 2" xfId="45253" xr:uid="{25C08439-07F9-4DB0-A1F0-7FD729EB0623}"/>
    <cellStyle name="Comma 2 7 4 4" xfId="12933" xr:uid="{1F885F97-97F7-4411-A156-31CC048A439A}"/>
    <cellStyle name="Comma 2 7 4 5" xfId="16276" xr:uid="{FC03EFB9-2A64-44D7-871F-FABBB88A2B39}"/>
    <cellStyle name="Comma 2 7 4 6" xfId="16819" xr:uid="{A7355A07-3DFB-44DA-8902-7A8514D96900}"/>
    <cellStyle name="Comma 2 7 4 7" xfId="17363" xr:uid="{6AFC1DD5-8594-4404-BE7C-7ECBBFA2FE87}"/>
    <cellStyle name="Comma 2 7 4 8" xfId="18253" xr:uid="{A4B5D5C2-6680-4B7D-8D77-2CF5F5455D88}"/>
    <cellStyle name="Comma 2 7 4 9" xfId="42857" xr:uid="{8AE36138-7D03-4728-8E50-BB1D63A73939}"/>
    <cellStyle name="Comma 2 7 5" xfId="1948" xr:uid="{75659F6D-E566-4DF9-B580-5D64E8A7AB2C}"/>
    <cellStyle name="Comma 2 7 5 2" xfId="10219" xr:uid="{14EC21AE-9E6F-43D0-8906-7C96EDE04EAE}"/>
    <cellStyle name="Comma 2 7 5 2 2" xfId="45379" xr:uid="{AD960B72-C49C-4BE0-BC24-EC7732CE0EC0}"/>
    <cellStyle name="Comma 2 7 5 3" xfId="13059" xr:uid="{2BE9233E-44B4-41BF-BD4D-7012C8998F67}"/>
    <cellStyle name="Comma 2 7 5 4" xfId="42983" xr:uid="{89218766-5948-48A9-872D-99FC31964E5F}"/>
    <cellStyle name="Comma 2 7 5 5" xfId="47876" xr:uid="{C107CF93-141D-497F-9BB0-2BFEE9F8ABBA}"/>
    <cellStyle name="Comma 2 7 6" xfId="2366" xr:uid="{F7628D7D-E66D-4B0D-B1A4-E6667F8718D1}"/>
    <cellStyle name="Comma 2 7 6 2" xfId="10637" xr:uid="{C5A3B917-F27A-4B36-888F-7A4EAA350B33}"/>
    <cellStyle name="Comma 2 7 6 2 2" xfId="45797" xr:uid="{B02C22F2-A57A-4D9D-91DD-206E9F8E07D7}"/>
    <cellStyle name="Comma 2 7 6 3" xfId="13477" xr:uid="{F1EA5E74-D8C8-47FF-A726-AEA401860CF2}"/>
    <cellStyle name="Comma 2 7 6 4" xfId="43401" xr:uid="{548F2650-C272-4C1B-B5E7-08E7E3D8DB5D}"/>
    <cellStyle name="Comma 2 7 6 5" xfId="48294" xr:uid="{B1428A6C-84A3-47C3-8C57-417E305A5FF8}"/>
    <cellStyle name="Comma 2 7 7" xfId="2910" xr:uid="{19F4A967-2074-4568-870B-48BDA51962B1}"/>
    <cellStyle name="Comma 2 7 7 2" xfId="11181" xr:uid="{F62EC017-EE56-45D2-8730-5ECDAF9EED2E}"/>
    <cellStyle name="Comma 2 7 7 2 2" xfId="46341" xr:uid="{7081FB92-98E2-4087-AA68-3E2A2D570055}"/>
    <cellStyle name="Comma 2 7 7 3" xfId="14021" xr:uid="{40B1B98A-7B66-4FDA-8B2E-5B72BEDD92CD}"/>
    <cellStyle name="Comma 2 7 7 4" xfId="43945" xr:uid="{13F1B7F7-380E-4079-B98D-8D33D5341D7B}"/>
    <cellStyle name="Comma 2 7 7 5" xfId="48838" xr:uid="{59461176-2F64-46E8-9ECB-D3D844ED7DE6}"/>
    <cellStyle name="Comma 2 7 8" xfId="3412" xr:uid="{A5BCB98F-DFE4-4B6F-B517-E279C3661649}"/>
    <cellStyle name="Comma 2 7 8 2" xfId="11653" xr:uid="{0EDB1258-ABC3-4B0D-B1A9-D4A0F0CBC3D3}"/>
    <cellStyle name="Comma 2 7 8 3" xfId="14493" xr:uid="{61DC29FC-FB7D-4060-9BA2-32F6B886D395}"/>
    <cellStyle name="Comma 2 7 8 4" xfId="44417" xr:uid="{52DB0F46-707F-4A61-B5F4-A8B690F52FB7}"/>
    <cellStyle name="Comma 2 7 8 5" xfId="49310" xr:uid="{8DE834D0-EAA5-4DCF-908F-BC4614ACC491}"/>
    <cellStyle name="Comma 2 7 9" xfId="9675" xr:uid="{D091903F-91D1-4359-808D-7D41403C2C25}"/>
    <cellStyle name="Comma 2 7 9 2" xfId="44835" xr:uid="{69032930-00D9-45CB-870E-2A8FC083B5CA}"/>
    <cellStyle name="Comma 2 8" xfId="3357" xr:uid="{4A6AC78B-4FB9-48B2-99E6-96232A6E9246}"/>
    <cellStyle name="Comma 2 8 2" xfId="11609" xr:uid="{63F02F55-1B20-4ED5-9D1F-6ED673723165}"/>
    <cellStyle name="Comma 2 8 2 2" xfId="46769" xr:uid="{24C57B67-2C9A-478E-82C2-DEA14BF344E4}"/>
    <cellStyle name="Comma 2 8 2 3" xfId="46823" xr:uid="{734296D0-2AF8-4DD5-BCBE-06962AC8B7E3}"/>
    <cellStyle name="Comma 2 8 2 4" xfId="47081" xr:uid="{68853B9D-4C9A-4F25-A79D-56538111EEED}"/>
    <cellStyle name="Comma 2 8 3" xfId="14449" xr:uid="{6D7840A5-7B93-4941-ADD2-CA5CE93C5838}"/>
    <cellStyle name="Comma 2 8 4" xfId="44373" xr:uid="{F9A5EAAA-F119-494A-8095-F9A50C1D5222}"/>
    <cellStyle name="Comma 2 8 5" xfId="49266" xr:uid="{51593B24-959C-4236-8FBE-CF9634DF975A}"/>
    <cellStyle name="Comma 2 9" xfId="9650" xr:uid="{8959D2A6-1C79-410C-BA53-F8619263FDA2}"/>
    <cellStyle name="Comma 2 9 2" xfId="12490" xr:uid="{18886F70-6450-49E8-882B-C62F57904F5F}"/>
    <cellStyle name="Comma 2 9 3" xfId="15331" xr:uid="{C5429A2E-47C8-442A-A416-001CE819329A}"/>
    <cellStyle name="Comma 2 9 4" xfId="46824" xr:uid="{FE5FEAF1-F53C-4BA7-88C5-2FC256AAD1CA}"/>
    <cellStyle name="Comma 2 9 5" xfId="47063" xr:uid="{BB40AAC4-02F8-4597-8D1F-4F7FE0B54319}"/>
    <cellStyle name="Comma 2 9 6" xfId="50147" xr:uid="{6984B1C0-42DA-4CF7-9846-67A11D34EC24}"/>
    <cellStyle name="Comma 3" xfId="77" xr:uid="{00000000-0005-0000-0000-0000BE000000}"/>
    <cellStyle name="Comma 3 2" xfId="117" xr:uid="{00000000-0005-0000-0000-0000BF000000}"/>
    <cellStyle name="Comma 4" xfId="78" xr:uid="{00000000-0005-0000-0000-0000C0000000}"/>
    <cellStyle name="Comma 4 2" xfId="118" xr:uid="{00000000-0005-0000-0000-0000C1000000}"/>
    <cellStyle name="Comma 4 2 2" xfId="1912" xr:uid="{00000000-0005-0000-0000-0000C2000000}"/>
    <cellStyle name="Comma 4 2 2 10" xfId="17936" xr:uid="{AF54909D-D86B-43F5-85EB-8645BC830772}"/>
    <cellStyle name="Comma 4 2 2 11" xfId="42067" xr:uid="{A3B15852-59E7-4689-8A84-F814C85BD0E7}"/>
    <cellStyle name="Comma 4 2 2 12" xfId="42968" xr:uid="{1796A00C-6D8C-4B0A-A4C5-CD475559950B}"/>
    <cellStyle name="Comma 4 2 2 13" xfId="47861" xr:uid="{165B9850-DC46-4C69-960B-1CC646C6A66C}"/>
    <cellStyle name="Comma 4 2 2 14" xfId="50203" xr:uid="{C5B1324F-6029-4B8B-BF56-521DF0181E07}"/>
    <cellStyle name="Comma 4 2 2 15" xfId="50277" xr:uid="{3F47CBE5-AC29-4141-BD1B-EDF0E4683014}"/>
    <cellStyle name="Comma 4 2 2 2" xfId="2895" xr:uid="{10E8D2BF-6EBB-44F1-8B52-FF8FB17240D8}"/>
    <cellStyle name="Comma 4 2 2 2 2" xfId="11166" xr:uid="{C669365A-800C-460E-B763-BC4E791D86B2}"/>
    <cellStyle name="Comma 4 2 2 2 2 2" xfId="46326" xr:uid="{7A6D1487-83D7-4CD6-80E6-5099EE93B6FF}"/>
    <cellStyle name="Comma 4 2 2 2 2 3" xfId="47153" xr:uid="{F8C30BC3-588B-4AD9-9E83-7EB888759B21}"/>
    <cellStyle name="Comma 4 2 2 2 2 4" xfId="50387" xr:uid="{DD5B4199-D68D-40F2-AC27-844E72FC7111}"/>
    <cellStyle name="Comma 4 2 2 2 3" xfId="14006" xr:uid="{8A2A0C55-9C61-4F16-BF2B-FC0C275F87C9}"/>
    <cellStyle name="Comma 4 2 2 2 4" xfId="42068" xr:uid="{87C3077A-B250-4427-883A-AAA8765EA05C}"/>
    <cellStyle name="Comma 4 2 2 2 5" xfId="43930" xr:uid="{157D22BA-C71E-4A5D-AE36-3AB6DC103FDB}"/>
    <cellStyle name="Comma 4 2 2 2 6" xfId="48823" xr:uid="{09D1C1C4-C172-4E10-8098-ED82ACD73B6C}"/>
    <cellStyle name="Comma 4 2 2 2 7" xfId="50241" xr:uid="{2B8B6E81-5B6C-4F48-89CA-A46A826018E5}"/>
    <cellStyle name="Comma 4 2 2 2 8" xfId="50315" xr:uid="{03134936-7A7D-4C26-B614-1B2AA5E5D151}"/>
    <cellStyle name="Comma 4 2 2 3" xfId="3389" xr:uid="{A0B473DF-6B48-461E-8BF0-AAFCE9AA6F27}"/>
    <cellStyle name="Comma 4 2 2 3 2" xfId="11635" xr:uid="{3A244994-4A5A-4155-857F-00B239239AE7}"/>
    <cellStyle name="Comma 4 2 2 3 2 2" xfId="46795" xr:uid="{6DFEA1D4-2FBD-40A7-AEBE-E0C627E66483}"/>
    <cellStyle name="Comma 4 2 2 3 3" xfId="14475" xr:uid="{61378D6D-EACA-418F-AD5C-AD8668DF99D6}"/>
    <cellStyle name="Comma 4 2 2 3 4" xfId="44399" xr:uid="{081E9C29-D3C4-4726-A930-44BD0C895FD0}"/>
    <cellStyle name="Comma 4 2 2 3 5" xfId="49292" xr:uid="{27BE220D-32B7-4F52-A197-B8AA14B15C78}"/>
    <cellStyle name="Comma 4 2 2 3 6" xfId="50349" xr:uid="{0B425655-2198-4F28-A784-7B236D1226B3}"/>
    <cellStyle name="Comma 4 2 2 4" xfId="9635" xr:uid="{B4CCFE2D-9372-4311-983B-76BC64F6C375}"/>
    <cellStyle name="Comma 4 2 2 4 2" xfId="12475" xr:uid="{A3359188-05D6-4AF3-BF17-95B873D1EF81}"/>
    <cellStyle name="Comma 4 2 2 4 3" xfId="15316" xr:uid="{19BDC476-9A87-4B10-B11D-A1F91D4F3A7F}"/>
    <cellStyle name="Comma 4 2 2 4 4" xfId="45364" xr:uid="{78145D18-94C1-46CF-8729-386D6D94DF99}"/>
    <cellStyle name="Comma 4 2 2 4 5" xfId="50132" xr:uid="{C133ABD6-A15A-4086-9801-BB7539AE1CC5}"/>
    <cellStyle name="Comma 4 2 2 5" xfId="10204" xr:uid="{07662BAA-4EA7-4E35-AB26-977AF65864ED}"/>
    <cellStyle name="Comma 4 2 2 6" xfId="13044" xr:uid="{10FE7D80-9A86-4EC4-A93D-1DBADDF3607F}"/>
    <cellStyle name="Comma 4 2 2 7" xfId="16386" xr:uid="{31D7BA73-EE4D-4F71-8EBF-B6CFC62CAD70}"/>
    <cellStyle name="Comma 4 2 2 8" xfId="16930" xr:uid="{108D0AD2-38C8-4A2B-9F20-D818460973EC}"/>
    <cellStyle name="Comma 4 2 2 9" xfId="17474" xr:uid="{2F15DFAF-F3C0-4927-AC35-90F3399F22B8}"/>
    <cellStyle name="Comma 4 2 3" xfId="1872" xr:uid="{00000000-0005-0000-0000-0000C3000000}"/>
    <cellStyle name="Comma 4 2 3 2" xfId="46825" xr:uid="{3A379570-1F1E-4C80-BDB4-41DFB80FB7B9}"/>
    <cellStyle name="Comma 4 2 3 2 2" xfId="47046" xr:uid="{190DE7EA-95AC-4832-9D8A-3D64B1CA7D97}"/>
    <cellStyle name="Comma 4 2 3 3" xfId="46826" xr:uid="{502D3EDC-6FB6-44FF-9433-25BC46D71427}"/>
    <cellStyle name="Comma 4 2 3 4" xfId="47008" xr:uid="{B727A08B-5476-4B0D-B313-A1B765B74799}"/>
    <cellStyle name="Comma 4 2 4" xfId="46827" xr:uid="{6008C2C0-DB98-4D17-A8B2-A41499A01C96}"/>
    <cellStyle name="Comma 4 3" xfId="3378" xr:uid="{B498F0B2-B5DD-4985-933C-6F12A4C5DD76}"/>
    <cellStyle name="Comma 4 3 2" xfId="11626" xr:uid="{42CCB94B-BA3A-4771-8814-B6EBDD8BE84C}"/>
    <cellStyle name="Comma 4 3 2 2" xfId="46786" xr:uid="{5C9B7916-3B19-42E9-BA4E-7ECDF5738B87}"/>
    <cellStyle name="Comma 4 3 2 3" xfId="47145" xr:uid="{FCC6389F-A832-4F72-8F12-1456EB67E2BE}"/>
    <cellStyle name="Comma 4 3 2 4" xfId="50378" xr:uid="{03EDA579-CD38-4B0A-AE83-8132159E9718}"/>
    <cellStyle name="Comma 4 3 3" xfId="14466" xr:uid="{9A3AB8DE-FCD9-4848-9C84-EEC5039795E0}"/>
    <cellStyle name="Comma 4 3 4" xfId="42069" xr:uid="{B216C1A2-F057-42FC-A31D-B61E83BA9ECE}"/>
    <cellStyle name="Comma 4 3 5" xfId="44390" xr:uid="{EEEF7650-1578-448B-AB69-E7FF0591A983}"/>
    <cellStyle name="Comma 4 3 6" xfId="49283" xr:uid="{140F2D98-EC59-4C50-9489-2A44DD66FC45}"/>
    <cellStyle name="Comma 4 3 7" xfId="50232" xr:uid="{8AAB9887-CE7D-4B49-828A-24E8EA13134B}"/>
    <cellStyle name="Comma 4 3 8" xfId="50306" xr:uid="{934C9301-8E60-42CD-AFF1-1A7D8DC55E94}"/>
    <cellStyle name="Comma 4 4" xfId="9662" xr:uid="{920DF1CF-2EEC-4129-B7D5-2833A2700B1A}"/>
    <cellStyle name="Comma 4 4 2" xfId="12502" xr:uid="{B16A0276-0FC5-495D-B4E6-F7242F7B5B58}"/>
    <cellStyle name="Comma 4 4 3" xfId="15343" xr:uid="{3D6B0A3D-AF99-4A2D-90FB-43BEEF2550DB}"/>
    <cellStyle name="Comma 4 4 4" xfId="50159" xr:uid="{071716CA-23DD-4BA7-B3A1-5B1278805521}"/>
    <cellStyle name="Comma 4 4 5" xfId="50340" xr:uid="{C06E765A-5BF6-4E5A-AB68-FE92C17BCCA3}"/>
    <cellStyle name="Comma 4 5" xfId="42070" xr:uid="{37530568-C625-474E-BDFC-5CE491369676}"/>
    <cellStyle name="Comma 4 5 2" xfId="46828" xr:uid="{7CC981B6-CD24-48B7-BF2C-BB3E17A3FF28}"/>
    <cellStyle name="Comma 4 6" xfId="47093" xr:uid="{9AA54F43-E193-4793-8D86-008DF03C1DE4}"/>
    <cellStyle name="Comma 4 6 2" xfId="47242" xr:uid="{FD2E6D9D-93C9-4183-93C2-CEE5E2C6B154}"/>
    <cellStyle name="Comma 4 7" xfId="47102" xr:uid="{DE5BD28C-93D0-4CAA-97BB-14BEF6856C98}"/>
    <cellStyle name="Comma 4 8" xfId="50194" xr:uid="{817800FF-AB86-4A8F-BF35-DBF1CBABF518}"/>
    <cellStyle name="Comma 4 9" xfId="50268" xr:uid="{0C5210DA-3C80-4168-B092-C5FBC13F4757}"/>
    <cellStyle name="Comma 5" xfId="65" xr:uid="{00000000-0005-0000-0000-0000C4000000}"/>
    <cellStyle name="Comma 5 2" xfId="115" xr:uid="{00000000-0005-0000-0000-0000C5000000}"/>
    <cellStyle name="Comma 6" xfId="74" xr:uid="{00000000-0005-0000-0000-0000C6000000}"/>
    <cellStyle name="Comma 6 2" xfId="116" xr:uid="{00000000-0005-0000-0000-0000C7000000}"/>
    <cellStyle name="Comma 7" xfId="79" xr:uid="{00000000-0005-0000-0000-0000C8000000}"/>
    <cellStyle name="Comma 7 2" xfId="119" xr:uid="{00000000-0005-0000-0000-0000C9000000}"/>
    <cellStyle name="Comma 8" xfId="80" xr:uid="{00000000-0005-0000-0000-0000CA000000}"/>
    <cellStyle name="Comma 8 2" xfId="120" xr:uid="{00000000-0005-0000-0000-0000CB000000}"/>
    <cellStyle name="Comma_Worksheet in (C) 2212.1 Armado de Estados MS 31.12 2" xfId="42071" xr:uid="{8D1CFAD6-FF72-49BB-BBE0-4FA901A98CF1}"/>
    <cellStyle name="Currency_HOJA DE TRABAJO" xfId="17927" xr:uid="{FDC3B209-9A1D-42A3-8468-9C631E22BBAC}"/>
    <cellStyle name="Encabezado 1" xfId="2" builtinId="16" customBuiltin="1"/>
    <cellStyle name="Encabezado 4" xfId="5" builtinId="19" customBuiltin="1"/>
    <cellStyle name="Énfasis1" xfId="18" builtinId="29" customBuiltin="1"/>
    <cellStyle name="Énfasis2" xfId="22" builtinId="33" customBuiltin="1"/>
    <cellStyle name="Énfasis2 2" xfId="46829" xr:uid="{AE895077-AD42-40A7-BD4A-9DBDFE999735}"/>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uro" xfId="42128" xr:uid="{6A3ED6D0-8238-458D-A722-A43452DCE1D1}"/>
    <cellStyle name="Excel Built-in Normal" xfId="1891" xr:uid="{00000000-0005-0000-0000-0000D6000000}"/>
    <cellStyle name="Excel Built-in Normal 2" xfId="3340" xr:uid="{DC9C7288-95B8-4E64-BEAE-5C643D0062A8}"/>
    <cellStyle name="Excel Built-in Normal 3" xfId="3397" xr:uid="{EE5071EA-2138-4837-9FDD-ADF6C9198470}"/>
    <cellStyle name="Excel Built-in Normal 4" xfId="46830" xr:uid="{9B957E45-AA5C-4913-9D0D-44B9D1667BD8}"/>
    <cellStyle name="Excel_BuiltIn_Percent" xfId="42129" xr:uid="{2CDD25CF-BDDE-4B4E-86D9-E94D743F5FCF}"/>
    <cellStyle name="Heading" xfId="42130" xr:uid="{4CD19066-B87B-4D4C-B556-5390C1E6096A}"/>
    <cellStyle name="Heading1" xfId="42131" xr:uid="{5108627E-5691-43FE-8FCA-8FB62435E6AC}"/>
    <cellStyle name="Hipervínculo" xfId="52" builtinId="8"/>
    <cellStyle name="Hipervínculo 2" xfId="656" xr:uid="{00000000-0005-0000-0000-0000D8000000}"/>
    <cellStyle name="Hipervínculo 2 2" xfId="1890" xr:uid="{00000000-0005-0000-0000-0000D9000000}"/>
    <cellStyle name="Hipervínculo 2 2 2" xfId="42132" xr:uid="{9913A762-1DC2-4564-9FDC-534282057DE4}"/>
    <cellStyle name="Hipervínculo 2 3" xfId="3834" xr:uid="{C103AC48-95FA-493C-959A-677789BDE761}"/>
    <cellStyle name="Hipervínculo 2 4" xfId="42133" xr:uid="{1853BD5A-7913-4708-B113-4EA5B934B30C}"/>
    <cellStyle name="Hipervínculo 3" xfId="9575" xr:uid="{9B91E0B9-C493-4CAB-A12C-63211CE2EAD0}"/>
    <cellStyle name="Hipervínculo 3 2" xfId="42134" xr:uid="{AC62B800-53BE-441F-98A6-6DF7CEE4CCEA}"/>
    <cellStyle name="Incorrecto" xfId="7" builtinId="27" customBuiltin="1"/>
    <cellStyle name="Intermitente" xfId="46831" xr:uid="{CB33B920-8E13-4B64-9B40-B359C9223791}"/>
    <cellStyle name="Millares" xfId="1" builtinId="3"/>
    <cellStyle name="Millares [0]" xfId="51" builtinId="6"/>
    <cellStyle name="Millares [0] 10" xfId="82" xr:uid="{00000000-0005-0000-0000-0000DD000000}"/>
    <cellStyle name="Millares [0] 10 10" xfId="9678" xr:uid="{9D6C2795-08E6-43AC-903B-29126E8B1EF0}"/>
    <cellStyle name="Millares [0] 10 10 2" xfId="30041" xr:uid="{100993E7-985D-496C-BF5F-564CA4781708}"/>
    <cellStyle name="Millares [0] 10 11" xfId="12518" xr:uid="{7F7D06E7-41BC-4D3A-925A-68FBDFC6F44D}"/>
    <cellStyle name="Millares [0] 10 11 2" xfId="35922" xr:uid="{6D2687F5-C0E6-4BFD-A9DB-45F74676A3B4}"/>
    <cellStyle name="Millares [0] 10 12" xfId="15372" xr:uid="{8D858387-8E0D-4F08-BBA8-B1EDE3336D1B}"/>
    <cellStyle name="Millares [0] 10 13" xfId="15857" xr:uid="{2AD65CFB-0DA6-4389-B561-D39EDE925CBE}"/>
    <cellStyle name="Millares [0] 10 14" xfId="16404" xr:uid="{0AC05E44-6663-40AA-9BC5-7D5A0F46F2BF}"/>
    <cellStyle name="Millares [0] 10 15" xfId="16948" xr:uid="{BBDD6538-BF03-4B5C-9A6E-6C400BA4659F}"/>
    <cellStyle name="Millares [0] 10 16" xfId="17519" xr:uid="{C6BB3446-1920-4810-A2DC-6974AEE438A1}"/>
    <cellStyle name="Millares [0] 10 17" xfId="42442" xr:uid="{5C39B04C-450F-47B5-890E-7E048F253BB5}"/>
    <cellStyle name="Millares [0] 10 18" xfId="47335" xr:uid="{BB0E7E12-7A13-4AFB-A95A-E61E652F932B}"/>
    <cellStyle name="Millares [0] 10 2" xfId="224" xr:uid="{00000000-0005-0000-0000-0000DE000000}"/>
    <cellStyle name="Millares [0] 10 2 10" xfId="15392" xr:uid="{DE3CC854-B19C-4326-B0BC-6ABC5588912C}"/>
    <cellStyle name="Millares [0] 10 2 11" xfId="15965" xr:uid="{16E99E20-5198-490B-A99B-4F85A1768CD4}"/>
    <cellStyle name="Millares [0] 10 2 12" xfId="16508" xr:uid="{6CE532C4-621C-4986-ABC8-DA2091D6D6D7}"/>
    <cellStyle name="Millares [0] 10 2 13" xfId="17052" xr:uid="{F0734172-FCA7-48B1-8CE7-5D7A33187AF2}"/>
    <cellStyle name="Millares [0] 10 2 14" xfId="17553" xr:uid="{B1FD5F80-667F-42E9-A6FB-2DF474AC0932}"/>
    <cellStyle name="Millares [0] 10 2 15" xfId="42546" xr:uid="{C828A9A2-1631-4D75-A7FA-24E819F191A9}"/>
    <cellStyle name="Millares [0] 10 2 16" xfId="47439" xr:uid="{E92AD97B-AD76-4CD9-81D7-6AA936F8F9F2}"/>
    <cellStyle name="Millares [0] 10 2 2" xfId="451" xr:uid="{00000000-0005-0000-0000-0000DF000000}"/>
    <cellStyle name="Millares [0] 10 2 2 10" xfId="16177" xr:uid="{70AD1F6D-D668-468E-A5BB-CD7B47283E8E}"/>
    <cellStyle name="Millares [0] 10 2 2 11" xfId="16720" xr:uid="{702E40EC-363E-4D52-B042-96981381A66C}"/>
    <cellStyle name="Millares [0] 10 2 2 12" xfId="17264" xr:uid="{81517302-0200-4199-957E-63B367C74BAA}"/>
    <cellStyle name="Millares [0] 10 2 2 13" xfId="17616" xr:uid="{B33D22E9-D611-4263-9F0E-6F854188EA1C}"/>
    <cellStyle name="Millares [0] 10 2 2 14" xfId="42758" xr:uid="{BE7A243D-5C1B-4826-BA85-EF35276991A2}"/>
    <cellStyle name="Millares [0] 10 2 2 15" xfId="47651" xr:uid="{5095FA05-6A34-452F-817C-0583E1050B99}"/>
    <cellStyle name="Millares [0] 10 2 2 2" xfId="2267" xr:uid="{81CC69A0-D0C8-412C-BEB0-04D60EA70C83}"/>
    <cellStyle name="Millares [0] 10 2 2 2 2" xfId="8437" xr:uid="{956D7855-721C-49EB-9858-FF544BECA512}"/>
    <cellStyle name="Millares [0] 10 2 2 2 2 2" xfId="12402" xr:uid="{2D69B41F-F81C-4C2E-8543-3DBD800FA534}"/>
    <cellStyle name="Millares [0] 10 2 2 2 2 2 2" xfId="41979" xr:uid="{601AF17A-A497-4700-BADB-9DE7917AC43D}"/>
    <cellStyle name="Millares [0] 10 2 2 2 2 2 3" xfId="22812" xr:uid="{30A84D7B-601D-46B9-A6D1-853DBFE3CC7A}"/>
    <cellStyle name="Millares [0] 10 2 2 2 2 3" xfId="15243" xr:uid="{3CA4D41A-5B8E-47DC-9B33-2ACF4DCD6CDE}"/>
    <cellStyle name="Millares [0] 10 2 2 2 2 3 2" xfId="28670" xr:uid="{77CCD96F-D3B9-4EAA-BC02-44CDD0916AB2}"/>
    <cellStyle name="Millares [0] 10 2 2 2 2 4" xfId="15691" xr:uid="{476F6243-8BDF-4357-94D3-055B62CC0D0F}"/>
    <cellStyle name="Millares [0] 10 2 2 2 2 4 2" xfId="34552" xr:uid="{B9339833-BB73-4EA6-B079-52A8292FA19C}"/>
    <cellStyle name="Millares [0] 10 2 2 2 2 5" xfId="40416" xr:uid="{10D8394A-56DA-4E38-83CE-DF9902E896C9}"/>
    <cellStyle name="Millares [0] 10 2 2 2 2 6" xfId="18134" xr:uid="{44651628-92D9-402D-8069-BBDF7FBA7A30}"/>
    <cellStyle name="Millares [0] 10 2 2 2 2 7" xfId="45698" xr:uid="{874CD824-4C99-4286-A6A8-987F72B06C4D}"/>
    <cellStyle name="Millares [0] 10 2 2 2 2 8" xfId="50059" xr:uid="{7F81DB81-E647-468F-8D0B-60E4F957BD75}"/>
    <cellStyle name="Millares [0] 10 2 2 2 3" xfId="5570" xr:uid="{78AD295D-525F-4B8B-95AF-2D65E7C18CAE}"/>
    <cellStyle name="Millares [0] 10 2 2 2 3 2" xfId="12215" xr:uid="{1A98992A-84BE-45AC-A2F3-D76C7AF04E35}"/>
    <cellStyle name="Millares [0] 10 2 2 2 3 2 2" xfId="41792" xr:uid="{05DFE9F2-B45A-427A-938B-13B7B64F5DFE}"/>
    <cellStyle name="Millares [0] 10 2 2 2 3 3" xfId="15056" xr:uid="{37A0B9C0-36E1-4D80-8562-7B1F5324E6F3}"/>
    <cellStyle name="Millares [0] 10 2 2 2 3 4" xfId="20030" xr:uid="{8D744197-9C04-4E3F-B978-19D150F46953}"/>
    <cellStyle name="Millares [0] 10 2 2 2 3 5" xfId="49872" xr:uid="{063891C1-C01A-43CA-B682-2C6455592AD0}"/>
    <cellStyle name="Millares [0] 10 2 2 2 4" xfId="10538" xr:uid="{2A3A9ACE-2A9D-4C6D-908F-3CD247919851}"/>
    <cellStyle name="Millares [0] 10 2 2 2 4 2" xfId="25821" xr:uid="{7562B5EF-8C9D-404A-BB1D-903D5AEC5E09}"/>
    <cellStyle name="Millares [0] 10 2 2 2 5" xfId="13378" xr:uid="{8C55EB73-2DD8-454F-A21C-020B5DFC7F05}"/>
    <cellStyle name="Millares [0] 10 2 2 2 5 2" xfId="31695" xr:uid="{9D516F63-1C13-4928-B3D5-7944412D3564}"/>
    <cellStyle name="Millares [0] 10 2 2 2 6" xfId="15503" xr:uid="{C4A829B9-57F7-4F80-9079-9D0E2E38ACF6}"/>
    <cellStyle name="Millares [0] 10 2 2 2 6 2" xfId="37565" xr:uid="{0F2FECF1-4359-40DB-8953-542A0F530631}"/>
    <cellStyle name="Millares [0] 10 2 2 2 7" xfId="17749" xr:uid="{DAF8CBAF-572F-4DD0-BB7B-B0098065A697}"/>
    <cellStyle name="Millares [0] 10 2 2 2 8" xfId="43302" xr:uid="{9CC4982C-4199-477A-965A-7E87FB1FED9E}"/>
    <cellStyle name="Millares [0] 10 2 2 2 9" xfId="48195" xr:uid="{573B0E16-E336-4265-8764-964A3CACB1BA}"/>
    <cellStyle name="Millares [0] 10 2 2 3" xfId="2685" xr:uid="{3FC7D29D-F520-4F40-BF7D-FB77CBCB4880}"/>
    <cellStyle name="Millares [0] 10 2 2 3 2" xfId="7465" xr:uid="{FB07C307-A3CC-4DCB-80F3-8CD46B517F54}"/>
    <cellStyle name="Millares [0] 10 2 2 3 2 2" xfId="12330" xr:uid="{24804E53-CF8A-46A3-AD7A-E478642E2CB0}"/>
    <cellStyle name="Millares [0] 10 2 2 3 2 2 2" xfId="41907" xr:uid="{0766DDE3-5AED-4973-8DF7-FAF5EEEA49CC}"/>
    <cellStyle name="Millares [0] 10 2 2 3 2 3" xfId="15171" xr:uid="{F603F10D-A255-4565-83E5-2727ED71B9B1}"/>
    <cellStyle name="Millares [0] 10 2 2 3 2 4" xfId="21867" xr:uid="{F32DDB6A-D9C9-47F4-8076-4504AEC98D73}"/>
    <cellStyle name="Millares [0] 10 2 2 3 2 5" xfId="46116" xr:uid="{EA467564-B8D0-47C1-BF59-BCCB97CA8BC4}"/>
    <cellStyle name="Millares [0] 10 2 2 3 2 6" xfId="49987" xr:uid="{9FB0073D-9449-43A8-9055-FA65DEFC7A63}"/>
    <cellStyle name="Millares [0] 10 2 2 3 3" xfId="10956" xr:uid="{498C306E-4E91-4E43-9DAE-1B1C1BB65B23}"/>
    <cellStyle name="Millares [0] 10 2 2 3 3 2" xfId="27699" xr:uid="{77FD4E71-9BBC-47E7-88DF-88D093DD9F8D}"/>
    <cellStyle name="Millares [0] 10 2 2 3 4" xfId="13796" xr:uid="{6F38BBDB-1A9E-4A90-BDEF-9D5F71C68DD5}"/>
    <cellStyle name="Millares [0] 10 2 2 3 4 2" xfId="33581" xr:uid="{65EF4246-8978-4B85-9EBF-7569C0A9C3C7}"/>
    <cellStyle name="Millares [0] 10 2 2 3 5" xfId="15618" xr:uid="{1044A64A-95F4-48AD-82D9-261FE1983267}"/>
    <cellStyle name="Millares [0] 10 2 2 3 5 2" xfId="39445" xr:uid="{F7FB21C2-01A8-44CB-82DB-C6CA701D04F6}"/>
    <cellStyle name="Millares [0] 10 2 2 3 6" xfId="17994" xr:uid="{8217526A-3393-4E47-89DE-1EC7313066E7}"/>
    <cellStyle name="Millares [0] 10 2 2 3 7" xfId="43720" xr:uid="{8C968B2A-3A2A-4889-95F6-E6C8F416554C}"/>
    <cellStyle name="Millares [0] 10 2 2 3 8" xfId="48613" xr:uid="{163CA747-8916-4099-9775-D4EA7CFCA071}"/>
    <cellStyle name="Millares [0] 10 2 2 4" xfId="3229" xr:uid="{72453A06-D660-444E-B7CF-462C82A59BB7}"/>
    <cellStyle name="Millares [0] 10 2 2 4 2" xfId="11500" xr:uid="{E7799C09-6E7B-4F49-AF79-24B644EAD375}"/>
    <cellStyle name="Millares [0] 10 2 2 4 2 2" xfId="41720" xr:uid="{406F94CA-A3D0-4A8D-9CD6-90002D786B60}"/>
    <cellStyle name="Millares [0] 10 2 2 4 2 3" xfId="46660" xr:uid="{845A91A8-8952-4861-9932-A8E28BC0CE8E}"/>
    <cellStyle name="Millares [0] 10 2 2 4 3" xfId="14340" xr:uid="{0C2FBB17-4912-4723-B09E-8B2E155D82DC}"/>
    <cellStyle name="Millares [0] 10 2 2 4 4" xfId="19097" xr:uid="{23619DC0-749A-48F6-A86A-9BD631BE6911}"/>
    <cellStyle name="Millares [0] 10 2 2 4 5" xfId="44264" xr:uid="{E0FA0EC2-60F5-4405-896F-BCE4B8BB8211}"/>
    <cellStyle name="Millares [0] 10 2 2 4 6" xfId="49157" xr:uid="{EA68E5ED-7F7A-482B-B53A-EA8D79EE936B}"/>
    <cellStyle name="Millares [0] 10 2 2 5" xfId="3731" xr:uid="{736704D9-0634-4328-8267-53BBF81E4FBB}"/>
    <cellStyle name="Millares [0] 10 2 2 5 2" xfId="11972" xr:uid="{7BB687BF-81B5-491D-83B9-24BE35AAC009}"/>
    <cellStyle name="Millares [0] 10 2 2 5 3" xfId="14812" xr:uid="{B8DA8663-ABBF-4C14-AA77-114A32D46ED6}"/>
    <cellStyle name="Millares [0] 10 2 2 5 4" xfId="24850" xr:uid="{2C610252-1F63-4B1B-92DC-C6A26D831C59}"/>
    <cellStyle name="Millares [0] 10 2 2 5 5" xfId="44736" xr:uid="{DCD8FC86-AF6F-447A-B846-94947679C1CD}"/>
    <cellStyle name="Millares [0] 10 2 2 5 6" xfId="49629" xr:uid="{937EC54A-BCA9-4E1A-B306-260F1E1AB33F}"/>
    <cellStyle name="Millares [0] 10 2 2 6" xfId="4602" xr:uid="{2D80927D-1ABD-466A-909C-044639C508C7}"/>
    <cellStyle name="Millares [0] 10 2 2 6 2" xfId="12143" xr:uid="{E6A9545E-380E-4A0B-9E8A-4C331FACCBC4}"/>
    <cellStyle name="Millares [0] 10 2 2 6 3" xfId="14984" xr:uid="{E5FC20A3-9759-407C-8EAD-6020CD1919EF}"/>
    <cellStyle name="Millares [0] 10 2 2 6 4" xfId="30727" xr:uid="{0940A5E4-BE37-47F1-A73E-4C7F358AF5B0}"/>
    <cellStyle name="Millares [0] 10 2 2 6 5" xfId="45154" xr:uid="{2D946AAF-50DB-41E4-BE69-6C6AD6B342A9}"/>
    <cellStyle name="Millares [0] 10 2 2 6 6" xfId="49800" xr:uid="{CCB38A76-F1ED-4076-A200-5A785B936400}"/>
    <cellStyle name="Millares [0] 10 2 2 7" xfId="9994" xr:uid="{67FC68E7-393D-4769-B410-66B14CD3B455}"/>
    <cellStyle name="Millares [0] 10 2 2 7 2" xfId="36608" xr:uid="{070EA0F7-8284-4B65-9158-AFC51E770B80}"/>
    <cellStyle name="Millares [0] 10 2 2 8" xfId="12834" xr:uid="{C17B578D-6E1A-455F-9CA6-19AF68EC5F29}"/>
    <cellStyle name="Millares [0] 10 2 2 9" xfId="15429" xr:uid="{01B4D39B-8332-4BC5-8CE4-308A5C83E636}"/>
    <cellStyle name="Millares [0] 10 2 3" xfId="2055" xr:uid="{57300E7F-B3FF-4286-8123-1391A978429A}"/>
    <cellStyle name="Millares [0] 10 2 3 2" xfId="7952" xr:uid="{C3FDCD26-C35F-49C4-9089-A2CDE9A5C1A8}"/>
    <cellStyle name="Millares [0] 10 2 3 2 2" xfId="12366" xr:uid="{54F7DDA5-9F3B-47AF-82EA-E5330C33C809}"/>
    <cellStyle name="Millares [0] 10 2 3 2 2 2" xfId="41943" xr:uid="{FCE39693-F045-4F61-8909-E1FC84D20AF9}"/>
    <cellStyle name="Millares [0] 10 2 3 2 2 3" xfId="22337" xr:uid="{13529ACC-E1F7-4EDE-98F6-0BA0ADEAB021}"/>
    <cellStyle name="Millares [0] 10 2 3 2 3" xfId="15207" xr:uid="{E415C3B4-FE73-41B5-A348-2BEE6D2488FF}"/>
    <cellStyle name="Millares [0] 10 2 3 2 3 2" xfId="28185" xr:uid="{F7FB6DDD-BF53-4B12-BDF0-7C87D5C5579D}"/>
    <cellStyle name="Millares [0] 10 2 3 2 4" xfId="15654" xr:uid="{EC623101-6FC7-4BCB-809B-34B49B8D3A8D}"/>
    <cellStyle name="Millares [0] 10 2 3 2 4 2" xfId="34067" xr:uid="{FA0F1749-DDC6-43C0-994F-E6D4C2627D90}"/>
    <cellStyle name="Millares [0] 10 2 3 2 5" xfId="39931" xr:uid="{07F05B5C-979D-4B24-83AD-7DA984F59D10}"/>
    <cellStyle name="Millares [0] 10 2 3 2 6" xfId="18064" xr:uid="{79E0D7DE-5140-4FAA-A00D-D5E3D6CD2D76}"/>
    <cellStyle name="Millares [0] 10 2 3 2 7" xfId="45486" xr:uid="{16BC8C06-872E-41D4-96C6-823C766775FD}"/>
    <cellStyle name="Millares [0] 10 2 3 2 8" xfId="50023" xr:uid="{6562FD81-CD17-46BF-B640-D0E15A79B85E}"/>
    <cellStyle name="Millares [0] 10 2 3 3" xfId="5085" xr:uid="{5EA5E700-7E92-4D45-B980-FA49A4CD1B87}"/>
    <cellStyle name="Millares [0] 10 2 3 3 2" xfId="12179" xr:uid="{16543531-6D16-4BCB-B7B6-9B29E74C02A4}"/>
    <cellStyle name="Millares [0] 10 2 3 3 2 2" xfId="41756" xr:uid="{17A532CD-9127-42FA-AA88-67CE4D5DB5BF}"/>
    <cellStyle name="Millares [0] 10 2 3 3 3" xfId="15020" xr:uid="{CE8A735D-0A5B-4E2D-9B34-5B1183C756AF}"/>
    <cellStyle name="Millares [0] 10 2 3 3 4" xfId="19562" xr:uid="{24E1FC88-C002-4127-BFB0-931B9A3DEE8A}"/>
    <cellStyle name="Millares [0] 10 2 3 3 5" xfId="49836" xr:uid="{AFE8BBFF-CB38-4418-815B-F4497F1CED21}"/>
    <cellStyle name="Millares [0] 10 2 3 4" xfId="10326" xr:uid="{A23BF028-145C-44FA-AE08-F3A43FA0854C}"/>
    <cellStyle name="Millares [0] 10 2 3 4 2" xfId="25336" xr:uid="{78BE1C07-7D01-4085-A03F-F34AC24064EA}"/>
    <cellStyle name="Millares [0] 10 2 3 5" xfId="13166" xr:uid="{663481F8-A202-49FF-8C2C-EF82CF125458}"/>
    <cellStyle name="Millares [0] 10 2 3 5 2" xfId="31210" xr:uid="{3162FC8A-1680-4B7F-980C-7CFEDAC40EB4}"/>
    <cellStyle name="Millares [0] 10 2 3 6" xfId="15466" xr:uid="{0F71A4A5-289F-4F06-BCF0-7D0D8F10F2F2}"/>
    <cellStyle name="Millares [0] 10 2 3 6 2" xfId="37088" xr:uid="{A7D8B34A-09D2-46D3-8B5A-EEF6DCD0241F}"/>
    <cellStyle name="Millares [0] 10 2 3 7" xfId="17680" xr:uid="{C957CFC7-524C-4ECF-B99E-B49FAE36462A}"/>
    <cellStyle name="Millares [0] 10 2 3 8" xfId="43090" xr:uid="{3429C1AC-46A7-4487-8F81-F42F6D55E011}"/>
    <cellStyle name="Millares [0] 10 2 3 9" xfId="47983" xr:uid="{4C78AA4C-84B2-4C56-8E1C-B2C022E80DE5}"/>
    <cellStyle name="Millares [0] 10 2 4" xfId="2473" xr:uid="{CCA0EE80-6170-421B-88DF-4E56843DC710}"/>
    <cellStyle name="Millares [0] 10 2 4 2" xfId="6980" xr:uid="{A59BD51D-117C-44E4-AFC0-8E7467A63E45}"/>
    <cellStyle name="Millares [0] 10 2 4 2 2" xfId="12294" xr:uid="{6BC3A3A1-E8C7-4A25-AC86-C8C69CA7FE93}"/>
    <cellStyle name="Millares [0] 10 2 4 2 2 2" xfId="41871" xr:uid="{97A78B35-5EAA-4E9C-A843-D88A9A10FEBD}"/>
    <cellStyle name="Millares [0] 10 2 4 2 3" xfId="15135" xr:uid="{A21857DD-0824-4303-A670-D3CB8D7F20D6}"/>
    <cellStyle name="Millares [0] 10 2 4 2 4" xfId="21399" xr:uid="{19908A39-21F9-47AB-B99B-0752F97951FC}"/>
    <cellStyle name="Millares [0] 10 2 4 2 5" xfId="45904" xr:uid="{6714E37B-03D9-4EF6-9547-6335BCBE6921}"/>
    <cellStyle name="Millares [0] 10 2 4 2 6" xfId="49951" xr:uid="{1CD09D1B-57D5-4D3D-9F3C-4B26FD522C0A}"/>
    <cellStyle name="Millares [0] 10 2 4 3" xfId="10744" xr:uid="{C9B38746-D405-4719-8585-A48EDA944D1F}"/>
    <cellStyle name="Millares [0] 10 2 4 3 2" xfId="27218" xr:uid="{E9A7D8B4-6520-4B39-90DB-3949F99F8AA1}"/>
    <cellStyle name="Millares [0] 10 2 4 4" xfId="13584" xr:uid="{3666CCC1-A1F3-4C78-BD81-D8AB0A474D49}"/>
    <cellStyle name="Millares [0] 10 2 4 4 2" xfId="33096" xr:uid="{828827BB-B282-4022-B595-D83053C637E1}"/>
    <cellStyle name="Millares [0] 10 2 4 5" xfId="15582" xr:uid="{3537678F-CD92-4FAB-90C8-1746126E951B}"/>
    <cellStyle name="Millares [0] 10 2 4 5 2" xfId="38960" xr:uid="{436ED9AD-7B28-4A10-B3A7-B791EA1BCA10}"/>
    <cellStyle name="Millares [0] 10 2 4 6" xfId="17928" xr:uid="{9FAA4D2E-C503-44E0-9476-26C96DCB41A1}"/>
    <cellStyle name="Millares [0] 10 2 4 7" xfId="43508" xr:uid="{F0A9CE27-6C8D-4AFC-AC0D-A8494B49541F}"/>
    <cellStyle name="Millares [0] 10 2 4 8" xfId="48401" xr:uid="{C79D51B5-DBBC-4A0C-80C3-E6C0FFF3B379}"/>
    <cellStyle name="Millares [0] 10 2 5" xfId="3017" xr:uid="{E5D520DD-C0D2-40D2-820D-B65C8BFBB15D}"/>
    <cellStyle name="Millares [0] 10 2 5 2" xfId="11288" xr:uid="{34354D4C-698B-4DE3-BB89-5055F30ECF1D}"/>
    <cellStyle name="Millares [0] 10 2 5 2 2" xfId="41683" xr:uid="{EA112849-BC02-4418-AE63-E4AC7D418F22}"/>
    <cellStyle name="Millares [0] 10 2 5 2 3" xfId="46448" xr:uid="{EFB83487-EF63-437E-98A0-5E23D8CDAF7A}"/>
    <cellStyle name="Millares [0] 10 2 5 3" xfId="14128" xr:uid="{1E1B7D11-410D-4975-AD58-730A017069A6}"/>
    <cellStyle name="Millares [0] 10 2 5 4" xfId="18653" xr:uid="{62FC06E6-F2AA-4AA5-B029-DE161A76CFF6}"/>
    <cellStyle name="Millares [0] 10 2 5 5" xfId="44052" xr:uid="{53F39578-BC12-493A-8882-243CACB1F8E7}"/>
    <cellStyle name="Millares [0] 10 2 5 6" xfId="48945" xr:uid="{80D8D761-75E0-4475-9AFD-6A333D83B855}"/>
    <cellStyle name="Millares [0] 10 2 6" xfId="3519" xr:uid="{E88314DC-F4C7-4200-86C1-9E908F2FEAF5}"/>
    <cellStyle name="Millares [0] 10 2 6 2" xfId="11760" xr:uid="{596A8719-2245-4EF4-8B57-E1C0A23CDC96}"/>
    <cellStyle name="Millares [0] 10 2 6 3" xfId="14600" xr:uid="{DB1BE0A7-08EB-4E69-8023-DE48E0407413}"/>
    <cellStyle name="Millares [0] 10 2 6 4" xfId="24367" xr:uid="{AC6B85F4-D4CA-486F-876C-80B438F659F3}"/>
    <cellStyle name="Millares [0] 10 2 6 5" xfId="44524" xr:uid="{8CBA9F25-5141-4249-96C3-2DBCBD88A477}"/>
    <cellStyle name="Millares [0] 10 2 6 6" xfId="49417" xr:uid="{9D5405F3-6BB2-4CFD-BD39-0E8333227583}"/>
    <cellStyle name="Millares [0] 10 2 7" xfId="4124" xr:uid="{DC3330F7-67B9-47DD-9172-04743EE4AB11}"/>
    <cellStyle name="Millares [0] 10 2 7 2" xfId="12106" xr:uid="{08233AEC-E967-43B3-982E-6CE0B05CBCF8}"/>
    <cellStyle name="Millares [0] 10 2 7 3" xfId="14947" xr:uid="{3D57A5DF-F4A1-4B49-8D2C-24C842252CBF}"/>
    <cellStyle name="Millares [0] 10 2 7 4" xfId="30245" xr:uid="{A0444CE3-6EC4-43E5-B728-53F7134B13EE}"/>
    <cellStyle name="Millares [0] 10 2 7 5" xfId="44942" xr:uid="{43A3AAAA-5DD1-4EC6-AB58-B39EBA32117D}"/>
    <cellStyle name="Millares [0] 10 2 7 6" xfId="49763" xr:uid="{30A9FD19-7DA9-49EC-8EDC-01B15A51B5BA}"/>
    <cellStyle name="Millares [0] 10 2 8" xfId="9782" xr:uid="{A0D3E607-763D-48B7-817B-AE56C6703433}"/>
    <cellStyle name="Millares [0] 10 2 8 2" xfId="36124" xr:uid="{92B45536-5CC4-4CE7-A734-A282A5C90446}"/>
    <cellStyle name="Millares [0] 10 2 9" xfId="12622" xr:uid="{C0051014-93CB-4284-B93D-2C733959B780}"/>
    <cellStyle name="Millares [0] 10 3" xfId="350" xr:uid="{00000000-0005-0000-0000-0000E0000000}"/>
    <cellStyle name="Millares [0] 10 3 10" xfId="16077" xr:uid="{07FE4F33-D34C-439A-BE23-38B416B174BB}"/>
    <cellStyle name="Millares [0] 10 3 11" xfId="16620" xr:uid="{A19F3061-1EEB-4498-BEA6-BEB0B7AD6F72}"/>
    <cellStyle name="Millares [0] 10 3 12" xfId="17164" xr:uid="{BC659445-A5A7-498B-94CE-5C31F3872F2D}"/>
    <cellStyle name="Millares [0] 10 3 13" xfId="17594" xr:uid="{10E2A93B-4C6E-4E1E-8E41-02A792C2C08C}"/>
    <cellStyle name="Millares [0] 10 3 14" xfId="42658" xr:uid="{F73D52AD-B73A-462C-B37A-965FCD60F33E}"/>
    <cellStyle name="Millares [0] 10 3 15" xfId="47551" xr:uid="{42CD9E12-3386-4542-8257-6E5EAC667986}"/>
    <cellStyle name="Millares [0] 10 3 2" xfId="2167" xr:uid="{ED312BAF-688D-4F05-B626-375C5BE575C0}"/>
    <cellStyle name="Millares [0] 10 3 2 2" xfId="8241" xr:uid="{315EC1A5-FFDE-4D97-A6F7-545F4E764F1D}"/>
    <cellStyle name="Millares [0] 10 3 2 2 2" xfId="12390" xr:uid="{283B7C6C-C7A0-4CF5-9879-AD4D38BB1A26}"/>
    <cellStyle name="Millares [0] 10 3 2 2 2 2" xfId="41967" xr:uid="{88808DF2-6069-4607-9BC0-453D2D4D0333}"/>
    <cellStyle name="Millares [0] 10 3 2 2 2 3" xfId="22617" xr:uid="{C6B1D3E0-69C5-467D-94AA-D4660FF834FA}"/>
    <cellStyle name="Millares [0] 10 3 2 2 3" xfId="15231" xr:uid="{1F648950-21B6-4714-BAB5-922C55844CDB}"/>
    <cellStyle name="Millares [0] 10 3 2 2 3 2" xfId="28474" xr:uid="{8D1FBFB9-2410-440B-8B40-A5DABC8B8411}"/>
    <cellStyle name="Millares [0] 10 3 2 2 4" xfId="15678" xr:uid="{2B7F4BC3-6956-41F6-94CA-284E2AB02E43}"/>
    <cellStyle name="Millares [0] 10 3 2 2 4 2" xfId="34356" xr:uid="{B90D485D-E0D4-44B7-94AF-275FB22C038B}"/>
    <cellStyle name="Millares [0] 10 3 2 2 5" xfId="40220" xr:uid="{EC4D9E71-8495-443A-813A-D4B417B97741}"/>
    <cellStyle name="Millares [0] 10 3 2 2 6" xfId="18108" xr:uid="{D95B6954-9C2A-42D8-A97A-782F11450ECF}"/>
    <cellStyle name="Millares [0] 10 3 2 2 7" xfId="45598" xr:uid="{3A3D0BF3-91B9-4C82-BAA7-701CC4B06A7B}"/>
    <cellStyle name="Millares [0] 10 3 2 2 8" xfId="50047" xr:uid="{920F7CC6-41FA-4AD2-B9A4-36B9D2E476CF}"/>
    <cellStyle name="Millares [0] 10 3 2 3" xfId="5374" xr:uid="{F46D4D57-2C18-4C6E-B859-062D7ADFE7D5}"/>
    <cellStyle name="Millares [0] 10 3 2 3 2" xfId="12203" xr:uid="{9E91A04A-2607-4DD2-B348-7DE0AF4A03E8}"/>
    <cellStyle name="Millares [0] 10 3 2 3 2 2" xfId="41780" xr:uid="{ED1988F6-4ED0-4C38-80D8-0536AEAA9C9D}"/>
    <cellStyle name="Millares [0] 10 3 2 3 3" xfId="15044" xr:uid="{1CFDD112-FA16-4B20-BA10-B008B5BF2040}"/>
    <cellStyle name="Millares [0] 10 3 2 3 4" xfId="19841" xr:uid="{401340D6-CC39-4366-80EA-1E4CDD3AF826}"/>
    <cellStyle name="Millares [0] 10 3 2 3 5" xfId="49860" xr:uid="{2AAB5FEB-C987-422C-89B3-7179F9DBAB06}"/>
    <cellStyle name="Millares [0] 10 3 2 4" xfId="10438" xr:uid="{0432EFFB-1720-47D5-A209-D9D8958E107F}"/>
    <cellStyle name="Millares [0] 10 3 2 4 2" xfId="25625" xr:uid="{B8B88143-62F7-4035-8E18-F2CC63A90253}"/>
    <cellStyle name="Millares [0] 10 3 2 5" xfId="13278" xr:uid="{D3A29FE2-7E9A-4A24-ACBA-A79B81AB5F6B}"/>
    <cellStyle name="Millares [0] 10 3 2 5 2" xfId="31499" xr:uid="{2BA5277D-0625-428C-84C4-611465C100D3}"/>
    <cellStyle name="Millares [0] 10 3 2 6" xfId="15491" xr:uid="{9476A55E-9307-4E43-9E8C-05D387E01209}"/>
    <cellStyle name="Millares [0] 10 3 2 6 2" xfId="37370" xr:uid="{14D057E3-0E48-496C-965E-6B1FF800351F}"/>
    <cellStyle name="Millares [0] 10 3 2 7" xfId="17724" xr:uid="{F8A572CD-CFD9-4A61-8635-4792435B8E36}"/>
    <cellStyle name="Millares [0] 10 3 2 8" xfId="43202" xr:uid="{271E155A-0896-42F7-9C0B-AD508C682D2A}"/>
    <cellStyle name="Millares [0] 10 3 2 9" xfId="48095" xr:uid="{681670AF-B28D-4367-8780-5D214B6BE5CF}"/>
    <cellStyle name="Millares [0] 10 3 3" xfId="2585" xr:uid="{75323683-4CD8-4FDD-9415-28D5556D1D10}"/>
    <cellStyle name="Millares [0] 10 3 3 2" xfId="7269" xr:uid="{EF5F1037-A048-4BF2-BB0E-6E7BE1F3DA28}"/>
    <cellStyle name="Millares [0] 10 3 3 2 2" xfId="12318" xr:uid="{E419BF4A-7945-423C-B1AB-87A2774CD398}"/>
    <cellStyle name="Millares [0] 10 3 3 2 2 2" xfId="41895" xr:uid="{813E7BCA-996F-40EF-A685-CE7FF9A627D9}"/>
    <cellStyle name="Millares [0] 10 3 3 2 3" xfId="15159" xr:uid="{26E2846C-A125-469D-9BF0-378C584D2CF8}"/>
    <cellStyle name="Millares [0] 10 3 3 2 4" xfId="21676" xr:uid="{F3FED407-4A38-4BF1-90E9-EF2A34E0FFEA}"/>
    <cellStyle name="Millares [0] 10 3 3 2 5" xfId="46016" xr:uid="{8E757896-B759-48CD-BED1-C5B4BC172B7D}"/>
    <cellStyle name="Millares [0] 10 3 3 2 6" xfId="49975" xr:uid="{C1E53528-F556-4271-B4FA-1B634E49BF86}"/>
    <cellStyle name="Millares [0] 10 3 3 3" xfId="10856" xr:uid="{86483579-0220-43E0-A663-25AD332A8C1E}"/>
    <cellStyle name="Millares [0] 10 3 3 3 2" xfId="27503" xr:uid="{94F0487A-A54B-47AD-97C6-B5219CFE3917}"/>
    <cellStyle name="Millares [0] 10 3 3 4" xfId="13696" xr:uid="{3B99FF6D-2430-45BF-8CB9-E9041A5548C5}"/>
    <cellStyle name="Millares [0] 10 3 3 4 2" xfId="33385" xr:uid="{486415BF-FF17-4F00-A73E-775A2C3EE717}"/>
    <cellStyle name="Millares [0] 10 3 3 5" xfId="15606" xr:uid="{03698DEC-7BC5-43BE-84E4-171A22DB8740}"/>
    <cellStyle name="Millares [0] 10 3 3 5 2" xfId="39249" xr:uid="{7D198826-F13F-47D8-BAD7-3DABDB8719CE}"/>
    <cellStyle name="Millares [0] 10 3 3 6" xfId="17968" xr:uid="{D05C5499-FF55-4A8D-93B9-1DF4BE257DF0}"/>
    <cellStyle name="Millares [0] 10 3 3 7" xfId="43620" xr:uid="{97CE76F3-0526-4B9F-9A7A-3AB357A4CA60}"/>
    <cellStyle name="Millares [0] 10 3 3 8" xfId="48513" xr:uid="{8BC3FA92-849F-4AFC-8B07-DA27657E906B}"/>
    <cellStyle name="Millares [0] 10 3 4" xfId="3129" xr:uid="{5BE39A2A-FD1C-4951-9574-DFB95027EEAC}"/>
    <cellStyle name="Millares [0] 10 3 4 2" xfId="11400" xr:uid="{EF5B1B02-D586-4F5D-B679-9D0A72C5A015}"/>
    <cellStyle name="Millares [0] 10 3 4 2 2" xfId="41708" xr:uid="{35AE0950-CDC0-4506-A4F1-2761AD0051EE}"/>
    <cellStyle name="Millares [0] 10 3 4 2 3" xfId="46560" xr:uid="{21AF5876-C02D-4E9F-A057-ECE9DFA329B4}"/>
    <cellStyle name="Millares [0] 10 3 4 3" xfId="14240" xr:uid="{5C5976DC-30EF-4514-8803-8EEC9F9B595A}"/>
    <cellStyle name="Millares [0] 10 3 4 4" xfId="18910" xr:uid="{EE7C8AB0-D88E-4283-8E65-A6334AA212CB}"/>
    <cellStyle name="Millares [0] 10 3 4 5" xfId="44164" xr:uid="{8DFA7AC5-9792-4518-B5A6-B9341E8777C7}"/>
    <cellStyle name="Millares [0] 10 3 4 6" xfId="49057" xr:uid="{C27FD3CF-2435-4FBC-ACA9-095EF60B056D}"/>
    <cellStyle name="Millares [0] 10 3 5" xfId="3631" xr:uid="{EF3D6A66-A103-4833-9869-02F35C500EC0}"/>
    <cellStyle name="Millares [0] 10 3 5 2" xfId="11872" xr:uid="{2F258BD3-D380-4798-A991-FFAAE21347E4}"/>
    <cellStyle name="Millares [0] 10 3 5 3" xfId="14712" xr:uid="{66A5496C-DA9C-475D-9C18-581AF4600915}"/>
    <cellStyle name="Millares [0] 10 3 5 4" xfId="24654" xr:uid="{B198ECC8-2B3B-4A18-8E0D-C5B6217213C2}"/>
    <cellStyle name="Millares [0] 10 3 5 5" xfId="44636" xr:uid="{C2BBA7B9-B2E3-4FBC-9491-92FA37FF444C}"/>
    <cellStyle name="Millares [0] 10 3 5 6" xfId="49529" xr:uid="{73C2025B-F9C7-4470-BCDD-786F7BBB8987}"/>
    <cellStyle name="Millares [0] 10 3 6" xfId="4408" xr:uid="{6C5B9CA9-1AEA-4C06-B4D2-A16D98149418}"/>
    <cellStyle name="Millares [0] 10 3 6 2" xfId="12131" xr:uid="{213FAA62-951E-4030-85E9-3253CFB253F1}"/>
    <cellStyle name="Millares [0] 10 3 6 3" xfId="14972" xr:uid="{92CA9E3E-8DFE-4B36-9FD3-77D83CC91F5D}"/>
    <cellStyle name="Millares [0] 10 3 6 4" xfId="30533" xr:uid="{860E2AA7-9828-43C5-A0E6-9627543AFC06}"/>
    <cellStyle name="Millares [0] 10 3 6 5" xfId="45054" xr:uid="{3BCFF3E4-B078-4EE7-8DD2-F21B515D6419}"/>
    <cellStyle name="Millares [0] 10 3 6 6" xfId="49788" xr:uid="{04BA60D5-61CC-4021-80DF-54FF99F9DD71}"/>
    <cellStyle name="Millares [0] 10 3 7" xfId="9894" xr:uid="{E336FAB4-C8CA-485E-970D-B741E2C87229}"/>
    <cellStyle name="Millares [0] 10 3 7 2" xfId="36413" xr:uid="{6BBA3103-FE93-4CC0-BDEE-2CE016CD098D}"/>
    <cellStyle name="Millares [0] 10 3 8" xfId="12734" xr:uid="{694682A4-51D2-4F30-BD4C-DDF9DC97D1B6}"/>
    <cellStyle name="Millares [0] 10 3 9" xfId="15417" xr:uid="{351E0A7F-F1DB-4151-9E30-D22666E761F2}"/>
    <cellStyle name="Millares [0] 10 4" xfId="553" xr:uid="{00000000-0005-0000-0000-0000E1000000}"/>
    <cellStyle name="Millares [0] 10 4 10" xfId="17658" xr:uid="{A9DC61B2-265E-453C-BE54-536777D8E95D}"/>
    <cellStyle name="Millares [0] 10 4 11" xfId="42860" xr:uid="{D3E59327-7A18-4F13-B76E-6B32DE7D5650}"/>
    <cellStyle name="Millares [0] 10 4 12" xfId="47753" xr:uid="{7DDE0AE4-B6BA-4F73-8AE0-26A166EA0056}"/>
    <cellStyle name="Millares [0] 10 4 2" xfId="2787" xr:uid="{4BFD486D-4B61-49EB-9072-CA3836A47CE4}"/>
    <cellStyle name="Millares [0] 10 4 2 2" xfId="7756" xr:uid="{A849095B-1DBD-4B89-B690-9D8D6CA92671}"/>
    <cellStyle name="Millares [0] 10 4 2 2 2" xfId="12354" xr:uid="{C637499A-422F-4B19-875C-2469481A7B49}"/>
    <cellStyle name="Millares [0] 10 4 2 2 2 2" xfId="41931" xr:uid="{DB878B8B-50B5-4851-B1BA-ADB9234B5594}"/>
    <cellStyle name="Millares [0] 10 4 2 2 3" xfId="15195" xr:uid="{D9822E65-5AA0-4266-89E6-869941857EB3}"/>
    <cellStyle name="Millares [0] 10 4 2 2 4" xfId="22146" xr:uid="{8F7C0051-4DA8-4047-AFFA-26265B5E8D92}"/>
    <cellStyle name="Millares [0] 10 4 2 2 5" xfId="46218" xr:uid="{3439030B-1168-49E1-B882-0DFBCE1D18CD}"/>
    <cellStyle name="Millares [0] 10 4 2 2 6" xfId="50011" xr:uid="{45CE58AE-550A-4067-ACC8-FD227516E823}"/>
    <cellStyle name="Millares [0] 10 4 2 3" xfId="11058" xr:uid="{C10D4FB9-24C9-4EB3-A0BE-D8551DE3534A}"/>
    <cellStyle name="Millares [0] 10 4 2 3 2" xfId="27989" xr:uid="{B30591D6-0F65-4446-9F46-55D13046FE48}"/>
    <cellStyle name="Millares [0] 10 4 2 4" xfId="13898" xr:uid="{220A9C5F-86E3-4231-B5E4-F358BFC83017}"/>
    <cellStyle name="Millares [0] 10 4 2 4 2" xfId="33871" xr:uid="{CB7F6E4C-D7D6-45AE-935D-31038ABB82B1}"/>
    <cellStyle name="Millares [0] 10 4 2 5" xfId="15642" xr:uid="{F3E2545A-3236-4C1C-A902-74C6E761EDAD}"/>
    <cellStyle name="Millares [0] 10 4 2 5 2" xfId="39735" xr:uid="{99BA8165-479F-49EC-85CC-DEEE5C847E53}"/>
    <cellStyle name="Millares [0] 10 4 2 6" xfId="18039" xr:uid="{657AC9E4-7993-4B94-A05F-01A559137075}"/>
    <cellStyle name="Millares [0] 10 4 2 7" xfId="43822" xr:uid="{5A14AB07-4C97-44FA-BA9A-40A2AE616C28}"/>
    <cellStyle name="Millares [0] 10 4 2 8" xfId="48715" xr:uid="{C667F9DB-9CBD-4455-946B-3E786572CF41}"/>
    <cellStyle name="Millares [0] 10 4 3" xfId="4889" xr:uid="{63F3946E-7573-453D-AB26-E0F696102E01}"/>
    <cellStyle name="Millares [0] 10 4 3 2" xfId="12167" xr:uid="{FD5F108E-E2A4-4C58-BBC6-C405CF0790D6}"/>
    <cellStyle name="Millares [0] 10 4 3 2 2" xfId="41744" xr:uid="{7801FBC5-529D-44E2-8506-3B9E4D164290}"/>
    <cellStyle name="Millares [0] 10 4 3 3" xfId="15008" xr:uid="{6D264E66-08EF-4CA2-9AE8-EF3689D4BC93}"/>
    <cellStyle name="Millares [0] 10 4 3 4" xfId="19372" xr:uid="{685E1D3A-96A3-4947-A3D3-B6E154F226C6}"/>
    <cellStyle name="Millares [0] 10 4 3 5" xfId="45256" xr:uid="{1A67330C-27AE-4627-BB90-26E429AFC270}"/>
    <cellStyle name="Millares [0] 10 4 3 6" xfId="49824" xr:uid="{129BE8E7-748C-4C64-B953-1FE57DE4E1E2}"/>
    <cellStyle name="Millares [0] 10 4 4" xfId="10096" xr:uid="{D724AD35-1A1D-4170-9267-2B7F73A1FCD8}"/>
    <cellStyle name="Millares [0] 10 4 4 2" xfId="25140" xr:uid="{2FE9E1E2-A9F2-4778-A3DA-45255D5A886A}"/>
    <cellStyle name="Millares [0] 10 4 5" xfId="12936" xr:uid="{A14F7DF6-F477-4504-A75A-B4D0F56E8B8B}"/>
    <cellStyle name="Millares [0] 10 4 5 2" xfId="31014" xr:uid="{D1C597D2-D962-4051-9A9A-46C52FBB528F}"/>
    <cellStyle name="Millares [0] 10 4 6" xfId="15454" xr:uid="{53A20698-F8B8-4625-ACC0-4F1B4601D403}"/>
    <cellStyle name="Millares [0] 10 4 6 2" xfId="36893" xr:uid="{7AF4A62B-0AFA-4BA2-AFB1-4C2E36B7CC18}"/>
    <cellStyle name="Millares [0] 10 4 7" xfId="16279" xr:uid="{9043FDB8-C5C4-4830-9900-70B2BA4F36F7}"/>
    <cellStyle name="Millares [0] 10 4 8" xfId="16822" xr:uid="{F2C0FE83-AB81-462B-8541-D14551844BE7}"/>
    <cellStyle name="Millares [0] 10 4 9" xfId="17366" xr:uid="{2ACB64A6-5F47-49BD-9611-156DEF2F94F1}"/>
    <cellStyle name="Millares [0] 10 5" xfId="1951" xr:uid="{C8092283-D0E6-4058-81CC-AC7577DD4F55}"/>
    <cellStyle name="Millares [0] 10 5 2" xfId="8768" xr:uid="{E3DFB795-D461-4511-B56F-77CE72B637DA}"/>
    <cellStyle name="Millares [0] 10 5 2 2" xfId="12426" xr:uid="{C547B797-B808-48C9-9208-3073C6371E5D}"/>
    <cellStyle name="Millares [0] 10 5 2 2 2" xfId="42003" xr:uid="{377E101D-6564-4391-B661-6E36A17E1C42}"/>
    <cellStyle name="Millares [0] 10 5 2 2 3" xfId="23136" xr:uid="{F74E8059-9DAE-47B1-849A-BFD97468F18E}"/>
    <cellStyle name="Millares [0] 10 5 2 3" xfId="15267" xr:uid="{D3E496D4-73B1-41C3-8F7C-0F4B157F6F5D}"/>
    <cellStyle name="Millares [0] 10 5 2 3 2" xfId="29000" xr:uid="{C20CA0CA-F998-4B86-ADE4-2DE428E232C5}"/>
    <cellStyle name="Millares [0] 10 5 2 4" xfId="15716" xr:uid="{08A38B27-23D6-4DDF-9DED-808703340E4D}"/>
    <cellStyle name="Millares [0] 10 5 2 4 2" xfId="34882" xr:uid="{C87448C0-E7EC-4010-AFAB-1F2378E37A8A}"/>
    <cellStyle name="Millares [0] 10 5 2 5" xfId="40746" xr:uid="{881D1912-3DA9-4A2B-8790-AE84AAAD5551}"/>
    <cellStyle name="Millares [0] 10 5 2 6" xfId="18176" xr:uid="{2B5CE732-1432-49DE-946C-D87B081732D7}"/>
    <cellStyle name="Millares [0] 10 5 2 7" xfId="45382" xr:uid="{4A612037-3B10-4CC9-9962-D1921F5D54F5}"/>
    <cellStyle name="Millares [0] 10 5 2 8" xfId="50083" xr:uid="{41551794-3CF7-45BF-B3C7-28934D044986}"/>
    <cellStyle name="Millares [0] 10 5 3" xfId="5899" xr:uid="{B2C7E8DB-B951-472F-A8FD-07487732B4B9}"/>
    <cellStyle name="Millares [0] 10 5 3 2" xfId="12239" xr:uid="{39DF814A-556D-4FD2-B5DA-8BB686D7610F}"/>
    <cellStyle name="Millares [0] 10 5 3 2 2" xfId="41816" xr:uid="{9AA6FBC8-6BB2-40FB-81B3-464C1841AB29}"/>
    <cellStyle name="Millares [0] 10 5 3 3" xfId="15080" xr:uid="{4324D13C-BC0C-48AB-A465-20BC0EDDF880}"/>
    <cellStyle name="Millares [0] 10 5 3 4" xfId="20350" xr:uid="{4AD02EEE-A10A-494C-8285-A7F38F830218}"/>
    <cellStyle name="Millares [0] 10 5 3 5" xfId="49896" xr:uid="{A94BAFC8-4B3B-4394-A131-EC652B07BF34}"/>
    <cellStyle name="Millares [0] 10 5 4" xfId="10222" xr:uid="{47B9B9BE-7960-4483-98BF-546232397747}"/>
    <cellStyle name="Millares [0] 10 5 4 2" xfId="26150" xr:uid="{767D0FE1-8038-424B-A130-93093CA2B5DE}"/>
    <cellStyle name="Millares [0] 10 5 5" xfId="13062" xr:uid="{79829489-B6E8-4F32-BD76-909DBF67AA8D}"/>
    <cellStyle name="Millares [0] 10 5 5 2" xfId="32025" xr:uid="{18CD33A6-2D6F-466B-B49B-341F671B012E}"/>
    <cellStyle name="Millares [0] 10 5 6" xfId="15527" xr:uid="{B27DC4EB-2645-4BC9-A759-0624796FBA4C}"/>
    <cellStyle name="Millares [0] 10 5 6 2" xfId="37891" xr:uid="{A71F6B93-2649-482D-A87C-5C1376682B16}"/>
    <cellStyle name="Millares [0] 10 5 7" xfId="17794" xr:uid="{CF9C309E-7538-41EA-9930-0659FE674C56}"/>
    <cellStyle name="Millares [0] 10 5 8" xfId="42986" xr:uid="{AAD39DC4-BA3A-40B3-8041-9339B929EFCB}"/>
    <cellStyle name="Millares [0] 10 5 9" xfId="47879" xr:uid="{5C801AB8-1370-4ADF-8F7E-0EB8CF03179D}"/>
    <cellStyle name="Millares [0] 10 6" xfId="2369" xr:uid="{E9C62D71-FB4A-400A-8EDD-A8FB2BC4C5D2}"/>
    <cellStyle name="Millares [0] 10 6 2" xfId="9095" xr:uid="{FDDA164C-2D84-4E4E-BCB9-18661C206418}"/>
    <cellStyle name="Millares [0] 10 6 2 2" xfId="12437" xr:uid="{EEBD94A8-1C83-4608-B15C-6C4D4A6A46AA}"/>
    <cellStyle name="Millares [0] 10 6 2 2 2" xfId="42014" xr:uid="{89BB0E9B-10F3-4647-BB51-EF868EE6B69D}"/>
    <cellStyle name="Millares [0] 10 6 2 2 3" xfId="23459" xr:uid="{0F6CC1ED-E178-4D61-9417-EBCCEE1B2F16}"/>
    <cellStyle name="Millares [0] 10 6 2 3" xfId="15278" xr:uid="{6069424B-BD23-4ED7-A522-A18C05729CDD}"/>
    <cellStyle name="Millares [0] 10 6 2 3 2" xfId="29326" xr:uid="{42C48A55-8046-4E18-95FE-FBDC3285F89C}"/>
    <cellStyle name="Millares [0] 10 6 2 4" xfId="15727" xr:uid="{7EECF88A-DDE3-422A-95B7-9C0C4597592A}"/>
    <cellStyle name="Millares [0] 10 6 2 4 2" xfId="35208" xr:uid="{E6E89AC0-B365-48C3-86D4-23E90648AE94}"/>
    <cellStyle name="Millares [0] 10 6 2 5" xfId="41069" xr:uid="{9D7AEEA0-402F-481A-8BCB-789F51C4113B}"/>
    <cellStyle name="Millares [0] 10 6 2 6" xfId="18205" xr:uid="{7D794E3E-615B-4808-9DE4-82D0698A70B7}"/>
    <cellStyle name="Millares [0] 10 6 2 7" xfId="45800" xr:uid="{677863BC-B3E0-4E7B-B9D3-FC0BDF158311}"/>
    <cellStyle name="Millares [0] 10 6 2 8" xfId="50094" xr:uid="{830829E7-E26B-4D8F-9582-86424520F8AC}"/>
    <cellStyle name="Millares [0] 10 6 3" xfId="6226" xr:uid="{1D01184D-FAF8-4244-A8A9-2AF1B4B58565}"/>
    <cellStyle name="Millares [0] 10 6 3 2" xfId="12250" xr:uid="{BDBFDC6D-73B0-43B3-9B7D-69614C971E2B}"/>
    <cellStyle name="Millares [0] 10 6 3 2 2" xfId="41827" xr:uid="{54258A7A-1508-4510-9EFE-B49C895E309A}"/>
    <cellStyle name="Millares [0] 10 6 3 3" xfId="15091" xr:uid="{60D40556-A8F6-4473-B256-7BE2B987E0C9}"/>
    <cellStyle name="Millares [0] 10 6 3 4" xfId="20672" xr:uid="{60DAB94F-0300-4C6E-B5BC-8BF45F45BBBB}"/>
    <cellStyle name="Millares [0] 10 6 3 5" xfId="49907" xr:uid="{16F51F73-87EB-4F8F-A1B1-D4A2D2EA2963}"/>
    <cellStyle name="Millares [0] 10 6 4" xfId="10640" xr:uid="{84CB954B-A1DD-47A4-91B0-E0543554CD11}"/>
    <cellStyle name="Millares [0] 10 6 4 2" xfId="26476" xr:uid="{7730214A-B64A-478C-9657-9751FC17796F}"/>
    <cellStyle name="Millares [0] 10 6 5" xfId="13480" xr:uid="{813019F3-9FFF-4ABF-9E35-6C5654DEFE03}"/>
    <cellStyle name="Millares [0] 10 6 5 2" xfId="32351" xr:uid="{A234660E-4637-4D96-89ED-4744C195A1F4}"/>
    <cellStyle name="Millares [0] 10 6 6" xfId="15538" xr:uid="{7BB68FD9-795E-441F-B833-8347FF80620C}"/>
    <cellStyle name="Millares [0] 10 6 6 2" xfId="38216" xr:uid="{770D9A71-CA8E-48BA-AA0D-9246D324CAB8}"/>
    <cellStyle name="Millares [0] 10 6 7" xfId="17822" xr:uid="{612A5F5E-1092-4D83-9B38-72CD9B63C4B5}"/>
    <cellStyle name="Millares [0] 10 6 8" xfId="43404" xr:uid="{42E9FF35-949C-4063-BE7C-CFD96F6223BC}"/>
    <cellStyle name="Millares [0] 10 6 9" xfId="48297" xr:uid="{E00DA7DB-9B6E-4401-B24F-53BB44AB4849}"/>
    <cellStyle name="Millares [0] 10 7" xfId="2913" xr:uid="{34D05FEE-0820-498A-8377-3C0283B61DDF}"/>
    <cellStyle name="Millares [0] 10 7 2" xfId="6785" xr:uid="{A1B3B373-7914-4D66-A33B-0F0C1BD24A16}"/>
    <cellStyle name="Millares [0] 10 7 2 2" xfId="12282" xr:uid="{9332CBB2-4615-4441-BCB5-EE1421193807}"/>
    <cellStyle name="Millares [0] 10 7 2 2 2" xfId="41859" xr:uid="{E6B8A5C5-B959-41ED-AAC4-3A9D57EEEBBB}"/>
    <cellStyle name="Millares [0] 10 7 2 3" xfId="15123" xr:uid="{D5FA2857-5814-46FA-82A8-7FCAD0FC24CF}"/>
    <cellStyle name="Millares [0] 10 7 2 4" xfId="21209" xr:uid="{83E3B968-E1C6-452D-8C6C-F5ADF3FE3D80}"/>
    <cellStyle name="Millares [0] 10 7 2 5" xfId="46344" xr:uid="{B10DBEF9-F6B6-4676-8684-05854AF953ED}"/>
    <cellStyle name="Millares [0] 10 7 2 6" xfId="49939" xr:uid="{E63F6B5D-6A4F-45A1-B2E9-A112B8DEE410}"/>
    <cellStyle name="Millares [0] 10 7 3" xfId="11184" xr:uid="{257B933A-4CA1-4447-A04B-926E63B2F093}"/>
    <cellStyle name="Millares [0] 10 7 3 2" xfId="27024" xr:uid="{C75D8BA3-38B2-43CF-BBE1-676B452338F2}"/>
    <cellStyle name="Millares [0] 10 7 4" xfId="14024" xr:uid="{7A0B0B07-560D-426A-9597-5F0FCE92BC1E}"/>
    <cellStyle name="Millares [0] 10 7 4 2" xfId="32900" xr:uid="{1214F45F-8DA6-4641-83F8-04AE51DF0455}"/>
    <cellStyle name="Millares [0] 10 7 5" xfId="15570" xr:uid="{077F0D84-3269-4639-8172-D9DA06FCBB38}"/>
    <cellStyle name="Millares [0] 10 7 5 2" xfId="38764" xr:uid="{BF45BC25-311B-44F3-8D1F-1665EB38779B}"/>
    <cellStyle name="Millares [0] 10 7 6" xfId="17899" xr:uid="{D686E687-4A4B-496A-BFCB-67A89E59D372}"/>
    <cellStyle name="Millares [0] 10 7 7" xfId="43948" xr:uid="{E45D5304-E745-4501-A281-1CA53523DFAD}"/>
    <cellStyle name="Millares [0] 10 7 8" xfId="48841" xr:uid="{D3FD68C7-8C01-42E2-B594-DC0550B2659B}"/>
    <cellStyle name="Millares [0] 10 8" xfId="3415" xr:uid="{B1DAC000-9FA6-4892-AE73-26E1F4CDDBCD}"/>
    <cellStyle name="Millares [0] 10 8 2" xfId="11656" xr:uid="{BF373BB0-D829-46D9-8414-365DE052A904}"/>
    <cellStyle name="Millares [0] 10 8 2 2" xfId="41663" xr:uid="{CB0C5737-3D38-457A-A844-3BE84A247F6E}"/>
    <cellStyle name="Millares [0] 10 8 3" xfId="14496" xr:uid="{669BB9CE-A00C-411F-9777-4709E3956147}"/>
    <cellStyle name="Millares [0] 10 8 4" xfId="18455" xr:uid="{356131B4-E799-4B1E-87BF-7582664A4ED2}"/>
    <cellStyle name="Millares [0] 10 8 5" xfId="44420" xr:uid="{3CD7A572-1814-4FE9-860B-20C850D5593E}"/>
    <cellStyle name="Millares [0] 10 8 6" xfId="49313" xr:uid="{703289B3-E969-439E-B624-67A048D5AE3D}"/>
    <cellStyle name="Millares [0] 10 9" xfId="3931" xr:uid="{3FE1DE94-23B5-4D83-AF3E-3447256461A4}"/>
    <cellStyle name="Millares [0] 10 9 2" xfId="12086" xr:uid="{6A2C207E-9B62-4BBF-9EED-423375558569}"/>
    <cellStyle name="Millares [0] 10 9 3" xfId="14927" xr:uid="{2EDD7659-1457-4C17-96D6-9743767BF846}"/>
    <cellStyle name="Millares [0] 10 9 4" xfId="24163" xr:uid="{7CD87056-96AF-4D4F-A607-5DBF25AE4BF0}"/>
    <cellStyle name="Millares [0] 10 9 5" xfId="44838" xr:uid="{6981AAA8-243B-4222-8F52-B25994DACBCC}"/>
    <cellStyle name="Millares [0] 10 9 6" xfId="49743" xr:uid="{88563E25-775D-4459-AD3C-CB843D08F059}"/>
    <cellStyle name="Millares [0] 11" xfId="217" xr:uid="{00000000-0005-0000-0000-0000E2000000}"/>
    <cellStyle name="Millares [0] 11 10" xfId="15375" xr:uid="{C3AA33E0-2AC4-43F0-A7CD-EA0804D57050}"/>
    <cellStyle name="Millares [0] 11 10 2" xfId="35947" xr:uid="{1511AC0F-566A-4E50-AC04-46DA64248267}"/>
    <cellStyle name="Millares [0] 11 11" xfId="15958" xr:uid="{51F33437-C2D1-4DF8-B987-52F0458D72F5}"/>
    <cellStyle name="Millares [0] 11 12" xfId="16501" xr:uid="{6F852F3D-3C1E-4393-96C4-CC11DEFF6DF4}"/>
    <cellStyle name="Millares [0] 11 13" xfId="17045" xr:uid="{3BAE526C-5F42-434D-9389-3CBC9511F606}"/>
    <cellStyle name="Millares [0] 11 14" xfId="17523" xr:uid="{61C7C150-E32F-4602-A4AF-9679A891CEF7}"/>
    <cellStyle name="Millares [0] 11 15" xfId="42539" xr:uid="{106BA909-131C-4E5C-9D36-0D43227A775A}"/>
    <cellStyle name="Millares [0] 11 16" xfId="47432" xr:uid="{957F407E-DA10-492F-852E-01D57FE5C6C3}"/>
    <cellStyle name="Millares [0] 11 2" xfId="340" xr:uid="{00000000-0005-0000-0000-0000E3000000}"/>
    <cellStyle name="Millares [0] 11 2 10" xfId="16070" xr:uid="{BCB74738-BF59-47E1-BBD4-21F12FB6D200}"/>
    <cellStyle name="Millares [0] 11 2 11" xfId="16613" xr:uid="{6887BC7C-D29A-4ACA-B5BE-9B47F2EACCB7}"/>
    <cellStyle name="Millares [0] 11 2 12" xfId="17157" xr:uid="{B637845A-0088-43A9-9A71-1D9B6788C818}"/>
    <cellStyle name="Millares [0] 11 2 13" xfId="17555" xr:uid="{10DAD0C0-B061-4688-973A-FA9535EDAF15}"/>
    <cellStyle name="Millares [0] 11 2 14" xfId="42651" xr:uid="{7B699614-21EB-415F-B29C-2F09B4D94B19}"/>
    <cellStyle name="Millares [0] 11 2 15" xfId="47544" xr:uid="{9078CEF9-2CF4-4542-BDD0-9A4F66302CC4}"/>
    <cellStyle name="Millares [0] 11 2 2" xfId="2160" xr:uid="{B090114D-F995-42B1-8DC5-CF8D0D19D5A1}"/>
    <cellStyle name="Millares [0] 11 2 2 10" xfId="48088" xr:uid="{D0B03F81-DB5B-40C0-8D86-464642BC9905}"/>
    <cellStyle name="Millares [0] 11 2 2 2" xfId="5593" xr:uid="{EC4D4ADA-68B2-4B7B-91B6-F8F0F15AC5A0}"/>
    <cellStyle name="Millares [0] 11 2 2 2 2" xfId="8460" xr:uid="{75AF9A97-8C5C-4804-8587-B9198A311A46}"/>
    <cellStyle name="Millares [0] 11 2 2 2 2 2" xfId="12403" xr:uid="{692570DD-1344-4799-8642-2856B834489C}"/>
    <cellStyle name="Millares [0] 11 2 2 2 2 2 2" xfId="41980" xr:uid="{C4E27BCD-455E-48B3-88AB-03BFF3E77AD9}"/>
    <cellStyle name="Millares [0] 11 2 2 2 2 2 3" xfId="22835" xr:uid="{22932D57-570A-463A-8EFB-B43C6CA2FFE5}"/>
    <cellStyle name="Millares [0] 11 2 2 2 2 3" xfId="15244" xr:uid="{682A98F1-301D-46C9-8F00-8B207A6DA580}"/>
    <cellStyle name="Millares [0] 11 2 2 2 2 3 2" xfId="28693" xr:uid="{D3BE968D-A483-426F-AB0B-6CD281A3FE42}"/>
    <cellStyle name="Millares [0] 11 2 2 2 2 4" xfId="15692" xr:uid="{BA663080-9A43-4CFC-842B-9DE1879EBDCB}"/>
    <cellStyle name="Millares [0] 11 2 2 2 2 4 2" xfId="34575" xr:uid="{C2089D5F-4E57-4073-8017-DEFB38C30AB0}"/>
    <cellStyle name="Millares [0] 11 2 2 2 2 5" xfId="40439" xr:uid="{8A52503A-9334-41C5-9CC9-4C3A011955CB}"/>
    <cellStyle name="Millares [0] 11 2 2 2 2 6" xfId="18136" xr:uid="{55D3AF66-12AF-4421-B3B7-F797C5000346}"/>
    <cellStyle name="Millares [0] 11 2 2 2 2 7" xfId="50060" xr:uid="{38754269-A7A6-4F43-B20E-CFD7E474251B}"/>
    <cellStyle name="Millares [0] 11 2 2 2 3" xfId="12216" xr:uid="{9B0DFD2F-3571-43A3-A853-189487BAB423}"/>
    <cellStyle name="Millares [0] 11 2 2 2 3 2" xfId="41793" xr:uid="{F8E24538-368E-494B-8983-DEFB0C7D9AE1}"/>
    <cellStyle name="Millares [0] 11 2 2 2 3 3" xfId="20053" xr:uid="{18DDFAF2-BAE0-4F7D-A592-A54AF181E33E}"/>
    <cellStyle name="Millares [0] 11 2 2 2 4" xfId="15057" xr:uid="{60076896-D5D3-4A77-9986-D4A882048366}"/>
    <cellStyle name="Millares [0] 11 2 2 2 4 2" xfId="25844" xr:uid="{15C64474-2CED-4749-880A-EE73FB8F5793}"/>
    <cellStyle name="Millares [0] 11 2 2 2 5" xfId="15504" xr:uid="{3FE2E822-060D-4AAB-A4BC-C272A97CF595}"/>
    <cellStyle name="Millares [0] 11 2 2 2 5 2" xfId="31718" xr:uid="{CA9CC0E1-3916-4686-86D9-EC77AAA1E419}"/>
    <cellStyle name="Millares [0] 11 2 2 2 6" xfId="37588" xr:uid="{BB5BA944-9636-464F-96C2-956931ACE172}"/>
    <cellStyle name="Millares [0] 11 2 2 2 7" xfId="17750" xr:uid="{68C0F13C-13D4-4AEA-9E0A-1B015100926C}"/>
    <cellStyle name="Millares [0] 11 2 2 2 8" xfId="45591" xr:uid="{06D231E8-DCFD-41DC-98BE-9CEB39F1C615}"/>
    <cellStyle name="Millares [0] 11 2 2 2 9" xfId="49873" xr:uid="{64BDFB84-B1D6-4EDE-BC0C-91D7D7F3617A}"/>
    <cellStyle name="Millares [0] 11 2 2 3" xfId="7488" xr:uid="{B8487C50-3152-44C7-93F7-1D14DEA03B23}"/>
    <cellStyle name="Millares [0] 11 2 2 3 2" xfId="12331" xr:uid="{E6E869C3-A0B5-4BD6-8649-2BEC593C65D5}"/>
    <cellStyle name="Millares [0] 11 2 2 3 2 2" xfId="41908" xr:uid="{9E3A901C-7966-4841-B6F2-753ACD7C7BEA}"/>
    <cellStyle name="Millares [0] 11 2 2 3 2 3" xfId="21890" xr:uid="{4C1EA734-DC89-40B8-9188-883B99878240}"/>
    <cellStyle name="Millares [0] 11 2 2 3 3" xfId="15172" xr:uid="{3A89B1DC-8E06-46D0-8AC1-A6D056513642}"/>
    <cellStyle name="Millares [0] 11 2 2 3 3 2" xfId="27722" xr:uid="{32A93CAA-7EF6-4B20-B49B-1AB9F9C08D49}"/>
    <cellStyle name="Millares [0] 11 2 2 3 4" xfId="15619" xr:uid="{3A231CB8-8F6E-40BE-84A9-D662DE198CAB}"/>
    <cellStyle name="Millares [0] 11 2 2 3 4 2" xfId="33604" xr:uid="{87241C25-7F94-47AA-8A1F-30FD80A809C6}"/>
    <cellStyle name="Millares [0] 11 2 2 3 5" xfId="39468" xr:uid="{89DE4905-6A7D-4A8B-9DE7-AA03801BFEA4}"/>
    <cellStyle name="Millares [0] 11 2 2 3 6" xfId="17996" xr:uid="{97C87A93-915B-48DF-A3FB-77EBEE0E5AF6}"/>
    <cellStyle name="Millares [0] 11 2 2 3 7" xfId="49988" xr:uid="{2CA526C1-CF62-408F-81E3-FA6089849A5C}"/>
    <cellStyle name="Millares [0] 11 2 2 4" xfId="4625" xr:uid="{E7BBDA96-3264-42DA-9D1C-49CE0AE3F695}"/>
    <cellStyle name="Millares [0] 11 2 2 4 2" xfId="12144" xr:uid="{A049A4DC-8D7F-4E9F-A3F9-16CE202395A2}"/>
    <cellStyle name="Millares [0] 11 2 2 4 2 2" xfId="41721" xr:uid="{6FB58A65-2721-4AD2-86B5-18C9F52888B7}"/>
    <cellStyle name="Millares [0] 11 2 2 4 3" xfId="14985" xr:uid="{DE061DB7-87CB-42E6-8A61-25E89A6E99DE}"/>
    <cellStyle name="Millares [0] 11 2 2 4 4" xfId="19119" xr:uid="{EBAB9314-0FDA-4FCE-9449-DBC51E855FE0}"/>
    <cellStyle name="Millares [0] 11 2 2 4 5" xfId="49801" xr:uid="{D0A9A626-D117-424E-AE7A-7050476E9FD1}"/>
    <cellStyle name="Millares [0] 11 2 2 5" xfId="10431" xr:uid="{F7ABB050-D490-4683-A124-FA0C8F5066CC}"/>
    <cellStyle name="Millares [0] 11 2 2 5 2" xfId="24873" xr:uid="{E6953E5D-A3AB-49C5-9596-1120F2B1195C}"/>
    <cellStyle name="Millares [0] 11 2 2 6" xfId="13271" xr:uid="{D28E06DB-C0BC-4693-9D0E-04EE64DB94A0}"/>
    <cellStyle name="Millares [0] 11 2 2 6 2" xfId="30750" xr:uid="{44DEDFE0-2E96-4662-AAEC-23943E511BD8}"/>
    <cellStyle name="Millares [0] 11 2 2 7" xfId="15430" xr:uid="{F9295434-465C-4B65-95D7-482F86838380}"/>
    <cellStyle name="Millares [0] 11 2 2 7 2" xfId="36631" xr:uid="{C8B367E3-DC17-4447-B7D0-9A4401C83FEC}"/>
    <cellStyle name="Millares [0] 11 2 2 8" xfId="17618" xr:uid="{CB1D51FA-3DC0-4030-BC05-065E29FD0593}"/>
    <cellStyle name="Millares [0] 11 2 2 9" xfId="43195" xr:uid="{4DB7953A-0362-4392-B604-35EFE16E1F72}"/>
    <cellStyle name="Millares [0] 11 2 3" xfId="2578" xr:uid="{BFDBC101-5650-4501-A5E8-039F6170EF58}"/>
    <cellStyle name="Millares [0] 11 2 3 2" xfId="7975" xr:uid="{040E194B-4274-4771-8337-670730893CD7}"/>
    <cellStyle name="Millares [0] 11 2 3 2 2" xfId="12367" xr:uid="{F03C0251-B53C-4EFA-B441-98B66C96348F}"/>
    <cellStyle name="Millares [0] 11 2 3 2 2 2" xfId="41944" xr:uid="{05FE9E6D-6E0D-4AD3-B87F-CF1DF0780E41}"/>
    <cellStyle name="Millares [0] 11 2 3 2 2 3" xfId="22360" xr:uid="{3D29548B-7690-4476-B21E-DACD2FD4D8D1}"/>
    <cellStyle name="Millares [0] 11 2 3 2 3" xfId="15208" xr:uid="{74517A79-CE16-49FB-B7B5-A6B088DBA88E}"/>
    <cellStyle name="Millares [0] 11 2 3 2 3 2" xfId="28208" xr:uid="{7FFEAE7F-1D6A-4F03-AFEC-21FD8830AF1D}"/>
    <cellStyle name="Millares [0] 11 2 3 2 4" xfId="15655" xr:uid="{AD2D1AAA-E1E8-4E46-9841-80C77F6604ED}"/>
    <cellStyle name="Millares [0] 11 2 3 2 4 2" xfId="34090" xr:uid="{D85687E8-979B-41B4-AC07-EEF51586FEFC}"/>
    <cellStyle name="Millares [0] 11 2 3 2 5" xfId="39954" xr:uid="{D08263B1-DFEC-488C-8EC7-375261642729}"/>
    <cellStyle name="Millares [0] 11 2 3 2 6" xfId="18066" xr:uid="{D9B94742-EAEF-4358-A1C3-B81CAC7CA285}"/>
    <cellStyle name="Millares [0] 11 2 3 2 7" xfId="46009" xr:uid="{89F22EFD-5C37-4FAC-B3C7-3B090C22B290}"/>
    <cellStyle name="Millares [0] 11 2 3 2 8" xfId="50024" xr:uid="{65E5E68E-E80D-460B-92A6-ACA68F20345B}"/>
    <cellStyle name="Millares [0] 11 2 3 3" xfId="5108" xr:uid="{397D0731-4741-44C4-AD37-E9DD47F4AFFE}"/>
    <cellStyle name="Millares [0] 11 2 3 3 2" xfId="12180" xr:uid="{B5513660-CC98-421A-B4E6-341BCA88DF21}"/>
    <cellStyle name="Millares [0] 11 2 3 3 2 2" xfId="41757" xr:uid="{197FB6A1-06F2-4257-9E21-8F0558D9DA66}"/>
    <cellStyle name="Millares [0] 11 2 3 3 3" xfId="15021" xr:uid="{DA4E0336-0904-46DD-8C42-0CC6EC1C95E6}"/>
    <cellStyle name="Millares [0] 11 2 3 3 4" xfId="19584" xr:uid="{385A4D6A-6CEB-4433-8C3A-A8E1272E8C5F}"/>
    <cellStyle name="Millares [0] 11 2 3 3 5" xfId="49837" xr:uid="{975157A8-B101-4D9D-8800-784BC81EB906}"/>
    <cellStyle name="Millares [0] 11 2 3 4" xfId="10849" xr:uid="{680BA4B3-791B-41C1-9080-4BBB6C62E2EE}"/>
    <cellStyle name="Millares [0] 11 2 3 4 2" xfId="25359" xr:uid="{94D55FCB-19AD-43C1-AC70-C4A06D45F305}"/>
    <cellStyle name="Millares [0] 11 2 3 5" xfId="13689" xr:uid="{4C4171CF-439E-4B27-BE85-8B17A9F1D626}"/>
    <cellStyle name="Millares [0] 11 2 3 5 2" xfId="31233" xr:uid="{F1941C9D-A201-4D42-9A13-ABF944EF69FF}"/>
    <cellStyle name="Millares [0] 11 2 3 6" xfId="15467" xr:uid="{3E3A7BA0-DE38-4686-8B5E-41A2F080BBEE}"/>
    <cellStyle name="Millares [0] 11 2 3 6 2" xfId="37111" xr:uid="{1C2445A8-B94E-4810-AC8B-21ACBFA4E038}"/>
    <cellStyle name="Millares [0] 11 2 3 7" xfId="17682" xr:uid="{1876A0B6-D105-4F68-B46F-F61F9E509EB2}"/>
    <cellStyle name="Millares [0] 11 2 3 8" xfId="43613" xr:uid="{771B04E3-1568-41AA-8701-AF1CEA67AB83}"/>
    <cellStyle name="Millares [0] 11 2 3 9" xfId="48506" xr:uid="{319E164C-2C9A-4B09-A6BF-532372E9A1A2}"/>
    <cellStyle name="Millares [0] 11 2 4" xfId="3122" xr:uid="{8940E814-5494-4BE4-81DC-A2EF8BE16FF7}"/>
    <cellStyle name="Millares [0] 11 2 4 2" xfId="7003" xr:uid="{94A8431D-5F1B-4D33-8CC8-FA675C530F02}"/>
    <cellStyle name="Millares [0] 11 2 4 2 2" xfId="12295" xr:uid="{D13B0308-1ED1-4306-AFB1-8CC2C8D4C4FE}"/>
    <cellStyle name="Millares [0] 11 2 4 2 2 2" xfId="41872" xr:uid="{F110A85E-3D7A-40AB-BF3F-A21139C8F004}"/>
    <cellStyle name="Millares [0] 11 2 4 2 3" xfId="15136" xr:uid="{1FFCB426-BBC4-403E-BFCB-A57B1C580934}"/>
    <cellStyle name="Millares [0] 11 2 4 2 4" xfId="21421" xr:uid="{AA268DCC-3552-4E36-AF65-DCD3D5CD1EE8}"/>
    <cellStyle name="Millares [0] 11 2 4 2 5" xfId="46553" xr:uid="{F6A84789-F19A-4535-8EDD-9821C2360466}"/>
    <cellStyle name="Millares [0] 11 2 4 2 6" xfId="49952" xr:uid="{A5A747FB-F07C-49AA-80D6-1FAAE6E1B2B7}"/>
    <cellStyle name="Millares [0] 11 2 4 3" xfId="11393" xr:uid="{5F79460A-CBF0-45E4-98CF-CE124278D3B6}"/>
    <cellStyle name="Millares [0] 11 2 4 3 2" xfId="27241" xr:uid="{76469AC4-7F42-4D6E-BDFC-4ED62A6DE289}"/>
    <cellStyle name="Millares [0] 11 2 4 4" xfId="14233" xr:uid="{8F43BCF1-0CD8-4CC5-82E3-785869C538DA}"/>
    <cellStyle name="Millares [0] 11 2 4 4 2" xfId="33119" xr:uid="{C44DCA8D-6FE9-4B79-A59C-AC42978F5FCC}"/>
    <cellStyle name="Millares [0] 11 2 4 5" xfId="15583" xr:uid="{F6B80ED3-BE4E-4E34-A121-0712388044AA}"/>
    <cellStyle name="Millares [0] 11 2 4 5 2" xfId="38983" xr:uid="{25F30494-54C6-4470-89A5-D0E12D79B808}"/>
    <cellStyle name="Millares [0] 11 2 4 6" xfId="17929" xr:uid="{CD00489C-0725-414E-85BE-82A7E5E70F3C}"/>
    <cellStyle name="Millares [0] 11 2 4 7" xfId="44157" xr:uid="{B7E837BE-85BB-47C1-82B0-978EF38CF3F1}"/>
    <cellStyle name="Millares [0] 11 2 4 8" xfId="49050" xr:uid="{46484AD4-F898-49E2-944B-E94EC7E67306}"/>
    <cellStyle name="Millares [0] 11 2 5" xfId="3624" xr:uid="{D08B2CC4-92C8-4ED5-90FD-0ED280389BA9}"/>
    <cellStyle name="Millares [0] 11 2 5 2" xfId="11865" xr:uid="{1CB27C6F-4004-430A-B81E-B42B8C3E93BC}"/>
    <cellStyle name="Millares [0] 11 2 5 2 2" xfId="41684" xr:uid="{0A84B953-0816-41F1-A608-765BD3C000B0}"/>
    <cellStyle name="Millares [0] 11 2 5 3" xfId="14705" xr:uid="{3EC8B5DD-4F5A-4A88-B666-B23B0BAE7C39}"/>
    <cellStyle name="Millares [0] 11 2 5 4" xfId="18675" xr:uid="{0D112679-03FB-4907-8D4A-AE61078284D3}"/>
    <cellStyle name="Millares [0] 11 2 5 5" xfId="44629" xr:uid="{D0FCE1E0-179D-4380-95AC-3B2666174007}"/>
    <cellStyle name="Millares [0] 11 2 5 6" xfId="49522" xr:uid="{E144CDA5-EAAE-48E8-9273-8C01049D123B}"/>
    <cellStyle name="Millares [0] 11 2 6" xfId="4147" xr:uid="{6092567A-85DE-440C-A459-F87AC6A73506}"/>
    <cellStyle name="Millares [0] 11 2 6 2" xfId="12107" xr:uid="{97575CCE-133B-459C-B8AE-9FC81CC26F46}"/>
    <cellStyle name="Millares [0] 11 2 6 3" xfId="14948" xr:uid="{D7083EEB-CB85-41ED-875B-75E3325AF37A}"/>
    <cellStyle name="Millares [0] 11 2 6 4" xfId="24390" xr:uid="{ACCED64E-4932-4E8B-AAD5-37AE2D63F9DE}"/>
    <cellStyle name="Millares [0] 11 2 6 5" xfId="45047" xr:uid="{66C4CB02-33E8-4CBD-BD1C-29E344311558}"/>
    <cellStyle name="Millares [0] 11 2 6 6" xfId="49764" xr:uid="{9D480321-4AA9-4F65-B5CA-6807CC358429}"/>
    <cellStyle name="Millares [0] 11 2 7" xfId="9887" xr:uid="{2C5A5764-AA84-46DC-8EEE-1C25FA40A6B3}"/>
    <cellStyle name="Millares [0] 11 2 7 2" xfId="30268" xr:uid="{69519078-FEFD-45FF-B942-F2732EA2F13E}"/>
    <cellStyle name="Millares [0] 11 2 8" xfId="12727" xr:uid="{548C501D-4A4E-42F8-87D2-9A67BB0B8610}"/>
    <cellStyle name="Millares [0] 11 2 8 2" xfId="36147" xr:uid="{A7ACC0BD-8CBE-4737-94F9-74FB0DEADC96}"/>
    <cellStyle name="Millares [0] 11 2 9" xfId="15393" xr:uid="{3053C912-308C-41D4-BFD2-D79B276FC843}"/>
    <cellStyle name="Millares [0] 11 3" xfId="2048" xr:uid="{4A4DAA4D-21CE-421E-ACBB-A4453D4B3194}"/>
    <cellStyle name="Millares [0] 11 3 10" xfId="47976" xr:uid="{8881F9A0-2539-456E-8B4A-62738765ED14}"/>
    <cellStyle name="Millares [0] 11 3 2" xfId="5397" xr:uid="{E39033CB-D410-49E4-B8E0-8895E8AAFD27}"/>
    <cellStyle name="Millares [0] 11 3 2 2" xfId="8264" xr:uid="{10B86992-8C6B-4D0F-B75C-698E7EBF5015}"/>
    <cellStyle name="Millares [0] 11 3 2 2 2" xfId="12391" xr:uid="{3B4CEDE0-CE26-47F3-8F35-6737D21AB1CD}"/>
    <cellStyle name="Millares [0] 11 3 2 2 2 2" xfId="41968" xr:uid="{EA39FFC7-466E-4937-BC97-99294A3CCBB6}"/>
    <cellStyle name="Millares [0] 11 3 2 2 2 3" xfId="22640" xr:uid="{EB5FB08D-CAB1-46FB-AE70-A5D6DDAD85FE}"/>
    <cellStyle name="Millares [0] 11 3 2 2 3" xfId="15232" xr:uid="{1BDD9937-D878-4B6A-ABAF-0BB4FB8DA76B}"/>
    <cellStyle name="Millares [0] 11 3 2 2 3 2" xfId="28497" xr:uid="{9CA30984-6169-4C3C-93A4-F420E0EBD56C}"/>
    <cellStyle name="Millares [0] 11 3 2 2 4" xfId="15679" xr:uid="{2A746517-5DF8-4BD7-BA0D-F5488FAAB181}"/>
    <cellStyle name="Millares [0] 11 3 2 2 4 2" xfId="34379" xr:uid="{E635EA50-2E93-4B9A-8E5F-B9D66054AA90}"/>
    <cellStyle name="Millares [0] 11 3 2 2 5" xfId="40243" xr:uid="{73451D0D-DA23-49AD-BC12-AECC6111CF65}"/>
    <cellStyle name="Millares [0] 11 3 2 2 6" xfId="18110" xr:uid="{1689F753-369E-4AA6-8A97-60E5FE23EE84}"/>
    <cellStyle name="Millares [0] 11 3 2 2 7" xfId="50048" xr:uid="{35C088AA-71EA-4C94-9AF7-EEC673351BCE}"/>
    <cellStyle name="Millares [0] 11 3 2 3" xfId="12204" xr:uid="{2D30BC92-A2A2-4551-A89B-BE07B34E99ED}"/>
    <cellStyle name="Millares [0] 11 3 2 3 2" xfId="41781" xr:uid="{FF549E71-6C6C-43B2-94D7-0FBF37EE5464}"/>
    <cellStyle name="Millares [0] 11 3 2 3 3" xfId="19863" xr:uid="{271BD592-D5B1-43EC-9677-FC53792044BE}"/>
    <cellStyle name="Millares [0] 11 3 2 4" xfId="15045" xr:uid="{088B6F14-65F5-4E5B-B73E-FFA56114D07D}"/>
    <cellStyle name="Millares [0] 11 3 2 4 2" xfId="25648" xr:uid="{560DD218-FB1C-457B-90B5-C56045A8738A}"/>
    <cellStyle name="Millares [0] 11 3 2 5" xfId="15492" xr:uid="{11E10642-BBB7-4A0B-A6C4-F8A9892F13D4}"/>
    <cellStyle name="Millares [0] 11 3 2 5 2" xfId="31522" xr:uid="{00ED98B2-B205-4FA0-AF3F-C0ED064C4306}"/>
    <cellStyle name="Millares [0] 11 3 2 6" xfId="37393" xr:uid="{5D24EE66-58BC-41EE-8872-398ED5478360}"/>
    <cellStyle name="Millares [0] 11 3 2 7" xfId="17726" xr:uid="{4C261376-C8A0-47F9-8E70-2CFC736EF15A}"/>
    <cellStyle name="Millares [0] 11 3 2 8" xfId="45479" xr:uid="{ED5C063D-E0B4-4446-AC97-049617919B66}"/>
    <cellStyle name="Millares [0] 11 3 2 9" xfId="49861" xr:uid="{158D6839-0D5B-45D5-8555-2EC6E20E87F0}"/>
    <cellStyle name="Millares [0] 11 3 3" xfId="7292" xr:uid="{E9913255-7A11-43FA-8743-0FB75651F598}"/>
    <cellStyle name="Millares [0] 11 3 3 2" xfId="12319" xr:uid="{FCB4A1F6-2F0A-488F-9475-B41F962FE9C8}"/>
    <cellStyle name="Millares [0] 11 3 3 2 2" xfId="41896" xr:uid="{91AA38F3-3D94-46A2-A142-2DC8E7180A6B}"/>
    <cellStyle name="Millares [0] 11 3 3 2 3" xfId="21698" xr:uid="{8083AC6D-D180-4314-B31C-6890E31C974B}"/>
    <cellStyle name="Millares [0] 11 3 3 3" xfId="15160" xr:uid="{5804FE7A-7525-44A3-B63E-64A03107851F}"/>
    <cellStyle name="Millares [0] 11 3 3 3 2" xfId="27526" xr:uid="{5164FB0C-8C50-4FBA-89D5-ECC841963100}"/>
    <cellStyle name="Millares [0] 11 3 3 4" xfId="15607" xr:uid="{713DD41F-E145-4298-B3F0-518FF99D3888}"/>
    <cellStyle name="Millares [0] 11 3 3 4 2" xfId="33408" xr:uid="{A29571C0-75D0-4250-9BC9-7DD35665E66C}"/>
    <cellStyle name="Millares [0] 11 3 3 5" xfId="39272" xr:uid="{B338E33A-0B73-4FE0-B663-832A652167D1}"/>
    <cellStyle name="Millares [0] 11 3 3 6" xfId="17970" xr:uid="{5FBD2E1A-E7C5-4919-8C48-92608EFCBB17}"/>
    <cellStyle name="Millares [0] 11 3 3 7" xfId="49976" xr:uid="{066E57E1-0301-4655-A0A0-4BA57C3E39D0}"/>
    <cellStyle name="Millares [0] 11 3 4" xfId="4430" xr:uid="{D134DC0D-003A-4EA7-A4FA-5F297C12E769}"/>
    <cellStyle name="Millares [0] 11 3 4 2" xfId="12132" xr:uid="{F280B40A-7C21-4D10-A399-4AEC7F47277C}"/>
    <cellStyle name="Millares [0] 11 3 4 2 2" xfId="41709" xr:uid="{BDF1AC6A-5BC4-4BC4-9D0A-6F75271D8615}"/>
    <cellStyle name="Millares [0] 11 3 4 3" xfId="14973" xr:uid="{FAC1A82E-0A05-41F7-95E6-177702AD6894}"/>
    <cellStyle name="Millares [0] 11 3 4 4" xfId="18933" xr:uid="{2E72399B-B321-4A97-8FC2-D543FAC53B9D}"/>
    <cellStyle name="Millares [0] 11 3 4 5" xfId="49789" xr:uid="{630E4D64-95E9-4528-A2A4-240F55B2E338}"/>
    <cellStyle name="Millares [0] 11 3 5" xfId="10319" xr:uid="{84324872-844A-45AD-A11E-0D5E47E37F08}"/>
    <cellStyle name="Millares [0] 11 3 5 2" xfId="24677" xr:uid="{B7445725-15F4-4196-9EC3-363CD34B2497}"/>
    <cellStyle name="Millares [0] 11 3 6" xfId="13159" xr:uid="{13C21556-5170-4A60-9A35-96702C952918}"/>
    <cellStyle name="Millares [0] 11 3 6 2" xfId="30556" xr:uid="{977950F8-AD0E-4A3A-8360-9B78947676E0}"/>
    <cellStyle name="Millares [0] 11 3 7" xfId="15418" xr:uid="{BADE40D9-5CF0-49CF-A015-C034EBAB6A78}"/>
    <cellStyle name="Millares [0] 11 3 7 2" xfId="36436" xr:uid="{AE20A846-6704-47C7-800B-A9B83819821B}"/>
    <cellStyle name="Millares [0] 11 3 8" xfId="17596" xr:uid="{8CD9760A-202A-4B81-9DA0-42A3327B4A88}"/>
    <cellStyle name="Millares [0] 11 3 9" xfId="43083" xr:uid="{9587C5DC-32F2-466C-AF4D-DBBA6DD1AED8}"/>
    <cellStyle name="Millares [0] 11 4" xfId="2466" xr:uid="{FE745225-17E9-48EC-B4B2-71D863937B79}"/>
    <cellStyle name="Millares [0] 11 4 2" xfId="7779" xr:uid="{62B8A40A-56D5-424A-9AEB-9C3E8E989D11}"/>
    <cellStyle name="Millares [0] 11 4 2 2" xfId="12355" xr:uid="{4C0F9C0F-F304-436B-9C3A-1A9D66F7A63C}"/>
    <cellStyle name="Millares [0] 11 4 2 2 2" xfId="41932" xr:uid="{DB5E1E28-9DBD-4D67-9400-FDC7171D95C9}"/>
    <cellStyle name="Millares [0] 11 4 2 2 3" xfId="22168" xr:uid="{B5051E3F-D3D0-4D0A-90D5-2EA1A9FC99FC}"/>
    <cellStyle name="Millares [0] 11 4 2 3" xfId="15196" xr:uid="{14240AC4-F5CE-49A0-A0F4-7B3350904FA1}"/>
    <cellStyle name="Millares [0] 11 4 2 3 2" xfId="28012" xr:uid="{1F12DBF0-DA0B-4598-8DF9-D8A4F1232677}"/>
    <cellStyle name="Millares [0] 11 4 2 4" xfId="15643" xr:uid="{5A38AEB8-9B00-44E9-8F99-1D8E695469B8}"/>
    <cellStyle name="Millares [0] 11 4 2 4 2" xfId="33894" xr:uid="{6CBFD7FD-CAFC-4B07-806B-73A1BF5AA1FF}"/>
    <cellStyle name="Millares [0] 11 4 2 5" xfId="39758" xr:uid="{58D94EF0-BFA7-48EF-95B3-D067F78C9655}"/>
    <cellStyle name="Millares [0] 11 4 2 6" xfId="18041" xr:uid="{7669B874-0B89-4AFF-B782-FF57947F3639}"/>
    <cellStyle name="Millares [0] 11 4 2 7" xfId="45897" xr:uid="{D3D35FEC-1D5D-4374-8D10-034F9BDDC352}"/>
    <cellStyle name="Millares [0] 11 4 2 8" xfId="50012" xr:uid="{8986BB38-D87D-4CBC-938D-B08C0630E929}"/>
    <cellStyle name="Millares [0] 11 4 3" xfId="4912" xr:uid="{15177A1A-A49A-4E5F-86F2-590F4C23918E}"/>
    <cellStyle name="Millares [0] 11 4 3 2" xfId="12168" xr:uid="{2A351036-0FFA-40B7-A59A-CC02A20C40FB}"/>
    <cellStyle name="Millares [0] 11 4 3 2 2" xfId="41745" xr:uid="{799ED866-CE46-4512-A78A-B892259E6987}"/>
    <cellStyle name="Millares [0] 11 4 3 3" xfId="15009" xr:uid="{1CF70B97-1166-44E0-AC67-DA12A2DEE5BD}"/>
    <cellStyle name="Millares [0] 11 4 3 4" xfId="19395" xr:uid="{B98B512F-1A47-4FD5-AEC8-BBDD91AE209C}"/>
    <cellStyle name="Millares [0] 11 4 3 5" xfId="49825" xr:uid="{643CAB89-1015-48F8-BAA4-9CCA931BA78C}"/>
    <cellStyle name="Millares [0] 11 4 4" xfId="10737" xr:uid="{4795F915-3A95-4E11-A95C-DC485D55E40C}"/>
    <cellStyle name="Millares [0] 11 4 4 2" xfId="25163" xr:uid="{2B9087A3-1734-400C-B8ED-6D8B84143D81}"/>
    <cellStyle name="Millares [0] 11 4 5" xfId="13577" xr:uid="{3E69686F-9470-4873-A47F-3465009981C0}"/>
    <cellStyle name="Millares [0] 11 4 5 2" xfId="31037" xr:uid="{FB48EC52-B10C-4742-8459-D63DD0039E2D}"/>
    <cellStyle name="Millares [0] 11 4 6" xfId="15455" xr:uid="{B3C9380A-1B45-4611-9408-0F4D29144BAB}"/>
    <cellStyle name="Millares [0] 11 4 6 2" xfId="36916" xr:uid="{8A9E35D4-2919-499F-ACDD-34D8DE414E27}"/>
    <cellStyle name="Millares [0] 11 4 7" xfId="17660" xr:uid="{E98A76D3-44F7-4B44-9DB6-34FD84FEA4F2}"/>
    <cellStyle name="Millares [0] 11 4 8" xfId="43501" xr:uid="{2FB1EF8C-8666-44D3-8136-DA63B807F521}"/>
    <cellStyle name="Millares [0] 11 4 9" xfId="48394" xr:uid="{6EA1B1C6-88D3-461D-B145-8005C45EF7AC}"/>
    <cellStyle name="Millares [0] 11 5" xfId="3010" xr:uid="{6DBA78BF-FE82-4432-B173-3FC9A511BAAD}"/>
    <cellStyle name="Millares [0] 11 5 2" xfId="8791" xr:uid="{C8F51DB4-8AF8-4A23-AA23-AF93C6A99390}"/>
    <cellStyle name="Millares [0] 11 5 2 2" xfId="12427" xr:uid="{E68B128C-1ECE-4FAE-A4CA-00E528B57DA6}"/>
    <cellStyle name="Millares [0] 11 5 2 2 2" xfId="42004" xr:uid="{3D46B530-0E13-43B4-AD14-DE0B7A8A70B6}"/>
    <cellStyle name="Millares [0] 11 5 2 2 3" xfId="23158" xr:uid="{A1070D14-27B2-4130-8F66-101A68CE5417}"/>
    <cellStyle name="Millares [0] 11 5 2 3" xfId="15268" xr:uid="{2A72D5DB-8B0E-4837-82BB-FDBD382AD0C5}"/>
    <cellStyle name="Millares [0] 11 5 2 3 2" xfId="29023" xr:uid="{57EF4145-ACF1-46C8-A36C-A09CA268A0D3}"/>
    <cellStyle name="Millares [0] 11 5 2 4" xfId="15717" xr:uid="{FBED1D56-04AF-4FBB-93CA-3B9766827B94}"/>
    <cellStyle name="Millares [0] 11 5 2 4 2" xfId="34905" xr:uid="{39AB4101-0C1F-455F-B87E-81D200DD6D83}"/>
    <cellStyle name="Millares [0] 11 5 2 5" xfId="40769" xr:uid="{65677319-5C50-4B8B-99DD-69F7F99F6538}"/>
    <cellStyle name="Millares [0] 11 5 2 6" xfId="18177" xr:uid="{388F1BDC-C0DF-4C1B-92FB-5F26FC05AE2B}"/>
    <cellStyle name="Millares [0] 11 5 2 7" xfId="46441" xr:uid="{1C706FDB-87A5-4216-A6A8-A02BF3416816}"/>
    <cellStyle name="Millares [0] 11 5 2 8" xfId="50084" xr:uid="{54708647-0F0D-46F6-B8D7-F34EEC4C6DA2}"/>
    <cellStyle name="Millares [0] 11 5 3" xfId="5922" xr:uid="{AC817271-7DBA-4A90-ADFC-F54605F79B12}"/>
    <cellStyle name="Millares [0] 11 5 3 2" xfId="12240" xr:uid="{BC4D1D97-1F7F-4DF1-AA0D-DAC444A5978E}"/>
    <cellStyle name="Millares [0] 11 5 3 2 2" xfId="41817" xr:uid="{8B5A4D9E-CFC7-4228-B4A9-64DF4D948F09}"/>
    <cellStyle name="Millares [0] 11 5 3 3" xfId="15081" xr:uid="{EE3CFA6C-B0F2-4082-A4A2-A4B4C17CDC1E}"/>
    <cellStyle name="Millares [0] 11 5 3 4" xfId="20373" xr:uid="{A23D2F55-5152-48AA-BED8-042BC6F70A5B}"/>
    <cellStyle name="Millares [0] 11 5 3 5" xfId="49897" xr:uid="{CEA185FA-7A20-42B7-A3FD-00FC91043A36}"/>
    <cellStyle name="Millares [0] 11 5 4" xfId="11281" xr:uid="{F4AD20EF-CB83-4A3F-B900-6CF4EBCF8710}"/>
    <cellStyle name="Millares [0] 11 5 4 2" xfId="26173" xr:uid="{9263DA35-E510-4564-A43B-9F7DF3091042}"/>
    <cellStyle name="Millares [0] 11 5 5" xfId="14121" xr:uid="{045C4F40-7863-482F-B3D4-60B08CF8E471}"/>
    <cellStyle name="Millares [0] 11 5 5 2" xfId="32048" xr:uid="{656817C7-54CA-48D0-9061-DF3D4A1907A7}"/>
    <cellStyle name="Millares [0] 11 5 6" xfId="15528" xr:uid="{39007D80-73D4-45CF-BA94-02EC701543EF}"/>
    <cellStyle name="Millares [0] 11 5 6 2" xfId="37914" xr:uid="{90E0F38A-58A0-4613-9F30-BF30BEB7E747}"/>
    <cellStyle name="Millares [0] 11 5 7" xfId="17795" xr:uid="{F8018931-C09D-411A-A629-ECD4A8E23C43}"/>
    <cellStyle name="Millares [0] 11 5 8" xfId="44045" xr:uid="{B8460510-9CDD-4A19-9BE2-6D7869696CE5}"/>
    <cellStyle name="Millares [0] 11 5 9" xfId="48938" xr:uid="{3070A4BC-3848-49B5-80A8-9580241F2BFE}"/>
    <cellStyle name="Millares [0] 11 6" xfId="3512" xr:uid="{16F5F9A8-57D2-4DB3-8089-E8793CFE2166}"/>
    <cellStyle name="Millares [0] 11 6 2" xfId="6808" xr:uid="{AE53FB03-C2A0-4BA6-81DE-D264E45648EF}"/>
    <cellStyle name="Millares [0] 11 6 2 2" xfId="12283" xr:uid="{0E3763FF-1B46-41C8-81D0-E35E4340D625}"/>
    <cellStyle name="Millares [0] 11 6 2 2 2" xfId="41860" xr:uid="{74E25907-CC7F-45B6-B606-9A0D99647D2F}"/>
    <cellStyle name="Millares [0] 11 6 2 3" xfId="15124" xr:uid="{6C574B37-2F99-4253-A7DC-84E3073A6745}"/>
    <cellStyle name="Millares [0] 11 6 2 4" xfId="21232" xr:uid="{9CE8AEDE-0194-47F3-AC41-E43DA94CA228}"/>
    <cellStyle name="Millares [0] 11 6 2 5" xfId="49940" xr:uid="{E114F35C-D7B8-4A71-97B1-CE1D68C75702}"/>
    <cellStyle name="Millares [0] 11 6 3" xfId="11753" xr:uid="{15069BD7-5096-4F7E-8A35-8A40ADDDD4FD}"/>
    <cellStyle name="Millares [0] 11 6 3 2" xfId="27047" xr:uid="{34CA8082-8787-44DF-85F3-67B3B929B9D2}"/>
    <cellStyle name="Millares [0] 11 6 4" xfId="14593" xr:uid="{7745C635-4837-4E6F-B6EC-16510CC1A29A}"/>
    <cellStyle name="Millares [0] 11 6 4 2" xfId="32923" xr:uid="{CC3831F0-0161-40CC-98A1-0515EF721B7A}"/>
    <cellStyle name="Millares [0] 11 6 5" xfId="15571" xr:uid="{6277159D-4ECA-4BEF-9AD6-3FB529E9363D}"/>
    <cellStyle name="Millares [0] 11 6 5 2" xfId="38787" xr:uid="{BC0F8E40-39CC-4574-BB50-9FBB0E56C6F0}"/>
    <cellStyle name="Millares [0] 11 6 6" xfId="17901" xr:uid="{95ED983A-8360-490E-BE70-97D34E5BF75F}"/>
    <cellStyle name="Millares [0] 11 6 7" xfId="44517" xr:uid="{0EA7D694-35CC-4977-8CE1-6F7491E4927C}"/>
    <cellStyle name="Millares [0] 11 6 8" xfId="49410" xr:uid="{6FB36946-5A12-413D-8725-A6A7D122D087}"/>
    <cellStyle name="Millares [0] 11 7" xfId="3954" xr:uid="{F5A55CD6-C932-4736-B886-07BE23BBBF52}"/>
    <cellStyle name="Millares [0] 11 7 2" xfId="12089" xr:uid="{C6E80B51-9E3B-413F-B4C2-EA87793B63C3}"/>
    <cellStyle name="Millares [0] 11 7 2 2" xfId="41666" xr:uid="{72B95296-9E92-4D82-8CD2-0D8A79A9F7D3}"/>
    <cellStyle name="Millares [0] 11 7 3" xfId="14930" xr:uid="{666CEB9D-1FA9-40FF-84FF-512640E3C7F0}"/>
    <cellStyle name="Millares [0] 11 7 4" xfId="18480" xr:uid="{FF17D892-9EB4-40DD-AC6D-BC21CDB8C2ED}"/>
    <cellStyle name="Millares [0] 11 7 5" xfId="44935" xr:uid="{491E64F7-7BB2-43D0-A75B-0D141F22E04B}"/>
    <cellStyle name="Millares [0] 11 7 6" xfId="49746" xr:uid="{F00C2F29-1396-4797-A88C-7EFB05F43A60}"/>
    <cellStyle name="Millares [0] 11 8" xfId="9775" xr:uid="{F8ECF899-9073-4366-86A2-C2E98A03DE8E}"/>
    <cellStyle name="Millares [0] 11 8 2" xfId="24188" xr:uid="{D37CFEAD-317B-48F5-B279-8B7C466C6FA9}"/>
    <cellStyle name="Millares [0] 11 9" xfId="12615" xr:uid="{8302A658-58C1-4D53-A7F2-7D29A115BE26}"/>
    <cellStyle name="Millares [0] 11 9 2" xfId="30066" xr:uid="{EC4792B4-EF0E-4C07-9AEE-115F9D913F3F}"/>
    <cellStyle name="Millares [0] 12" xfId="320" xr:uid="{00000000-0005-0000-0000-0000E4000000}"/>
    <cellStyle name="Millares [0] 12 10" xfId="15378" xr:uid="{4D036933-9E99-481B-82DA-33D99F4B6CBB}"/>
    <cellStyle name="Millares [0] 12 10 2" xfId="35970" xr:uid="{B90DF982-CBD5-4022-B3DD-91FEB567DB0F}"/>
    <cellStyle name="Millares [0] 12 11" xfId="16060" xr:uid="{F3580994-3A64-43B9-A1BD-9F00FAC92382}"/>
    <cellStyle name="Millares [0] 12 12" xfId="16603" xr:uid="{6D3857BD-3FB1-4650-AB74-FC56637854E7}"/>
    <cellStyle name="Millares [0] 12 13" xfId="17147" xr:uid="{D9D9DF7E-AEC2-4B15-99E1-095836DB3A21}"/>
    <cellStyle name="Millares [0] 12 14" xfId="17527" xr:uid="{C00EF626-174A-47A2-97B3-4E600CD813CE}"/>
    <cellStyle name="Millares [0] 12 15" xfId="42641" xr:uid="{8E0979C4-60DA-4F05-9CB6-E9B71E0D2D8B}"/>
    <cellStyle name="Millares [0] 12 16" xfId="47534" xr:uid="{EE7E117E-EB6C-430B-834D-FBF72E3BD863}"/>
    <cellStyle name="Millares [0] 12 2" xfId="444" xr:uid="{00000000-0005-0000-0000-0000E5000000}"/>
    <cellStyle name="Millares [0] 12 2 10" xfId="16170" xr:uid="{C19E5990-FB36-46C5-92FA-28FF6BCFF8C4}"/>
    <cellStyle name="Millares [0] 12 2 11" xfId="16713" xr:uid="{6AB3FA9C-B1A2-468C-80DA-194E06E657A7}"/>
    <cellStyle name="Millares [0] 12 2 12" xfId="17257" xr:uid="{B86F22E8-CEC5-43C1-BE56-C8ECB887FA64}"/>
    <cellStyle name="Millares [0] 12 2 13" xfId="17557" xr:uid="{836BDC59-355E-4AE3-84F7-C012EBD62357}"/>
    <cellStyle name="Millares [0] 12 2 14" xfId="42751" xr:uid="{C7E9AD0F-5069-4605-B710-6F3C9BDE4B2E}"/>
    <cellStyle name="Millares [0] 12 2 15" xfId="47644" xr:uid="{1FFDD9B2-BFB2-4293-B548-629E56258145}"/>
    <cellStyle name="Millares [0] 12 2 2" xfId="2260" xr:uid="{F82BFA9B-DBC5-49F2-A50C-5478D8502729}"/>
    <cellStyle name="Millares [0] 12 2 2 10" xfId="48188" xr:uid="{9C1B2091-0275-4140-8381-5FA5C448197B}"/>
    <cellStyle name="Millares [0] 12 2 2 2" xfId="5615" xr:uid="{58721DCC-9CB9-439F-BB56-CB5C896473A3}"/>
    <cellStyle name="Millares [0] 12 2 2 2 2" xfId="8482" xr:uid="{47FD76DB-82F3-4776-9889-C373421A81AC}"/>
    <cellStyle name="Millares [0] 12 2 2 2 2 2" xfId="12404" xr:uid="{BC0198C5-C8F2-4FC6-9961-02E8ADA669B0}"/>
    <cellStyle name="Millares [0] 12 2 2 2 2 2 2" xfId="41981" xr:uid="{CDD26310-4A64-4DBA-B898-2C87E68B7D96}"/>
    <cellStyle name="Millares [0] 12 2 2 2 2 2 3" xfId="22856" xr:uid="{884D9719-FE2E-45B8-A6DF-EC2706E7230A}"/>
    <cellStyle name="Millares [0] 12 2 2 2 2 3" xfId="15245" xr:uid="{C78ECEC8-6B8D-4DB9-A8F4-79859DE827D9}"/>
    <cellStyle name="Millares [0] 12 2 2 2 2 3 2" xfId="28715" xr:uid="{6592AB6F-AD24-48D8-9CE6-3A5B69F8810F}"/>
    <cellStyle name="Millares [0] 12 2 2 2 2 4" xfId="15693" xr:uid="{F5274FF6-4411-49C1-99AB-0DA413B047C6}"/>
    <cellStyle name="Millares [0] 12 2 2 2 2 4 2" xfId="34597" xr:uid="{3EEAE546-E46D-4963-8157-B1BE90B516D2}"/>
    <cellStyle name="Millares [0] 12 2 2 2 2 5" xfId="40461" xr:uid="{1907AC5A-6B76-499A-B4B1-9398FA38C05D}"/>
    <cellStyle name="Millares [0] 12 2 2 2 2 6" xfId="18137" xr:uid="{7EBDFEA5-3BE6-4F8E-9463-ADAF757ACA2F}"/>
    <cellStyle name="Millares [0] 12 2 2 2 2 7" xfId="50061" xr:uid="{59288CB4-9B04-4D94-9E37-58AFCAA6B1F7}"/>
    <cellStyle name="Millares [0] 12 2 2 2 3" xfId="12217" xr:uid="{06F2B86F-4822-4A9D-8B48-35712E067A2D}"/>
    <cellStyle name="Millares [0] 12 2 2 2 3 2" xfId="41794" xr:uid="{19EA4EAB-B658-4024-8A17-ACC4BB804B70}"/>
    <cellStyle name="Millares [0] 12 2 2 2 3 3" xfId="20074" xr:uid="{46D0E485-25EB-4055-A4BA-EF2FD70A5577}"/>
    <cellStyle name="Millares [0] 12 2 2 2 4" xfId="15058" xr:uid="{337A6EA2-6583-4C87-8F86-A9D0B9C6CABB}"/>
    <cellStyle name="Millares [0] 12 2 2 2 4 2" xfId="25866" xr:uid="{66302AE0-CA52-4DFB-BF13-7737B4A819ED}"/>
    <cellStyle name="Millares [0] 12 2 2 2 5" xfId="15505" xr:uid="{C7A6A0D9-42DA-4A38-BFA8-CD7E04922351}"/>
    <cellStyle name="Millares [0] 12 2 2 2 5 2" xfId="31740" xr:uid="{7B5793FB-7F8A-4D57-A94F-361CC50E9FAF}"/>
    <cellStyle name="Millares [0] 12 2 2 2 6" xfId="37609" xr:uid="{E6F3E760-C1E9-46A0-A9F6-A1B0CB345E7F}"/>
    <cellStyle name="Millares [0] 12 2 2 2 7" xfId="17751" xr:uid="{1F215283-7718-41CA-971C-BCDE158A6A21}"/>
    <cellStyle name="Millares [0] 12 2 2 2 8" xfId="45691" xr:uid="{5E81BB0C-2623-417F-8F39-006557E90B78}"/>
    <cellStyle name="Millares [0] 12 2 2 2 9" xfId="49874" xr:uid="{F3BEF76C-FFCD-4AA7-A825-D3FE0FA1EBE0}"/>
    <cellStyle name="Millares [0] 12 2 2 3" xfId="7510" xr:uid="{5173F534-5980-480A-9A4B-AFCBA501B6A1}"/>
    <cellStyle name="Millares [0] 12 2 2 3 2" xfId="12332" xr:uid="{622F44C6-8D25-4633-BCE3-6F5717F7CB50}"/>
    <cellStyle name="Millares [0] 12 2 2 3 2 2" xfId="41909" xr:uid="{39C97E83-1827-4DB8-B133-0CD68FE510FC}"/>
    <cellStyle name="Millares [0] 12 2 2 3 2 3" xfId="21910" xr:uid="{687A1DEE-AE63-4F8D-9056-EF41F926D157}"/>
    <cellStyle name="Millares [0] 12 2 2 3 3" xfId="15173" xr:uid="{A409A72F-8348-40C5-A3F6-941182E21576}"/>
    <cellStyle name="Millares [0] 12 2 2 3 3 2" xfId="27744" xr:uid="{66D947D5-F27A-4257-8D1E-375C95E7E2F0}"/>
    <cellStyle name="Millares [0] 12 2 2 3 4" xfId="15620" xr:uid="{11605C6B-8BD1-459B-A027-259AC3BB3CB8}"/>
    <cellStyle name="Millares [0] 12 2 2 3 4 2" xfId="33626" xr:uid="{19895D74-C39B-448A-8291-2AD13887D324}"/>
    <cellStyle name="Millares [0] 12 2 2 3 5" xfId="39490" xr:uid="{DC9B52B6-1944-4393-8A21-B9A95C7BDBFD}"/>
    <cellStyle name="Millares [0] 12 2 2 3 6" xfId="17997" xr:uid="{47793878-C2F8-43CF-B2C0-B88E6BDD07CE}"/>
    <cellStyle name="Millares [0] 12 2 2 3 7" xfId="49989" xr:uid="{9B29D3F8-558B-439A-A0FD-8BC4438FE602}"/>
    <cellStyle name="Millares [0] 12 2 2 4" xfId="4647" xr:uid="{58546BFA-08B4-4CA3-9DCF-7EBDD2430D62}"/>
    <cellStyle name="Millares [0] 12 2 2 4 2" xfId="12145" xr:uid="{8B9CAD15-57BD-4D62-B397-F2B70998490A}"/>
    <cellStyle name="Millares [0] 12 2 2 4 2 2" xfId="41722" xr:uid="{DB3FB7D6-B7E0-48B9-86B6-D4215E54EE32}"/>
    <cellStyle name="Millares [0] 12 2 2 4 3" xfId="14986" xr:uid="{49BC6ACA-8526-43A3-ADC7-516752E086EA}"/>
    <cellStyle name="Millares [0] 12 2 2 4 4" xfId="19141" xr:uid="{B0CF580A-DBE6-4022-8749-49D4A9655819}"/>
    <cellStyle name="Millares [0] 12 2 2 4 5" xfId="49802" xr:uid="{A822CBD8-3889-4E2C-9D20-DB1F08BB5041}"/>
    <cellStyle name="Millares [0] 12 2 2 5" xfId="10531" xr:uid="{C8EE219A-6FED-47E4-BD10-ADA1D85313C9}"/>
    <cellStyle name="Millares [0] 12 2 2 5 2" xfId="24895" xr:uid="{3FF6E694-BCE7-4051-98C2-59F8A039B77F}"/>
    <cellStyle name="Millares [0] 12 2 2 6" xfId="13371" xr:uid="{3F476EFB-D0AC-4C05-A26A-11C20F3DCE9A}"/>
    <cellStyle name="Millares [0] 12 2 2 6 2" xfId="30771" xr:uid="{FBED37A3-B6EF-4861-BCE8-971CF2D7887A}"/>
    <cellStyle name="Millares [0] 12 2 2 7" xfId="15431" xr:uid="{7BA78ACF-B342-4943-B330-D8DC55B93D38}"/>
    <cellStyle name="Millares [0] 12 2 2 7 2" xfId="36652" xr:uid="{E4C0AA93-A239-4B47-99F9-81A08F0C66CF}"/>
    <cellStyle name="Millares [0] 12 2 2 8" xfId="17619" xr:uid="{38042185-7921-435A-B745-602211F5C55D}"/>
    <cellStyle name="Millares [0] 12 2 2 9" xfId="43295" xr:uid="{4A200F79-8A75-49B0-A9B3-C7DFD20DB314}"/>
    <cellStyle name="Millares [0] 12 2 3" xfId="2678" xr:uid="{85A68BED-270A-4283-97ED-EF2A1D90D23F}"/>
    <cellStyle name="Millares [0] 12 2 3 2" xfId="7997" xr:uid="{5E8AE470-0F6D-407B-8276-3C88FD92F6BC}"/>
    <cellStyle name="Millares [0] 12 2 3 2 2" xfId="12368" xr:uid="{67856D28-B79B-46B7-BC23-3498DA5D3D15}"/>
    <cellStyle name="Millares [0] 12 2 3 2 2 2" xfId="41945" xr:uid="{72BE8A4D-07F1-4076-B63C-689244ABBDFF}"/>
    <cellStyle name="Millares [0] 12 2 3 2 2 3" xfId="22381" xr:uid="{50B5D650-A6AF-4C7B-9AE7-40987BF26785}"/>
    <cellStyle name="Millares [0] 12 2 3 2 3" xfId="15209" xr:uid="{181C1536-9738-4360-A159-D82D50921A8F}"/>
    <cellStyle name="Millares [0] 12 2 3 2 3 2" xfId="28230" xr:uid="{38FAEFC3-94A9-4307-8B07-718F3AB06445}"/>
    <cellStyle name="Millares [0] 12 2 3 2 4" xfId="15656" xr:uid="{BEB5E780-668F-4445-A89C-47617726BA84}"/>
    <cellStyle name="Millares [0] 12 2 3 2 4 2" xfId="34112" xr:uid="{56DEE100-0170-466E-81BE-62BF68FA6F57}"/>
    <cellStyle name="Millares [0] 12 2 3 2 5" xfId="39976" xr:uid="{B9F8B212-8A4B-4F56-A2DC-5D2A3C41B69A}"/>
    <cellStyle name="Millares [0] 12 2 3 2 6" xfId="18068" xr:uid="{CDE79C43-B99D-4417-9F6D-2DB122C7D758}"/>
    <cellStyle name="Millares [0] 12 2 3 2 7" xfId="46109" xr:uid="{7AE137A1-C85B-4AD9-873D-0948D5EF71F7}"/>
    <cellStyle name="Millares [0] 12 2 3 2 8" xfId="50025" xr:uid="{4F5CAF12-70D6-4C6E-8807-8D4CDFC9A85E}"/>
    <cellStyle name="Millares [0] 12 2 3 3" xfId="5130" xr:uid="{1C14F7CF-7EBA-47EC-9982-E87C3D275ED9}"/>
    <cellStyle name="Millares [0] 12 2 3 3 2" xfId="12181" xr:uid="{8B2D2866-B5F0-40E3-B0E7-A47C259A488F}"/>
    <cellStyle name="Millares [0] 12 2 3 3 2 2" xfId="41758" xr:uid="{A6254842-1DBB-4ACE-9F09-D57B5597BFD1}"/>
    <cellStyle name="Millares [0] 12 2 3 3 3" xfId="15022" xr:uid="{D1D32CDA-8BA9-4F58-8F9C-ED54690ADC34}"/>
    <cellStyle name="Millares [0] 12 2 3 3 4" xfId="19605" xr:uid="{2F6323BB-26C5-45A7-88BE-A443B1E0B141}"/>
    <cellStyle name="Millares [0] 12 2 3 3 5" xfId="49838" xr:uid="{15CBEE06-B52D-44D9-81D2-CC64FA02E10C}"/>
    <cellStyle name="Millares [0] 12 2 3 4" xfId="10949" xr:uid="{38BD3DBC-5AF3-4FBD-B19F-69A3FC805A1F}"/>
    <cellStyle name="Millares [0] 12 2 3 4 2" xfId="25381" xr:uid="{8695BE57-51BC-48C3-907F-AF9281F9F01B}"/>
    <cellStyle name="Millares [0] 12 2 3 5" xfId="13789" xr:uid="{0E173602-839B-4F6A-96C2-C8F2AED58D65}"/>
    <cellStyle name="Millares [0] 12 2 3 5 2" xfId="31255" xr:uid="{D3F988E7-4431-487D-A375-737B32F9B19B}"/>
    <cellStyle name="Millares [0] 12 2 3 6" xfId="15468" xr:uid="{83753389-FEFC-4924-B9FE-4BBF136B8F98}"/>
    <cellStyle name="Millares [0] 12 2 3 6 2" xfId="37132" xr:uid="{7C811C96-7008-429A-9966-8D36FFED1868}"/>
    <cellStyle name="Millares [0] 12 2 3 7" xfId="17684" xr:uid="{3F8FA422-7CBE-422C-BF75-A52CE55858C1}"/>
    <cellStyle name="Millares [0] 12 2 3 8" xfId="43713" xr:uid="{4EF0B8CE-D171-4355-9A7D-5A9D620EAA0D}"/>
    <cellStyle name="Millares [0] 12 2 3 9" xfId="48606" xr:uid="{AB880598-7054-4006-A8B0-7031DFC9CECF}"/>
    <cellStyle name="Millares [0] 12 2 4" xfId="3222" xr:uid="{A3393AD5-BBB8-4150-B659-BD1406450C04}"/>
    <cellStyle name="Millares [0] 12 2 4 2" xfId="7025" xr:uid="{3D7F391C-841E-4761-AB65-F8173B058BDE}"/>
    <cellStyle name="Millares [0] 12 2 4 2 2" xfId="12296" xr:uid="{21A4FFB8-C79D-41E7-9879-A321F30E259C}"/>
    <cellStyle name="Millares [0] 12 2 4 2 2 2" xfId="41873" xr:uid="{A594E252-7AA1-49C6-8501-2033B387794B}"/>
    <cellStyle name="Millares [0] 12 2 4 2 3" xfId="15137" xr:uid="{449A1990-5E52-4368-8111-E71D21565BEF}"/>
    <cellStyle name="Millares [0] 12 2 4 2 4" xfId="21442" xr:uid="{CCD9A5E4-B884-4BE7-B313-34C7B8E8A120}"/>
    <cellStyle name="Millares [0] 12 2 4 2 5" xfId="46653" xr:uid="{71486C39-52DD-4B30-9885-9592BAF92AE0}"/>
    <cellStyle name="Millares [0] 12 2 4 2 6" xfId="49953" xr:uid="{3C7CFBFF-364F-46D4-97D7-80DB0157D84E}"/>
    <cellStyle name="Millares [0] 12 2 4 3" xfId="11493" xr:uid="{70E164C5-698A-4C92-A7C5-5B119DB6DB37}"/>
    <cellStyle name="Millares [0] 12 2 4 3 2" xfId="27262" xr:uid="{DD833519-30CA-4C89-874F-4C9D708C6486}"/>
    <cellStyle name="Millares [0] 12 2 4 4" xfId="14333" xr:uid="{E92C91B2-EE87-44F7-9D9A-FDC2E1317543}"/>
    <cellStyle name="Millares [0] 12 2 4 4 2" xfId="33141" xr:uid="{567A62A6-CA3A-4E11-956A-FAD9E46CBE3F}"/>
    <cellStyle name="Millares [0] 12 2 4 5" xfId="15584" xr:uid="{D3DFCBBC-5CC2-4674-8192-678A3774A3D9}"/>
    <cellStyle name="Millares [0] 12 2 4 5 2" xfId="39005" xr:uid="{3050CFC4-3644-436C-9EAE-15D6FBBF7A16}"/>
    <cellStyle name="Millares [0] 12 2 4 6" xfId="17930" xr:uid="{077E848F-09C2-413E-818E-0A530E8C1059}"/>
    <cellStyle name="Millares [0] 12 2 4 7" xfId="44257" xr:uid="{2AA448C2-1D60-4AD4-8041-3F2DF43774EF}"/>
    <cellStyle name="Millares [0] 12 2 4 8" xfId="49150" xr:uid="{8AF32FAC-6E1C-462E-A169-C598A30E4749}"/>
    <cellStyle name="Millares [0] 12 2 5" xfId="3724" xr:uid="{EF699514-C103-46C4-B40E-04A69A7CA3BA}"/>
    <cellStyle name="Millares [0] 12 2 5 2" xfId="11965" xr:uid="{78BD6BAC-59E1-4777-B299-B6437FE2E189}"/>
    <cellStyle name="Millares [0] 12 2 5 2 2" xfId="41685" xr:uid="{D54ED0B6-A9A6-496D-BAD0-9A4392317036}"/>
    <cellStyle name="Millares [0] 12 2 5 3" xfId="14805" xr:uid="{89F86545-611A-4AAB-9451-112D31480443}"/>
    <cellStyle name="Millares [0] 12 2 5 4" xfId="18697" xr:uid="{A2CCACB6-E367-4F0B-9CBE-9990348CF4EB}"/>
    <cellStyle name="Millares [0] 12 2 5 5" xfId="44729" xr:uid="{FE8DFDD4-3844-48ED-9BCA-6C35EC15CDDE}"/>
    <cellStyle name="Millares [0] 12 2 5 6" xfId="49622" xr:uid="{A0B68C68-F478-485B-AD43-F12A1CEA7A35}"/>
    <cellStyle name="Millares [0] 12 2 6" xfId="4169" xr:uid="{93A14228-5D66-4FFC-A6F0-3D78B6AABBCB}"/>
    <cellStyle name="Millares [0] 12 2 6 2" xfId="12108" xr:uid="{5A23BE8D-3F01-4F9A-9386-112D31B2E857}"/>
    <cellStyle name="Millares [0] 12 2 6 3" xfId="14949" xr:uid="{46898EB7-416C-4CCA-B132-B916693B9C1B}"/>
    <cellStyle name="Millares [0] 12 2 6 4" xfId="24412" xr:uid="{A9254ABB-BB24-4DCE-B486-018037450479}"/>
    <cellStyle name="Millares [0] 12 2 6 5" xfId="45147" xr:uid="{CE590DD4-1D04-404B-8D10-09A5838BC866}"/>
    <cellStyle name="Millares [0] 12 2 6 6" xfId="49765" xr:uid="{7294F75A-A6F9-47CD-9143-71B1A86F1EFF}"/>
    <cellStyle name="Millares [0] 12 2 7" xfId="9987" xr:uid="{EABC7DB3-F295-4869-B62E-74C085F29500}"/>
    <cellStyle name="Millares [0] 12 2 7 2" xfId="30289" xr:uid="{951A3517-2624-44B2-B96D-A15A36C95159}"/>
    <cellStyle name="Millares [0] 12 2 8" xfId="12827" xr:uid="{A1BC04C3-0FA4-47F4-9D2F-895604580692}"/>
    <cellStyle name="Millares [0] 12 2 8 2" xfId="36169" xr:uid="{1E9A2CBD-E35A-4115-8C26-3B2B3937522D}"/>
    <cellStyle name="Millares [0] 12 2 9" xfId="15394" xr:uid="{7E9FC6A3-41C3-4C3B-A65B-DD0DEB49B641}"/>
    <cellStyle name="Millares [0] 12 3" xfId="2150" xr:uid="{967E3F6F-E71D-4AD1-A219-34C0E074A724}"/>
    <cellStyle name="Millares [0] 12 3 10" xfId="48078" xr:uid="{8C0FA744-3639-45FE-A373-0C2707B4F166}"/>
    <cellStyle name="Millares [0] 12 3 2" xfId="5419" xr:uid="{787106E4-ED01-41AE-B0AB-21FD0490AEC2}"/>
    <cellStyle name="Millares [0] 12 3 2 2" xfId="8286" xr:uid="{876580DA-0FED-4F91-A2D9-451D8DE10A42}"/>
    <cellStyle name="Millares [0] 12 3 2 2 2" xfId="12392" xr:uid="{A3DC77D1-239F-4D81-8CE1-1DCB54D5074E}"/>
    <cellStyle name="Millares [0] 12 3 2 2 2 2" xfId="41969" xr:uid="{FA48CBDD-5A19-428E-A899-3A4B1F8ED4CC}"/>
    <cellStyle name="Millares [0] 12 3 2 2 2 3" xfId="22662" xr:uid="{3E8054AB-3FC7-4E27-A7EE-0CD32F327484}"/>
    <cellStyle name="Millares [0] 12 3 2 2 3" xfId="15233" xr:uid="{7FE4EA6B-7B71-492D-9D16-7FD796292C53}"/>
    <cellStyle name="Millares [0] 12 3 2 2 3 2" xfId="28519" xr:uid="{7F3D328D-8EFE-4803-B0B8-3F81B37E4C59}"/>
    <cellStyle name="Millares [0] 12 3 2 2 4" xfId="15680" xr:uid="{EAB57F97-66FD-4FD4-9419-2DD221324FA8}"/>
    <cellStyle name="Millares [0] 12 3 2 2 4 2" xfId="34401" xr:uid="{385160E5-CB99-415C-A547-6389EB88DE6B}"/>
    <cellStyle name="Millares [0] 12 3 2 2 5" xfId="40265" xr:uid="{8AF8186F-B678-4226-B280-6739A821DFB6}"/>
    <cellStyle name="Millares [0] 12 3 2 2 6" xfId="18112" xr:uid="{22F882EF-8C54-4FC4-816A-A6FEB7FC1C60}"/>
    <cellStyle name="Millares [0] 12 3 2 2 7" xfId="50049" xr:uid="{B6BA822E-E144-453D-8F2A-99E679A2730C}"/>
    <cellStyle name="Millares [0] 12 3 2 3" xfId="12205" xr:uid="{898023B2-252B-486C-85B7-812DFDF65B3C}"/>
    <cellStyle name="Millares [0] 12 3 2 3 2" xfId="41782" xr:uid="{D2CE72C7-F2C1-4591-908E-D3D27AA25339}"/>
    <cellStyle name="Millares [0] 12 3 2 3 3" xfId="19884" xr:uid="{07373090-6058-441F-B98C-F1246D274EA4}"/>
    <cellStyle name="Millares [0] 12 3 2 4" xfId="15046" xr:uid="{CD28B3CD-2479-4078-88DB-8890AAAA5DCF}"/>
    <cellStyle name="Millares [0] 12 3 2 4 2" xfId="25670" xr:uid="{023C0A0B-4842-4C39-B932-567C191C9CE8}"/>
    <cellStyle name="Millares [0] 12 3 2 5" xfId="15493" xr:uid="{AA2BE2EC-5395-4506-A86E-1AB3A75E01EC}"/>
    <cellStyle name="Millares [0] 12 3 2 5 2" xfId="31544" xr:uid="{2A0AE754-62E4-426A-9BB0-0C82948C0AC0}"/>
    <cellStyle name="Millares [0] 12 3 2 6" xfId="37415" xr:uid="{E9D5560D-A845-4347-A8D3-6FFD87F56249}"/>
    <cellStyle name="Millares [0] 12 3 2 7" xfId="17728" xr:uid="{12152CF8-23D9-4978-A23E-516C1EB22750}"/>
    <cellStyle name="Millares [0] 12 3 2 8" xfId="45581" xr:uid="{0A6B601D-908A-4652-ADE7-C01DB2FBCC12}"/>
    <cellStyle name="Millares [0] 12 3 2 9" xfId="49862" xr:uid="{8DBCD25F-BF7F-4925-8C76-346D7B81CB9E}"/>
    <cellStyle name="Millares [0] 12 3 3" xfId="7314" xr:uid="{E929451F-5A7F-47CC-A395-40E9760E4574}"/>
    <cellStyle name="Millares [0] 12 3 3 2" xfId="12320" xr:uid="{8DBC6BE2-9282-4AE0-AC2F-F567E1447D9D}"/>
    <cellStyle name="Millares [0] 12 3 3 2 2" xfId="41897" xr:uid="{8DB240EE-1977-4849-B240-331B54CA8538}"/>
    <cellStyle name="Millares [0] 12 3 3 2 3" xfId="21719" xr:uid="{D5A6240A-8A5F-4244-A848-90ABAE66CD67}"/>
    <cellStyle name="Millares [0] 12 3 3 3" xfId="15161" xr:uid="{6168D4F0-62AE-46A4-9F86-229B35629156}"/>
    <cellStyle name="Millares [0] 12 3 3 3 2" xfId="27548" xr:uid="{09AEC5F7-94D9-40B4-BD0F-D971FCFCCB5A}"/>
    <cellStyle name="Millares [0] 12 3 3 4" xfId="15608" xr:uid="{905A5E4C-ABCB-45D0-BA65-D0070257CA31}"/>
    <cellStyle name="Millares [0] 12 3 3 4 2" xfId="33430" xr:uid="{3BC08C71-6557-410C-9C96-25ABDA3B8BC4}"/>
    <cellStyle name="Millares [0] 12 3 3 5" xfId="39294" xr:uid="{5DB45BAB-8209-4C0C-A049-BEC959634D98}"/>
    <cellStyle name="Millares [0] 12 3 3 6" xfId="17972" xr:uid="{AF484914-8CED-44AE-B33D-3C384025B372}"/>
    <cellStyle name="Millares [0] 12 3 3 7" xfId="49977" xr:uid="{FF9644C8-9258-42AF-8E12-E3906B26D760}"/>
    <cellStyle name="Millares [0] 12 3 4" xfId="4452" xr:uid="{ECF7CC44-4201-438D-A036-17A68FCC6CAC}"/>
    <cellStyle name="Millares [0] 12 3 4 2" xfId="12133" xr:uid="{6CBF913A-AB87-41F7-9A0B-9A8B1ADF8778}"/>
    <cellStyle name="Millares [0] 12 3 4 2 2" xfId="41710" xr:uid="{4925EA86-1127-4AC4-AD87-718353D980BF}"/>
    <cellStyle name="Millares [0] 12 3 4 3" xfId="14974" xr:uid="{D58747EB-ABB0-4643-BEDD-F099C64CC553}"/>
    <cellStyle name="Millares [0] 12 3 4 4" xfId="18955" xr:uid="{021E01B2-1127-4168-9528-3300F83B29BE}"/>
    <cellStyle name="Millares [0] 12 3 4 5" xfId="49790" xr:uid="{4FA61F54-4400-48D8-A01D-846D80C6B0A9}"/>
    <cellStyle name="Millares [0] 12 3 5" xfId="10421" xr:uid="{7C4D34A5-CEF2-4B30-9352-64A18B2FD688}"/>
    <cellStyle name="Millares [0] 12 3 5 2" xfId="24699" xr:uid="{60EB2A18-8F8B-40B6-BB0C-E62617E56ABB}"/>
    <cellStyle name="Millares [0] 12 3 6" xfId="13261" xr:uid="{8E8F14F9-D92E-490A-93B1-4F276DC4CE4A}"/>
    <cellStyle name="Millares [0] 12 3 6 2" xfId="30577" xr:uid="{177FC73C-576F-49AE-8814-CC1C29D31B23}"/>
    <cellStyle name="Millares [0] 12 3 7" xfId="15419" xr:uid="{5A789EBA-98B8-4922-9E4D-CBB31492FC52}"/>
    <cellStyle name="Millares [0] 12 3 7 2" xfId="36458" xr:uid="{38606ED4-E7BE-4FCC-8F24-4CC45BE9E661}"/>
    <cellStyle name="Millares [0] 12 3 8" xfId="17598" xr:uid="{6CF3EC4A-EEC6-43F8-A141-02AF07EBA02F}"/>
    <cellStyle name="Millares [0] 12 3 9" xfId="43185" xr:uid="{0DFBD4AD-6053-44DC-867F-1E306C85C143}"/>
    <cellStyle name="Millares [0] 12 4" xfId="2568" xr:uid="{64F13E0C-E654-401D-8214-7D0E087B2AEC}"/>
    <cellStyle name="Millares [0] 12 4 2" xfId="7801" xr:uid="{C1CCCFEC-2A86-4B6E-BE08-61028DE25596}"/>
    <cellStyle name="Millares [0] 12 4 2 2" xfId="12356" xr:uid="{6DB02335-E0BE-44BC-8290-C137780EBC2B}"/>
    <cellStyle name="Millares [0] 12 4 2 2 2" xfId="41933" xr:uid="{BCE5B9A4-4AD7-42E1-8CAE-FFE5EF9B466A}"/>
    <cellStyle name="Millares [0] 12 4 2 2 3" xfId="22189" xr:uid="{F8DDE418-BF71-4851-8DAE-0E123EED1DD3}"/>
    <cellStyle name="Millares [0] 12 4 2 3" xfId="15197" xr:uid="{D3120502-C67A-4AE4-BF45-1E96A6E227F2}"/>
    <cellStyle name="Millares [0] 12 4 2 3 2" xfId="28034" xr:uid="{27549A69-B04B-4E03-848A-8C1DA7E4E8A2}"/>
    <cellStyle name="Millares [0] 12 4 2 4" xfId="15644" xr:uid="{7DCA0F83-4577-44BD-94E3-BB0E47CDB8B5}"/>
    <cellStyle name="Millares [0] 12 4 2 4 2" xfId="33916" xr:uid="{65AA2958-B39E-473B-BC14-2D0B91046009}"/>
    <cellStyle name="Millares [0] 12 4 2 5" xfId="39780" xr:uid="{1A427A87-F42E-4A5E-98B2-7C6CCACE4F4E}"/>
    <cellStyle name="Millares [0] 12 4 2 6" xfId="18042" xr:uid="{E7FA2352-D66B-4797-BB33-411EFBDCBC72}"/>
    <cellStyle name="Millares [0] 12 4 2 7" xfId="45999" xr:uid="{A523A773-1BDD-466F-82AB-A38A4744622C}"/>
    <cellStyle name="Millares [0] 12 4 2 8" xfId="50013" xr:uid="{2DCC5686-E872-490D-B13E-68A6A0BA757C}"/>
    <cellStyle name="Millares [0] 12 4 3" xfId="4934" xr:uid="{B103DFFF-A5E9-44ED-BAA7-477F12A74E77}"/>
    <cellStyle name="Millares [0] 12 4 3 2" xfId="12169" xr:uid="{F464081E-03C6-48D2-BAA0-071A5C21A626}"/>
    <cellStyle name="Millares [0] 12 4 3 2 2" xfId="41746" xr:uid="{6EA7133B-5A8D-44DD-BDDB-D9559BADB4CD}"/>
    <cellStyle name="Millares [0] 12 4 3 3" xfId="15010" xr:uid="{E4E9766B-1C44-4A77-BC16-7329AA69679C}"/>
    <cellStyle name="Millares [0] 12 4 3 4" xfId="19416" xr:uid="{AFCC9076-9E4E-4E55-8A6F-ABEBF4506107}"/>
    <cellStyle name="Millares [0] 12 4 3 5" xfId="49826" xr:uid="{580EF481-B26A-433A-A643-FA2D6035D4C1}"/>
    <cellStyle name="Millares [0] 12 4 4" xfId="10839" xr:uid="{27CE2550-86CB-4760-950C-D7CB2323BBF7}"/>
    <cellStyle name="Millares [0] 12 4 4 2" xfId="25185" xr:uid="{4E2ACE57-07C8-45F8-9E21-17B78EF24808}"/>
    <cellStyle name="Millares [0] 12 4 5" xfId="13679" xr:uid="{3CEB2C46-9BFE-489C-A47C-07A034D1ECA9}"/>
    <cellStyle name="Millares [0] 12 4 5 2" xfId="31059" xr:uid="{A6F53C63-70F1-4266-83D1-A1CCCAA01751}"/>
    <cellStyle name="Millares [0] 12 4 6" xfId="15456" xr:uid="{038F8F00-B1BD-4953-9070-14391A0F8FC4}"/>
    <cellStyle name="Millares [0] 12 4 6 2" xfId="36938" xr:uid="{E8A52753-8DCE-43E5-A785-528C1C06A2A9}"/>
    <cellStyle name="Millares [0] 12 4 7" xfId="17662" xr:uid="{93A0EA6C-77D2-46B5-A745-64FC87CDE4F5}"/>
    <cellStyle name="Millares [0] 12 4 8" xfId="43603" xr:uid="{73877677-AA0A-42BF-99B0-DDAE2530A4A4}"/>
    <cellStyle name="Millares [0] 12 4 9" xfId="48496" xr:uid="{B57649BA-515C-4EF4-BBBF-A9772FBC56D8}"/>
    <cellStyle name="Millares [0] 12 5" xfId="3112" xr:uid="{9D29CA6F-C6D0-4840-B531-8D032A14FAA9}"/>
    <cellStyle name="Millares [0] 12 5 2" xfId="8813" xr:uid="{6E7CE1AF-625E-466B-8287-C8127925D525}"/>
    <cellStyle name="Millares [0] 12 5 2 2" xfId="12428" xr:uid="{86070C75-19B9-4673-91E8-CDC03B3C074C}"/>
    <cellStyle name="Millares [0] 12 5 2 2 2" xfId="42005" xr:uid="{CBF15EBA-0786-4EC9-B787-43A1A02D241A}"/>
    <cellStyle name="Millares [0] 12 5 2 2 3" xfId="23179" xr:uid="{F94036E6-7FA7-4CB8-8746-1BEDBD4E6BE4}"/>
    <cellStyle name="Millares [0] 12 5 2 3" xfId="15269" xr:uid="{DD8B7217-0A1B-4EA6-A2D0-DD17EECACCA3}"/>
    <cellStyle name="Millares [0] 12 5 2 3 2" xfId="29045" xr:uid="{9220278C-F450-4E06-A4E7-9C25F8CD73D1}"/>
    <cellStyle name="Millares [0] 12 5 2 4" xfId="15718" xr:uid="{781F0419-B4D2-4D90-823C-A95368BAD97F}"/>
    <cellStyle name="Millares [0] 12 5 2 4 2" xfId="34927" xr:uid="{73996402-8B9A-4AB8-806D-6B816DFD1342}"/>
    <cellStyle name="Millares [0] 12 5 2 5" xfId="40791" xr:uid="{236E2DB2-A4D1-448C-9A26-D5B985B4C834}"/>
    <cellStyle name="Millares [0] 12 5 2 6" xfId="18179" xr:uid="{7C1E154B-797A-4813-9566-0ABBE058520A}"/>
    <cellStyle name="Millares [0] 12 5 2 7" xfId="46543" xr:uid="{B2D4A2A6-4433-479C-B4E6-B9C1775C1342}"/>
    <cellStyle name="Millares [0] 12 5 2 8" xfId="50085" xr:uid="{2FB17468-4849-457A-AD23-FC9B1188F190}"/>
    <cellStyle name="Millares [0] 12 5 3" xfId="5944" xr:uid="{FEFC6BE8-9FC8-42CA-B9E0-2DFFCD0EA66B}"/>
    <cellStyle name="Millares [0] 12 5 3 2" xfId="12241" xr:uid="{38558C97-5E5C-483A-B96B-84A3275AB6AC}"/>
    <cellStyle name="Millares [0] 12 5 3 2 2" xfId="41818" xr:uid="{BA3D87AA-8343-4C05-A695-9A5C90B83A6F}"/>
    <cellStyle name="Millares [0] 12 5 3 3" xfId="15082" xr:uid="{326A4B0E-5552-4F65-BB91-77475325CBE9}"/>
    <cellStyle name="Millares [0] 12 5 3 4" xfId="20394" xr:uid="{68D9E86A-F946-4679-84D7-550428200BC8}"/>
    <cellStyle name="Millares [0] 12 5 3 5" xfId="49898" xr:uid="{8F0E0F37-1723-40A9-8B3B-45DFE71B8556}"/>
    <cellStyle name="Millares [0] 12 5 4" xfId="11383" xr:uid="{BB46FD40-37E3-4428-B2AF-AC61C2581D8D}"/>
    <cellStyle name="Millares [0] 12 5 4 2" xfId="26195" xr:uid="{4E4EC800-31D5-4133-90ED-BB0CCB4C60BA}"/>
    <cellStyle name="Millares [0] 12 5 5" xfId="14223" xr:uid="{BC6B6812-0EC5-4CD6-8F3F-7EBD447B5F44}"/>
    <cellStyle name="Millares [0] 12 5 5 2" xfId="32070" xr:uid="{CE476E6B-060F-4ECC-9689-191E212DC98A}"/>
    <cellStyle name="Millares [0] 12 5 6" xfId="15529" xr:uid="{9F28C5D1-0062-4D4B-A7DF-20E6DD1D1B32}"/>
    <cellStyle name="Millares [0] 12 5 6 2" xfId="37935" xr:uid="{D7FCCAC4-859B-48A5-A5B3-C87B45B2E49E}"/>
    <cellStyle name="Millares [0] 12 5 7" xfId="17797" xr:uid="{DCE3C702-039F-437E-8B84-63E56DC56838}"/>
    <cellStyle name="Millares [0] 12 5 8" xfId="44147" xr:uid="{64047DC0-2766-4E14-A72B-9625297E6A97}"/>
    <cellStyle name="Millares [0] 12 5 9" xfId="49040" xr:uid="{D843028D-5E08-45DF-842C-D90BE6FACE04}"/>
    <cellStyle name="Millares [0] 12 6" xfId="3614" xr:uid="{40B78BCE-9555-4A37-A16B-EBD9C7CBB337}"/>
    <cellStyle name="Millares [0] 12 6 2" xfId="6830" xr:uid="{4FA5CD0F-F203-45CE-B4D9-0D0C5E5C0A96}"/>
    <cellStyle name="Millares [0] 12 6 2 2" xfId="12284" xr:uid="{F7ADA6CA-9F29-4EBC-9232-6A717D89BEB6}"/>
    <cellStyle name="Millares [0] 12 6 2 2 2" xfId="41861" xr:uid="{B74E5B99-3F98-4BAF-BC76-F7A6EBC337D4}"/>
    <cellStyle name="Millares [0] 12 6 2 3" xfId="15125" xr:uid="{950F5179-6623-40F7-B52F-3EFCB72A4D38}"/>
    <cellStyle name="Millares [0] 12 6 2 4" xfId="21253" xr:uid="{1B9D5DED-3FC5-4E8C-90C9-D68308766D3B}"/>
    <cellStyle name="Millares [0] 12 6 2 5" xfId="49941" xr:uid="{1D3089A8-3E48-4375-8D9B-9A8EEBFF87C5}"/>
    <cellStyle name="Millares [0] 12 6 3" xfId="11855" xr:uid="{2BAD91C7-76AD-4AC7-96E3-AC4D58AB91EB}"/>
    <cellStyle name="Millares [0] 12 6 3 2" xfId="27068" xr:uid="{B499EBE6-BFD8-4628-9D7B-94C2BC947040}"/>
    <cellStyle name="Millares [0] 12 6 4" xfId="14695" xr:uid="{B87911EE-163B-43FD-951B-E00860C4F8FD}"/>
    <cellStyle name="Millares [0] 12 6 4 2" xfId="32945" xr:uid="{DC172342-D0A0-4999-863B-26BFF170998D}"/>
    <cellStyle name="Millares [0] 12 6 5" xfId="15572" xr:uid="{69217B9B-AF70-4055-83D0-97D618C2F3DF}"/>
    <cellStyle name="Millares [0] 12 6 5 2" xfId="38809" xr:uid="{67B63E23-0A99-4D7E-9734-AE059FE384F6}"/>
    <cellStyle name="Millares [0] 12 6 6" xfId="17903" xr:uid="{EA3BAC6C-D685-4F35-B5EE-0C7D2E00120B}"/>
    <cellStyle name="Millares [0] 12 6 7" xfId="44619" xr:uid="{CE1218BA-86A1-4A61-A57A-94AB4091C41C}"/>
    <cellStyle name="Millares [0] 12 6 8" xfId="49512" xr:uid="{5DA324B0-D65B-4C76-AEA2-0539354D8816}"/>
    <cellStyle name="Millares [0] 12 7" xfId="3977" xr:uid="{AB69F2A2-DE66-48C5-8BDD-26FB46FF8D0B}"/>
    <cellStyle name="Millares [0] 12 7 2" xfId="12092" xr:uid="{69F9E32B-84D4-4811-A84C-72024701A96E}"/>
    <cellStyle name="Millares [0] 12 7 2 2" xfId="41669" xr:uid="{BAEEA1D7-D8D6-4FCB-B4B5-0BC987E58FC9}"/>
    <cellStyle name="Millares [0] 12 7 3" xfId="14933" xr:uid="{AB378F3B-3D09-4653-8F15-5ED2EF248739}"/>
    <cellStyle name="Millares [0] 12 7 4" xfId="18504" xr:uid="{C0BDD4C2-294D-4E45-A26B-EBB107C74D9E}"/>
    <cellStyle name="Millares [0] 12 7 5" xfId="45037" xr:uid="{12260082-9274-4387-8B0D-684FEEE2F37A}"/>
    <cellStyle name="Millares [0] 12 7 6" xfId="49749" xr:uid="{657511FA-104B-4180-A6A2-62725E8522BC}"/>
    <cellStyle name="Millares [0] 12 8" xfId="9877" xr:uid="{5D15F2B8-CCBB-4BD3-A6EC-20069F70AD5B}"/>
    <cellStyle name="Millares [0] 12 8 2" xfId="24212" xr:uid="{D87DF977-5DC8-4CB7-AAA4-0BD4515EC408}"/>
    <cellStyle name="Millares [0] 12 9" xfId="12717" xr:uid="{53D2F2F9-ABA3-4403-97C1-0FB3C4DD7522}"/>
    <cellStyle name="Millares [0] 12 9 2" xfId="30090" xr:uid="{0085546E-CBA1-40EC-85D5-1EBEDE5733FC}"/>
    <cellStyle name="Millares [0] 13" xfId="335" xr:uid="{00000000-0005-0000-0000-0000E6000000}"/>
    <cellStyle name="Millares [0] 13 10" xfId="15379" xr:uid="{3D23CE95-6265-4856-A5EB-2E9C8C8C3B53}"/>
    <cellStyle name="Millares [0] 13 10 2" xfId="35975" xr:uid="{2D8C16F3-529E-48E4-A10D-F89A7FDBCE35}"/>
    <cellStyle name="Millares [0] 13 11" xfId="16066" xr:uid="{79A19C7B-C009-4E46-8284-AC06AB9D628F}"/>
    <cellStyle name="Millares [0] 13 12" xfId="16609" xr:uid="{E5C958BA-D173-41AE-BD15-AF45E4C7A443}"/>
    <cellStyle name="Millares [0] 13 13" xfId="17153" xr:uid="{A99102D9-F1D5-4D16-96A2-271EE91044CF}"/>
    <cellStyle name="Millares [0] 13 14" xfId="17528" xr:uid="{0104F918-1A40-44AB-8161-031443CDAB30}"/>
    <cellStyle name="Millares [0] 13 15" xfId="42647" xr:uid="{51CD2378-C495-45F3-91F4-013FB8F1B223}"/>
    <cellStyle name="Millares [0] 13 16" xfId="47540" xr:uid="{CD4D80B0-D0BA-42F6-9EB2-106DAD4C94AE}"/>
    <cellStyle name="Millares [0] 13 2" xfId="2156" xr:uid="{25E78441-2F76-4516-B274-9C107E48D54C}"/>
    <cellStyle name="Millares [0] 13 2 10" xfId="43191" xr:uid="{45EA538C-07E2-4638-B6F1-5DDF142772E4}"/>
    <cellStyle name="Millares [0] 13 2 11" xfId="48084" xr:uid="{60830D7B-ED7C-46FC-AF09-C58986A139A9}"/>
    <cellStyle name="Millares [0] 13 2 2" xfId="4652" xr:uid="{F0901F5C-DDF1-4364-A2CC-C03023183A74}"/>
    <cellStyle name="Millares [0] 13 2 2 10" xfId="49803" xr:uid="{D2FCFB6A-5A37-4BBF-99F7-479223E93579}"/>
    <cellStyle name="Millares [0] 13 2 2 2" xfId="5620" xr:uid="{CD680412-BE88-4B9D-A5DA-E3CF26BC3CC8}"/>
    <cellStyle name="Millares [0] 13 2 2 2 2" xfId="8487" xr:uid="{DE6E5106-2C7F-4D4E-B9F6-2B5641696F61}"/>
    <cellStyle name="Millares [0] 13 2 2 2 2 2" xfId="12405" xr:uid="{5A12CCB5-DCD0-4E75-87C8-C69E959689E1}"/>
    <cellStyle name="Millares [0] 13 2 2 2 2 2 2" xfId="41982" xr:uid="{25CD155D-35BF-4BF5-8492-A77CC48CF257}"/>
    <cellStyle name="Millares [0] 13 2 2 2 2 2 3" xfId="22861" xr:uid="{278A3680-0A1B-4BF9-8126-032E3967DEE4}"/>
    <cellStyle name="Millares [0] 13 2 2 2 2 3" xfId="15246" xr:uid="{ECB2478F-1B07-41D9-BDA8-8ED3C75909A5}"/>
    <cellStyle name="Millares [0] 13 2 2 2 2 3 2" xfId="28720" xr:uid="{24157080-495B-49B7-A880-66E6BDDA7342}"/>
    <cellStyle name="Millares [0] 13 2 2 2 2 4" xfId="15694" xr:uid="{1B8AC5F2-199D-451B-8A88-4677480B5114}"/>
    <cellStyle name="Millares [0] 13 2 2 2 2 4 2" xfId="34602" xr:uid="{CC58D066-A19D-457B-8E4E-B4A37323017F}"/>
    <cellStyle name="Millares [0] 13 2 2 2 2 5" xfId="40466" xr:uid="{4E710E97-7223-437A-A251-D77C65D0642F}"/>
    <cellStyle name="Millares [0] 13 2 2 2 2 6" xfId="18138" xr:uid="{AF0D1229-1752-4CFB-BB3A-358C210E4867}"/>
    <cellStyle name="Millares [0] 13 2 2 2 2 7" xfId="50062" xr:uid="{60F6A212-0102-441D-BF23-B2483E0D9469}"/>
    <cellStyle name="Millares [0] 13 2 2 2 3" xfId="12218" xr:uid="{E3B992E7-1FCC-4CE9-81E2-F818808E0F04}"/>
    <cellStyle name="Millares [0] 13 2 2 2 3 2" xfId="41795" xr:uid="{4C11C49F-821D-4155-9AE5-584E85064115}"/>
    <cellStyle name="Millares [0] 13 2 2 2 3 3" xfId="20079" xr:uid="{6125DF19-7F60-4EC0-83EE-C7E8892A03C8}"/>
    <cellStyle name="Millares [0] 13 2 2 2 4" xfId="15059" xr:uid="{15232DBF-CA10-4C90-B93E-94F54F02C8C2}"/>
    <cellStyle name="Millares [0] 13 2 2 2 4 2" xfId="25871" xr:uid="{F63EC18C-D37E-484E-A571-B2ABE1701E97}"/>
    <cellStyle name="Millares [0] 13 2 2 2 5" xfId="15506" xr:uid="{6FA43394-6F91-4F54-8CBA-B82FE1006535}"/>
    <cellStyle name="Millares [0] 13 2 2 2 5 2" xfId="31745" xr:uid="{BE74D481-1184-4CBA-9F82-83FCB08FB5D3}"/>
    <cellStyle name="Millares [0] 13 2 2 2 6" xfId="37614" xr:uid="{517DBC28-2973-4A32-9316-1A76DE3AF044}"/>
    <cellStyle name="Millares [0] 13 2 2 2 7" xfId="17752" xr:uid="{25DBE164-E4CA-409B-B3C8-C772A198D136}"/>
    <cellStyle name="Millares [0] 13 2 2 2 8" xfId="49875" xr:uid="{91B28978-BE57-4882-80F5-24AA3A57182D}"/>
    <cellStyle name="Millares [0] 13 2 2 3" xfId="7515" xr:uid="{39007DB0-8873-4E89-958B-3C42965385CC}"/>
    <cellStyle name="Millares [0] 13 2 2 3 2" xfId="12333" xr:uid="{E1593830-4B59-43E9-8D86-36B58A254D48}"/>
    <cellStyle name="Millares [0] 13 2 2 3 2 2" xfId="41910" xr:uid="{92317590-C249-4DCB-BE96-5D9B65DC31B4}"/>
    <cellStyle name="Millares [0] 13 2 2 3 2 3" xfId="21915" xr:uid="{1FD1DDCD-D4AB-4B28-819D-AF33006982C9}"/>
    <cellStyle name="Millares [0] 13 2 2 3 3" xfId="15174" xr:uid="{FBD0C2D4-1672-45AC-9DB7-A66D96EED19D}"/>
    <cellStyle name="Millares [0] 13 2 2 3 3 2" xfId="27749" xr:uid="{6D81BEBB-99E7-4E10-A158-DAA12A23CDD9}"/>
    <cellStyle name="Millares [0] 13 2 2 3 4" xfId="15621" xr:uid="{BC983861-E20C-4BF3-ABBC-858B90A0906F}"/>
    <cellStyle name="Millares [0] 13 2 2 3 4 2" xfId="33631" xr:uid="{A2EA09D1-0780-446D-9324-7FB05388B002}"/>
    <cellStyle name="Millares [0] 13 2 2 3 5" xfId="39495" xr:uid="{694598CC-C66C-46CB-8F82-328264B177E6}"/>
    <cellStyle name="Millares [0] 13 2 2 3 6" xfId="17998" xr:uid="{09DC325B-66A9-4C87-837D-7868DD86E944}"/>
    <cellStyle name="Millares [0] 13 2 2 3 7" xfId="49990" xr:uid="{C99B3CCD-D4B9-41A4-B501-B8D03D114BBC}"/>
    <cellStyle name="Millares [0] 13 2 2 4" xfId="12146" xr:uid="{23C7A928-C3D2-4C3A-BC18-B150A3EB6F95}"/>
    <cellStyle name="Millares [0] 13 2 2 4 2" xfId="41723" xr:uid="{0C621AD7-17D2-45F6-904B-8CB8ED75F32A}"/>
    <cellStyle name="Millares [0] 13 2 2 4 3" xfId="19144" xr:uid="{CCCEC6BB-901F-4CAA-B0F9-9F3CCBAC9779}"/>
    <cellStyle name="Millares [0] 13 2 2 5" xfId="14987" xr:uid="{DC1CC188-B592-4C4D-AC4D-CDA406BFB515}"/>
    <cellStyle name="Millares [0] 13 2 2 5 2" xfId="24900" xr:uid="{9DC5DC4A-177B-4AEB-AA23-F74042930492}"/>
    <cellStyle name="Millares [0] 13 2 2 6" xfId="15432" xr:uid="{C060E84C-EB9F-4AD9-AF80-D975C5D21776}"/>
    <cellStyle name="Millares [0] 13 2 2 6 2" xfId="30776" xr:uid="{39185CE8-D6F1-4159-82C2-9D8592567861}"/>
    <cellStyle name="Millares [0] 13 2 2 7" xfId="36657" xr:uid="{7A125F5A-9B47-4F17-8D0B-112286422C79}"/>
    <cellStyle name="Millares [0] 13 2 2 8" xfId="17620" xr:uid="{547E0200-1B78-4B22-AC7E-6957B83F7D1C}"/>
    <cellStyle name="Millares [0] 13 2 2 9" xfId="45587" xr:uid="{F9997F7D-C39B-47C2-A325-5CA13402277C}"/>
    <cellStyle name="Millares [0] 13 2 3" xfId="5135" xr:uid="{9A0152CF-A792-43D0-92D3-3034738DC7F9}"/>
    <cellStyle name="Millares [0] 13 2 3 2" xfId="8002" xr:uid="{9DBA1850-81E1-4127-8084-4C301143B93F}"/>
    <cellStyle name="Millares [0] 13 2 3 2 2" xfId="12369" xr:uid="{D876C83B-333D-4695-A8A9-64B55B07B8EB}"/>
    <cellStyle name="Millares [0] 13 2 3 2 2 2" xfId="41946" xr:uid="{1D6BBB23-E557-4426-BE45-15806C4775EF}"/>
    <cellStyle name="Millares [0] 13 2 3 2 2 3" xfId="22386" xr:uid="{37468704-2182-441C-A9F8-5903A02BFE81}"/>
    <cellStyle name="Millares [0] 13 2 3 2 3" xfId="15210" xr:uid="{FFDFDA50-BD6D-482E-97DB-BEF8E27B08DC}"/>
    <cellStyle name="Millares [0] 13 2 3 2 3 2" xfId="28235" xr:uid="{FAA9D6EF-6AB3-4017-8F69-696CA2D58750}"/>
    <cellStyle name="Millares [0] 13 2 3 2 4" xfId="15657" xr:uid="{BBDB7EBB-3AC0-4759-A69E-5EA2B1633804}"/>
    <cellStyle name="Millares [0] 13 2 3 2 4 2" xfId="34117" xr:uid="{9347303C-28E0-4141-95EA-58B14B8EC226}"/>
    <cellStyle name="Millares [0] 13 2 3 2 5" xfId="39981" xr:uid="{6479FE9C-5095-4C8C-A7F6-B7CF31F159A2}"/>
    <cellStyle name="Millares [0] 13 2 3 2 6" xfId="18069" xr:uid="{6AC944B6-C42A-4540-85C2-77433639B3D7}"/>
    <cellStyle name="Millares [0] 13 2 3 2 7" xfId="50026" xr:uid="{78BAD284-EA2D-4CAD-922A-E89840FC2516}"/>
    <cellStyle name="Millares [0] 13 2 3 3" xfId="12182" xr:uid="{4DAAFFFD-A992-453A-8549-5D8B9029F956}"/>
    <cellStyle name="Millares [0] 13 2 3 3 2" xfId="41759" xr:uid="{D9BF0A1C-7DBF-420C-8BCA-824244B44DCD}"/>
    <cellStyle name="Millares [0] 13 2 3 3 3" xfId="19609" xr:uid="{0868DF54-DE70-4DDF-918F-CDFEE9E43410}"/>
    <cellStyle name="Millares [0] 13 2 3 4" xfId="15023" xr:uid="{5C6B4C11-27F5-480C-B7DC-E3D04D8AA2A3}"/>
    <cellStyle name="Millares [0] 13 2 3 4 2" xfId="25386" xr:uid="{A6F1E1F9-1F04-4B4C-AADA-AAAD23A017B4}"/>
    <cellStyle name="Millares [0] 13 2 3 5" xfId="15469" xr:uid="{63ABAFD2-6B01-462C-8CE1-CCF06FE43734}"/>
    <cellStyle name="Millares [0] 13 2 3 5 2" xfId="31260" xr:uid="{CC282708-7875-4948-8D77-5DD599E978AB}"/>
    <cellStyle name="Millares [0] 13 2 3 6" xfId="37137" xr:uid="{08B8EBB1-E445-49C4-A35A-07F57322D391}"/>
    <cellStyle name="Millares [0] 13 2 3 7" xfId="17685" xr:uid="{F745DA2A-DCE9-450F-8A93-EF6411371F4F}"/>
    <cellStyle name="Millares [0] 13 2 3 8" xfId="49839" xr:uid="{743D980A-E1E5-4046-BF08-AACA38E33B6E}"/>
    <cellStyle name="Millares [0] 13 2 4" xfId="7030" xr:uid="{793B36D8-5DA5-4212-A663-1221470D4FDD}"/>
    <cellStyle name="Millares [0] 13 2 4 2" xfId="12297" xr:uid="{26C3C616-06D8-4662-8BC5-40E3D2DCEE50}"/>
    <cellStyle name="Millares [0] 13 2 4 2 2" xfId="41874" xr:uid="{BCC93F7A-C1FC-4513-847D-8F460D56380F}"/>
    <cellStyle name="Millares [0] 13 2 4 2 3" xfId="21446" xr:uid="{B25AEE5C-42BD-4391-A410-1B20113311C2}"/>
    <cellStyle name="Millares [0] 13 2 4 3" xfId="15138" xr:uid="{83798ABD-E616-4F7E-9010-4CAEF6D692E5}"/>
    <cellStyle name="Millares [0] 13 2 4 3 2" xfId="27267" xr:uid="{CF174EA1-0671-42D0-9019-BC03728D746D}"/>
    <cellStyle name="Millares [0] 13 2 4 4" xfId="15585" xr:uid="{A0956098-B1BC-4739-842F-01282E8BC986}"/>
    <cellStyle name="Millares [0] 13 2 4 4 2" xfId="33146" xr:uid="{31D7532A-329B-4315-A84E-40161062891D}"/>
    <cellStyle name="Millares [0] 13 2 4 5" xfId="39010" xr:uid="{3B48F2F7-4D99-4147-8C21-0311E776290F}"/>
    <cellStyle name="Millares [0] 13 2 4 6" xfId="17931" xr:uid="{6AB5F8CB-FEE0-4A89-BC5A-64ECAA06D8DD}"/>
    <cellStyle name="Millares [0] 13 2 4 7" xfId="49954" xr:uid="{AE4A986A-33D5-47CE-A5B8-9B7ED9571D7E}"/>
    <cellStyle name="Millares [0] 13 2 5" xfId="4174" xr:uid="{8522BEEF-4B84-494D-A366-8FBC1769BAAB}"/>
    <cellStyle name="Millares [0] 13 2 5 2" xfId="12109" xr:uid="{DC1ACFD9-5243-40EC-8FBE-2AEECDF031A1}"/>
    <cellStyle name="Millares [0] 13 2 5 2 2" xfId="41686" xr:uid="{F21AD34F-17EF-4438-AB88-A84B7A6CA425}"/>
    <cellStyle name="Millares [0] 13 2 5 3" xfId="14950" xr:uid="{BEFD67EF-C7BD-43F2-B9FE-D9C3810E5349}"/>
    <cellStyle name="Millares [0] 13 2 5 4" xfId="18701" xr:uid="{E25A0D98-F8AB-48DD-A8BB-1F29D569FB03}"/>
    <cellStyle name="Millares [0] 13 2 5 5" xfId="49766" xr:uid="{ABD4CA85-4EFD-47ED-AAC8-ADF122DF94B1}"/>
    <cellStyle name="Millares [0] 13 2 6" xfId="10427" xr:uid="{953633C7-9BF2-4A6D-BD55-E82119772757}"/>
    <cellStyle name="Millares [0] 13 2 6 2" xfId="24417" xr:uid="{F4ACBAA7-CBA0-4BD9-9D11-48F96E53CB79}"/>
    <cellStyle name="Millares [0] 13 2 7" xfId="13267" xr:uid="{A8C22108-0A2E-48D4-9E66-E2F6F2F406F4}"/>
    <cellStyle name="Millares [0] 13 2 7 2" xfId="30294" xr:uid="{831752D8-8E72-435F-8D61-7ED546681051}"/>
    <cellStyle name="Millares [0] 13 2 8" xfId="15395" xr:uid="{97C39173-9B1E-4C4C-95F1-D22BCEDD545A}"/>
    <cellStyle name="Millares [0] 13 2 8 2" xfId="36174" xr:uid="{32B9E195-49C3-45B5-9F85-F83CB7EBB724}"/>
    <cellStyle name="Millares [0] 13 2 9" xfId="17558" xr:uid="{4DCCD28A-5CC1-4F10-84D3-E15BFC1D616C}"/>
    <cellStyle name="Millares [0] 13 3" xfId="2574" xr:uid="{0CF4323C-41AE-478F-BDFC-EFEDA787488C}"/>
    <cellStyle name="Millares [0] 13 3 10" xfId="48502" xr:uid="{81D8B9A0-79EE-427D-9456-920E5E720438}"/>
    <cellStyle name="Millares [0] 13 3 2" xfId="5424" xr:uid="{C541BAE8-4567-4052-A093-FC4F0211AE08}"/>
    <cellStyle name="Millares [0] 13 3 2 2" xfId="8291" xr:uid="{ADB9714A-D10C-4C38-84E6-BFCD919239D5}"/>
    <cellStyle name="Millares [0] 13 3 2 2 2" xfId="12393" xr:uid="{C4C432CB-D883-44F8-8F94-5876815FDC22}"/>
    <cellStyle name="Millares [0] 13 3 2 2 2 2" xfId="41970" xr:uid="{C2C8C360-0775-48EA-ABDA-D96043870E7B}"/>
    <cellStyle name="Millares [0] 13 3 2 2 2 3" xfId="22667" xr:uid="{153FCECE-F1B3-4F8E-9429-C479A081B193}"/>
    <cellStyle name="Millares [0] 13 3 2 2 3" xfId="15234" xr:uid="{40995D85-E7A5-4C3E-AFC7-E276DB5BF5D0}"/>
    <cellStyle name="Millares [0] 13 3 2 2 3 2" xfId="28524" xr:uid="{02930C3D-1D1C-404F-9BB3-9E86858283C5}"/>
    <cellStyle name="Millares [0] 13 3 2 2 4" xfId="15681" xr:uid="{6D7DB5F6-E106-4A01-9662-29B89C3C749B}"/>
    <cellStyle name="Millares [0] 13 3 2 2 4 2" xfId="34406" xr:uid="{AE366473-5855-4BAC-A2C9-1EAA39BF120D}"/>
    <cellStyle name="Millares [0] 13 3 2 2 5" xfId="40270" xr:uid="{160D8BD9-4258-4294-A293-4CF63A92E163}"/>
    <cellStyle name="Millares [0] 13 3 2 2 6" xfId="18113" xr:uid="{0D0F54A7-F2B8-4FD0-A45D-94892881E2FE}"/>
    <cellStyle name="Millares [0] 13 3 2 2 7" xfId="50050" xr:uid="{48EF7F8F-8D9A-4EC8-94B1-99F7065C4F2F}"/>
    <cellStyle name="Millares [0] 13 3 2 3" xfId="12206" xr:uid="{D057DC3F-1C73-4C74-B3AE-21A5BED8FAFC}"/>
    <cellStyle name="Millares [0] 13 3 2 3 2" xfId="41783" xr:uid="{222736FC-FA11-4022-B3EE-0DE430107807}"/>
    <cellStyle name="Millares [0] 13 3 2 3 3" xfId="19888" xr:uid="{AF834A95-E641-4F57-8461-29E13B62F069}"/>
    <cellStyle name="Millares [0] 13 3 2 4" xfId="15047" xr:uid="{1F90C635-2767-4BF5-8FF7-04F773753C1F}"/>
    <cellStyle name="Millares [0] 13 3 2 4 2" xfId="25675" xr:uid="{BCE06C15-8C7C-4260-AB76-645998884E52}"/>
    <cellStyle name="Millares [0] 13 3 2 5" xfId="15494" xr:uid="{DECFAD15-3183-4082-9509-4DA44CB2DF45}"/>
    <cellStyle name="Millares [0] 13 3 2 5 2" xfId="31549" xr:uid="{591BCD8A-DA7A-45D4-AE1A-44B3C5BB6E7F}"/>
    <cellStyle name="Millares [0] 13 3 2 6" xfId="37420" xr:uid="{5021D1CB-EA5A-4B79-8B18-E414F0589E20}"/>
    <cellStyle name="Millares [0] 13 3 2 7" xfId="17729" xr:uid="{E5D1969C-A90C-4EF1-A93D-2CB54F571346}"/>
    <cellStyle name="Millares [0] 13 3 2 8" xfId="46005" xr:uid="{54DA8F06-4AE9-4E30-A55C-C2C330D750B2}"/>
    <cellStyle name="Millares [0] 13 3 2 9" xfId="49863" xr:uid="{0E291291-5D5E-4297-82AF-B8F4A64126FB}"/>
    <cellStyle name="Millares [0] 13 3 3" xfId="7319" xr:uid="{F58DD517-A8CE-4EA7-A645-D52F91F6EE2D}"/>
    <cellStyle name="Millares [0] 13 3 3 2" xfId="12321" xr:uid="{92CD8530-3E90-4DCD-AF08-1E1D45A8801B}"/>
    <cellStyle name="Millares [0] 13 3 3 2 2" xfId="41898" xr:uid="{A8C8F8BF-710B-432C-BCD6-68643A84939C}"/>
    <cellStyle name="Millares [0] 13 3 3 2 3" xfId="21723" xr:uid="{74F7D35A-BE65-4180-9FA0-E9CF6A55FFDB}"/>
    <cellStyle name="Millares [0] 13 3 3 3" xfId="15162" xr:uid="{8B001B5B-1AAC-4ABB-81F7-CDA41EAE8F8E}"/>
    <cellStyle name="Millares [0] 13 3 3 3 2" xfId="27553" xr:uid="{39FBBEC7-5361-49B8-B9F8-5FC338276186}"/>
    <cellStyle name="Millares [0] 13 3 3 4" xfId="15609" xr:uid="{F3454496-EC5A-4530-AF0E-EA52BF8531F2}"/>
    <cellStyle name="Millares [0] 13 3 3 4 2" xfId="33435" xr:uid="{5C729000-E044-4193-9F29-70CCA96A1DA8}"/>
    <cellStyle name="Millares [0] 13 3 3 5" xfId="39299" xr:uid="{C200084C-8776-4413-B8C1-15ABC43C4480}"/>
    <cellStyle name="Millares [0] 13 3 3 6" xfId="17973" xr:uid="{C1C1CCC2-BFF0-403D-91E7-F76440A50BD6}"/>
    <cellStyle name="Millares [0] 13 3 3 7" xfId="49978" xr:uid="{83F8BC27-0F32-4DD4-9A16-F38D16E29003}"/>
    <cellStyle name="Millares [0] 13 3 4" xfId="4456" xr:uid="{B5A70DB3-2558-4AF2-9181-68E6516295BA}"/>
    <cellStyle name="Millares [0] 13 3 4 2" xfId="12134" xr:uid="{C1EABE93-A2E3-4284-A9CC-C20F7502E822}"/>
    <cellStyle name="Millares [0] 13 3 4 2 2" xfId="41711" xr:uid="{DCDCEC54-FDDD-4D31-A8FA-29BB1B00FC00}"/>
    <cellStyle name="Millares [0] 13 3 4 3" xfId="14975" xr:uid="{004ECC30-775C-4332-A78F-7C98AC3121AC}"/>
    <cellStyle name="Millares [0] 13 3 4 4" xfId="18960" xr:uid="{207E7738-8317-47D6-92F5-4546443D1827}"/>
    <cellStyle name="Millares [0] 13 3 4 5" xfId="49791" xr:uid="{3EC885E5-F0D7-49FF-86EB-C8C7000B4571}"/>
    <cellStyle name="Millares [0] 13 3 5" xfId="10845" xr:uid="{F40DF891-0CA2-451B-8E01-893A0D4F0BE5}"/>
    <cellStyle name="Millares [0] 13 3 5 2" xfId="24704" xr:uid="{3C79BD34-B3E7-4DE2-ACF2-7A5C0ADB1DA1}"/>
    <cellStyle name="Millares [0] 13 3 6" xfId="13685" xr:uid="{21940070-FD23-4C6D-9BAE-1ADAC9643182}"/>
    <cellStyle name="Millares [0] 13 3 6 2" xfId="30582" xr:uid="{C222151F-8A3D-4A7C-9F2D-3667113ED29C}"/>
    <cellStyle name="Millares [0] 13 3 7" xfId="15420" xr:uid="{3F6820A5-A1F2-4E4E-8C4F-E7F867ED1416}"/>
    <cellStyle name="Millares [0] 13 3 7 2" xfId="36463" xr:uid="{22346999-DF3B-4E52-9C79-A68B42FBB796}"/>
    <cellStyle name="Millares [0] 13 3 8" xfId="17599" xr:uid="{61812CFF-AE8C-442D-ADDC-B012973BEE99}"/>
    <cellStyle name="Millares [0] 13 3 9" xfId="43609" xr:uid="{ADFF17AD-3A47-4821-AA4B-B4FBC5F2DA03}"/>
    <cellStyle name="Millares [0] 13 4" xfId="3118" xr:uid="{3B0EBF60-0F28-4A4B-8B95-44D066D145F7}"/>
    <cellStyle name="Millares [0] 13 4 2" xfId="7806" xr:uid="{86020CFA-FE54-4D7A-AEFB-E822FF9991C1}"/>
    <cellStyle name="Millares [0] 13 4 2 2" xfId="12357" xr:uid="{9A5B9DD0-526F-4B49-B077-13993642779A}"/>
    <cellStyle name="Millares [0] 13 4 2 2 2" xfId="41934" xr:uid="{579E9AD8-383D-4EB7-884F-0B7ED575672B}"/>
    <cellStyle name="Millares [0] 13 4 2 2 3" xfId="22193" xr:uid="{52493D9F-E356-45FB-A427-61AC61EF0E7A}"/>
    <cellStyle name="Millares [0] 13 4 2 3" xfId="15198" xr:uid="{5750ADFB-D66B-4163-87D6-A9B2899D6802}"/>
    <cellStyle name="Millares [0] 13 4 2 3 2" xfId="28039" xr:uid="{498CEE44-1047-4258-ACD2-DD903DEDCF03}"/>
    <cellStyle name="Millares [0] 13 4 2 4" xfId="15645" xr:uid="{5F878A66-4DAC-4F2A-B8AA-97D758DF0522}"/>
    <cellStyle name="Millares [0] 13 4 2 4 2" xfId="33921" xr:uid="{7B898599-C0C2-4C00-9928-044E17BDF875}"/>
    <cellStyle name="Millares [0] 13 4 2 5" xfId="39785" xr:uid="{C4D7C85C-513F-4309-9FAB-441129D6BA09}"/>
    <cellStyle name="Millares [0] 13 4 2 6" xfId="18043" xr:uid="{0D8116A1-C789-4FFD-8C2C-EE9C03D557CD}"/>
    <cellStyle name="Millares [0] 13 4 2 7" xfId="46549" xr:uid="{95DC5E58-9C43-4AF4-BAC2-92640CF1BB69}"/>
    <cellStyle name="Millares [0] 13 4 2 8" xfId="50014" xr:uid="{5F27CAF0-A410-46E9-BDDD-F7845CFBE283}"/>
    <cellStyle name="Millares [0] 13 4 3" xfId="4939" xr:uid="{6117C13E-C26F-4D85-9293-866F241B4BF4}"/>
    <cellStyle name="Millares [0] 13 4 3 2" xfId="12170" xr:uid="{8CBA053A-6F51-4262-9457-1D7161832ACF}"/>
    <cellStyle name="Millares [0] 13 4 3 2 2" xfId="41747" xr:uid="{595C0070-5067-4A97-B7EA-48E8BCDE9B4D}"/>
    <cellStyle name="Millares [0] 13 4 3 3" xfId="15011" xr:uid="{D320E5BA-DAC7-4BA8-BA02-507A2C6477E6}"/>
    <cellStyle name="Millares [0] 13 4 3 4" xfId="19421" xr:uid="{ADD68A9E-D138-4FB6-97ED-90FCE4A27D1C}"/>
    <cellStyle name="Millares [0] 13 4 3 5" xfId="49827" xr:uid="{D3D6042F-3F20-471D-83A2-25C59280A0AE}"/>
    <cellStyle name="Millares [0] 13 4 4" xfId="11389" xr:uid="{96E3911F-D3AF-4860-82F2-7FB976AA5AB1}"/>
    <cellStyle name="Millares [0] 13 4 4 2" xfId="25190" xr:uid="{DA4E2106-094B-436C-95CC-F82008DEA7AE}"/>
    <cellStyle name="Millares [0] 13 4 5" xfId="14229" xr:uid="{42D8A609-BE92-41DE-BBF4-26D516191452}"/>
    <cellStyle name="Millares [0] 13 4 5 2" xfId="31064" xr:uid="{248BA014-B1AB-417E-9A76-6B89340BD693}"/>
    <cellStyle name="Millares [0] 13 4 6" xfId="15457" xr:uid="{FDD3F78B-1848-4EB7-8C91-5CB4511786C5}"/>
    <cellStyle name="Millares [0] 13 4 6 2" xfId="36943" xr:uid="{2EF18DA2-6A87-4067-8B56-71E5A4E7ADAD}"/>
    <cellStyle name="Millares [0] 13 4 7" xfId="17663" xr:uid="{835F73B1-3803-45DE-BF8B-A8AECD0848E0}"/>
    <cellStyle name="Millares [0] 13 4 8" xfId="44153" xr:uid="{A0BF83F4-FD6D-4B13-A56B-08E008177C46}"/>
    <cellStyle name="Millares [0] 13 4 9" xfId="49046" xr:uid="{A4DD27B4-CB79-4944-BCB5-72816B120775}"/>
    <cellStyle name="Millares [0] 13 5" xfId="3620" xr:uid="{89F9161A-9970-48C4-80EE-B59F28CCCA15}"/>
    <cellStyle name="Millares [0] 13 5 2" xfId="8818" xr:uid="{0D4618FA-0589-453A-A262-3E840B256851}"/>
    <cellStyle name="Millares [0] 13 5 2 2" xfId="12429" xr:uid="{0F5DAFF1-C697-4625-BFD6-482E305CA93B}"/>
    <cellStyle name="Millares [0] 13 5 2 2 2" xfId="42006" xr:uid="{1B803BD2-DBB7-43FB-AD83-529CF85E3A75}"/>
    <cellStyle name="Millares [0] 13 5 2 2 3" xfId="23183" xr:uid="{0ED8A328-8AFF-4CC3-B997-FB80BEAC8C34}"/>
    <cellStyle name="Millares [0] 13 5 2 3" xfId="15270" xr:uid="{9B3CC22F-1FBE-435E-AF5A-DD171453AAD0}"/>
    <cellStyle name="Millares [0] 13 5 2 3 2" xfId="29050" xr:uid="{DB898043-7E15-4793-966A-2BE18775C2D1}"/>
    <cellStyle name="Millares [0] 13 5 2 4" xfId="15719" xr:uid="{970A860F-A3B6-4139-8A78-A6093D25DEAC}"/>
    <cellStyle name="Millares [0] 13 5 2 4 2" xfId="34932" xr:uid="{FEEDB06C-6BDF-4A09-B734-3A18EF1551BE}"/>
    <cellStyle name="Millares [0] 13 5 2 5" xfId="40796" xr:uid="{7F93E8EE-627E-4A4F-AB58-81BE2F779CA6}"/>
    <cellStyle name="Millares [0] 13 5 2 6" xfId="18180" xr:uid="{CCE658C4-89A6-44EC-BFC2-75B7B00FCDFE}"/>
    <cellStyle name="Millares [0] 13 5 2 7" xfId="50086" xr:uid="{8A5BCC7F-6E62-4F11-90CE-5D22F2657534}"/>
    <cellStyle name="Millares [0] 13 5 3" xfId="5949" xr:uid="{A4258636-A62F-46AF-B98C-4CC1D295DFE4}"/>
    <cellStyle name="Millares [0] 13 5 3 2" xfId="12242" xr:uid="{D5731BD5-138B-4CE4-9DE2-8B1BB3E267E0}"/>
    <cellStyle name="Millares [0] 13 5 3 2 2" xfId="41819" xr:uid="{ADCEFB8E-C1F3-4970-8D10-0CB3764F07AE}"/>
    <cellStyle name="Millares [0] 13 5 3 3" xfId="15083" xr:uid="{399BF2FB-F124-4807-B68F-B3A3D2C57ADC}"/>
    <cellStyle name="Millares [0] 13 5 3 4" xfId="20399" xr:uid="{C9702557-E1EF-476A-87C1-502FD542D622}"/>
    <cellStyle name="Millares [0] 13 5 3 5" xfId="49899" xr:uid="{151E1EDD-2CC4-41ED-8DB8-2ACE2C9C4CD4}"/>
    <cellStyle name="Millares [0] 13 5 4" xfId="11861" xr:uid="{746648EF-14BC-420B-B204-3A5FEE2F61E4}"/>
    <cellStyle name="Millares [0] 13 5 4 2" xfId="26200" xr:uid="{5838280E-0563-4B76-9C1E-865FB98B44F5}"/>
    <cellStyle name="Millares [0] 13 5 5" xfId="14701" xr:uid="{3C592277-439C-4CAD-89F0-E37012768545}"/>
    <cellStyle name="Millares [0] 13 5 5 2" xfId="32075" xr:uid="{D1EFF48C-FECC-470A-A7CA-B0D8E6BE99C3}"/>
    <cellStyle name="Millares [0] 13 5 6" xfId="15530" xr:uid="{E0747B36-CCA6-41CD-B30D-E43D42A0E3FB}"/>
    <cellStyle name="Millares [0] 13 5 6 2" xfId="37940" xr:uid="{E2944ED2-3249-4DE7-8412-1A9E09C35BF3}"/>
    <cellStyle name="Millares [0] 13 5 7" xfId="17798" xr:uid="{2F6B440C-0962-43A1-B16E-3EFA72952143}"/>
    <cellStyle name="Millares [0] 13 5 8" xfId="44625" xr:uid="{1214A532-1A8F-481E-AA3E-C7608D5E8688}"/>
    <cellStyle name="Millares [0] 13 5 9" xfId="49518" xr:uid="{A7A16F29-F7BE-476B-BE18-DA5FF87C7CCF}"/>
    <cellStyle name="Millares [0] 13 6" xfId="6835" xr:uid="{D4071203-D195-49E7-B624-B279545FEDA5}"/>
    <cellStyle name="Millares [0] 13 6 2" xfId="12285" xr:uid="{E013DC5B-2D5C-4C58-958B-AA7BFF4202C1}"/>
    <cellStyle name="Millares [0] 13 6 2 2" xfId="41862" xr:uid="{88B0F6A3-AFAE-40FE-8012-5F01783B8B80}"/>
    <cellStyle name="Millares [0] 13 6 2 3" xfId="21258" xr:uid="{88589AB3-1153-4702-80BE-527D0A434558}"/>
    <cellStyle name="Millares [0] 13 6 3" xfId="15126" xr:uid="{02049935-2483-4F47-89C0-6F046071708A}"/>
    <cellStyle name="Millares [0] 13 6 3 2" xfId="27073" xr:uid="{56A01E25-2177-479A-ADCB-60E6EBFEAB32}"/>
    <cellStyle name="Millares [0] 13 6 4" xfId="15573" xr:uid="{2549608E-1572-49BA-B82B-57EA51C37119}"/>
    <cellStyle name="Millares [0] 13 6 4 2" xfId="32950" xr:uid="{C8FE8C09-3BD7-4251-B4F3-AD267BAF824D}"/>
    <cellStyle name="Millares [0] 13 6 5" xfId="38814" xr:uid="{53234965-E53C-4AA7-8B99-DEC1F8E7F99B}"/>
    <cellStyle name="Millares [0] 13 6 6" xfId="17904" xr:uid="{C0DD9664-0EAA-4956-BD54-D47C849D941E}"/>
    <cellStyle name="Millares [0] 13 6 7" xfId="45043" xr:uid="{D873BE45-9AAD-4697-8EB1-45040E2E6013}"/>
    <cellStyle name="Millares [0] 13 6 8" xfId="49942" xr:uid="{CB8BFF21-83EE-49DC-A11E-9C0F586FDE98}"/>
    <cellStyle name="Millares [0] 13 7" xfId="3981" xr:uid="{2406B16F-071E-479F-909E-1D09C5A21795}"/>
    <cellStyle name="Millares [0] 13 7 2" xfId="12093" xr:uid="{E6C6ADAA-AD31-4F01-8321-C4BF7B48839F}"/>
    <cellStyle name="Millares [0] 13 7 2 2" xfId="41670" xr:uid="{9024D4A7-3DF1-4A67-9BB9-A5F472CF8757}"/>
    <cellStyle name="Millares [0] 13 7 3" xfId="14934" xr:uid="{4427333E-3CC5-47EE-951D-2B0D8FD863AE}"/>
    <cellStyle name="Millares [0] 13 7 4" xfId="18508" xr:uid="{86E0D11D-AC5E-45FB-AAEB-E92804C298EA}"/>
    <cellStyle name="Millares [0] 13 7 5" xfId="49750" xr:uid="{C5DD8B63-71B0-4C9B-8367-0D7378C319D5}"/>
    <cellStyle name="Millares [0] 13 8" xfId="9883" xr:uid="{09C6E7A3-2421-47FB-A5E3-2431929D187B}"/>
    <cellStyle name="Millares [0] 13 8 2" xfId="24217" xr:uid="{FE3DC4F2-B4E5-434A-8B83-925E406F1003}"/>
    <cellStyle name="Millares [0] 13 9" xfId="12723" xr:uid="{0C7BFC8C-C66F-481F-A6D0-0C3031EEC82E}"/>
    <cellStyle name="Millares [0] 13 9 2" xfId="30095" xr:uid="{B9EC176C-B799-4768-8AFE-D83720BEBD27}"/>
    <cellStyle name="Millares [0] 14" xfId="546" xr:uid="{00000000-0005-0000-0000-0000E7000000}"/>
    <cellStyle name="Millares [0] 14 10" xfId="16815" xr:uid="{88BBBF0F-CD05-4ACB-B108-0D0891A7C77B}"/>
    <cellStyle name="Millares [0] 14 11" xfId="17359" xr:uid="{D162922C-0126-4771-ADF0-444E5675DC19}"/>
    <cellStyle name="Millares [0] 14 12" xfId="17561" xr:uid="{A9931CB4-BF49-4247-8329-B86F3B1441C0}"/>
    <cellStyle name="Millares [0] 14 13" xfId="42853" xr:uid="{747599D1-686E-4E12-904C-B57308C8A4F7}"/>
    <cellStyle name="Millares [0] 14 14" xfId="47746" xr:uid="{C8B94851-BFAC-471D-AD2F-97310A3EF348}"/>
    <cellStyle name="Millares [0] 14 2" xfId="2780" xr:uid="{7B9A2BD9-C71A-4DB7-BF88-7F8DD0676063}"/>
    <cellStyle name="Millares [0] 14 2 10" xfId="48708" xr:uid="{E3150387-58AD-4BC1-8C54-0566028C2B4A}"/>
    <cellStyle name="Millares [0] 14 2 2" xfId="5644" xr:uid="{1A48757A-2475-4CA8-B637-860FE878F490}"/>
    <cellStyle name="Millares [0] 14 2 2 2" xfId="8512" xr:uid="{A24110E1-AAA5-4196-AAB4-43C5DC3D6F6C}"/>
    <cellStyle name="Millares [0] 14 2 2 2 2" xfId="12407" xr:uid="{E01A5269-8EE5-40A1-AEA1-C78D034AC754}"/>
    <cellStyle name="Millares [0] 14 2 2 2 2 2" xfId="41984" xr:uid="{8A060E21-1320-4DD8-A8BF-47C1F414BC8C}"/>
    <cellStyle name="Millares [0] 14 2 2 2 2 3" xfId="22886" xr:uid="{103EB0A3-A140-46C4-BF97-2729310F950C}"/>
    <cellStyle name="Millares [0] 14 2 2 2 3" xfId="15248" xr:uid="{AE0B8D5F-3B63-4DC6-AD93-B75E7BEE4B09}"/>
    <cellStyle name="Millares [0] 14 2 2 2 3 2" xfId="28745" xr:uid="{BCA07B85-AAD9-4DE0-BFBD-B4DC6DFC7C99}"/>
    <cellStyle name="Millares [0] 14 2 2 2 4" xfId="15696" xr:uid="{333ED2FC-9EB9-40BC-BBB9-119EFF10D7FE}"/>
    <cellStyle name="Millares [0] 14 2 2 2 4 2" xfId="34627" xr:uid="{8C676848-C1D8-4610-A104-C581D6D05DEF}"/>
    <cellStyle name="Millares [0] 14 2 2 2 5" xfId="40491" xr:uid="{B37AA383-3C70-47BB-B3B0-BBF4D79BFE63}"/>
    <cellStyle name="Millares [0] 14 2 2 2 6" xfId="18141" xr:uid="{1C096244-231B-4BF1-B737-DCB9D47BE9F7}"/>
    <cellStyle name="Millares [0] 14 2 2 2 7" xfId="50064" xr:uid="{F7281DBA-1352-4CFF-B0CE-63B84FB9FBD8}"/>
    <cellStyle name="Millares [0] 14 2 2 3" xfId="12220" xr:uid="{EFE2D311-11DD-4A7C-8345-B3D2F98EDF43}"/>
    <cellStyle name="Millares [0] 14 2 2 3 2" xfId="41797" xr:uid="{96D42256-636B-44A1-A34C-55161CC73260}"/>
    <cellStyle name="Millares [0] 14 2 2 3 3" xfId="20103" xr:uid="{A0D9774A-8418-4A19-AED6-2AC68E1C8563}"/>
    <cellStyle name="Millares [0] 14 2 2 4" xfId="15061" xr:uid="{B93CB92C-0740-4C31-B03E-E50A3A2B7C28}"/>
    <cellStyle name="Millares [0] 14 2 2 4 2" xfId="25895" xr:uid="{7D77AA85-1259-4FAF-84E4-B2D3736AF338}"/>
    <cellStyle name="Millares [0] 14 2 2 5" xfId="15508" xr:uid="{B9C270E2-3009-4E66-B648-D19B9551C9C8}"/>
    <cellStyle name="Millares [0] 14 2 2 5 2" xfId="31770" xr:uid="{5BF85F3B-DE23-4D5D-9E07-EDA767E5DA91}"/>
    <cellStyle name="Millares [0] 14 2 2 6" xfId="37639" xr:uid="{5870C9A1-A0F0-4070-A7D1-FBE40E856FFF}"/>
    <cellStyle name="Millares [0] 14 2 2 7" xfId="17756" xr:uid="{AF814A78-779A-425F-96A5-8D118284B279}"/>
    <cellStyle name="Millares [0] 14 2 2 8" xfId="46211" xr:uid="{D293FE0A-87E0-4A22-9D93-F558C5A2B0BB}"/>
    <cellStyle name="Millares [0] 14 2 2 9" xfId="49877" xr:uid="{0AB6D44B-D97C-4E6F-BC50-E73F0001B484}"/>
    <cellStyle name="Millares [0] 14 2 3" xfId="7540" xr:uid="{FAF938C1-3C2E-447D-B7FA-E72C2489ECF9}"/>
    <cellStyle name="Millares [0] 14 2 3 2" xfId="12335" xr:uid="{14FC5AE8-FF29-425B-BD99-DD86B9BDE9BC}"/>
    <cellStyle name="Millares [0] 14 2 3 2 2" xfId="41912" xr:uid="{21AF23E2-BBEF-4FC4-B818-71A8160859DB}"/>
    <cellStyle name="Millares [0] 14 2 3 2 3" xfId="21938" xr:uid="{2DE15DC1-2469-4F05-8013-5AEB42CFB919}"/>
    <cellStyle name="Millares [0] 14 2 3 3" xfId="15176" xr:uid="{393790CD-8C91-4828-A8EA-4AFB1AE4F6F2}"/>
    <cellStyle name="Millares [0] 14 2 3 3 2" xfId="27774" xr:uid="{AB8AA4FE-B50B-4D4B-AA35-8372912BDEC9}"/>
    <cellStyle name="Millares [0] 14 2 3 4" xfId="15623" xr:uid="{F7189200-691D-4A22-91B4-59B9963E0E77}"/>
    <cellStyle name="Millares [0] 14 2 3 4 2" xfId="33656" xr:uid="{A231D27C-9FB2-4282-9529-FB16D48AE3BA}"/>
    <cellStyle name="Millares [0] 14 2 3 5" xfId="39520" xr:uid="{E0F96ACA-43F4-44B2-9FD3-D7A96F9B564F}"/>
    <cellStyle name="Millares [0] 14 2 3 6" xfId="18001" xr:uid="{11D1A2A0-7DA8-47E1-8721-0487F0C4AFE4}"/>
    <cellStyle name="Millares [0] 14 2 3 7" xfId="49992" xr:uid="{DB5CA633-4291-4BD8-B373-501244B77426}"/>
    <cellStyle name="Millares [0] 14 2 4" xfId="4676" xr:uid="{FF3FF853-1B3F-45BE-9356-84E1AF229A43}"/>
    <cellStyle name="Millares [0] 14 2 4 2" xfId="12148" xr:uid="{24CCBAD7-1BB0-420B-8CDA-AC0BAD597174}"/>
    <cellStyle name="Millares [0] 14 2 4 2 2" xfId="41725" xr:uid="{6F062C21-C002-4B9A-80EB-522932E25D55}"/>
    <cellStyle name="Millares [0] 14 2 4 3" xfId="14989" xr:uid="{AE674667-B750-47D4-B301-B65CDCAC50A8}"/>
    <cellStyle name="Millares [0] 14 2 4 4" xfId="19169" xr:uid="{C5978DE1-5083-45D3-9AD3-C8AF78D777B5}"/>
    <cellStyle name="Millares [0] 14 2 4 5" xfId="49805" xr:uid="{AD4170C2-F779-475A-87BC-8B5D7E3E3B9E}"/>
    <cellStyle name="Millares [0] 14 2 5" xfId="11051" xr:uid="{D7CBE0A1-AA03-4215-973E-1C9ADA993224}"/>
    <cellStyle name="Millares [0] 14 2 5 2" xfId="24925" xr:uid="{534CE083-DFD3-462E-82EF-99FCC934730F}"/>
    <cellStyle name="Millares [0] 14 2 6" xfId="13891" xr:uid="{0409FD1F-7311-4108-A1C0-9DE3ADC3CEC6}"/>
    <cellStyle name="Millares [0] 14 2 6 2" xfId="30800" xr:uid="{96E20211-E5F1-4A69-8644-4FAF4E0870D2}"/>
    <cellStyle name="Millares [0] 14 2 7" xfId="15435" xr:uid="{F80EB6E2-254B-483E-B3E6-5CCA56719CA6}"/>
    <cellStyle name="Millares [0] 14 2 7 2" xfId="36682" xr:uid="{221700B5-A5A8-43BB-829C-6CA93CE4C081}"/>
    <cellStyle name="Millares [0] 14 2 8" xfId="17623" xr:uid="{FCB4BF20-C276-4EC0-8711-3A7ABB5E4C64}"/>
    <cellStyle name="Millares [0] 14 2 9" xfId="43815" xr:uid="{EE8F187E-3DF0-4FFB-B0F1-FF81735D29B6}"/>
    <cellStyle name="Millares [0] 14 3" xfId="5160" xr:uid="{48CFE070-24BC-42C5-950C-B90EE0153CF7}"/>
    <cellStyle name="Millares [0] 14 3 2" xfId="8027" xr:uid="{A47924D3-E6BB-40FF-8636-62BA749321D5}"/>
    <cellStyle name="Millares [0] 14 3 2 2" xfId="12371" xr:uid="{0252D102-A6DD-4ABA-8906-916BFA090113}"/>
    <cellStyle name="Millares [0] 14 3 2 2 2" xfId="41948" xr:uid="{DC990C5F-B912-42A9-B7A7-AF381DF5BF61}"/>
    <cellStyle name="Millares [0] 14 3 2 2 3" xfId="22410" xr:uid="{486A4F7D-5B8B-41BD-8F49-164DC5231D3D}"/>
    <cellStyle name="Millares [0] 14 3 2 3" xfId="15212" xr:uid="{DAF43B7F-A74E-45F3-BCF7-69E35E9B19F3}"/>
    <cellStyle name="Millares [0] 14 3 2 3 2" xfId="28260" xr:uid="{CFC3DF37-5005-49A9-ABFD-260891E0355A}"/>
    <cellStyle name="Millares [0] 14 3 2 4" xfId="15659" xr:uid="{86BB647E-6450-466B-B6A2-E6007BB414DD}"/>
    <cellStyle name="Millares [0] 14 3 2 4 2" xfId="34142" xr:uid="{F93FC017-41CC-4F22-9F51-3E4AEDCD5CBA}"/>
    <cellStyle name="Millares [0] 14 3 2 5" xfId="40006" xr:uid="{09BD37A1-6E25-48A6-A7AF-71590C92C667}"/>
    <cellStyle name="Millares [0] 14 3 2 6" xfId="18071" xr:uid="{CE989463-23FD-44B2-8959-88D95BCA5407}"/>
    <cellStyle name="Millares [0] 14 3 2 7" xfId="50028" xr:uid="{8738E569-A29F-4BBC-9423-6BE3D55EB682}"/>
    <cellStyle name="Millares [0] 14 3 3" xfId="12184" xr:uid="{828A89A3-3169-4A06-B1CC-0C98C6116F92}"/>
    <cellStyle name="Millares [0] 14 3 3 2" xfId="41761" xr:uid="{E1C905D6-9B7F-4622-9BDF-B76A20D189F9}"/>
    <cellStyle name="Millares [0] 14 3 3 3" xfId="19633" xr:uid="{ACB1D9CB-92CC-43F5-B70F-1F2807B782D8}"/>
    <cellStyle name="Millares [0] 14 3 4" xfId="15025" xr:uid="{65C450A5-B7F0-4AE9-B3BB-8B13118FC5AC}"/>
    <cellStyle name="Millares [0] 14 3 4 2" xfId="25411" xr:uid="{79785802-88F8-4B08-BBB7-D79A907C02A0}"/>
    <cellStyle name="Millares [0] 14 3 5" xfId="15471" xr:uid="{E3EB761E-9215-4D03-BA60-A097CB6C524A}"/>
    <cellStyle name="Millares [0] 14 3 5 2" xfId="31285" xr:uid="{3B7F0335-B9E4-409A-A747-8A9C5BE8FADC}"/>
    <cellStyle name="Millares [0] 14 3 6" xfId="37162" xr:uid="{F0ED465B-E023-4D98-A5BB-EFECAE6BD5D9}"/>
    <cellStyle name="Millares [0] 14 3 7" xfId="17688" xr:uid="{A45576DA-FE5D-4AFB-8D4D-120640373FAB}"/>
    <cellStyle name="Millares [0] 14 3 8" xfId="45249" xr:uid="{5837B67C-BD9D-4057-843B-51F8F0B0571C}"/>
    <cellStyle name="Millares [0] 14 3 9" xfId="49841" xr:uid="{BE013E9C-F0CD-4D94-A126-D61F9399BD59}"/>
    <cellStyle name="Millares [0] 14 4" xfId="7055" xr:uid="{90EE4D9A-0288-4EEC-8C44-802BFE11461E}"/>
    <cellStyle name="Millares [0] 14 4 2" xfId="12299" xr:uid="{F570FCDE-4FB0-49DF-A24A-2ED43E90DA9B}"/>
    <cellStyle name="Millares [0] 14 4 2 2" xfId="41876" xr:uid="{A7801865-10DF-4EC1-B8AB-3F0586224469}"/>
    <cellStyle name="Millares [0] 14 4 2 3" xfId="21470" xr:uid="{8FBE3F39-BB10-4F87-B12C-B85EBD9E990E}"/>
    <cellStyle name="Millares [0] 14 4 3" xfId="15140" xr:uid="{819EFCFF-6E3B-4059-A510-F2B157E20BDE}"/>
    <cellStyle name="Millares [0] 14 4 3 2" xfId="27292" xr:uid="{5AF1F1A3-7CF1-4962-884C-C5D5F283EB41}"/>
    <cellStyle name="Millares [0] 14 4 4" xfId="15587" xr:uid="{FF3A8948-C3CE-4306-A584-411725329E90}"/>
    <cellStyle name="Millares [0] 14 4 4 2" xfId="33171" xr:uid="{0C011CD0-F043-40A7-A1A1-15F0487E565B}"/>
    <cellStyle name="Millares [0] 14 4 5" xfId="39035" xr:uid="{6EDB179B-424D-421C-AD76-7C825D031AFF}"/>
    <cellStyle name="Millares [0] 14 4 6" xfId="17934" xr:uid="{F3C16B7B-25CB-4737-8A58-2EC54394A2E1}"/>
    <cellStyle name="Millares [0] 14 4 7" xfId="49956" xr:uid="{AD14744A-05DF-455C-892A-3AA4D7611CE3}"/>
    <cellStyle name="Millares [0] 14 5" xfId="4198" xr:uid="{7E8C9BFE-5C2F-4B55-B4BF-E0C07AB8F888}"/>
    <cellStyle name="Millares [0] 14 5 2" xfId="12111" xr:uid="{CD87FA61-F6F0-43FA-8B65-621E8F8C63E8}"/>
    <cellStyle name="Millares [0] 14 5 2 2" xfId="41688" xr:uid="{672ED5DA-BD06-4A77-B9EC-22D5E0E1201B}"/>
    <cellStyle name="Millares [0] 14 5 3" xfId="14952" xr:uid="{04ED1631-3E1F-4F23-81D3-097FBE224471}"/>
    <cellStyle name="Millares [0] 14 5 4" xfId="18726" xr:uid="{61CBBC83-F57D-4CCE-A9C5-57F9AAE2A83C}"/>
    <cellStyle name="Millares [0] 14 5 5" xfId="49768" xr:uid="{9581BD27-B6B2-4420-A899-6C6BCFCFCC90}"/>
    <cellStyle name="Millares [0] 14 6" xfId="10089" xr:uid="{9D70D5DF-023E-429E-97A1-8603D869B411}"/>
    <cellStyle name="Millares [0] 14 6 2" xfId="24442" xr:uid="{CE0492E7-9C64-4FFC-BA45-303BB41105C6}"/>
    <cellStyle name="Millares [0] 14 7" xfId="12929" xr:uid="{A2A2D567-5467-4447-AB3A-57C1DE4CAAAF}"/>
    <cellStyle name="Millares [0] 14 7 2" xfId="30318" xr:uid="{B77E8B1F-EA0D-42DD-91FD-9ECDE61A841C}"/>
    <cellStyle name="Millares [0] 14 8" xfId="15397" xr:uid="{5A7A02BD-0A98-4F53-A326-1ADE4F397D4E}"/>
    <cellStyle name="Millares [0] 14 8 2" xfId="36199" xr:uid="{9A431204-4515-412D-85E2-5097A95BCD12}"/>
    <cellStyle name="Millares [0] 14 9" xfId="16272" xr:uid="{416DA103-30F3-494C-8535-7BEF56121FF6}"/>
    <cellStyle name="Millares [0] 15" xfId="646" xr:uid="{00000000-0005-0000-0000-0000E8000000}"/>
    <cellStyle name="Millares [0] 15 10" xfId="16915" xr:uid="{BD8690CA-7D2B-4890-8E5A-8F5DEDAE95DC}"/>
    <cellStyle name="Millares [0] 15 11" xfId="17459" xr:uid="{D4F9E051-480B-4BF9-AF65-6FC7ECC2CBD5}"/>
    <cellStyle name="Millares [0] 15 12" xfId="17564" xr:uid="{25855434-CD58-4C1E-B1F3-43D444215B42}"/>
    <cellStyle name="Millares [0] 15 13" xfId="42953" xr:uid="{3BC2AB7F-88F9-45D5-9B35-23BC3C75236C}"/>
    <cellStyle name="Millares [0] 15 14" xfId="47846" xr:uid="{B1AA99ED-5343-4400-873A-36F340C00AE8}"/>
    <cellStyle name="Millares [0] 15 2" xfId="2880" xr:uid="{2989E398-ECDF-4206-8FBE-DA85DBC79B22}"/>
    <cellStyle name="Millares [0] 15 2 10" xfId="48808" xr:uid="{63DDC715-F01A-49CE-8F0C-3937B15D2246}"/>
    <cellStyle name="Millares [0] 15 2 2" xfId="5673" xr:uid="{4C34CF0B-7F6D-4AEC-B3B2-D1CDCFEC5492}"/>
    <cellStyle name="Millares [0] 15 2 2 2" xfId="8541" xr:uid="{4142BB35-9E08-4C67-922A-B94AB5231AB9}"/>
    <cellStyle name="Millares [0] 15 2 2 2 2" xfId="12408" xr:uid="{C933B741-5D7D-48C1-80B3-24D9757DE0E4}"/>
    <cellStyle name="Millares [0] 15 2 2 2 2 2" xfId="41985" xr:uid="{FCCB3F9A-23D9-4F17-B4EA-547A3FBF4887}"/>
    <cellStyle name="Millares [0] 15 2 2 2 2 3" xfId="22913" xr:uid="{D8AF44ED-A1FA-45C5-A537-1D3ACFBED175}"/>
    <cellStyle name="Millares [0] 15 2 2 2 3" xfId="15249" xr:uid="{ED8DA7DA-6810-45CB-8092-0FB636BAFD17}"/>
    <cellStyle name="Millares [0] 15 2 2 2 3 2" xfId="28774" xr:uid="{421FE666-A90D-481E-9B2E-DF264AD5B261}"/>
    <cellStyle name="Millares [0] 15 2 2 2 4" xfId="15697" xr:uid="{C9552518-A3AC-4560-BC8A-FB6C8127F302}"/>
    <cellStyle name="Millares [0] 15 2 2 2 4 2" xfId="34656" xr:uid="{AA3C8CD0-FAAD-4148-B2B8-701FCA0437D7}"/>
    <cellStyle name="Millares [0] 15 2 2 2 5" xfId="40520" xr:uid="{E7333E2B-E996-4AF1-8EC2-4728B68D5BF0}"/>
    <cellStyle name="Millares [0] 15 2 2 2 6" xfId="18145" xr:uid="{0C5B9373-BAB0-4CCA-92B2-F888D78BA32C}"/>
    <cellStyle name="Millares [0] 15 2 2 2 7" xfId="50065" xr:uid="{653F6FC2-D091-4A63-8672-18D1E2988AB4}"/>
    <cellStyle name="Millares [0] 15 2 2 3" xfId="12221" xr:uid="{C7B99F58-81E9-4596-A813-781C3DE44A38}"/>
    <cellStyle name="Millares [0] 15 2 2 3 2" xfId="41798" xr:uid="{9B7864D1-447A-4EFD-9989-891E37DE0EF0}"/>
    <cellStyle name="Millares [0] 15 2 2 3 3" xfId="20130" xr:uid="{7B12D689-895B-402F-A42B-A91303B08D6B}"/>
    <cellStyle name="Millares [0] 15 2 2 4" xfId="15062" xr:uid="{562EFA88-B22E-4489-AC55-5B9CA1D249A7}"/>
    <cellStyle name="Millares [0] 15 2 2 4 2" xfId="25924" xr:uid="{5081622E-20B3-4B29-A644-A2922DAFC93F}"/>
    <cellStyle name="Millares [0] 15 2 2 5" xfId="15509" xr:uid="{FD7D2DE2-BCE8-4B21-AE7E-1B6A66CE6E8D}"/>
    <cellStyle name="Millares [0] 15 2 2 5 2" xfId="31799" xr:uid="{8C8538EF-82A3-4454-A1D9-F28C567A139D}"/>
    <cellStyle name="Millares [0] 15 2 2 6" xfId="37666" xr:uid="{9C3F8BCA-617C-4C66-85D9-3E4980F49D92}"/>
    <cellStyle name="Millares [0] 15 2 2 7" xfId="17759" xr:uid="{B93F0269-DD14-4670-A2B6-1A74BD078286}"/>
    <cellStyle name="Millares [0] 15 2 2 8" xfId="46311" xr:uid="{0C57F56C-F993-46BB-BB2C-C3DE540C353D}"/>
    <cellStyle name="Millares [0] 15 2 2 9" xfId="49878" xr:uid="{2375C17E-AB95-4F2E-B761-1030CD31BD29}"/>
    <cellStyle name="Millares [0] 15 2 3" xfId="7569" xr:uid="{16565ECA-F0F7-4221-8FFC-78A951AEE635}"/>
    <cellStyle name="Millares [0] 15 2 3 2" xfId="12336" xr:uid="{70BBD19D-613E-428A-BF80-4AA654DC8F09}"/>
    <cellStyle name="Millares [0] 15 2 3 2 2" xfId="41913" xr:uid="{91623CB3-247F-4E56-A42E-0B302F901701}"/>
    <cellStyle name="Millares [0] 15 2 3 2 3" xfId="21963" xr:uid="{6488CCA3-D0B7-4571-B450-8E50FE59E61C}"/>
    <cellStyle name="Millares [0] 15 2 3 3" xfId="15177" xr:uid="{87F1914D-C44D-4004-A7FA-0A98EA280C72}"/>
    <cellStyle name="Millares [0] 15 2 3 3 2" xfId="27803" xr:uid="{683A4D28-85E1-4FFC-BA49-D0EBD0015DD9}"/>
    <cellStyle name="Millares [0] 15 2 3 4" xfId="15624" xr:uid="{51F29473-36C6-4C22-89EA-F407914B3B14}"/>
    <cellStyle name="Millares [0] 15 2 3 4 2" xfId="33685" xr:uid="{644C1731-A012-4656-A9ED-12F7DAE76FFE}"/>
    <cellStyle name="Millares [0] 15 2 3 5" xfId="39549" xr:uid="{4241BB1D-6BB9-4897-9A5D-7C4374A495BB}"/>
    <cellStyle name="Millares [0] 15 2 3 6" xfId="18005" xr:uid="{792B3CCF-1BD5-402C-B0C7-5E31BAAF1C34}"/>
    <cellStyle name="Millares [0] 15 2 3 7" xfId="49993" xr:uid="{A5C49306-1AD9-4998-844E-6C16352F0A44}"/>
    <cellStyle name="Millares [0] 15 2 4" xfId="4705" xr:uid="{FC6F149D-BA87-45CE-A421-A5694632FC86}"/>
    <cellStyle name="Millares [0] 15 2 4 2" xfId="12149" xr:uid="{674B05FB-C3A3-4878-B932-B74C21E5DFC9}"/>
    <cellStyle name="Millares [0] 15 2 4 2 2" xfId="41726" xr:uid="{6A60ED15-8511-48FF-843F-9B70DC2925A8}"/>
    <cellStyle name="Millares [0] 15 2 4 3" xfId="14990" xr:uid="{E3E88161-6438-417F-871E-9110604BB0AA}"/>
    <cellStyle name="Millares [0] 15 2 4 4" xfId="19195" xr:uid="{F7CBF548-54BF-42DB-9FF8-805E9EC22A83}"/>
    <cellStyle name="Millares [0] 15 2 4 5" xfId="49806" xr:uid="{B7743EEC-DA91-47D0-A74E-50E772DC6823}"/>
    <cellStyle name="Millares [0] 15 2 5" xfId="11151" xr:uid="{CFCCDDB3-B71E-49D3-9160-1FA5DB21EA33}"/>
    <cellStyle name="Millares [0] 15 2 5 2" xfId="24954" xr:uid="{807A7DE0-8155-4385-9E2C-633669B68E8A}"/>
    <cellStyle name="Millares [0] 15 2 6" xfId="13991" xr:uid="{F79AE22A-2EA6-489D-B106-63D0838D9707}"/>
    <cellStyle name="Millares [0] 15 2 6 2" xfId="30828" xr:uid="{80FB084B-0648-4063-9A03-FA3EF265D4D2}"/>
    <cellStyle name="Millares [0] 15 2 7" xfId="15436" xr:uid="{8D8FCF9F-833F-44B4-9679-D9AFE87B8A9B}"/>
    <cellStyle name="Millares [0] 15 2 7 2" xfId="36709" xr:uid="{B567B972-43A4-41B4-9FB4-F219472667B3}"/>
    <cellStyle name="Millares [0] 15 2 8" xfId="17626" xr:uid="{00662B12-3AC1-4F17-8028-651CAC9AB110}"/>
    <cellStyle name="Millares [0] 15 2 9" xfId="43915" xr:uid="{FE496E7C-0A6B-412A-BAB2-1175009BE786}"/>
    <cellStyle name="Millares [0] 15 3" xfId="5189" xr:uid="{E0B9D72E-4270-455A-A453-7B9CDCE1F916}"/>
    <cellStyle name="Millares [0] 15 3 2" xfId="8056" xr:uid="{56F45B99-7CD4-4C44-A23E-C65D82BF2820}"/>
    <cellStyle name="Millares [0] 15 3 2 2" xfId="12372" xr:uid="{E340B345-FCEB-487D-A28D-59E7384EB43F}"/>
    <cellStyle name="Millares [0] 15 3 2 2 2" xfId="41949" xr:uid="{F90438B8-5923-49BC-B6C6-C6461EAFD0E5}"/>
    <cellStyle name="Millares [0] 15 3 2 2 3" xfId="22434" xr:uid="{B55A6966-BADE-4BD9-8CB9-5230B65B59DF}"/>
    <cellStyle name="Millares [0] 15 3 2 3" xfId="15213" xr:uid="{A60667AA-CBE3-4EA8-88F9-991894590AFF}"/>
    <cellStyle name="Millares [0] 15 3 2 3 2" xfId="28289" xr:uid="{E591341F-B696-4FA3-9AD9-7ADDDA28D036}"/>
    <cellStyle name="Millares [0] 15 3 2 4" xfId="15660" xr:uid="{4A21EE45-90B7-41BA-A628-4AA3C8B8DA75}"/>
    <cellStyle name="Millares [0] 15 3 2 4 2" xfId="34171" xr:uid="{20A7465A-4548-4740-93BF-5BBB1C07E632}"/>
    <cellStyle name="Millares [0] 15 3 2 5" xfId="40035" xr:uid="{8025E734-E47B-4E33-AC62-3724A239B091}"/>
    <cellStyle name="Millares [0] 15 3 2 6" xfId="18075" xr:uid="{893474EE-F230-4CAF-814D-91F85D32CEEE}"/>
    <cellStyle name="Millares [0] 15 3 2 7" xfId="50029" xr:uid="{0F311C2E-82DD-4A2D-8F3B-4B54515DCA14}"/>
    <cellStyle name="Millares [0] 15 3 3" xfId="12185" xr:uid="{88DBB679-8812-488D-B281-24C4CF6AF0C0}"/>
    <cellStyle name="Millares [0] 15 3 3 2" xfId="41762" xr:uid="{92C5441D-6BFF-4E6B-984B-11BF8E422996}"/>
    <cellStyle name="Millares [0] 15 3 3 3" xfId="19660" xr:uid="{9744DE52-66F4-4249-89BC-C11DC2AE540E}"/>
    <cellStyle name="Millares [0] 15 3 4" xfId="15026" xr:uid="{C1AD41CA-C9E5-45BB-8F8C-C11147E826A5}"/>
    <cellStyle name="Millares [0] 15 3 4 2" xfId="25440" xr:uid="{F866421F-28F5-4530-AA10-E332BFB3F12D}"/>
    <cellStyle name="Millares [0] 15 3 5" xfId="15472" xr:uid="{F8A7DB01-DE87-4F2A-A728-0054B0803DB9}"/>
    <cellStyle name="Millares [0] 15 3 5 2" xfId="31314" xr:uid="{CCC5F79A-8537-414D-A358-647ADB7735B8}"/>
    <cellStyle name="Millares [0] 15 3 6" xfId="37187" xr:uid="{B48E3ACE-B8C9-4A48-8F97-031B454FA998}"/>
    <cellStyle name="Millares [0] 15 3 7" xfId="17692" xr:uid="{B27C3A9F-19B3-4BAC-B1C7-452D7E8A8F18}"/>
    <cellStyle name="Millares [0] 15 3 8" xfId="45349" xr:uid="{C45D7AC4-1359-4CA3-ADA9-0938D8EA6F2F}"/>
    <cellStyle name="Millares [0] 15 3 9" xfId="49842" xr:uid="{5996BD8D-7D62-459D-AEE3-A83E68750C69}"/>
    <cellStyle name="Millares [0] 15 4" xfId="7084" xr:uid="{7F15C017-F234-495E-B993-7FC92F5FC8F5}"/>
    <cellStyle name="Millares [0] 15 4 2" xfId="12300" xr:uid="{6D71FBC1-9E7C-4806-BCD9-96C6DCEA5FDD}"/>
    <cellStyle name="Millares [0] 15 4 2 2" xfId="41877" xr:uid="{8B0DC6D8-92D4-43AA-803F-EA061A38931B}"/>
    <cellStyle name="Millares [0] 15 4 2 3" xfId="21496" xr:uid="{5D7ECC29-CD29-4DAF-B71B-C30472FC4884}"/>
    <cellStyle name="Millares [0] 15 4 3" xfId="15141" xr:uid="{F3B1CDED-BE49-416F-8297-D66E4D593AA8}"/>
    <cellStyle name="Millares [0] 15 4 3 2" xfId="27319" xr:uid="{7CE937B9-7174-4D2D-90CA-6F90CC4A370E}"/>
    <cellStyle name="Millares [0] 15 4 4" xfId="15588" xr:uid="{138AE23B-11F0-41D5-B408-BA2BC3F895F5}"/>
    <cellStyle name="Millares [0] 15 4 4 2" xfId="33200" xr:uid="{CF46AAE8-104F-4B0D-9C80-52AC10559FE3}"/>
    <cellStyle name="Millares [0] 15 4 5" xfId="39064" xr:uid="{F7656ED0-06BB-4EFD-AEDC-ED12F09231CF}"/>
    <cellStyle name="Millares [0] 15 4 6" xfId="17938" xr:uid="{ACAB66AB-A133-488B-855F-286EFC9217CF}"/>
    <cellStyle name="Millares [0] 15 4 7" xfId="49957" xr:uid="{B1AB8E3F-E3CF-48C5-9F57-2BCEF36AF9CA}"/>
    <cellStyle name="Millares [0] 15 5" xfId="4226" xr:uid="{E3B9E3D8-3242-43B9-ACBC-CBA47866BA4A}"/>
    <cellStyle name="Millares [0] 15 5 2" xfId="12112" xr:uid="{47CA7898-2D6D-4AB4-9B31-5490A17FA09E}"/>
    <cellStyle name="Millares [0] 15 5 2 2" xfId="41689" xr:uid="{AA848475-E9D4-482A-83C6-0982D39F5E66}"/>
    <cellStyle name="Millares [0] 15 5 3" xfId="14953" xr:uid="{CA0E2A6B-B4C8-4296-94F8-8F2390EBD72C}"/>
    <cellStyle name="Millares [0] 15 5 4" xfId="18753" xr:uid="{A7BD9ADC-505E-4E81-A769-9F26A838C443}"/>
    <cellStyle name="Millares [0] 15 5 5" xfId="49769" xr:uid="{FC1ED0D2-A255-4A74-B742-9CE6EA6FD471}"/>
    <cellStyle name="Millares [0] 15 6" xfId="10189" xr:uid="{BB445569-14F0-49C5-A8E1-41C670DC70D0}"/>
    <cellStyle name="Millares [0] 15 6 2" xfId="24469" xr:uid="{E88DBC98-7276-45A5-97A4-B56F73D01E08}"/>
    <cellStyle name="Millares [0] 15 7" xfId="13029" xr:uid="{EFD61E96-4C8D-477E-BFA5-150958CECCEB}"/>
    <cellStyle name="Millares [0] 15 7 2" xfId="30347" xr:uid="{23F26D4A-1C6F-4328-8ADC-A8B920364A44}"/>
    <cellStyle name="Millares [0] 15 8" xfId="15398" xr:uid="{A5B33606-24BD-4637-B76E-358A3FB5463E}"/>
    <cellStyle name="Millares [0] 15 8 2" xfId="36228" xr:uid="{BB051174-90CE-4EE6-97A5-6E37A77B2329}"/>
    <cellStyle name="Millares [0] 15 9" xfId="16372" xr:uid="{1AD0C27F-1088-4801-8969-B863EB8DCAE8}"/>
    <cellStyle name="Millares [0] 16" xfId="658" xr:uid="{00000000-0005-0000-0000-0000E9000000}"/>
    <cellStyle name="Millares [0] 16 2" xfId="7631" xr:uid="{32CDD40B-0C12-4AD9-B248-67D342BDA21B}"/>
    <cellStyle name="Millares [0] 16 2 2" xfId="22024" xr:uid="{9AD54984-E3E6-44C9-8367-7EF5F116E71B}"/>
    <cellStyle name="Millares [0] 16 2 3" xfId="27865" xr:uid="{DF8CBA88-8270-44D2-ADD9-CC5C2C013CC8}"/>
    <cellStyle name="Millares [0] 16 2 4" xfId="33747" xr:uid="{178F8E55-7E42-4770-B890-2C95D9DCDDE2}"/>
    <cellStyle name="Millares [0] 16 2 5" xfId="39611" xr:uid="{D3C23C98-EBCB-4E30-89BC-E5C8AFB86739}"/>
    <cellStyle name="Millares [0] 16 3" xfId="4767" xr:uid="{44701661-CDB5-40DB-8476-180C394833C2}"/>
    <cellStyle name="Millares [0] 16 4" xfId="25016" xr:uid="{256D37DE-D342-48CE-8DB0-444BAFA20ED1}"/>
    <cellStyle name="Millares [0] 16 5" xfId="30890" xr:uid="{92172C0A-C6F7-4494-AC5A-208639F743A2}"/>
    <cellStyle name="Millares [0] 16 6" xfId="36770" xr:uid="{C42A20F4-079C-449C-B5C7-2642BE1BB0BF}"/>
    <cellStyle name="Millares [0] 17" xfId="1761" xr:uid="{00000000-0005-0000-0000-0000EA000000}"/>
    <cellStyle name="Millares [0] 17 2" xfId="8643" xr:uid="{9112B365-9186-4FDA-9850-59FFA152CAD7}"/>
    <cellStyle name="Millares [0] 17 2 2" xfId="23014" xr:uid="{799554B4-8975-455D-BB02-CACD6A2F4A9D}"/>
    <cellStyle name="Millares [0] 17 2 3" xfId="28876" xr:uid="{749ABCA8-6A77-4263-BE9C-3EF6B6341991}"/>
    <cellStyle name="Millares [0] 17 2 4" xfId="34758" xr:uid="{168AB794-415A-4EFA-BB58-8F09BB8BE92C}"/>
    <cellStyle name="Millares [0] 17 2 5" xfId="40622" xr:uid="{A990D081-7FBC-4876-9046-3887408ED0AA}"/>
    <cellStyle name="Millares [0] 17 3" xfId="5774" xr:uid="{610CA516-9B4B-45A2-AA23-9F2B9ED99994}"/>
    <cellStyle name="Millares [0] 17 4" xfId="26026" xr:uid="{D845C12C-4427-43D6-BE11-694A53C1AF4C}"/>
    <cellStyle name="Millares [0] 17 5" xfId="31901" xr:uid="{3DE5FF2C-A2D6-4AE2-A324-A8B87DFE5186}"/>
    <cellStyle name="Millares [0] 17 6" xfId="37767" xr:uid="{68EE0B58-7558-4930-8BE3-6FE7226842F4}"/>
    <cellStyle name="Millares [0] 18" xfId="1944" xr:uid="{2BE82F84-83CF-46E5-909C-BE6F154F2700}"/>
    <cellStyle name="Millares [0] 18 2" xfId="9064" xr:uid="{6B074105-5D34-4607-BB85-DCCF7A6E9BC2}"/>
    <cellStyle name="Millares [0] 18 2 2" xfId="12431" xr:uid="{1DF75D55-719F-4C0B-AF86-4A5ED4A1A30C}"/>
    <cellStyle name="Millares [0] 18 2 2 2" xfId="42008" xr:uid="{60A26770-EB00-43B4-A148-DEE2BCA6AE63}"/>
    <cellStyle name="Millares [0] 18 2 2 3" xfId="23428" xr:uid="{8683FFEC-2E81-4111-9FD3-D921624E3FC4}"/>
    <cellStyle name="Millares [0] 18 2 3" xfId="15272" xr:uid="{2F7EB9BA-849B-4DE1-B663-3E78D91C7604}"/>
    <cellStyle name="Millares [0] 18 2 3 2" xfId="29295" xr:uid="{906BD377-36D0-4131-B07C-A07E43FA359F}"/>
    <cellStyle name="Millares [0] 18 2 4" xfId="15721" xr:uid="{F70475C4-B7E8-42A5-8764-F3BAFD05A17A}"/>
    <cellStyle name="Millares [0] 18 2 4 2" xfId="35177" xr:uid="{FF160AA5-F21B-483C-A6A2-C9B4DEEC35EE}"/>
    <cellStyle name="Millares [0] 18 2 5" xfId="41038" xr:uid="{5D7961EC-C9C1-499B-AC24-6024196FB8F8}"/>
    <cellStyle name="Millares [0] 18 2 6" xfId="18195" xr:uid="{34C831D4-C3B7-4E19-BDB1-26404D9C5E7F}"/>
    <cellStyle name="Millares [0] 18 2 7" xfId="45375" xr:uid="{49CE3E15-F1D5-4BB8-88DA-AC4DD5621539}"/>
    <cellStyle name="Millares [0] 18 2 8" xfId="50088" xr:uid="{385A27DB-46B7-41B8-921F-CE1648277ED4}"/>
    <cellStyle name="Millares [0] 18 3" xfId="6195" xr:uid="{63F6D91F-CF90-451D-A64E-AE90CA51EFA7}"/>
    <cellStyle name="Millares [0] 18 3 2" xfId="12244" xr:uid="{3C7040B1-07B8-4CEF-96B3-EB0285D9B25B}"/>
    <cellStyle name="Millares [0] 18 3 2 2" xfId="41821" xr:uid="{9429FA0B-CBA3-412A-89BC-73F846A33A98}"/>
    <cellStyle name="Millares [0] 18 3 3" xfId="15085" xr:uid="{B6210B58-1A5B-4E60-8091-BBC5872C2291}"/>
    <cellStyle name="Millares [0] 18 3 4" xfId="20643" xr:uid="{4E99CF86-EE6B-4CAE-BD6E-2832408C1B2F}"/>
    <cellStyle name="Millares [0] 18 3 5" xfId="49901" xr:uid="{6C6D0054-29B0-4818-B347-CFA14AA8FE18}"/>
    <cellStyle name="Millares [0] 18 4" xfId="10215" xr:uid="{5D77F3C1-0B52-4EDB-BE01-A0D7952C942A}"/>
    <cellStyle name="Millares [0] 18 4 2" xfId="26445" xr:uid="{99D61225-F8E7-4474-8169-CAFFFB34D476}"/>
    <cellStyle name="Millares [0] 18 5" xfId="13055" xr:uid="{48BFB85D-1DFF-4243-B87F-005F141BC7ED}"/>
    <cellStyle name="Millares [0] 18 5 2" xfId="32320" xr:uid="{93EE47A6-3ACA-45D8-AFE4-6ADC779A185F}"/>
    <cellStyle name="Millares [0] 18 6" xfId="15532" xr:uid="{CDB174C3-108B-4A10-A155-DBE232B429B7}"/>
    <cellStyle name="Millares [0] 18 6 2" xfId="38185" xr:uid="{EF12AB7B-490C-44E9-816D-D7F4904D9EE7}"/>
    <cellStyle name="Millares [0] 18 7" xfId="17813" xr:uid="{E67D9E39-38FA-484E-817E-8E8FAE6BAC85}"/>
    <cellStyle name="Millares [0] 18 8" xfId="42979" xr:uid="{234F778B-012B-49A2-BC40-516DF2149655}"/>
    <cellStyle name="Millares [0] 18 9" xfId="47872" xr:uid="{CE4A277B-EEED-4D5A-82C3-CD91E7FBB18E}"/>
    <cellStyle name="Millares [0] 19" xfId="2362" xr:uid="{7CB05DAA-8753-461D-9375-5E3A89C4AAC2}"/>
    <cellStyle name="Millares [0] 19 2" xfId="9163" xr:uid="{7DF3D5C7-5A65-4146-AF66-BAC50AEF82C2}"/>
    <cellStyle name="Millares [0] 19 2 2" xfId="12438" xr:uid="{B4FCDB90-6A6B-46DF-8869-13A01B891E05}"/>
    <cellStyle name="Millares [0] 19 2 2 2" xfId="42015" xr:uid="{0FD6943E-497B-40A2-856D-C132AF28F4E8}"/>
    <cellStyle name="Millares [0] 19 2 2 3" xfId="23527" xr:uid="{37AC7A5E-8B8D-471D-A31E-BBB9CC1F6DFA}"/>
    <cellStyle name="Millares [0] 19 2 3" xfId="15279" xr:uid="{0CF1B575-66C9-47A9-8D8C-4EF63A05ECE4}"/>
    <cellStyle name="Millares [0] 19 2 3 2" xfId="29394" xr:uid="{01245335-B06C-4505-B929-F6F61F735859}"/>
    <cellStyle name="Millares [0] 19 2 4" xfId="15728" xr:uid="{2A163747-05FF-4D33-A6AC-70161BBD9270}"/>
    <cellStyle name="Millares [0] 19 2 4 2" xfId="35276" xr:uid="{CAC9FBB5-CEB3-4911-BDB3-09D838DDBBC1}"/>
    <cellStyle name="Millares [0] 19 2 5" xfId="41135" xr:uid="{F8CFBD1E-7DAA-474C-A4EF-0D6E8718B145}"/>
    <cellStyle name="Millares [0] 19 2 6" xfId="18211" xr:uid="{C06F68FD-4B1D-4685-864D-3E6D6D1CB294}"/>
    <cellStyle name="Millares [0] 19 2 7" xfId="45793" xr:uid="{7386AE21-D16B-40FA-AE8C-520DECA57A4B}"/>
    <cellStyle name="Millares [0] 19 2 8" xfId="50095" xr:uid="{810528D5-FA9D-4295-939A-860708365FF7}"/>
    <cellStyle name="Millares [0] 19 3" xfId="6294" xr:uid="{85229581-478C-454B-9996-B7D4DE5DAB70}"/>
    <cellStyle name="Millares [0] 19 3 2" xfId="12251" xr:uid="{6BEF0F3C-8229-46BF-85B2-6973D73506E0}"/>
    <cellStyle name="Millares [0] 19 3 2 2" xfId="41828" xr:uid="{C0E735CE-5155-4C9D-9233-B16E20C31B60}"/>
    <cellStyle name="Millares [0] 19 3 3" xfId="15092" xr:uid="{BBF08FCD-E95A-494C-88FE-019C8066C25B}"/>
    <cellStyle name="Millares [0] 19 3 4" xfId="20735" xr:uid="{37A382E9-5BF8-4029-85B1-61BE1E3BDCAB}"/>
    <cellStyle name="Millares [0] 19 3 5" xfId="49908" xr:uid="{010A54D7-1D12-4D81-97F1-F3DECB26A3A5}"/>
    <cellStyle name="Millares [0] 19 4" xfId="10633" xr:uid="{384BD834-7F3F-451E-A6F4-9FD4F45B30FD}"/>
    <cellStyle name="Millares [0] 19 4 2" xfId="26544" xr:uid="{2C5F8F09-5E86-4DF9-AB48-CB26A57716CA}"/>
    <cellStyle name="Millares [0] 19 5" xfId="13473" xr:uid="{86C6C882-6451-4E8F-BD91-83E51BAAAA7A}"/>
    <cellStyle name="Millares [0] 19 5 2" xfId="32419" xr:uid="{C8BA636F-3E59-44C5-8E1E-9C466D9A8864}"/>
    <cellStyle name="Millares [0] 19 6" xfId="15539" xr:uid="{1E31D9EE-7202-4BE8-A0D3-402DB9C53176}"/>
    <cellStyle name="Millares [0] 19 6 2" xfId="38284" xr:uid="{6EE3AFF5-2F21-4E09-A6CD-CE595257A071}"/>
    <cellStyle name="Millares [0] 19 7" xfId="17828" xr:uid="{46F8E418-8271-48E3-A4EB-D523373FC072}"/>
    <cellStyle name="Millares [0] 19 8" xfId="43397" xr:uid="{2A5EF847-E35B-4E7D-A56C-820B38EEE645}"/>
    <cellStyle name="Millares [0] 19 9" xfId="48290" xr:uid="{40D6A669-AF27-4233-B7D2-275CFC990E0A}"/>
    <cellStyle name="Millares [0] 2" xfId="45" xr:uid="{00000000-0005-0000-0000-0000EB000000}"/>
    <cellStyle name="Millares [0] 2 10" xfId="6418" xr:uid="{4EB6D174-872A-482B-9860-8F471608EE5B}"/>
    <cellStyle name="Millares [0] 2 10 2" xfId="12268" xr:uid="{C18FD927-32CD-4AA7-BBFF-2D568A317006}"/>
    <cellStyle name="Millares [0] 2 10 2 2" xfId="41845" xr:uid="{933E8268-8BC4-44C0-8A2B-548D2B91C7E2}"/>
    <cellStyle name="Millares [0] 2 10 2 3" xfId="20859" xr:uid="{2EB247A6-5D6D-4C8D-8A34-D70393B04FA6}"/>
    <cellStyle name="Millares [0] 2 10 3" xfId="15109" xr:uid="{96827D2A-9679-46F4-B58B-44C76CB2F0F7}"/>
    <cellStyle name="Millares [0] 2 10 3 2" xfId="26668" xr:uid="{EDE8A0FA-4010-4AA2-A1EB-F50054C1F33F}"/>
    <cellStyle name="Millares [0] 2 10 4" xfId="15556" xr:uid="{564DCEDA-00A8-47C2-AE0F-FEF5A540FDD1}"/>
    <cellStyle name="Millares [0] 2 10 4 2" xfId="32543" xr:uid="{33F25E31-D66F-493A-A2A9-2E4D23409736}"/>
    <cellStyle name="Millares [0] 2 10 5" xfId="38407" xr:uid="{D7F87201-4EC0-40DE-BA6F-D5220C506F10}"/>
    <cellStyle name="Millares [0] 2 10 6" xfId="17852" xr:uid="{85E6D1B4-4FD4-4BCB-98E5-D4FF52940991}"/>
    <cellStyle name="Millares [0] 2 10 7" xfId="46832" xr:uid="{E26A5FDE-7E0B-45D9-986F-6CA191581216}"/>
    <cellStyle name="Millares [0] 2 10 8" xfId="47062" xr:uid="{23D2464C-C954-42A3-A900-D55EC188A94E}"/>
    <cellStyle name="Millares [0] 2 10 9" xfId="49925" xr:uid="{988A9E5E-7C64-4344-A5DC-9B50EC1CB788}"/>
    <cellStyle name="Millares [0] 2 11" xfId="6651" xr:uid="{690C7DD6-E10B-4C24-A7CC-63FF0B2B32A5}"/>
    <cellStyle name="Millares [0] 2 11 2" xfId="12274" xr:uid="{3EE3F7BD-85E6-448F-8AE6-E01273C4B19F}"/>
    <cellStyle name="Millares [0] 2 11 2 2" xfId="41851" xr:uid="{00960C8D-F3C7-425A-8216-61DEE5A702E3}"/>
    <cellStyle name="Millares [0] 2 11 2 3" xfId="21087" xr:uid="{ED4F9B4C-E367-49BF-A951-1E8017D94957}"/>
    <cellStyle name="Millares [0] 2 11 3" xfId="15115" xr:uid="{AE7A6D06-517A-481E-97EC-4CD21FC3C17B}"/>
    <cellStyle name="Millares [0] 2 11 3 2" xfId="26899" xr:uid="{B155F766-34BD-4F2B-B729-16BE2D17D980}"/>
    <cellStyle name="Millares [0] 2 11 4" xfId="15562" xr:uid="{F2F377A7-829D-443D-8DFD-89F441BA906C}"/>
    <cellStyle name="Millares [0] 2 11 4 2" xfId="32774" xr:uid="{539B580F-2F77-4411-A42E-4FADE8B0C298}"/>
    <cellStyle name="Millares [0] 2 11 5" xfId="38638" xr:uid="{60E608A1-60C4-4096-AA2C-68927DF63CF8}"/>
    <cellStyle name="Millares [0] 2 11 6" xfId="17879" xr:uid="{3D4DB3EF-BF2C-4D2A-9395-17ECEF752607}"/>
    <cellStyle name="Millares [0] 2 11 7" xfId="46833" xr:uid="{C595CC2D-C993-4B78-BCAA-FAB4BE88DC9C}"/>
    <cellStyle name="Millares [0] 2 11 8" xfId="47016" xr:uid="{CBE32CEE-F4E7-4F0D-BD40-0E148B6A3028}"/>
    <cellStyle name="Millares [0] 2 11 9" xfId="49931" xr:uid="{05D084F6-E10F-4E82-A35F-9F7B764206CD}"/>
    <cellStyle name="Millares [0] 2 12" xfId="9576" xr:uid="{92F6D283-7F9F-405B-ABCC-C6E3B7C3BCF6}"/>
    <cellStyle name="Millares [0] 2 12 2" xfId="12456" xr:uid="{EA3B810E-F62B-483A-8CC7-BBA3B41750FE}"/>
    <cellStyle name="Millares [0] 2 12 2 2" xfId="42033" xr:uid="{A17822DB-11ED-47C8-A09D-BA877CD57A6A}"/>
    <cellStyle name="Millares [0] 2 12 2 3" xfId="23937" xr:uid="{7A8E0EDE-30A8-4F34-B0C1-DADBA4832E34}"/>
    <cellStyle name="Millares [0] 2 12 2 4" xfId="47238" xr:uid="{389233AE-7D37-4670-B12A-FCC77EE6B4B0}"/>
    <cellStyle name="Millares [0] 2 12 3" xfId="15297" xr:uid="{95944987-4181-4D99-AE70-8966891AE35D}"/>
    <cellStyle name="Millares [0] 2 12 3 2" xfId="29807" xr:uid="{45C8DD70-DDD2-4354-B506-CCCD459DA5B2}"/>
    <cellStyle name="Millares [0] 2 12 4" xfId="15747" xr:uid="{6DF1591B-4FB6-486B-8DB4-7DF5C1EF80AF}"/>
    <cellStyle name="Millares [0] 2 12 4 2" xfId="35689" xr:uid="{A46527DE-3D91-4732-9B8A-0C94D7C677C6}"/>
    <cellStyle name="Millares [0] 2 12 5" xfId="41548" xr:uid="{70830BF8-4B0F-43C3-A389-E01895DB167D}"/>
    <cellStyle name="Millares [0] 2 12 6" xfId="18261" xr:uid="{4F55322C-E0C8-4BFE-982B-EF284012D08F}"/>
    <cellStyle name="Millares [0] 2 12 7" xfId="47090" xr:uid="{4BE0A383-0B8F-4EE4-BFC3-3E8581ED27AB}"/>
    <cellStyle name="Millares [0] 2 12 8" xfId="50113" xr:uid="{0096B114-45D5-4CF5-834E-577801DCA56E}"/>
    <cellStyle name="Millares [0] 2 13" xfId="4259" xr:uid="{0EC75C10-6419-48C3-96DC-3D3D0F22CE36}"/>
    <cellStyle name="Millares [0] 2 13 10" xfId="14958" xr:uid="{50112B08-6C17-4B2C-921A-41773F0C79C8}"/>
    <cellStyle name="Millares [0] 2 13 10 2" xfId="18780" xr:uid="{FC7CAE50-10F4-4A30-870B-2FF31E47A1D5}"/>
    <cellStyle name="Millares [0] 2 13 11" xfId="15403" xr:uid="{C18678D0-FE5A-45E9-96C9-C09134706DA2}"/>
    <cellStyle name="Millares [0] 2 13 11 2" xfId="24502" xr:uid="{1F30D845-5779-4B04-8163-389893F2E3D7}"/>
    <cellStyle name="Millares [0] 2 13 12" xfId="30381" xr:uid="{2A8E1EB8-B0C2-4695-B6E5-9EC507612FCF}"/>
    <cellStyle name="Millares [0] 2 13 13" xfId="36262" xr:uid="{43DDCFD5-5179-4964-BF3A-74783D3894FE}"/>
    <cellStyle name="Millares [0] 2 13 14" xfId="17570" xr:uid="{B5465E73-D567-4594-BE08-27AA2A92B89D}"/>
    <cellStyle name="Millares [0] 2 13 15" xfId="49774" xr:uid="{59F6DFFA-F250-464C-9CD0-109834A9DE84}"/>
    <cellStyle name="Millares [0] 2 13 2" xfId="4227" xr:uid="{82D00884-62EA-4F72-9E4B-5E64AEF31F25}"/>
    <cellStyle name="Millares [0] 2 13 2 10" xfId="30348" xr:uid="{BFC1A593-EFC0-46AA-991F-4E898575D177}"/>
    <cellStyle name="Millares [0] 2 13 2 11" xfId="36229" xr:uid="{270CCF6F-61B2-4201-BE54-663300F51562}"/>
    <cellStyle name="Millares [0] 2 13 2 12" xfId="17565" xr:uid="{EAF249EE-FEE7-4974-9209-FB1A44354AE5}"/>
    <cellStyle name="Millares [0] 2 13 2 13" xfId="49770" xr:uid="{BEFDB84A-287A-4FC4-9F35-8FE7C63159CD}"/>
    <cellStyle name="Millares [0] 2 13 2 2" xfId="4706" xr:uid="{2F18FC73-A139-41F3-9BEC-43CC2910A506}"/>
    <cellStyle name="Millares [0] 2 13 2 2 2" xfId="5674" xr:uid="{AEFAB506-FA8E-40A0-A146-8F752E883BA0}"/>
    <cellStyle name="Millares [0] 2 13 2 2 2 2" xfId="8542" xr:uid="{0CCC6E0A-8C53-4733-B2E4-4657AF3CBF82}"/>
    <cellStyle name="Millares [0] 2 13 2 2 2 2 2" xfId="12409" xr:uid="{1B471CAC-85BA-45D9-9918-F33AAF134964}"/>
    <cellStyle name="Millares [0] 2 13 2 2 2 2 2 2" xfId="41986" xr:uid="{5D55B60E-B142-49F3-B6EB-D701E7F8D09C}"/>
    <cellStyle name="Millares [0] 2 13 2 2 2 2 2 3" xfId="22914" xr:uid="{B1072C42-4D15-4126-A782-97E3A9EC1FF7}"/>
    <cellStyle name="Millares [0] 2 13 2 2 2 2 3" xfId="15250" xr:uid="{12253523-D69B-42F9-AC52-CF11C348D57A}"/>
    <cellStyle name="Millares [0] 2 13 2 2 2 2 3 2" xfId="28775" xr:uid="{5B7B93DA-1762-477C-87C9-87A91803465F}"/>
    <cellStyle name="Millares [0] 2 13 2 2 2 2 4" xfId="15698" xr:uid="{79DF0F4D-6113-4EC2-94A0-52556261F5E8}"/>
    <cellStyle name="Millares [0] 2 13 2 2 2 2 4 2" xfId="34657" xr:uid="{5D4454D9-E1BF-4061-A3AD-8AABE5727437}"/>
    <cellStyle name="Millares [0] 2 13 2 2 2 2 5" xfId="40521" xr:uid="{CCC759E0-CC14-4BE3-B312-FD079072654B}"/>
    <cellStyle name="Millares [0] 2 13 2 2 2 2 6" xfId="18146" xr:uid="{2387E02D-7ABF-4E31-B983-D80265DDE63B}"/>
    <cellStyle name="Millares [0] 2 13 2 2 2 2 7" xfId="50066" xr:uid="{6B56B575-561D-4248-80DC-5D604A82D4D4}"/>
    <cellStyle name="Millares [0] 2 13 2 2 2 3" xfId="12222" xr:uid="{B93CBF84-A666-4F87-959C-87DC63BAF395}"/>
    <cellStyle name="Millares [0] 2 13 2 2 2 3 2" xfId="41799" xr:uid="{90E04A8B-851A-4BB3-84E4-257FA855A659}"/>
    <cellStyle name="Millares [0] 2 13 2 2 2 3 3" xfId="20131" xr:uid="{2354C8F8-A1E3-478E-BCF0-EF08B5E6FE1F}"/>
    <cellStyle name="Millares [0] 2 13 2 2 2 4" xfId="15063" xr:uid="{5A48BD85-7590-48F0-8D25-FC58E1F26E60}"/>
    <cellStyle name="Millares [0] 2 13 2 2 2 4 2" xfId="25925" xr:uid="{C2C49DCA-469F-490C-AE61-D3A13C4B1FAB}"/>
    <cellStyle name="Millares [0] 2 13 2 2 2 5" xfId="15510" xr:uid="{8CA7B09E-C1F4-4605-8BFB-7D93FC2A3621}"/>
    <cellStyle name="Millares [0] 2 13 2 2 2 5 2" xfId="31800" xr:uid="{948209B9-1297-4B39-9D5C-E4DDAAEA2165}"/>
    <cellStyle name="Millares [0] 2 13 2 2 2 6" xfId="37667" xr:uid="{C2AB679E-FABC-41DA-A846-4F26D3CB56F4}"/>
    <cellStyle name="Millares [0] 2 13 2 2 2 7" xfId="17760" xr:uid="{EF241089-DEFE-4897-B16E-DB7C951D3427}"/>
    <cellStyle name="Millares [0] 2 13 2 2 2 8" xfId="49879" xr:uid="{630CA193-C9DF-48FA-80D6-33A55BF5AF41}"/>
    <cellStyle name="Millares [0] 2 13 2 2 3" xfId="7570" xr:uid="{892D7279-C5A0-4D1B-946C-185929B46BA7}"/>
    <cellStyle name="Millares [0] 2 13 2 2 3 2" xfId="12337" xr:uid="{DE2E7976-6067-498F-A3A7-1A5E32FAEDD7}"/>
    <cellStyle name="Millares [0] 2 13 2 2 3 2 2" xfId="41914" xr:uid="{7AC9971A-4B6C-4F38-87B9-9D415E66640F}"/>
    <cellStyle name="Millares [0] 2 13 2 2 3 2 3" xfId="21964" xr:uid="{1AE9F1FD-7FAF-41D8-BC9D-009763EBAF1F}"/>
    <cellStyle name="Millares [0] 2 13 2 2 3 3" xfId="15178" xr:uid="{C4FBF05F-CE06-47D6-8D25-586E459FE422}"/>
    <cellStyle name="Millares [0] 2 13 2 2 3 3 2" xfId="27804" xr:uid="{B1E1AACA-C269-4BFC-9EDB-C387853D12DC}"/>
    <cellStyle name="Millares [0] 2 13 2 2 3 4" xfId="15625" xr:uid="{1911DEF9-EED7-43D4-A901-234FDB06849C}"/>
    <cellStyle name="Millares [0] 2 13 2 2 3 4 2" xfId="33686" xr:uid="{B17B4EB1-24ED-4BB3-8094-E0F6137BC477}"/>
    <cellStyle name="Millares [0] 2 13 2 2 3 5" xfId="39550" xr:uid="{22181CFC-8F8B-4BA8-A358-1DD57A6AAB2F}"/>
    <cellStyle name="Millares [0] 2 13 2 2 3 6" xfId="18006" xr:uid="{D14DC39D-5C50-4EEC-9D84-65F53BC62B8A}"/>
    <cellStyle name="Millares [0] 2 13 2 2 3 7" xfId="49994" xr:uid="{9448DDD9-C767-498E-B078-2A81ABBA4F86}"/>
    <cellStyle name="Millares [0] 2 13 2 2 4" xfId="12150" xr:uid="{2789883A-4DAD-446D-84A9-7AA1A1F389B6}"/>
    <cellStyle name="Millares [0] 2 13 2 2 4 2" xfId="41727" xr:uid="{BC45F9BA-9467-4B97-89FA-632B32AC6189}"/>
    <cellStyle name="Millares [0] 2 13 2 2 4 3" xfId="19196" xr:uid="{DBC157F2-89F9-4794-ACBF-450B832EA30D}"/>
    <cellStyle name="Millares [0] 2 13 2 2 5" xfId="14991" xr:uid="{533106C5-62AE-49D5-A59D-595337785AB6}"/>
    <cellStyle name="Millares [0] 2 13 2 2 5 2" xfId="24955" xr:uid="{77694361-CE4D-4999-91A3-CD3F938ACA24}"/>
    <cellStyle name="Millares [0] 2 13 2 2 6" xfId="15437" xr:uid="{BEB9063D-1F3B-4A4F-A19F-008E3F1040B6}"/>
    <cellStyle name="Millares [0] 2 13 2 2 6 2" xfId="30829" xr:uid="{CE5F153A-E530-41A4-8B7A-E12EE3097DE3}"/>
    <cellStyle name="Millares [0] 2 13 2 2 7" xfId="36710" xr:uid="{DF9303BE-B1E0-44BD-AC0A-1900D1A16213}"/>
    <cellStyle name="Millares [0] 2 13 2 2 8" xfId="17627" xr:uid="{B882F1B2-6EE8-4517-B1E3-6626C1874A56}"/>
    <cellStyle name="Millares [0] 2 13 2 2 9" xfId="49807" xr:uid="{C075963D-53FD-404C-B6B4-628A802F7CA8}"/>
    <cellStyle name="Millares [0] 2 13 2 3" xfId="5190" xr:uid="{70918BD5-C911-497E-99A6-ADDADD05F73E}"/>
    <cellStyle name="Millares [0] 2 13 2 3 2" xfId="8057" xr:uid="{DBEB6FA0-08B5-46ED-A7AC-3F55D42FE3AE}"/>
    <cellStyle name="Millares [0] 2 13 2 3 2 2" xfId="12373" xr:uid="{D89D0680-9285-4743-97E4-E0B26AC2906E}"/>
    <cellStyle name="Millares [0] 2 13 2 3 2 2 2" xfId="41950" xr:uid="{ACD35131-07CC-49CD-9082-10A36EF8ECB4}"/>
    <cellStyle name="Millares [0] 2 13 2 3 2 2 3" xfId="22435" xr:uid="{A13440B8-5A0D-4BC0-ACB1-B6694A46C261}"/>
    <cellStyle name="Millares [0] 2 13 2 3 2 3" xfId="15214" xr:uid="{009B012E-7EE5-4011-BDE3-C17EC3767BDA}"/>
    <cellStyle name="Millares [0] 2 13 2 3 2 3 2" xfId="28290" xr:uid="{565D3CCC-5EE5-4A2D-A3B8-1F5FD4D39DD1}"/>
    <cellStyle name="Millares [0] 2 13 2 3 2 4" xfId="15661" xr:uid="{5B824886-7E0F-4F1A-B3CA-524A4C454C7F}"/>
    <cellStyle name="Millares [0] 2 13 2 3 2 4 2" xfId="34172" xr:uid="{04112A1B-DB58-44C8-9B7E-85115E595F63}"/>
    <cellStyle name="Millares [0] 2 13 2 3 2 5" xfId="40036" xr:uid="{B8497594-E085-4733-92A2-7EACFA107D33}"/>
    <cellStyle name="Millares [0] 2 13 2 3 2 6" xfId="18076" xr:uid="{E25A7459-2930-441D-9636-3203B432C2A6}"/>
    <cellStyle name="Millares [0] 2 13 2 3 2 7" xfId="50030" xr:uid="{51827475-EE5A-4D1F-B03F-6377084E43FB}"/>
    <cellStyle name="Millares [0] 2 13 2 3 3" xfId="12186" xr:uid="{3752235A-02E3-4875-89EC-0678AE17BB95}"/>
    <cellStyle name="Millares [0] 2 13 2 3 3 2" xfId="41763" xr:uid="{49F31F5D-88F7-499E-A743-AD55B69C93C9}"/>
    <cellStyle name="Millares [0] 2 13 2 3 3 3" xfId="19661" xr:uid="{ECE5325E-437C-4592-B0CC-8AA6F9A3CD64}"/>
    <cellStyle name="Millares [0] 2 13 2 3 4" xfId="15027" xr:uid="{D3916186-BB44-458C-9126-288A081CE55C}"/>
    <cellStyle name="Millares [0] 2 13 2 3 4 2" xfId="25441" xr:uid="{6A169021-B7B0-4DEA-842F-6AA826A00D74}"/>
    <cellStyle name="Millares [0] 2 13 2 3 5" xfId="15473" xr:uid="{AEB9F5CA-9EFC-40D8-83D0-30BD1A809897}"/>
    <cellStyle name="Millares [0] 2 13 2 3 5 2" xfId="31315" xr:uid="{AD0387C6-1E82-42FE-BD3C-445ED10E233A}"/>
    <cellStyle name="Millares [0] 2 13 2 3 6" xfId="37188" xr:uid="{926A47D0-52A3-48B4-8C7E-C4CDA0E1C327}"/>
    <cellStyle name="Millares [0] 2 13 2 3 7" xfId="17693" xr:uid="{65EAB94E-6E0A-43AB-82BF-C4B51E61AAB4}"/>
    <cellStyle name="Millares [0] 2 13 2 3 8" xfId="49843" xr:uid="{8FAE0B32-9A85-499E-8FC8-AE27E04FD641}"/>
    <cellStyle name="Millares [0] 2 13 2 4" xfId="6324" xr:uid="{E5892897-C539-4E78-85A1-841EED99DF5E}"/>
    <cellStyle name="Millares [0] 2 13 2 4 2" xfId="9189" xr:uid="{1ACD0215-8796-441F-A60A-F1EE3933FF6F}"/>
    <cellStyle name="Millares [0] 2 13 2 4 2 2" xfId="12444" xr:uid="{3D749342-3438-4ABB-94BF-B43C6C761E7C}"/>
    <cellStyle name="Millares [0] 2 13 2 4 2 2 2" xfId="42021" xr:uid="{0F73470A-C473-4AC8-8F71-9947E4211AFA}"/>
    <cellStyle name="Millares [0] 2 13 2 4 2 2 3" xfId="23553" xr:uid="{D91CB8A4-1C40-4790-944F-34297835185C}"/>
    <cellStyle name="Millares [0] 2 13 2 4 2 3" xfId="15285" xr:uid="{C43A07C3-5522-4517-B277-A50E8D265E73}"/>
    <cellStyle name="Millares [0] 2 13 2 4 2 3 2" xfId="29420" xr:uid="{856B8A6A-6C4A-49FA-81FC-333D33C682DD}"/>
    <cellStyle name="Millares [0] 2 13 2 4 2 4" xfId="15734" xr:uid="{64330CE5-4BEC-421E-99FC-56F7E13CD6EF}"/>
    <cellStyle name="Millares [0] 2 13 2 4 2 4 2" xfId="35302" xr:uid="{A670FBEF-62CE-48CF-A2F9-E04B172E6E95}"/>
    <cellStyle name="Millares [0] 2 13 2 4 2 5" xfId="41161" xr:uid="{453C472F-FC8F-4395-87C4-BE8A948A9C02}"/>
    <cellStyle name="Millares [0] 2 13 2 4 2 6" xfId="18218" xr:uid="{C1CC9369-8242-4C04-B715-197164E36859}"/>
    <cellStyle name="Millares [0] 2 13 2 4 2 7" xfId="50101" xr:uid="{BC82CFCE-964D-4DBC-B22C-2BFC55D4E972}"/>
    <cellStyle name="Millares [0] 2 13 2 4 3" xfId="12261" xr:uid="{0EBB42FF-BBAB-4692-B62B-200D0FE4BEA6}"/>
    <cellStyle name="Millares [0] 2 13 2 4 3 2" xfId="41838" xr:uid="{A3C9F281-522A-407C-9817-BFA9DA0FB746}"/>
    <cellStyle name="Millares [0] 2 13 2 4 3 3" xfId="20765" xr:uid="{A7D24735-F44C-448C-9CC6-D42808FB0779}"/>
    <cellStyle name="Millares [0] 2 13 2 4 4" xfId="15102" xr:uid="{C55E70B5-CABD-4164-A937-1B65D3F357E5}"/>
    <cellStyle name="Millares [0] 2 13 2 4 4 2" xfId="26574" xr:uid="{AC06C1A0-B0B1-4234-933B-0F4FC034DFD6}"/>
    <cellStyle name="Millares [0] 2 13 2 4 5" xfId="15549" xr:uid="{83072680-F881-4885-8474-501C084E7DB3}"/>
    <cellStyle name="Millares [0] 2 13 2 4 5 2" xfId="32449" xr:uid="{C0A3F379-A313-4744-9370-81666D252A7C}"/>
    <cellStyle name="Millares [0] 2 13 2 4 6" xfId="38314" xr:uid="{C09E160A-54F7-47D3-9CF1-14F26C020C3D}"/>
    <cellStyle name="Millares [0] 2 13 2 4 7" xfId="17838" xr:uid="{3C308C0A-5B13-40B7-93E4-69FD3E7AA4CF}"/>
    <cellStyle name="Millares [0] 2 13 2 4 8" xfId="49918" xr:uid="{59F714A3-7BE5-4502-BF22-8ED34EFE99BE}"/>
    <cellStyle name="Millares [0] 2 13 2 5" xfId="7085" xr:uid="{0EC8B619-2A5E-4036-AFC9-743C3CC0A7EE}"/>
    <cellStyle name="Millares [0] 2 13 2 5 2" xfId="12301" xr:uid="{BA1F2D26-9E3A-4E84-AD2C-99B5E4147E3B}"/>
    <cellStyle name="Millares [0] 2 13 2 5 2 2" xfId="41878" xr:uid="{83C47A31-2903-48C0-BF6F-93CC4C3A997A}"/>
    <cellStyle name="Millares [0] 2 13 2 5 2 3" xfId="21497" xr:uid="{BD7615DE-5FD1-415D-B2A5-A22DCD294D2A}"/>
    <cellStyle name="Millares [0] 2 13 2 5 3" xfId="15142" xr:uid="{0CF588D6-283B-4856-BAF8-951F2966AAED}"/>
    <cellStyle name="Millares [0] 2 13 2 5 3 2" xfId="27320" xr:uid="{A9550656-88E6-407B-AF9F-7AD7C1B4A96E}"/>
    <cellStyle name="Millares [0] 2 13 2 5 4" xfId="15589" xr:uid="{2D83DC3D-7833-4A65-9790-B36DB6B4A590}"/>
    <cellStyle name="Millares [0] 2 13 2 5 4 2" xfId="33201" xr:uid="{37E17251-72DA-4CC8-847C-59F5C15ACB4E}"/>
    <cellStyle name="Millares [0] 2 13 2 5 5" xfId="39065" xr:uid="{614CFFA8-6EE7-4BDC-A385-FCC43E618801}"/>
    <cellStyle name="Millares [0] 2 13 2 5 6" xfId="17939" xr:uid="{F6FBAD1E-9CC9-4498-873B-DC763BCCBFE4}"/>
    <cellStyle name="Millares [0] 2 13 2 5 7" xfId="49958" xr:uid="{F1772114-134F-4819-B2DF-1890FC7DB3C0}"/>
    <cellStyle name="Millares [0] 2 13 2 6" xfId="9554" xr:uid="{1034A677-092C-4DDE-9873-E2DFB244C076}"/>
    <cellStyle name="Millares [0] 2 13 2 6 2" xfId="12454" xr:uid="{3DF61C1A-7314-4D60-9247-67FAED1855E3}"/>
    <cellStyle name="Millares [0] 2 13 2 6 2 2" xfId="42031" xr:uid="{EE3945CC-376B-43AB-BE23-ACD03F856D19}"/>
    <cellStyle name="Millares [0] 2 13 2 6 2 3" xfId="23916" xr:uid="{97DC9732-3CFB-4628-A6FE-6432CE69FA7A}"/>
    <cellStyle name="Millares [0] 2 13 2 6 3" xfId="15295" xr:uid="{877747B4-78FF-4816-BC33-A36AB458875F}"/>
    <cellStyle name="Millares [0] 2 13 2 6 3 2" xfId="29786" xr:uid="{6F27330D-E113-48A7-9410-144D786DCEFD}"/>
    <cellStyle name="Millares [0] 2 13 2 6 4" xfId="15745" xr:uid="{2B60319E-FDC6-4C79-9E78-3265532F68DA}"/>
    <cellStyle name="Millares [0] 2 13 2 6 4 2" xfId="35668" xr:uid="{848521EB-BB99-4193-BA8B-5F03B7A7B97B}"/>
    <cellStyle name="Millares [0] 2 13 2 6 5" xfId="41527" xr:uid="{A93A98D4-3F90-41A5-965C-510B1F63B4C0}"/>
    <cellStyle name="Millares [0] 2 13 2 6 6" xfId="18258" xr:uid="{AB738AF4-049F-467E-9DDD-10071791D186}"/>
    <cellStyle name="Millares [0] 2 13 2 6 7" xfId="50111" xr:uid="{79BF8459-A794-41E2-9CDF-B54850C80DF9}"/>
    <cellStyle name="Millares [0] 2 13 2 7" xfId="12113" xr:uid="{2D485857-18C0-4AFE-8DFD-C10956A3FD8B}"/>
    <cellStyle name="Millares [0] 2 13 2 7 2" xfId="15843" xr:uid="{B4960D4E-3D3A-4A44-95D1-BC840963FF5A}"/>
    <cellStyle name="Millares [0] 2 13 2 7 2 2" xfId="41690" xr:uid="{F56D071C-F6B4-4E0A-B6F4-E3CA483B4B6C}"/>
    <cellStyle name="Millares [0] 2 13 2 7 3" xfId="18287" xr:uid="{767176BF-EB50-4061-9C72-1EBD9C06B287}"/>
    <cellStyle name="Millares [0] 2 13 2 8" xfId="14954" xr:uid="{AEF8164C-D94D-4270-A1F5-21DC3D7E5929}"/>
    <cellStyle name="Millares [0] 2 13 2 8 2" xfId="18754" xr:uid="{7026C4E1-37DA-4BAE-8BE5-7F640DC6DC1C}"/>
    <cellStyle name="Millares [0] 2 13 2 9" xfId="15399" xr:uid="{763AD629-574F-4B1F-923A-844EB808DFB4}"/>
    <cellStyle name="Millares [0] 2 13 2 9 2" xfId="24470" xr:uid="{7198084C-AF1A-4120-B983-9361E6EE917E}"/>
    <cellStyle name="Millares [0] 2 13 3" xfId="4739" xr:uid="{58EF561F-EB85-4058-A2E6-D99B51CB7421}"/>
    <cellStyle name="Millares [0] 2 13 3 2" xfId="5707" xr:uid="{A1EC86EA-7424-40F3-B87D-E4CE89B38347}"/>
    <cellStyle name="Millares [0] 2 13 3 2 2" xfId="8575" xr:uid="{81068FC4-6BF4-4969-8AFE-1173A94BA987}"/>
    <cellStyle name="Millares [0] 2 13 3 2 2 2" xfId="12413" xr:uid="{522ED135-FC3F-41AC-8D58-9B0B70D539D2}"/>
    <cellStyle name="Millares [0] 2 13 3 2 2 2 2" xfId="41990" xr:uid="{A74D6C14-4DD8-4372-886C-E2CA060327B2}"/>
    <cellStyle name="Millares [0] 2 13 3 2 2 2 3" xfId="22947" xr:uid="{DB56B5C4-2A30-4ECF-B00B-26ABDC993FEB}"/>
    <cellStyle name="Millares [0] 2 13 3 2 2 3" xfId="15254" xr:uid="{925E71CD-C240-4922-A563-FD9AEFD4B7A1}"/>
    <cellStyle name="Millares [0] 2 13 3 2 2 3 2" xfId="28808" xr:uid="{FF496CB0-FEC6-49BD-83DB-420056C4D877}"/>
    <cellStyle name="Millares [0] 2 13 3 2 2 4" xfId="15702" xr:uid="{300273FB-D21B-49B7-BD9B-909628CCC1C5}"/>
    <cellStyle name="Millares [0] 2 13 3 2 2 4 2" xfId="34690" xr:uid="{6C5C50C4-3CA5-4F87-A532-D27870367CF2}"/>
    <cellStyle name="Millares [0] 2 13 3 2 2 5" xfId="40554" xr:uid="{B58232A9-C806-41AA-AC9B-7B9FD8A4F8AD}"/>
    <cellStyle name="Millares [0] 2 13 3 2 2 6" xfId="18152" xr:uid="{0F79C740-2780-442D-8DD6-78C2029F6B24}"/>
    <cellStyle name="Millares [0] 2 13 3 2 2 7" xfId="50070" xr:uid="{F7066F3A-7A21-4119-AB2F-1C032D718188}"/>
    <cellStyle name="Millares [0] 2 13 3 2 3" xfId="12226" xr:uid="{6342DFDA-0858-46C9-84BE-BB7B7BA0A082}"/>
    <cellStyle name="Millares [0] 2 13 3 2 3 2" xfId="41803" xr:uid="{3B9D1823-64B2-4CA1-9111-BAB99D0CEE70}"/>
    <cellStyle name="Millares [0] 2 13 3 2 3 3" xfId="20164" xr:uid="{A29F12B1-7D5E-4132-B869-54EF1230CE8B}"/>
    <cellStyle name="Millares [0] 2 13 3 2 4" xfId="15067" xr:uid="{B0A19A2A-EED9-4C2B-8178-92BB60A1D37E}"/>
    <cellStyle name="Millares [0] 2 13 3 2 4 2" xfId="25958" xr:uid="{178E44FD-C9BA-4E48-844B-72BEBDD07E88}"/>
    <cellStyle name="Millares [0] 2 13 3 2 5" xfId="15514" xr:uid="{F4723FF9-27C3-47DF-A89D-F5D1C871F245}"/>
    <cellStyle name="Millares [0] 2 13 3 2 5 2" xfId="31833" xr:uid="{9334E9FD-85C3-4265-8939-69BAFCEC7FD9}"/>
    <cellStyle name="Millares [0] 2 13 3 2 6" xfId="37700" xr:uid="{A870171F-4A35-4B5E-A0E2-3397C3969F82}"/>
    <cellStyle name="Millares [0] 2 13 3 2 7" xfId="17766" xr:uid="{163BAE5F-B366-46B1-8443-619822040626}"/>
    <cellStyle name="Millares [0] 2 13 3 2 8" xfId="49883" xr:uid="{FB73A074-C264-46FD-9CAE-733B9F3F551A}"/>
    <cellStyle name="Millares [0] 2 13 3 3" xfId="7603" xr:uid="{CC0ADF29-3EF8-4BBD-920E-48D160A5DE60}"/>
    <cellStyle name="Millares [0] 2 13 3 3 2" xfId="12341" xr:uid="{FD44487C-D623-4A1B-9A29-C3EDB8E3A99D}"/>
    <cellStyle name="Millares [0] 2 13 3 3 2 2" xfId="41918" xr:uid="{8F756B3D-3294-4F25-B1CF-0A1D92B9BF68}"/>
    <cellStyle name="Millares [0] 2 13 3 3 2 3" xfId="21997" xr:uid="{AE69B285-F463-4FCC-9E1A-DA9FE7F93C18}"/>
    <cellStyle name="Millares [0] 2 13 3 3 3" xfId="15182" xr:uid="{FBF7663F-48EC-4997-98C6-D650B05C1364}"/>
    <cellStyle name="Millares [0] 2 13 3 3 3 2" xfId="27837" xr:uid="{886E1C0C-41AB-4EB5-8FED-D5045E575DE9}"/>
    <cellStyle name="Millares [0] 2 13 3 3 4" xfId="15629" xr:uid="{A702EEA7-96E6-4011-B4C5-2D031AF695A1}"/>
    <cellStyle name="Millares [0] 2 13 3 3 4 2" xfId="33719" xr:uid="{1CD19D9C-ACEF-459C-8B3A-4F8B1D952F60}"/>
    <cellStyle name="Millares [0] 2 13 3 3 5" xfId="39583" xr:uid="{12243376-6CBD-46CE-BB46-CFCBA39AD553}"/>
    <cellStyle name="Millares [0] 2 13 3 3 6" xfId="18013" xr:uid="{E49B3CB8-E59C-42FF-8EAA-8B2B42A053F6}"/>
    <cellStyle name="Millares [0] 2 13 3 3 7" xfId="49998" xr:uid="{F881B567-039E-431D-A52A-DC1023A7F047}"/>
    <cellStyle name="Millares [0] 2 13 3 4" xfId="12154" xr:uid="{64F2F710-7B26-4CC3-ABAB-D5C7AD1FD9A2}"/>
    <cellStyle name="Millares [0] 2 13 3 4 2" xfId="41731" xr:uid="{79577C89-5962-4623-A8CF-771A576E166B}"/>
    <cellStyle name="Millares [0] 2 13 3 4 3" xfId="19228" xr:uid="{71203DDB-255A-406E-A56D-3D1C8755BC78}"/>
    <cellStyle name="Millares [0] 2 13 3 5" xfId="14995" xr:uid="{DE33D046-6565-438D-9FA1-CAD90C2AF490}"/>
    <cellStyle name="Millares [0] 2 13 3 5 2" xfId="24988" xr:uid="{57258CA3-6CA5-4E2F-9DC4-76E9F4A35E19}"/>
    <cellStyle name="Millares [0] 2 13 3 6" xfId="15441" xr:uid="{8F25BA61-CAF5-446F-BEFB-91C9456C40CA}"/>
    <cellStyle name="Millares [0] 2 13 3 6 2" xfId="30862" xr:uid="{EA77DC56-9748-4E87-B3FD-1D11F4A0D0CD}"/>
    <cellStyle name="Millares [0] 2 13 3 7" xfId="36743" xr:uid="{375A7A21-D0A5-4D57-B8F8-1828A68F1CAF}"/>
    <cellStyle name="Millares [0] 2 13 3 8" xfId="17633" xr:uid="{315FA50F-471B-41F5-9238-0FA0B8E10D72}"/>
    <cellStyle name="Millares [0] 2 13 3 9" xfId="49811" xr:uid="{DBAFC33F-74EC-4AB6-8AAA-7B592C835726}"/>
    <cellStyle name="Millares [0] 2 13 4" xfId="5223" xr:uid="{BE65D681-7629-47E4-B28B-1CAC95F0E985}"/>
    <cellStyle name="Millares [0] 2 13 4 2" xfId="8090" xr:uid="{2235366A-6661-4BE0-8499-0F9A038898AE}"/>
    <cellStyle name="Millares [0] 2 13 4 2 2" xfId="12377" xr:uid="{552CE125-C6E1-4DC8-B900-BDAEA7A27AB9}"/>
    <cellStyle name="Millares [0] 2 13 4 2 2 2" xfId="41954" xr:uid="{3366865F-7A0D-45BF-8AF8-E8D6D9E4E84E}"/>
    <cellStyle name="Millares [0] 2 13 4 2 2 3" xfId="22468" xr:uid="{034D111B-675D-4C5E-A1D3-359A32F9D455}"/>
    <cellStyle name="Millares [0] 2 13 4 2 3" xfId="15218" xr:uid="{9E266D7C-7542-4247-93D1-3675C409CDDB}"/>
    <cellStyle name="Millares [0] 2 13 4 2 3 2" xfId="28323" xr:uid="{0B846B4C-132D-4C70-BEC0-2D910A4AAE29}"/>
    <cellStyle name="Millares [0] 2 13 4 2 4" xfId="15665" xr:uid="{F83D2A4B-00EC-4C23-A2D0-B5CDE813C6D4}"/>
    <cellStyle name="Millares [0] 2 13 4 2 4 2" xfId="34205" xr:uid="{600C1362-9358-4C72-B5E8-DDA0300500C4}"/>
    <cellStyle name="Millares [0] 2 13 4 2 5" xfId="40069" xr:uid="{59F03A8E-53E3-427B-A4A8-6760C8F90A25}"/>
    <cellStyle name="Millares [0] 2 13 4 2 6" xfId="18083" xr:uid="{CA4D4C12-99E4-4D69-B80A-E0A162448DA0}"/>
    <cellStyle name="Millares [0] 2 13 4 2 7" xfId="50034" xr:uid="{16895F22-CC52-492B-BA7A-409A56BAA047}"/>
    <cellStyle name="Millares [0] 2 13 4 3" xfId="12190" xr:uid="{84E2A493-E6B4-4443-B763-206F6BDD9640}"/>
    <cellStyle name="Millares [0] 2 13 4 3 2" xfId="41767" xr:uid="{5DD78084-B24C-4C2B-8EE3-F23BDE5D734A}"/>
    <cellStyle name="Millares [0] 2 13 4 3 3" xfId="19693" xr:uid="{854F3EAB-70D1-417F-94F4-1B5BB6C5FDC8}"/>
    <cellStyle name="Millares [0] 2 13 4 4" xfId="15031" xr:uid="{DEBDDF1F-0811-4D67-85E4-6A2E9DF47288}"/>
    <cellStyle name="Millares [0] 2 13 4 4 2" xfId="25474" xr:uid="{A87A1816-49EA-4916-B987-3E7894114C34}"/>
    <cellStyle name="Millares [0] 2 13 4 5" xfId="15477" xr:uid="{A27A2FCA-A1F4-4161-AAA5-38FFF2DFE902}"/>
    <cellStyle name="Millares [0] 2 13 4 5 2" xfId="31348" xr:uid="{9925898A-2EED-472F-BD7C-7C653FBCCB0E}"/>
    <cellStyle name="Millares [0] 2 13 4 6" xfId="37221" xr:uid="{CE1DA2FA-8874-46F5-953A-64A2007A7379}"/>
    <cellStyle name="Millares [0] 2 13 4 7" xfId="17701" xr:uid="{DD507394-EA4C-4707-8A90-40AB854C74A6}"/>
    <cellStyle name="Millares [0] 2 13 4 8" xfId="49847" xr:uid="{9D2DF090-9904-4477-961D-6A6B31FE33ED}"/>
    <cellStyle name="Millares [0] 2 13 5" xfId="6221" xr:uid="{7E41DDB4-550E-473E-A9F6-7DA5C1FDE811}"/>
    <cellStyle name="Millares [0] 2 13 5 2" xfId="9090" xr:uid="{701B96D9-186C-4A90-8B4E-DDF7B2140D81}"/>
    <cellStyle name="Millares [0] 2 13 5 2 2" xfId="12434" xr:uid="{DAD67ED2-F856-4D3A-9190-200470A3AC20}"/>
    <cellStyle name="Millares [0] 2 13 5 2 2 2" xfId="42011" xr:uid="{429AB49B-1E1F-4B85-9B1B-0FDA938EE02B}"/>
    <cellStyle name="Millares [0] 2 13 5 2 2 3" xfId="23454" xr:uid="{2A6CE359-8AF0-45CE-8F09-799DFA093CBB}"/>
    <cellStyle name="Millares [0] 2 13 5 2 3" xfId="15275" xr:uid="{3A4E5A7E-7001-4310-BF40-32C97898F84E}"/>
    <cellStyle name="Millares [0] 2 13 5 2 3 2" xfId="29321" xr:uid="{E21F9D3E-213C-42D1-92B9-7F96CB542FD5}"/>
    <cellStyle name="Millares [0] 2 13 5 2 4" xfId="15724" xr:uid="{C26B6D53-C1D2-4EE3-A32D-1EB8FE3A61FB}"/>
    <cellStyle name="Millares [0] 2 13 5 2 4 2" xfId="35203" xr:uid="{42E5687C-E5B6-40E6-AA30-FBAB8F0F95F3}"/>
    <cellStyle name="Millares [0] 2 13 5 2 5" xfId="41064" xr:uid="{2A4DF005-6A68-4C36-BBF3-FB993629B1D6}"/>
    <cellStyle name="Millares [0] 2 13 5 2 6" xfId="18200" xr:uid="{7F5AC07F-8BC4-43E4-A668-30ADB90C093F}"/>
    <cellStyle name="Millares [0] 2 13 5 2 7" xfId="50091" xr:uid="{76E87FD4-B47B-4948-89CD-13195CD746BE}"/>
    <cellStyle name="Millares [0] 2 13 5 3" xfId="12247" xr:uid="{027BF7C7-0FF5-43D5-80F5-B4877C7A05E0}"/>
    <cellStyle name="Millares [0] 2 13 5 3 2" xfId="41824" xr:uid="{CF2BCB15-F336-49D1-A847-C3799B5FAFF8}"/>
    <cellStyle name="Millares [0] 2 13 5 3 3" xfId="20667" xr:uid="{2DD51A42-C5C5-49D1-B4EF-3990ACCCC6F3}"/>
    <cellStyle name="Millares [0] 2 13 5 4" xfId="15088" xr:uid="{6FA44566-F6AA-4C0E-8BA2-188C3B9557A0}"/>
    <cellStyle name="Millares [0] 2 13 5 4 2" xfId="26471" xr:uid="{71581A2E-8BF0-4A01-9870-38AF0D99F630}"/>
    <cellStyle name="Millares [0] 2 13 5 5" xfId="15535" xr:uid="{42AAA2AE-BBFA-4F58-8815-113662C972E2}"/>
    <cellStyle name="Millares [0] 2 13 5 5 2" xfId="32346" xr:uid="{AEA6F9E6-4A9F-4DBC-B25F-16D1DF87E87F}"/>
    <cellStyle name="Millares [0] 2 13 5 6" xfId="38211" xr:uid="{7FA89095-D2E2-4D1B-AE29-95B463D3FE4F}"/>
    <cellStyle name="Millares [0] 2 13 5 7" xfId="17817" xr:uid="{7D83BF39-2DA0-4210-9029-4EA804BDDA25}"/>
    <cellStyle name="Millares [0] 2 13 5 8" xfId="49904" xr:uid="{B0AF07D0-96F0-4D73-B144-E5756AA8207C}"/>
    <cellStyle name="Millares [0] 2 13 6" xfId="6322" xr:uid="{C5792A2B-25D9-4B1A-863B-94705DAFF127}"/>
    <cellStyle name="Millares [0] 2 13 6 2" xfId="9187" xr:uid="{41C8B89D-E6E3-4269-BDFB-1DA2F000BA33}"/>
    <cellStyle name="Millares [0] 2 13 6 2 2" xfId="12442" xr:uid="{11638904-B7A8-4E6B-A789-232C2D9E2DFB}"/>
    <cellStyle name="Millares [0] 2 13 6 2 2 2" xfId="42019" xr:uid="{C581C36C-87CB-40D3-AC91-973D8A2B6F96}"/>
    <cellStyle name="Millares [0] 2 13 6 2 2 3" xfId="23551" xr:uid="{C170CF11-0F6A-46CD-BE88-ECB3521B160F}"/>
    <cellStyle name="Millares [0] 2 13 6 2 3" xfId="15283" xr:uid="{AE595C1E-974C-4CAC-987C-EA0B2C4545DE}"/>
    <cellStyle name="Millares [0] 2 13 6 2 3 2" xfId="29418" xr:uid="{B75EDEEB-9996-4203-A2B2-CF30FDEE3A68}"/>
    <cellStyle name="Millares [0] 2 13 6 2 4" xfId="15732" xr:uid="{812C6945-7529-4EA1-82D8-7645ED31E2CF}"/>
    <cellStyle name="Millares [0] 2 13 6 2 4 2" xfId="35300" xr:uid="{AA0C1810-27A5-43EB-B79A-9FFC1D7A0D4D}"/>
    <cellStyle name="Millares [0] 2 13 6 2 5" xfId="41159" xr:uid="{0D7948FA-D77E-430F-9D37-3A2E812062CD}"/>
    <cellStyle name="Millares [0] 2 13 6 2 6" xfId="18216" xr:uid="{682D4188-0163-4FD8-84A4-346064A046D2}"/>
    <cellStyle name="Millares [0] 2 13 6 2 7" xfId="50099" xr:uid="{0BFF9CFC-3FE1-40BB-ABE3-9C9C81A8E669}"/>
    <cellStyle name="Millares [0] 2 13 6 3" xfId="12259" xr:uid="{929EEE8D-87CA-4A39-BEA7-F02E744ABC81}"/>
    <cellStyle name="Millares [0] 2 13 6 3 2" xfId="41836" xr:uid="{FBA735B6-910A-4470-BAA4-46B29F2E6E49}"/>
    <cellStyle name="Millares [0] 2 13 6 3 3" xfId="20763" xr:uid="{40341C53-E973-4066-8F74-0EF8D48C4A76}"/>
    <cellStyle name="Millares [0] 2 13 6 4" xfId="15100" xr:uid="{6B6A8775-2E15-4FA8-A1EE-A0E81BA689AE}"/>
    <cellStyle name="Millares [0] 2 13 6 4 2" xfId="26572" xr:uid="{317B6319-609D-42E9-8069-30B41EFBCAA6}"/>
    <cellStyle name="Millares [0] 2 13 6 5" xfId="15547" xr:uid="{4D53301C-D9BD-4C2B-8F93-6587081F679D}"/>
    <cellStyle name="Millares [0] 2 13 6 5 2" xfId="32447" xr:uid="{E5537E50-CA83-4FCE-877B-AE2DE8457C8C}"/>
    <cellStyle name="Millares [0] 2 13 6 6" xfId="38312" xr:uid="{A91BAECE-4B69-4319-B6F0-5451519D12C2}"/>
    <cellStyle name="Millares [0] 2 13 6 7" xfId="17836" xr:uid="{3F6B8DF3-17BD-4B50-9831-B11D1475574F}"/>
    <cellStyle name="Millares [0] 2 13 6 8" xfId="49916" xr:uid="{4CA3CA40-6114-4E5E-A443-1946B246BE0B}"/>
    <cellStyle name="Millares [0] 2 13 7" xfId="7118" xr:uid="{6DCCE808-024E-483A-A1E5-3CD0A84AC7EE}"/>
    <cellStyle name="Millares [0] 2 13 7 2" xfId="12305" xr:uid="{6295B74B-9C78-4E0E-89DE-CBF541675C64}"/>
    <cellStyle name="Millares [0] 2 13 7 2 2" xfId="41882" xr:uid="{015D8795-655E-46DF-8B99-24FCDB19F8F6}"/>
    <cellStyle name="Millares [0] 2 13 7 2 3" xfId="21529" xr:uid="{FB862CCB-5975-4D5E-9819-E7063D86E46D}"/>
    <cellStyle name="Millares [0] 2 13 7 3" xfId="15146" xr:uid="{F32B6FD1-CFF9-42A3-98CE-03D9FEF078AC}"/>
    <cellStyle name="Millares [0] 2 13 7 3 2" xfId="27353" xr:uid="{E890C9D3-6941-4E21-8FEE-033090D404C9}"/>
    <cellStyle name="Millares [0] 2 13 7 4" xfId="15593" xr:uid="{54E12712-4C80-405D-8593-FC859541DB34}"/>
    <cellStyle name="Millares [0] 2 13 7 4 2" xfId="33234" xr:uid="{C3A1F5C2-4116-4648-A0DB-DEA747BAEFA9}"/>
    <cellStyle name="Millares [0] 2 13 7 5" xfId="39098" xr:uid="{4FE249C8-E05B-47BC-B82E-5CE6AD01A3A1}"/>
    <cellStyle name="Millares [0] 2 13 7 6" xfId="17945" xr:uid="{EC2436BA-B030-4145-AA05-5F9ADE16940C}"/>
    <cellStyle name="Millares [0] 2 13 7 7" xfId="49962" xr:uid="{AFE32C93-6C7A-4899-B32E-40B40C512847}"/>
    <cellStyle name="Millares [0] 2 13 8" xfId="9571" xr:uid="{01008969-3F15-4C47-B125-ACF04D3FA9D9}"/>
    <cellStyle name="Millares [0] 2 13 8 2" xfId="12455" xr:uid="{81B8BA1D-F49D-4C84-B668-1879DCFFD07A}"/>
    <cellStyle name="Millares [0] 2 13 8 2 2" xfId="42032" xr:uid="{6C250E9F-B3F2-47AB-B06C-DBE946DA0218}"/>
    <cellStyle name="Millares [0] 2 13 8 2 3" xfId="23933" xr:uid="{C31664CA-3C6B-48A1-AC78-A397689435D0}"/>
    <cellStyle name="Millares [0] 2 13 8 3" xfId="15296" xr:uid="{4C225C75-5684-4A61-BBE9-20642849D0AC}"/>
    <cellStyle name="Millares [0] 2 13 8 3 2" xfId="29803" xr:uid="{A852DE30-5BBA-4573-8508-486F97AAFC6C}"/>
    <cellStyle name="Millares [0] 2 13 8 4" xfId="15746" xr:uid="{0A4A7996-F5A8-4A43-A83A-CD60C0D79505}"/>
    <cellStyle name="Millares [0] 2 13 8 4 2" xfId="35685" xr:uid="{BF919F5E-3AE9-4168-A9D6-ED015EED8FA7}"/>
    <cellStyle name="Millares [0] 2 13 8 5" xfId="41544" xr:uid="{2A4059B3-3522-4888-936A-91A7AB5607EE}"/>
    <cellStyle name="Millares [0] 2 13 8 6" xfId="18260" xr:uid="{C27E38BC-80C8-451C-86DC-D8C59FC171B0}"/>
    <cellStyle name="Millares [0] 2 13 8 7" xfId="50112" xr:uid="{DCDBABF1-659C-4E89-A2B0-5EF186ADDD13}"/>
    <cellStyle name="Millares [0] 2 13 9" xfId="12117" xr:uid="{C9EB9824-D26A-4802-B5A4-B3B158A96D51}"/>
    <cellStyle name="Millares [0] 2 13 9 2" xfId="15841" xr:uid="{9F1FFAF4-4B9C-452A-AA66-E64CC4DDB573}"/>
    <cellStyle name="Millares [0] 2 13 9 2 2" xfId="41694" xr:uid="{CD22DDAE-5BB0-40D9-87A5-C5ADF7038652}"/>
    <cellStyle name="Millares [0] 2 13 9 3" xfId="18285" xr:uid="{6D32F7C8-700A-45A1-A1AB-285C32382C09}"/>
    <cellStyle name="Millares [0] 2 14" xfId="9583" xr:uid="{E9E08DE5-E516-4D95-92E6-DC1FB2B5DDD0}"/>
    <cellStyle name="Millares [0] 2 14 2" xfId="12461" xr:uid="{7E714772-87FD-4109-BB54-2D030D07081A}"/>
    <cellStyle name="Millares [0] 2 14 2 2" xfId="42038" xr:uid="{61DBBFCA-4AD0-4595-A2E9-0D5D977DC792}"/>
    <cellStyle name="Millares [0] 2 14 2 3" xfId="23943" xr:uid="{515ED30B-7EB9-4C46-B103-EDBA516114B5}"/>
    <cellStyle name="Millares [0] 2 14 3" xfId="15302" xr:uid="{C96FA5C9-E53A-4A19-8A26-4D351996859B}"/>
    <cellStyle name="Millares [0] 2 14 3 2" xfId="29813" xr:uid="{F65B6870-5423-4020-9225-C3CF6D95AF17}"/>
    <cellStyle name="Millares [0] 2 14 4" xfId="15752" xr:uid="{71404DC9-0385-4545-A3D4-2438EBB6A93E}"/>
    <cellStyle name="Millares [0] 2 14 4 2" xfId="35695" xr:uid="{F2757024-B4C2-493C-8BF7-719D06CD8E61}"/>
    <cellStyle name="Millares [0] 2 14 5" xfId="41554" xr:uid="{7A3950D9-E333-4822-B5B0-85BCBBFCBB85}"/>
    <cellStyle name="Millares [0] 2 14 6" xfId="18266" xr:uid="{9FF1771E-D898-4BBC-AB54-310DBE417713}"/>
    <cellStyle name="Millares [0] 2 14 7" xfId="50118" xr:uid="{1E0E80AB-05FB-4364-9E30-5F92192F3667}"/>
    <cellStyle name="Millares [0] 2 15" xfId="3831" xr:uid="{E2F13F3D-E3C3-44B1-9EAF-9DF8C945719C}"/>
    <cellStyle name="Millares [0] 2 15 2" xfId="12068" xr:uid="{C931A5D9-4390-4A13-B454-827F51EB87AF}"/>
    <cellStyle name="Millares [0] 2 15 2 2" xfId="42040" xr:uid="{BF02407A-65F5-4B27-8F33-ADDC64844249}"/>
    <cellStyle name="Millares [0] 2 15 2 3" xfId="23996" xr:uid="{F9689530-4D13-4541-98F4-50F9AF86C634}"/>
    <cellStyle name="Millares [0] 2 15 3" xfId="14909" xr:uid="{C2C9D8E9-0AB0-4FCC-9511-06475D33AA2D}"/>
    <cellStyle name="Millares [0] 2 15 3 2" xfId="29868" xr:uid="{ECB08534-689A-4A8A-8D9D-21474FBA5FBD}"/>
    <cellStyle name="Millares [0] 2 15 4" xfId="15776" xr:uid="{AD03311A-57C4-4CC4-9222-1EEE951E0F68}"/>
    <cellStyle name="Millares [0] 2 15 4 2" xfId="35750" xr:uid="{FDD00164-528F-4CC7-ACB1-B96E730EB55F}"/>
    <cellStyle name="Millares [0] 2 15 5" xfId="41609" xr:uid="{8AA5A928-7D36-40F8-8D5E-E37B3242EC46}"/>
    <cellStyle name="Millares [0] 2 15 6" xfId="18270" xr:uid="{2B0B5205-4A10-4C96-A4C5-395B0E7DF691}"/>
    <cellStyle name="Millares [0] 2 15 7" xfId="49725" xr:uid="{0AC6D8B8-6DB2-4D9B-825E-6CB33F17CBB7}"/>
    <cellStyle name="Millares [0] 2 16" xfId="9633" xr:uid="{87530F7F-6708-4444-B04B-256DFFE0381F}"/>
    <cellStyle name="Millares [0] 2 16 2" xfId="12473" xr:uid="{7EA1B256-01BF-4D2F-9FAC-F359234A3C50}"/>
    <cellStyle name="Millares [0] 2 16 2 2" xfId="42042" xr:uid="{FD077CC9-FDC8-4891-8452-CC94A278060F}"/>
    <cellStyle name="Millares [0] 2 16 2 3" xfId="24018" xr:uid="{F0B3DBFB-7009-48AC-83B9-47FD22DC26DB}"/>
    <cellStyle name="Millares [0] 2 16 3" xfId="15314" xr:uid="{49B5C64C-0FB9-4BC0-BED3-E40DB0B5C317}"/>
    <cellStyle name="Millares [0] 2 16 3 2" xfId="29893" xr:uid="{D4A74FBD-E374-4BD8-BF4B-2C8ECEA593F0}"/>
    <cellStyle name="Millares [0] 2 16 4" xfId="15801" xr:uid="{FDE7D5EA-81C6-4500-AE8A-E5CBB7203494}"/>
    <cellStyle name="Millares [0] 2 16 4 2" xfId="35774" xr:uid="{EFA6A9ED-E7DF-481E-B21F-8FADF9A47991}"/>
    <cellStyle name="Millares [0] 2 16 5" xfId="41634" xr:uid="{BEE756C6-789E-4779-A3AF-A72BD3656D3D}"/>
    <cellStyle name="Millares [0] 2 16 6" xfId="18274" xr:uid="{1BBA5133-8A8C-43CE-A212-3332E140C55C}"/>
    <cellStyle name="Millares [0] 2 16 7" xfId="50130" xr:uid="{6617EEB5-264E-4B9A-B7CB-9DBB8B5BAB77}"/>
    <cellStyle name="Millares [0] 2 17" xfId="15812" xr:uid="{ECB9D9A0-5CBD-41F5-81B6-52457B3EF034}"/>
    <cellStyle name="Millares [0] 2 17 2" xfId="18341" xr:uid="{59AB6CCE-A5D9-4CE0-82B5-356BE63A561C}"/>
    <cellStyle name="Millares [0] 2 17 2 2" xfId="41644" xr:uid="{CC9288C6-A079-4A4E-85CA-93CAE2306725}"/>
    <cellStyle name="Millares [0] 2 17 3" xfId="24050" xr:uid="{57407D18-04CF-451F-B96B-CA2961936513}"/>
    <cellStyle name="Millares [0] 2 17 4" xfId="29928" xr:uid="{36FD13CC-1F23-4745-9A0C-8F32AA8D467B}"/>
    <cellStyle name="Millares [0] 2 17 5" xfId="35809" xr:uid="{15EFC73B-6CCB-4EC9-86F0-85444E95263C}"/>
    <cellStyle name="Millares [0] 2 17 6" xfId="18277" xr:uid="{4AFAF9E4-CF44-4965-A5AE-973E0CF7C80A}"/>
    <cellStyle name="Millares [0] 2 18" xfId="15353" xr:uid="{9BA37BBB-5C52-49B8-BA39-E65DB699F433}"/>
    <cellStyle name="Millares [0] 2 18 2" xfId="41642" xr:uid="{73187B98-BBFE-4EDA-B1D3-A8F7EF4C4D61}"/>
    <cellStyle name="Millares [0] 2 18 3" xfId="18333" xr:uid="{2EBAA2F7-F8C8-486B-94E4-C2BAD83627D1}"/>
    <cellStyle name="Millares [0] 2 19" xfId="24045" xr:uid="{38A519CC-8E17-4E1E-9A7E-5F8CE7FFD2DF}"/>
    <cellStyle name="Millares [0] 2 2" xfId="94" xr:uid="{00000000-0005-0000-0000-0000EC000000}"/>
    <cellStyle name="Millares [0] 2 2 10" xfId="1929" xr:uid="{00000000-0005-0000-0000-0000ED000000}"/>
    <cellStyle name="Millares [0] 2 2 10 2" xfId="18351" xr:uid="{8717B1CA-C336-4421-8A5E-3654782482CC}"/>
    <cellStyle name="Millares [0] 2 2 11" xfId="1956" xr:uid="{E07C85C5-ABE9-47F0-A379-06FA1C7ADDF5}"/>
    <cellStyle name="Millares [0] 2 2 11 2" xfId="10227" xr:uid="{634B7648-5328-4C0F-809E-AC3173B020B3}"/>
    <cellStyle name="Millares [0] 2 2 11 2 2" xfId="45387" xr:uid="{B714C334-BB27-49B7-BD46-051C65C64C1B}"/>
    <cellStyle name="Millares [0] 2 2 11 3" xfId="13067" xr:uid="{5B77BF66-099B-416D-9E68-44DA2BAB4E59}"/>
    <cellStyle name="Millares [0] 2 2 11 4" xfId="24059" xr:uid="{42495EB8-65F0-4F2C-B567-6F09A6903D70}"/>
    <cellStyle name="Millares [0] 2 2 11 5" xfId="42991" xr:uid="{D5EC9B1A-79D8-4609-A590-1C454AC3B11F}"/>
    <cellStyle name="Millares [0] 2 2 11 6" xfId="47884" xr:uid="{49B23C84-47D4-473B-BA75-CA7571403F0A}"/>
    <cellStyle name="Millares [0] 2 2 12" xfId="2374" xr:uid="{C60CC654-0B9B-4601-A466-ED4B74A2CA89}"/>
    <cellStyle name="Millares [0] 2 2 12 2" xfId="10645" xr:uid="{02021582-6EAF-44A7-ABC0-5A5FE35BBBAA}"/>
    <cellStyle name="Millares [0] 2 2 12 2 2" xfId="45805" xr:uid="{C655CEDF-F8B5-459A-810B-5D2B568030DB}"/>
    <cellStyle name="Millares [0] 2 2 12 3" xfId="13485" xr:uid="{53C5E6C6-E0F0-4D4E-AF24-67EDAA5BDE27}"/>
    <cellStyle name="Millares [0] 2 2 12 4" xfId="29937" xr:uid="{B1398EC2-0783-4AA9-A9C6-CD0ADD37150F}"/>
    <cellStyle name="Millares [0] 2 2 12 5" xfId="43409" xr:uid="{1F40F248-90FF-4E1F-9730-FEE856EFAE24}"/>
    <cellStyle name="Millares [0] 2 2 12 6" xfId="48302" xr:uid="{DED2D36B-A48C-4803-A310-1F0D929FCC9F}"/>
    <cellStyle name="Millares [0] 2 2 13" xfId="2918" xr:uid="{3020E64A-CDF8-4C8C-98FD-CDBC6F0DD61E}"/>
    <cellStyle name="Millares [0] 2 2 13 2" xfId="11189" xr:uid="{1456DD98-3A4A-41FC-8233-FD293EBD47D0}"/>
    <cellStyle name="Millares [0] 2 2 13 2 2" xfId="46349" xr:uid="{4FF49487-81EC-4AD6-9B4E-8433A00D3EB7}"/>
    <cellStyle name="Millares [0] 2 2 13 3" xfId="14029" xr:uid="{CA4EA323-69FF-4344-8D28-AFD2A662399C}"/>
    <cellStyle name="Millares [0] 2 2 13 4" xfId="35818" xr:uid="{1FD44C09-6E4A-4E33-9AE9-58CF28DAAA08}"/>
    <cellStyle name="Millares [0] 2 2 13 5" xfId="43953" xr:uid="{05EB9042-5972-4ECE-85B6-3A7DEE138128}"/>
    <cellStyle name="Millares [0] 2 2 13 6" xfId="48846" xr:uid="{4F2A20B6-576F-40A4-A50D-1B5A06FEA3CF}"/>
    <cellStyle name="Millares [0] 2 2 14" xfId="3360" xr:uid="{25D9261B-CD6B-4B83-88DC-CE3A3611B51E}"/>
    <cellStyle name="Millares [0] 2 2 14 2" xfId="11611" xr:uid="{59D4CA46-7CB5-4614-939E-2B3635BD3C2E}"/>
    <cellStyle name="Millares [0] 2 2 14 2 2" xfId="46771" xr:uid="{745DDDA7-67B2-4437-AAD7-9C561D54ABCC}"/>
    <cellStyle name="Millares [0] 2 2 14 3" xfId="14451" xr:uid="{0F9D4104-CD04-4859-B5BD-1CFA19191F12}"/>
    <cellStyle name="Millares [0] 2 2 14 4" xfId="44375" xr:uid="{5DE97A99-B051-405F-BA88-64325A71FB81}"/>
    <cellStyle name="Millares [0] 2 2 14 5" xfId="49268" xr:uid="{86B518C5-2E36-437F-8374-5C023E9D5D19}"/>
    <cellStyle name="Millares [0] 2 2 15" xfId="3420" xr:uid="{3AB0C694-FC2F-49E9-8F61-148D0AECBF43}"/>
    <cellStyle name="Millares [0] 2 2 15 2" xfId="11661" xr:uid="{E3BDA6BC-1379-45C4-8A7E-CBCB787F1D41}"/>
    <cellStyle name="Millares [0] 2 2 15 3" xfId="14501" xr:uid="{B24BA0AA-E8DB-403D-864B-793F4C527A1C}"/>
    <cellStyle name="Millares [0] 2 2 15 4" xfId="44425" xr:uid="{59A37577-DBB8-4FD2-9627-28807B535F81}"/>
    <cellStyle name="Millares [0] 2 2 15 5" xfId="49318" xr:uid="{3CA6D33C-1056-4548-A723-3F79458D8890}"/>
    <cellStyle name="Millares [0] 2 2 16" xfId="3838" xr:uid="{71924FB3-BD14-46B3-822E-19F1FC55CF27}"/>
    <cellStyle name="Millares [0] 2 2 16 2" xfId="12071" xr:uid="{0752DA39-E30A-417B-8426-DA359E04FA27}"/>
    <cellStyle name="Millares [0] 2 2 16 3" xfId="14912" xr:uid="{729EF56D-F7CB-4740-9F82-4689A6811843}"/>
    <cellStyle name="Millares [0] 2 2 16 4" xfId="44843" xr:uid="{39CD2AC8-FA33-4016-B6F7-96988346316B}"/>
    <cellStyle name="Millares [0] 2 2 16 5" xfId="49728" xr:uid="{3955941C-B5D2-4C57-81F7-3EEBA36DDEFC}"/>
    <cellStyle name="Millares [0] 2 2 17" xfId="9651" xr:uid="{795B2CCD-547D-481F-9969-8CEC4A853292}"/>
    <cellStyle name="Millares [0] 2 2 17 2" xfId="12491" xr:uid="{29CD4232-3973-477E-826C-34A723A9C221}"/>
    <cellStyle name="Millares [0] 2 2 17 3" xfId="15332" xr:uid="{BC837721-BCCF-4D8F-A2C7-ED563D9D5A0E}"/>
    <cellStyle name="Millares [0] 2 2 17 4" xfId="50148" xr:uid="{562D6B43-5A75-4790-BC50-E187A91848C7}"/>
    <cellStyle name="Millares [0] 2 2 18" xfId="9683" xr:uid="{1AAE87A8-9257-4B0E-A24C-9E8AE55CE565}"/>
    <cellStyle name="Millares [0] 2 2 19" xfId="12523" xr:uid="{A681BE74-DCF0-49B3-9D6C-3DF46364BF2C}"/>
    <cellStyle name="Millares [0] 2 2 2" xfId="105" xr:uid="{00000000-0005-0000-0000-0000EE000000}"/>
    <cellStyle name="Millares [0] 2 2 2 10" xfId="3372" xr:uid="{62A430E5-D5AD-4868-825E-F778E934BCAC}"/>
    <cellStyle name="Millares [0] 2 2 2 10 2" xfId="11620" xr:uid="{16F68A81-EF34-4025-A7B4-B4D901D765DE}"/>
    <cellStyle name="Millares [0] 2 2 2 10 2 2" xfId="46780" xr:uid="{74E9A9D2-80C1-423B-B83F-46C576DE559F}"/>
    <cellStyle name="Millares [0] 2 2 2 10 3" xfId="14460" xr:uid="{D53EE453-432C-4D0D-8897-1E74A94EA29A}"/>
    <cellStyle name="Millares [0] 2 2 2 10 4" xfId="44384" xr:uid="{DB291A48-8A18-4EEF-9CD7-050190698958}"/>
    <cellStyle name="Millares [0] 2 2 2 10 5" xfId="49277" xr:uid="{67D99604-B432-4C66-B17B-2AF63A24F0B3}"/>
    <cellStyle name="Millares [0] 2 2 2 11" xfId="3431" xr:uid="{97663A11-9BBA-43E5-A10A-526CD90C267E}"/>
    <cellStyle name="Millares [0] 2 2 2 11 2" xfId="11672" xr:uid="{0B6646B5-6C14-4EC3-8348-450F7F375D68}"/>
    <cellStyle name="Millares [0] 2 2 2 11 3" xfId="14512" xr:uid="{359451C6-A19D-4305-B613-53D56AF20E7C}"/>
    <cellStyle name="Millares [0] 2 2 2 11 4" xfId="44436" xr:uid="{E732BE6C-27B9-42B8-B248-FFF37B96BB3F}"/>
    <cellStyle name="Millares [0] 2 2 2 11 5" xfId="49329" xr:uid="{3E8B2DC3-9369-49CF-8900-7905ADA7C2D0}"/>
    <cellStyle name="Millares [0] 2 2 2 12" xfId="3877" xr:uid="{964B6175-217F-4B2E-8294-4973E31112CC}"/>
    <cellStyle name="Millares [0] 2 2 2 12 2" xfId="12077" xr:uid="{C45098BA-4570-41D6-88D9-64520654F2CE}"/>
    <cellStyle name="Millares [0] 2 2 2 12 3" xfId="14918" xr:uid="{254B64B5-8EEE-4D54-8F12-1CDBEFCD04D4}"/>
    <cellStyle name="Millares [0] 2 2 2 12 4" xfId="44854" xr:uid="{BEEFDA4C-AC21-4ECA-A165-B49DB237E83F}"/>
    <cellStyle name="Millares [0] 2 2 2 12 5" xfId="49734" xr:uid="{12B9C265-A04C-447F-8310-364ECB3FB9ED}"/>
    <cellStyle name="Millares [0] 2 2 2 13" xfId="9656" xr:uid="{BD58C205-AE1A-4FFA-8D93-A4DDB0ABF2C1}"/>
    <cellStyle name="Millares [0] 2 2 2 13 2" xfId="12496" xr:uid="{45F17FC4-FEB4-47D0-8548-FC549A33CEB1}"/>
    <cellStyle name="Millares [0] 2 2 2 13 3" xfId="15337" xr:uid="{1F0793BF-6E68-475B-98D2-C59F03EEE869}"/>
    <cellStyle name="Millares [0] 2 2 2 13 4" xfId="50153" xr:uid="{074367B0-983A-45FB-B98C-0B0018B25EA6}"/>
    <cellStyle name="Millares [0] 2 2 2 14" xfId="9694" xr:uid="{5A8004E4-D562-4345-9837-2B3EDE52C6A8}"/>
    <cellStyle name="Millares [0] 2 2 2 15" xfId="12534" xr:uid="{485FA318-92A0-4D91-B19F-BEF46C3E661A}"/>
    <cellStyle name="Millares [0] 2 2 2 16" xfId="15363" xr:uid="{8FCD2F1B-A9FD-4748-8C9B-E64C039645C2}"/>
    <cellStyle name="Millares [0] 2 2 2 17" xfId="15877" xr:uid="{6F2CB281-D87D-40F4-9070-F797A37FDE24}"/>
    <cellStyle name="Millares [0] 2 2 2 18" xfId="16420" xr:uid="{27A14BB1-441E-4714-A2CA-0B198957679F}"/>
    <cellStyle name="Millares [0] 2 2 2 19" xfId="16964" xr:uid="{AF9CC7E0-A791-4E33-AD74-D6E458699B27}"/>
    <cellStyle name="Millares [0] 2 2 2 2" xfId="200" xr:uid="{00000000-0005-0000-0000-0000EF000000}"/>
    <cellStyle name="Millares [0] 2 2 2 2 10" xfId="9763" xr:uid="{8EC1CEB9-B740-49A3-913B-4AE71A7AFB02}"/>
    <cellStyle name="Millares [0] 2 2 2 2 11" xfId="12603" xr:uid="{66C95D37-E160-4858-909C-216D60DF9DD2}"/>
    <cellStyle name="Millares [0] 2 2 2 2 12" xfId="15407" xr:uid="{69864DA4-6B34-49FC-A41D-11D042DF5D8D}"/>
    <cellStyle name="Millares [0] 2 2 2 2 13" xfId="15946" xr:uid="{D91C941C-DCA5-4677-87AB-96405AC08B55}"/>
    <cellStyle name="Millares [0] 2 2 2 2 14" xfId="16489" xr:uid="{DCCDA3C1-7E53-48EB-8F85-9524CC78C2C0}"/>
    <cellStyle name="Millares [0] 2 2 2 2 15" xfId="17033" xr:uid="{F4CD229A-42D1-4670-82A0-25C8666A2B24}"/>
    <cellStyle name="Millares [0] 2 2 2 2 16" xfId="17575" xr:uid="{CD5B3BAA-3779-45AC-BF27-672EBCFF9F5D}"/>
    <cellStyle name="Millares [0] 2 2 2 2 17" xfId="42072" xr:uid="{F41B982E-41E2-4BD6-AA20-F910E0D88490}"/>
    <cellStyle name="Millares [0] 2 2 2 2 18" xfId="42527" xr:uid="{99293C50-64FE-482F-9B8D-8946D08D8C61}"/>
    <cellStyle name="Millares [0] 2 2 2 2 19" xfId="47420" xr:uid="{AFFBF102-18C6-438E-95D7-2CD29E6A619F}"/>
    <cellStyle name="Millares [0] 2 2 2 2 2" xfId="309" xr:uid="{00000000-0005-0000-0000-0000F0000000}"/>
    <cellStyle name="Millares [0] 2 2 2 2 2 10" xfId="15444" xr:uid="{929460D1-38CB-4DE2-A1FB-2D4A012EDC27}"/>
    <cellStyle name="Millares [0] 2 2 2 2 2 11" xfId="16050" xr:uid="{20CC2A53-9822-4DF9-8FC0-771BF1C04E46}"/>
    <cellStyle name="Millares [0] 2 2 2 2 2 12" xfId="16593" xr:uid="{3A872CEA-87DD-43A1-875E-1B60177B2B1B}"/>
    <cellStyle name="Millares [0] 2 2 2 2 2 13" xfId="17137" xr:uid="{C5267A70-E635-4B2F-8765-1F6A7D387698}"/>
    <cellStyle name="Millares [0] 2 2 2 2 2 14" xfId="17636" xr:uid="{28839820-B9FB-454E-95AA-B54B5F6AB940}"/>
    <cellStyle name="Millares [0] 2 2 2 2 2 15" xfId="42631" xr:uid="{7D9DB920-78BB-42F1-8855-4FD3EDA88F94}"/>
    <cellStyle name="Millares [0] 2 2 2 2 2 16" xfId="47524" xr:uid="{93851BF0-0C1C-4F6C-BC4D-7A20F7476943}"/>
    <cellStyle name="Millares [0] 2 2 2 2 2 17" xfId="50372" xr:uid="{65D05723-B2AD-44B6-A295-8E056C4C56DE}"/>
    <cellStyle name="Millares [0] 2 2 2 2 2 2" xfId="536" xr:uid="{00000000-0005-0000-0000-0000F1000000}"/>
    <cellStyle name="Millares [0] 2 2 2 2 2 2 10" xfId="16262" xr:uid="{DB065BAB-0A70-404F-BF97-0240DBF6545A}"/>
    <cellStyle name="Millares [0] 2 2 2 2 2 2 11" xfId="16805" xr:uid="{753EAEAF-FA21-4EBE-B578-68F33FAA7999}"/>
    <cellStyle name="Millares [0] 2 2 2 2 2 2 12" xfId="17349" xr:uid="{AD0B52C6-AE82-43AD-950E-F30EE9B290B1}"/>
    <cellStyle name="Millares [0] 2 2 2 2 2 2 13" xfId="17771" xr:uid="{4D3D2959-B26B-4CFC-8AB8-3BE8D2561E95}"/>
    <cellStyle name="Millares [0] 2 2 2 2 2 2 14" xfId="42843" xr:uid="{251095F8-2A1C-449B-8CFC-05148CDFAE20}"/>
    <cellStyle name="Millares [0] 2 2 2 2 2 2 15" xfId="47736" xr:uid="{88B8C5A9-47C1-462D-9B3E-7E612B844D66}"/>
    <cellStyle name="Millares [0] 2 2 2 2 2 2 2" xfId="2352" xr:uid="{AEA84F4D-7644-42C7-81E0-4723E7CCC41D}"/>
    <cellStyle name="Millares [0] 2 2 2 2 2 2 2 2" xfId="8581" xr:uid="{F05EB3F5-12DD-455A-90B9-46EF23CEA7B5}"/>
    <cellStyle name="Millares [0] 2 2 2 2 2 2 2 2 2" xfId="12416" xr:uid="{3285AD02-57B5-4B56-97F0-D6A39B99ACAC}"/>
    <cellStyle name="Millares [0] 2 2 2 2 2 2 2 2 2 2" xfId="41993" xr:uid="{F3186371-BF33-4243-BAD1-C4477FACA924}"/>
    <cellStyle name="Millares [0] 2 2 2 2 2 2 2 2 3" xfId="15257" xr:uid="{FCAF2303-E0F8-4C12-B9AF-A16076BF9F5A}"/>
    <cellStyle name="Millares [0] 2 2 2 2 2 2 2 2 4" xfId="22953" xr:uid="{4521CFEC-E528-43D2-9279-47B98F52741B}"/>
    <cellStyle name="Millares [0] 2 2 2 2 2 2 2 2 5" xfId="45783" xr:uid="{645613AA-5F3F-4BF2-8CF4-D874EA484C68}"/>
    <cellStyle name="Millares [0] 2 2 2 2 2 2 2 2 6" xfId="50073" xr:uid="{02E0BAE1-F458-4FEA-9E75-61C58C4A8C2B}"/>
    <cellStyle name="Millares [0] 2 2 2 2 2 2 2 3" xfId="10623" xr:uid="{7B323345-4A51-4A4B-A7C0-1FD128A97ED9}"/>
    <cellStyle name="Millares [0] 2 2 2 2 2 2 2 3 2" xfId="28814" xr:uid="{0E100620-95E9-44C5-A67F-24462375A6F1}"/>
    <cellStyle name="Millares [0] 2 2 2 2 2 2 2 4" xfId="13463" xr:uid="{C9D0091A-D6F6-45E0-822D-8C284B196809}"/>
    <cellStyle name="Millares [0] 2 2 2 2 2 2 2 4 2" xfId="34696" xr:uid="{290A3CF5-5E26-4659-B4D5-D6DF88BC7797}"/>
    <cellStyle name="Millares [0] 2 2 2 2 2 2 2 5" xfId="15705" xr:uid="{FD4FC5B8-59FA-41AB-9701-CBC4173AD0E8}"/>
    <cellStyle name="Millares [0] 2 2 2 2 2 2 2 5 2" xfId="40560" xr:uid="{E61E3C71-75E8-41AF-B8CB-72784BFEE45F}"/>
    <cellStyle name="Millares [0] 2 2 2 2 2 2 2 6" xfId="18156" xr:uid="{3E119AE7-1AED-4ABC-A9C0-F85C25D27F05}"/>
    <cellStyle name="Millares [0] 2 2 2 2 2 2 2 7" xfId="43387" xr:uid="{E4BDA458-9B7D-4019-9D4B-C1A01E00E825}"/>
    <cellStyle name="Millares [0] 2 2 2 2 2 2 2 8" xfId="48280" xr:uid="{3575F3A4-83EB-40BD-BFBA-AA95773752D6}"/>
    <cellStyle name="Millares [0] 2 2 2 2 2 2 3" xfId="2770" xr:uid="{830DD145-5A99-4961-B05D-11BE2B396214}"/>
    <cellStyle name="Millares [0] 2 2 2 2 2 2 3 2" xfId="11041" xr:uid="{F70ED7D4-737F-4B74-B32C-3E625B7AE9F2}"/>
    <cellStyle name="Millares [0] 2 2 2 2 2 2 3 2 2" xfId="41806" xr:uid="{BD4C7D37-DB42-4299-A301-DD82D2DC6BFF}"/>
    <cellStyle name="Millares [0] 2 2 2 2 2 2 3 2 3" xfId="46201" xr:uid="{8CE85176-7CE4-40F8-BEA4-156228FD2CEF}"/>
    <cellStyle name="Millares [0] 2 2 2 2 2 2 3 3" xfId="13881" xr:uid="{9FF69F36-6CFE-43BB-AE44-2330CC664570}"/>
    <cellStyle name="Millares [0] 2 2 2 2 2 2 3 4" xfId="20170" xr:uid="{29221A22-C9A9-4728-B599-61F03346921A}"/>
    <cellStyle name="Millares [0] 2 2 2 2 2 2 3 5" xfId="43805" xr:uid="{9E634574-9B72-455A-8CFC-302DA6EC5335}"/>
    <cellStyle name="Millares [0] 2 2 2 2 2 2 3 6" xfId="48698" xr:uid="{94231E42-2B67-441E-B71D-8D1A97217DE2}"/>
    <cellStyle name="Millares [0] 2 2 2 2 2 2 4" xfId="3314" xr:uid="{E9C8BB40-2FEB-46DD-9F8E-57EAF1248A02}"/>
    <cellStyle name="Millares [0] 2 2 2 2 2 2 4 2" xfId="11585" xr:uid="{83910D3A-3CED-431D-8B19-E3A7AFC113DD}"/>
    <cellStyle name="Millares [0] 2 2 2 2 2 2 4 2 2" xfId="46745" xr:uid="{A5F23CE7-2B44-4834-A96A-26CF6B11EB52}"/>
    <cellStyle name="Millares [0] 2 2 2 2 2 2 4 3" xfId="14425" xr:uid="{26014594-7AA7-46FF-AB47-D1F1997DDA0C}"/>
    <cellStyle name="Millares [0] 2 2 2 2 2 2 4 4" xfId="25964" xr:uid="{96B8FDF1-31A5-453A-8F60-B954A47DA06B}"/>
    <cellStyle name="Millares [0] 2 2 2 2 2 2 4 5" xfId="44349" xr:uid="{61B8B7F9-4D5B-4D9F-87CD-498D744ACDC8}"/>
    <cellStyle name="Millares [0] 2 2 2 2 2 2 4 6" xfId="49242" xr:uid="{781C67E9-910B-4887-951F-785D32576559}"/>
    <cellStyle name="Millares [0] 2 2 2 2 2 2 5" xfId="3816" xr:uid="{791548F2-2681-4C58-A2E2-5904289A78DB}"/>
    <cellStyle name="Millares [0] 2 2 2 2 2 2 5 2" xfId="12057" xr:uid="{0EA08ECE-E09B-4AEE-B056-694A43E0FDA5}"/>
    <cellStyle name="Millares [0] 2 2 2 2 2 2 5 3" xfId="14897" xr:uid="{F84658D8-0FC4-42F8-958C-7EEB880D5BBB}"/>
    <cellStyle name="Millares [0] 2 2 2 2 2 2 5 4" xfId="31839" xr:uid="{C9874D1E-81F9-48BB-B262-88FAB47D63D1}"/>
    <cellStyle name="Millares [0] 2 2 2 2 2 2 5 5" xfId="44821" xr:uid="{4C2B8B38-93A9-417E-9D22-BCDAFE2DECED}"/>
    <cellStyle name="Millares [0] 2 2 2 2 2 2 5 6" xfId="49714" xr:uid="{3C619F60-96BA-4E73-800C-C6598DCCBBDB}"/>
    <cellStyle name="Millares [0] 2 2 2 2 2 2 6" xfId="5713" xr:uid="{D1E0C292-64F9-4A9F-9D3A-CCF500DFAC4D}"/>
    <cellStyle name="Millares [0] 2 2 2 2 2 2 6 2" xfId="12229" xr:uid="{07AAE291-EC4F-46CA-82AD-C82ABE0AC723}"/>
    <cellStyle name="Millares [0] 2 2 2 2 2 2 6 3" xfId="15070" xr:uid="{8A8AA057-6B5B-46E8-8CBF-D663E4C0628E}"/>
    <cellStyle name="Millares [0] 2 2 2 2 2 2 6 4" xfId="37706" xr:uid="{7785FEB7-B63B-457E-9C7D-A01411EA6009}"/>
    <cellStyle name="Millares [0] 2 2 2 2 2 2 6 5" xfId="45239" xr:uid="{F3D2CBB9-F604-438F-A9F7-748EBA0BF95F}"/>
    <cellStyle name="Millares [0] 2 2 2 2 2 2 6 6" xfId="49886" xr:uid="{EDC34749-D8E3-4E39-9A90-8852DC38A0C9}"/>
    <cellStyle name="Millares [0] 2 2 2 2 2 2 7" xfId="10079" xr:uid="{125A0434-B0DB-4D7F-B9E4-7D8258ADCE94}"/>
    <cellStyle name="Millares [0] 2 2 2 2 2 2 8" xfId="12919" xr:uid="{2AB4B41A-7709-4ED4-B133-7FE0B0335D90}"/>
    <cellStyle name="Millares [0] 2 2 2 2 2 2 9" xfId="15517" xr:uid="{5EC5B310-2CB1-4292-BF0B-AC8FB5CDC4A9}"/>
    <cellStyle name="Millares [0] 2 2 2 2 2 3" xfId="2140" xr:uid="{803DC38A-E2C3-4459-923A-E86F1653C9C7}"/>
    <cellStyle name="Millares [0] 2 2 2 2 2 3 2" xfId="7609" xr:uid="{4BC870A5-ED4B-4A50-BAC5-525AE6BA4E65}"/>
    <cellStyle name="Millares [0] 2 2 2 2 2 3 2 2" xfId="12344" xr:uid="{29A48201-25F5-40E4-B07A-1E903FF96AAA}"/>
    <cellStyle name="Millares [0] 2 2 2 2 2 3 2 2 2" xfId="41921" xr:uid="{C7A64AFC-2A0E-40B6-8747-C2EA4039946D}"/>
    <cellStyle name="Millares [0] 2 2 2 2 2 3 2 3" xfId="15185" xr:uid="{8FF31C82-456D-4F89-9BA8-DC25A0471A24}"/>
    <cellStyle name="Millares [0] 2 2 2 2 2 3 2 4" xfId="22003" xr:uid="{6D397FD0-ABE9-46E9-8778-3912D0445FBC}"/>
    <cellStyle name="Millares [0] 2 2 2 2 2 3 2 5" xfId="45571" xr:uid="{30D4C7F7-872E-4E1D-A8E6-299240ADA65E}"/>
    <cellStyle name="Millares [0] 2 2 2 2 2 3 2 6" xfId="50001" xr:uid="{E03F84F2-7F5D-4ECD-A7E4-BA5FF62C75B0}"/>
    <cellStyle name="Millares [0] 2 2 2 2 2 3 3" xfId="10411" xr:uid="{E37AE25F-1292-4262-815D-078EFF6FAB59}"/>
    <cellStyle name="Millares [0] 2 2 2 2 2 3 3 2" xfId="27843" xr:uid="{D8C2CC2C-FEDA-4A1F-9B64-92475A881853}"/>
    <cellStyle name="Millares [0] 2 2 2 2 2 3 4" xfId="13251" xr:uid="{FEF5A72A-5C40-4C75-9C33-70831A667D9C}"/>
    <cellStyle name="Millares [0] 2 2 2 2 2 3 4 2" xfId="33725" xr:uid="{E0EBF56E-73BB-4457-AD6C-A63FC3F18DC6}"/>
    <cellStyle name="Millares [0] 2 2 2 2 2 3 5" xfId="15632" xr:uid="{A9B47EAD-BB08-4B83-A53B-4BC7B9C86BD1}"/>
    <cellStyle name="Millares [0] 2 2 2 2 2 3 5 2" xfId="39589" xr:uid="{1B5B75FE-4A82-42C5-85F9-4FB15A1C2483}"/>
    <cellStyle name="Millares [0] 2 2 2 2 2 3 6" xfId="18018" xr:uid="{F4D2C957-0483-4893-9700-37D00CFBD4B1}"/>
    <cellStyle name="Millares [0] 2 2 2 2 2 3 7" xfId="43175" xr:uid="{93B6C1A6-5DD9-4D94-92E5-CBAF14A8BF1B}"/>
    <cellStyle name="Millares [0] 2 2 2 2 2 3 8" xfId="48068" xr:uid="{EDA1CF19-BA3B-4F4F-9BC8-EC22FD97621F}"/>
    <cellStyle name="Millares [0] 2 2 2 2 2 4" xfId="2558" xr:uid="{FD8F7E35-171E-4416-B5D7-6A7B78D94FA6}"/>
    <cellStyle name="Millares [0] 2 2 2 2 2 4 2" xfId="10829" xr:uid="{50EE0C69-A1C8-4DBD-8143-F1E29C3D502B}"/>
    <cellStyle name="Millares [0] 2 2 2 2 2 4 2 2" xfId="41734" xr:uid="{3A0941CE-D87B-4679-9807-75206D8B5AD4}"/>
    <cellStyle name="Millares [0] 2 2 2 2 2 4 2 3" xfId="45989" xr:uid="{F881370A-6924-40C1-9CEB-0A7968C4901A}"/>
    <cellStyle name="Millares [0] 2 2 2 2 2 4 3" xfId="13669" xr:uid="{F94F4E9E-598E-492C-90C1-736C76533724}"/>
    <cellStyle name="Millares [0] 2 2 2 2 2 4 4" xfId="19233" xr:uid="{2AA0A621-9529-45E6-9BC4-025245918FEA}"/>
    <cellStyle name="Millares [0] 2 2 2 2 2 4 5" xfId="43593" xr:uid="{E168651E-82BA-47FC-B74F-2673BFC61163}"/>
    <cellStyle name="Millares [0] 2 2 2 2 2 4 6" xfId="48486" xr:uid="{384FB5D7-E9F1-4B47-A970-B3933B55D480}"/>
    <cellStyle name="Millares [0] 2 2 2 2 2 5" xfId="3102" xr:uid="{4397D295-707D-436D-B030-7C2BC2049FA8}"/>
    <cellStyle name="Millares [0] 2 2 2 2 2 5 2" xfId="11373" xr:uid="{FEF34DA3-1EFC-4FA5-B1AF-84E7651F0780}"/>
    <cellStyle name="Millares [0] 2 2 2 2 2 5 2 2" xfId="46533" xr:uid="{32B12EAA-0CE3-49BF-9523-2A6D5CBE3825}"/>
    <cellStyle name="Millares [0] 2 2 2 2 2 5 3" xfId="14213" xr:uid="{906156B5-5884-4C3E-B991-ADF6D8594BE0}"/>
    <cellStyle name="Millares [0] 2 2 2 2 2 5 4" xfId="24994" xr:uid="{EABD8EF8-55D1-4949-956F-D331A5DD8215}"/>
    <cellStyle name="Millares [0] 2 2 2 2 2 5 5" xfId="44137" xr:uid="{7E4C3ABD-22E2-40FC-A3F1-24AC29E08684}"/>
    <cellStyle name="Millares [0] 2 2 2 2 2 5 6" xfId="49030" xr:uid="{A50E2BC7-F56A-41CD-91BE-A9254AB76020}"/>
    <cellStyle name="Millares [0] 2 2 2 2 2 6" xfId="3604" xr:uid="{BCB83297-605C-4888-826B-DF4C8691006E}"/>
    <cellStyle name="Millares [0] 2 2 2 2 2 6 2" xfId="11845" xr:uid="{1E8B6DFB-F9E4-4D43-9A2A-09D3CB3F3FC3}"/>
    <cellStyle name="Millares [0] 2 2 2 2 2 6 3" xfId="14685" xr:uid="{19BDA1A5-AF06-4FFA-A053-9748C9F10C3F}"/>
    <cellStyle name="Millares [0] 2 2 2 2 2 6 4" xfId="30868" xr:uid="{C70F8EB3-46A8-4963-840D-42D93B0733B6}"/>
    <cellStyle name="Millares [0] 2 2 2 2 2 6 5" xfId="44609" xr:uid="{B25517A9-50C5-41D8-8886-52A4C387DC63}"/>
    <cellStyle name="Millares [0] 2 2 2 2 2 6 6" xfId="49502" xr:uid="{558A5263-063F-4F98-B62C-4F53F8D90C6B}"/>
    <cellStyle name="Millares [0] 2 2 2 2 2 7" xfId="4745" xr:uid="{AA489008-ADF7-4360-8402-0CD34FF4404B}"/>
    <cellStyle name="Millares [0] 2 2 2 2 2 7 2" xfId="12157" xr:uid="{CD1EB7CE-FBC5-41BB-A875-D8B94858EDE0}"/>
    <cellStyle name="Millares [0] 2 2 2 2 2 7 3" xfId="14998" xr:uid="{9BDB6DA1-C1C9-47CC-A3A0-5387DEE21AD8}"/>
    <cellStyle name="Millares [0] 2 2 2 2 2 7 4" xfId="36749" xr:uid="{CA8CFC37-3E4E-4FBB-9766-BD770FDA21B1}"/>
    <cellStyle name="Millares [0] 2 2 2 2 2 7 5" xfId="45027" xr:uid="{273AFAE4-C081-41E2-A010-C30E4878724F}"/>
    <cellStyle name="Millares [0] 2 2 2 2 2 7 6" xfId="49814" xr:uid="{178DCFDB-E9D5-4B1B-9C69-A0CA964025F7}"/>
    <cellStyle name="Millares [0] 2 2 2 2 2 8" xfId="9867" xr:uid="{C9156098-0C5A-4065-8418-E4A5BF94ED4F}"/>
    <cellStyle name="Millares [0] 2 2 2 2 2 9" xfId="12707" xr:uid="{271D0B38-6F18-44B1-B127-71C6C0552AF6}"/>
    <cellStyle name="Millares [0] 2 2 2 2 20" xfId="50226" xr:uid="{D87A020C-DB8B-414F-A458-4F6EA11ACB8C}"/>
    <cellStyle name="Millares [0] 2 2 2 2 21" xfId="50300" xr:uid="{AE4F6FAA-2C60-4A04-9D05-EF041362D476}"/>
    <cellStyle name="Millares [0] 2 2 2 2 3" xfId="435" xr:uid="{00000000-0005-0000-0000-0000F2000000}"/>
    <cellStyle name="Millares [0] 2 2 2 2 3 10" xfId="16162" xr:uid="{0982744B-FA58-4929-87BA-CF9BAF9E7C99}"/>
    <cellStyle name="Millares [0] 2 2 2 2 3 11" xfId="16705" xr:uid="{05968A98-0BFA-4834-B1FA-3C247D0EB347}"/>
    <cellStyle name="Millares [0] 2 2 2 2 3 12" xfId="17249" xr:uid="{43A726B5-EA54-4E54-AB73-C7139C25DFA2}"/>
    <cellStyle name="Millares [0] 2 2 2 2 3 13" xfId="17705" xr:uid="{60B05925-3E9E-409A-9F12-6E27A8607F75}"/>
    <cellStyle name="Millares [0] 2 2 2 2 3 14" xfId="42743" xr:uid="{6571B4F6-5DD0-4CEF-A90D-EECAC11220F1}"/>
    <cellStyle name="Millares [0] 2 2 2 2 3 15" xfId="47636" xr:uid="{831FD7DF-232B-4D73-BAC2-F3F27F2A8B55}"/>
    <cellStyle name="Millares [0] 2 2 2 2 3 2" xfId="2252" xr:uid="{5F9BD467-CB21-45C0-8452-5E717C5F5720}"/>
    <cellStyle name="Millares [0] 2 2 2 2 3 2 2" xfId="8096" xr:uid="{7BA99E05-946A-4867-B002-35DDBBBCBD0F}"/>
    <cellStyle name="Millares [0] 2 2 2 2 3 2 2 2" xfId="12380" xr:uid="{183C26BE-A363-437F-AB8D-E3CF4B4443B8}"/>
    <cellStyle name="Millares [0] 2 2 2 2 3 2 2 2 2" xfId="41957" xr:uid="{19ABAC61-BD98-4585-AADC-6D7D74DD029B}"/>
    <cellStyle name="Millares [0] 2 2 2 2 3 2 2 3" xfId="15221" xr:uid="{360B9AAE-21B3-4F08-898E-2527C647000E}"/>
    <cellStyle name="Millares [0] 2 2 2 2 3 2 2 4" xfId="22474" xr:uid="{83C1B1ED-B62B-4C91-A8CA-B35C2564393D}"/>
    <cellStyle name="Millares [0] 2 2 2 2 3 2 2 5" xfId="45683" xr:uid="{AFDE2624-3568-4F5F-9399-72CA64AD75C1}"/>
    <cellStyle name="Millares [0] 2 2 2 2 3 2 2 6" xfId="50037" xr:uid="{E35E31F6-17C8-41D5-B316-D1CF8DAB721E}"/>
    <cellStyle name="Millares [0] 2 2 2 2 3 2 3" xfId="10523" xr:uid="{DB826464-AC54-4EC0-BA4A-988AC42ACA1B}"/>
    <cellStyle name="Millares [0] 2 2 2 2 3 2 3 2" xfId="28329" xr:uid="{15BC9FA1-AE83-4E3A-8B42-37F65EFC5036}"/>
    <cellStyle name="Millares [0] 2 2 2 2 3 2 4" xfId="13363" xr:uid="{B368893F-3E19-4F43-B4B4-62F2FFE5F2BD}"/>
    <cellStyle name="Millares [0] 2 2 2 2 3 2 4 2" xfId="34211" xr:uid="{94098363-D658-4CB0-8C62-E0E9CA1ABFD5}"/>
    <cellStyle name="Millares [0] 2 2 2 2 3 2 5" xfId="15668" xr:uid="{8B042000-19D1-433F-9906-02A3FACCBEB4}"/>
    <cellStyle name="Millares [0] 2 2 2 2 3 2 5 2" xfId="40075" xr:uid="{9BD61392-F71A-4770-BC2E-900601A029C0}"/>
    <cellStyle name="Millares [0] 2 2 2 2 3 2 6" xfId="18087" xr:uid="{FD09C497-AD75-4CE1-9A4D-188418C96F8C}"/>
    <cellStyle name="Millares [0] 2 2 2 2 3 2 7" xfId="43287" xr:uid="{1600F8B5-D97D-4778-878C-FB08FADB8740}"/>
    <cellStyle name="Millares [0] 2 2 2 2 3 2 8" xfId="48180" xr:uid="{8DA8437F-E028-4FA5-A102-4917D70CD0E7}"/>
    <cellStyle name="Millares [0] 2 2 2 2 3 3" xfId="2670" xr:uid="{46C47AFD-F399-435C-811F-EC025B5EEA60}"/>
    <cellStyle name="Millares [0] 2 2 2 2 3 3 2" xfId="10941" xr:uid="{30D714EF-B9EC-429B-86C7-91A102BF3E2A}"/>
    <cellStyle name="Millares [0] 2 2 2 2 3 3 2 2" xfId="41770" xr:uid="{CFFF4D7A-0E6C-4E5E-A946-BE8EDE754148}"/>
    <cellStyle name="Millares [0] 2 2 2 2 3 3 2 3" xfId="46101" xr:uid="{05B9BEBC-0469-42DA-B285-E279F848AF63}"/>
    <cellStyle name="Millares [0] 2 2 2 2 3 3 3" xfId="13781" xr:uid="{860B4449-977F-49E3-9BD7-B8A8166BD56E}"/>
    <cellStyle name="Millares [0] 2 2 2 2 3 3 4" xfId="19699" xr:uid="{E4F5D2C3-7453-4C15-9852-66C87DBD837E}"/>
    <cellStyle name="Millares [0] 2 2 2 2 3 3 5" xfId="43705" xr:uid="{193E1936-98C4-48E6-A477-DB5767DDBEED}"/>
    <cellStyle name="Millares [0] 2 2 2 2 3 3 6" xfId="48598" xr:uid="{C541971D-1A40-422D-9DF1-7C1207DCAB9E}"/>
    <cellStyle name="Millares [0] 2 2 2 2 3 4" xfId="3214" xr:uid="{1FC7A5FB-4EA4-4B5E-B891-4E0A60726435}"/>
    <cellStyle name="Millares [0] 2 2 2 2 3 4 2" xfId="11485" xr:uid="{354E0146-4A13-4986-A2EE-981006A3B5D4}"/>
    <cellStyle name="Millares [0] 2 2 2 2 3 4 2 2" xfId="46645" xr:uid="{F2125CD5-0342-4C21-B719-0342127BC018}"/>
    <cellStyle name="Millares [0] 2 2 2 2 3 4 3" xfId="14325" xr:uid="{CD035607-6439-43E3-B5C1-DF8A0A4BD208}"/>
    <cellStyle name="Millares [0] 2 2 2 2 3 4 4" xfId="25480" xr:uid="{F7A35AE1-DF61-4966-A440-E2493FB315CF}"/>
    <cellStyle name="Millares [0] 2 2 2 2 3 4 5" xfId="44249" xr:uid="{87EF439F-C1C1-47C6-AC6B-F3D33A25F4F7}"/>
    <cellStyle name="Millares [0] 2 2 2 2 3 4 6" xfId="49142" xr:uid="{C532F86D-D075-4B9F-A82D-30382A7D8E3A}"/>
    <cellStyle name="Millares [0] 2 2 2 2 3 5" xfId="3716" xr:uid="{704E2356-93C4-48F9-813E-34F547C9DF7F}"/>
    <cellStyle name="Millares [0] 2 2 2 2 3 5 2" xfId="11957" xr:uid="{7DD8EB9A-6AAF-4D6D-9E9B-57948BBF5F92}"/>
    <cellStyle name="Millares [0] 2 2 2 2 3 5 3" xfId="14797" xr:uid="{C289485E-5AC9-443D-A0FA-883C15DFA37B}"/>
    <cellStyle name="Millares [0] 2 2 2 2 3 5 4" xfId="31354" xr:uid="{18370878-69AE-4D25-98BA-358C07A310C1}"/>
    <cellStyle name="Millares [0] 2 2 2 2 3 5 5" xfId="44721" xr:uid="{34BD2832-D02F-4CBE-9482-3A1214F10FAA}"/>
    <cellStyle name="Millares [0] 2 2 2 2 3 5 6" xfId="49614" xr:uid="{0278E4E7-4E72-4EE9-8356-DF31C4125448}"/>
    <cellStyle name="Millares [0] 2 2 2 2 3 6" xfId="5229" xr:uid="{5C2A8C6F-CED4-471A-9771-7617459518CC}"/>
    <cellStyle name="Millares [0] 2 2 2 2 3 6 2" xfId="12193" xr:uid="{82450D3D-9DB0-476C-82CC-5A380492D415}"/>
    <cellStyle name="Millares [0] 2 2 2 2 3 6 3" xfId="15034" xr:uid="{CE7D993F-95D7-4F5E-B811-472F8F522A71}"/>
    <cellStyle name="Millares [0] 2 2 2 2 3 6 4" xfId="37227" xr:uid="{186D8598-7C28-4640-808C-DA5D6C0CB924}"/>
    <cellStyle name="Millares [0] 2 2 2 2 3 6 5" xfId="45139" xr:uid="{F406BBBF-097C-4588-BDFD-AF9873D9EC27}"/>
    <cellStyle name="Millares [0] 2 2 2 2 3 6 6" xfId="49850" xr:uid="{1EFE4C5A-2D4F-4836-9BA2-83491DBDE227}"/>
    <cellStyle name="Millares [0] 2 2 2 2 3 7" xfId="9979" xr:uid="{BBC3A7E5-F2CA-4F24-8DD3-D5A18A4998FE}"/>
    <cellStyle name="Millares [0] 2 2 2 2 3 8" xfId="12819" xr:uid="{35ECC168-D7B8-4AAB-89FE-2E2C8AE7F6D7}"/>
    <cellStyle name="Millares [0] 2 2 2 2 3 9" xfId="15480" xr:uid="{F04CE76D-9643-4946-BC34-CE826B03F065}"/>
    <cellStyle name="Millares [0] 2 2 2 2 4" xfId="638" xr:uid="{00000000-0005-0000-0000-0000F3000000}"/>
    <cellStyle name="Millares [0] 2 2 2 2 4 10" xfId="17949" xr:uid="{804391ED-F533-435F-A567-A02E64325F96}"/>
    <cellStyle name="Millares [0] 2 2 2 2 4 11" xfId="42945" xr:uid="{695148EC-F8C0-466C-BCCC-1DE185794B89}"/>
    <cellStyle name="Millares [0] 2 2 2 2 4 12" xfId="47838" xr:uid="{ACC7ADC4-3C2A-4B1A-8993-E3BAD1D12713}"/>
    <cellStyle name="Millares [0] 2 2 2 2 4 2" xfId="2872" xr:uid="{C3799DAE-1325-4FB3-9CD8-739FE90C29EE}"/>
    <cellStyle name="Millares [0] 2 2 2 2 4 2 2" xfId="11143" xr:uid="{0CE0DE7B-D278-4CB6-87BA-61801D2AD1BD}"/>
    <cellStyle name="Millares [0] 2 2 2 2 4 2 2 2" xfId="41885" xr:uid="{2114C384-804E-4A74-96DA-D2D7E7FFAF2E}"/>
    <cellStyle name="Millares [0] 2 2 2 2 4 2 2 3" xfId="46303" xr:uid="{75626BEA-4F65-43EF-A8E9-80D423282452}"/>
    <cellStyle name="Millares [0] 2 2 2 2 4 2 3" xfId="13983" xr:uid="{168254F6-9074-4B62-BCE9-F0FCB37DBCEB}"/>
    <cellStyle name="Millares [0] 2 2 2 2 4 2 4" xfId="21535" xr:uid="{FB0DCA92-4BA3-49EB-99C7-ABD6EE007F7C}"/>
    <cellStyle name="Millares [0] 2 2 2 2 4 2 5" xfId="43907" xr:uid="{DE64D16E-6C1D-434F-9840-85E4C5A80D0E}"/>
    <cellStyle name="Millares [0] 2 2 2 2 4 2 6" xfId="48800" xr:uid="{01A9FC62-456F-419C-8A4C-89745888870A}"/>
    <cellStyle name="Millares [0] 2 2 2 2 4 3" xfId="7124" xr:uid="{1EAAB843-ECE8-4CD8-B455-B3E07366ED15}"/>
    <cellStyle name="Millares [0] 2 2 2 2 4 3 2" xfId="12308" xr:uid="{17BB510E-9A6C-47D3-AD35-40213DCFDFAB}"/>
    <cellStyle name="Millares [0] 2 2 2 2 4 3 3" xfId="15149" xr:uid="{3FFE62DB-DE81-49CF-8E0B-547F600149BF}"/>
    <cellStyle name="Millares [0] 2 2 2 2 4 3 4" xfId="27359" xr:uid="{1D4EB727-3315-4F35-909C-D5AB6BB5EEE0}"/>
    <cellStyle name="Millares [0] 2 2 2 2 4 3 5" xfId="45341" xr:uid="{0E3897F3-7B68-4D84-B2E1-DBE237181B1D}"/>
    <cellStyle name="Millares [0] 2 2 2 2 4 3 6" xfId="49965" xr:uid="{B1E3DA1B-5F28-46A2-A1D3-46D0928EAE5C}"/>
    <cellStyle name="Millares [0] 2 2 2 2 4 4" xfId="10181" xr:uid="{53238768-D5FB-4BCF-B5D7-204C8BB40331}"/>
    <cellStyle name="Millares [0] 2 2 2 2 4 4 2" xfId="33240" xr:uid="{F4A0132E-A089-4D1A-91AA-4B9168D5E701}"/>
    <cellStyle name="Millares [0] 2 2 2 2 4 5" xfId="13021" xr:uid="{57649EB1-A6B8-42F3-A6E2-2F121F8DF02E}"/>
    <cellStyle name="Millares [0] 2 2 2 2 4 5 2" xfId="39104" xr:uid="{043B434C-2B73-4F5F-BF49-376AE232D63E}"/>
    <cellStyle name="Millares [0] 2 2 2 2 4 6" xfId="15596" xr:uid="{3E3ECBEE-AA9D-4ED5-ADB3-3282607D5A24}"/>
    <cellStyle name="Millares [0] 2 2 2 2 4 7" xfId="16364" xr:uid="{5C448E92-2369-4389-BB4D-507A7D12A1CF}"/>
    <cellStyle name="Millares [0] 2 2 2 2 4 8" xfId="16907" xr:uid="{A5F7FD80-1D31-4FA8-A9F2-00CD36B3A033}"/>
    <cellStyle name="Millares [0] 2 2 2 2 4 9" xfId="17451" xr:uid="{83C41BAC-1DA6-4F1E-AC41-F89D836A369E}"/>
    <cellStyle name="Millares [0] 2 2 2 2 5" xfId="2036" xr:uid="{BBFF4E6F-077D-4299-AA7A-B60E3A8C00EA}"/>
    <cellStyle name="Millares [0] 2 2 2 2 5 2" xfId="10307" xr:uid="{1263A5A5-9B53-4BB4-B985-ADA7720D010C}"/>
    <cellStyle name="Millares [0] 2 2 2 2 5 2 2" xfId="41698" xr:uid="{CEEBD93F-DF7F-455D-B2AE-2380337B88B0}"/>
    <cellStyle name="Millares [0] 2 2 2 2 5 2 3" xfId="45467" xr:uid="{0C4A13C2-8AB8-4096-AF51-E8D8998E44D7}"/>
    <cellStyle name="Millares [0] 2 2 2 2 5 3" xfId="13147" xr:uid="{377E9EBA-4508-432E-B457-13E10C7D7222}"/>
    <cellStyle name="Millares [0] 2 2 2 2 5 4" xfId="18786" xr:uid="{BE4F0A18-C0C1-4C08-A412-62670BF14B1D}"/>
    <cellStyle name="Millares [0] 2 2 2 2 5 5" xfId="43071" xr:uid="{18823F0F-E7D3-4C41-8D8A-115183495087}"/>
    <cellStyle name="Millares [0] 2 2 2 2 5 6" xfId="47964" xr:uid="{A37F6E5B-284D-4FBC-9108-2BAA9E05A96E}"/>
    <cellStyle name="Millares [0] 2 2 2 2 6" xfId="2454" xr:uid="{0990CE3D-7B39-48F0-8B19-03E231399644}"/>
    <cellStyle name="Millares [0] 2 2 2 2 6 2" xfId="10725" xr:uid="{2E1E5551-B810-427F-9DBD-72F99C054BF4}"/>
    <cellStyle name="Millares [0] 2 2 2 2 6 2 2" xfId="45885" xr:uid="{E48B760C-3BA1-4124-9E9C-0F8652D26B0E}"/>
    <cellStyle name="Millares [0] 2 2 2 2 6 3" xfId="13565" xr:uid="{DECD3DB3-C017-4A37-BBD1-1FCB765E6E41}"/>
    <cellStyle name="Millares [0] 2 2 2 2 6 4" xfId="24509" xr:uid="{DDC99079-CCC3-40EA-8B2A-35B5C6C7170B}"/>
    <cellStyle name="Millares [0] 2 2 2 2 6 5" xfId="43489" xr:uid="{12A1FBCE-BE89-4453-B7F8-11E94749DB2C}"/>
    <cellStyle name="Millares [0] 2 2 2 2 6 6" xfId="48382" xr:uid="{C9A92015-AB70-4EBA-B9A1-7B60E2044D98}"/>
    <cellStyle name="Millares [0] 2 2 2 2 7" xfId="2998" xr:uid="{F0BC531D-B7B2-4841-AC68-E7B4E97ADC50}"/>
    <cellStyle name="Millares [0] 2 2 2 2 7 2" xfId="11269" xr:uid="{4C324443-DA95-403B-9CA0-A67AE49857DE}"/>
    <cellStyle name="Millares [0] 2 2 2 2 7 2 2" xfId="46429" xr:uid="{E85E21CA-12BA-410E-B315-6B94D2502574}"/>
    <cellStyle name="Millares [0] 2 2 2 2 7 3" xfId="14109" xr:uid="{2D782864-D7F5-4CCD-A6A7-9073C5D3B835}"/>
    <cellStyle name="Millares [0] 2 2 2 2 7 4" xfId="30388" xr:uid="{54575027-7033-4A35-BCB0-9E40EA645B7C}"/>
    <cellStyle name="Millares [0] 2 2 2 2 7 5" xfId="44033" xr:uid="{B6614FCE-7E7B-41D2-B04E-28BB646E3EE5}"/>
    <cellStyle name="Millares [0] 2 2 2 2 7 6" xfId="48926" xr:uid="{95FC8F6C-81A8-4F61-9492-8C7C7652982A}"/>
    <cellStyle name="Millares [0] 2 2 2 2 8" xfId="3500" xr:uid="{DCB824A8-707A-4D80-BA9E-570468DC158E}"/>
    <cellStyle name="Millares [0] 2 2 2 2 8 2" xfId="11741" xr:uid="{0C431270-048E-4B12-838B-79D3D538824D}"/>
    <cellStyle name="Millares [0] 2 2 2 2 8 3" xfId="14581" xr:uid="{01E0405A-8523-4EB4-900A-E126D9B20E92}"/>
    <cellStyle name="Millares [0] 2 2 2 2 8 4" xfId="36269" xr:uid="{88DBD08D-8AB9-40A6-8181-96C3B0290C61}"/>
    <cellStyle name="Millares [0] 2 2 2 2 8 5" xfId="44505" xr:uid="{7C35B4BC-093F-44C3-B0DA-CE466FFA1FC4}"/>
    <cellStyle name="Millares [0] 2 2 2 2 8 6" xfId="49398" xr:uid="{139137E7-ED07-47F7-A22F-5520BF17654F}"/>
    <cellStyle name="Millares [0] 2 2 2 2 9" xfId="4266" xr:uid="{7FF4782A-F0FF-4006-90FB-490F9F675FC0}"/>
    <cellStyle name="Millares [0] 2 2 2 2 9 2" xfId="12121" xr:uid="{0BB4C99E-7983-4F45-941F-7B29463E0447}"/>
    <cellStyle name="Millares [0] 2 2 2 2 9 3" xfId="14962" xr:uid="{6A99C676-F3F4-43E8-9218-347BC0F47ABF}"/>
    <cellStyle name="Millares [0] 2 2 2 2 9 4" xfId="44923" xr:uid="{EA07939D-8F19-4026-A46D-7C122453CB20}"/>
    <cellStyle name="Millares [0] 2 2 2 2 9 5" xfId="49778" xr:uid="{D0496F45-0EF3-410E-B8A9-D4B5A3AE8DA3}"/>
    <cellStyle name="Millares [0] 2 2 2 20" xfId="17505" xr:uid="{A3E8AA3C-BBD4-41F8-882F-938716739E78}"/>
    <cellStyle name="Millares [0] 2 2 2 21" xfId="42073" xr:uid="{B2A0BC39-C372-4A4E-9BA0-0C16D017E277}"/>
    <cellStyle name="Millares [0] 2 2 2 22" xfId="42458" xr:uid="{94253127-4016-4A12-AEF5-33DA40E98D45}"/>
    <cellStyle name="Millares [0] 2 2 2 23" xfId="47351" xr:uid="{EAAA50CE-F8E6-486E-985D-32A127C207C6}"/>
    <cellStyle name="Millares [0] 2 2 2 24" xfId="50188" xr:uid="{20666305-295F-4364-9DE8-38AA3D9E2CCB}"/>
    <cellStyle name="Millares [0] 2 2 2 25" xfId="50262" xr:uid="{7C10616F-F5AA-4AC1-9A41-FCD449CCDB99}"/>
    <cellStyle name="Millares [0] 2 2 2 3" xfId="153" xr:uid="{00000000-0005-0000-0000-0000F4000000}"/>
    <cellStyle name="Millares [0] 2 2 2 3 10" xfId="9721" xr:uid="{A066A997-1379-439B-A2B5-3CA0F54F1C3B}"/>
    <cellStyle name="Millares [0] 2 2 2 3 11" xfId="12561" xr:uid="{69321CCC-EFAF-41BE-84FB-D5BFB5EEDC15}"/>
    <cellStyle name="Millares [0] 2 2 2 3 12" xfId="15548" xr:uid="{7332E1D2-9D96-4B12-8F3E-D92B650BD175}"/>
    <cellStyle name="Millares [0] 2 2 2 3 13" xfId="15904" xr:uid="{665B2FC6-C8F6-4CEB-A04F-53088FB44A17}"/>
    <cellStyle name="Millares [0] 2 2 2 3 14" xfId="16447" xr:uid="{1303B2D1-CD2D-4987-8CC0-F82AD0801255}"/>
    <cellStyle name="Millares [0] 2 2 2 3 15" xfId="16991" xr:uid="{1562AC8F-45C3-4E7E-8919-652631E4F9FC}"/>
    <cellStyle name="Millares [0] 2 2 2 3 16" xfId="17837" xr:uid="{BBFFE7FC-7B00-4085-8016-9C9E5A1C8009}"/>
    <cellStyle name="Millares [0] 2 2 2 3 17" xfId="42485" xr:uid="{994FB0CD-8026-479B-95FC-671C540297E5}"/>
    <cellStyle name="Millares [0] 2 2 2 3 18" xfId="47378" xr:uid="{984B1739-474D-4632-B90A-8CA7CC9B1681}"/>
    <cellStyle name="Millares [0] 2 2 2 3 19" xfId="50334" xr:uid="{C0C89A6B-5B7F-43F9-95C7-53D3D2FC1105}"/>
    <cellStyle name="Millares [0] 2 2 2 3 2" xfId="267" xr:uid="{00000000-0005-0000-0000-0000F5000000}"/>
    <cellStyle name="Millares [0] 2 2 2 3 2 10" xfId="15733" xr:uid="{1F013801-585A-4E6B-9255-617FB2A6A28D}"/>
    <cellStyle name="Millares [0] 2 2 2 3 2 11" xfId="16008" xr:uid="{AA4ACE69-879C-451B-8403-10E8BC8A5ACF}"/>
    <cellStyle name="Millares [0] 2 2 2 3 2 12" xfId="16551" xr:uid="{C1AE4B32-EC79-4121-952D-8E5F6DF77046}"/>
    <cellStyle name="Millares [0] 2 2 2 3 2 13" xfId="17095" xr:uid="{A936DC5B-DCD8-46C8-BD51-3A1C294BBC4C}"/>
    <cellStyle name="Millares [0] 2 2 2 3 2 14" xfId="18217" xr:uid="{A1833E86-75FA-46F4-9FD7-31072E8BF709}"/>
    <cellStyle name="Millares [0] 2 2 2 3 2 15" xfId="42589" xr:uid="{56A4BE37-131E-4D24-AD4C-6713FD97002B}"/>
    <cellStyle name="Millares [0] 2 2 2 3 2 16" xfId="47482" xr:uid="{05FB5AE4-C325-41E5-94B4-D40315EC7718}"/>
    <cellStyle name="Millares [0] 2 2 2 3 2 2" xfId="494" xr:uid="{00000000-0005-0000-0000-0000F6000000}"/>
    <cellStyle name="Millares [0] 2 2 2 3 2 2 10" xfId="17307" xr:uid="{ECD66273-3958-4895-9342-3BEF30E7D6C3}"/>
    <cellStyle name="Millares [0] 2 2 2 3 2 2 11" xfId="23552" xr:uid="{6EBBDC58-4860-4196-83AB-BA3A11AFBF33}"/>
    <cellStyle name="Millares [0] 2 2 2 3 2 2 12" xfId="42801" xr:uid="{971137D9-C031-406F-8805-5D87212F51FC}"/>
    <cellStyle name="Millares [0] 2 2 2 3 2 2 13" xfId="47694" xr:uid="{508C2B12-2CE2-4E64-8D6B-2132686E6FB1}"/>
    <cellStyle name="Millares [0] 2 2 2 3 2 2 2" xfId="2310" xr:uid="{3BCF9FA4-9A63-42AA-97DC-538233EF7695}"/>
    <cellStyle name="Millares [0] 2 2 2 3 2 2 2 2" xfId="10581" xr:uid="{419F898B-1202-440F-8947-4A6F4514FCA3}"/>
    <cellStyle name="Millares [0] 2 2 2 3 2 2 2 2 2" xfId="45741" xr:uid="{26ECBD15-F021-4986-84DA-DDFF135309D1}"/>
    <cellStyle name="Millares [0] 2 2 2 3 2 2 2 3" xfId="13421" xr:uid="{ECFF85B9-84E8-4CF6-8D0B-C75507350B4A}"/>
    <cellStyle name="Millares [0] 2 2 2 3 2 2 2 4" xfId="42020" xr:uid="{6F0BD2F2-0A62-4233-A4D7-EF13433B7EA6}"/>
    <cellStyle name="Millares [0] 2 2 2 3 2 2 2 5" xfId="43345" xr:uid="{FF95019C-59A3-4C89-A5B7-91AFFED1AFDA}"/>
    <cellStyle name="Millares [0] 2 2 2 3 2 2 2 6" xfId="48238" xr:uid="{E61E06AC-7CF6-43FA-8F53-EBF09C8528F3}"/>
    <cellStyle name="Millares [0] 2 2 2 3 2 2 3" xfId="2728" xr:uid="{BC12F477-4172-4642-8512-7A27CBC03C66}"/>
    <cellStyle name="Millares [0] 2 2 2 3 2 2 3 2" xfId="10999" xr:uid="{94969E26-AD04-45DF-ACAB-60C51C12BFD9}"/>
    <cellStyle name="Millares [0] 2 2 2 3 2 2 3 2 2" xfId="46159" xr:uid="{B0C2C814-B55F-4DF9-A570-C0C064FCC6AC}"/>
    <cellStyle name="Millares [0] 2 2 2 3 2 2 3 3" xfId="13839" xr:uid="{CF3290A3-00B5-4333-AB2A-487A120A5C3D}"/>
    <cellStyle name="Millares [0] 2 2 2 3 2 2 3 4" xfId="43763" xr:uid="{AE7E6622-191C-4F90-BA70-E30471785605}"/>
    <cellStyle name="Millares [0] 2 2 2 3 2 2 3 5" xfId="48656" xr:uid="{6CDA0572-572D-426F-8DA8-D283DD45B6A4}"/>
    <cellStyle name="Millares [0] 2 2 2 3 2 2 4" xfId="3272" xr:uid="{55322046-1E14-4A59-9CBB-70107AD92426}"/>
    <cellStyle name="Millares [0] 2 2 2 3 2 2 4 2" xfId="11543" xr:uid="{DE63DADA-F2B8-4A76-B4EF-CE29243BF9AC}"/>
    <cellStyle name="Millares [0] 2 2 2 3 2 2 4 2 2" xfId="46703" xr:uid="{A11A4EF0-56AB-438F-999F-288D4EB886E0}"/>
    <cellStyle name="Millares [0] 2 2 2 3 2 2 4 3" xfId="14383" xr:uid="{47C0D9F1-E41F-4140-B151-9B6C6FF8FAE2}"/>
    <cellStyle name="Millares [0] 2 2 2 3 2 2 4 4" xfId="44307" xr:uid="{354A2DCF-7948-436C-A6C8-4DB3B1B51865}"/>
    <cellStyle name="Millares [0] 2 2 2 3 2 2 4 5" xfId="49200" xr:uid="{83FA8568-2915-409F-B340-49484AED7C64}"/>
    <cellStyle name="Millares [0] 2 2 2 3 2 2 5" xfId="3774" xr:uid="{E49E2EAD-DAB1-415E-AAC6-744272D16420}"/>
    <cellStyle name="Millares [0] 2 2 2 3 2 2 5 2" xfId="12015" xr:uid="{35D68D91-4B6F-4D1B-A680-CC94D9FADB5D}"/>
    <cellStyle name="Millares [0] 2 2 2 3 2 2 5 3" xfId="14855" xr:uid="{4008E661-3BCF-43AD-91AC-41EC66D2E89D}"/>
    <cellStyle name="Millares [0] 2 2 2 3 2 2 5 4" xfId="44779" xr:uid="{1D9B4138-16FA-46ED-AE91-88F54F0ED09F}"/>
    <cellStyle name="Millares [0] 2 2 2 3 2 2 5 5" xfId="49672" xr:uid="{D676BCA4-E349-404A-9AA6-7D5384FFD11E}"/>
    <cellStyle name="Millares [0] 2 2 2 3 2 2 6" xfId="10037" xr:uid="{AFAFB7CC-6B98-48B0-80F7-FB6B2F4148AF}"/>
    <cellStyle name="Millares [0] 2 2 2 3 2 2 6 2" xfId="45197" xr:uid="{0B0BCBDF-70F2-469A-A0C3-FB85F7AE1E09}"/>
    <cellStyle name="Millares [0] 2 2 2 3 2 2 7" xfId="12877" xr:uid="{3AF70DCA-3BE7-4406-B995-A25FA34D7E58}"/>
    <cellStyle name="Millares [0] 2 2 2 3 2 2 8" xfId="16220" xr:uid="{0D7E0338-D6BA-49B3-AABB-767D1D3E2F7C}"/>
    <cellStyle name="Millares [0] 2 2 2 3 2 2 9" xfId="16763" xr:uid="{A43E45D7-19CD-434C-B499-23A79D644076}"/>
    <cellStyle name="Millares [0] 2 2 2 3 2 3" xfId="2098" xr:uid="{A95F98A6-387B-4222-994B-59EF6CC2A358}"/>
    <cellStyle name="Millares [0] 2 2 2 3 2 3 2" xfId="10369" xr:uid="{F8311BD6-57B6-4832-AAC5-C8DC561A911E}"/>
    <cellStyle name="Millares [0] 2 2 2 3 2 3 2 2" xfId="45529" xr:uid="{E1C524E7-CF1E-4152-B300-92F86F676C78}"/>
    <cellStyle name="Millares [0] 2 2 2 3 2 3 3" xfId="13209" xr:uid="{ECF8CC15-60D8-48F0-AD90-D8547580392F}"/>
    <cellStyle name="Millares [0] 2 2 2 3 2 3 4" xfId="29419" xr:uid="{A7674180-320B-4F90-97C6-BDDB3FB23449}"/>
    <cellStyle name="Millares [0] 2 2 2 3 2 3 5" xfId="43133" xr:uid="{4F84CE0E-1FD6-486E-83B5-DDA21BD418D8}"/>
    <cellStyle name="Millares [0] 2 2 2 3 2 3 6" xfId="48026" xr:uid="{7FE17A69-DBF6-4D01-8FDA-12495F3D3AF8}"/>
    <cellStyle name="Millares [0] 2 2 2 3 2 4" xfId="2516" xr:uid="{56011BE9-6A3B-490B-ABD0-280A4C797781}"/>
    <cellStyle name="Millares [0] 2 2 2 3 2 4 2" xfId="10787" xr:uid="{76860572-6307-445E-B7D2-5BA8C544A09B}"/>
    <cellStyle name="Millares [0] 2 2 2 3 2 4 2 2" xfId="45947" xr:uid="{DEF37778-EEA8-49F2-B0AF-EF94236C9B72}"/>
    <cellStyle name="Millares [0] 2 2 2 3 2 4 3" xfId="13627" xr:uid="{6E64D367-5852-4EA5-AABD-C6C0069CD92F}"/>
    <cellStyle name="Millares [0] 2 2 2 3 2 4 4" xfId="35301" xr:uid="{8ECB59AC-4C0D-4D29-9095-675E98B38FAF}"/>
    <cellStyle name="Millares [0] 2 2 2 3 2 4 5" xfId="43551" xr:uid="{F8778665-CAE6-40ED-8EEB-D1CC0E5EE0F4}"/>
    <cellStyle name="Millares [0] 2 2 2 3 2 4 6" xfId="48444" xr:uid="{FF21F52E-B971-42E2-AB87-00EE9C878C57}"/>
    <cellStyle name="Millares [0] 2 2 2 3 2 5" xfId="3060" xr:uid="{59D095CE-F2CD-4780-B067-47199B89727B}"/>
    <cellStyle name="Millares [0] 2 2 2 3 2 5 2" xfId="11331" xr:uid="{C413D916-1C6D-473E-9649-3760FCD54AA3}"/>
    <cellStyle name="Millares [0] 2 2 2 3 2 5 2 2" xfId="46491" xr:uid="{AE206D22-47DE-4A7B-A537-7AE3829AEAF8}"/>
    <cellStyle name="Millares [0] 2 2 2 3 2 5 3" xfId="14171" xr:uid="{5731B234-A127-446F-A025-64E371FD7D60}"/>
    <cellStyle name="Millares [0] 2 2 2 3 2 5 4" xfId="41160" xr:uid="{031B41F0-42A5-4A89-80F6-1F07A67CC5AF}"/>
    <cellStyle name="Millares [0] 2 2 2 3 2 5 5" xfId="44095" xr:uid="{3BAA07B8-82AD-45FD-BC13-2EFC378C1149}"/>
    <cellStyle name="Millares [0] 2 2 2 3 2 5 6" xfId="48988" xr:uid="{719D913A-53C8-477A-A2F5-13FACB5A9A16}"/>
    <cellStyle name="Millares [0] 2 2 2 3 2 6" xfId="3562" xr:uid="{19AC9BDD-40F9-4B8B-93BB-33FFFBB0659A}"/>
    <cellStyle name="Millares [0] 2 2 2 3 2 6 2" xfId="11803" xr:uid="{7D933067-8D96-49E4-B97A-8CE3414F81FF}"/>
    <cellStyle name="Millares [0] 2 2 2 3 2 6 3" xfId="14643" xr:uid="{13FF1B39-5427-447E-93DC-18BB9D21D26E}"/>
    <cellStyle name="Millares [0] 2 2 2 3 2 6 4" xfId="44567" xr:uid="{259CBA3B-CB86-48C6-8F3B-8355348F2AF9}"/>
    <cellStyle name="Millares [0] 2 2 2 3 2 6 5" xfId="49460" xr:uid="{E5280AA6-0356-4632-9FF7-07A1575B17C8}"/>
    <cellStyle name="Millares [0] 2 2 2 3 2 7" xfId="9188" xr:uid="{824A0363-0AA1-45BA-8B11-95C563CA74ED}"/>
    <cellStyle name="Millares [0] 2 2 2 3 2 7 2" xfId="12443" xr:uid="{8932AB26-50E4-41AB-B289-7C045B4C4E2D}"/>
    <cellStyle name="Millares [0] 2 2 2 3 2 7 3" xfId="15284" xr:uid="{922C8534-C5F2-497E-86F8-94E291DC7ED5}"/>
    <cellStyle name="Millares [0] 2 2 2 3 2 7 4" xfId="44985" xr:uid="{530BD951-39EC-46CE-873B-CB46044F82E1}"/>
    <cellStyle name="Millares [0] 2 2 2 3 2 7 5" xfId="50100" xr:uid="{3DD9B031-93E0-4608-976A-150276B455E1}"/>
    <cellStyle name="Millares [0] 2 2 2 3 2 8" xfId="9825" xr:uid="{9676F7A5-A32C-46A1-A997-D5A0CF816659}"/>
    <cellStyle name="Millares [0] 2 2 2 3 2 9" xfId="12665" xr:uid="{9129CA2B-A67E-4ECE-8534-379366E9CDE5}"/>
    <cellStyle name="Millares [0] 2 2 2 3 3" xfId="393" xr:uid="{00000000-0005-0000-0000-0000F7000000}"/>
    <cellStyle name="Millares [0] 2 2 2 3 3 10" xfId="17207" xr:uid="{2687C37E-6E5C-4610-AECB-95C9A99D8769}"/>
    <cellStyle name="Millares [0] 2 2 2 3 3 11" xfId="20764" xr:uid="{55A51A97-387E-496A-9FC4-646B1D140EDC}"/>
    <cellStyle name="Millares [0] 2 2 2 3 3 12" xfId="42701" xr:uid="{1F3159A1-54DA-400C-A754-57EB5D0FF1CD}"/>
    <cellStyle name="Millares [0] 2 2 2 3 3 13" xfId="47594" xr:uid="{DD437D08-EC8A-48FB-BD5D-7D1A53DBBB8A}"/>
    <cellStyle name="Millares [0] 2 2 2 3 3 2" xfId="2210" xr:uid="{19E11E87-405D-4B3B-9911-CE75BA22325C}"/>
    <cellStyle name="Millares [0] 2 2 2 3 3 2 2" xfId="10481" xr:uid="{CDEBF13B-7AE8-46A6-B3C1-2DDEE40DA374}"/>
    <cellStyle name="Millares [0] 2 2 2 3 3 2 2 2" xfId="45641" xr:uid="{6B5A1E52-523B-4761-A997-B6EF4224FD25}"/>
    <cellStyle name="Millares [0] 2 2 2 3 3 2 3" xfId="13321" xr:uid="{8F19525A-DC85-4D11-B68B-4EAC2BE18B85}"/>
    <cellStyle name="Millares [0] 2 2 2 3 3 2 4" xfId="41837" xr:uid="{8195AECA-FC14-4CA5-BE5B-7B80153F78B0}"/>
    <cellStyle name="Millares [0] 2 2 2 3 3 2 5" xfId="43245" xr:uid="{5F72AF59-8091-4B64-A6D1-34541CC91151}"/>
    <cellStyle name="Millares [0] 2 2 2 3 3 2 6" xfId="48138" xr:uid="{02CA8130-CB32-41B4-87B6-622B87CC2087}"/>
    <cellStyle name="Millares [0] 2 2 2 3 3 3" xfId="2628" xr:uid="{A30A5EF4-7290-4C5B-91AE-773747742B81}"/>
    <cellStyle name="Millares [0] 2 2 2 3 3 3 2" xfId="10899" xr:uid="{CC9E3460-B19A-4EC2-8ACE-BEDA71398845}"/>
    <cellStyle name="Millares [0] 2 2 2 3 3 3 2 2" xfId="46059" xr:uid="{5D60616F-7F7B-4345-80FD-C4CDD2247887}"/>
    <cellStyle name="Millares [0] 2 2 2 3 3 3 3" xfId="13739" xr:uid="{67AB22B8-EFD5-4B46-A2E0-A3FE9E9F8633}"/>
    <cellStyle name="Millares [0] 2 2 2 3 3 3 4" xfId="43663" xr:uid="{562F338B-6A02-483E-BCB2-3B73347911A0}"/>
    <cellStyle name="Millares [0] 2 2 2 3 3 3 5" xfId="48556" xr:uid="{AD58704D-24A6-4408-BBB0-45D05B964874}"/>
    <cellStyle name="Millares [0] 2 2 2 3 3 4" xfId="3172" xr:uid="{A796217F-AAD9-48A2-9644-73E44938CE5A}"/>
    <cellStyle name="Millares [0] 2 2 2 3 3 4 2" xfId="11443" xr:uid="{44CAC04C-0BAD-44CB-A824-3EAD93837891}"/>
    <cellStyle name="Millares [0] 2 2 2 3 3 4 2 2" xfId="46603" xr:uid="{06E862BE-EF17-408B-AB9C-A0A8975A407D}"/>
    <cellStyle name="Millares [0] 2 2 2 3 3 4 3" xfId="14283" xr:uid="{460FF8AA-0F6A-4550-A3C9-90766BF9B2EE}"/>
    <cellStyle name="Millares [0] 2 2 2 3 3 4 4" xfId="44207" xr:uid="{D9F87EAD-2563-4BBD-990E-7F3808F1AC3A}"/>
    <cellStyle name="Millares [0] 2 2 2 3 3 4 5" xfId="49100" xr:uid="{FA5B039D-2B99-43EB-B60D-EE473550F54C}"/>
    <cellStyle name="Millares [0] 2 2 2 3 3 5" xfId="3674" xr:uid="{BAEA3A29-7805-4E20-9925-DA33E04D671D}"/>
    <cellStyle name="Millares [0] 2 2 2 3 3 5 2" xfId="11915" xr:uid="{574CF069-E7C1-4783-ACA3-168C147196FE}"/>
    <cellStyle name="Millares [0] 2 2 2 3 3 5 3" xfId="14755" xr:uid="{93FD5664-7FB7-4DA2-9FDD-2A2ED698151E}"/>
    <cellStyle name="Millares [0] 2 2 2 3 3 5 4" xfId="44679" xr:uid="{C3FD62BF-BE28-493D-8D40-FA432381CDBA}"/>
    <cellStyle name="Millares [0] 2 2 2 3 3 5 5" xfId="49572" xr:uid="{0C04DF82-ECBC-4512-80C3-9AD56D8E3302}"/>
    <cellStyle name="Millares [0] 2 2 2 3 3 6" xfId="9937" xr:uid="{8AA4FFCE-AAE2-4344-9A00-EE760D2CAD5E}"/>
    <cellStyle name="Millares [0] 2 2 2 3 3 6 2" xfId="45097" xr:uid="{60B116D0-446B-49E9-8E4E-39BAE152C22C}"/>
    <cellStyle name="Millares [0] 2 2 2 3 3 7" xfId="12777" xr:uid="{CFEE16DF-5BD7-4430-A847-10C8F35FCD81}"/>
    <cellStyle name="Millares [0] 2 2 2 3 3 8" xfId="16120" xr:uid="{8E6284A1-B815-4DD3-9ED0-3A5A1632DF8A}"/>
    <cellStyle name="Millares [0] 2 2 2 3 3 9" xfId="16663" xr:uid="{512FE1DE-7F70-45D7-AB0A-715745E3B721}"/>
    <cellStyle name="Millares [0] 2 2 2 3 4" xfId="596" xr:uid="{00000000-0005-0000-0000-0000F8000000}"/>
    <cellStyle name="Millares [0] 2 2 2 3 4 10" xfId="47796" xr:uid="{27AAF3A2-6BCF-466F-AE21-8854B4BA9355}"/>
    <cellStyle name="Millares [0] 2 2 2 3 4 2" xfId="2830" xr:uid="{53ACF8C5-EC62-439E-8309-FB8819E6F520}"/>
    <cellStyle name="Millares [0] 2 2 2 3 4 2 2" xfId="11101" xr:uid="{48C6C905-AA0F-47D0-A0FC-6273F4FF720D}"/>
    <cellStyle name="Millares [0] 2 2 2 3 4 2 2 2" xfId="46261" xr:uid="{C3B6ED3F-1C94-42A1-A6D8-DD3DF7A25C98}"/>
    <cellStyle name="Millares [0] 2 2 2 3 4 2 3" xfId="13941" xr:uid="{22D4F359-C340-4E9A-9A9A-B88F6DBAB3A5}"/>
    <cellStyle name="Millares [0] 2 2 2 3 4 2 4" xfId="43865" xr:uid="{8E7BA7BA-6A97-4AE2-A89E-CC730180DD79}"/>
    <cellStyle name="Millares [0] 2 2 2 3 4 2 5" xfId="48758" xr:uid="{BB49CE14-E880-4BFA-B365-80C2005C5361}"/>
    <cellStyle name="Millares [0] 2 2 2 3 4 3" xfId="10139" xr:uid="{A76251F0-3E11-4504-A1F3-C5AD396BB4F5}"/>
    <cellStyle name="Millares [0] 2 2 2 3 4 3 2" xfId="45299" xr:uid="{F94E1F62-F5FB-497E-9C1F-915F2E0B77E4}"/>
    <cellStyle name="Millares [0] 2 2 2 3 4 4" xfId="12979" xr:uid="{EA7715BB-DA07-4A50-AF46-96FD4B49A666}"/>
    <cellStyle name="Millares [0] 2 2 2 3 4 5" xfId="16322" xr:uid="{7714D987-8563-4E7F-9800-A2BA3FB1A143}"/>
    <cellStyle name="Millares [0] 2 2 2 3 4 6" xfId="16865" xr:uid="{EC454C37-2F6D-46B3-9AA2-4A5B7B0B6CEE}"/>
    <cellStyle name="Millares [0] 2 2 2 3 4 7" xfId="17409" xr:uid="{307668B2-69A5-4EE3-AD0D-0A188263F40B}"/>
    <cellStyle name="Millares [0] 2 2 2 3 4 8" xfId="26573" xr:uid="{E4A81E50-4058-4065-BC52-39E393159902}"/>
    <cellStyle name="Millares [0] 2 2 2 3 4 9" xfId="42903" xr:uid="{3957F638-B920-4C46-BAEC-AF2D224ADA67}"/>
    <cellStyle name="Millares [0] 2 2 2 3 5" xfId="1994" xr:uid="{7F92C0D7-2DBA-4DBB-A23E-2AFD7C4DBAA7}"/>
    <cellStyle name="Millares [0] 2 2 2 3 5 2" xfId="10265" xr:uid="{C10FF4B9-A446-4D78-B8D5-60F7FA23FA2D}"/>
    <cellStyle name="Millares [0] 2 2 2 3 5 2 2" xfId="45425" xr:uid="{30A63535-C50B-4E36-B7D7-C94D0E29E684}"/>
    <cellStyle name="Millares [0] 2 2 2 3 5 3" xfId="13105" xr:uid="{CAD6D3EB-71EA-41CA-8BE5-4699A44FDB59}"/>
    <cellStyle name="Millares [0] 2 2 2 3 5 4" xfId="32448" xr:uid="{6C6FE975-371F-487F-932D-A42544EC0AEC}"/>
    <cellStyle name="Millares [0] 2 2 2 3 5 5" xfId="43029" xr:uid="{F886F008-ED3B-4B36-BA71-81AE19190FFE}"/>
    <cellStyle name="Millares [0] 2 2 2 3 5 6" xfId="47922" xr:uid="{E071F865-D171-42C9-A9C3-F2EA467D5663}"/>
    <cellStyle name="Millares [0] 2 2 2 3 6" xfId="2412" xr:uid="{272C01D6-0AE3-4FDA-8E6C-75227F4B0479}"/>
    <cellStyle name="Millares [0] 2 2 2 3 6 2" xfId="10683" xr:uid="{149D433F-1FD7-406C-BB63-D7D2EDD1B5F3}"/>
    <cellStyle name="Millares [0] 2 2 2 3 6 2 2" xfId="45843" xr:uid="{5E9F912C-FC9D-432E-BF6C-690E8EAB52A5}"/>
    <cellStyle name="Millares [0] 2 2 2 3 6 3" xfId="13523" xr:uid="{DFB36D32-7B68-48F7-ABEA-749DFCD47882}"/>
    <cellStyle name="Millares [0] 2 2 2 3 6 4" xfId="38313" xr:uid="{EE976F1A-449C-4DE5-A53E-822187D58CC3}"/>
    <cellStyle name="Millares [0] 2 2 2 3 6 5" xfId="43447" xr:uid="{AED5CCDC-972E-4BA9-AE07-431E8B0572E6}"/>
    <cellStyle name="Millares [0] 2 2 2 3 6 6" xfId="48340" xr:uid="{F78B6953-C830-47F0-89E4-2A5E5B69D1D2}"/>
    <cellStyle name="Millares [0] 2 2 2 3 7" xfId="2956" xr:uid="{145B5873-2D2A-4B83-B83B-4BADE1FD3A5B}"/>
    <cellStyle name="Millares [0] 2 2 2 3 7 2" xfId="11227" xr:uid="{58F5123F-18CF-412B-AC5F-41AEACB27286}"/>
    <cellStyle name="Millares [0] 2 2 2 3 7 2 2" xfId="46387" xr:uid="{913E0D73-DF5C-4C7D-ABD4-3C7B1B41515D}"/>
    <cellStyle name="Millares [0] 2 2 2 3 7 3" xfId="14067" xr:uid="{C61A55F8-25DF-47D5-A328-CC3FFDFED17C}"/>
    <cellStyle name="Millares [0] 2 2 2 3 7 4" xfId="43991" xr:uid="{3FBE76A9-82CC-4D89-9BC0-91EB02B541A9}"/>
    <cellStyle name="Millares [0] 2 2 2 3 7 5" xfId="48884" xr:uid="{C1212C01-7D1C-4A59-B481-92861FCD0468}"/>
    <cellStyle name="Millares [0] 2 2 2 3 8" xfId="3458" xr:uid="{34EC6354-7145-4A7F-BDC7-F76C84046CCD}"/>
    <cellStyle name="Millares [0] 2 2 2 3 8 2" xfId="11699" xr:uid="{FD3E29AD-4389-4579-8CD9-979913FAB44F}"/>
    <cellStyle name="Millares [0] 2 2 2 3 8 3" xfId="14539" xr:uid="{250B284A-0863-4900-880D-1E6ABCF39C30}"/>
    <cellStyle name="Millares [0] 2 2 2 3 8 4" xfId="44463" xr:uid="{CBAB832C-AADC-482B-984E-1C6B5A550471}"/>
    <cellStyle name="Millares [0] 2 2 2 3 8 5" xfId="49356" xr:uid="{C83F91AF-D151-49C4-AE5A-3E0A0C42AA07}"/>
    <cellStyle name="Millares [0] 2 2 2 3 9" xfId="6323" xr:uid="{2780C354-B936-4369-BF42-78513F7229AE}"/>
    <cellStyle name="Millares [0] 2 2 2 3 9 2" xfId="12260" xr:uid="{1815A0AB-5ACC-4780-A1D5-3EAA2BBB5C1A}"/>
    <cellStyle name="Millares [0] 2 2 2 3 9 3" xfId="15101" xr:uid="{7CF1DEBD-F7E6-486F-8598-5CC96E1C00DB}"/>
    <cellStyle name="Millares [0] 2 2 2 3 9 4" xfId="44881" xr:uid="{16E82D27-CFD0-4254-96EE-719A587816A1}"/>
    <cellStyle name="Millares [0] 2 2 2 3 9 5" xfId="49917" xr:uid="{0683E5B8-60C4-4A0F-B61D-F97A86316841}"/>
    <cellStyle name="Millares [0] 2 2 2 4" xfId="240" xr:uid="{00000000-0005-0000-0000-0000F9000000}"/>
    <cellStyle name="Millares [0] 2 2 2 4 10" xfId="15981" xr:uid="{04CE82FE-DD82-4485-80B9-93FDBCF20489}"/>
    <cellStyle name="Millares [0] 2 2 2 4 11" xfId="16524" xr:uid="{0C42DFA4-FE37-4542-9BAC-35A68B0BF727}"/>
    <cellStyle name="Millares [0] 2 2 2 4 12" xfId="17068" xr:uid="{D4544A16-9534-4965-BE53-022821A33D67}"/>
    <cellStyle name="Millares [0] 2 2 2 4 13" xfId="18286" xr:uid="{5A5814C4-9D78-481B-BE4F-E9917636BD2C}"/>
    <cellStyle name="Millares [0] 2 2 2 4 14" xfId="42562" xr:uid="{9A623114-76C7-4746-BCFB-10A0FD57F085}"/>
    <cellStyle name="Millares [0] 2 2 2 4 15" xfId="47455" xr:uid="{8130451C-5642-46DD-BD7C-A40BF0C0BE11}"/>
    <cellStyle name="Millares [0] 2 2 2 4 2" xfId="467" xr:uid="{00000000-0005-0000-0000-0000FA000000}"/>
    <cellStyle name="Millares [0] 2 2 2 4 2 10" xfId="17280" xr:uid="{571F2237-5EED-4E91-AED6-AB8935CC261A}"/>
    <cellStyle name="Millares [0] 2 2 2 4 2 11" xfId="41654" xr:uid="{1CFD7BA7-9F79-4C78-A932-1A9DEB746961}"/>
    <cellStyle name="Millares [0] 2 2 2 4 2 12" xfId="17788" xr:uid="{11CECD24-A3B2-4C9F-BE66-8E14CA0AE086}"/>
    <cellStyle name="Millares [0] 2 2 2 4 2 13" xfId="42774" xr:uid="{EDADD296-3262-4B70-A99A-35978F20EDF5}"/>
    <cellStyle name="Millares [0] 2 2 2 4 2 14" xfId="47667" xr:uid="{DC3A194D-4D66-477F-9F41-4C921D2C15D9}"/>
    <cellStyle name="Millares [0] 2 2 2 4 2 2" xfId="2283" xr:uid="{188B89A9-E27D-4175-BDD8-6806C3C7422D}"/>
    <cellStyle name="Millares [0] 2 2 2 4 2 2 2" xfId="10554" xr:uid="{A43ADCA0-0944-4584-A80B-69B263819034}"/>
    <cellStyle name="Millares [0] 2 2 2 4 2 2 2 2" xfId="45714" xr:uid="{868BF839-ACE8-4C0E-9829-4425A55742F5}"/>
    <cellStyle name="Millares [0] 2 2 2 4 2 2 3" xfId="13394" xr:uid="{D7568F4D-73B3-4B1A-8A66-453E1A8FEF83}"/>
    <cellStyle name="Millares [0] 2 2 2 4 2 2 4" xfId="43318" xr:uid="{4F072FBD-A8E7-496D-A1C8-81D9AA4F835F}"/>
    <cellStyle name="Millares [0] 2 2 2 4 2 2 5" xfId="48211" xr:uid="{3DD49009-5098-4426-89A8-83024C232EC0}"/>
    <cellStyle name="Millares [0] 2 2 2 4 2 3" xfId="2701" xr:uid="{BCACDF13-9AC1-47EB-BF4A-E1AA410C1A8D}"/>
    <cellStyle name="Millares [0] 2 2 2 4 2 3 2" xfId="10972" xr:uid="{56F285D7-B32D-483F-BED3-4E69D0EECCD0}"/>
    <cellStyle name="Millares [0] 2 2 2 4 2 3 2 2" xfId="46132" xr:uid="{4243CB0F-24E7-45A8-BBE2-600A5767C0D7}"/>
    <cellStyle name="Millares [0] 2 2 2 4 2 3 3" xfId="13812" xr:uid="{DF6239C7-DD8A-4408-9375-83FE1AE614A2}"/>
    <cellStyle name="Millares [0] 2 2 2 4 2 3 4" xfId="43736" xr:uid="{0B1F6261-847B-4C45-9F43-ED97C9C3AC76}"/>
    <cellStyle name="Millares [0] 2 2 2 4 2 3 5" xfId="48629" xr:uid="{11769A4D-8202-404E-9D0F-45E1B5B4782F}"/>
    <cellStyle name="Millares [0] 2 2 2 4 2 4" xfId="3245" xr:uid="{B4E68C85-E1BE-4214-BF35-0B5172B08502}"/>
    <cellStyle name="Millares [0] 2 2 2 4 2 4 2" xfId="11516" xr:uid="{432FC887-23C5-4FD2-B997-F478139BFA44}"/>
    <cellStyle name="Millares [0] 2 2 2 4 2 4 2 2" xfId="46676" xr:uid="{2DB7E561-ABDB-4D71-9149-37698C2461CE}"/>
    <cellStyle name="Millares [0] 2 2 2 4 2 4 3" xfId="14356" xr:uid="{A3227A77-267B-4688-AF1C-14830AE916AA}"/>
    <cellStyle name="Millares [0] 2 2 2 4 2 4 4" xfId="44280" xr:uid="{565D2BED-3F2F-463F-9873-1E5432B0E20A}"/>
    <cellStyle name="Millares [0] 2 2 2 4 2 4 5" xfId="49173" xr:uid="{2FC5C84C-2A95-46EB-803E-30441D571EFA}"/>
    <cellStyle name="Millares [0] 2 2 2 4 2 5" xfId="3747" xr:uid="{4D7B3EC3-3A1B-4AA3-BD2E-06D049319705}"/>
    <cellStyle name="Millares [0] 2 2 2 4 2 5 2" xfId="11988" xr:uid="{E4AD0F8E-D7AE-4F95-B87E-83F4DC44C7CD}"/>
    <cellStyle name="Millares [0] 2 2 2 4 2 5 3" xfId="14828" xr:uid="{4A594A02-583C-4160-8A4A-B4C2A5F64D18}"/>
    <cellStyle name="Millares [0] 2 2 2 4 2 5 4" xfId="44752" xr:uid="{650FFDA2-CACE-4896-B1F4-0C318F03BDB8}"/>
    <cellStyle name="Millares [0] 2 2 2 4 2 5 5" xfId="49645" xr:uid="{83AA4962-DF81-4532-8945-FA11D6371DA7}"/>
    <cellStyle name="Millares [0] 2 2 2 4 2 6" xfId="10010" xr:uid="{199C1E71-5D91-46AD-ABAD-ABA377262309}"/>
    <cellStyle name="Millares [0] 2 2 2 4 2 6 2" xfId="45170" xr:uid="{EB42751D-876D-45F8-8918-947282D32A89}"/>
    <cellStyle name="Millares [0] 2 2 2 4 2 7" xfId="12850" xr:uid="{D88C41B3-7E8B-4B20-9721-454E03DAAC49}"/>
    <cellStyle name="Millares [0] 2 2 2 4 2 8" xfId="16193" xr:uid="{2E9ACCC9-4108-4B86-A182-B5DDC58C1152}"/>
    <cellStyle name="Millares [0] 2 2 2 4 2 9" xfId="16736" xr:uid="{2BE0B646-DB6A-4E10-8FD9-6DB2E382F151}"/>
    <cellStyle name="Millares [0] 2 2 2 4 3" xfId="2071" xr:uid="{CCADD54A-0304-40F6-806F-D2D50F835BC9}"/>
    <cellStyle name="Millares [0] 2 2 2 4 3 2" xfId="10342" xr:uid="{BB8F5CE2-039F-44E6-AC5E-41750C8A46F6}"/>
    <cellStyle name="Millares [0] 2 2 2 4 3 2 2" xfId="45502" xr:uid="{14DF7472-B868-4605-93BC-ABD23B6C0F60}"/>
    <cellStyle name="Millares [0] 2 2 2 4 3 3" xfId="13182" xr:uid="{D4C5D380-2F22-4F9F-ABFE-2BDF10F220C1}"/>
    <cellStyle name="Millares [0] 2 2 2 4 3 4" xfId="43106" xr:uid="{CD96050D-F64A-484F-B639-A36E6EA55CE1}"/>
    <cellStyle name="Millares [0] 2 2 2 4 3 5" xfId="47999" xr:uid="{D6542E4A-ECCD-4EA2-8D62-152EDBF9017F}"/>
    <cellStyle name="Millares [0] 2 2 2 4 4" xfId="2489" xr:uid="{3316F466-96B3-446A-A398-97C8AF2E6622}"/>
    <cellStyle name="Millares [0] 2 2 2 4 4 2" xfId="10760" xr:uid="{AB7CA8C3-07A8-4F02-81D1-40BC1C5A07E4}"/>
    <cellStyle name="Millares [0] 2 2 2 4 4 2 2" xfId="45920" xr:uid="{127C2482-EF43-4BBF-97EA-80A526DFF742}"/>
    <cellStyle name="Millares [0] 2 2 2 4 4 3" xfId="13600" xr:uid="{DE709D75-3392-4907-A590-7E69F53F624A}"/>
    <cellStyle name="Millares [0] 2 2 2 4 4 4" xfId="43524" xr:uid="{8456C7A8-EF98-496F-9DC0-9928BC4791B9}"/>
    <cellStyle name="Millares [0] 2 2 2 4 4 5" xfId="48417" xr:uid="{7F0FF27E-B84A-49B2-BEB5-1E14D74D9095}"/>
    <cellStyle name="Millares [0] 2 2 2 4 5" xfId="3033" xr:uid="{A3BFB432-922E-4160-B156-145F99122028}"/>
    <cellStyle name="Millares [0] 2 2 2 4 5 2" xfId="11304" xr:uid="{1DFE1A86-4EDC-4E3E-BB27-512432F2C0B7}"/>
    <cellStyle name="Millares [0] 2 2 2 4 5 2 2" xfId="46464" xr:uid="{02726ACF-83CF-41AD-9396-75BCD3FD40EC}"/>
    <cellStyle name="Millares [0] 2 2 2 4 5 3" xfId="14144" xr:uid="{A44BD85B-35E1-4410-B59E-0139EAE1D8E7}"/>
    <cellStyle name="Millares [0] 2 2 2 4 5 4" xfId="44068" xr:uid="{C6519649-C422-48C1-B1B9-83E356270CEA}"/>
    <cellStyle name="Millares [0] 2 2 2 4 5 5" xfId="48961" xr:uid="{FD6EC1AB-5840-488C-A9F6-E5B4D62C74F9}"/>
    <cellStyle name="Millares [0] 2 2 2 4 6" xfId="3535" xr:uid="{7F70AF5F-D760-4CB5-94A1-6A3BC515FD2F}"/>
    <cellStyle name="Millares [0] 2 2 2 4 6 2" xfId="11776" xr:uid="{7E827761-C444-478D-9A25-536F8F87AD23}"/>
    <cellStyle name="Millares [0] 2 2 2 4 6 3" xfId="14616" xr:uid="{2156D8EF-F60C-470A-A42D-1F7B01488420}"/>
    <cellStyle name="Millares [0] 2 2 2 4 6 4" xfId="44540" xr:uid="{917DC7DC-8DCC-4750-A7DB-0E9160D63514}"/>
    <cellStyle name="Millares [0] 2 2 2 4 6 5" xfId="49433" xr:uid="{22B1E560-683A-44B6-A39D-EEF6BA82FC16}"/>
    <cellStyle name="Millares [0] 2 2 2 4 7" xfId="9798" xr:uid="{AD5C14DF-1446-4022-8220-E3273E370EC3}"/>
    <cellStyle name="Millares [0] 2 2 2 4 7 2" xfId="44958" xr:uid="{152F79FF-1E36-4491-8103-EFE1134E97AB}"/>
    <cellStyle name="Millares [0] 2 2 2 4 8" xfId="12638" xr:uid="{72829489-56EB-4B14-9C41-F801A776BDE4}"/>
    <cellStyle name="Millares [0] 2 2 2 4 9" xfId="15842" xr:uid="{0D0E0F97-0BE3-4675-94FC-E534D1C665A0}"/>
    <cellStyle name="Millares [0] 2 2 2 5" xfId="366" xr:uid="{00000000-0005-0000-0000-0000FB000000}"/>
    <cellStyle name="Millares [0] 2 2 2 5 10" xfId="17180" xr:uid="{961393C9-D3B9-4DD5-9EC0-22505AEA4025}"/>
    <cellStyle name="Millares [0] 2 2 2 5 11" xfId="18399" xr:uid="{33C0AC61-6449-455F-8382-96497DC44187}"/>
    <cellStyle name="Millares [0] 2 2 2 5 12" xfId="17955" xr:uid="{6CCA0848-10B6-4AEB-8289-9F07B3335428}"/>
    <cellStyle name="Millares [0] 2 2 2 5 13" xfId="42674" xr:uid="{CBEC59FB-02E2-4B29-960D-89343FECD011}"/>
    <cellStyle name="Millares [0] 2 2 2 5 14" xfId="47567" xr:uid="{86AF4234-80EF-48E3-94F8-E2319954545A}"/>
    <cellStyle name="Millares [0] 2 2 2 5 2" xfId="2183" xr:uid="{14D7A1B1-AB6A-4EBA-9DC2-3CB25F53D5EC}"/>
    <cellStyle name="Millares [0] 2 2 2 5 2 2" xfId="10454" xr:uid="{5D2FA693-E7BE-4DFD-A63E-D580AAEC934C}"/>
    <cellStyle name="Millares [0] 2 2 2 5 2 2 2" xfId="45614" xr:uid="{ADDADF50-6FAB-4CD5-9DB4-7C17A8A13BB9}"/>
    <cellStyle name="Millares [0] 2 2 2 5 2 3" xfId="13294" xr:uid="{644EBE3C-A898-4B74-BE04-55E9BE3ED2B5}"/>
    <cellStyle name="Millares [0] 2 2 2 5 2 4" xfId="43218" xr:uid="{1F96D19C-9B4C-46B7-A134-FED2C4F50672}"/>
    <cellStyle name="Millares [0] 2 2 2 5 2 5" xfId="48111" xr:uid="{18F6B50D-1E73-4BD4-8933-8598DFF0ABB5}"/>
    <cellStyle name="Millares [0] 2 2 2 5 3" xfId="2601" xr:uid="{3737BF0A-B672-47F5-AB5E-6A071298FA88}"/>
    <cellStyle name="Millares [0] 2 2 2 5 3 2" xfId="10872" xr:uid="{E6218E0A-446C-4D54-96A6-29E6AF49AD71}"/>
    <cellStyle name="Millares [0] 2 2 2 5 3 2 2" xfId="46032" xr:uid="{7CC93DE3-E83A-4C2F-B46B-AD002351A3F7}"/>
    <cellStyle name="Millares [0] 2 2 2 5 3 3" xfId="13712" xr:uid="{4BC59706-D6D4-4929-A180-B8A1B2A7110B}"/>
    <cellStyle name="Millares [0] 2 2 2 5 3 4" xfId="43636" xr:uid="{ACE011BC-0BB8-4DC2-BFE2-2ECEC53ACF7D}"/>
    <cellStyle name="Millares [0] 2 2 2 5 3 5" xfId="48529" xr:uid="{FED4A861-45C3-4184-BCF4-B4C00703D55F}"/>
    <cellStyle name="Millares [0] 2 2 2 5 4" xfId="3145" xr:uid="{6431D209-C5B5-4CE3-8B80-04D8664C10E2}"/>
    <cellStyle name="Millares [0] 2 2 2 5 4 2" xfId="11416" xr:uid="{AC0866CF-9469-4053-80C3-38A419B4E74A}"/>
    <cellStyle name="Millares [0] 2 2 2 5 4 2 2" xfId="46576" xr:uid="{82C41862-93A2-4207-BC0D-4CF620C3C9FC}"/>
    <cellStyle name="Millares [0] 2 2 2 5 4 3" xfId="14256" xr:uid="{6E7BFF0D-2F2B-45D8-B3F0-A41403247E6F}"/>
    <cellStyle name="Millares [0] 2 2 2 5 4 4" xfId="44180" xr:uid="{3FB9C6BA-9686-43BB-97B7-6E6CE6A3FFC9}"/>
    <cellStyle name="Millares [0] 2 2 2 5 4 5" xfId="49073" xr:uid="{2170296C-3C75-4020-ADF4-780E88013045}"/>
    <cellStyle name="Millares [0] 2 2 2 5 5" xfId="3647" xr:uid="{1932D763-BAD4-4FE5-BE8A-21FB4279340A}"/>
    <cellStyle name="Millares [0] 2 2 2 5 5 2" xfId="11888" xr:uid="{2B834367-EB2D-4B01-A5FE-5F19AD7363BE}"/>
    <cellStyle name="Millares [0] 2 2 2 5 5 3" xfId="14728" xr:uid="{5BAB8694-EEB4-42CE-8748-CBB4C500FAFC}"/>
    <cellStyle name="Millares [0] 2 2 2 5 5 4" xfId="44652" xr:uid="{FDC27D28-D456-4435-A7F5-B4FA990AB8FD}"/>
    <cellStyle name="Millares [0] 2 2 2 5 5 5" xfId="49545" xr:uid="{9F4C48B9-3ADD-4C5F-8B16-4750B8F2A85B}"/>
    <cellStyle name="Millares [0] 2 2 2 5 6" xfId="9910" xr:uid="{7A747091-1659-47EB-B564-AAA7346F23A2}"/>
    <cellStyle name="Millares [0] 2 2 2 5 6 2" xfId="45070" xr:uid="{7F5736F3-DFFE-4378-8800-24C01BE7FA2C}"/>
    <cellStyle name="Millares [0] 2 2 2 5 7" xfId="12750" xr:uid="{1B20028E-A609-4714-8808-4C553D1B5970}"/>
    <cellStyle name="Millares [0] 2 2 2 5 8" xfId="16093" xr:uid="{E244CB88-1866-456F-B25B-DE8020F6F441}"/>
    <cellStyle name="Millares [0] 2 2 2 5 9" xfId="16636" xr:uid="{D7CD94E6-A1DF-4D4F-92BE-D7CDEF5B3E25}"/>
    <cellStyle name="Millares [0] 2 2 2 6" xfId="569" xr:uid="{00000000-0005-0000-0000-0000FC000000}"/>
    <cellStyle name="Millares [0] 2 2 2 6 10" xfId="42876" xr:uid="{17DC38CC-28DE-463E-9913-545C0F37C46E}"/>
    <cellStyle name="Millares [0] 2 2 2 6 11" xfId="47769" xr:uid="{A8E803BE-6587-43AB-A86D-9BAA15EE1644}"/>
    <cellStyle name="Millares [0] 2 2 2 6 2" xfId="2803" xr:uid="{FDE71F76-ADB6-4D3A-BA9F-472D2FB14E21}"/>
    <cellStyle name="Millares [0] 2 2 2 6 2 2" xfId="11074" xr:uid="{7856F42B-87D6-4D47-94BA-847CFCEB313F}"/>
    <cellStyle name="Millares [0] 2 2 2 6 2 2 2" xfId="46234" xr:uid="{F758BD60-62E1-4CC4-B15F-33FC7F259EE5}"/>
    <cellStyle name="Millares [0] 2 2 2 6 2 3" xfId="13914" xr:uid="{8874B127-99F3-4899-A1E1-DE518FF52434}"/>
    <cellStyle name="Millares [0] 2 2 2 6 2 4" xfId="43838" xr:uid="{4EFFA436-B8A7-4802-AF1C-93BA58A0FEFF}"/>
    <cellStyle name="Millares [0] 2 2 2 6 2 5" xfId="48731" xr:uid="{99E3F7EF-21DB-4883-BCA0-ED124AD01117}"/>
    <cellStyle name="Millares [0] 2 2 2 6 3" xfId="10112" xr:uid="{A97EEB6A-1CC0-439D-9C05-BE5311D0C703}"/>
    <cellStyle name="Millares [0] 2 2 2 6 3 2" xfId="45272" xr:uid="{E09C95CF-C77E-4130-9072-F732D388D4A6}"/>
    <cellStyle name="Millares [0] 2 2 2 6 4" xfId="12952" xr:uid="{63146D13-2604-498A-A637-7EA3CB1235A6}"/>
    <cellStyle name="Millares [0] 2 2 2 6 5" xfId="16295" xr:uid="{472A96B4-58D9-4897-B48E-8141F959F5CD}"/>
    <cellStyle name="Millares [0] 2 2 2 6 6" xfId="16838" xr:uid="{AA7AF8DE-CF11-4151-8582-A405501B0DAD}"/>
    <cellStyle name="Millares [0] 2 2 2 6 7" xfId="17382" xr:uid="{6388E4D6-531E-4979-A2FD-DF773F72E2A8}"/>
    <cellStyle name="Millares [0] 2 2 2 6 8" xfId="24108" xr:uid="{FBE49685-6895-4888-AD6B-A059D24F288E}"/>
    <cellStyle name="Millares [0] 2 2 2 6 9" xfId="18236" xr:uid="{7F344D04-CD32-4B29-8CAC-CA9FB44651CA}"/>
    <cellStyle name="Millares [0] 2 2 2 7" xfId="1967" xr:uid="{CB0876A5-4618-431E-B81D-7D5671BC965F}"/>
    <cellStyle name="Millares [0] 2 2 2 7 2" xfId="10238" xr:uid="{241E67C4-B1E1-4F32-82BC-0206936943CF}"/>
    <cellStyle name="Millares [0] 2 2 2 7 2 2" xfId="45398" xr:uid="{B8F1D29B-E502-40F9-AF66-E4552B26E4F3}"/>
    <cellStyle name="Millares [0] 2 2 2 7 3" xfId="13078" xr:uid="{4C62401F-260A-4870-9493-125007F19195}"/>
    <cellStyle name="Millares [0] 2 2 2 7 4" xfId="29986" xr:uid="{5C600EC8-4492-4C08-9BBB-64D6614780CC}"/>
    <cellStyle name="Millares [0] 2 2 2 7 5" xfId="43002" xr:uid="{307E6F32-F86D-4D82-8F11-5395D41986AB}"/>
    <cellStyle name="Millares [0] 2 2 2 7 6" xfId="47895" xr:uid="{ED7B829C-BFC9-494E-BBCE-5CA6901B3198}"/>
    <cellStyle name="Millares [0] 2 2 2 8" xfId="2385" xr:uid="{3732516A-8CA5-4449-A0BF-12F72A610446}"/>
    <cellStyle name="Millares [0] 2 2 2 8 2" xfId="10656" xr:uid="{4C269590-4C54-4B31-8743-3974D15ADC4B}"/>
    <cellStyle name="Millares [0] 2 2 2 8 2 2" xfId="45816" xr:uid="{71A9AA6F-0318-49D8-9E09-34ECF00C17CC}"/>
    <cellStyle name="Millares [0] 2 2 2 8 3" xfId="13496" xr:uid="{78DDF669-618C-4EFB-9A2F-ABC173212C52}"/>
    <cellStyle name="Millares [0] 2 2 2 8 4" xfId="35867" xr:uid="{8181C5D6-C337-43DC-B924-3E80992AAA4E}"/>
    <cellStyle name="Millares [0] 2 2 2 8 5" xfId="43420" xr:uid="{69AF1C6C-F06F-4B33-910B-233F82E91F55}"/>
    <cellStyle name="Millares [0] 2 2 2 8 6" xfId="48313" xr:uid="{F57E83BD-5F6B-42C4-ADEE-ECB54D9C4F64}"/>
    <cellStyle name="Millares [0] 2 2 2 9" xfId="2929" xr:uid="{BA2FB586-0FF1-49E4-8E1E-ABF58C891902}"/>
    <cellStyle name="Millares [0] 2 2 2 9 2" xfId="11200" xr:uid="{05529288-35D6-4885-B539-EC51550E8C53}"/>
    <cellStyle name="Millares [0] 2 2 2 9 2 2" xfId="46360" xr:uid="{2EA532F0-2318-4E8B-9635-34D794B96F06}"/>
    <cellStyle name="Millares [0] 2 2 2 9 3" xfId="14040" xr:uid="{CB91D43D-95D6-427B-95E0-02B36D7FC3A7}"/>
    <cellStyle name="Millares [0] 2 2 2 9 4" xfId="43964" xr:uid="{5606C5F4-6510-4A32-B49A-C1D38338158D}"/>
    <cellStyle name="Millares [0] 2 2 2 9 5" xfId="48857" xr:uid="{5F20E127-F244-4C2A-812C-D94373244199}"/>
    <cellStyle name="Millares [0] 2 2 20" xfId="15357" xr:uid="{89A929C5-F47B-45C7-947D-07E25038DE69}"/>
    <cellStyle name="Millares [0] 2 2 21" xfId="15866" xr:uid="{6DD83B30-806D-49BE-8A36-3E06AB1D9D3C}"/>
    <cellStyle name="Millares [0] 2 2 22" xfId="16409" xr:uid="{1A383661-D8C5-477E-A715-FD37071E2ECC}"/>
    <cellStyle name="Millares [0] 2 2 23" xfId="16953" xr:uid="{172A56DA-F37C-4741-9543-F16C0BA444BC}"/>
    <cellStyle name="Millares [0] 2 2 24" xfId="17495" xr:uid="{070D2BA2-732C-4040-B420-23397245D887}"/>
    <cellStyle name="Millares [0] 2 2 25" xfId="42074" xr:uid="{D7D7CDFF-00CA-4F1D-A456-C0F10A2260B3}"/>
    <cellStyle name="Millares [0] 2 2 26" xfId="42447" xr:uid="{0036646A-B4E7-458E-B502-8E62C3BB85FD}"/>
    <cellStyle name="Millares [0] 2 2 27" xfId="47340" xr:uid="{7C79D75A-1924-4C9B-83B4-CF8FA4D6906E}"/>
    <cellStyle name="Millares [0] 2 2 28" xfId="50178" xr:uid="{0A1A971E-1E67-4E5C-BE83-8F4752E38FDA}"/>
    <cellStyle name="Millares [0] 2 2 29" xfId="50252" xr:uid="{7268E356-2B15-46BF-AE71-0F777A208BDA}"/>
    <cellStyle name="Millares [0] 2 2 3" xfId="188" xr:uid="{00000000-0005-0000-0000-0000FD000000}"/>
    <cellStyle name="Millares [0] 2 2 3 10" xfId="9752" xr:uid="{0789FC1A-97A2-4A95-B6F7-A624D3781ADC}"/>
    <cellStyle name="Millares [0] 2 2 3 11" xfId="12592" xr:uid="{4EC835E9-2405-483A-8575-64DF2017225D}"/>
    <cellStyle name="Millares [0] 2 2 3 12" xfId="15369" xr:uid="{4706F90B-3ADF-4809-ACF3-34A5A186BEC4}"/>
    <cellStyle name="Millares [0] 2 2 3 13" xfId="15935" xr:uid="{FB5D403D-A17B-4370-AA29-DD6C444D1B25}"/>
    <cellStyle name="Millares [0] 2 2 3 14" xfId="16478" xr:uid="{F27D130A-C9DA-4FA4-ACDC-E03ECE31249E}"/>
    <cellStyle name="Millares [0] 2 2 3 15" xfId="17022" xr:uid="{F311DD36-A391-435C-9CBE-E4256BF5B2A3}"/>
    <cellStyle name="Millares [0] 2 2 3 16" xfId="17512" xr:uid="{E5E2CE7A-1456-43F6-9FE3-E470412F6FEF}"/>
    <cellStyle name="Millares [0] 2 2 3 17" xfId="17932" xr:uid="{72078E4D-30BF-468E-B1F3-519744689DDC}"/>
    <cellStyle name="Millares [0] 2 2 3 18" xfId="42075" xr:uid="{BBA48F8B-3244-4C53-839C-86FF50D66A06}"/>
    <cellStyle name="Millares [0] 2 2 3 19" xfId="42516" xr:uid="{04F2D31E-8215-4CA6-B97A-078D0950778B}"/>
    <cellStyle name="Millares [0] 2 2 3 2" xfId="298" xr:uid="{00000000-0005-0000-0000-0000FE000000}"/>
    <cellStyle name="Millares [0] 2 2 3 2 10" xfId="16582" xr:uid="{7BBF9054-22D5-4126-B0B6-88FFA3769932}"/>
    <cellStyle name="Millares [0] 2 2 3 2 11" xfId="17126" xr:uid="{2BF0C3A1-4BA2-44F2-B6E9-DD6AEC422F76}"/>
    <cellStyle name="Millares [0] 2 2 3 2 12" xfId="18428" xr:uid="{2A919A56-3214-4B07-A146-D9013AF7C74C}"/>
    <cellStyle name="Millares [0] 2 2 3 2 13" xfId="17607" xr:uid="{ED803B32-F4A5-4678-8225-E3AC36F94B2F}"/>
    <cellStyle name="Millares [0] 2 2 3 2 14" xfId="42620" xr:uid="{0F3FD43C-8E94-4AB1-86E2-9C7B486239DA}"/>
    <cellStyle name="Millares [0] 2 2 3 2 15" xfId="47513" xr:uid="{0207A406-807C-4DF7-8F3D-54624BC8CB3D}"/>
    <cellStyle name="Millares [0] 2 2 3 2 16" xfId="50362" xr:uid="{21918355-C250-4F79-B119-084B8A630AD1}"/>
    <cellStyle name="Millares [0] 2 2 3 2 2" xfId="525" xr:uid="{00000000-0005-0000-0000-0000FF000000}"/>
    <cellStyle name="Millares [0] 2 2 3 2 2 10" xfId="17338" xr:uid="{9B3F1C6D-405F-4379-8121-BD2A1631062F}"/>
    <cellStyle name="Millares [0] 2 2 3 2 2 11" xfId="41660" xr:uid="{47036324-3665-4333-8442-C0BD5A68F919}"/>
    <cellStyle name="Millares [0] 2 2 3 2 2 12" xfId="23039" xr:uid="{436C5690-6E45-42E3-A028-DFF198486108}"/>
    <cellStyle name="Millares [0] 2 2 3 2 2 13" xfId="42832" xr:uid="{317FA566-0C7E-4B4C-B115-D2E526AA38D1}"/>
    <cellStyle name="Millares [0] 2 2 3 2 2 14" xfId="47725" xr:uid="{54B11AAD-7C5E-4101-98AA-F1C28592760D}"/>
    <cellStyle name="Millares [0] 2 2 3 2 2 2" xfId="2341" xr:uid="{1EF5E6B9-614D-4A70-B19C-4076D9B897AD}"/>
    <cellStyle name="Millares [0] 2 2 3 2 2 2 2" xfId="10612" xr:uid="{EEC42B19-161F-4579-92DF-73FD76AB061E}"/>
    <cellStyle name="Millares [0] 2 2 3 2 2 2 2 2" xfId="45772" xr:uid="{CBA9303D-98DF-4005-92F4-FA8574D2A31B}"/>
    <cellStyle name="Millares [0] 2 2 3 2 2 2 3" xfId="13452" xr:uid="{3272528C-7032-401E-B482-6FBCEEF5FB41}"/>
    <cellStyle name="Millares [0] 2 2 3 2 2 2 4" xfId="43376" xr:uid="{77D2C877-A02D-407C-B5D8-F4BD8371AB11}"/>
    <cellStyle name="Millares [0] 2 2 3 2 2 2 5" xfId="48269" xr:uid="{D9A02FFF-7010-4BFF-99C6-CA118494EE70}"/>
    <cellStyle name="Millares [0] 2 2 3 2 2 3" xfId="2759" xr:uid="{99457798-963D-4367-82EC-6C1BA3D4CF6F}"/>
    <cellStyle name="Millares [0] 2 2 3 2 2 3 2" xfId="11030" xr:uid="{3EC73CE9-42F4-4B44-893E-E115DA8970A4}"/>
    <cellStyle name="Millares [0] 2 2 3 2 2 3 2 2" xfId="46190" xr:uid="{1BE8A3B2-357F-4C12-B6A2-BF6D2F208465}"/>
    <cellStyle name="Millares [0] 2 2 3 2 2 3 3" xfId="13870" xr:uid="{9CB2B35F-6CCB-45E6-AF07-D9E266200C43}"/>
    <cellStyle name="Millares [0] 2 2 3 2 2 3 4" xfId="43794" xr:uid="{9D749231-9DA6-4D81-8639-C99A4035B4B8}"/>
    <cellStyle name="Millares [0] 2 2 3 2 2 3 5" xfId="48687" xr:uid="{57A34690-059D-448E-AD5F-2ECA1ABA9173}"/>
    <cellStyle name="Millares [0] 2 2 3 2 2 4" xfId="3303" xr:uid="{3976C433-7038-4376-8E50-CB8689311DBB}"/>
    <cellStyle name="Millares [0] 2 2 3 2 2 4 2" xfId="11574" xr:uid="{FEBB1990-2D53-4400-B91C-EC916751996E}"/>
    <cellStyle name="Millares [0] 2 2 3 2 2 4 2 2" xfId="46734" xr:uid="{986132E2-367E-4510-98C0-A56B7754022B}"/>
    <cellStyle name="Millares [0] 2 2 3 2 2 4 3" xfId="14414" xr:uid="{C7E4CFA6-4895-435A-BAB5-B2EC6163FA6C}"/>
    <cellStyle name="Millares [0] 2 2 3 2 2 4 4" xfId="44338" xr:uid="{746CF319-659F-4AB0-9E0E-AC57CBEA162E}"/>
    <cellStyle name="Millares [0] 2 2 3 2 2 4 5" xfId="49231" xr:uid="{58C25944-4A04-41C2-8CF5-C2F31058AE24}"/>
    <cellStyle name="Millares [0] 2 2 3 2 2 5" xfId="3805" xr:uid="{7AF83AE8-F82B-421A-9727-FBDEC1165FD1}"/>
    <cellStyle name="Millares [0] 2 2 3 2 2 5 2" xfId="12046" xr:uid="{8AF1BD02-7567-4844-A65E-ADBF80A84516}"/>
    <cellStyle name="Millares [0] 2 2 3 2 2 5 3" xfId="14886" xr:uid="{8A6EA802-BE8A-470E-9B08-61E1B9C43277}"/>
    <cellStyle name="Millares [0] 2 2 3 2 2 5 4" xfId="44810" xr:uid="{64B3532B-55BA-4CD5-BD34-D243D44FA93E}"/>
    <cellStyle name="Millares [0] 2 2 3 2 2 5 5" xfId="49703" xr:uid="{2B6FCAFD-B89E-4BED-93A7-F0A3F2C18CB7}"/>
    <cellStyle name="Millares [0] 2 2 3 2 2 6" xfId="10068" xr:uid="{03987F22-1CC2-4E75-ABD3-42EA9F3134B7}"/>
    <cellStyle name="Millares [0] 2 2 3 2 2 6 2" xfId="45228" xr:uid="{C1EDFA07-D995-4FAB-AF3F-3C08B2249BE8}"/>
    <cellStyle name="Millares [0] 2 2 3 2 2 7" xfId="12908" xr:uid="{1BF7368C-33E3-4D74-927B-227FE4F3A3B2}"/>
    <cellStyle name="Millares [0] 2 2 3 2 2 8" xfId="16251" xr:uid="{B63EBD1F-123A-4A0F-B3E6-C55DE568AF7F}"/>
    <cellStyle name="Millares [0] 2 2 3 2 2 9" xfId="16794" xr:uid="{0446D2E2-DDC0-4C39-B088-83AE8F5616C7}"/>
    <cellStyle name="Millares [0] 2 2 3 2 3" xfId="2129" xr:uid="{D2A0706E-BBE5-4D52-8AC1-FC5BDE59DE2A}"/>
    <cellStyle name="Millares [0] 2 2 3 2 3 2" xfId="10400" xr:uid="{D109CEA6-FB97-4F72-A162-0EF90494AE47}"/>
    <cellStyle name="Millares [0] 2 2 3 2 3 2 2" xfId="45560" xr:uid="{3BD22E56-924B-42E3-A255-EA3B06671078}"/>
    <cellStyle name="Millares [0] 2 2 3 2 3 3" xfId="13240" xr:uid="{4AFD80AD-A4FC-439F-A0CE-064C7C0132DE}"/>
    <cellStyle name="Millares [0] 2 2 3 2 3 4" xfId="43164" xr:uid="{07E87A37-2672-43EE-A9BC-D6CF54EAE3FB}"/>
    <cellStyle name="Millares [0] 2 2 3 2 3 5" xfId="48057" xr:uid="{FA3836B8-5FE8-4A78-BF51-3360AECDF9D6}"/>
    <cellStyle name="Millares [0] 2 2 3 2 4" xfId="2547" xr:uid="{C92EB110-3302-45C2-9E9E-0CF08AC9F268}"/>
    <cellStyle name="Millares [0] 2 2 3 2 4 2" xfId="10818" xr:uid="{104AC497-8EE1-4969-BC05-6941D5CF1046}"/>
    <cellStyle name="Millares [0] 2 2 3 2 4 2 2" xfId="45978" xr:uid="{07DA1518-3966-49DB-919E-24912E56552E}"/>
    <cellStyle name="Millares [0] 2 2 3 2 4 3" xfId="13658" xr:uid="{3847AA30-224D-4143-A9E8-4C709F4A10C9}"/>
    <cellStyle name="Millares [0] 2 2 3 2 4 4" xfId="43582" xr:uid="{844DCBC5-7785-46A4-9D71-C9938FEC68BD}"/>
    <cellStyle name="Millares [0] 2 2 3 2 4 5" xfId="48475" xr:uid="{231BF882-9645-4C59-95B2-912B4018E6EA}"/>
    <cellStyle name="Millares [0] 2 2 3 2 5" xfId="3091" xr:uid="{E084C2B5-299C-45D0-91D4-98E1798FE53A}"/>
    <cellStyle name="Millares [0] 2 2 3 2 5 2" xfId="11362" xr:uid="{DD08AB7F-B146-4F01-AD7C-4DB2FD202230}"/>
    <cellStyle name="Millares [0] 2 2 3 2 5 2 2" xfId="46522" xr:uid="{EBE1162D-8902-4782-AAD1-8819081A22E9}"/>
    <cellStyle name="Millares [0] 2 2 3 2 5 3" xfId="14202" xr:uid="{EE8CDE25-6166-49B0-87B6-731EE6EDA7EF}"/>
    <cellStyle name="Millares [0] 2 2 3 2 5 4" xfId="44126" xr:uid="{5ECD5ADD-3EBE-4483-B8D2-54750B84C0AE}"/>
    <cellStyle name="Millares [0] 2 2 3 2 5 5" xfId="49019" xr:uid="{629C8025-2A93-456B-9AEE-C3D61A42F452}"/>
    <cellStyle name="Millares [0] 2 2 3 2 6" xfId="3593" xr:uid="{38B66228-E8A3-445D-A581-1D991060878A}"/>
    <cellStyle name="Millares [0] 2 2 3 2 6 2" xfId="11834" xr:uid="{66D07C74-8048-4A1A-85AE-8E93B5397C2E}"/>
    <cellStyle name="Millares [0] 2 2 3 2 6 3" xfId="14674" xr:uid="{4059E06E-0EE1-4738-838E-8FDC15B31A49}"/>
    <cellStyle name="Millares [0] 2 2 3 2 6 4" xfId="44598" xr:uid="{37E75AC4-74B5-41C2-A60B-97C6F1B1E11C}"/>
    <cellStyle name="Millares [0] 2 2 3 2 6 5" xfId="49491" xr:uid="{AA45EE5E-A049-4BBC-8B62-1971D1535F6F}"/>
    <cellStyle name="Millares [0] 2 2 3 2 7" xfId="9856" xr:uid="{CBC3C474-98F2-4AA0-884E-434817684819}"/>
    <cellStyle name="Millares [0] 2 2 3 2 7 2" xfId="45016" xr:uid="{512135CF-F07B-4425-B8F9-47AA25098D67}"/>
    <cellStyle name="Millares [0] 2 2 3 2 8" xfId="12696" xr:uid="{973DA614-CE33-4D8A-9F89-238172874E01}"/>
    <cellStyle name="Millares [0] 2 2 3 2 9" xfId="16039" xr:uid="{42EC8E73-2833-4BEE-B2FB-88E2A7A723EE}"/>
    <cellStyle name="Millares [0] 2 2 3 20" xfId="47409" xr:uid="{4ECD05FE-FBB8-4D0C-9AE4-F107AFD53CBC}"/>
    <cellStyle name="Millares [0] 2 2 3 21" xfId="50216" xr:uid="{797FEC35-F0C8-41FB-B52E-DCDE7BA0C5F3}"/>
    <cellStyle name="Millares [0] 2 2 3 22" xfId="50290" xr:uid="{458E31F2-5427-4BA3-BCEC-041A5F929A87}"/>
    <cellStyle name="Millares [0] 2 2 3 3" xfId="424" xr:uid="{00000000-0005-0000-0000-000000010000}"/>
    <cellStyle name="Millares [0] 2 2 3 3 10" xfId="17238" xr:uid="{2E473A99-AC64-4611-B2A9-6EA6074A5A32}"/>
    <cellStyle name="Millares [0] 2 2 3 3 11" xfId="24137" xr:uid="{F322B482-C0E9-4D8A-878C-2313ADD7B565}"/>
    <cellStyle name="Millares [0] 2 2 3 3 12" xfId="17593" xr:uid="{7FF916BA-81B2-454D-9A63-FA8FAD76C6D8}"/>
    <cellStyle name="Millares [0] 2 2 3 3 13" xfId="42732" xr:uid="{2A6FE1F0-5AD1-45A0-94F4-41C95A44121A}"/>
    <cellStyle name="Millares [0] 2 2 3 3 14" xfId="47625" xr:uid="{8EAF5F93-9696-46B3-84CC-D371353DC233}"/>
    <cellStyle name="Millares [0] 2 2 3 3 2" xfId="2241" xr:uid="{59440E3B-FDCC-4077-82C9-934D59FDA51B}"/>
    <cellStyle name="Millares [0] 2 2 3 3 2 2" xfId="10512" xr:uid="{5661C759-E5BF-4A7E-A847-DE4707CB9F96}"/>
    <cellStyle name="Millares [0] 2 2 3 3 2 2 2" xfId="45672" xr:uid="{F9FA9191-C891-46D0-9C51-208B8108C92A}"/>
    <cellStyle name="Millares [0] 2 2 3 3 2 3" xfId="13352" xr:uid="{34423B48-66B6-4D09-9BAE-BAE3CB51C87A}"/>
    <cellStyle name="Millares [0] 2 2 3 3 2 4" xfId="43276" xr:uid="{7282B2FC-FCB8-4D4B-B125-D474AC395F0C}"/>
    <cellStyle name="Millares [0] 2 2 3 3 2 5" xfId="48169" xr:uid="{2197B16C-115B-422F-8C56-3987127C0F09}"/>
    <cellStyle name="Millares [0] 2 2 3 3 3" xfId="2659" xr:uid="{30CE69D0-1BE5-4A3F-81EA-E586C38A5D1B}"/>
    <cellStyle name="Millares [0] 2 2 3 3 3 2" xfId="10930" xr:uid="{139066CA-C849-453F-8400-EAB2254C6E79}"/>
    <cellStyle name="Millares [0] 2 2 3 3 3 2 2" xfId="46090" xr:uid="{EFB0B919-77CD-44F0-A880-2900A4D9CF2F}"/>
    <cellStyle name="Millares [0] 2 2 3 3 3 3" xfId="13770" xr:uid="{F11B36A2-4559-427E-897F-346F914EE090}"/>
    <cellStyle name="Millares [0] 2 2 3 3 3 4" xfId="43694" xr:uid="{A9834765-BD6C-47F8-A0A6-2638EE070CD7}"/>
    <cellStyle name="Millares [0] 2 2 3 3 3 5" xfId="48587" xr:uid="{F8A9078A-6243-49D4-BB1B-E92F02576A47}"/>
    <cellStyle name="Millares [0] 2 2 3 3 4" xfId="3203" xr:uid="{8CD2DCEC-03C8-4495-BCB4-65167EDE5DD1}"/>
    <cellStyle name="Millares [0] 2 2 3 3 4 2" xfId="11474" xr:uid="{8D340ACA-485F-4DAA-8255-B8921A0912B8}"/>
    <cellStyle name="Millares [0] 2 2 3 3 4 2 2" xfId="46634" xr:uid="{7B654DD4-A272-4ECE-A0A1-78BCB00F5F8C}"/>
    <cellStyle name="Millares [0] 2 2 3 3 4 3" xfId="14314" xr:uid="{8BFB4D41-FE81-4341-9F94-38E6D472FFFE}"/>
    <cellStyle name="Millares [0] 2 2 3 3 4 4" xfId="44238" xr:uid="{AA2A9314-BD81-4C85-9596-2CDF9AB80D7C}"/>
    <cellStyle name="Millares [0] 2 2 3 3 4 5" xfId="49131" xr:uid="{5CD5F0E2-13AE-439A-A300-F6DB1FC30A10}"/>
    <cellStyle name="Millares [0] 2 2 3 3 5" xfId="3705" xr:uid="{C3B664EB-2A54-49A6-B915-500A67A51FD4}"/>
    <cellStyle name="Millares [0] 2 2 3 3 5 2" xfId="11946" xr:uid="{827C8555-D4ED-459C-B8A7-5F7069BF084E}"/>
    <cellStyle name="Millares [0] 2 2 3 3 5 3" xfId="14786" xr:uid="{C3AB36D7-F446-416E-BBCF-F016D946E23C}"/>
    <cellStyle name="Millares [0] 2 2 3 3 5 4" xfId="44710" xr:uid="{B6B90384-B183-4506-8EAB-0F3BA0A5A17C}"/>
    <cellStyle name="Millares [0] 2 2 3 3 5 5" xfId="49603" xr:uid="{79665E73-EAD2-4529-9195-4CBF180BE343}"/>
    <cellStyle name="Millares [0] 2 2 3 3 6" xfId="9968" xr:uid="{FB43A562-0E79-4408-AB95-AC46B55327DB}"/>
    <cellStyle name="Millares [0] 2 2 3 3 6 2" xfId="45128" xr:uid="{FCDE025D-947E-432D-902E-FDDB24C378B4}"/>
    <cellStyle name="Millares [0] 2 2 3 3 7" xfId="12808" xr:uid="{F12531E9-25CC-482D-A0DB-20AF61B0C870}"/>
    <cellStyle name="Millares [0] 2 2 3 3 8" xfId="16151" xr:uid="{DE67E1C6-AE20-4DFB-8B9A-066D3F6DE362}"/>
    <cellStyle name="Millares [0] 2 2 3 3 9" xfId="16694" xr:uid="{9382DB48-B376-4B64-91AA-E9903CAE2DB7}"/>
    <cellStyle name="Millares [0] 2 2 3 4" xfId="627" xr:uid="{00000000-0005-0000-0000-000001010000}"/>
    <cellStyle name="Millares [0] 2 2 3 4 10" xfId="42934" xr:uid="{CE78F631-ED4B-4048-8C8C-CC057653D3A7}"/>
    <cellStyle name="Millares [0] 2 2 3 4 11" xfId="47827" xr:uid="{4257639C-8731-4DCC-838E-A379892BEB41}"/>
    <cellStyle name="Millares [0] 2 2 3 4 2" xfId="2861" xr:uid="{7C769BAB-4BF7-4722-BC43-5CF3F9AC16D8}"/>
    <cellStyle name="Millares [0] 2 2 3 4 2 2" xfId="11132" xr:uid="{7A1625C3-A15C-4E8C-B48E-CD7D34C61C93}"/>
    <cellStyle name="Millares [0] 2 2 3 4 2 2 2" xfId="46292" xr:uid="{F825B937-EB48-44C3-9CA5-77FB2CA55174}"/>
    <cellStyle name="Millares [0] 2 2 3 4 2 3" xfId="13972" xr:uid="{7A381A0A-5B1B-4D07-9037-90F47797B40D}"/>
    <cellStyle name="Millares [0] 2 2 3 4 2 4" xfId="43896" xr:uid="{9FFAC097-09C0-4AF9-A9AE-FB5FE1408199}"/>
    <cellStyle name="Millares [0] 2 2 3 4 2 5" xfId="48789" xr:uid="{00723277-6836-49AF-A86E-C10A3C735804}"/>
    <cellStyle name="Millares [0] 2 2 3 4 3" xfId="10170" xr:uid="{5DB12531-A183-45A4-A974-DEEBD005F1E7}"/>
    <cellStyle name="Millares [0] 2 2 3 4 3 2" xfId="45330" xr:uid="{09D41E6A-889A-4CEB-882C-7467435E4F8F}"/>
    <cellStyle name="Millares [0] 2 2 3 4 4" xfId="13010" xr:uid="{F21478AC-0F7A-4D18-B6A8-01D1B848F00A}"/>
    <cellStyle name="Millares [0] 2 2 3 4 5" xfId="16353" xr:uid="{BFEFBF04-A00B-4488-8CCB-19992465D727}"/>
    <cellStyle name="Millares [0] 2 2 3 4 6" xfId="16896" xr:uid="{E2416780-8C9A-4FCB-B34F-B1672CC42D5B}"/>
    <cellStyle name="Millares [0] 2 2 3 4 7" xfId="17440" xr:uid="{F7A4C6AE-7808-414B-AEED-A689B174E276}"/>
    <cellStyle name="Millares [0] 2 2 3 4 8" xfId="30015" xr:uid="{28E8DFA9-78A8-48DE-8406-84A4A2689DBC}"/>
    <cellStyle name="Millares [0] 2 2 3 4 9" xfId="17841" xr:uid="{11267FB4-07BC-43A3-82A5-02D4462F02AE}"/>
    <cellStyle name="Millares [0] 2 2 3 5" xfId="2025" xr:uid="{F7DB0631-1A21-4D80-8D79-B49A84BEEC63}"/>
    <cellStyle name="Millares [0] 2 2 3 5 2" xfId="10296" xr:uid="{FDE065CE-7A91-4C66-96CC-D2C75BD1EDF7}"/>
    <cellStyle name="Millares [0] 2 2 3 5 2 2" xfId="45456" xr:uid="{71CB38FA-D405-45CF-B054-2AFC22C3FD05}"/>
    <cellStyle name="Millares [0] 2 2 3 5 3" xfId="13136" xr:uid="{4C166169-94B6-4285-ABC5-D31F1F43B9CE}"/>
    <cellStyle name="Millares [0] 2 2 3 5 4" xfId="35896" xr:uid="{8BFC085F-A2B5-4817-A56C-B1A88D62F41C}"/>
    <cellStyle name="Millares [0] 2 2 3 5 5" xfId="43060" xr:uid="{C747A3BC-5989-43DD-9AC8-0BF84B553F66}"/>
    <cellStyle name="Millares [0] 2 2 3 5 6" xfId="47953" xr:uid="{E6D04009-48BC-4B45-BAB6-28048BBE3FAF}"/>
    <cellStyle name="Millares [0] 2 2 3 6" xfId="2443" xr:uid="{2D3DD081-CFB4-453A-A15A-7100EE9DE004}"/>
    <cellStyle name="Millares [0] 2 2 3 6 2" xfId="10714" xr:uid="{8A39B952-EC84-4821-9459-7E518699C11B}"/>
    <cellStyle name="Millares [0] 2 2 3 6 2 2" xfId="45874" xr:uid="{146B3FC7-2938-4C3B-85A2-21EF22A7F58A}"/>
    <cellStyle name="Millares [0] 2 2 3 6 3" xfId="13554" xr:uid="{15D172D0-1D31-47E0-BBDC-049B24718245}"/>
    <cellStyle name="Millares [0] 2 2 3 6 4" xfId="43478" xr:uid="{5E5A2CCF-BFFB-4796-B6B9-4FC32B2AEC5D}"/>
    <cellStyle name="Millares [0] 2 2 3 6 5" xfId="48371" xr:uid="{89892D62-ABE5-41BE-87FE-A69DAA55E492}"/>
    <cellStyle name="Millares [0] 2 2 3 7" xfId="2987" xr:uid="{65DDCBFB-90B0-47FF-88DE-95C5AA6C1569}"/>
    <cellStyle name="Millares [0] 2 2 3 7 2" xfId="11258" xr:uid="{82A2378E-AB91-46FA-8B2B-7FEC6557AB5A}"/>
    <cellStyle name="Millares [0] 2 2 3 7 2 2" xfId="46418" xr:uid="{110C06B5-5FCF-47C9-93FF-5B8E63ECC2D2}"/>
    <cellStyle name="Millares [0] 2 2 3 7 3" xfId="14098" xr:uid="{A35E034A-445B-46C1-A010-5115EEC6F259}"/>
    <cellStyle name="Millares [0] 2 2 3 7 4" xfId="44022" xr:uid="{9FDAAF6E-7844-476D-A0E0-30A5582CB76A}"/>
    <cellStyle name="Millares [0] 2 2 3 7 5" xfId="48915" xr:uid="{85917342-5609-4726-BB09-1FC78EB233B8}"/>
    <cellStyle name="Millares [0] 2 2 3 8" xfId="3489" xr:uid="{12AD5DA1-26CB-49D2-BD9D-3E0251467A03}"/>
    <cellStyle name="Millares [0] 2 2 3 8 2" xfId="11730" xr:uid="{AA67E7F9-5449-4123-9E02-E4F9B3AB02A8}"/>
    <cellStyle name="Millares [0] 2 2 3 8 3" xfId="14570" xr:uid="{66991CCB-8BF8-43C8-AA6E-E6924F2CB9E6}"/>
    <cellStyle name="Millares [0] 2 2 3 8 4" xfId="44494" xr:uid="{B9B6DCF1-2E7E-4E23-A71C-29C58013C6B3}"/>
    <cellStyle name="Millares [0] 2 2 3 8 5" xfId="49387" xr:uid="{D1E7BB2E-F75F-4AB6-A766-8AD87E5DB8B1}"/>
    <cellStyle name="Millares [0] 2 2 3 9" xfId="3904" xr:uid="{EFCEE903-94BB-4AC1-9CB0-7AFC755AF937}"/>
    <cellStyle name="Millares [0] 2 2 3 9 2" xfId="12083" xr:uid="{3CCFA70D-9C92-420D-8912-DE5924A2C987}"/>
    <cellStyle name="Millares [0] 2 2 3 9 3" xfId="14924" xr:uid="{E4FA8FE6-928C-4FB8-8B8E-44F9C3BA6C20}"/>
    <cellStyle name="Millares [0] 2 2 3 9 4" xfId="44912" xr:uid="{F69934D6-23CF-4FA4-B3DF-48D5D8F09D89}"/>
    <cellStyle name="Millares [0] 2 2 3 9 5" xfId="49740" xr:uid="{4B2A451E-3267-4943-AD13-065F8CEE213F}"/>
    <cellStyle name="Millares [0] 2 2 4" xfId="142" xr:uid="{00000000-0005-0000-0000-000002010000}"/>
    <cellStyle name="Millares [0] 2 2 4 10" xfId="9710" xr:uid="{C32D319E-54DF-454A-B680-AAE25A7D7600}"/>
    <cellStyle name="Millares [0] 2 2 4 11" xfId="12550" xr:uid="{FB4CB521-C364-4425-8939-2FDDFC24EC71}"/>
    <cellStyle name="Millares [0] 2 2 4 12" xfId="15383" xr:uid="{923AA829-5FDE-49C2-AA25-62FDEE5ACE35}"/>
    <cellStyle name="Millares [0] 2 2 4 13" xfId="15893" xr:uid="{739BF292-6800-48D3-A5C0-557742B78DE1}"/>
    <cellStyle name="Millares [0] 2 2 4 14" xfId="16436" xr:uid="{84FD1910-3F07-4C81-9E37-7DA154D31F76}"/>
    <cellStyle name="Millares [0] 2 2 4 15" xfId="16980" xr:uid="{5BFA55F0-3904-4781-9B57-A5B357BAD966}"/>
    <cellStyle name="Millares [0] 2 2 4 16" xfId="17532" xr:uid="{97F41DD5-2EDA-48E9-B856-402A1F0CB166}"/>
    <cellStyle name="Millares [0] 2 2 4 17" xfId="18011" xr:uid="{D5C9F6B8-5F2C-402C-9826-990EE25AD6C8}"/>
    <cellStyle name="Millares [0] 2 2 4 18" xfId="42474" xr:uid="{81CE7465-F26E-4750-B292-DC4719B9A229}"/>
    <cellStyle name="Millares [0] 2 2 4 19" xfId="47367" xr:uid="{E63DEAAB-8AF3-437B-B54F-5CD8CB00BB18}"/>
    <cellStyle name="Millares [0] 2 2 4 2" xfId="256" xr:uid="{00000000-0005-0000-0000-000003010000}"/>
    <cellStyle name="Millares [0] 2 2 4 2 10" xfId="16540" xr:uid="{659205AE-6874-44DD-974D-61F9B0140A4D}"/>
    <cellStyle name="Millares [0] 2 2 4 2 11" xfId="17084" xr:uid="{8DA0202B-85F0-4E6F-A09B-C3F073B6DEA6}"/>
    <cellStyle name="Millares [0] 2 2 4 2 12" xfId="18531" xr:uid="{C0B9404B-2DEC-4D9A-9D36-BFE4697728AE}"/>
    <cellStyle name="Millares [0] 2 2 4 2 13" xfId="17653" xr:uid="{DD5EF074-5AFD-4E25-AEEA-B7EF89EF9C6D}"/>
    <cellStyle name="Millares [0] 2 2 4 2 14" xfId="42578" xr:uid="{63B94370-A7E5-4BC4-992C-FC218757F758}"/>
    <cellStyle name="Millares [0] 2 2 4 2 15" xfId="47471" xr:uid="{4BED7360-CD57-44DF-AEEB-19B9E14408CB}"/>
    <cellStyle name="Millares [0] 2 2 4 2 2" xfId="483" xr:uid="{00000000-0005-0000-0000-000004010000}"/>
    <cellStyle name="Millares [0] 2 2 4 2 2 10" xfId="17296" xr:uid="{371118D8-70B5-4941-9412-194754D9CF63}"/>
    <cellStyle name="Millares [0] 2 2 4 2 2 11" xfId="41674" xr:uid="{82F0F3E1-02DC-4928-B0FC-1C23C1035565}"/>
    <cellStyle name="Millares [0] 2 2 4 2 2 12" xfId="17987" xr:uid="{8899BE32-C513-4767-BEB9-826CC9952A42}"/>
    <cellStyle name="Millares [0] 2 2 4 2 2 13" xfId="42790" xr:uid="{9640A2BD-68B0-4C90-AD81-5485CC454036}"/>
    <cellStyle name="Millares [0] 2 2 4 2 2 14" xfId="47683" xr:uid="{AE45A93D-C68B-499F-A46C-B1EED4D58BA5}"/>
    <cellStyle name="Millares [0] 2 2 4 2 2 2" xfId="2299" xr:uid="{7CDC0E23-D818-4EAA-AEA9-4EADA3209E4B}"/>
    <cellStyle name="Millares [0] 2 2 4 2 2 2 2" xfId="10570" xr:uid="{5B617C2B-C366-4430-98F4-750C22C9E36C}"/>
    <cellStyle name="Millares [0] 2 2 4 2 2 2 2 2" xfId="45730" xr:uid="{1DF4A168-0FD7-4B04-ADFF-91C579BEBEE8}"/>
    <cellStyle name="Millares [0] 2 2 4 2 2 2 3" xfId="13410" xr:uid="{A63F633E-F522-4ED2-870C-79D6CB0F8D58}"/>
    <cellStyle name="Millares [0] 2 2 4 2 2 2 4" xfId="43334" xr:uid="{A15FB21F-F764-4545-AEE4-ED039A828E54}"/>
    <cellStyle name="Millares [0] 2 2 4 2 2 2 5" xfId="48227" xr:uid="{90257C4C-E3D6-4B59-8B6A-D7C6FD4D3609}"/>
    <cellStyle name="Millares [0] 2 2 4 2 2 3" xfId="2717" xr:uid="{E6135197-518E-4066-AF11-309DBD062ED3}"/>
    <cellStyle name="Millares [0] 2 2 4 2 2 3 2" xfId="10988" xr:uid="{A69E5E29-5AA8-49E5-88B6-8C2AD7C194CA}"/>
    <cellStyle name="Millares [0] 2 2 4 2 2 3 2 2" xfId="46148" xr:uid="{D767D6C5-5BF1-4C2D-BD4C-91E319D9715F}"/>
    <cellStyle name="Millares [0] 2 2 4 2 2 3 3" xfId="13828" xr:uid="{9BE9363C-287C-42A7-B8C5-4703D9898913}"/>
    <cellStyle name="Millares [0] 2 2 4 2 2 3 4" xfId="43752" xr:uid="{2663FAF7-6289-4C19-93FB-5B6DAB1C2C88}"/>
    <cellStyle name="Millares [0] 2 2 4 2 2 3 5" xfId="48645" xr:uid="{025A8F0B-2131-4150-9EDC-30FF93148DA1}"/>
    <cellStyle name="Millares [0] 2 2 4 2 2 4" xfId="3261" xr:uid="{8925C802-8BA4-40A1-9311-9DECDA05BCA2}"/>
    <cellStyle name="Millares [0] 2 2 4 2 2 4 2" xfId="11532" xr:uid="{AE529E1B-F6C3-4D40-A83B-1AF3E2149C7B}"/>
    <cellStyle name="Millares [0] 2 2 4 2 2 4 2 2" xfId="46692" xr:uid="{952781DD-08AD-491D-AA36-5CF1273DC2C3}"/>
    <cellStyle name="Millares [0] 2 2 4 2 2 4 3" xfId="14372" xr:uid="{D60DAF99-2A79-410D-B0D5-B04C95761CF5}"/>
    <cellStyle name="Millares [0] 2 2 4 2 2 4 4" xfId="44296" xr:uid="{A700818B-AA53-424A-A7D6-48EC7E27E873}"/>
    <cellStyle name="Millares [0] 2 2 4 2 2 4 5" xfId="49189" xr:uid="{48CE2F69-5CA8-4E4E-9091-72CF1C781505}"/>
    <cellStyle name="Millares [0] 2 2 4 2 2 5" xfId="3763" xr:uid="{F707CDC4-FF0C-41A9-9C01-CF1017E23F38}"/>
    <cellStyle name="Millares [0] 2 2 4 2 2 5 2" xfId="12004" xr:uid="{31AFFD0A-72F3-433B-8739-53350AE8F1F0}"/>
    <cellStyle name="Millares [0] 2 2 4 2 2 5 3" xfId="14844" xr:uid="{7843CECA-5419-4CD9-8605-D8DE6D5C291A}"/>
    <cellStyle name="Millares [0] 2 2 4 2 2 5 4" xfId="44768" xr:uid="{87403E54-F697-4A77-850E-32BA29417787}"/>
    <cellStyle name="Millares [0] 2 2 4 2 2 5 5" xfId="49661" xr:uid="{A2143255-2AB2-44B0-8AFC-06EE06BE7CB4}"/>
    <cellStyle name="Millares [0] 2 2 4 2 2 6" xfId="10026" xr:uid="{AE33FE58-08DA-4E30-8019-41193CCBC498}"/>
    <cellStyle name="Millares [0] 2 2 4 2 2 6 2" xfId="45186" xr:uid="{B06382FB-13D0-44A3-BE89-67D087DBFEBA}"/>
    <cellStyle name="Millares [0] 2 2 4 2 2 7" xfId="12866" xr:uid="{9194AFD3-144C-49E5-BD4D-3F43BD5937E2}"/>
    <cellStyle name="Millares [0] 2 2 4 2 2 8" xfId="16209" xr:uid="{970CDD65-433D-46E2-9DAD-447F13368BD0}"/>
    <cellStyle name="Millares [0] 2 2 4 2 2 9" xfId="16752" xr:uid="{8C4E0C62-A464-4578-9169-6BE332009EBE}"/>
    <cellStyle name="Millares [0] 2 2 4 2 3" xfId="2087" xr:uid="{E1DE2632-0A10-4C36-8207-B80870E82077}"/>
    <cellStyle name="Millares [0] 2 2 4 2 3 2" xfId="10358" xr:uid="{BAA4746E-1470-4BB6-A355-7F7DDB294A69}"/>
    <cellStyle name="Millares [0] 2 2 4 2 3 2 2" xfId="45518" xr:uid="{E6AB4D27-C1E8-4491-9164-E4DB809E92B5}"/>
    <cellStyle name="Millares [0] 2 2 4 2 3 3" xfId="13198" xr:uid="{6EED9362-5295-4E29-B891-D7FEE702A194}"/>
    <cellStyle name="Millares [0] 2 2 4 2 3 4" xfId="43122" xr:uid="{90EE3C06-A649-4BC1-BE67-95422FE4C66F}"/>
    <cellStyle name="Millares [0] 2 2 4 2 3 5" xfId="48015" xr:uid="{8EB93588-12CE-42AE-AAF6-E209E2167235}"/>
    <cellStyle name="Millares [0] 2 2 4 2 4" xfId="2505" xr:uid="{0F4AF54A-6A5A-4AE5-8EBF-2012FD27A4CC}"/>
    <cellStyle name="Millares [0] 2 2 4 2 4 2" xfId="10776" xr:uid="{795FE364-6261-40F3-8AAC-B12DAF02B986}"/>
    <cellStyle name="Millares [0] 2 2 4 2 4 2 2" xfId="45936" xr:uid="{2A7A88D5-DD01-45D5-B541-D79295AA648F}"/>
    <cellStyle name="Millares [0] 2 2 4 2 4 3" xfId="13616" xr:uid="{1609EB1E-DA18-44B5-BAF6-A04C67708555}"/>
    <cellStyle name="Millares [0] 2 2 4 2 4 4" xfId="43540" xr:uid="{D7C907EB-DDF1-450D-A9C9-44FDDA1189AA}"/>
    <cellStyle name="Millares [0] 2 2 4 2 4 5" xfId="48433" xr:uid="{546A5843-EE8D-45B4-B32E-71C617E430A2}"/>
    <cellStyle name="Millares [0] 2 2 4 2 5" xfId="3049" xr:uid="{4E139D44-9253-4892-A1EE-FA3FCD65B663}"/>
    <cellStyle name="Millares [0] 2 2 4 2 5 2" xfId="11320" xr:uid="{5C02134F-D750-4632-8CE6-973B860BA8B4}"/>
    <cellStyle name="Millares [0] 2 2 4 2 5 2 2" xfId="46480" xr:uid="{F9350E9C-50E8-4E82-B4E7-B1590B505709}"/>
    <cellStyle name="Millares [0] 2 2 4 2 5 3" xfId="14160" xr:uid="{369E7FDE-F1CC-4741-B1C6-02DC04387FAC}"/>
    <cellStyle name="Millares [0] 2 2 4 2 5 4" xfId="44084" xr:uid="{91181C12-3FA1-4B97-9DD3-72ECADE7D3CD}"/>
    <cellStyle name="Millares [0] 2 2 4 2 5 5" xfId="48977" xr:uid="{B9C9FBFA-BAE2-4BD2-A400-21D0299695DA}"/>
    <cellStyle name="Millares [0] 2 2 4 2 6" xfId="3551" xr:uid="{97538A9A-5641-41F4-91E3-EE90843C7A95}"/>
    <cellStyle name="Millares [0] 2 2 4 2 6 2" xfId="11792" xr:uid="{D134960E-CE62-41B8-9D21-D15A524BBB2F}"/>
    <cellStyle name="Millares [0] 2 2 4 2 6 3" xfId="14632" xr:uid="{061F74E0-BC46-49C1-A6BB-6E6226D3CA8E}"/>
    <cellStyle name="Millares [0] 2 2 4 2 6 4" xfId="44556" xr:uid="{F99C9219-5E3F-4128-B817-50D828F36942}"/>
    <cellStyle name="Millares [0] 2 2 4 2 6 5" xfId="49449" xr:uid="{89963D06-168B-49D9-B25A-5A53746E44F5}"/>
    <cellStyle name="Millares [0] 2 2 4 2 7" xfId="9814" xr:uid="{EECBC3BB-89B0-4B69-84FD-F0505E52FB86}"/>
    <cellStyle name="Millares [0] 2 2 4 2 7 2" xfId="44974" xr:uid="{6C4A9E5B-F31B-4FCA-B5AC-E86E3A912E74}"/>
    <cellStyle name="Millares [0] 2 2 4 2 8" xfId="12654" xr:uid="{BBC48643-3CF2-4447-836C-A6E4D46336F5}"/>
    <cellStyle name="Millares [0] 2 2 4 2 9" xfId="15997" xr:uid="{FAB87FA0-DB07-483D-8B39-25A3377B9DC0}"/>
    <cellStyle name="Millares [0] 2 2 4 20" xfId="50324" xr:uid="{1025E5BD-7000-480D-8875-48916EB4ED06}"/>
    <cellStyle name="Millares [0] 2 2 4 3" xfId="382" xr:uid="{00000000-0005-0000-0000-000005010000}"/>
    <cellStyle name="Millares [0] 2 2 4 3 10" xfId="17196" xr:uid="{C5A7109A-D20B-49E5-BB1E-364355198746}"/>
    <cellStyle name="Millares [0] 2 2 4 3 11" xfId="24241" xr:uid="{CBFB1177-EC54-4270-BCE1-E39EB01AF79C}"/>
    <cellStyle name="Millares [0] 2 2 4 3 12" xfId="17805" xr:uid="{0BFD90F2-11D4-4238-A989-D390449324D4}"/>
    <cellStyle name="Millares [0] 2 2 4 3 13" xfId="42690" xr:uid="{51FBB7F8-0FA7-451D-8997-4624E4D06865}"/>
    <cellStyle name="Millares [0] 2 2 4 3 14" xfId="47583" xr:uid="{AF7DC2E8-55D8-4CEB-B927-AE29CDF754E9}"/>
    <cellStyle name="Millares [0] 2 2 4 3 2" xfId="2199" xr:uid="{5D25A2D7-7CA9-4356-976A-390D0644EC4F}"/>
    <cellStyle name="Millares [0] 2 2 4 3 2 2" xfId="10470" xr:uid="{C9EFB5B9-1934-46E0-8658-B8B666F4A99D}"/>
    <cellStyle name="Millares [0] 2 2 4 3 2 2 2" xfId="45630" xr:uid="{5D84F79B-76E0-41F5-810E-5E1A55D0FA73}"/>
    <cellStyle name="Millares [0] 2 2 4 3 2 3" xfId="13310" xr:uid="{3B1530B7-9CFE-4CB8-AA68-E37E1B6A5FAD}"/>
    <cellStyle name="Millares [0] 2 2 4 3 2 4" xfId="43234" xr:uid="{B7F19E09-169C-4634-83B5-E03B170975A5}"/>
    <cellStyle name="Millares [0] 2 2 4 3 2 5" xfId="48127" xr:uid="{30FB5C79-68CE-4500-8B97-64F2B1FE7715}"/>
    <cellStyle name="Millares [0] 2 2 4 3 3" xfId="2617" xr:uid="{FA61DB76-ED54-4319-84A0-FA9EC98E2085}"/>
    <cellStyle name="Millares [0] 2 2 4 3 3 2" xfId="10888" xr:uid="{BC359733-D590-45B8-B55D-B2E2033E752F}"/>
    <cellStyle name="Millares [0] 2 2 4 3 3 2 2" xfId="46048" xr:uid="{7C72FB87-B086-4CCC-A465-884BC7A509E3}"/>
    <cellStyle name="Millares [0] 2 2 4 3 3 3" xfId="13728" xr:uid="{A3D0A5F3-7B1B-4E9F-82FE-D63E4D2F5667}"/>
    <cellStyle name="Millares [0] 2 2 4 3 3 4" xfId="43652" xr:uid="{735BC18D-EFAF-424E-815B-7801E25E1B25}"/>
    <cellStyle name="Millares [0] 2 2 4 3 3 5" xfId="48545" xr:uid="{01957E98-4796-4D63-B6C2-F2FE7EC99FC9}"/>
    <cellStyle name="Millares [0] 2 2 4 3 4" xfId="3161" xr:uid="{E422AC87-FF67-40CD-A57C-DE21F3B636EF}"/>
    <cellStyle name="Millares [0] 2 2 4 3 4 2" xfId="11432" xr:uid="{AD915AA8-5B48-4B82-8D8F-D41A14972AA9}"/>
    <cellStyle name="Millares [0] 2 2 4 3 4 2 2" xfId="46592" xr:uid="{1AA21157-1E12-48C6-8BD1-B4C0D9A7FC98}"/>
    <cellStyle name="Millares [0] 2 2 4 3 4 3" xfId="14272" xr:uid="{11A2A683-4B4B-4F6C-B6D7-1274493C6527}"/>
    <cellStyle name="Millares [0] 2 2 4 3 4 4" xfId="44196" xr:uid="{2C60AFA5-8631-4E55-B533-B5B7697A9E31}"/>
    <cellStyle name="Millares [0] 2 2 4 3 4 5" xfId="49089" xr:uid="{542511F7-834C-4EEB-8AB3-D5D47B5D83CF}"/>
    <cellStyle name="Millares [0] 2 2 4 3 5" xfId="3663" xr:uid="{38A7E496-3561-4F6C-B827-4190B3F941AA}"/>
    <cellStyle name="Millares [0] 2 2 4 3 5 2" xfId="11904" xr:uid="{83377EE1-8BAF-4C29-8A78-9E92044836C7}"/>
    <cellStyle name="Millares [0] 2 2 4 3 5 3" xfId="14744" xr:uid="{D24A0125-403D-4324-93B3-A981D6FA8691}"/>
    <cellStyle name="Millares [0] 2 2 4 3 5 4" xfId="44668" xr:uid="{94DBF745-0AC4-477B-AFE3-450CBFB52D70}"/>
    <cellStyle name="Millares [0] 2 2 4 3 5 5" xfId="49561" xr:uid="{670131FA-50B6-42B9-8379-363BFA1FCBC2}"/>
    <cellStyle name="Millares [0] 2 2 4 3 6" xfId="9926" xr:uid="{14EDC583-13D1-4623-BB4D-5D6382C82E5B}"/>
    <cellStyle name="Millares [0] 2 2 4 3 6 2" xfId="45086" xr:uid="{8EC05517-D7CC-4205-BBF8-EB6860444B2E}"/>
    <cellStyle name="Millares [0] 2 2 4 3 7" xfId="12766" xr:uid="{47C89CF1-423A-48DB-983C-0AFE8E70150B}"/>
    <cellStyle name="Millares [0] 2 2 4 3 8" xfId="16109" xr:uid="{3EF64E5A-CF89-4D95-A77B-0CE18C366092}"/>
    <cellStyle name="Millares [0] 2 2 4 3 9" xfId="16652" xr:uid="{02FA78DA-5592-47B4-9099-928597545A84}"/>
    <cellStyle name="Millares [0] 2 2 4 4" xfId="585" xr:uid="{00000000-0005-0000-0000-000006010000}"/>
    <cellStyle name="Millares [0] 2 2 4 4 10" xfId="42892" xr:uid="{BFAD35D7-2D35-4C8F-9520-62136BB9A4B8}"/>
    <cellStyle name="Millares [0] 2 2 4 4 11" xfId="47785" xr:uid="{0ADCE6B5-4DBD-4185-ACCC-796BCF08532B}"/>
    <cellStyle name="Millares [0] 2 2 4 4 2" xfId="2819" xr:uid="{C1513BEE-A07D-4F16-9A23-E977B0024DC8}"/>
    <cellStyle name="Millares [0] 2 2 4 4 2 2" xfId="11090" xr:uid="{F122A70D-AD21-494B-BC98-FA5573370561}"/>
    <cellStyle name="Millares [0] 2 2 4 4 2 2 2" xfId="46250" xr:uid="{485F6240-6048-4E6F-86B2-1C259567B8F9}"/>
    <cellStyle name="Millares [0] 2 2 4 4 2 3" xfId="13930" xr:uid="{EC2EF07A-8489-4C66-95FE-C0B8090BC919}"/>
    <cellStyle name="Millares [0] 2 2 4 4 2 4" xfId="43854" xr:uid="{A3E66AC8-C114-498D-A809-9C4B7571EE8D}"/>
    <cellStyle name="Millares [0] 2 2 4 4 2 5" xfId="48747" xr:uid="{F2D86DD2-4EAA-4F10-AB1E-D9BB6F8EB4DF}"/>
    <cellStyle name="Millares [0] 2 2 4 4 3" xfId="10128" xr:uid="{75B49884-5603-4A3B-BA0C-3AB4738CD83B}"/>
    <cellStyle name="Millares [0] 2 2 4 4 3 2" xfId="45288" xr:uid="{0D325A27-C642-46B4-9DE8-129F842D7B42}"/>
    <cellStyle name="Millares [0] 2 2 4 4 4" xfId="12968" xr:uid="{66678092-0AD2-48FD-913E-3252CE0644F7}"/>
    <cellStyle name="Millares [0] 2 2 4 4 5" xfId="16311" xr:uid="{4EB3CAD9-42C5-4C33-9C51-99F1A9708BD9}"/>
    <cellStyle name="Millares [0] 2 2 4 4 6" xfId="16854" xr:uid="{7E7CE370-D99F-433F-86AE-59D071449290}"/>
    <cellStyle name="Millares [0] 2 2 4 4 7" xfId="17398" xr:uid="{7E0F3C23-BC7A-42BC-8C41-3A4B991553E8}"/>
    <cellStyle name="Millares [0] 2 2 4 4 8" xfId="30119" xr:uid="{C0BDC48B-57AC-4AF4-B7EE-3BF839022C4F}"/>
    <cellStyle name="Millares [0] 2 2 4 4 9" xfId="17708" xr:uid="{9C89913E-C3B2-4BE4-B9AC-3C01F562E5C7}"/>
    <cellStyle name="Millares [0] 2 2 4 5" xfId="1983" xr:uid="{9BD74CC9-D0A1-48F8-A035-2046D4E6602B}"/>
    <cellStyle name="Millares [0] 2 2 4 5 2" xfId="10254" xr:uid="{E587B316-B38F-40E5-9FBA-5C96976DB3D4}"/>
    <cellStyle name="Millares [0] 2 2 4 5 2 2" xfId="45414" xr:uid="{AC74B6B5-250B-4CF4-B24D-4DD9A9791D46}"/>
    <cellStyle name="Millares [0] 2 2 4 5 3" xfId="13094" xr:uid="{0954C242-B00E-4C4E-82E2-25D881E41D22}"/>
    <cellStyle name="Millares [0] 2 2 4 5 4" xfId="35999" xr:uid="{AB79B7C5-E187-40F6-AD8E-491D55AE4E5E}"/>
    <cellStyle name="Millares [0] 2 2 4 5 5" xfId="43018" xr:uid="{98C69686-B7A5-484E-A9C7-5FDED9D555F7}"/>
    <cellStyle name="Millares [0] 2 2 4 5 6" xfId="47911" xr:uid="{A2E01B19-A88A-4A8B-968A-E3973D8F0604}"/>
    <cellStyle name="Millares [0] 2 2 4 6" xfId="2401" xr:uid="{B56CB776-DFC5-47B2-B068-BFF99689FA29}"/>
    <cellStyle name="Millares [0] 2 2 4 6 2" xfId="10672" xr:uid="{FCABC241-126C-4467-8F88-383E9ACD71AB}"/>
    <cellStyle name="Millares [0] 2 2 4 6 2 2" xfId="45832" xr:uid="{E95EF0BE-AE6B-46D4-B3D7-41D0BA4ABEAA}"/>
    <cellStyle name="Millares [0] 2 2 4 6 3" xfId="13512" xr:uid="{5C8BE421-8E15-4C87-997E-FE52E30AEF57}"/>
    <cellStyle name="Millares [0] 2 2 4 6 4" xfId="43436" xr:uid="{13A59AD7-78CC-4303-91F5-0AFEC185CA60}"/>
    <cellStyle name="Millares [0] 2 2 4 6 5" xfId="48329" xr:uid="{1BD01E8D-BBF5-4CE2-89F1-F6377A2DBDAB}"/>
    <cellStyle name="Millares [0] 2 2 4 7" xfId="2945" xr:uid="{DDE0E551-5D6E-412E-81EE-BE97A188D4CE}"/>
    <cellStyle name="Millares [0] 2 2 4 7 2" xfId="11216" xr:uid="{8533C9EB-BEC3-40B6-B993-D2049AE2D4EA}"/>
    <cellStyle name="Millares [0] 2 2 4 7 2 2" xfId="46376" xr:uid="{99614A99-E183-4DA9-8EE8-24A02DAF47F4}"/>
    <cellStyle name="Millares [0] 2 2 4 7 3" xfId="14056" xr:uid="{3A009148-6651-4717-9340-BD3785388420}"/>
    <cellStyle name="Millares [0] 2 2 4 7 4" xfId="43980" xr:uid="{FA403DB3-483D-4FCE-869F-A9296987A645}"/>
    <cellStyle name="Millares [0] 2 2 4 7 5" xfId="48873" xr:uid="{6B26226F-EA59-4CBD-B11E-7A09F70ADD9F}"/>
    <cellStyle name="Millares [0] 2 2 4 8" xfId="3447" xr:uid="{BC16BF7D-543A-4882-A96D-81DD4495FB94}"/>
    <cellStyle name="Millares [0] 2 2 4 8 2" xfId="11688" xr:uid="{4298D6F1-E3AF-4727-AF96-04AB045361F9}"/>
    <cellStyle name="Millares [0] 2 2 4 8 3" xfId="14528" xr:uid="{973457EF-1A8C-48F0-9CF3-A8E267BBF4D4}"/>
    <cellStyle name="Millares [0] 2 2 4 8 4" xfId="44452" xr:uid="{63C952A2-B963-4655-A228-895C93A1AB6B}"/>
    <cellStyle name="Millares [0] 2 2 4 8 5" xfId="49345" xr:uid="{85EA9A0A-2CB3-410E-85D4-DB6A0EB9B341}"/>
    <cellStyle name="Millares [0] 2 2 4 9" xfId="4005" xr:uid="{82C53247-BEFE-4949-8845-2B688CEE8024}"/>
    <cellStyle name="Millares [0] 2 2 4 9 2" xfId="12097" xr:uid="{5E4FD661-7501-487C-859F-E924CBCD3830}"/>
    <cellStyle name="Millares [0] 2 2 4 9 3" xfId="14938" xr:uid="{8FB23C35-1483-4DCD-8325-B7D2C371D2B0}"/>
    <cellStyle name="Millares [0] 2 2 4 9 4" xfId="44870" xr:uid="{9B47AD3B-5786-4E4C-9D21-78F4C66287B3}"/>
    <cellStyle name="Millares [0] 2 2 4 9 5" xfId="49754" xr:uid="{3C9F8DBE-D2D6-4D5D-9E31-5470E377C6EB}"/>
    <cellStyle name="Millares [0] 2 2 5" xfId="229" xr:uid="{00000000-0005-0000-0000-000007010000}"/>
    <cellStyle name="Millares [0] 2 2 5 10" xfId="15405" xr:uid="{A4998FE8-5EED-4D47-AA94-CD15A4E698F4}"/>
    <cellStyle name="Millares [0] 2 2 5 11" xfId="15970" xr:uid="{4257B2EC-8713-4940-9F01-A8D2DEDD9012}"/>
    <cellStyle name="Millares [0] 2 2 5 12" xfId="16513" xr:uid="{8B4A7C2C-96BC-41E1-ABA6-925607FAECCD}"/>
    <cellStyle name="Millares [0] 2 2 5 13" xfId="17057" xr:uid="{354ACF16-9AAD-49BE-8C4F-30407A14C030}"/>
    <cellStyle name="Millares [0] 2 2 5 14" xfId="17573" xr:uid="{F635C3A9-60C2-4565-BCA8-B0AA2A06743A}"/>
    <cellStyle name="Millares [0] 2 2 5 15" xfId="42551" xr:uid="{7A604047-5775-49A3-A51B-50C3F7E3C8E9}"/>
    <cellStyle name="Millares [0] 2 2 5 16" xfId="47444" xr:uid="{9A3BCF6D-E586-4EF3-AD12-1F5B232767DB}"/>
    <cellStyle name="Millares [0] 2 2 5 2" xfId="355" xr:uid="{00000000-0005-0000-0000-000008010000}"/>
    <cellStyle name="Millares [0] 2 2 5 2 10" xfId="16082" xr:uid="{699DD7F8-4205-4661-9914-36359A064428}"/>
    <cellStyle name="Millares [0] 2 2 5 2 11" xfId="16625" xr:uid="{A8A72E52-B9C3-4368-8E5A-FAA25B6C109F}"/>
    <cellStyle name="Millares [0] 2 2 5 2 12" xfId="17169" xr:uid="{FB30AD4A-2BF2-48A7-A288-19B03FB25303}"/>
    <cellStyle name="Millares [0] 2 2 5 2 13" xfId="17635" xr:uid="{58886EED-AB49-4B39-ACE9-1D30BDF39740}"/>
    <cellStyle name="Millares [0] 2 2 5 2 14" xfId="42663" xr:uid="{70A324A6-535E-4570-BB3C-44CF8F6E9C3F}"/>
    <cellStyle name="Millares [0] 2 2 5 2 15" xfId="47556" xr:uid="{4ED39BB6-3F05-42C9-A8DB-4870209628B3}"/>
    <cellStyle name="Millares [0] 2 2 5 2 2" xfId="2172" xr:uid="{B73CD839-5F0B-4904-ACCA-1C2A07D32F02}"/>
    <cellStyle name="Millares [0] 2 2 5 2 2 2" xfId="8579" xr:uid="{B3E83D71-13C6-444B-B972-BEA1559B3885}"/>
    <cellStyle name="Millares [0] 2 2 5 2 2 2 2" xfId="12415" xr:uid="{AC57DD23-08F4-456C-93B7-101CADE9293D}"/>
    <cellStyle name="Millares [0] 2 2 5 2 2 2 2 2" xfId="41992" xr:uid="{6F7EB5E5-0FF3-4BC4-A42F-B5832525DB3C}"/>
    <cellStyle name="Millares [0] 2 2 5 2 2 2 2 3" xfId="22951" xr:uid="{BDEE3661-6734-4AC8-BF04-5E60D3F85EF4}"/>
    <cellStyle name="Millares [0] 2 2 5 2 2 2 3" xfId="15256" xr:uid="{7E684D82-89D3-4D92-A91B-CBB897907046}"/>
    <cellStyle name="Millares [0] 2 2 5 2 2 2 3 2" xfId="28812" xr:uid="{33855F32-7481-4383-99DD-A8840FCC719C}"/>
    <cellStyle name="Millares [0] 2 2 5 2 2 2 4" xfId="15704" xr:uid="{CCC73332-D6DF-4DA7-B4EE-E492FBC30EAC}"/>
    <cellStyle name="Millares [0] 2 2 5 2 2 2 4 2" xfId="34694" xr:uid="{F4E127C1-2C5D-4D6E-BED4-9D41F527E921}"/>
    <cellStyle name="Millares [0] 2 2 5 2 2 2 5" xfId="40558" xr:uid="{72E23A3A-2D40-4EF6-93A3-17B7F88A0474}"/>
    <cellStyle name="Millares [0] 2 2 5 2 2 2 6" xfId="18155" xr:uid="{EF889E4D-4489-40F2-B3C1-572A3CA5575F}"/>
    <cellStyle name="Millares [0] 2 2 5 2 2 2 7" xfId="45603" xr:uid="{FB0B9CCB-77AD-4A38-8E20-A728C7FFFC31}"/>
    <cellStyle name="Millares [0] 2 2 5 2 2 2 8" xfId="50072" xr:uid="{A5A3BAE5-8F93-412F-9F4D-A7106E14D59E}"/>
    <cellStyle name="Millares [0] 2 2 5 2 2 3" xfId="5711" xr:uid="{8B26E5E7-E874-4957-9A32-E5BF5541A48C}"/>
    <cellStyle name="Millares [0] 2 2 5 2 2 3 2" xfId="12228" xr:uid="{117092BB-E801-4AA1-8547-4EAC96887C50}"/>
    <cellStyle name="Millares [0] 2 2 5 2 2 3 2 2" xfId="41805" xr:uid="{86BDA999-0193-4886-95F7-8EEC753728F4}"/>
    <cellStyle name="Millares [0] 2 2 5 2 2 3 3" xfId="15069" xr:uid="{591E8BEA-B4F2-45A8-9C77-B0DFEA0A10FD}"/>
    <cellStyle name="Millares [0] 2 2 5 2 2 3 4" xfId="20168" xr:uid="{E88C13BB-44CC-45E0-AB45-40455DCD4B71}"/>
    <cellStyle name="Millares [0] 2 2 5 2 2 3 5" xfId="49885" xr:uid="{E575E942-11BA-4D25-B39D-81A7AF1BFE47}"/>
    <cellStyle name="Millares [0] 2 2 5 2 2 4" xfId="10443" xr:uid="{CC952BF4-7FF4-42B1-952B-D47768370E85}"/>
    <cellStyle name="Millares [0] 2 2 5 2 2 4 2" xfId="25962" xr:uid="{0E314587-606D-4D5A-AFDE-22FAED9465C8}"/>
    <cellStyle name="Millares [0] 2 2 5 2 2 5" xfId="13283" xr:uid="{421D367A-9CF7-4706-BEA0-B0C8134FDE6D}"/>
    <cellStyle name="Millares [0] 2 2 5 2 2 5 2" xfId="31837" xr:uid="{931F1A5D-2890-465D-A988-1DC8DD51630B}"/>
    <cellStyle name="Millares [0] 2 2 5 2 2 6" xfId="15516" xr:uid="{B91529D2-F061-427C-8AFB-677D835FF4C8}"/>
    <cellStyle name="Millares [0] 2 2 5 2 2 6 2" xfId="37704" xr:uid="{E01A0E69-7218-45CF-8FE8-6ECDDB553097}"/>
    <cellStyle name="Millares [0] 2 2 5 2 2 7" xfId="17770" xr:uid="{7B50CD20-A9AA-4073-968B-5BC038E80D2A}"/>
    <cellStyle name="Millares [0] 2 2 5 2 2 8" xfId="43207" xr:uid="{1B21C099-4BAB-460C-BABE-1768B394069D}"/>
    <cellStyle name="Millares [0] 2 2 5 2 2 9" xfId="48100" xr:uid="{2F085622-A767-4BB2-B373-ABE3673E3910}"/>
    <cellStyle name="Millares [0] 2 2 5 2 3" xfId="2590" xr:uid="{EA7116A3-E008-4A93-9DCA-C49BF475EA71}"/>
    <cellStyle name="Millares [0] 2 2 5 2 3 2" xfId="7607" xr:uid="{39EC8201-D73D-4786-81E8-65E4BEBEB68F}"/>
    <cellStyle name="Millares [0] 2 2 5 2 3 2 2" xfId="12343" xr:uid="{09B1220D-9C9D-4DB8-A413-94FEC09CC343}"/>
    <cellStyle name="Millares [0] 2 2 5 2 3 2 2 2" xfId="41920" xr:uid="{FB2FA0C9-E8FD-4ADE-A920-6A3E2035BFC8}"/>
    <cellStyle name="Millares [0] 2 2 5 2 3 2 3" xfId="15184" xr:uid="{3734BFC7-3F22-4222-B8A7-2E3FCFFEBD32}"/>
    <cellStyle name="Millares [0] 2 2 5 2 3 2 4" xfId="22001" xr:uid="{3E123597-9EAE-4891-A69C-B6793AA9FBAB}"/>
    <cellStyle name="Millares [0] 2 2 5 2 3 2 5" xfId="46021" xr:uid="{8FC7A66E-FF5B-4626-BD9A-E4F0A3484FA6}"/>
    <cellStyle name="Millares [0] 2 2 5 2 3 2 6" xfId="50000" xr:uid="{ABA0BF64-8C08-4E4A-A0DA-8F7D079F951D}"/>
    <cellStyle name="Millares [0] 2 2 5 2 3 3" xfId="10861" xr:uid="{5B0C132D-9DF8-492A-9B08-BB8D3BD152CA}"/>
    <cellStyle name="Millares [0] 2 2 5 2 3 3 2" xfId="27841" xr:uid="{028781D8-9741-4C97-B721-DE626D766CFE}"/>
    <cellStyle name="Millares [0] 2 2 5 2 3 4" xfId="13701" xr:uid="{BE982865-ADC0-4D95-97B2-0FD145A78A61}"/>
    <cellStyle name="Millares [0] 2 2 5 2 3 4 2" xfId="33723" xr:uid="{6A6405F3-4150-4B4F-AD02-500A5199B3B0}"/>
    <cellStyle name="Millares [0] 2 2 5 2 3 5" xfId="15631" xr:uid="{C1F3C1FB-BE14-43EF-93A6-4B2E6884CB2C}"/>
    <cellStyle name="Millares [0] 2 2 5 2 3 5 2" xfId="39587" xr:uid="{7780EFF6-538C-4567-AE51-4656220FF338}"/>
    <cellStyle name="Millares [0] 2 2 5 2 3 6" xfId="18017" xr:uid="{3B08E340-1AEE-45A6-9379-0A61AD41D9BB}"/>
    <cellStyle name="Millares [0] 2 2 5 2 3 7" xfId="43625" xr:uid="{57BC9917-B9D1-4EF8-AF51-AF9869A4BAF9}"/>
    <cellStyle name="Millares [0] 2 2 5 2 3 8" xfId="48518" xr:uid="{C4B0269E-9EB9-4027-8527-37B0944084AA}"/>
    <cellStyle name="Millares [0] 2 2 5 2 4" xfId="3134" xr:uid="{833FDF3A-C952-4AED-ADE0-83A7BFF4979C}"/>
    <cellStyle name="Millares [0] 2 2 5 2 4 2" xfId="11405" xr:uid="{F9B247B4-99ED-423B-9F71-F405487786C7}"/>
    <cellStyle name="Millares [0] 2 2 5 2 4 2 2" xfId="41733" xr:uid="{CE6DBCA7-A97C-4720-B8E8-0380E32DCE63}"/>
    <cellStyle name="Millares [0] 2 2 5 2 4 2 3" xfId="46565" xr:uid="{DF2FCEED-133B-456B-9904-B6E126BDF316}"/>
    <cellStyle name="Millares [0] 2 2 5 2 4 3" xfId="14245" xr:uid="{B5F27823-E634-4CFD-86F1-FFF0F0A85ACF}"/>
    <cellStyle name="Millares [0] 2 2 5 2 4 4" xfId="19231" xr:uid="{AD9C5AF4-9B9D-4773-A61B-2FED6F297BA2}"/>
    <cellStyle name="Millares [0] 2 2 5 2 4 5" xfId="44169" xr:uid="{65653CF0-A6D1-4F1F-AB33-AE3C9C4F7DE0}"/>
    <cellStyle name="Millares [0] 2 2 5 2 4 6" xfId="49062" xr:uid="{BE2EF9D4-23B8-4CF9-88A4-7F106AA1C497}"/>
    <cellStyle name="Millares [0] 2 2 5 2 5" xfId="3636" xr:uid="{A932014C-991B-4D33-8D60-6582B9260650}"/>
    <cellStyle name="Millares [0] 2 2 5 2 5 2" xfId="11877" xr:uid="{F6DEE28B-8554-4413-903B-B6E3A6D0A671}"/>
    <cellStyle name="Millares [0] 2 2 5 2 5 3" xfId="14717" xr:uid="{18745D76-611B-49B0-93C5-340FA5DE1669}"/>
    <cellStyle name="Millares [0] 2 2 5 2 5 4" xfId="24992" xr:uid="{1B2C726A-6B6C-4D21-B0E1-BB6D4F0D84DA}"/>
    <cellStyle name="Millares [0] 2 2 5 2 5 5" xfId="44641" xr:uid="{CAE1D3F6-DDA7-40F4-A200-5C9AED7DD967}"/>
    <cellStyle name="Millares [0] 2 2 5 2 5 6" xfId="49534" xr:uid="{FCFE18C7-469D-444C-8532-F81ECA77AE71}"/>
    <cellStyle name="Millares [0] 2 2 5 2 6" xfId="4743" xr:uid="{6EE2F025-F528-4973-AE1F-1AFFFAFA10DD}"/>
    <cellStyle name="Millares [0] 2 2 5 2 6 2" xfId="12156" xr:uid="{18082B7B-DC88-43B5-B614-F603893B5C21}"/>
    <cellStyle name="Millares [0] 2 2 5 2 6 3" xfId="14997" xr:uid="{22E97BB3-6272-46A0-93D8-1435775BA760}"/>
    <cellStyle name="Millares [0] 2 2 5 2 6 4" xfId="30866" xr:uid="{5C87F046-88C2-497A-9355-A072FC8A162A}"/>
    <cellStyle name="Millares [0] 2 2 5 2 6 5" xfId="45059" xr:uid="{86233BD9-7F11-46F4-9F9A-2DED39F9BC60}"/>
    <cellStyle name="Millares [0] 2 2 5 2 6 6" xfId="49813" xr:uid="{121ED0FD-3A0F-450D-AAF6-48EBE02ACACA}"/>
    <cellStyle name="Millares [0] 2 2 5 2 7" xfId="9899" xr:uid="{241D6FCC-6A11-4689-9D43-2AEE47F40DB8}"/>
    <cellStyle name="Millares [0] 2 2 5 2 7 2" xfId="36747" xr:uid="{227B4AC8-28F2-47DE-9A37-170A3D8FC086}"/>
    <cellStyle name="Millares [0] 2 2 5 2 8" xfId="12739" xr:uid="{862588F1-D0D9-4B6A-8C2A-A2622A521809}"/>
    <cellStyle name="Millares [0] 2 2 5 2 9" xfId="15443" xr:uid="{0616F863-7AEB-4914-AA89-675DF2570A26}"/>
    <cellStyle name="Millares [0] 2 2 5 3" xfId="2060" xr:uid="{5C65F005-C6E1-4770-923D-CD6794A7949E}"/>
    <cellStyle name="Millares [0] 2 2 5 3 2" xfId="8094" xr:uid="{20666026-8376-45A6-B8AC-700EEF077758}"/>
    <cellStyle name="Millares [0] 2 2 5 3 2 2" xfId="12379" xr:uid="{C46E3B25-8A6B-4731-A842-28B924B9567F}"/>
    <cellStyle name="Millares [0] 2 2 5 3 2 2 2" xfId="41956" xr:uid="{51019A41-9C5C-4DDB-B7F0-1C0F9737FD41}"/>
    <cellStyle name="Millares [0] 2 2 5 3 2 2 3" xfId="22472" xr:uid="{60AC4B69-8B83-427C-B4FE-C9F25C6DFF1E}"/>
    <cellStyle name="Millares [0] 2 2 5 3 2 3" xfId="15220" xr:uid="{58F8163E-667E-45B5-BEDB-51911C5661A3}"/>
    <cellStyle name="Millares [0] 2 2 5 3 2 3 2" xfId="28327" xr:uid="{EB762B24-92AF-4EB3-90CF-1E6EAAED282D}"/>
    <cellStyle name="Millares [0] 2 2 5 3 2 4" xfId="15667" xr:uid="{9533EEEC-D6F3-4FAE-9DE8-43E2FCD1F55A}"/>
    <cellStyle name="Millares [0] 2 2 5 3 2 4 2" xfId="34209" xr:uid="{FCDE240A-3DB6-4176-8AAB-C0F4338619B0}"/>
    <cellStyle name="Millares [0] 2 2 5 3 2 5" xfId="40073" xr:uid="{E3F50568-8FE0-4F9A-97A2-7EBD02186345}"/>
    <cellStyle name="Millares [0] 2 2 5 3 2 6" xfId="18086" xr:uid="{B7BD0E51-E789-4893-81D5-EAF3BDDAA3AA}"/>
    <cellStyle name="Millares [0] 2 2 5 3 2 7" xfId="45491" xr:uid="{A81F7CD3-0069-4CAA-9432-8918D1756768}"/>
    <cellStyle name="Millares [0] 2 2 5 3 2 8" xfId="50036" xr:uid="{2ED13D0F-E6DA-4D29-A509-B69AF246E56C}"/>
    <cellStyle name="Millares [0] 2 2 5 3 3" xfId="5227" xr:uid="{7CA402F0-34F1-45D3-9F28-F50303CE26BA}"/>
    <cellStyle name="Millares [0] 2 2 5 3 3 2" xfId="12192" xr:uid="{B835C190-DAC4-4282-98B5-DA38DE2A8B47}"/>
    <cellStyle name="Millares [0] 2 2 5 3 3 2 2" xfId="41769" xr:uid="{4781FA40-A01B-431B-86A7-73365B4B13D4}"/>
    <cellStyle name="Millares [0] 2 2 5 3 3 3" xfId="15033" xr:uid="{D8B26700-7510-4265-8397-C392BEF2077E}"/>
    <cellStyle name="Millares [0] 2 2 5 3 3 4" xfId="19697" xr:uid="{020D738B-62B1-4317-844C-604F337714BE}"/>
    <cellStyle name="Millares [0] 2 2 5 3 3 5" xfId="49849" xr:uid="{8C2A31AB-BDE2-4944-A1C7-7449D6AA7BFD}"/>
    <cellStyle name="Millares [0] 2 2 5 3 4" xfId="10331" xr:uid="{CD3459B8-DDED-4AAC-87E3-2E7861FCC54D}"/>
    <cellStyle name="Millares [0] 2 2 5 3 4 2" xfId="25478" xr:uid="{BD541B63-5E3C-474A-BD43-683D2912597F}"/>
    <cellStyle name="Millares [0] 2 2 5 3 5" xfId="13171" xr:uid="{1A2A6B8C-17EC-401C-A55A-59C5DC604DC3}"/>
    <cellStyle name="Millares [0] 2 2 5 3 5 2" xfId="31352" xr:uid="{7F892017-1790-480D-B4D3-5EB8EF766AA5}"/>
    <cellStyle name="Millares [0] 2 2 5 3 6" xfId="15479" xr:uid="{5AF4165D-9510-4642-BBA4-C3CE68AF6AC6}"/>
    <cellStyle name="Millares [0] 2 2 5 3 6 2" xfId="37225" xr:uid="{60DDD210-6B04-4CBE-8A4D-8F98EAF72865}"/>
    <cellStyle name="Millares [0] 2 2 5 3 7" xfId="17704" xr:uid="{70671DB4-7324-4D20-A368-2E939CDDC1FD}"/>
    <cellStyle name="Millares [0] 2 2 5 3 8" xfId="43095" xr:uid="{2BB4A106-D77F-47BE-9270-7124CC04E717}"/>
    <cellStyle name="Millares [0] 2 2 5 3 9" xfId="47988" xr:uid="{DD73BDB6-8838-4551-9F5A-55EFA365503D}"/>
    <cellStyle name="Millares [0] 2 2 5 4" xfId="2478" xr:uid="{3F57148D-F13A-476B-9FD3-3FDA54DDE69B}"/>
    <cellStyle name="Millares [0] 2 2 5 4 2" xfId="7122" xr:uid="{46EA8E7F-5F9A-40EA-B952-3843311E1134}"/>
    <cellStyle name="Millares [0] 2 2 5 4 2 2" xfId="12307" xr:uid="{13E41178-18BE-498F-BF60-FC579B445B6B}"/>
    <cellStyle name="Millares [0] 2 2 5 4 2 2 2" xfId="41884" xr:uid="{31225730-2659-4E80-AF67-142C9D657FF6}"/>
    <cellStyle name="Millares [0] 2 2 5 4 2 3" xfId="15148" xr:uid="{E6CA6AE2-A9BB-4DFB-9101-40ACB0C2DC59}"/>
    <cellStyle name="Millares [0] 2 2 5 4 2 4" xfId="21533" xr:uid="{ABBCB2DD-27F8-466D-99D2-DC86AC3C2877}"/>
    <cellStyle name="Millares [0] 2 2 5 4 2 5" xfId="45909" xr:uid="{FB4DE49B-2498-43AE-A83D-0CC2F465F4E7}"/>
    <cellStyle name="Millares [0] 2 2 5 4 2 6" xfId="49964" xr:uid="{7183B72E-CCB1-4273-88A5-2A740ED2E278}"/>
    <cellStyle name="Millares [0] 2 2 5 4 3" xfId="10749" xr:uid="{885D5CC5-D091-4225-9FD8-0628B8243F3F}"/>
    <cellStyle name="Millares [0] 2 2 5 4 3 2" xfId="27357" xr:uid="{7CA5EFB2-AC62-4609-8970-34BDE0AE728F}"/>
    <cellStyle name="Millares [0] 2 2 5 4 4" xfId="13589" xr:uid="{703A3C98-8833-4CE1-B048-CF0A84895828}"/>
    <cellStyle name="Millares [0] 2 2 5 4 4 2" xfId="33238" xr:uid="{F4CB9AA7-A6BF-4655-8193-AA7B0A3CAE41}"/>
    <cellStyle name="Millares [0] 2 2 5 4 5" xfId="15595" xr:uid="{7D621710-04E5-4F13-8154-445042955326}"/>
    <cellStyle name="Millares [0] 2 2 5 4 5 2" xfId="39102" xr:uid="{BE5BFEF6-2069-4F3F-B143-2368BFFDC63F}"/>
    <cellStyle name="Millares [0] 2 2 5 4 6" xfId="17948" xr:uid="{3222D0ED-3B51-44D7-A20B-91F0E0682ECF}"/>
    <cellStyle name="Millares [0] 2 2 5 4 7" xfId="43513" xr:uid="{CF17D5F3-D6F9-41B8-95F7-71B833B9EE39}"/>
    <cellStyle name="Millares [0] 2 2 5 4 8" xfId="48406" xr:uid="{8492DD55-EAC1-4322-BE06-BD5774D9D820}"/>
    <cellStyle name="Millares [0] 2 2 5 5" xfId="3022" xr:uid="{6527BF1A-0533-4E7C-91C8-A3440D183D2B}"/>
    <cellStyle name="Millares [0] 2 2 5 5 2" xfId="11293" xr:uid="{AA8AB2C5-8257-466C-A501-A8BB10F5BF34}"/>
    <cellStyle name="Millares [0] 2 2 5 5 2 2" xfId="41696" xr:uid="{2FAD73B5-C936-43FE-A8CA-C2F02CBE89BD}"/>
    <cellStyle name="Millares [0] 2 2 5 5 2 3" xfId="46453" xr:uid="{3A09D84C-FBCF-4FC5-BAB0-2C25C2D6B954}"/>
    <cellStyle name="Millares [0] 2 2 5 5 3" xfId="14133" xr:uid="{A1E50C16-4625-441C-9D5C-BBB8FF833A8D}"/>
    <cellStyle name="Millares [0] 2 2 5 5 4" xfId="18784" xr:uid="{4230F8DE-82C1-43E5-8E19-54B83FC46BB4}"/>
    <cellStyle name="Millares [0] 2 2 5 5 5" xfId="44057" xr:uid="{ED539B13-9356-4AC6-B513-CC43E3285DA9}"/>
    <cellStyle name="Millares [0] 2 2 5 5 6" xfId="48950" xr:uid="{74CF679E-84ED-4887-90B0-01618983A6C7}"/>
    <cellStyle name="Millares [0] 2 2 5 6" xfId="3524" xr:uid="{24EE032B-9FBF-42D3-A540-86E5D8AC59EA}"/>
    <cellStyle name="Millares [0] 2 2 5 6 2" xfId="11765" xr:uid="{45ACF1AF-D1ED-4912-8328-23A15B67E4DB}"/>
    <cellStyle name="Millares [0] 2 2 5 6 3" xfId="14605" xr:uid="{840D38B2-1A15-48E9-ADD4-4F3F9372DD66}"/>
    <cellStyle name="Millares [0] 2 2 5 6 4" xfId="24506" xr:uid="{F8027FDE-8657-4736-8B0D-375E2FA315A3}"/>
    <cellStyle name="Millares [0] 2 2 5 6 5" xfId="44529" xr:uid="{FDD28064-041A-47D4-823C-81100A629B15}"/>
    <cellStyle name="Millares [0] 2 2 5 6 6" xfId="49422" xr:uid="{9CB76071-A351-4825-A448-149A4EB750B8}"/>
    <cellStyle name="Millares [0] 2 2 5 7" xfId="4263" xr:uid="{142882F1-CABC-402F-B8E7-4D3FE9A567BF}"/>
    <cellStyle name="Millares [0] 2 2 5 7 2" xfId="12119" xr:uid="{CC70C815-BB9A-4D41-BE03-FD08E773229C}"/>
    <cellStyle name="Millares [0] 2 2 5 7 3" xfId="14960" xr:uid="{63457B83-9F04-4B37-805A-6A43E5867721}"/>
    <cellStyle name="Millares [0] 2 2 5 7 4" xfId="30385" xr:uid="{F71A5DC0-CEB8-4C50-968D-096C33AB87D9}"/>
    <cellStyle name="Millares [0] 2 2 5 7 5" xfId="44947" xr:uid="{AC81870A-4398-42BA-94D2-35D1483B3F5D}"/>
    <cellStyle name="Millares [0] 2 2 5 7 6" xfId="49776" xr:uid="{15D7B8E9-4F66-4EFF-B5D7-1D970FEF8E9A}"/>
    <cellStyle name="Millares [0] 2 2 5 8" xfId="9787" xr:uid="{F0B8DE8F-4382-4739-8BA8-4CE8B2EF2BBF}"/>
    <cellStyle name="Millares [0] 2 2 5 8 2" xfId="36266" xr:uid="{1946DA25-65D0-4432-83F6-5F39F1AA97D1}"/>
    <cellStyle name="Millares [0] 2 2 5 9" xfId="12627" xr:uid="{7D92F735-6CC6-477F-A844-0AB3BC53F790}"/>
    <cellStyle name="Millares [0] 2 2 6" xfId="333" xr:uid="{00000000-0005-0000-0000-000009010000}"/>
    <cellStyle name="Millares [0] 2 2 6 10" xfId="15537" xr:uid="{01F9ECA3-58F0-4B7A-818C-222DF5163537}"/>
    <cellStyle name="Millares [0] 2 2 6 11" xfId="16064" xr:uid="{7C9E8EF2-E639-4E72-8A26-5ACE588A9258}"/>
    <cellStyle name="Millares [0] 2 2 6 12" xfId="16607" xr:uid="{7989428A-9EA5-47F7-8BB7-44CE57B09B36}"/>
    <cellStyle name="Millares [0] 2 2 6 13" xfId="17151" xr:uid="{D91B5633-FA6A-420C-9F6D-FE1AA29975AA}"/>
    <cellStyle name="Millares [0] 2 2 6 14" xfId="17821" xr:uid="{0270A401-3532-4D5D-A5DF-C43DB7037B3C}"/>
    <cellStyle name="Millares [0] 2 2 6 15" xfId="17982" xr:uid="{3D782067-B468-473E-BBD5-F94AA8F3E20A}"/>
    <cellStyle name="Millares [0] 2 2 6 16" xfId="42645" xr:uid="{708CF784-AC93-48A2-BA2E-B8A72F86E3D7}"/>
    <cellStyle name="Millares [0] 2 2 6 17" xfId="47538" xr:uid="{A8CA2C09-8DE8-47D1-BFB0-B08CA39DF7A7}"/>
    <cellStyle name="Millares [0] 2 2 6 2" xfId="456" xr:uid="{00000000-0005-0000-0000-00000A010000}"/>
    <cellStyle name="Millares [0] 2 2 6 2 10" xfId="16182" xr:uid="{331A4D76-169B-4846-9D32-F846B8831748}"/>
    <cellStyle name="Millares [0] 2 2 6 2 11" xfId="16725" xr:uid="{2DE054AD-3C72-4117-A86E-F67DFBF3BDF9}"/>
    <cellStyle name="Millares [0] 2 2 6 2 12" xfId="17269" xr:uid="{62BE1E28-41FC-43D8-8716-CDC3583B2F84}"/>
    <cellStyle name="Millares [0] 2 2 6 2 13" xfId="18204" xr:uid="{0E0B3176-D381-43A4-B9AB-BA6E944432FC}"/>
    <cellStyle name="Millares [0] 2 2 6 2 14" xfId="42763" xr:uid="{CE1C7F19-B0A6-4F24-8F38-A9B7C1EC14BD}"/>
    <cellStyle name="Millares [0] 2 2 6 2 15" xfId="47656" xr:uid="{003F172B-2E10-4393-8E0F-CBE63512CA35}"/>
    <cellStyle name="Millares [0] 2 2 6 2 2" xfId="2272" xr:uid="{DF5251CA-C619-44DB-BDA8-77E55E8F8F32}"/>
    <cellStyle name="Millares [0] 2 2 6 2 2 2" xfId="10543" xr:uid="{C4BDE5DE-E2FD-499A-887A-76B6E399664C}"/>
    <cellStyle name="Millares [0] 2 2 6 2 2 2 2" xfId="42013" xr:uid="{3CA19377-FD9D-4396-BA0B-9BE6047E8104}"/>
    <cellStyle name="Millares [0] 2 2 6 2 2 2 3" xfId="45703" xr:uid="{100F5D50-0146-4DD7-9636-857FEF65E9F5}"/>
    <cellStyle name="Millares [0] 2 2 6 2 2 3" xfId="13383" xr:uid="{2852B672-2551-460D-90F0-9911F8252FFC}"/>
    <cellStyle name="Millares [0] 2 2 6 2 2 4" xfId="23458" xr:uid="{03B28AF2-3F13-4EBE-8081-631D482764FD}"/>
    <cellStyle name="Millares [0] 2 2 6 2 2 5" xfId="43307" xr:uid="{1ED77EA0-ECA0-4292-A704-88C42E7919DC}"/>
    <cellStyle name="Millares [0] 2 2 6 2 2 6" xfId="48200" xr:uid="{DFFA4482-5142-4D57-93B4-A0B5C4CC2396}"/>
    <cellStyle name="Millares [0] 2 2 6 2 3" xfId="2690" xr:uid="{9522BAC4-628D-45C4-873A-8F73DAF31799}"/>
    <cellStyle name="Millares [0] 2 2 6 2 3 2" xfId="10961" xr:uid="{F81F1581-1992-40F7-BA0C-9217D8B385F0}"/>
    <cellStyle name="Millares [0] 2 2 6 2 3 2 2" xfId="46121" xr:uid="{1ADC34B7-215C-488F-8C48-9137A08439AE}"/>
    <cellStyle name="Millares [0] 2 2 6 2 3 3" xfId="13801" xr:uid="{229055E6-2B4D-4122-9197-465FA60B6035}"/>
    <cellStyle name="Millares [0] 2 2 6 2 3 4" xfId="29325" xr:uid="{E5BDFE96-41CF-411C-B81E-9DDD8937CF82}"/>
    <cellStyle name="Millares [0] 2 2 6 2 3 5" xfId="43725" xr:uid="{D4343283-12A3-4532-B6E9-A5A3F8EDC310}"/>
    <cellStyle name="Millares [0] 2 2 6 2 3 6" xfId="48618" xr:uid="{650E553F-A793-409D-9728-DAED66008A23}"/>
    <cellStyle name="Millares [0] 2 2 6 2 4" xfId="3234" xr:uid="{90C50DBC-9D7E-4301-AC42-48E6200D77E6}"/>
    <cellStyle name="Millares [0] 2 2 6 2 4 2" xfId="11505" xr:uid="{63533EB0-5AF3-4B2D-9BB6-D9F921C24D7F}"/>
    <cellStyle name="Millares [0] 2 2 6 2 4 2 2" xfId="46665" xr:uid="{76DFB1A3-696F-42F8-9CBA-FD8E50BAA9AA}"/>
    <cellStyle name="Millares [0] 2 2 6 2 4 3" xfId="14345" xr:uid="{E98E22A1-BBD1-4B1B-B753-F4ACAEEE0DFA}"/>
    <cellStyle name="Millares [0] 2 2 6 2 4 4" xfId="35207" xr:uid="{2A0933F2-70A3-4E44-8CB3-8ED43EBB20EC}"/>
    <cellStyle name="Millares [0] 2 2 6 2 4 5" xfId="44269" xr:uid="{70A2AA71-3756-42D3-A4D4-8ED9BF656E8C}"/>
    <cellStyle name="Millares [0] 2 2 6 2 4 6" xfId="49162" xr:uid="{1D8F2095-9647-4D2F-8338-FB098C334A2A}"/>
    <cellStyle name="Millares [0] 2 2 6 2 5" xfId="3736" xr:uid="{1443F311-1C53-492A-BCB4-1E09F4857591}"/>
    <cellStyle name="Millares [0] 2 2 6 2 5 2" xfId="11977" xr:uid="{852CDD84-F9E2-47E7-850F-D6A2D936D891}"/>
    <cellStyle name="Millares [0] 2 2 6 2 5 3" xfId="14817" xr:uid="{A72E990C-C3EC-4D5B-A165-5C33897B3505}"/>
    <cellStyle name="Millares [0] 2 2 6 2 5 4" xfId="41068" xr:uid="{56A64D70-B80F-498A-856B-F897BBE82FF6}"/>
    <cellStyle name="Millares [0] 2 2 6 2 5 5" xfId="44741" xr:uid="{A34C0622-5D69-4644-814F-9D9233CFD486}"/>
    <cellStyle name="Millares [0] 2 2 6 2 5 6" xfId="49634" xr:uid="{F045D8BA-6556-4C82-8349-93972B9CC8FB}"/>
    <cellStyle name="Millares [0] 2 2 6 2 6" xfId="9094" xr:uid="{88DF9C0B-123E-4A22-BDB2-38130A1AB6F4}"/>
    <cellStyle name="Millares [0] 2 2 6 2 6 2" xfId="12436" xr:uid="{55818B2F-1C2E-4A95-81CD-F2831483D40E}"/>
    <cellStyle name="Millares [0] 2 2 6 2 6 3" xfId="15277" xr:uid="{0F10880E-64ED-4BD4-A740-DFE289CD5227}"/>
    <cellStyle name="Millares [0] 2 2 6 2 6 4" xfId="45159" xr:uid="{B9930962-1966-483B-9352-4C64280EDA36}"/>
    <cellStyle name="Millares [0] 2 2 6 2 6 5" xfId="50093" xr:uid="{D0C8A7C6-D273-466D-9E6C-50647119C8EC}"/>
    <cellStyle name="Millares [0] 2 2 6 2 7" xfId="9999" xr:uid="{D4724762-8874-4493-BF42-6C5FF162FBCA}"/>
    <cellStyle name="Millares [0] 2 2 6 2 8" xfId="12839" xr:uid="{4D60EDFD-E598-4FA4-9FD8-3F250178BBC6}"/>
    <cellStyle name="Millares [0] 2 2 6 2 9" xfId="15726" xr:uid="{BB1EAC48-C0DF-426F-BA73-A5C11E84811F}"/>
    <cellStyle name="Millares [0] 2 2 6 3" xfId="2154" xr:uid="{1BF70268-8E37-4C2C-BC2F-4F17A03896C4}"/>
    <cellStyle name="Millares [0] 2 2 6 3 2" xfId="10425" xr:uid="{567B4EC7-A6A7-4D2F-A21B-D9E63E18FA40}"/>
    <cellStyle name="Millares [0] 2 2 6 3 2 2" xfId="41826" xr:uid="{D10B7C7C-06C7-4F02-8611-2F9594D30FC7}"/>
    <cellStyle name="Millares [0] 2 2 6 3 2 3" xfId="45585" xr:uid="{689AE25F-C2DA-47D3-8776-AEDBAC26AC62}"/>
    <cellStyle name="Millares [0] 2 2 6 3 3" xfId="13265" xr:uid="{9A5C3D96-141C-4053-9334-5354CBEB4136}"/>
    <cellStyle name="Millares [0] 2 2 6 3 4" xfId="20671" xr:uid="{A7799C20-13E3-4608-9581-F74E3F7D0048}"/>
    <cellStyle name="Millares [0] 2 2 6 3 5" xfId="43189" xr:uid="{987B8B58-DDE0-4992-984B-516FA2D05523}"/>
    <cellStyle name="Millares [0] 2 2 6 3 6" xfId="48082" xr:uid="{009BE0C6-597F-4085-9529-8D0CE9B8A584}"/>
    <cellStyle name="Millares [0] 2 2 6 4" xfId="2572" xr:uid="{5048CD2A-DBCE-4488-B122-422290011EB1}"/>
    <cellStyle name="Millares [0] 2 2 6 4 2" xfId="10843" xr:uid="{72BEBB9D-27AB-44A8-B600-C2558C74D7F4}"/>
    <cellStyle name="Millares [0] 2 2 6 4 2 2" xfId="46003" xr:uid="{3D47D960-4D0C-44E6-8C77-AF029FF0D83C}"/>
    <cellStyle name="Millares [0] 2 2 6 4 3" xfId="13683" xr:uid="{AC57BEB3-8087-4C87-95FA-2AC76C3A5F90}"/>
    <cellStyle name="Millares [0] 2 2 6 4 4" xfId="26475" xr:uid="{2F9DC4A2-3E64-478E-BEFF-98DF024E5B42}"/>
    <cellStyle name="Millares [0] 2 2 6 4 5" xfId="43607" xr:uid="{AA762960-E9F3-47F7-BE9F-4556CFAE3D2C}"/>
    <cellStyle name="Millares [0] 2 2 6 4 6" xfId="48500" xr:uid="{1B1A5AA4-0406-408B-94D8-0317D8485134}"/>
    <cellStyle name="Millares [0] 2 2 6 5" xfId="3116" xr:uid="{5A588C45-9AB2-4543-96BB-D1D99CDD9D70}"/>
    <cellStyle name="Millares [0] 2 2 6 5 2" xfId="11387" xr:uid="{A7A5F7CF-0E1F-45A9-A48B-27C01CEEBBAC}"/>
    <cellStyle name="Millares [0] 2 2 6 5 2 2" xfId="46547" xr:uid="{6ABB095C-2171-4213-8A33-C585BAC9FE31}"/>
    <cellStyle name="Millares [0] 2 2 6 5 3" xfId="14227" xr:uid="{91C42D14-906A-49A0-8158-7EF5A24C2D4F}"/>
    <cellStyle name="Millares [0] 2 2 6 5 4" xfId="32350" xr:uid="{6DEC4D4F-05A4-4C64-BDBD-2ED6A42FCBD9}"/>
    <cellStyle name="Millares [0] 2 2 6 5 5" xfId="44151" xr:uid="{E4EB7485-219D-44F0-A4C0-F015119D2A1F}"/>
    <cellStyle name="Millares [0] 2 2 6 5 6" xfId="49044" xr:uid="{85225C3F-A060-493A-AEC7-B044C2F3D63E}"/>
    <cellStyle name="Millares [0] 2 2 6 6" xfId="3618" xr:uid="{B8E4DDBA-65B0-48D4-AAF6-E64BE19F677D}"/>
    <cellStyle name="Millares [0] 2 2 6 6 2" xfId="11859" xr:uid="{53ABE5EB-CB73-41DB-8384-99A9F06BF39B}"/>
    <cellStyle name="Millares [0] 2 2 6 6 3" xfId="14699" xr:uid="{227BC146-B74B-4CA0-A3EF-9453BBEDD078}"/>
    <cellStyle name="Millares [0] 2 2 6 6 4" xfId="38215" xr:uid="{D3721A67-8B95-4F05-874D-949BADDC0C23}"/>
    <cellStyle name="Millares [0] 2 2 6 6 5" xfId="44623" xr:uid="{051E1F2B-1496-4404-A51B-237EDE01BB58}"/>
    <cellStyle name="Millares [0] 2 2 6 6 6" xfId="49516" xr:uid="{4105CB07-1FE8-44FC-AE26-8E85BB43C327}"/>
    <cellStyle name="Millares [0] 2 2 6 7" xfId="6225" xr:uid="{36382316-4EAC-4107-B375-3881F5F84CDD}"/>
    <cellStyle name="Millares [0] 2 2 6 7 2" xfId="12249" xr:uid="{A4DE6CE5-7316-41CF-A94D-30BE840E1BEE}"/>
    <cellStyle name="Millares [0] 2 2 6 7 3" xfId="15090" xr:uid="{156A8E65-8D2C-4781-9D2C-D51D755E407A}"/>
    <cellStyle name="Millares [0] 2 2 6 7 4" xfId="45041" xr:uid="{A8A1F156-7F30-44B7-BCC4-BAF628BCE745}"/>
    <cellStyle name="Millares [0] 2 2 6 7 5" xfId="49906" xr:uid="{91534AC3-824D-4E4C-9599-B7DD09E3F639}"/>
    <cellStyle name="Millares [0] 2 2 6 8" xfId="9881" xr:uid="{B47C9229-E4D7-42DC-B5E3-23BC78A1063A}"/>
    <cellStyle name="Millares [0] 2 2 6 9" xfId="12721" xr:uid="{0426DCB0-8BD3-4938-AABA-61F496403974}"/>
    <cellStyle name="Millares [0] 2 2 7" xfId="337" xr:uid="{00000000-0005-0000-0000-00000B010000}"/>
    <cellStyle name="Millares [0] 2 2 7 10" xfId="16067" xr:uid="{03F49111-DE92-44DE-AA99-A3356D502C8C}"/>
    <cellStyle name="Millares [0] 2 2 7 11" xfId="16610" xr:uid="{FF7C8655-D7C6-41E3-9A81-F264E88AF1C3}"/>
    <cellStyle name="Millares [0] 2 2 7 12" xfId="17154" xr:uid="{4761A9BC-654A-4A52-BB25-8517C7123702}"/>
    <cellStyle name="Millares [0] 2 2 7 13" xfId="17832" xr:uid="{E21DA659-6732-4A83-8BC5-C02F54C2B242}"/>
    <cellStyle name="Millares [0] 2 2 7 14" xfId="17540" xr:uid="{BE826600-CEBD-4DA2-AB96-C1C3EADEE606}"/>
    <cellStyle name="Millares [0] 2 2 7 15" xfId="42648" xr:uid="{95E214CB-DEFC-4068-8294-85E61EAE78A5}"/>
    <cellStyle name="Millares [0] 2 2 7 16" xfId="47541" xr:uid="{233CEA7A-791B-45FC-A0C5-9D5311EC279F}"/>
    <cellStyle name="Millares [0] 2 2 7 2" xfId="2157" xr:uid="{EA7A5F5C-E6E0-4216-9648-24FEDB4D5741}"/>
    <cellStyle name="Millares [0] 2 2 7 2 2" xfId="10428" xr:uid="{37CB3F55-ADF3-4F76-AEA3-BCB9AAB30105}"/>
    <cellStyle name="Millares [0] 2 2 7 2 2 2" xfId="41832" xr:uid="{8E97F58F-F444-4879-8C8D-8DCFA80B8A13}"/>
    <cellStyle name="Millares [0] 2 2 7 2 2 3" xfId="45588" xr:uid="{4F9CF448-EE1B-480F-A687-87556166B523}"/>
    <cellStyle name="Millares [0] 2 2 7 2 3" xfId="13268" xr:uid="{A7AB3E8E-AA81-4D2D-B802-C204DB85453D}"/>
    <cellStyle name="Millares [0] 2 2 7 2 4" xfId="20759" xr:uid="{E4572582-1A0E-4CD0-BA33-82038167B454}"/>
    <cellStyle name="Millares [0] 2 2 7 2 5" xfId="43192" xr:uid="{6FF4D6C4-ACAC-4E3A-99E2-830ADB10349F}"/>
    <cellStyle name="Millares [0] 2 2 7 2 6" xfId="48085" xr:uid="{DB084707-4CA1-40A7-A4BA-7F8828225532}"/>
    <cellStyle name="Millares [0] 2 2 7 3" xfId="2575" xr:uid="{A00E35A7-2877-483C-8C9D-8C416BF1FE21}"/>
    <cellStyle name="Millares [0] 2 2 7 3 2" xfId="10846" xr:uid="{0C47B76D-2EC8-4394-A5EA-0CEABCA88AF1}"/>
    <cellStyle name="Millares [0] 2 2 7 3 2 2" xfId="46006" xr:uid="{B355EDAC-B529-4FAB-8228-EBE4F8D3AB9C}"/>
    <cellStyle name="Millares [0] 2 2 7 3 3" xfId="13686" xr:uid="{6BE0E170-606C-4E28-8F52-55F88FC5301C}"/>
    <cellStyle name="Millares [0] 2 2 7 3 4" xfId="26568" xr:uid="{E518D516-4D21-4F1A-B9D5-36ED696BE948}"/>
    <cellStyle name="Millares [0] 2 2 7 3 5" xfId="43610" xr:uid="{FC576429-62FE-4A12-9CD0-43ED8526AC52}"/>
    <cellStyle name="Millares [0] 2 2 7 3 6" xfId="48503" xr:uid="{C845885A-5AD2-4870-87B3-4F5432581E5E}"/>
    <cellStyle name="Millares [0] 2 2 7 4" xfId="3119" xr:uid="{2F081373-5313-44B3-B6A6-4FE9EF0FF589}"/>
    <cellStyle name="Millares [0] 2 2 7 4 2" xfId="11390" xr:uid="{84A80460-4A31-4300-A2C2-BA8407A3A6CA}"/>
    <cellStyle name="Millares [0] 2 2 7 4 2 2" xfId="46550" xr:uid="{0F3E1325-1F6C-4A7B-9107-F0B5B4AC3EF0}"/>
    <cellStyle name="Millares [0] 2 2 7 4 3" xfId="14230" xr:uid="{33A125B8-3C76-4E1F-9088-E5660C02F107}"/>
    <cellStyle name="Millares [0] 2 2 7 4 4" xfId="32443" xr:uid="{9BE81FA8-E2D4-475F-B341-30CAA1D5444C}"/>
    <cellStyle name="Millares [0] 2 2 7 4 5" xfId="44154" xr:uid="{B378A57C-04A9-4474-BDFB-2D46CB53159D}"/>
    <cellStyle name="Millares [0] 2 2 7 4 6" xfId="49047" xr:uid="{9352173F-73B1-4604-913D-3F2789129A65}"/>
    <cellStyle name="Millares [0] 2 2 7 5" xfId="3621" xr:uid="{AAFBFDC3-B93B-4015-A9A7-5D2FDEBFE496}"/>
    <cellStyle name="Millares [0] 2 2 7 5 2" xfId="11862" xr:uid="{E9F48D66-E184-461B-9BB1-DFFD064E8E85}"/>
    <cellStyle name="Millares [0] 2 2 7 5 3" xfId="14702" xr:uid="{7EF70081-68EF-4AF0-B6FD-813AAD2666BB}"/>
    <cellStyle name="Millares [0] 2 2 7 5 4" xfId="38308" xr:uid="{A4B61244-B42D-4CF9-A643-60599F475579}"/>
    <cellStyle name="Millares [0] 2 2 7 5 5" xfId="44626" xr:uid="{929B8886-F262-4BB8-B0D9-5136B7004EC3}"/>
    <cellStyle name="Millares [0] 2 2 7 5 6" xfId="46834" xr:uid="{6F3E293A-F493-47B2-8030-DC11B0F06D32}"/>
    <cellStyle name="Millares [0] 2 2 7 5 7" xfId="47079" xr:uid="{498F4A5E-33AD-4FEB-9D0E-DDDAC6B97892}"/>
    <cellStyle name="Millares [0] 2 2 7 5 8" xfId="49519" xr:uid="{D77EA2E9-9150-4C02-A04A-AA282FAAD927}"/>
    <cellStyle name="Millares [0] 2 2 7 6" xfId="6318" xr:uid="{A7CAE555-6A01-44BB-A286-15093BEFB137}"/>
    <cellStyle name="Millares [0] 2 2 7 6 2" xfId="12255" xr:uid="{5A11C6DF-88A7-4F06-B384-FED94170FD66}"/>
    <cellStyle name="Millares [0] 2 2 7 6 3" xfId="15096" xr:uid="{FD8C4BA1-BF39-4895-AFB0-0330D4BE1D2B}"/>
    <cellStyle name="Millares [0] 2 2 7 6 4" xfId="45044" xr:uid="{BE5FD50B-1B4B-41DC-8B36-FB98A7C70113}"/>
    <cellStyle name="Millares [0] 2 2 7 6 5" xfId="49912" xr:uid="{DF8F8765-51B0-43D9-934A-9084FC7AC1A9}"/>
    <cellStyle name="Millares [0] 2 2 7 7" xfId="9884" xr:uid="{28F149F6-8707-4C6C-A38C-7783E8AA7E5F}"/>
    <cellStyle name="Millares [0] 2 2 7 8" xfId="12724" xr:uid="{7EC84BD2-4648-43C3-A22F-A30A52C70331}"/>
    <cellStyle name="Millares [0] 2 2 7 9" xfId="15543" xr:uid="{7340780B-DBE1-442E-AF8C-D697BFB17650}"/>
    <cellStyle name="Millares [0] 2 2 8" xfId="558" xr:uid="{00000000-0005-0000-0000-00000C010000}"/>
    <cellStyle name="Millares [0] 2 2 8 10" xfId="18264" xr:uid="{CA362AE0-79A0-4A24-9364-D5337558073E}"/>
    <cellStyle name="Millares [0] 2 2 8 11" xfId="42865" xr:uid="{05F9F6DA-C1F4-4C25-AEE3-45508B683733}"/>
    <cellStyle name="Millares [0] 2 2 8 12" xfId="47758" xr:uid="{9CB03684-F04D-4AE8-BFD5-321BC36F75F3}"/>
    <cellStyle name="Millares [0] 2 2 8 2" xfId="2792" xr:uid="{1BC4CB17-A1BD-4119-B622-82A900685F71}"/>
    <cellStyle name="Millares [0] 2 2 8 2 2" xfId="11063" xr:uid="{1B61831D-3E68-473E-9A66-8E2F20072509}"/>
    <cellStyle name="Millares [0] 2 2 8 2 2 2" xfId="42036" xr:uid="{7576B11B-A68C-43FC-B380-FBDEDBABD081}"/>
    <cellStyle name="Millares [0] 2 2 8 2 2 3" xfId="46223" xr:uid="{264DAE1E-53D6-463F-9A48-547C64BC4010}"/>
    <cellStyle name="Millares [0] 2 2 8 2 3" xfId="13903" xr:uid="{B404A0AE-DB29-4BEC-9AFF-778747F4709B}"/>
    <cellStyle name="Millares [0] 2 2 8 2 4" xfId="23941" xr:uid="{4988E756-77B4-4715-B458-3C73B4E3DD8E}"/>
    <cellStyle name="Millares [0] 2 2 8 2 5" xfId="43827" xr:uid="{B4ADD4F5-56E1-40FC-8D80-80492618BF0C}"/>
    <cellStyle name="Millares [0] 2 2 8 2 6" xfId="48720" xr:uid="{2F2505CE-0BBC-49FD-AA98-CE590A6F8F75}"/>
    <cellStyle name="Millares [0] 2 2 8 3" xfId="9581" xr:uid="{DDE63B24-0187-463A-8146-2260C168F8DF}"/>
    <cellStyle name="Millares [0] 2 2 8 3 2" xfId="12459" xr:uid="{6587583C-60D4-4CDA-96DF-17CDC7B5115B}"/>
    <cellStyle name="Millares [0] 2 2 8 3 3" xfId="15300" xr:uid="{8CD5D5AA-B204-4B15-9ECC-5EC1A2449D69}"/>
    <cellStyle name="Millares [0] 2 2 8 3 4" xfId="29811" xr:uid="{A8733BB1-05DC-429C-998A-8BA050C5A3AD}"/>
    <cellStyle name="Millares [0] 2 2 8 3 5" xfId="45261" xr:uid="{37874C86-CB34-4163-8394-9D5C881CC4CC}"/>
    <cellStyle name="Millares [0] 2 2 8 3 6" xfId="46835" xr:uid="{C4B5FE4A-E032-4EB8-A2D8-BC907B4A01A0}"/>
    <cellStyle name="Millares [0] 2 2 8 3 7" xfId="47085" xr:uid="{D1B5BE3B-015E-4DC7-B3BC-B7DF1DC43994}"/>
    <cellStyle name="Millares [0] 2 2 8 3 8" xfId="50116" xr:uid="{E2B2B608-5C76-40E1-9F4E-A0EA84F944FC}"/>
    <cellStyle name="Millares [0] 2 2 8 4" xfId="10101" xr:uid="{5CC669C3-9CFB-47C8-9280-E4BE50AF8EF8}"/>
    <cellStyle name="Millares [0] 2 2 8 4 2" xfId="35693" xr:uid="{722F1745-9327-46BD-96EA-D7896A1DDA6A}"/>
    <cellStyle name="Millares [0] 2 2 8 5" xfId="12941" xr:uid="{0DD178E3-23CB-43E7-B927-6C565ED713E3}"/>
    <cellStyle name="Millares [0] 2 2 8 5 2" xfId="41552" xr:uid="{1565380C-FAE2-413B-A696-938403E9FBFA}"/>
    <cellStyle name="Millares [0] 2 2 8 6" xfId="15750" xr:uid="{9C99D5AC-753F-42C4-9E6F-40E4E960153D}"/>
    <cellStyle name="Millares [0] 2 2 8 7" xfId="16284" xr:uid="{093B179E-2E8F-409C-B7E5-0D63C7BEAC00}"/>
    <cellStyle name="Millares [0] 2 2 8 8" xfId="16827" xr:uid="{0C10748B-90B2-4112-95D0-DAE76D8B4700}"/>
    <cellStyle name="Millares [0] 2 2 8 9" xfId="17371" xr:uid="{D1C86616-F9E6-4425-B864-A5630E4B31AA}"/>
    <cellStyle name="Millares [0] 2 2 9" xfId="653" xr:uid="{00000000-0005-0000-0000-00000D010000}"/>
    <cellStyle name="Millares [0] 2 2 9 10" xfId="42957" xr:uid="{3537B353-83AC-44C3-880E-D0776893B9DE}"/>
    <cellStyle name="Millares [0] 2 2 9 11" xfId="47850" xr:uid="{7E95EE96-C6A8-4352-8D08-43331692E510}"/>
    <cellStyle name="Millares [0] 2 2 9 2" xfId="2884" xr:uid="{D119ACED-DBC3-44CC-BCD6-4F8AEB449506}"/>
    <cellStyle name="Millares [0] 2 2 9 2 2" xfId="11155" xr:uid="{FE3756ED-DB00-4A50-BB16-832D707DBF28}"/>
    <cellStyle name="Millares [0] 2 2 9 2 2 2" xfId="46315" xr:uid="{7154A8EF-9D8B-4D56-8B49-A131AC9EA71A}"/>
    <cellStyle name="Millares [0] 2 2 9 2 3" xfId="13995" xr:uid="{DD258C5B-3B84-4D73-8BE9-6979DA0DFB8B}"/>
    <cellStyle name="Millares [0] 2 2 9 2 4" xfId="41648" xr:uid="{6E729051-860D-4F2B-9A38-C7479CC61C9D}"/>
    <cellStyle name="Millares [0] 2 2 9 2 5" xfId="43919" xr:uid="{3FBF249B-7F56-42ED-85B6-EC127E30EA5B}"/>
    <cellStyle name="Millares [0] 2 2 9 2 6" xfId="48812" xr:uid="{09BFA67E-67DF-47E9-981F-C2B9FFC0B4FE}"/>
    <cellStyle name="Millares [0] 2 2 9 3" xfId="10193" xr:uid="{F998C7E7-F58F-4336-8655-D8AC732DD5BF}"/>
    <cellStyle name="Millares [0] 2 2 9 3 2" xfId="45353" xr:uid="{09D89984-27FB-4BB5-BC84-0BD789A9EB70}"/>
    <cellStyle name="Millares [0] 2 2 9 4" xfId="13033" xr:uid="{47229BAA-5725-4BBC-8543-7E68A23722D3}"/>
    <cellStyle name="Millares [0] 2 2 9 5" xfId="15837" xr:uid="{CA41DE3A-0807-49A1-A00F-96B0280D9DDE}"/>
    <cellStyle name="Millares [0] 2 2 9 6" xfId="16376" xr:uid="{C69CBDE5-83DA-4650-8642-86EE4F4279C6}"/>
    <cellStyle name="Millares [0] 2 2 9 7" xfId="16919" xr:uid="{089CB11C-B88C-4F97-924C-9FDFDE9DC0E8}"/>
    <cellStyle name="Millares [0] 2 2 9 8" xfId="17463" xr:uid="{ACB2A36B-148A-4093-ADE0-F9E52348C5CE}"/>
    <cellStyle name="Millares [0] 2 2 9 9" xfId="18281" xr:uid="{1B7E76D9-0AD5-4B9D-BD45-F4F145BD8502}"/>
    <cellStyle name="Millares [0] 2 20" xfId="29923" xr:uid="{B9CBE3DA-E3AB-4530-B32E-FCC3BCD822A4}"/>
    <cellStyle name="Millares [0] 2 21" xfId="35804" xr:uid="{78998888-A0CA-4E57-98F9-9D721DB75757}"/>
    <cellStyle name="Millares [0] 2 22" xfId="17490" xr:uid="{3E39EA27-A8B5-4F46-B350-0940565329B8}"/>
    <cellStyle name="Millares [0] 2 23" xfId="42076" xr:uid="{4799EEB1-78FA-4A81-9DA9-62384224AB65}"/>
    <cellStyle name="Millares [0] 2 24" xfId="50175" xr:uid="{C3649F63-9657-4429-8F68-D159421CBE74}"/>
    <cellStyle name="Millares [0] 2 25" xfId="50249" xr:uid="{1B607309-3AB5-4A28-BF62-7E7AAB40F90E}"/>
    <cellStyle name="Millares [0] 2 3" xfId="129" xr:uid="{00000000-0005-0000-0000-00000E010000}"/>
    <cellStyle name="Millares [0] 2 3 10" xfId="35843" xr:uid="{6BEF2CD3-180C-407C-93EF-67A61F82E861}"/>
    <cellStyle name="Millares [0] 2 3 11" xfId="17501" xr:uid="{BE78B399-B258-463E-98F9-61A55305B0AC}"/>
    <cellStyle name="Millares [0] 2 3 12" xfId="42077" xr:uid="{206B8EA2-8FAA-4F0F-B552-D9B3C8076388}"/>
    <cellStyle name="Millares [0] 2 3 13" xfId="50199" xr:uid="{AB34B8C0-70DC-4F6D-981A-910A8F1C5319}"/>
    <cellStyle name="Millares [0] 2 3 14" xfId="50273" xr:uid="{92A0BDBF-E3C1-460F-8748-5E49E34736D7}"/>
    <cellStyle name="Millares [0] 2 3 2" xfId="1928" xr:uid="{00000000-0005-0000-0000-00000F010000}"/>
    <cellStyle name="Millares [0] 2 3 2 10" xfId="42078" xr:uid="{0E77813B-777C-45C1-B553-3D6B7EFCB77A}"/>
    <cellStyle name="Millares [0] 2 3 2 11" xfId="50237" xr:uid="{E4144E0A-2127-49DC-9FC6-CC505302900D}"/>
    <cellStyle name="Millares [0] 2 3 2 12" xfId="50311" xr:uid="{04258885-2EB6-4C00-80F7-50D9010CEC2A}"/>
    <cellStyle name="Millares [0] 2 3 2 2" xfId="4738" xr:uid="{31153BBA-0535-46BC-8702-4B4F5759B5B0}"/>
    <cellStyle name="Millares [0] 2 3 2 2 10" xfId="49810" xr:uid="{40617A31-1B47-4A20-AAE6-054E95F0616A}"/>
    <cellStyle name="Millares [0] 2 3 2 2 11" xfId="50383" xr:uid="{676601D7-E03B-4216-B23B-7903FBB6519F}"/>
    <cellStyle name="Millares [0] 2 3 2 2 2" xfId="5706" xr:uid="{E79CFE6B-470D-4C36-B6FA-9F4145809DE4}"/>
    <cellStyle name="Millares [0] 2 3 2 2 2 2" xfId="8574" xr:uid="{F458092D-0B60-4AA3-BCDC-038807E5DB39}"/>
    <cellStyle name="Millares [0] 2 3 2 2 2 2 2" xfId="12412" xr:uid="{BDE4DE64-4E7B-4E8A-9F9C-C08E8449B9A8}"/>
    <cellStyle name="Millares [0] 2 3 2 2 2 2 2 2" xfId="41989" xr:uid="{D029D444-97E9-450B-826B-74BEA8E89AFB}"/>
    <cellStyle name="Millares [0] 2 3 2 2 2 2 2 3" xfId="22946" xr:uid="{3BED72CF-E57D-4A25-AF30-93F1F14800A1}"/>
    <cellStyle name="Millares [0] 2 3 2 2 2 2 3" xfId="15253" xr:uid="{B2248F65-C01F-4DD5-8C6B-8159CCA15CF0}"/>
    <cellStyle name="Millares [0] 2 3 2 2 2 2 3 2" xfId="28807" xr:uid="{5727569D-BBA9-4F13-B98D-86BCAEB248AF}"/>
    <cellStyle name="Millares [0] 2 3 2 2 2 2 4" xfId="15701" xr:uid="{7584A9EB-5FC8-417E-A1ED-1F550847DF3B}"/>
    <cellStyle name="Millares [0] 2 3 2 2 2 2 4 2" xfId="34689" xr:uid="{75B53407-5086-494C-AEEC-408810E8ECAB}"/>
    <cellStyle name="Millares [0] 2 3 2 2 2 2 5" xfId="40553" xr:uid="{BCE57AE2-CB65-4B45-AE97-B8DC00676472}"/>
    <cellStyle name="Millares [0] 2 3 2 2 2 2 6" xfId="18151" xr:uid="{A7699647-19A5-475E-8EF3-0008050F4451}"/>
    <cellStyle name="Millares [0] 2 3 2 2 2 2 7" xfId="50069" xr:uid="{1BBD6ED0-6F72-444C-9E58-9E2298C74743}"/>
    <cellStyle name="Millares [0] 2 3 2 2 2 3" xfId="12225" xr:uid="{6B9B3752-828A-47D1-9BD2-0748C7C2D1DD}"/>
    <cellStyle name="Millares [0] 2 3 2 2 2 3 2" xfId="41802" xr:uid="{96D3C5B5-54E2-44CA-9DBB-FB5ED443BBD8}"/>
    <cellStyle name="Millares [0] 2 3 2 2 2 3 3" xfId="20163" xr:uid="{663B764A-5213-45EA-8BC6-46EB2B266CDF}"/>
    <cellStyle name="Millares [0] 2 3 2 2 2 4" xfId="15066" xr:uid="{215ADDED-356B-4724-82B9-E35237C0A31D}"/>
    <cellStyle name="Millares [0] 2 3 2 2 2 4 2" xfId="25957" xr:uid="{71D20FB3-DC82-40FD-81CE-88C36A378DCA}"/>
    <cellStyle name="Millares [0] 2 3 2 2 2 5" xfId="15513" xr:uid="{84A102A3-49BE-468E-8902-906DE17E857D}"/>
    <cellStyle name="Millares [0] 2 3 2 2 2 5 2" xfId="31832" xr:uid="{F8E25D61-6BC1-4359-93AE-B7C2AA89FCC6}"/>
    <cellStyle name="Millares [0] 2 3 2 2 2 6" xfId="37699" xr:uid="{B3149787-3416-4D1B-8422-EAE4652EC879}"/>
    <cellStyle name="Millares [0] 2 3 2 2 2 7" xfId="17765" xr:uid="{54BD8680-F587-43DD-AD9B-D5950AEE9F8E}"/>
    <cellStyle name="Millares [0] 2 3 2 2 2 8" xfId="49882" xr:uid="{FF6CB82A-EEA5-4CF7-97F3-74A9C5E7BAF3}"/>
    <cellStyle name="Millares [0] 2 3 2 2 3" xfId="7602" xr:uid="{CB7C42F2-927B-4FF0-A68F-9BD76815D2BA}"/>
    <cellStyle name="Millares [0] 2 3 2 2 3 2" xfId="12340" xr:uid="{4DF2CA7E-A453-4C2B-972C-469BCB8F5272}"/>
    <cellStyle name="Millares [0] 2 3 2 2 3 2 2" xfId="41917" xr:uid="{11BFF266-8941-4A5E-BFDC-682AFCCB6AE5}"/>
    <cellStyle name="Millares [0] 2 3 2 2 3 2 3" xfId="21996" xr:uid="{36E6340B-DE80-4F24-99D2-1D43AB4B1DC0}"/>
    <cellStyle name="Millares [0] 2 3 2 2 3 3" xfId="15181" xr:uid="{00E677ED-B17F-45F3-9EFD-4953A2B40A42}"/>
    <cellStyle name="Millares [0] 2 3 2 2 3 3 2" xfId="27836" xr:uid="{6A9E9CEF-7D58-47EF-A301-165434658D59}"/>
    <cellStyle name="Millares [0] 2 3 2 2 3 4" xfId="15628" xr:uid="{5DEC0CF7-2DDE-45A1-AD60-F6DA2DF94810}"/>
    <cellStyle name="Millares [0] 2 3 2 2 3 4 2" xfId="33718" xr:uid="{B527F126-711B-488B-857F-67FD8948652C}"/>
    <cellStyle name="Millares [0] 2 3 2 2 3 5" xfId="39582" xr:uid="{A73F1DCB-3CDD-4AA6-8602-41E438031FB1}"/>
    <cellStyle name="Millares [0] 2 3 2 2 3 6" xfId="18012" xr:uid="{063972E2-2752-462D-85F7-371CA7F5306C}"/>
    <cellStyle name="Millares [0] 2 3 2 2 3 7" xfId="47282" xr:uid="{F608AF0F-F6C5-47DF-8608-704349FEC92D}"/>
    <cellStyle name="Millares [0] 2 3 2 2 3 8" xfId="49997" xr:uid="{7C4D73A7-574F-4DEB-B82C-804D8ED94531}"/>
    <cellStyle name="Millares [0] 2 3 2 2 4" xfId="12153" xr:uid="{6961C2DA-A87C-4F56-9636-CFA9AEC73647}"/>
    <cellStyle name="Millares [0] 2 3 2 2 4 2" xfId="41730" xr:uid="{CD9974DC-AB2D-4564-B750-56E5B2D5B013}"/>
    <cellStyle name="Millares [0] 2 3 2 2 4 3" xfId="19227" xr:uid="{73B7F2E3-7EC6-496F-AAA7-1C46E1E399CD}"/>
    <cellStyle name="Millares [0] 2 3 2 2 4 4" xfId="47150" xr:uid="{01FDFED6-8C98-4769-A48A-D4B831C6FBCD}"/>
    <cellStyle name="Millares [0] 2 3 2 2 5" xfId="14994" xr:uid="{DE00A58D-E2A2-47E7-9C35-C0442AE8A46A}"/>
    <cellStyle name="Millares [0] 2 3 2 2 5 2" xfId="24987" xr:uid="{BB66DEDE-958C-4EE2-B6D1-3CC8A558F1B9}"/>
    <cellStyle name="Millares [0] 2 3 2 2 6" xfId="15440" xr:uid="{8BB5E185-00F1-48B4-B6D8-E964EE7BA6D1}"/>
    <cellStyle name="Millares [0] 2 3 2 2 6 2" xfId="30861" xr:uid="{385F6099-18A6-45CB-8E78-825FA836FC8A}"/>
    <cellStyle name="Millares [0] 2 3 2 2 7" xfId="36742" xr:uid="{82AC95CB-34AF-497F-A18A-C1325CBF3FEC}"/>
    <cellStyle name="Millares [0] 2 3 2 2 8" xfId="17632" xr:uid="{05121C88-FA08-46A7-8D96-DA51EC3728C2}"/>
    <cellStyle name="Millares [0] 2 3 2 2 9" xfId="46836" xr:uid="{B12A17ED-AA9C-454F-BDEA-3EE3EA5A04EE}"/>
    <cellStyle name="Millares [0] 2 3 2 3" xfId="5222" xr:uid="{FE307C1C-BCAC-4E85-9F11-DC290F320EAA}"/>
    <cellStyle name="Millares [0] 2 3 2 3 2" xfId="8089" xr:uid="{CD46E554-5AF4-4FD0-8A19-A9A3ECA9BEB9}"/>
    <cellStyle name="Millares [0] 2 3 2 3 2 2" xfId="12376" xr:uid="{22F1FF9D-7BEF-4A63-9C33-B49F596B19D0}"/>
    <cellStyle name="Millares [0] 2 3 2 3 2 2 2" xfId="41953" xr:uid="{816BD5A8-F49E-4D45-933F-7BD160245B72}"/>
    <cellStyle name="Millares [0] 2 3 2 3 2 2 3" xfId="22467" xr:uid="{B634C33E-395F-47FF-8FB9-FBBE388C9C1B}"/>
    <cellStyle name="Millares [0] 2 3 2 3 2 3" xfId="15217" xr:uid="{D4903D29-07FC-45C9-9D0C-559ADE164CFC}"/>
    <cellStyle name="Millares [0] 2 3 2 3 2 3 2" xfId="28322" xr:uid="{FD0DFA3F-C27A-4FD0-8B37-1DB08877D268}"/>
    <cellStyle name="Millares [0] 2 3 2 3 2 4" xfId="15664" xr:uid="{D7EE77D7-2597-4223-9B22-8E9D781A6C1E}"/>
    <cellStyle name="Millares [0] 2 3 2 3 2 4 2" xfId="34204" xr:uid="{6A7C9833-B987-4EA1-8753-2A308DD69728}"/>
    <cellStyle name="Millares [0] 2 3 2 3 2 5" xfId="40068" xr:uid="{4B5D74D3-8FBA-4578-B350-F9C75F044102}"/>
    <cellStyle name="Millares [0] 2 3 2 3 2 6" xfId="18082" xr:uid="{89C30C5F-9486-4D51-948C-1BCA9269A0A4}"/>
    <cellStyle name="Millares [0] 2 3 2 3 2 7" xfId="47287" xr:uid="{5667B058-9A25-4D7D-9058-F9419452A191}"/>
    <cellStyle name="Millares [0] 2 3 2 3 2 8" xfId="50033" xr:uid="{09997B45-8FCA-4086-91AE-BD23FAAB87B6}"/>
    <cellStyle name="Millares [0] 2 3 2 3 3" xfId="12189" xr:uid="{3739F115-2F03-4D98-A029-8576D45D9E13}"/>
    <cellStyle name="Millares [0] 2 3 2 3 3 2" xfId="41766" xr:uid="{65A72713-2CEE-41BC-8D14-E450308FD6A0}"/>
    <cellStyle name="Millares [0] 2 3 2 3 3 3" xfId="19692" xr:uid="{C7FB2953-37F9-40E8-B3E6-E8E2B4F5A6A3}"/>
    <cellStyle name="Millares [0] 2 3 2 3 3 4" xfId="47199" xr:uid="{0E367207-7692-48A5-B890-336B4566787B}"/>
    <cellStyle name="Millares [0] 2 3 2 3 4" xfId="15030" xr:uid="{4EDAEA3B-0268-41AC-B52A-E7F445CA2538}"/>
    <cellStyle name="Millares [0] 2 3 2 3 4 2" xfId="25473" xr:uid="{6EF97E34-4086-440D-872C-8DD0BE946C12}"/>
    <cellStyle name="Millares [0] 2 3 2 3 5" xfId="15476" xr:uid="{EC7DCA05-315C-44B1-9F0E-02B8E7C69745}"/>
    <cellStyle name="Millares [0] 2 3 2 3 5 2" xfId="31347" xr:uid="{065B0716-9CB5-493F-9451-0F4F60D053AB}"/>
    <cellStyle name="Millares [0] 2 3 2 3 6" xfId="37220" xr:uid="{B544D5A9-BBA4-47DC-87B5-3B0709602CC2}"/>
    <cellStyle name="Millares [0] 2 3 2 3 7" xfId="17700" xr:uid="{CCE76E9B-1978-4E38-9840-E41830B044D5}"/>
    <cellStyle name="Millares [0] 2 3 2 3 8" xfId="46837" xr:uid="{81F7A127-83F3-45CE-8C11-0F755470B985}"/>
    <cellStyle name="Millares [0] 2 3 2 3 9" xfId="49846" xr:uid="{1952615F-8CE6-477A-B3A8-65C620D2BAF4}"/>
    <cellStyle name="Millares [0] 2 3 2 4" xfId="7117" xr:uid="{39E17FF1-6A26-4E7A-8168-2A6BD292ACC4}"/>
    <cellStyle name="Millares [0] 2 3 2 4 2" xfId="12304" xr:uid="{2C459D7D-F6C6-4D9F-91A2-0619812B467C}"/>
    <cellStyle name="Millares [0] 2 3 2 4 2 2" xfId="41881" xr:uid="{8B5F30FB-FB0B-4942-B022-53325001EA7C}"/>
    <cellStyle name="Millares [0] 2 3 2 4 2 3" xfId="21528" xr:uid="{AEABFF63-94C4-43BF-8C36-DF37D127C371}"/>
    <cellStyle name="Millares [0] 2 3 2 4 3" xfId="15145" xr:uid="{5F6D9333-3A3A-40B4-9C69-67873D8750EC}"/>
    <cellStyle name="Millares [0] 2 3 2 4 3 2" xfId="27352" xr:uid="{A4C9FFC4-3341-4872-B523-8ED1F472F62B}"/>
    <cellStyle name="Millares [0] 2 3 2 4 4" xfId="15592" xr:uid="{BAE997BC-03B4-4885-A8FB-6AAA40364BCE}"/>
    <cellStyle name="Millares [0] 2 3 2 4 4 2" xfId="33233" xr:uid="{34239D27-DD2A-4B86-BFCB-F66103A361AC}"/>
    <cellStyle name="Millares [0] 2 3 2 4 5" xfId="39097" xr:uid="{DF0BC337-470B-4341-83A7-44FA1FA3FE60}"/>
    <cellStyle name="Millares [0] 2 3 2 4 6" xfId="17944" xr:uid="{4D3CD272-97CF-4564-BBDC-9BC38AC8DFA0}"/>
    <cellStyle name="Millares [0] 2 3 2 4 7" xfId="46838" xr:uid="{656CA7EA-4BBF-448B-8E12-257DDC11BB87}"/>
    <cellStyle name="Millares [0] 2 3 2 4 8" xfId="49961" xr:uid="{B1568C03-AA90-43BE-8FC1-FC146E09BBE8}"/>
    <cellStyle name="Millares [0] 2 3 2 5" xfId="4258" xr:uid="{9879FD25-280A-49E0-A81C-B55B48917875}"/>
    <cellStyle name="Millares [0] 2 3 2 5 2" xfId="12116" xr:uid="{4ACC04F9-1C2F-4EA9-BFC7-E07A9C56F9E4}"/>
    <cellStyle name="Millares [0] 2 3 2 5 2 2" xfId="41693" xr:uid="{F5EE8936-FF0D-4751-BEB4-B8C18527D7DA}"/>
    <cellStyle name="Millares [0] 2 3 2 5 3" xfId="14957" xr:uid="{D530DE45-5FEB-4F7A-B991-09A2AFF51EDE}"/>
    <cellStyle name="Millares [0] 2 3 2 5 4" xfId="18779" xr:uid="{5822A541-E145-45E8-99CF-C583EB93A470}"/>
    <cellStyle name="Millares [0] 2 3 2 5 5" xfId="47258" xr:uid="{54E02E21-84D7-4C73-B8FC-E8265601A26A}"/>
    <cellStyle name="Millares [0] 2 3 2 5 6" xfId="49773" xr:uid="{5072CB2A-0A94-4E93-8C50-91F8739BE53F}"/>
    <cellStyle name="Millares [0] 2 3 2 6" xfId="15402" xr:uid="{5B492038-8E0E-4199-B1C6-6360F7013AEC}"/>
    <cellStyle name="Millares [0] 2 3 2 6 2" xfId="24501" xr:uid="{55A3ED74-74B3-4DE7-9564-83C5A87A8593}"/>
    <cellStyle name="Millares [0] 2 3 2 6 3" xfId="47119" xr:uid="{94C8CBBC-B518-4A39-B3A2-5B5BDC40547F}"/>
    <cellStyle name="Millares [0] 2 3 2 7" xfId="30380" xr:uid="{FE4364D0-3C84-42CB-85F3-7C5A9C109C89}"/>
    <cellStyle name="Millares [0] 2 3 2 8" xfId="36261" xr:uid="{94B8ABD0-5F1C-4AFE-A29D-279C854308C0}"/>
    <cellStyle name="Millares [0] 2 3 2 9" xfId="17569" xr:uid="{F4D34005-B7B2-4D4D-BE46-4B566A0037EF}"/>
    <cellStyle name="Millares [0] 2 3 3" xfId="3383" xr:uid="{BAA5D951-7486-4DF3-A1AC-61CA45860B66}"/>
    <cellStyle name="Millares [0] 2 3 3 10" xfId="50345" xr:uid="{00F64299-7A32-4ECE-BD23-33C537EC4434}"/>
    <cellStyle name="Millares [0] 2 3 3 2" xfId="9089" xr:uid="{C08884FB-DCD2-4127-A5F9-40D086BE5441}"/>
    <cellStyle name="Millares [0] 2 3 3 2 2" xfId="12433" xr:uid="{D0B7A4C9-06C2-4AF6-90C2-DFBA3281987B}"/>
    <cellStyle name="Millares [0] 2 3 3 2 2 2" xfId="42010" xr:uid="{57850A4B-8F85-4118-8C6B-041F2102856B}"/>
    <cellStyle name="Millares [0] 2 3 3 2 2 3" xfId="23453" xr:uid="{3D6F778C-D120-4644-888A-5D5847820C51}"/>
    <cellStyle name="Millares [0] 2 3 3 2 3" xfId="15274" xr:uid="{9B285BD6-6193-49D8-95AD-9243128F2772}"/>
    <cellStyle name="Millares [0] 2 3 3 2 3 2" xfId="29320" xr:uid="{C67737B7-F09B-45B3-B9E7-F2A3E2354285}"/>
    <cellStyle name="Millares [0] 2 3 3 2 4" xfId="15723" xr:uid="{FE6B1F74-9B02-45F3-A439-58164F71D232}"/>
    <cellStyle name="Millares [0] 2 3 3 2 4 2" xfId="35202" xr:uid="{4CF4CCCA-2CFE-4EFD-AE2B-6B6F1F95B650}"/>
    <cellStyle name="Millares [0] 2 3 3 2 5" xfId="41063" xr:uid="{40909052-4E41-496A-BC6B-4D4B669531DC}"/>
    <cellStyle name="Millares [0] 2 3 3 2 6" xfId="18199" xr:uid="{EC929FA8-4178-42F0-8FDB-DDFEF3534055}"/>
    <cellStyle name="Millares [0] 2 3 3 2 7" xfId="46791" xr:uid="{40A3FDA1-A5A3-4171-B16E-5A03F05CC947}"/>
    <cellStyle name="Millares [0] 2 3 3 2 8" xfId="50090" xr:uid="{4C7C655A-04FE-4C30-A718-6191E3A09705}"/>
    <cellStyle name="Millares [0] 2 3 3 3" xfId="6220" xr:uid="{C968A2F8-F26B-43F5-9A09-E2114606B87F}"/>
    <cellStyle name="Millares [0] 2 3 3 3 2" xfId="12246" xr:uid="{39E02E8E-73F5-4AF4-AE9A-CDB1E0750624}"/>
    <cellStyle name="Millares [0] 2 3 3 3 2 2" xfId="41823" xr:uid="{9D27B24B-238F-4240-B512-0D1D67C3EFD1}"/>
    <cellStyle name="Millares [0] 2 3 3 3 3" xfId="15087" xr:uid="{865404EE-D9CE-48A4-8570-FEA9E4F3CB2A}"/>
    <cellStyle name="Millares [0] 2 3 3 3 4" xfId="20666" xr:uid="{B9EA64F9-1177-4D39-80D3-187605CF74B1}"/>
    <cellStyle name="Millares [0] 2 3 3 3 5" xfId="47267" xr:uid="{35D504E9-8ADF-4A3C-9ED6-2FBFD79157BD}"/>
    <cellStyle name="Millares [0] 2 3 3 3 6" xfId="49903" xr:uid="{F1118ECB-7465-4103-A67C-6640B6AD030E}"/>
    <cellStyle name="Millares [0] 2 3 3 4" xfId="11631" xr:uid="{94585553-8036-4861-B696-3E4AE0873716}"/>
    <cellStyle name="Millares [0] 2 3 3 4 2" xfId="26470" xr:uid="{83CB8C87-102A-4DC2-9CD7-ABCA2A1C6C71}"/>
    <cellStyle name="Millares [0] 2 3 3 5" xfId="14471" xr:uid="{F4247B78-98DD-42C1-A324-8498149E0907}"/>
    <cellStyle name="Millares [0] 2 3 3 5 2" xfId="32345" xr:uid="{56DCABD8-1D20-4520-B618-E0239621BCF4}"/>
    <cellStyle name="Millares [0] 2 3 3 6" xfId="15534" xr:uid="{7CCD46B4-B082-4BD7-997B-700B16CE854F}"/>
    <cellStyle name="Millares [0] 2 3 3 6 2" xfId="38210" xr:uid="{8C68300E-1723-43B6-9737-F571DE526926}"/>
    <cellStyle name="Millares [0] 2 3 3 7" xfId="17816" xr:uid="{104F1717-DAE5-4AC3-8A76-6266D8113A5E}"/>
    <cellStyle name="Millares [0] 2 3 3 8" xfId="44395" xr:uid="{5B2227DE-AEB6-4107-8955-389910EB40C9}"/>
    <cellStyle name="Millares [0] 2 3 3 9" xfId="49288" xr:uid="{24B891A7-47E9-40CC-8643-1D24F749351D}"/>
    <cellStyle name="Millares [0] 2 3 4" xfId="6326" xr:uid="{9488F19E-7F35-4771-88DB-2C29DAACD53B}"/>
    <cellStyle name="Millares [0] 2 3 4 2" xfId="9191" xr:uid="{F0D3517A-85EC-438F-8AE6-4E00304F06D2}"/>
    <cellStyle name="Millares [0] 2 3 4 2 2" xfId="12446" xr:uid="{78609303-191B-40E2-A26E-878F8B16FDAE}"/>
    <cellStyle name="Millares [0] 2 3 4 2 2 2" xfId="42023" xr:uid="{1313AE4D-1AAE-4DBF-860F-1C777A7639C9}"/>
    <cellStyle name="Millares [0] 2 3 4 2 2 3" xfId="23555" xr:uid="{D728FD7F-1DB5-4674-8D16-D9D2289D9EA3}"/>
    <cellStyle name="Millares [0] 2 3 4 2 3" xfId="15287" xr:uid="{A8DB317F-C81F-41C6-8D5C-DA8167FD1F3C}"/>
    <cellStyle name="Millares [0] 2 3 4 2 3 2" xfId="29422" xr:uid="{43113FD6-8419-4A55-9E7D-72DD7993D0CC}"/>
    <cellStyle name="Millares [0] 2 3 4 2 4" xfId="15736" xr:uid="{7EEA3175-896B-43CE-8774-837928F2853D}"/>
    <cellStyle name="Millares [0] 2 3 4 2 4 2" xfId="35304" xr:uid="{0409B819-8382-4FE0-BCBF-749B10B495BF}"/>
    <cellStyle name="Millares [0] 2 3 4 2 5" xfId="41163" xr:uid="{0973E09C-C99D-4DFB-8226-07E37DB9C95E}"/>
    <cellStyle name="Millares [0] 2 3 4 2 6" xfId="18220" xr:uid="{742D41F1-ACD2-4F9C-8304-D48D1F00FF06}"/>
    <cellStyle name="Millares [0] 2 3 4 2 7" xfId="50103" xr:uid="{4F31DD2E-DE1D-4328-B141-D138FA8C473A}"/>
    <cellStyle name="Millares [0] 2 3 4 3" xfId="12263" xr:uid="{8AA83D7D-3882-4E64-A772-E7953672A36D}"/>
    <cellStyle name="Millares [0] 2 3 4 3 2" xfId="41840" xr:uid="{5E7D5EAE-9594-46D7-BDBF-2EDF5F3A3008}"/>
    <cellStyle name="Millares [0] 2 3 4 3 3" xfId="20767" xr:uid="{A48818CE-F1CA-4A8E-B11B-16EE5E06FA6F}"/>
    <cellStyle name="Millares [0] 2 3 4 4" xfId="15104" xr:uid="{FDE5C1BA-1483-46EE-B6CE-8D5E340822A9}"/>
    <cellStyle name="Millares [0] 2 3 4 4 2" xfId="26576" xr:uid="{8860FF2A-A077-462E-8A1A-B6E283756790}"/>
    <cellStyle name="Millares [0] 2 3 4 5" xfId="15551" xr:uid="{0DC5511E-650A-4F75-B06C-A1AABA4B94EA}"/>
    <cellStyle name="Millares [0] 2 3 4 5 2" xfId="32451" xr:uid="{B7D43E76-67BB-4938-9EAC-E46CFA877A99}"/>
    <cellStyle name="Millares [0] 2 3 4 6" xfId="38316" xr:uid="{6B1DDFCA-4C2C-4401-9EBC-9E6F77DDF594}"/>
    <cellStyle name="Millares [0] 2 3 4 7" xfId="17840" xr:uid="{B3A7C15B-987F-4A4D-B773-59894F03D827}"/>
    <cellStyle name="Millares [0] 2 3 4 8" xfId="46839" xr:uid="{A772B669-768E-4F1A-BEB3-BC776C033A50}"/>
    <cellStyle name="Millares [0] 2 3 4 9" xfId="49920" xr:uid="{CB08DBD2-088C-4310-859B-1B24256332EF}"/>
    <cellStyle name="Millares [0] 2 3 5" xfId="9582" xr:uid="{05C6F7EC-37BE-4D37-94F1-028C1653CB3B}"/>
    <cellStyle name="Millares [0] 2 3 5 2" xfId="12460" xr:uid="{D29BA27E-E7DE-4392-A07F-F2287ABCF12A}"/>
    <cellStyle name="Millares [0] 2 3 5 2 2" xfId="42037" xr:uid="{90FC6A45-CE31-4A3E-A951-E72751873C07}"/>
    <cellStyle name="Millares [0] 2 3 5 2 3" xfId="23942" xr:uid="{A9BF74FB-273A-4EB0-B797-F1AA9C260370}"/>
    <cellStyle name="Millares [0] 2 3 5 2 4" xfId="47244" xr:uid="{558FB656-9801-4ED3-AC0C-1FD7B5A32BF4}"/>
    <cellStyle name="Millares [0] 2 3 5 3" xfId="15301" xr:uid="{3EAE0D25-7D46-44AA-A623-23448A5A2426}"/>
    <cellStyle name="Millares [0] 2 3 5 3 2" xfId="29812" xr:uid="{8A71D29B-B831-4FCB-8983-0F4F8F537302}"/>
    <cellStyle name="Millares [0] 2 3 5 4" xfId="15751" xr:uid="{3B7278A2-0B6C-4763-8478-3573B2036B4F}"/>
    <cellStyle name="Millares [0] 2 3 5 4 2" xfId="35694" xr:uid="{647A3C60-97F0-4BAB-999F-8825808800D6}"/>
    <cellStyle name="Millares [0] 2 3 5 5" xfId="41553" xr:uid="{BD8480F1-4F2C-4456-B84E-3BC59C64038B}"/>
    <cellStyle name="Millares [0] 2 3 5 6" xfId="18265" xr:uid="{F6A480F0-1E77-4A23-B0BE-C62FAD8D6DC7}"/>
    <cellStyle name="Millares [0] 2 3 5 7" xfId="47094" xr:uid="{5F9F8DF8-95AB-4BE1-8943-5EDF59700F8A}"/>
    <cellStyle name="Millares [0] 2 3 5 8" xfId="50117" xr:uid="{7C561142-C0E6-42CB-8EA7-9CF232B888AA}"/>
    <cellStyle name="Millares [0] 2 3 6" xfId="3855" xr:uid="{86704428-9CC8-4EE4-9196-28C42A838441}"/>
    <cellStyle name="Millares [0] 2 3 6 2" xfId="12074" xr:uid="{50474163-016B-4513-8E5B-E30638D8DD4A}"/>
    <cellStyle name="Millares [0] 2 3 6 2 2" xfId="41651" xr:uid="{D388E989-A250-4AEA-BF4C-1C0698C57AF2}"/>
    <cellStyle name="Millares [0] 2 3 6 3" xfId="14915" xr:uid="{7D6945F4-F928-4EDD-84B0-F801D5878F12}"/>
    <cellStyle name="Millares [0] 2 3 6 4" xfId="15845" xr:uid="{65C426CF-AF50-4B47-8A63-AE0CE1808185}"/>
    <cellStyle name="Millares [0] 2 3 6 5" xfId="18289" xr:uid="{DECBD476-D5ED-43A0-B172-7113EA933779}"/>
    <cellStyle name="Millares [0] 2 3 6 6" xfId="47106" xr:uid="{3FDCE34F-F191-4D35-88D7-7C5481E2EF71}"/>
    <cellStyle name="Millares [0] 2 3 6 7" xfId="49731" xr:uid="{5A12611B-5B46-49FD-823D-2C481C4626B8}"/>
    <cellStyle name="Millares [0] 2 3 7" xfId="9667" xr:uid="{0BE0F647-BBCE-416A-A557-0A1A01A0A391}"/>
    <cellStyle name="Millares [0] 2 3 7 2" xfId="12507" xr:uid="{5F68A5ED-4BEC-4A2B-929E-3C37C185098C}"/>
    <cellStyle name="Millares [0] 2 3 7 3" xfId="15348" xr:uid="{C70924D8-1FCE-41EF-BD2A-1FF7D65D7ABB}"/>
    <cellStyle name="Millares [0] 2 3 7 4" xfId="18375" xr:uid="{FA77BF69-4DE8-4396-A20E-06C686BE2192}"/>
    <cellStyle name="Millares [0] 2 3 7 5" xfId="50164" xr:uid="{E925C756-C4D9-4AC9-9E9D-929A803E7F85}"/>
    <cellStyle name="Millares [0] 2 3 8" xfId="15360" xr:uid="{A956C728-B1F6-4153-A952-5E9CDCB62E15}"/>
    <cellStyle name="Millares [0] 2 3 8 2" xfId="24084" xr:uid="{C1B80423-C386-4963-A009-23037D15DD17}"/>
    <cellStyle name="Millares [0] 2 3 9" xfId="29962" xr:uid="{19A20262-AF32-4207-9250-89BA82D02975}"/>
    <cellStyle name="Millares [0] 2 4" xfId="162" xr:uid="{00000000-0005-0000-0000-000010010000}"/>
    <cellStyle name="Millares [0] 2 4 10" xfId="9730" xr:uid="{A965C669-E450-4F0F-AB41-3104BC37DC62}"/>
    <cellStyle name="Millares [0] 2 4 11" xfId="12570" xr:uid="{5644EE51-EE88-4B88-B792-80180DC2A6C0}"/>
    <cellStyle name="Millares [0] 2 4 12" xfId="15366" xr:uid="{247D3052-3D7B-4AB1-BAFE-E33CE9226209}"/>
    <cellStyle name="Millares [0] 2 4 13" xfId="15913" xr:uid="{428DE0D4-701A-4C9C-B7B4-38EE5269E438}"/>
    <cellStyle name="Millares [0] 2 4 14" xfId="16456" xr:uid="{843AB5F0-ED63-4495-A201-B28F508AD19F}"/>
    <cellStyle name="Millares [0] 2 4 15" xfId="17000" xr:uid="{720311FA-FFA5-4570-B974-BD07E720D313}"/>
    <cellStyle name="Millares [0] 2 4 16" xfId="17509" xr:uid="{A507202E-EAA2-4C97-8D91-A493AA099DBA}"/>
    <cellStyle name="Millares [0] 2 4 17" xfId="42079" xr:uid="{53E59199-A637-4E19-BA4D-7D1AF862D6CA}"/>
    <cellStyle name="Millares [0] 2 4 18" xfId="42494" xr:uid="{A8EB1756-F0BD-4ED1-96DE-5D253E92B23D}"/>
    <cellStyle name="Millares [0] 2 4 19" xfId="47387" xr:uid="{5EC57615-359F-4105-856C-52A5FD11D47E}"/>
    <cellStyle name="Millares [0] 2 4 2" xfId="276" xr:uid="{00000000-0005-0000-0000-000011010000}"/>
    <cellStyle name="Millares [0] 2 4 2 10" xfId="15408" xr:uid="{52831713-5BB7-4BB5-99FC-B56537D410AA}"/>
    <cellStyle name="Millares [0] 2 4 2 11" xfId="16017" xr:uid="{E0A2BD2C-78B6-44E5-9D63-3B7F4FFF0663}"/>
    <cellStyle name="Millares [0] 2 4 2 12" xfId="16560" xr:uid="{43F0F8CE-0E90-4452-9098-6EFD6C94484E}"/>
    <cellStyle name="Millares [0] 2 4 2 13" xfId="17104" xr:uid="{3F97544F-6933-4A09-99B1-A506A2FD922A}"/>
    <cellStyle name="Millares [0] 2 4 2 14" xfId="17576" xr:uid="{E2D50E30-DB98-452A-9698-2CA57D93140D}"/>
    <cellStyle name="Millares [0] 2 4 2 15" xfId="42598" xr:uid="{7139C446-50A7-43F4-9A91-1ECB0A55A7B9}"/>
    <cellStyle name="Millares [0] 2 4 2 16" xfId="47491" xr:uid="{12CD5AC9-1523-48D0-9466-140117664B02}"/>
    <cellStyle name="Millares [0] 2 4 2 17" xfId="50359" xr:uid="{F814F3C4-FFBB-44D0-BCA5-044104026B57}"/>
    <cellStyle name="Millares [0] 2 4 2 2" xfId="503" xr:uid="{00000000-0005-0000-0000-000012010000}"/>
    <cellStyle name="Millares [0] 2 4 2 2 10" xfId="16229" xr:uid="{EEE8DE22-D840-4213-8747-5B9D224968FD}"/>
    <cellStyle name="Millares [0] 2 4 2 2 11" xfId="16772" xr:uid="{769002A5-583D-4061-8F55-8A7F10186712}"/>
    <cellStyle name="Millares [0] 2 4 2 2 12" xfId="17316" xr:uid="{FE52FA7E-5ECA-46D7-B759-7436108AD9C0}"/>
    <cellStyle name="Millares [0] 2 4 2 2 13" xfId="17637" xr:uid="{A3DC1F28-B934-4D14-8DB6-386D50A0B20F}"/>
    <cellStyle name="Millares [0] 2 4 2 2 14" xfId="42810" xr:uid="{1E5429EB-AF81-4178-AB0D-346476193886}"/>
    <cellStyle name="Millares [0] 2 4 2 2 15" xfId="47703" xr:uid="{7DDB5D63-8D2B-4C9D-917E-A38A3CFEC144}"/>
    <cellStyle name="Millares [0] 2 4 2 2 2" xfId="2319" xr:uid="{061F2D76-5D58-4C72-9AEE-DB63AF7748C1}"/>
    <cellStyle name="Millares [0] 2 4 2 2 2 2" xfId="8593" xr:uid="{B47DECCB-BA1F-437F-BEF4-3E9D332F4E9A}"/>
    <cellStyle name="Millares [0] 2 4 2 2 2 2 2" xfId="12417" xr:uid="{05E471E8-E88D-4092-8C6E-032074BB56A1}"/>
    <cellStyle name="Millares [0] 2 4 2 2 2 2 2 2" xfId="41994" xr:uid="{7FE3273D-14BA-4B02-AAF7-49C07189A051}"/>
    <cellStyle name="Millares [0] 2 4 2 2 2 2 2 3" xfId="22965" xr:uid="{3E137A7D-3F99-4ED0-9C1D-DDED79DCAF36}"/>
    <cellStyle name="Millares [0] 2 4 2 2 2 2 3" xfId="15258" xr:uid="{97E771E1-5701-47E8-B086-98E5AADEB5CF}"/>
    <cellStyle name="Millares [0] 2 4 2 2 2 2 3 2" xfId="28826" xr:uid="{5E735BCA-D652-42B3-AB0F-735951688F01}"/>
    <cellStyle name="Millares [0] 2 4 2 2 2 2 4" xfId="15706" xr:uid="{8118D03A-22CD-4417-9D51-B8CB476C67B0}"/>
    <cellStyle name="Millares [0] 2 4 2 2 2 2 4 2" xfId="34708" xr:uid="{D1C66108-333F-4507-8CAD-6F58557CAD70}"/>
    <cellStyle name="Millares [0] 2 4 2 2 2 2 5" xfId="40572" xr:uid="{865D550F-EB01-49B7-9C47-7AB8355C36CC}"/>
    <cellStyle name="Millares [0] 2 4 2 2 2 2 6" xfId="18157" xr:uid="{D09F5E80-1A67-4B66-8CE5-2DF1014243E1}"/>
    <cellStyle name="Millares [0] 2 4 2 2 2 2 7" xfId="45750" xr:uid="{32D5CC6F-6383-4BBF-AD4D-274AB34D4C53}"/>
    <cellStyle name="Millares [0] 2 4 2 2 2 2 8" xfId="50074" xr:uid="{DE40CC92-C5C3-4D50-B56F-40EF8DDC9B9C}"/>
    <cellStyle name="Millares [0] 2 4 2 2 2 3" xfId="5725" xr:uid="{04E9118D-E2FA-4242-8FC4-9E6B8A3DA27D}"/>
    <cellStyle name="Millares [0] 2 4 2 2 2 3 2" xfId="12230" xr:uid="{05511261-641F-4879-AFA3-9CB5C5559A38}"/>
    <cellStyle name="Millares [0] 2 4 2 2 2 3 2 2" xfId="41807" xr:uid="{F179F25E-C3FE-4C78-8669-5110636ACC54}"/>
    <cellStyle name="Millares [0] 2 4 2 2 2 3 3" xfId="15071" xr:uid="{F6523A35-21BF-479A-B2F6-15F78D0D2728}"/>
    <cellStyle name="Millares [0] 2 4 2 2 2 3 4" xfId="20182" xr:uid="{C8475F50-CA25-4BC3-9A2B-55DE97E9F6A7}"/>
    <cellStyle name="Millares [0] 2 4 2 2 2 3 5" xfId="49887" xr:uid="{57834CF9-48DD-453B-882E-4DF57DB9C69A}"/>
    <cellStyle name="Millares [0] 2 4 2 2 2 4" xfId="10590" xr:uid="{14FE7875-4384-4CE8-9456-F27CD71B4828}"/>
    <cellStyle name="Millares [0] 2 4 2 2 2 4 2" xfId="25976" xr:uid="{5ED797CE-BE4D-4259-BA8C-A69AC4A528F8}"/>
    <cellStyle name="Millares [0] 2 4 2 2 2 5" xfId="13430" xr:uid="{13735B9B-3041-49F0-B73A-989E10A0E968}"/>
    <cellStyle name="Millares [0] 2 4 2 2 2 5 2" xfId="31851" xr:uid="{C47BF0C2-A1DC-4EC9-A21D-F8AF67273EAD}"/>
    <cellStyle name="Millares [0] 2 4 2 2 2 6" xfId="15518" xr:uid="{F306E261-B16A-46EA-B41C-E3D225293C8E}"/>
    <cellStyle name="Millares [0] 2 4 2 2 2 6 2" xfId="37718" xr:uid="{3D2284A0-C09A-4223-8443-E82AEBF47FD3}"/>
    <cellStyle name="Millares [0] 2 4 2 2 2 7" xfId="17772" xr:uid="{ECDAA0ED-05EA-489E-A9E0-506869659AD1}"/>
    <cellStyle name="Millares [0] 2 4 2 2 2 8" xfId="43354" xr:uid="{7D7AFACD-2C56-48DD-B0C4-7EB80FC7EE08}"/>
    <cellStyle name="Millares [0] 2 4 2 2 2 9" xfId="48247" xr:uid="{6531E67E-BC0E-46DC-AC47-BFF179D4DEBF}"/>
    <cellStyle name="Millares [0] 2 4 2 2 3" xfId="2737" xr:uid="{80A2C7BC-B241-4545-B9CB-59442AD7148C}"/>
    <cellStyle name="Millares [0] 2 4 2 2 3 2" xfId="7621" xr:uid="{8825AE7D-8BAE-4882-8E80-06280337CBCA}"/>
    <cellStyle name="Millares [0] 2 4 2 2 3 2 2" xfId="12345" xr:uid="{974DD787-ECFE-4DD5-BABF-482EE1B1665C}"/>
    <cellStyle name="Millares [0] 2 4 2 2 3 2 2 2" xfId="41922" xr:uid="{6134F5CF-6047-4432-8F5E-6057289B4923}"/>
    <cellStyle name="Millares [0] 2 4 2 2 3 2 3" xfId="15186" xr:uid="{9EA891C5-B2A9-4F8C-9552-BF5C514E8601}"/>
    <cellStyle name="Millares [0] 2 4 2 2 3 2 4" xfId="22015" xr:uid="{CF4C8745-21AE-45BF-9F4C-FBA9B4F2CFA4}"/>
    <cellStyle name="Millares [0] 2 4 2 2 3 2 5" xfId="46168" xr:uid="{70961686-D8A2-4D18-A85C-D8144E7AF93D}"/>
    <cellStyle name="Millares [0] 2 4 2 2 3 2 6" xfId="50002" xr:uid="{58850EB4-F8C1-46B6-99DC-8CCF7C331B81}"/>
    <cellStyle name="Millares [0] 2 4 2 2 3 3" xfId="11008" xr:uid="{8F34A165-19E1-4E9A-889A-3F8DCB25ED7D}"/>
    <cellStyle name="Millares [0] 2 4 2 2 3 3 2" xfId="27855" xr:uid="{A56ABD40-47DF-400F-942E-43141F6554C9}"/>
    <cellStyle name="Millares [0] 2 4 2 2 3 4" xfId="13848" xr:uid="{057411BD-F1BA-4EC8-AFD9-02903DB68512}"/>
    <cellStyle name="Millares [0] 2 4 2 2 3 4 2" xfId="33737" xr:uid="{7843135C-2D6E-4D70-8A60-7B09C4AEFF28}"/>
    <cellStyle name="Millares [0] 2 4 2 2 3 5" xfId="15633" xr:uid="{E51F3BBB-E846-4A18-B5C3-8F441EDF29E7}"/>
    <cellStyle name="Millares [0] 2 4 2 2 3 5 2" xfId="39601" xr:uid="{E4A7ACE6-0955-4DBC-BFD5-C8A1097CFE83}"/>
    <cellStyle name="Millares [0] 2 4 2 2 3 6" xfId="18019" xr:uid="{3101BF23-965F-45CC-81CD-A08E9231A9A9}"/>
    <cellStyle name="Millares [0] 2 4 2 2 3 7" xfId="43772" xr:uid="{0C56C6C7-3236-4AD4-8BB5-FA2BA7904D8F}"/>
    <cellStyle name="Millares [0] 2 4 2 2 3 8" xfId="48665" xr:uid="{C62638CB-D31E-494A-8E84-32B8D4DD5528}"/>
    <cellStyle name="Millares [0] 2 4 2 2 4" xfId="3281" xr:uid="{5CA4749C-F05C-4442-B71B-B0165ACD94AC}"/>
    <cellStyle name="Millares [0] 2 4 2 2 4 2" xfId="11552" xr:uid="{11C0D53F-3CC2-4E88-821C-69BB9C317BAB}"/>
    <cellStyle name="Millares [0] 2 4 2 2 4 2 2" xfId="41735" xr:uid="{96CAA25D-49A0-4A2A-8BB9-4819A867AB15}"/>
    <cellStyle name="Millares [0] 2 4 2 2 4 2 3" xfId="46712" xr:uid="{7E2A9D8F-8169-49A2-93DB-83FBF0ECBD40}"/>
    <cellStyle name="Millares [0] 2 4 2 2 4 3" xfId="14392" xr:uid="{2A7F31D3-70AB-4516-BC71-AD8B93A01932}"/>
    <cellStyle name="Millares [0] 2 4 2 2 4 4" xfId="19245" xr:uid="{6D9F0B07-1420-4C93-8012-4C110723D510}"/>
    <cellStyle name="Millares [0] 2 4 2 2 4 5" xfId="44316" xr:uid="{D9B3103E-6D6B-432B-8F76-E6F42F201276}"/>
    <cellStyle name="Millares [0] 2 4 2 2 4 6" xfId="49209" xr:uid="{3364F589-99E3-43E9-996C-BAD9AF593531}"/>
    <cellStyle name="Millares [0] 2 4 2 2 5" xfId="3783" xr:uid="{D274B55D-83CC-4770-9774-1863EF3181EB}"/>
    <cellStyle name="Millares [0] 2 4 2 2 5 2" xfId="12024" xr:uid="{F010E3EB-F9FF-4597-85FD-1A518C7A42A2}"/>
    <cellStyle name="Millares [0] 2 4 2 2 5 3" xfId="14864" xr:uid="{F4AC06B1-8587-4125-B352-659197A49D79}"/>
    <cellStyle name="Millares [0] 2 4 2 2 5 4" xfId="25006" xr:uid="{57DD86DE-929C-4545-B8CE-60DD0FA9A6D8}"/>
    <cellStyle name="Millares [0] 2 4 2 2 5 5" xfId="44788" xr:uid="{47E49CAE-AB5D-4F17-86B5-93CC87687BB0}"/>
    <cellStyle name="Millares [0] 2 4 2 2 5 6" xfId="49681" xr:uid="{D7539422-7CCB-4126-A2C5-912528197911}"/>
    <cellStyle name="Millares [0] 2 4 2 2 6" xfId="4757" xr:uid="{053D08FA-850E-4EB3-9F63-B97CAB3BC240}"/>
    <cellStyle name="Millares [0] 2 4 2 2 6 2" xfId="12158" xr:uid="{FD7F05A4-6B63-490A-9979-45E4B5992C07}"/>
    <cellStyle name="Millares [0] 2 4 2 2 6 3" xfId="14999" xr:uid="{08B765BA-3B95-4792-B1F8-F71500B9E330}"/>
    <cellStyle name="Millares [0] 2 4 2 2 6 4" xfId="30880" xr:uid="{A149D1EB-7DDF-405E-BE04-8B21A71D2C2A}"/>
    <cellStyle name="Millares [0] 2 4 2 2 6 5" xfId="45206" xr:uid="{2DE07ED4-40EC-4B63-829B-C6C094C0FDA3}"/>
    <cellStyle name="Millares [0] 2 4 2 2 6 6" xfId="49815" xr:uid="{FA9C140E-0BBC-467F-B324-C3B40B6AEA22}"/>
    <cellStyle name="Millares [0] 2 4 2 2 7" xfId="10046" xr:uid="{3E497ED7-5E6C-490B-94BA-2E8F88869DE6}"/>
    <cellStyle name="Millares [0] 2 4 2 2 7 2" xfId="36761" xr:uid="{BBED2D4F-167A-4A72-BC4F-51E68C48CC91}"/>
    <cellStyle name="Millares [0] 2 4 2 2 8" xfId="12886" xr:uid="{D7D481D3-AAFA-48CC-8EDB-6BF1BDAD8663}"/>
    <cellStyle name="Millares [0] 2 4 2 2 9" xfId="15445" xr:uid="{DE83AF7A-60AA-4C97-AF94-FB03536515B8}"/>
    <cellStyle name="Millares [0] 2 4 2 3" xfId="2107" xr:uid="{80C74DD5-9E95-452C-962F-0ABD207B2928}"/>
    <cellStyle name="Millares [0] 2 4 2 3 2" xfId="8108" xr:uid="{53278695-A7DE-4AA8-A200-757A2A85F274}"/>
    <cellStyle name="Millares [0] 2 4 2 3 2 2" xfId="12381" xr:uid="{279A28AD-272D-4229-BD8C-BE6D346924FB}"/>
    <cellStyle name="Millares [0] 2 4 2 3 2 2 2" xfId="41958" xr:uid="{A8B79F11-E1BD-47A1-99F7-28554DFE8793}"/>
    <cellStyle name="Millares [0] 2 4 2 3 2 2 3" xfId="22486" xr:uid="{B6C99025-1DF5-4DA6-9D73-5E399EEA6F19}"/>
    <cellStyle name="Millares [0] 2 4 2 3 2 3" xfId="15222" xr:uid="{C93D6199-0140-47B5-BFC9-69B189BA7429}"/>
    <cellStyle name="Millares [0] 2 4 2 3 2 3 2" xfId="28341" xr:uid="{1F318D18-0967-4AEF-A322-8EA703AA1781}"/>
    <cellStyle name="Millares [0] 2 4 2 3 2 4" xfId="15669" xr:uid="{50AE2305-C9B2-4A85-B0D7-7A8455787106}"/>
    <cellStyle name="Millares [0] 2 4 2 3 2 4 2" xfId="34223" xr:uid="{338D2B0A-D5A5-4A72-94C2-6B592A4813EF}"/>
    <cellStyle name="Millares [0] 2 4 2 3 2 5" xfId="40087" xr:uid="{9A5A8D33-D827-474A-BDF5-3D78D3127D6C}"/>
    <cellStyle name="Millares [0] 2 4 2 3 2 6" xfId="18088" xr:uid="{283F13ED-B82C-4DFF-B111-99C34B1518CF}"/>
    <cellStyle name="Millares [0] 2 4 2 3 2 7" xfId="45538" xr:uid="{08DB070B-2426-4B68-BCEB-A3E7E5529DF1}"/>
    <cellStyle name="Millares [0] 2 4 2 3 2 8" xfId="50038" xr:uid="{97FFAC8A-44CF-451C-BDBD-22EB03E982AD}"/>
    <cellStyle name="Millares [0] 2 4 2 3 3" xfId="5241" xr:uid="{8D869789-37B1-4C59-BF6A-F89A5CD972AA}"/>
    <cellStyle name="Millares [0] 2 4 2 3 3 2" xfId="12194" xr:uid="{40EB2344-1954-4EF4-8073-15E3C4C29E29}"/>
    <cellStyle name="Millares [0] 2 4 2 3 3 2 2" xfId="41771" xr:uid="{57C56D85-566F-4B49-8B69-675BCE02D9D4}"/>
    <cellStyle name="Millares [0] 2 4 2 3 3 3" xfId="15035" xr:uid="{D8E9C63A-6A89-4C47-A38F-DAFC4D75FA03}"/>
    <cellStyle name="Millares [0] 2 4 2 3 3 4" xfId="19711" xr:uid="{F054B3CC-A02C-4C1F-8136-E4E762DC5DE2}"/>
    <cellStyle name="Millares [0] 2 4 2 3 3 5" xfId="49851" xr:uid="{31298B59-1689-446F-A715-E6799555696F}"/>
    <cellStyle name="Millares [0] 2 4 2 3 4" xfId="10378" xr:uid="{492E1F48-F4C2-43E8-A977-513189B48FAC}"/>
    <cellStyle name="Millares [0] 2 4 2 3 4 2" xfId="25492" xr:uid="{E82E811A-FEF2-4F52-912E-5C7E446BA1CC}"/>
    <cellStyle name="Millares [0] 2 4 2 3 5" xfId="13218" xr:uid="{CB00C8FA-670D-45C5-98E1-A6BDAF059435}"/>
    <cellStyle name="Millares [0] 2 4 2 3 5 2" xfId="31366" xr:uid="{5C77622B-D764-4959-9C3C-64E305337CFB}"/>
    <cellStyle name="Millares [0] 2 4 2 3 6" xfId="15481" xr:uid="{DD1F0A5E-B738-4C23-B0B5-18680E475022}"/>
    <cellStyle name="Millares [0] 2 4 2 3 6 2" xfId="37239" xr:uid="{5C925E44-84A6-415F-A251-0A11D49EB5BC}"/>
    <cellStyle name="Millares [0] 2 4 2 3 7" xfId="17706" xr:uid="{822FF575-5017-405C-9892-DB3DEE61A9E7}"/>
    <cellStyle name="Millares [0] 2 4 2 3 8" xfId="43142" xr:uid="{CEE0F8B5-629C-4155-BF90-FBE2C5FC9E3A}"/>
    <cellStyle name="Millares [0] 2 4 2 3 9" xfId="48035" xr:uid="{D95D5903-2DE7-4F38-9F04-8E4960167C73}"/>
    <cellStyle name="Millares [0] 2 4 2 4" xfId="2525" xr:uid="{D3C8352D-C7F0-4F15-BBD0-C84D3D5EE289}"/>
    <cellStyle name="Millares [0] 2 4 2 4 2" xfId="7136" xr:uid="{F01E98D0-1618-4B83-878F-821F8D7C98FA}"/>
    <cellStyle name="Millares [0] 2 4 2 4 2 2" xfId="12309" xr:uid="{6A082517-C2D5-4937-90AA-BDEC3A5257C9}"/>
    <cellStyle name="Millares [0] 2 4 2 4 2 2 2" xfId="41886" xr:uid="{07343F2E-38E8-4204-98C9-04B204EF0515}"/>
    <cellStyle name="Millares [0] 2 4 2 4 2 3" xfId="15150" xr:uid="{2CDAFB2D-16B5-4D5B-8AB1-F7AB08389694}"/>
    <cellStyle name="Millares [0] 2 4 2 4 2 4" xfId="21547" xr:uid="{A50E38D1-9460-41CE-8E2D-FD872E264FF9}"/>
    <cellStyle name="Millares [0] 2 4 2 4 2 5" xfId="45956" xr:uid="{3D3F6D2F-B9C8-48B9-AC8A-9D27B10CBFD5}"/>
    <cellStyle name="Millares [0] 2 4 2 4 2 6" xfId="49966" xr:uid="{EEB6ABC2-289A-43B2-955F-279A022B2BB8}"/>
    <cellStyle name="Millares [0] 2 4 2 4 3" xfId="10796" xr:uid="{B89E2FE0-4C48-4BA7-9020-D9C388E3682B}"/>
    <cellStyle name="Millares [0] 2 4 2 4 3 2" xfId="27371" xr:uid="{D1F45447-32B3-4D42-ADE4-4564A8E678F2}"/>
    <cellStyle name="Millares [0] 2 4 2 4 4" xfId="13636" xr:uid="{0D30C2E8-0690-4834-B936-10C35F653FA5}"/>
    <cellStyle name="Millares [0] 2 4 2 4 4 2" xfId="33252" xr:uid="{CD5D2C6F-84CF-48D5-A106-87FA06855CB0}"/>
    <cellStyle name="Millares [0] 2 4 2 4 5" xfId="15597" xr:uid="{7A8E9B20-1CF7-43DC-81F9-3C9BCEE32AB2}"/>
    <cellStyle name="Millares [0] 2 4 2 4 5 2" xfId="39116" xr:uid="{1BF47F65-9FC3-4804-80FC-DF5DF82B4DB6}"/>
    <cellStyle name="Millares [0] 2 4 2 4 6" xfId="17950" xr:uid="{EF10A0F0-A783-41D8-9985-1B04F29ACB1A}"/>
    <cellStyle name="Millares [0] 2 4 2 4 7" xfId="43560" xr:uid="{EA47E3C8-C67F-4E97-8C36-2C4DB2058FB6}"/>
    <cellStyle name="Millares [0] 2 4 2 4 8" xfId="48453" xr:uid="{C77464CE-0163-4245-8A64-AFBC5E641F23}"/>
    <cellStyle name="Millares [0] 2 4 2 5" xfId="3069" xr:uid="{190CE4C9-59F9-49CD-88ED-EDB3C57EE13C}"/>
    <cellStyle name="Millares [0] 2 4 2 5 2" xfId="11340" xr:uid="{2DE8800D-C124-46F4-8D39-542CC88F0EA7}"/>
    <cellStyle name="Millares [0] 2 4 2 5 2 2" xfId="41699" xr:uid="{A8723014-B9B7-4809-988A-0FF302503800}"/>
    <cellStyle name="Millares [0] 2 4 2 5 2 3" xfId="46500" xr:uid="{81C90E54-3D78-436E-9C61-09A8C57DFCCA}"/>
    <cellStyle name="Millares [0] 2 4 2 5 3" xfId="14180" xr:uid="{CDB2032C-BF76-485C-AC07-2238D6D003A1}"/>
    <cellStyle name="Millares [0] 2 4 2 5 4" xfId="18789" xr:uid="{F7147308-1F30-4147-9A77-56142AC0C21F}"/>
    <cellStyle name="Millares [0] 2 4 2 5 5" xfId="44104" xr:uid="{75A0D148-6CE2-4DCB-92F3-F83147A80A27}"/>
    <cellStyle name="Millares [0] 2 4 2 5 6" xfId="48997" xr:uid="{D6839B6A-93C1-48D3-B355-A09AC8114BDE}"/>
    <cellStyle name="Millares [0] 2 4 2 6" xfId="3571" xr:uid="{F3AA427C-E550-48AB-AE27-08441A978729}"/>
    <cellStyle name="Millares [0] 2 4 2 6 2" xfId="11812" xr:uid="{CE05F4BE-FA79-4612-B8F8-06994258DFFA}"/>
    <cellStyle name="Millares [0] 2 4 2 6 3" xfId="14652" xr:uid="{C42B9658-02BD-4C9E-92D6-6D514DA063CF}"/>
    <cellStyle name="Millares [0] 2 4 2 6 4" xfId="24521" xr:uid="{2A4863FE-6219-4D5E-A9E1-B82804DEE4F3}"/>
    <cellStyle name="Millares [0] 2 4 2 6 5" xfId="44576" xr:uid="{634EDC02-5E84-4C38-B2FB-F82B9A8F3919}"/>
    <cellStyle name="Millares [0] 2 4 2 6 6" xfId="49469" xr:uid="{F35C7147-D3C1-43D4-8451-9767FECF3066}"/>
    <cellStyle name="Millares [0] 2 4 2 7" xfId="4276" xr:uid="{2565A4EF-7720-4558-8DCC-652F3DDB5573}"/>
    <cellStyle name="Millares [0] 2 4 2 7 2" xfId="12122" xr:uid="{56EA8CE8-7938-44E4-891D-D4F261A37C6D}"/>
    <cellStyle name="Millares [0] 2 4 2 7 3" xfId="14963" xr:uid="{01482077-78C9-48C7-9585-274F7AC03B92}"/>
    <cellStyle name="Millares [0] 2 4 2 7 4" xfId="30400" xr:uid="{28EE5EC7-6B9C-440C-B586-60ECD843826F}"/>
    <cellStyle name="Millares [0] 2 4 2 7 5" xfId="44994" xr:uid="{704698A7-A59E-4FC9-BDAA-026F85879347}"/>
    <cellStyle name="Millares [0] 2 4 2 7 6" xfId="49779" xr:uid="{68D2DA13-5161-4E07-B121-FCC9FFF97063}"/>
    <cellStyle name="Millares [0] 2 4 2 8" xfId="9834" xr:uid="{55DD0824-5B7A-485E-B933-B87ECF09AF56}"/>
    <cellStyle name="Millares [0] 2 4 2 8 2" xfId="36281" xr:uid="{1041B9FB-D2C6-4153-BF00-E463216D358F}"/>
    <cellStyle name="Millares [0] 2 4 2 9" xfId="12674" xr:uid="{FB5DC5A2-4C42-4F3B-8643-75275C5EE327}"/>
    <cellStyle name="Millares [0] 2 4 20" xfId="50213" xr:uid="{1EFA8D40-B80A-431C-84DA-F46AB5939EBF}"/>
    <cellStyle name="Millares [0] 2 4 21" xfId="50287" xr:uid="{3E61ADD4-B6F8-4F03-8BA3-14324C08EC96}"/>
    <cellStyle name="Millares [0] 2 4 3" xfId="402" xr:uid="{00000000-0005-0000-0000-000013010000}"/>
    <cellStyle name="Millares [0] 2 4 3 10" xfId="16129" xr:uid="{78EDE544-3B54-4240-BDE7-0B38DB129AC7}"/>
    <cellStyle name="Millares [0] 2 4 3 11" xfId="16672" xr:uid="{40B4D4FE-55EB-4EAC-8877-551E7FB80E26}"/>
    <cellStyle name="Millares [0] 2 4 3 12" xfId="17216" xr:uid="{363AE3CC-4643-4942-AF25-7DBEF0618679}"/>
    <cellStyle name="Millares [0] 2 4 3 13" xfId="17835" xr:uid="{1019D9F2-4EAE-4266-AF30-070CAD044AF4}"/>
    <cellStyle name="Millares [0] 2 4 3 14" xfId="42710" xr:uid="{0F773B97-4E2D-469C-98B5-2DD4BAC2476B}"/>
    <cellStyle name="Millares [0] 2 4 3 15" xfId="47603" xr:uid="{1ED92C33-B042-4581-9F52-F2914AF24B3C}"/>
    <cellStyle name="Millares [0] 2 4 3 2" xfId="2219" xr:uid="{BE2B64A8-CD2D-49AA-B62D-027EDAF7B6E0}"/>
    <cellStyle name="Millares [0] 2 4 3 2 2" xfId="9186" xr:uid="{C1F8E922-A9E7-4619-A3E1-CD07175ED7AD}"/>
    <cellStyle name="Millares [0] 2 4 3 2 2 2" xfId="12441" xr:uid="{504C72CF-8112-4D3A-9C9B-4271CD7FBC27}"/>
    <cellStyle name="Millares [0] 2 4 3 2 2 2 2" xfId="42018" xr:uid="{5799EB25-2032-4280-821D-EEE6D55CCB12}"/>
    <cellStyle name="Millares [0] 2 4 3 2 2 3" xfId="15282" xr:uid="{10570D5C-4594-4256-B6BD-8807C9855526}"/>
    <cellStyle name="Millares [0] 2 4 3 2 2 4" xfId="23550" xr:uid="{CD180C45-EA97-49A5-8DDA-FA33F491D8AF}"/>
    <cellStyle name="Millares [0] 2 4 3 2 2 5" xfId="45650" xr:uid="{C16D83D6-B0A2-4A1F-B549-02E0F89AC2CA}"/>
    <cellStyle name="Millares [0] 2 4 3 2 2 6" xfId="50098" xr:uid="{C01C7581-F508-4B8B-8066-55067ACCCD7B}"/>
    <cellStyle name="Millares [0] 2 4 3 2 3" xfId="10490" xr:uid="{E2CA39D3-8EB9-4AEB-8653-F52EF12A1144}"/>
    <cellStyle name="Millares [0] 2 4 3 2 3 2" xfId="29417" xr:uid="{7763572D-4DFD-4447-BC11-C36C86364B34}"/>
    <cellStyle name="Millares [0] 2 4 3 2 4" xfId="13330" xr:uid="{D2ECD510-A4AE-4274-B250-8AA33E249911}"/>
    <cellStyle name="Millares [0] 2 4 3 2 4 2" xfId="35299" xr:uid="{1A2EF7FB-DECF-4916-9A22-C4BFD66DE96B}"/>
    <cellStyle name="Millares [0] 2 4 3 2 5" xfId="15731" xr:uid="{A4C42B11-378E-4B3B-8713-BEDD3CEE0F9C}"/>
    <cellStyle name="Millares [0] 2 4 3 2 5 2" xfId="41158" xr:uid="{3D8FA813-0DDF-463A-BF77-7D8A093DD395}"/>
    <cellStyle name="Millares [0] 2 4 3 2 6" xfId="18215" xr:uid="{B1AC54BB-B13C-4759-8E9E-85836FCFE07E}"/>
    <cellStyle name="Millares [0] 2 4 3 2 7" xfId="43254" xr:uid="{D2A67975-8267-4CBA-9EBC-E0E2B284D9CB}"/>
    <cellStyle name="Millares [0] 2 4 3 2 8" xfId="48147" xr:uid="{46BEDA09-D4D2-4F38-A19D-60C7BD79EAD5}"/>
    <cellStyle name="Millares [0] 2 4 3 3" xfId="2637" xr:uid="{CD543963-434B-4EF7-B09E-91B2A898AEEF}"/>
    <cellStyle name="Millares [0] 2 4 3 3 2" xfId="10908" xr:uid="{A9ED284A-4BAD-454E-A60F-F9CDAC09B8DE}"/>
    <cellStyle name="Millares [0] 2 4 3 3 2 2" xfId="41835" xr:uid="{C40BD5A7-0ED3-4125-A492-1FA47D234CF2}"/>
    <cellStyle name="Millares [0] 2 4 3 3 2 3" xfId="46068" xr:uid="{9A40FFB3-1060-40FF-8DD2-0B8FA53C04A0}"/>
    <cellStyle name="Millares [0] 2 4 3 3 3" xfId="13748" xr:uid="{EABDC4F7-5EB5-4552-AA50-7CB63CE85AFD}"/>
    <cellStyle name="Millares [0] 2 4 3 3 4" xfId="20762" xr:uid="{EA281DAB-8AF6-4324-84C1-4484018EF5A6}"/>
    <cellStyle name="Millares [0] 2 4 3 3 5" xfId="43672" xr:uid="{7CB08FAC-CB0F-4A56-B4F2-EFC18794552C}"/>
    <cellStyle name="Millares [0] 2 4 3 3 6" xfId="48565" xr:uid="{FA1E135F-BA1B-4B44-B69A-28491F699E0A}"/>
    <cellStyle name="Millares [0] 2 4 3 4" xfId="3181" xr:uid="{DD9E7D88-3289-499C-A9CC-3B889F0E5048}"/>
    <cellStyle name="Millares [0] 2 4 3 4 2" xfId="11452" xr:uid="{0D7BED05-69F7-43D9-93CB-A527963B8361}"/>
    <cellStyle name="Millares [0] 2 4 3 4 2 2" xfId="46612" xr:uid="{223D9540-38A4-434A-B304-2C669FC22BE1}"/>
    <cellStyle name="Millares [0] 2 4 3 4 3" xfId="14292" xr:uid="{4B384FC5-AC53-4EC3-8074-517CF59C502E}"/>
    <cellStyle name="Millares [0] 2 4 3 4 4" xfId="26571" xr:uid="{367357A0-CEF9-4462-9C2F-FE4A89E81BAD}"/>
    <cellStyle name="Millares [0] 2 4 3 4 5" xfId="44216" xr:uid="{CD72F039-5603-4A7A-A3D7-F4B80ACFD40B}"/>
    <cellStyle name="Millares [0] 2 4 3 4 6" xfId="49109" xr:uid="{4BA2C2E6-E091-4D40-A357-1BF9660ABA0E}"/>
    <cellStyle name="Millares [0] 2 4 3 5" xfId="3683" xr:uid="{060990F1-FE30-47AF-B080-0048BC32B3FA}"/>
    <cellStyle name="Millares [0] 2 4 3 5 2" xfId="11924" xr:uid="{00DD046F-E35B-4354-B0A3-02C1E96A17A7}"/>
    <cellStyle name="Millares [0] 2 4 3 5 3" xfId="14764" xr:uid="{EC7100F8-B6D1-409B-BB31-11E8281D98D1}"/>
    <cellStyle name="Millares [0] 2 4 3 5 4" xfId="32446" xr:uid="{3334EE22-83F3-40ED-AD11-3183A477EBC7}"/>
    <cellStyle name="Millares [0] 2 4 3 5 5" xfId="44688" xr:uid="{0B2417CE-5404-4039-BD6E-C9D93702DCD3}"/>
    <cellStyle name="Millares [0] 2 4 3 5 6" xfId="49581" xr:uid="{93D346AA-CBDE-4A49-8E55-01B61F2478E7}"/>
    <cellStyle name="Millares [0] 2 4 3 6" xfId="6321" xr:uid="{46C03BF0-4001-4E54-9CAF-70429625F679}"/>
    <cellStyle name="Millares [0] 2 4 3 6 2" xfId="12258" xr:uid="{FC15416C-888B-4938-A52B-6D37611F7BCA}"/>
    <cellStyle name="Millares [0] 2 4 3 6 3" xfId="15099" xr:uid="{23FAA664-59A1-40F6-BF0D-8E1AA384C7C7}"/>
    <cellStyle name="Millares [0] 2 4 3 6 4" xfId="38311" xr:uid="{30A7C971-F333-49D7-AAC8-2A391B56B05A}"/>
    <cellStyle name="Millares [0] 2 4 3 6 5" xfId="45106" xr:uid="{986C9EA5-8F11-4F61-B01A-5C5736FDF142}"/>
    <cellStyle name="Millares [0] 2 4 3 6 6" xfId="49915" xr:uid="{D9648777-68ED-4C1D-A1BB-4C85D044F176}"/>
    <cellStyle name="Millares [0] 2 4 3 7" xfId="9946" xr:uid="{409E05CD-2E13-4068-82D5-33C186D516D4}"/>
    <cellStyle name="Millares [0] 2 4 3 8" xfId="12786" xr:uid="{C8AF3810-D409-4E2B-B05A-3CC50FB9CCCF}"/>
    <cellStyle name="Millares [0] 2 4 3 9" xfId="15546" xr:uid="{822393F8-7C88-4641-85E3-33A4D9F23A3D}"/>
    <cellStyle name="Millares [0] 2 4 4" xfId="605" xr:uid="{00000000-0005-0000-0000-000014010000}"/>
    <cellStyle name="Millares [0] 2 4 4 10" xfId="42912" xr:uid="{C5B51650-0D45-46A3-85FC-C419AFECBACE}"/>
    <cellStyle name="Millares [0] 2 4 4 11" xfId="47805" xr:uid="{B61CF16B-F7CE-41B8-BD61-E09C6BBA3669}"/>
    <cellStyle name="Millares [0] 2 4 4 2" xfId="2839" xr:uid="{FE93B185-C16E-452A-82D5-24F3FFF55AA7}"/>
    <cellStyle name="Millares [0] 2 4 4 2 2" xfId="11110" xr:uid="{CC72F4BE-BFFC-4219-ABC7-052BE916D50F}"/>
    <cellStyle name="Millares [0] 2 4 4 2 2 2" xfId="46270" xr:uid="{1ECEE889-CCF6-4FF0-8132-515428226D1E}"/>
    <cellStyle name="Millares [0] 2 4 4 2 3" xfId="13950" xr:uid="{0FCF91F6-BDF4-4364-BAB8-20A521550B01}"/>
    <cellStyle name="Millares [0] 2 4 4 2 4" xfId="41657" xr:uid="{8ACEF836-051E-4631-A354-2314FD08BB2D}"/>
    <cellStyle name="Millares [0] 2 4 4 2 5" xfId="43874" xr:uid="{08701A09-DAD4-46FC-8646-40170FFBEF0C}"/>
    <cellStyle name="Millares [0] 2 4 4 2 6" xfId="48767" xr:uid="{6F8243C6-AA17-42B5-8543-B52EC4E977C1}"/>
    <cellStyle name="Millares [0] 2 4 4 3" xfId="10148" xr:uid="{F9A4B3A6-07C4-4B6D-A597-40756EAF4153}"/>
    <cellStyle name="Millares [0] 2 4 4 3 2" xfId="45308" xr:uid="{E893AD2F-B1AC-4BAE-9D22-223AAABA44BC}"/>
    <cellStyle name="Millares [0] 2 4 4 4" xfId="12988" xr:uid="{AA92E1B9-113B-4897-9955-BACDE3EABEED}"/>
    <cellStyle name="Millares [0] 2 4 4 5" xfId="15840" xr:uid="{17FB3BC8-F002-4371-B7B7-9C6FC4FC9790}"/>
    <cellStyle name="Millares [0] 2 4 4 6" xfId="16331" xr:uid="{E9A3885A-90E4-4E10-8EBB-BC560C78D872}"/>
    <cellStyle name="Millares [0] 2 4 4 7" xfId="16874" xr:uid="{9BCFC508-4C88-44DE-B490-7833B27BE885}"/>
    <cellStyle name="Millares [0] 2 4 4 8" xfId="17418" xr:uid="{C65BCA5D-7852-42F6-BF40-B000E022BCA3}"/>
    <cellStyle name="Millares [0] 2 4 4 9" xfId="18284" xr:uid="{68EE6D62-2DB9-45AC-8D5F-1753CD91119B}"/>
    <cellStyle name="Millares [0] 2 4 5" xfId="2003" xr:uid="{FD4C96B3-201D-443B-ADA4-A942D41540C2}"/>
    <cellStyle name="Millares [0] 2 4 5 2" xfId="10274" xr:uid="{21A2CC6F-9041-4725-97BE-7D9B7249A129}"/>
    <cellStyle name="Millares [0] 2 4 5 2 2" xfId="45434" xr:uid="{B930083D-83BF-4A63-AF0E-27905CC3E609}"/>
    <cellStyle name="Millares [0] 2 4 5 3" xfId="13114" xr:uid="{5903D977-0BE5-4976-B641-CA29FA0F0602}"/>
    <cellStyle name="Millares [0] 2 4 5 4" xfId="18406" xr:uid="{917E0CDB-65B2-43AF-A836-B573E5E1BE64}"/>
    <cellStyle name="Millares [0] 2 4 5 5" xfId="43038" xr:uid="{DE3D269E-77EE-418D-9C34-E10154EB881E}"/>
    <cellStyle name="Millares [0] 2 4 5 6" xfId="47931" xr:uid="{28EB7B7C-9CE0-49FE-ADEC-D5FB86DDB567}"/>
    <cellStyle name="Millares [0] 2 4 6" xfId="2421" xr:uid="{164E93D0-7DBE-4EC7-939A-0E72A553ECDF}"/>
    <cellStyle name="Millares [0] 2 4 6 2" xfId="10692" xr:uid="{158F0142-030D-4B63-BC64-6D970D1FC3D5}"/>
    <cellStyle name="Millares [0] 2 4 6 2 2" xfId="45852" xr:uid="{399780DA-A7D1-4837-9956-6D1D0D047C9E}"/>
    <cellStyle name="Millares [0] 2 4 6 3" xfId="13532" xr:uid="{670402F2-D9AB-4A54-AC49-524E14E5DBFA}"/>
    <cellStyle name="Millares [0] 2 4 6 4" xfId="24115" xr:uid="{A1E1E727-DFD2-449C-957C-1063C9FA5FC2}"/>
    <cellStyle name="Millares [0] 2 4 6 5" xfId="43456" xr:uid="{0C92090E-7BDF-4E94-941D-824671DEC778}"/>
    <cellStyle name="Millares [0] 2 4 6 6" xfId="48349" xr:uid="{4FFCCC7F-F4AD-4DBA-B68A-DEDF2A0F4927}"/>
    <cellStyle name="Millares [0] 2 4 7" xfId="2965" xr:uid="{41644C3D-D792-4461-BA51-08A846F69302}"/>
    <cellStyle name="Millares [0] 2 4 7 2" xfId="11236" xr:uid="{4ECCA5E8-F365-4B19-A38A-706642E5F640}"/>
    <cellStyle name="Millares [0] 2 4 7 2 2" xfId="46396" xr:uid="{9BE140DA-CE14-4E1A-8712-308E2CE826F4}"/>
    <cellStyle name="Millares [0] 2 4 7 3" xfId="14076" xr:uid="{D8EBBBDC-7242-4194-8746-D93CA4957A32}"/>
    <cellStyle name="Millares [0] 2 4 7 4" xfId="29993" xr:uid="{CFDFB2EC-3DB3-4CD2-8426-3D06DAB18046}"/>
    <cellStyle name="Millares [0] 2 4 7 5" xfId="44000" xr:uid="{AE90D2FE-A302-4CE5-9FD6-91535BD18337}"/>
    <cellStyle name="Millares [0] 2 4 7 6" xfId="48893" xr:uid="{A1B09492-3722-4999-908A-E77636A8535C}"/>
    <cellStyle name="Millares [0] 2 4 8" xfId="3467" xr:uid="{205EDCA0-4E95-46E2-B151-DA1BD83BD0BA}"/>
    <cellStyle name="Millares [0] 2 4 8 2" xfId="11708" xr:uid="{EE536765-CEC5-4014-AFB3-FEA36B1AE246}"/>
    <cellStyle name="Millares [0] 2 4 8 3" xfId="14548" xr:uid="{2F527723-B2B1-4F88-937C-88E83D0CC413}"/>
    <cellStyle name="Millares [0] 2 4 8 4" xfId="35874" xr:uid="{F52F3382-4820-450F-90DA-E5D6F848B35D}"/>
    <cellStyle name="Millares [0] 2 4 8 5" xfId="44472" xr:uid="{298AA9FD-4F4C-4522-9791-BDB99F02CF73}"/>
    <cellStyle name="Millares [0] 2 4 8 6" xfId="49365" xr:uid="{383A7DCE-9B56-4CA5-812F-EAF5A3A2D30D}"/>
    <cellStyle name="Millares [0] 2 4 9" xfId="3882" xr:uid="{E1DF95CB-7DD9-4990-B3D7-FE3B7176C2F2}"/>
    <cellStyle name="Millares [0] 2 4 9 2" xfId="12080" xr:uid="{EAF1BC05-6A9F-432F-873F-326AD684D6C8}"/>
    <cellStyle name="Millares [0] 2 4 9 3" xfId="14921" xr:uid="{CBF79C2F-82EC-4629-AABD-17B360A0309F}"/>
    <cellStyle name="Millares [0] 2 4 9 4" xfId="44890" xr:uid="{FB1680AE-3C82-4F82-A41B-19401AF9AD14}"/>
    <cellStyle name="Millares [0] 2 4 9 5" xfId="49737" xr:uid="{663D4FE4-D4D6-450E-AB10-4DED115DE7E3}"/>
    <cellStyle name="Millares [0] 2 5" xfId="83" xr:uid="{00000000-0005-0000-0000-000015010000}"/>
    <cellStyle name="Millares [0] 2 5 10" xfId="9679" xr:uid="{E727613E-D901-4069-A8FD-B32852B5BC33}"/>
    <cellStyle name="Millares [0] 2 5 11" xfId="12519" xr:uid="{4EECC1FB-1151-4C0A-8C59-71075EE981BB}"/>
    <cellStyle name="Millares [0] 2 5 12" xfId="15373" xr:uid="{ED19CF1B-3A87-4DE1-A1CA-5B8A3A97D28B}"/>
    <cellStyle name="Millares [0] 2 5 13" xfId="15862" xr:uid="{0EF00A0C-8872-4341-9BE7-F1CA30E469EC}"/>
    <cellStyle name="Millares [0] 2 5 14" xfId="16405" xr:uid="{8E61A790-7F87-4987-A9E8-940D6E4EA9D7}"/>
    <cellStyle name="Millares [0] 2 5 15" xfId="16949" xr:uid="{F35C1801-D040-43EA-88CE-8E530A1E9D54}"/>
    <cellStyle name="Millares [0] 2 5 16" xfId="17520" xr:uid="{77F1D31E-3702-46B8-A131-6F9ED5064278}"/>
    <cellStyle name="Millares [0] 2 5 17" xfId="17646" xr:uid="{6485BFFD-5137-45F9-B412-0C558827BD21}"/>
    <cellStyle name="Millares [0] 2 5 18" xfId="42443" xr:uid="{5EB7D469-B6E1-4C21-BD91-163A70BEFFF8}"/>
    <cellStyle name="Millares [0] 2 5 19" xfId="47336" xr:uid="{1D33D591-7297-4C6E-823B-70FAFD162A04}"/>
    <cellStyle name="Millares [0] 2 5 2" xfId="225" xr:uid="{00000000-0005-0000-0000-000016010000}"/>
    <cellStyle name="Millares [0] 2 5 2 10" xfId="16509" xr:uid="{D2E0ABC9-A3C0-48ED-B0CD-71E4336F9628}"/>
    <cellStyle name="Millares [0] 2 5 2 11" xfId="17053" xr:uid="{FB73CF88-880E-4CE8-9A37-9B8583365ADC}"/>
    <cellStyle name="Millares [0] 2 5 2 12" xfId="18456" xr:uid="{B95007B5-4865-4195-BB1D-5F755981A9B7}"/>
    <cellStyle name="Millares [0] 2 5 2 13" xfId="18065" xr:uid="{05F60F8C-D113-4A0C-A877-DFF517B70171}"/>
    <cellStyle name="Millares [0] 2 5 2 14" xfId="42547" xr:uid="{2EFF6C83-2E26-4983-B9D6-FF1F6FF10C67}"/>
    <cellStyle name="Millares [0] 2 5 2 15" xfId="47440" xr:uid="{810E8F3E-336F-4A8E-AFF4-4A5521197B88}"/>
    <cellStyle name="Millares [0] 2 5 2 2" xfId="452" xr:uid="{00000000-0005-0000-0000-000017010000}"/>
    <cellStyle name="Millares [0] 2 5 2 2 10" xfId="17265" xr:uid="{F380086B-305F-4E85-97C8-C341921A32F3}"/>
    <cellStyle name="Millares [0] 2 5 2 2 11" xfId="41664" xr:uid="{4BCAAC57-9978-4F33-9654-16FD57D72F7F}"/>
    <cellStyle name="Millares [0] 2 5 2 2 12" xfId="17923" xr:uid="{DCA90C9C-2A95-47AC-805A-2272F968E519}"/>
    <cellStyle name="Millares [0] 2 5 2 2 13" xfId="42759" xr:uid="{3E7F9A2D-0F56-4E3F-B921-24EF8D507C26}"/>
    <cellStyle name="Millares [0] 2 5 2 2 14" xfId="47652" xr:uid="{EA230375-7682-4DCA-9CF9-43B601ED41CA}"/>
    <cellStyle name="Millares [0] 2 5 2 2 2" xfId="2268" xr:uid="{0AEE9281-C322-442B-8846-8EF543C4E1B3}"/>
    <cellStyle name="Millares [0] 2 5 2 2 2 2" xfId="10539" xr:uid="{DC2BC5E2-F154-4E29-AC5C-F2955C03DAD4}"/>
    <cellStyle name="Millares [0] 2 5 2 2 2 2 2" xfId="45699" xr:uid="{8ECF0F5C-BDAC-4637-B7AC-8FC2E79DCF16}"/>
    <cellStyle name="Millares [0] 2 5 2 2 2 3" xfId="13379" xr:uid="{F3E5551D-34AB-4964-B47F-229CC7CB8AC8}"/>
    <cellStyle name="Millares [0] 2 5 2 2 2 4" xfId="43303" xr:uid="{4B66C291-CE63-4242-834D-E70AD1F31D73}"/>
    <cellStyle name="Millares [0] 2 5 2 2 2 5" xfId="48196" xr:uid="{3195331C-99CD-4AE0-9DC2-709C078D60A4}"/>
    <cellStyle name="Millares [0] 2 5 2 2 3" xfId="2686" xr:uid="{B16B49BE-313A-4165-89FE-2655C62E9C28}"/>
    <cellStyle name="Millares [0] 2 5 2 2 3 2" xfId="10957" xr:uid="{357BF669-7FF6-4A87-8AAF-534BD78E9280}"/>
    <cellStyle name="Millares [0] 2 5 2 2 3 2 2" xfId="46117" xr:uid="{05316DE9-E858-4C17-9BA0-977D33C90BA6}"/>
    <cellStyle name="Millares [0] 2 5 2 2 3 3" xfId="13797" xr:uid="{394CC9F5-F917-43D4-903C-5595025FBB9F}"/>
    <cellStyle name="Millares [0] 2 5 2 2 3 4" xfId="43721" xr:uid="{D062143A-E86F-4413-84C1-71FC42BB29DE}"/>
    <cellStyle name="Millares [0] 2 5 2 2 3 5" xfId="48614" xr:uid="{1A3DE8B1-CD68-481A-89A7-9D924CE9D949}"/>
    <cellStyle name="Millares [0] 2 5 2 2 4" xfId="3230" xr:uid="{C18FF968-3C3B-46F4-8A94-89CD9D98BABF}"/>
    <cellStyle name="Millares [0] 2 5 2 2 4 2" xfId="11501" xr:uid="{B63A76D4-F0C5-4206-A647-1B6E7C87A5FB}"/>
    <cellStyle name="Millares [0] 2 5 2 2 4 2 2" xfId="46661" xr:uid="{27943BFD-0BBE-46B0-BF3E-292FA8FC0A6A}"/>
    <cellStyle name="Millares [0] 2 5 2 2 4 3" xfId="14341" xr:uid="{31E59D35-BF8B-40B5-973F-F74C431CFE03}"/>
    <cellStyle name="Millares [0] 2 5 2 2 4 4" xfId="44265" xr:uid="{195125BD-BFE6-4C04-8540-D57580971F3B}"/>
    <cellStyle name="Millares [0] 2 5 2 2 4 5" xfId="49158" xr:uid="{0ECE05B8-C198-4583-B2C8-FF0E8E2CC9B7}"/>
    <cellStyle name="Millares [0] 2 5 2 2 5" xfId="3732" xr:uid="{6B38C99B-5D63-4746-B4BD-2AE596C827A9}"/>
    <cellStyle name="Millares [0] 2 5 2 2 5 2" xfId="11973" xr:uid="{F0C47C55-7917-487A-9DBB-105AB4F3AE57}"/>
    <cellStyle name="Millares [0] 2 5 2 2 5 3" xfId="14813" xr:uid="{ECBEAC37-BC9C-4838-AA2F-4A9DE97C0429}"/>
    <cellStyle name="Millares [0] 2 5 2 2 5 4" xfId="44737" xr:uid="{8887F7F0-F688-408E-BDE5-74D4159E51B6}"/>
    <cellStyle name="Millares [0] 2 5 2 2 5 5" xfId="49630" xr:uid="{B08526E1-5CF4-4F86-A745-EF92E41598AC}"/>
    <cellStyle name="Millares [0] 2 5 2 2 6" xfId="9995" xr:uid="{5DCC5F32-7E71-451C-90E4-C5BC16E44E6E}"/>
    <cellStyle name="Millares [0] 2 5 2 2 6 2" xfId="45155" xr:uid="{21D8F31A-28FE-4F5A-AA4C-C34ED315283E}"/>
    <cellStyle name="Millares [0] 2 5 2 2 7" xfId="12835" xr:uid="{7C7F3AE5-D600-42DF-94D1-375BB4A3EA00}"/>
    <cellStyle name="Millares [0] 2 5 2 2 8" xfId="16178" xr:uid="{FA7FDA2E-EC2B-485C-9E83-C76097A26E49}"/>
    <cellStyle name="Millares [0] 2 5 2 2 9" xfId="16721" xr:uid="{F1E5EAAB-B56A-4F65-93F0-FF36B901680F}"/>
    <cellStyle name="Millares [0] 2 5 2 3" xfId="2056" xr:uid="{F49C0DA6-326E-4A4D-8EDC-0101546EF010}"/>
    <cellStyle name="Millares [0] 2 5 2 3 2" xfId="10327" xr:uid="{8E743292-DA4E-412F-98F4-642BB18B0F75}"/>
    <cellStyle name="Millares [0] 2 5 2 3 2 2" xfId="45487" xr:uid="{4C6564E3-9CBE-414F-90D0-61769CD5A0DE}"/>
    <cellStyle name="Millares [0] 2 5 2 3 3" xfId="13167" xr:uid="{B273D847-718F-4C38-BF59-F7465588CF48}"/>
    <cellStyle name="Millares [0] 2 5 2 3 4" xfId="43091" xr:uid="{EAF8D965-F63E-4390-822D-E176039784B5}"/>
    <cellStyle name="Millares [0] 2 5 2 3 5" xfId="47984" xr:uid="{1F5918F6-CA32-4AEE-BBCD-25F7CF4EDB16}"/>
    <cellStyle name="Millares [0] 2 5 2 4" xfId="2474" xr:uid="{6687B3BC-E005-4640-AC02-B8F7416FBB7A}"/>
    <cellStyle name="Millares [0] 2 5 2 4 2" xfId="10745" xr:uid="{66C0A052-A725-4655-AD43-DE753D8D2702}"/>
    <cellStyle name="Millares [0] 2 5 2 4 2 2" xfId="45905" xr:uid="{26308F69-051B-48EC-9A9D-3660629BD20B}"/>
    <cellStyle name="Millares [0] 2 5 2 4 3" xfId="13585" xr:uid="{7C2FF3ED-B3CE-4E10-B5BC-B8AA56A7E6F6}"/>
    <cellStyle name="Millares [0] 2 5 2 4 4" xfId="43509" xr:uid="{6E344986-B3BD-4A7B-8191-2773AD9D8B21}"/>
    <cellStyle name="Millares [0] 2 5 2 4 5" xfId="48402" xr:uid="{E7001A72-76D6-4C63-9586-2056EE01DEB9}"/>
    <cellStyle name="Millares [0] 2 5 2 5" xfId="3018" xr:uid="{E6999CA4-7D57-4700-8A28-5DBF3AE0D144}"/>
    <cellStyle name="Millares [0] 2 5 2 5 2" xfId="11289" xr:uid="{3B47F0B1-C93B-45BE-B1EE-732C6D4E99C7}"/>
    <cellStyle name="Millares [0] 2 5 2 5 2 2" xfId="46449" xr:uid="{281760CB-6070-44C0-B7E3-C5AE382A611E}"/>
    <cellStyle name="Millares [0] 2 5 2 5 3" xfId="14129" xr:uid="{05832349-6D94-4EA5-A757-A7DD3455CF29}"/>
    <cellStyle name="Millares [0] 2 5 2 5 4" xfId="44053" xr:uid="{05A63C89-2DEF-4A54-850E-456B8E929B22}"/>
    <cellStyle name="Millares [0] 2 5 2 5 5" xfId="48946" xr:uid="{D798217A-D760-464D-9E85-CDDBF3928D4E}"/>
    <cellStyle name="Millares [0] 2 5 2 6" xfId="3520" xr:uid="{FAEBCAEC-FF3C-42BF-A552-1F5C95E66F82}"/>
    <cellStyle name="Millares [0] 2 5 2 6 2" xfId="11761" xr:uid="{E26BA110-C438-480D-B54D-FE82893C8129}"/>
    <cellStyle name="Millares [0] 2 5 2 6 3" xfId="14601" xr:uid="{181E2AE7-BBC0-43CC-B67A-8540693C3A39}"/>
    <cellStyle name="Millares [0] 2 5 2 6 4" xfId="44525" xr:uid="{4F6C029F-5F77-4A27-AB88-4938A5A4D143}"/>
    <cellStyle name="Millares [0] 2 5 2 6 5" xfId="49418" xr:uid="{1C2584D3-553D-460A-B429-33AD11EE60A3}"/>
    <cellStyle name="Millares [0] 2 5 2 7" xfId="9783" xr:uid="{882F864B-8051-4EBF-A92D-74BE84472063}"/>
    <cellStyle name="Millares [0] 2 5 2 7 2" xfId="44943" xr:uid="{A4C98157-9FDB-458F-BC78-93792C9A14C9}"/>
    <cellStyle name="Millares [0] 2 5 2 8" xfId="12623" xr:uid="{30A6B35E-9463-452C-A801-DB06033B88B1}"/>
    <cellStyle name="Millares [0] 2 5 2 9" xfId="15966" xr:uid="{42136324-362E-4953-83CD-24A8CC0815ED}"/>
    <cellStyle name="Millares [0] 2 5 20" xfId="50321" xr:uid="{CC12F919-356B-43E8-925D-31A295C863CC}"/>
    <cellStyle name="Millares [0] 2 5 3" xfId="351" xr:uid="{00000000-0005-0000-0000-000018010000}"/>
    <cellStyle name="Millares [0] 2 5 3 10" xfId="17165" xr:uid="{4756AF74-C1DC-4CEB-8AA6-154BE79A2C4A}"/>
    <cellStyle name="Millares [0] 2 5 3 11" xfId="24164" xr:uid="{2108DA70-E46B-46E8-81FF-8116808501C1}"/>
    <cellStyle name="Millares [0] 2 5 3 12" xfId="18192" xr:uid="{D4DC3BF0-9B51-460C-A63C-3C15F0D13ADD}"/>
    <cellStyle name="Millares [0] 2 5 3 13" xfId="42659" xr:uid="{06EC5819-6957-4B49-88AF-8D5EBBF36DD3}"/>
    <cellStyle name="Millares [0] 2 5 3 14" xfId="47552" xr:uid="{F7770EB5-9FB1-45BB-9271-1FBCD3B56F47}"/>
    <cellStyle name="Millares [0] 2 5 3 2" xfId="2168" xr:uid="{EFCAEFBD-33C3-4C71-A28C-027974738CD3}"/>
    <cellStyle name="Millares [0] 2 5 3 2 2" xfId="10439" xr:uid="{188DCDE3-CAF3-4BC5-BCCE-924B97864A7A}"/>
    <cellStyle name="Millares [0] 2 5 3 2 2 2" xfId="45599" xr:uid="{4C34B61F-3552-40AB-B6F0-BC23FD39E21E}"/>
    <cellStyle name="Millares [0] 2 5 3 2 3" xfId="13279" xr:uid="{ADF1E154-1134-4991-AAC5-ACA83BADE578}"/>
    <cellStyle name="Millares [0] 2 5 3 2 4" xfId="43203" xr:uid="{03BB6338-2CAE-418C-B747-4DDEA45176AB}"/>
    <cellStyle name="Millares [0] 2 5 3 2 5" xfId="48096" xr:uid="{58039757-ED14-4AD6-9310-16CFDD281F8A}"/>
    <cellStyle name="Millares [0] 2 5 3 3" xfId="2586" xr:uid="{208F145E-2637-49DC-8BE1-FA0A9BC52793}"/>
    <cellStyle name="Millares [0] 2 5 3 3 2" xfId="10857" xr:uid="{485A6CB7-52FF-460B-B70B-E1B041260CD7}"/>
    <cellStyle name="Millares [0] 2 5 3 3 2 2" xfId="46017" xr:uid="{6FAA53A5-966A-4548-9F8F-FEB487C07018}"/>
    <cellStyle name="Millares [0] 2 5 3 3 3" xfId="13697" xr:uid="{6D84BF9E-6E1F-4755-ACD9-C79813D87C1B}"/>
    <cellStyle name="Millares [0] 2 5 3 3 4" xfId="43621" xr:uid="{09949912-594A-4382-9670-48F77A962E3B}"/>
    <cellStyle name="Millares [0] 2 5 3 3 5" xfId="48514" xr:uid="{4790C29F-8FDD-44E5-9DD3-670215F07192}"/>
    <cellStyle name="Millares [0] 2 5 3 4" xfId="3130" xr:uid="{324D0378-F1E4-47C2-887E-F5134FDF802F}"/>
    <cellStyle name="Millares [0] 2 5 3 4 2" xfId="11401" xr:uid="{7678760F-319F-4A3A-B686-A39545BE5A53}"/>
    <cellStyle name="Millares [0] 2 5 3 4 2 2" xfId="46561" xr:uid="{13530D7B-54C2-490C-AF1D-0FB87480BC26}"/>
    <cellStyle name="Millares [0] 2 5 3 4 3" xfId="14241" xr:uid="{5E954A56-07EA-4E18-953F-FA80E164DE45}"/>
    <cellStyle name="Millares [0] 2 5 3 4 4" xfId="44165" xr:uid="{2FBD776C-4A3A-4A36-847E-1819C6B4F649}"/>
    <cellStyle name="Millares [0] 2 5 3 4 5" xfId="49058" xr:uid="{5F83E924-7C00-4CB4-8BB7-09255D17F7B1}"/>
    <cellStyle name="Millares [0] 2 5 3 5" xfId="3632" xr:uid="{73E9C4EE-BADF-4AC4-A0D8-4B12788FE70D}"/>
    <cellStyle name="Millares [0] 2 5 3 5 2" xfId="11873" xr:uid="{00201D8F-9554-4333-B041-3AF54BD9FA9B}"/>
    <cellStyle name="Millares [0] 2 5 3 5 3" xfId="14713" xr:uid="{81221753-306B-4B3C-B6B2-16DBB5681C0F}"/>
    <cellStyle name="Millares [0] 2 5 3 5 4" xfId="44637" xr:uid="{4A6DE982-92EA-426B-A0F3-06E06A3249FF}"/>
    <cellStyle name="Millares [0] 2 5 3 5 5" xfId="49530" xr:uid="{AF82BB50-F621-4371-A2FE-E3EE9CA269D6}"/>
    <cellStyle name="Millares [0] 2 5 3 6" xfId="9895" xr:uid="{4B660295-5E55-4821-A3C3-4A35027E0A91}"/>
    <cellStyle name="Millares [0] 2 5 3 6 2" xfId="45055" xr:uid="{F3ECF6F4-3FB5-446F-AD0B-CA4B6E7AAAD0}"/>
    <cellStyle name="Millares [0] 2 5 3 7" xfId="12735" xr:uid="{D7BA477E-C246-4BAB-9DB5-3CE775E1CAEE}"/>
    <cellStyle name="Millares [0] 2 5 3 8" xfId="16078" xr:uid="{C431F8FF-791A-4F5E-BB46-1A87F42C65E0}"/>
    <cellStyle name="Millares [0] 2 5 3 9" xfId="16621" xr:uid="{720AD4A6-4E38-47D0-A69F-B769F462E80E}"/>
    <cellStyle name="Millares [0] 2 5 4" xfId="554" xr:uid="{00000000-0005-0000-0000-000019010000}"/>
    <cellStyle name="Millares [0] 2 5 4 10" xfId="42861" xr:uid="{C17332F8-CACA-4C56-8B5A-9DA9B47A8270}"/>
    <cellStyle name="Millares [0] 2 5 4 11" xfId="47754" xr:uid="{E0D2215D-3331-4116-B097-32FC25049231}"/>
    <cellStyle name="Millares [0] 2 5 4 2" xfId="2788" xr:uid="{2F5F501C-5F5A-4D93-BBCB-BA75E2D5BC61}"/>
    <cellStyle name="Millares [0] 2 5 4 2 2" xfId="11059" xr:uid="{78342879-0D96-4210-8CD3-D6368B051C5D}"/>
    <cellStyle name="Millares [0] 2 5 4 2 2 2" xfId="46219" xr:uid="{2E6A5C53-2C27-4DDD-81CD-F6A2398A219B}"/>
    <cellStyle name="Millares [0] 2 5 4 2 3" xfId="13899" xr:uid="{49A05CB6-4C0B-42C4-9EE9-7B4D55822217}"/>
    <cellStyle name="Millares [0] 2 5 4 2 4" xfId="43823" xr:uid="{27CD2DA7-7062-4FF7-85D1-45896412353B}"/>
    <cellStyle name="Millares [0] 2 5 4 2 5" xfId="48716" xr:uid="{F3593E83-4380-4212-B308-3E8155E6F301}"/>
    <cellStyle name="Millares [0] 2 5 4 3" xfId="10097" xr:uid="{26BEA21A-C390-4CC0-BFD1-46BCB598FF7A}"/>
    <cellStyle name="Millares [0] 2 5 4 3 2" xfId="45257" xr:uid="{BC81EC7C-8848-4FA7-BAD1-E314B03827BA}"/>
    <cellStyle name="Millares [0] 2 5 4 4" xfId="12937" xr:uid="{575EEEC9-C189-4D09-88A8-C14CF12D2817}"/>
    <cellStyle name="Millares [0] 2 5 4 5" xfId="16280" xr:uid="{95AFD54E-520A-4CFB-A4C7-252712C236FB}"/>
    <cellStyle name="Millares [0] 2 5 4 6" xfId="16823" xr:uid="{05986AA5-45DF-44AC-9676-E1F1D2807928}"/>
    <cellStyle name="Millares [0] 2 5 4 7" xfId="17367" xr:uid="{6802862B-F32E-4EC9-9E09-6C4D62F29F63}"/>
    <cellStyle name="Millares [0] 2 5 4 8" xfId="30042" xr:uid="{718557F3-3810-4E1D-BBD9-56687FEE07EE}"/>
    <cellStyle name="Millares [0] 2 5 4 9" xfId="18250" xr:uid="{52BF5B52-5CA9-4DBC-AD03-BAB1ABD25C03}"/>
    <cellStyle name="Millares [0] 2 5 5" xfId="1952" xr:uid="{3152CE62-9334-4996-BC72-7928138CA9E8}"/>
    <cellStyle name="Millares [0] 2 5 5 2" xfId="10223" xr:uid="{4AA0A7C9-0BCD-42CD-B48A-1CC3D5F33C98}"/>
    <cellStyle name="Millares [0] 2 5 5 2 2" xfId="45383" xr:uid="{F0A51D55-5DF7-4B54-8EFC-1952716EB997}"/>
    <cellStyle name="Millares [0] 2 5 5 3" xfId="13063" xr:uid="{D49691D4-801B-458B-BF54-CC5EB0D3971F}"/>
    <cellStyle name="Millares [0] 2 5 5 4" xfId="35923" xr:uid="{6177ECC6-56D3-4F77-A7E6-AF8619F18295}"/>
    <cellStyle name="Millares [0] 2 5 5 5" xfId="42987" xr:uid="{27C8E9BD-F017-416D-96DB-A3B4CA8C5B66}"/>
    <cellStyle name="Millares [0] 2 5 5 6" xfId="47880" xr:uid="{DA628DDD-C58B-42DD-A00B-F83C2C33E3C2}"/>
    <cellStyle name="Millares [0] 2 5 6" xfId="2370" xr:uid="{98A9DD13-C53D-45C9-A1F7-DAD0D34CB386}"/>
    <cellStyle name="Millares [0] 2 5 6 2" xfId="10641" xr:uid="{E7A538D6-94F3-4204-A373-CC56F309C92F}"/>
    <cellStyle name="Millares [0] 2 5 6 2 2" xfId="45801" xr:uid="{DF72D73F-ED04-4157-B7E0-E2194842517A}"/>
    <cellStyle name="Millares [0] 2 5 6 3" xfId="13481" xr:uid="{D8C50CEC-AE77-4A5C-8908-4CB97EE90622}"/>
    <cellStyle name="Millares [0] 2 5 6 4" xfId="43405" xr:uid="{F12BCEA9-C4AC-4513-82D4-36F29632C460}"/>
    <cellStyle name="Millares [0] 2 5 6 5" xfId="48298" xr:uid="{C91388D6-6F07-43A0-8776-4EF90EED8345}"/>
    <cellStyle name="Millares [0] 2 5 7" xfId="2914" xr:uid="{7FEF750F-1E92-43DB-813A-E2BE2FF3E711}"/>
    <cellStyle name="Millares [0] 2 5 7 2" xfId="11185" xr:uid="{4D1F5E2E-DBA6-47CA-A1C7-1EE7A6FD8C30}"/>
    <cellStyle name="Millares [0] 2 5 7 2 2" xfId="46345" xr:uid="{2168FA94-0BF2-4AC1-9407-4D07FBAEBEC3}"/>
    <cellStyle name="Millares [0] 2 5 7 3" xfId="14025" xr:uid="{6240E49C-77F4-4CA9-BB87-9793D3AE9B88}"/>
    <cellStyle name="Millares [0] 2 5 7 4" xfId="43949" xr:uid="{3E2D4623-A380-4822-90C5-6146E1F3C752}"/>
    <cellStyle name="Millares [0] 2 5 7 5" xfId="48842" xr:uid="{F6DDFD56-AB4B-4E48-9795-31506DB21EC4}"/>
    <cellStyle name="Millares [0] 2 5 8" xfId="3416" xr:uid="{8D43CFB6-F385-4AE8-972E-8731B554D2FB}"/>
    <cellStyle name="Millares [0] 2 5 8 2" xfId="11657" xr:uid="{93A3D42A-B33B-4D4B-9CA2-E6D2ABB117A3}"/>
    <cellStyle name="Millares [0] 2 5 8 3" xfId="14497" xr:uid="{1AE06A07-8568-4A97-BD64-0955BE62B0D7}"/>
    <cellStyle name="Millares [0] 2 5 8 4" xfId="44421" xr:uid="{22780ECC-9390-433C-8D30-BB50A9A57100}"/>
    <cellStyle name="Millares [0] 2 5 8 5" xfId="49314" xr:uid="{480C4EC6-92EF-4260-B403-010B5C65697B}"/>
    <cellStyle name="Millares [0] 2 5 9" xfId="3932" xr:uid="{6D584CB3-08AC-41DF-B57C-87E584FB2084}"/>
    <cellStyle name="Millares [0] 2 5 9 2" xfId="12087" xr:uid="{BE5083F8-E8E3-4A5C-8FFB-C01B80370E4D}"/>
    <cellStyle name="Millares [0] 2 5 9 3" xfId="14928" xr:uid="{39261758-36FA-47CB-888B-9C39C4BEF417}"/>
    <cellStyle name="Millares [0] 2 5 9 4" xfId="44839" xr:uid="{199AB201-61A0-4D89-8E4E-D5BD792CC57E}"/>
    <cellStyle name="Millares [0] 2 5 9 5" xfId="49744" xr:uid="{F25333D2-9A94-4694-8CCF-B7AB0BD851E4}"/>
    <cellStyle name="Millares [0] 2 6" xfId="323" xr:uid="{00000000-0005-0000-0000-00001A010000}"/>
    <cellStyle name="Millares [0] 2 6 10" xfId="16061" xr:uid="{3331E5C1-C7B1-4B96-9765-5B2503E4AE95}"/>
    <cellStyle name="Millares [0] 2 6 11" xfId="16604" xr:uid="{6DE6DC9E-4EE6-4657-B65C-1C97456E6359}"/>
    <cellStyle name="Millares [0] 2 6 12" xfId="17148" xr:uid="{24E0D00D-E5DD-4FC4-9945-E7392B8ABFE7}"/>
    <cellStyle name="Millares [0] 2 6 13" xfId="17524" xr:uid="{4C8FB90A-DFD8-4165-9894-3FA139C9DB2C}"/>
    <cellStyle name="Millares [0] 2 6 14" xfId="42642" xr:uid="{D8FE722E-49B5-4B37-92C1-7B88F4D8D835}"/>
    <cellStyle name="Millares [0] 2 6 15" xfId="47535" xr:uid="{4285E256-A6E9-4E37-AD9B-559E7229BFF3}"/>
    <cellStyle name="Millares [0] 2 6 2" xfId="2151" xr:uid="{E10473A1-976D-4172-8E03-B48AC3ECB18D}"/>
    <cellStyle name="Millares [0] 2 6 2 2" xfId="10422" xr:uid="{2B1E14A2-46EE-4D32-A6FF-0A923DA8B67B}"/>
    <cellStyle name="Millares [0] 2 6 2 2 2" xfId="41667" xr:uid="{0B1AB8DB-2365-4C68-A7A3-5CA1EEC822BF}"/>
    <cellStyle name="Millares [0] 2 6 2 2 3" xfId="45582" xr:uid="{1EA932BE-7BAC-4D93-8372-9AAE36A00821}"/>
    <cellStyle name="Millares [0] 2 6 2 3" xfId="13262" xr:uid="{8F9F3CB0-D198-4321-B176-6D8BCD4B2440}"/>
    <cellStyle name="Millares [0] 2 6 2 4" xfId="18481" xr:uid="{26616B96-081C-4AD3-B8DC-3B55C223E30A}"/>
    <cellStyle name="Millares [0] 2 6 2 5" xfId="43186" xr:uid="{A09F808D-0D15-4774-B410-981955F2ABD5}"/>
    <cellStyle name="Millares [0] 2 6 2 6" xfId="48079" xr:uid="{33F661C3-0F51-47E3-AD40-D4B5A7CE5FEF}"/>
    <cellStyle name="Millares [0] 2 6 3" xfId="2569" xr:uid="{8F3E86A6-1657-49F0-9948-724E3C1AD386}"/>
    <cellStyle name="Millares [0] 2 6 3 2" xfId="10840" xr:uid="{27CBF48B-6378-43C8-80AF-7E7F46859C22}"/>
    <cellStyle name="Millares [0] 2 6 3 2 2" xfId="46000" xr:uid="{FD3FCA98-0A5C-4A19-9674-E796B96D7452}"/>
    <cellStyle name="Millares [0] 2 6 3 3" xfId="13680" xr:uid="{19595051-26BE-492D-AFB6-90CE8DF6FE8A}"/>
    <cellStyle name="Millares [0] 2 6 3 4" xfId="24189" xr:uid="{443EB40D-6907-446F-8A7C-75025EA87270}"/>
    <cellStyle name="Millares [0] 2 6 3 5" xfId="43604" xr:uid="{47786461-3462-4699-A9A5-65ACB792FEB8}"/>
    <cellStyle name="Millares [0] 2 6 3 6" xfId="48497" xr:uid="{CD648435-CB87-450D-AC8A-8308958EC01E}"/>
    <cellStyle name="Millares [0] 2 6 4" xfId="3113" xr:uid="{DD10B77C-ADDB-4EE4-9C49-485FFA0748FD}"/>
    <cellStyle name="Millares [0] 2 6 4 2" xfId="11384" xr:uid="{2665C09A-DAF6-46C7-BC86-1C3395FCD54A}"/>
    <cellStyle name="Millares [0] 2 6 4 2 2" xfId="46544" xr:uid="{8226F9B8-798B-4CDC-BC90-E14A7DC9EBCB}"/>
    <cellStyle name="Millares [0] 2 6 4 3" xfId="14224" xr:uid="{1DD49CF8-1DD2-4C1E-A120-65E5A3799833}"/>
    <cellStyle name="Millares [0] 2 6 4 4" xfId="30067" xr:uid="{C9EF2FE7-7ED2-4DFA-8DC3-EED66CFF5C81}"/>
    <cellStyle name="Millares [0] 2 6 4 5" xfId="44148" xr:uid="{A5AB3DE5-B3A3-4E74-A1ED-ABEBD08CA3BB}"/>
    <cellStyle name="Millares [0] 2 6 4 6" xfId="49041" xr:uid="{3D3C00C4-800D-4715-A283-E6367A7440D4}"/>
    <cellStyle name="Millares [0] 2 6 5" xfId="3615" xr:uid="{546DBB91-8A35-4760-875C-2C4401E950A0}"/>
    <cellStyle name="Millares [0] 2 6 5 2" xfId="11856" xr:uid="{CC4E9DBC-0A1D-4181-9ED2-F0004CE13C6A}"/>
    <cellStyle name="Millares [0] 2 6 5 2 2" xfId="47286" xr:uid="{0D558BB3-692E-445D-90DD-3A9245CBCB04}"/>
    <cellStyle name="Millares [0] 2 6 5 3" xfId="14696" xr:uid="{92B094BD-DABD-45E6-A964-0783298B065D}"/>
    <cellStyle name="Millares [0] 2 6 5 3 2" xfId="47198" xr:uid="{47B90FF3-D605-48FD-86A5-0BE4AC7341D8}"/>
    <cellStyle name="Millares [0] 2 6 5 4" xfId="35948" xr:uid="{CDAAB42F-AF0E-4A6E-B0FB-4A9F4F1A25D3}"/>
    <cellStyle name="Millares [0] 2 6 5 5" xfId="44620" xr:uid="{E41E594F-5031-40BF-B3EE-2A0A91A6377F}"/>
    <cellStyle name="Millares [0] 2 6 5 6" xfId="46840" xr:uid="{005C544F-8E87-423D-A7C8-E5683B2BAF23}"/>
    <cellStyle name="Millares [0] 2 6 5 7" xfId="49513" xr:uid="{33D869AA-231A-44B4-8B8F-5231289D3A5F}"/>
    <cellStyle name="Millares [0] 2 6 6" xfId="3955" xr:uid="{871083D8-F915-4EE5-94AE-831B607A48FC}"/>
    <cellStyle name="Millares [0] 2 6 6 2" xfId="12090" xr:uid="{0CD0411F-8467-4FA0-9630-15D0243EFD8B}"/>
    <cellStyle name="Millares [0] 2 6 6 3" xfId="14931" xr:uid="{4E03BF54-22CB-4D18-91B3-DB239A2068D4}"/>
    <cellStyle name="Millares [0] 2 6 6 4" xfId="45038" xr:uid="{FB59B2DF-16AC-443D-A336-D8034E095533}"/>
    <cellStyle name="Millares [0] 2 6 6 5" xfId="49747" xr:uid="{0583C2EE-117D-4CDD-A3EA-C70212436979}"/>
    <cellStyle name="Millares [0] 2 6 7" xfId="9878" xr:uid="{EBC70B8A-9FF9-4981-B840-121CFEA53E19}"/>
    <cellStyle name="Millares [0] 2 6 8" xfId="12718" xr:uid="{ECF2E5EC-3717-40C7-983B-66947481CC87}"/>
    <cellStyle name="Millares [0] 2 6 9" xfId="15376" xr:uid="{1A93D1AD-8654-495D-9397-1C371011C46C}"/>
    <cellStyle name="Millares [0] 2 7" xfId="648" xr:uid="{00000000-0005-0000-0000-00001B010000}"/>
    <cellStyle name="Millares [0] 2 7 10" xfId="17529" xr:uid="{5D356B08-080F-449A-9A35-3962A50AEA99}"/>
    <cellStyle name="Millares [0] 2 7 11" xfId="42135" xr:uid="{4C9614B6-225B-42BE-8B63-A950FEB14201}"/>
    <cellStyle name="Millares [0] 2 7 12" xfId="42954" xr:uid="{C1F2A7C9-47CC-4ECD-A095-CCDFF912EF5F}"/>
    <cellStyle name="Millares [0] 2 7 13" xfId="47847" xr:uid="{F73FF6FE-AE9E-4452-847E-960A27807ED0}"/>
    <cellStyle name="Millares [0] 2 7 2" xfId="2881" xr:uid="{8625D805-CB64-4625-99FC-023B0B920509}"/>
    <cellStyle name="Millares [0] 2 7 2 2" xfId="11152" xr:uid="{214665A1-7132-4ECD-9E6A-70EDF6998459}"/>
    <cellStyle name="Millares [0] 2 7 2 2 2" xfId="41671" xr:uid="{12DB8EB5-42C0-4A4A-88EB-0D20EB0937CE}"/>
    <cellStyle name="Millares [0] 2 7 2 2 3" xfId="46312" xr:uid="{C40A5F17-07F6-4487-A488-DDF737DF8B66}"/>
    <cellStyle name="Millares [0] 2 7 2 3" xfId="13992" xr:uid="{A8D13F40-7754-465D-8239-7B4795A8FC66}"/>
    <cellStyle name="Millares [0] 2 7 2 4" xfId="18509" xr:uid="{3475F19E-0459-4E8A-8D60-7E892A6012BE}"/>
    <cellStyle name="Millares [0] 2 7 2 5" xfId="43916" xr:uid="{2DE98922-BCF0-47BE-AECD-386E994FA1EB}"/>
    <cellStyle name="Millares [0] 2 7 2 6" xfId="48809" xr:uid="{8A173D07-DC62-4BF6-9BE1-EC6639BD63E8}"/>
    <cellStyle name="Millares [0] 2 7 3" xfId="3982" xr:uid="{C256A712-8365-4EA1-BD87-D621C700FF2E}"/>
    <cellStyle name="Millares [0] 2 7 3 2" xfId="12094" xr:uid="{C38C0994-7A39-4990-B9BC-149A0C38E80C}"/>
    <cellStyle name="Millares [0] 2 7 3 3" xfId="14935" xr:uid="{34C972B2-18BC-4C79-85CB-A1F8DAB68550}"/>
    <cellStyle name="Millares [0] 2 7 3 4" xfId="24218" xr:uid="{F1BB593C-33C0-40A7-A876-F63AF2E0A3F9}"/>
    <cellStyle name="Millares [0] 2 7 3 5" xfId="45350" xr:uid="{403BA1B3-0F6D-4C60-AD53-8C3BDF683D9E}"/>
    <cellStyle name="Millares [0] 2 7 3 6" xfId="49751" xr:uid="{562FD958-FFE0-4901-9433-BA25CBB1DB20}"/>
    <cellStyle name="Millares [0] 2 7 4" xfId="10190" xr:uid="{B0DEBFE5-BC85-43D3-B2EA-902158920482}"/>
    <cellStyle name="Millares [0] 2 7 4 2" xfId="30096" xr:uid="{8294D0EF-8010-403C-A23A-1FAE657DCD26}"/>
    <cellStyle name="Millares [0] 2 7 5" xfId="13030" xr:uid="{1A8C471A-17B4-42FF-850F-B7286237E43F}"/>
    <cellStyle name="Millares [0] 2 7 5 2" xfId="35976" xr:uid="{CC8DFAE3-38C0-49C4-A2F1-3BA4A8941131}"/>
    <cellStyle name="Millares [0] 2 7 6" xfId="15380" xr:uid="{96549A5C-5705-4845-9135-54BB2FCFFB5B}"/>
    <cellStyle name="Millares [0] 2 7 7" xfId="16373" xr:uid="{B18F737D-2997-4EBC-B062-79B699DC7C4C}"/>
    <cellStyle name="Millares [0] 2 7 8" xfId="16916" xr:uid="{C45FCEA7-4DBA-4BD6-B49F-1A0B57521DEA}"/>
    <cellStyle name="Millares [0] 2 7 9" xfId="17460" xr:uid="{071173F2-6D07-4339-A74A-48F644009856}"/>
    <cellStyle name="Millares [0] 2 8" xfId="659" xr:uid="{00000000-0005-0000-0000-00001C010000}"/>
    <cellStyle name="Millares [0] 2 8 10" xfId="17829" xr:uid="{82C2AFE8-EE21-4DFD-9F74-3023F2567132}"/>
    <cellStyle name="Millares [0] 2 8 11" xfId="41017" xr:uid="{F751261E-E83F-4387-9A28-DD1BE6EEB0C1}"/>
    <cellStyle name="Millares [0] 2 8 12" xfId="42959" xr:uid="{99D79B09-8986-4BEC-A8DC-BE2DA49B1A15}"/>
    <cellStyle name="Millares [0] 2 8 13" xfId="47852" xr:uid="{41CB8B27-2627-4392-BC21-7E23EDFB746A}"/>
    <cellStyle name="Millares [0] 2 8 2" xfId="2886" xr:uid="{B7091736-CF69-423B-8A91-86D9E4324BBE}"/>
    <cellStyle name="Millares [0] 2 8 2 2" xfId="11157" xr:uid="{557910E1-DCB7-444A-9A4A-E23C03C17CC7}"/>
    <cellStyle name="Millares [0] 2 8 2 2 2" xfId="41829" xr:uid="{24E5113B-8D07-4E20-A68D-46D920A827A1}"/>
    <cellStyle name="Millares [0] 2 8 2 2 3" xfId="46317" xr:uid="{A8DAFBE7-3E43-4B4D-A62E-4106F76A7BD4}"/>
    <cellStyle name="Millares [0] 2 8 2 3" xfId="13997" xr:uid="{328D287D-1F39-4CAB-96C3-C49F13CB2B0E}"/>
    <cellStyle name="Millares [0] 2 8 2 4" xfId="20737" xr:uid="{30994109-D9B6-4CF4-AE41-4BFFC8A5BE7D}"/>
    <cellStyle name="Millares [0] 2 8 2 5" xfId="43921" xr:uid="{E359435E-DC88-4476-A3F1-998B6FAF486C}"/>
    <cellStyle name="Millares [0] 2 8 2 6" xfId="48814" xr:uid="{A5628ADD-12C9-4BD2-83B9-DD92FD02BC1C}"/>
    <cellStyle name="Millares [0] 2 8 3" xfId="6296" xr:uid="{5D36725C-83C4-461D-9508-10872016FAB4}"/>
    <cellStyle name="Millares [0] 2 8 3 2" xfId="12252" xr:uid="{ED79CF2E-0F82-426E-B770-7D617DD53D4C}"/>
    <cellStyle name="Millares [0] 2 8 3 3" xfId="15093" xr:uid="{4448B5D3-C2B0-4729-B99F-720695B5E1B3}"/>
    <cellStyle name="Millares [0] 2 8 3 4" xfId="26546" xr:uid="{857A1DEB-B603-4E52-AD00-8E96F2A6EFAC}"/>
    <cellStyle name="Millares [0] 2 8 3 5" xfId="45355" xr:uid="{0B8A8995-4764-4FA0-8CF8-2F3AA72034D9}"/>
    <cellStyle name="Millares [0] 2 8 3 6" xfId="49909" xr:uid="{A56D6FB8-2B13-4376-B59D-DD07E4012C05}"/>
    <cellStyle name="Millares [0] 2 8 4" xfId="10195" xr:uid="{A5A34AD2-7979-4229-855D-B20386C2E1AE}"/>
    <cellStyle name="Millares [0] 2 8 4 2" xfId="32421" xr:uid="{2D943D9B-05D1-4422-8AEF-4C73D0566A6A}"/>
    <cellStyle name="Millares [0] 2 8 5" xfId="13035" xr:uid="{4298E2D5-AAB8-4E51-8AA5-4734AD071028}"/>
    <cellStyle name="Millares [0] 2 8 5 2" xfId="38286" xr:uid="{0D921B6A-7C57-4930-9C87-972A07A8D388}"/>
    <cellStyle name="Millares [0] 2 8 6" xfId="15540" xr:uid="{5DB19D42-341C-41B6-BC64-1D68A06F7EEF}"/>
    <cellStyle name="Millares [0] 2 8 7" xfId="16378" xr:uid="{5D74F654-A8D0-4108-ABE4-4B3040F62780}"/>
    <cellStyle name="Millares [0] 2 8 8" xfId="16921" xr:uid="{86E3EC5D-5EC2-4C68-B23D-E69AFBEE5E80}"/>
    <cellStyle name="Millares [0] 2 8 9" xfId="17465" xr:uid="{1BE008B8-7F4E-40FB-ABD3-54ABB0BABFF1}"/>
    <cellStyle name="Millares [0] 2 9" xfId="3356" xr:uid="{D4E43B56-AF59-4A9E-A30B-8E924AA60CD3}"/>
    <cellStyle name="Millares [0] 2 9 2" xfId="6409" xr:uid="{89BF84C5-0D94-4C99-BB4D-10F6D837A5BB}"/>
    <cellStyle name="Millares [0] 2 9 2 2" xfId="12264" xr:uid="{29EC8A55-7270-49BA-96D0-47EB955F9243}"/>
    <cellStyle name="Millares [0] 2 9 2 2 2" xfId="41841" xr:uid="{3FF9581C-8B3F-4FD5-9106-362543350D2A}"/>
    <cellStyle name="Millares [0] 2 9 2 3" xfId="15105" xr:uid="{497225CE-5F3F-49FB-B9D7-7DCEA077C565}"/>
    <cellStyle name="Millares [0] 2 9 2 4" xfId="20850" xr:uid="{5DD60CDE-EC38-4A78-BC6C-253E87665571}"/>
    <cellStyle name="Millares [0] 2 9 2 5" xfId="46768" xr:uid="{DB729899-0C43-41D2-A846-656DBB15EA8B}"/>
    <cellStyle name="Millares [0] 2 9 2 6" xfId="49921" xr:uid="{C64CE20A-71F8-4F49-A0A1-9E5D2122EB73}"/>
    <cellStyle name="Millares [0] 2 9 3" xfId="11608" xr:uid="{23060779-8C79-4B9D-920C-C235E3E72299}"/>
    <cellStyle name="Millares [0] 2 9 3 2" xfId="26659" xr:uid="{34826BDF-9FD7-446E-901C-AB26D66303A8}"/>
    <cellStyle name="Millares [0] 2 9 4" xfId="14448" xr:uid="{38CA9C59-A988-4AD5-A0CA-C3F32DA57992}"/>
    <cellStyle name="Millares [0] 2 9 4 2" xfId="32534" xr:uid="{D2C296CC-F978-4A78-AF18-0373473AC9C8}"/>
    <cellStyle name="Millares [0] 2 9 5" xfId="15552" xr:uid="{F3141AFE-076D-4A77-8D0E-D4459C8F76A2}"/>
    <cellStyle name="Millares [0] 2 9 5 2" xfId="38398" xr:uid="{9B056FA1-5E56-479D-B6EE-24366F96E8C1}"/>
    <cellStyle name="Millares [0] 2 9 6" xfId="17848" xr:uid="{6FF18400-AEC7-4EB4-879C-338804D96705}"/>
    <cellStyle name="Millares [0] 2 9 7" xfId="44372" xr:uid="{306143C4-83B1-495D-91CF-4F64CC23DA8B}"/>
    <cellStyle name="Millares [0] 2 9 8" xfId="49265" xr:uid="{09B9DC47-673A-4861-92F9-5404E1850B63}"/>
    <cellStyle name="Millares [0] 20" xfId="2906" xr:uid="{EE3A4B5C-8A7F-435F-85EE-DE971560F668}"/>
    <cellStyle name="Millares [0] 20 2" xfId="9274" xr:uid="{2E71C267-6DFC-4CAF-8037-DDA7EB29DD69}"/>
    <cellStyle name="Millares [0] 20 2 2" xfId="12447" xr:uid="{95E2DA1E-487D-4B63-9F7F-EAA44C4B778B}"/>
    <cellStyle name="Millares [0] 20 2 2 2" xfId="42024" xr:uid="{070F4F6A-28FF-42A8-9655-536CF21314DE}"/>
    <cellStyle name="Millares [0] 20 2 2 3" xfId="23637" xr:uid="{37ADCDC4-117C-4C0B-8A46-6C2C1BD1FE2C}"/>
    <cellStyle name="Millares [0] 20 2 3" xfId="15288" xr:uid="{ED00438B-DF80-4197-9016-6FF5F75B84D5}"/>
    <cellStyle name="Millares [0] 20 2 3 2" xfId="29505" xr:uid="{A2D470D3-C215-43D7-BC14-3A21EB77528B}"/>
    <cellStyle name="Millares [0] 20 2 4" xfId="15737" xr:uid="{C837E652-F7CD-4A70-8043-7CB8B4EF6CEC}"/>
    <cellStyle name="Millares [0] 20 2 4 2" xfId="35387" xr:uid="{22547F3C-D5E9-4542-A064-377556863DC8}"/>
    <cellStyle name="Millares [0] 20 2 5" xfId="41246" xr:uid="{00DB092D-60BF-4593-8E66-ED532EF73AA7}"/>
    <cellStyle name="Millares [0] 20 2 6" xfId="18226" xr:uid="{9ED49B89-BFBB-4F96-A1AB-16388C02709F}"/>
    <cellStyle name="Millares [0] 20 2 7" xfId="46337" xr:uid="{33B33E40-A810-41DA-8553-E656FE521285}"/>
    <cellStyle name="Millares [0] 20 2 8" xfId="50104" xr:uid="{5A79CE05-9255-4EE7-B3B4-D5BE9C71FB4E}"/>
    <cellStyle name="Millares [0] 20 3" xfId="6410" xr:uid="{04F999DD-3594-489D-A23F-5644BE3F4BCF}"/>
    <cellStyle name="Millares [0] 20 3 2" xfId="12265" xr:uid="{D0EBB2FF-975A-419D-8866-58C828896680}"/>
    <cellStyle name="Millares [0] 20 3 2 2" xfId="41842" xr:uid="{769F7800-D550-48E2-8DD8-8873DC56B7DB}"/>
    <cellStyle name="Millares [0] 20 3 3" xfId="15106" xr:uid="{F179B232-EDAB-4FBC-AAC5-ADF61E13A1AB}"/>
    <cellStyle name="Millares [0] 20 3 4" xfId="20851" xr:uid="{EA44AE59-19B0-45C6-9BBD-2931F5BE5F38}"/>
    <cellStyle name="Millares [0] 20 3 5" xfId="49922" xr:uid="{33DC4A61-33F5-49BE-932F-4C2461241D96}"/>
    <cellStyle name="Millares [0] 20 4" xfId="11177" xr:uid="{5AEACB7A-74ED-4DB3-9A19-498FFCD3871D}"/>
    <cellStyle name="Millares [0] 20 4 2" xfId="26660" xr:uid="{6EFDEB70-4883-4337-BBA4-0E2EE1172EDD}"/>
    <cellStyle name="Millares [0] 20 5" xfId="14017" xr:uid="{156DB3B8-8E65-4D50-AC6A-B6E49F8990BE}"/>
    <cellStyle name="Millares [0] 20 5 2" xfId="32535" xr:uid="{88643485-D933-4E39-A348-E1D3A57E4AAB}"/>
    <cellStyle name="Millares [0] 20 6" xfId="15553" xr:uid="{873BEA58-55EC-4259-BF8C-99E3E4166E71}"/>
    <cellStyle name="Millares [0] 20 6 2" xfId="38399" xr:uid="{392FCDB7-6D24-4413-A2C7-98780DA9EF68}"/>
    <cellStyle name="Millares [0] 20 7" xfId="17849" xr:uid="{699F779D-15B7-4BA2-BAB9-AEDE227B85E1}"/>
    <cellStyle name="Millares [0] 20 8" xfId="43941" xr:uid="{720B4783-F506-47C1-ADDD-C9F78C98EF61}"/>
    <cellStyle name="Millares [0] 20 9" xfId="48834" xr:uid="{DE018E90-B6CA-446D-ACBD-B439B8DA3E20}"/>
    <cellStyle name="Millares [0] 21" xfId="3325" xr:uid="{672A8414-D7F2-4652-A709-5D97533AC908}"/>
    <cellStyle name="Millares [0] 21 2" xfId="9280" xr:uid="{ED7FB63F-A5CB-4669-A368-A6B1DD7846C9}"/>
    <cellStyle name="Millares [0] 21 2 2" xfId="12448" xr:uid="{7C856978-292D-44BC-AEBF-4821C46FE005}"/>
    <cellStyle name="Millares [0] 21 2 2 2" xfId="42025" xr:uid="{54F45E7E-F1C1-43B5-B6D9-E43934F473AB}"/>
    <cellStyle name="Millares [0] 21 2 2 3" xfId="23643" xr:uid="{8846C160-0CC3-40A6-A1BA-4871EA126512}"/>
    <cellStyle name="Millares [0] 21 2 3" xfId="15289" xr:uid="{95E67FAC-8AB5-4D41-AFBB-E6C3733D9BCA}"/>
    <cellStyle name="Millares [0] 21 2 3 2" xfId="29511" xr:uid="{29A3CC2F-8219-456A-84CB-C4C0AF1FA6C4}"/>
    <cellStyle name="Millares [0] 21 2 4" xfId="15739" xr:uid="{7B5BBEF5-F682-4BDC-84E8-C7A5D9A0E490}"/>
    <cellStyle name="Millares [0] 21 2 4 2" xfId="35393" xr:uid="{50D86BEB-EF1A-44F6-9EBC-419A989EEF54}"/>
    <cellStyle name="Millares [0] 21 2 5" xfId="41252" xr:uid="{362BAB49-4402-47DF-AAAA-D3057E179095}"/>
    <cellStyle name="Millares [0] 21 2 6" xfId="18228" xr:uid="{4CFF4607-3B9F-4CE2-AD99-D3E54DB4DE77}"/>
    <cellStyle name="Millares [0] 21 2 7" xfId="46755" xr:uid="{3F6C9345-F00A-45B3-95D8-52D8E5F539BB}"/>
    <cellStyle name="Millares [0] 21 2 8" xfId="50105" xr:uid="{B8F3C2C9-9D90-411D-9768-32CABB4825F2}"/>
    <cellStyle name="Millares [0] 21 3" xfId="6417" xr:uid="{A3FC5738-D3D7-4424-866C-C0BF2700CE36}"/>
    <cellStyle name="Millares [0] 21 3 2" xfId="12267" xr:uid="{476A14DC-DD4C-4E16-8784-60BA56D04904}"/>
    <cellStyle name="Millares [0] 21 3 2 2" xfId="41844" xr:uid="{11BB3C55-F9A1-46BA-940F-2AF384E367CF}"/>
    <cellStyle name="Millares [0] 21 3 3" xfId="15108" xr:uid="{55C0BFD8-352C-46F5-A118-512B7859F79F}"/>
    <cellStyle name="Millares [0] 21 3 4" xfId="20858" xr:uid="{337572AB-A105-4B7B-87A5-637F7745786F}"/>
    <cellStyle name="Millares [0] 21 3 5" xfId="49924" xr:uid="{B6A64111-CFDF-4F12-8642-371AD717A669}"/>
    <cellStyle name="Millares [0] 21 4" xfId="11595" xr:uid="{558EC088-17FC-4161-BADC-91377B4724FC}"/>
    <cellStyle name="Millares [0] 21 4 2" xfId="26667" xr:uid="{D6F71BE9-D8F2-4F9A-B060-5BBCA78D7247}"/>
    <cellStyle name="Millares [0] 21 5" xfId="14435" xr:uid="{88D1FA7A-48F6-423F-BE02-841618C6D472}"/>
    <cellStyle name="Millares [0] 21 5 2" xfId="32542" xr:uid="{893ABCDD-C282-4126-AC96-C6A9857BF772}"/>
    <cellStyle name="Millares [0] 21 6" xfId="15555" xr:uid="{35423776-79D6-4BC7-97D0-BB01F22D8EBB}"/>
    <cellStyle name="Millares [0] 21 6 2" xfId="38406" xr:uid="{1FC2E7D6-742E-41C4-A7FA-4F1FE7020B6F}"/>
    <cellStyle name="Millares [0] 21 7" xfId="17851" xr:uid="{DDCA0826-6E89-43B1-844C-FEADE18F7010}"/>
    <cellStyle name="Millares [0] 21 8" xfId="44359" xr:uid="{BDED7105-2921-41A5-9C13-03EBEE717895}"/>
    <cellStyle name="Millares [0] 21 9" xfId="49252" xr:uid="{8B1E6AFA-695C-461B-B932-FDA624E5014D}"/>
    <cellStyle name="Millares [0] 22" xfId="3408" xr:uid="{2B07E011-CC78-4A4D-BB2D-03568E2CA7D0}"/>
    <cellStyle name="Millares [0] 22 2" xfId="9414" xr:uid="{DA882FB7-A456-432E-A99B-D6CFE39E3994}"/>
    <cellStyle name="Millares [0] 22 2 2" xfId="12450" xr:uid="{2B30DE0F-A4A0-4C83-AFE6-C2F3930001A8}"/>
    <cellStyle name="Millares [0] 22 2 2 2" xfId="42027" xr:uid="{5ACB7401-CF57-42E8-84F5-43FFF572C573}"/>
    <cellStyle name="Millares [0] 22 2 2 3" xfId="23777" xr:uid="{64AB577C-E320-4F1E-B09C-50E1555E360F}"/>
    <cellStyle name="Millares [0] 22 2 3" xfId="15291" xr:uid="{098BD998-72EB-434E-8D2E-CCEE80563531}"/>
    <cellStyle name="Millares [0] 22 2 3 2" xfId="29645" xr:uid="{3CF5E1A7-E8F8-4907-BB25-DAD4787CD509}"/>
    <cellStyle name="Millares [0] 22 2 4" xfId="15741" xr:uid="{4D760AC5-1DBB-43F3-87D0-0AC4461A8216}"/>
    <cellStyle name="Millares [0] 22 2 4 2" xfId="35527" xr:uid="{A9DBF400-6571-4636-A986-DB037DB8330C}"/>
    <cellStyle name="Millares [0] 22 2 5" xfId="41386" xr:uid="{605F0372-85BF-4CB7-ADCC-2127A02DE604}"/>
    <cellStyle name="Millares [0] 22 2 6" xfId="18241" xr:uid="{AE875169-227B-4BA0-A7FF-FD285F90BEB1}"/>
    <cellStyle name="Millares [0] 22 2 7" xfId="50107" xr:uid="{7117616F-63C0-4E5E-8D9B-1998D17336CB}"/>
    <cellStyle name="Millares [0] 22 3" xfId="6553" xr:uid="{6FF35730-7264-4D17-9412-D89872E884D5}"/>
    <cellStyle name="Millares [0] 22 3 2" xfId="12271" xr:uid="{8E19AAA3-AB52-49D4-8DB7-DDBDC694CBA3}"/>
    <cellStyle name="Millares [0] 22 3 2 2" xfId="41848" xr:uid="{A6B6584F-6CA4-447F-BF95-9E85D94979A9}"/>
    <cellStyle name="Millares [0] 22 3 3" xfId="15112" xr:uid="{1E0DD894-D3A2-4D45-8EC1-8C8B489758B3}"/>
    <cellStyle name="Millares [0] 22 3 4" xfId="20992" xr:uid="{5DD3F0EC-8FB4-439C-A17F-E41FD69127ED}"/>
    <cellStyle name="Millares [0] 22 3 5" xfId="49928" xr:uid="{9492784E-5A6B-468D-8FF2-56553388A213}"/>
    <cellStyle name="Millares [0] 22 4" xfId="11649" xr:uid="{AB4B52DE-3FD2-4DED-994A-48B2E28D87BF}"/>
    <cellStyle name="Millares [0] 22 4 2" xfId="26803" xr:uid="{AA54575D-2B60-4408-A2C7-74C012FDCDB5}"/>
    <cellStyle name="Millares [0] 22 5" xfId="14489" xr:uid="{404D8859-095A-4C5D-900A-5B776625E415}"/>
    <cellStyle name="Millares [0] 22 5 2" xfId="32678" xr:uid="{DAA282E3-0950-46D3-9A27-5404427C80A4}"/>
    <cellStyle name="Millares [0] 22 6" xfId="15559" xr:uid="{91022494-65DE-4513-93EA-26D38EC33C04}"/>
    <cellStyle name="Millares [0] 22 6 2" xfId="38542" xr:uid="{120C0DDB-51C3-4C25-9AA2-7170FAB806C9}"/>
    <cellStyle name="Millares [0] 22 7" xfId="17867" xr:uid="{F37CFAF5-D35A-4F0B-8367-6810F3EBB363}"/>
    <cellStyle name="Millares [0] 22 8" xfId="44413" xr:uid="{3E5A7250-0B58-4228-A8C0-F1DAA1A1D3D9}"/>
    <cellStyle name="Millares [0] 22 9" xfId="49306" xr:uid="{EB8AC2CD-8989-46E0-B930-053E269EF69A}"/>
    <cellStyle name="Millares [0] 23" xfId="6581" xr:uid="{5F896350-C095-449F-941F-3E61E4729D87}"/>
    <cellStyle name="Millares [0] 23 2" xfId="9441" xr:uid="{49EB2873-F65A-4802-8ADE-0683E198544D}"/>
    <cellStyle name="Millares [0] 23 2 2" xfId="12451" xr:uid="{8735A246-15E7-4705-83B8-4227A74BDB35}"/>
    <cellStyle name="Millares [0] 23 2 2 2" xfId="42028" xr:uid="{8A43EF16-1077-4157-8586-7C408C3B2388}"/>
    <cellStyle name="Millares [0] 23 2 2 3" xfId="23803" xr:uid="{DC8AE3DC-52AA-40AA-B6C8-066E2F9C037C}"/>
    <cellStyle name="Millares [0] 23 2 3" xfId="15292" xr:uid="{A14C6A5A-24D4-44F3-8E83-048F11B92853}"/>
    <cellStyle name="Millares [0] 23 2 3 2" xfId="29672" xr:uid="{AC1B91A7-9B3C-4A41-BDD6-986A34D92395}"/>
    <cellStyle name="Millares [0] 23 2 4" xfId="15742" xr:uid="{FF0D9829-8A8C-4E2D-AEE7-9170B99B0CB6}"/>
    <cellStyle name="Millares [0] 23 2 4 2" xfId="35554" xr:uid="{99E2E243-33F9-4A46-9B9E-C6FF9128B114}"/>
    <cellStyle name="Millares [0] 23 2 5" xfId="41413" xr:uid="{9EF9FE9C-6CE2-4BCA-BF21-A2A72FAEA859}"/>
    <cellStyle name="Millares [0] 23 2 6" xfId="18246" xr:uid="{A93606AB-1BF1-4769-8942-6EC7AAF578F6}"/>
    <cellStyle name="Millares [0] 23 2 7" xfId="50108" xr:uid="{6C6E8F78-F7A5-4D72-AF70-A9298BAFFBF9}"/>
    <cellStyle name="Millares [0] 23 3" xfId="12272" xr:uid="{AF625C0A-422D-4A30-BBEC-BCBA8F71F62E}"/>
    <cellStyle name="Millares [0] 23 3 2" xfId="41849" xr:uid="{35FF73E7-6BE1-493C-B54E-0FD37773B2BA}"/>
    <cellStyle name="Millares [0] 23 3 3" xfId="21019" xr:uid="{5CB3EF05-5D7B-485A-B504-067376CBCF1D}"/>
    <cellStyle name="Millares [0] 23 4" xfId="15113" xr:uid="{D2CC2BFD-CE7B-4D34-AEA3-EEE7AF217294}"/>
    <cellStyle name="Millares [0] 23 4 2" xfId="26830" xr:uid="{FED27659-DE26-473F-89E6-A73933F1A578}"/>
    <cellStyle name="Millares [0] 23 5" xfId="15560" xr:uid="{487C4D72-72B8-4D6D-8151-24D74FBE2321}"/>
    <cellStyle name="Millares [0] 23 5 2" xfId="32705" xr:uid="{ED24203C-D429-4EDE-BC98-81726B35BFB5}"/>
    <cellStyle name="Millares [0] 23 6" xfId="38569" xr:uid="{F8AD3FF0-81C7-4ABC-A81E-C93D53520C2F}"/>
    <cellStyle name="Millares [0] 23 7" xfId="17872" xr:uid="{1ABE27F2-383A-4209-AFA9-BE43DC7C018A}"/>
    <cellStyle name="Millares [0] 23 8" xfId="44831" xr:uid="{502BF30A-16B6-4763-BE60-24FA3DA00057}"/>
    <cellStyle name="Millares [0] 23 9" xfId="49929" xr:uid="{430C9DAD-8F2E-47E1-B8E9-8D286E9F386C}"/>
    <cellStyle name="Millares [0] 24" xfId="6630" xr:uid="{25444DD2-1FA3-4530-8307-90DF348F107C}"/>
    <cellStyle name="Millares [0] 24 2" xfId="12273" xr:uid="{EAB6494C-381E-45C6-9A1F-678C1E718DA6}"/>
    <cellStyle name="Millares [0] 24 2 2" xfId="41850" xr:uid="{8F9AD3E1-A70F-4AF6-8517-98D2C71287DB}"/>
    <cellStyle name="Millares [0] 24 2 3" xfId="21067" xr:uid="{D3D6E271-C413-4B6D-9B3B-E1C7DC41F93E}"/>
    <cellStyle name="Millares [0] 24 3" xfId="15114" xr:uid="{A6D66E96-41B3-4FE5-BA02-B6B05271958D}"/>
    <cellStyle name="Millares [0] 24 3 2" xfId="26879" xr:uid="{43DF9D05-2DFD-4AC5-877B-3372FBE4AC58}"/>
    <cellStyle name="Millares [0] 24 4" xfId="15561" xr:uid="{840D1807-EE28-4B25-BCD0-8016895C5AC1}"/>
    <cellStyle name="Millares [0] 24 4 2" xfId="32754" xr:uid="{418E0E03-5487-41B1-B5EF-400BE43CA5FF}"/>
    <cellStyle name="Millares [0] 24 5" xfId="38618" xr:uid="{80A52419-23E7-43D5-B7F2-6EE522AD6310}"/>
    <cellStyle name="Millares [0] 24 6" xfId="17878" xr:uid="{C5637EA9-3197-4BFD-86E2-8C42E726C173}"/>
    <cellStyle name="Millares [0] 24 7" xfId="49930" xr:uid="{CAE110FC-9D7B-4675-BC7D-1612E28FD4DB}"/>
    <cellStyle name="Millares [0] 25" xfId="6660" xr:uid="{9BF5A04E-6C2D-46E2-959C-8A1EB3B9F5D3}"/>
    <cellStyle name="Millares [0] 25 2" xfId="21089" xr:uid="{41B7C03B-68BB-46B4-9ED8-D905082F46A0}"/>
    <cellStyle name="Millares [0] 25 3" xfId="26901" xr:uid="{5857C517-E66A-46FC-A8B4-B8A51538C69E}"/>
    <cellStyle name="Millares [0] 25 4" xfId="32776" xr:uid="{CAC29D68-7EB9-4135-BB19-C514E134F1EB}"/>
    <cellStyle name="Millares [0] 25 5" xfId="38640" xr:uid="{19B2756F-AD10-49B3-BB1F-17EB15FC9726}"/>
    <cellStyle name="Millares [0] 26" xfId="9550" xr:uid="{E2E1D458-C228-4F1E-AB9B-CB461B21B67E}"/>
    <cellStyle name="Millares [0] 26 2" xfId="12452" xr:uid="{CCAAF861-27EC-4E76-9456-6D34198ACE7C}"/>
    <cellStyle name="Millares [0] 26 2 2" xfId="42029" xr:uid="{7934E547-9FD7-4A32-8AFD-F4EE76093D18}"/>
    <cellStyle name="Millares [0] 26 2 3" xfId="23912" xr:uid="{CDEC9CC6-5832-4318-927F-5CC41E2CBB86}"/>
    <cellStyle name="Millares [0] 26 3" xfId="15293" xr:uid="{3EBFBA07-99B1-43A5-9970-F5F998E5AE6F}"/>
    <cellStyle name="Millares [0] 26 3 2" xfId="29782" xr:uid="{6DFA1CBE-704E-48BF-8E0E-6C7E8FA3123C}"/>
    <cellStyle name="Millares [0] 26 4" xfId="15743" xr:uid="{78F226FC-B246-439A-864B-875D37935394}"/>
    <cellStyle name="Millares [0] 26 4 2" xfId="35664" xr:uid="{A3354E3A-80C3-4E0B-B671-E08286C455D1}"/>
    <cellStyle name="Millares [0] 26 5" xfId="41523" xr:uid="{1C39BB06-D4CF-4705-84F4-14C514B8CE49}"/>
    <cellStyle name="Millares [0] 26 6" xfId="18256" xr:uid="{C96FF23A-C160-4134-A246-DE5A7DD56F60}"/>
    <cellStyle name="Millares [0] 26 7" xfId="50109" xr:uid="{7DB3E4FC-3E27-471C-B30A-79BE5AF2BCAD}"/>
    <cellStyle name="Millares [0] 27" xfId="9624" xr:uid="{55CCDCD1-AEEF-4244-9F9B-C52E2436336F}"/>
    <cellStyle name="Millares [0] 27 2" xfId="12464" xr:uid="{71E906CA-619A-4D7F-B744-6CD55BF28DB9}"/>
    <cellStyle name="Millares [0] 27 2 2" xfId="42039" xr:uid="{A94C98C5-5794-4779-9831-96C8AC9B6053}"/>
    <cellStyle name="Millares [0] 27 2 3" xfId="23976" xr:uid="{E707A42C-5E42-4C22-BA77-F70A60400E00}"/>
    <cellStyle name="Millares [0] 27 3" xfId="15305" xr:uid="{2CC4C56B-3C94-4522-94A7-23C8BFC91DCD}"/>
    <cellStyle name="Millares [0] 27 3 2" xfId="29847" xr:uid="{A416A4F3-046D-408B-8C1D-1EB768E08478}"/>
    <cellStyle name="Millares [0] 27 4" xfId="15755" xr:uid="{BF10D8B6-9D5B-44B8-BCA4-407E3EB2F4F9}"/>
    <cellStyle name="Millares [0] 27 4 2" xfId="35729" xr:uid="{892A0043-BDC9-4962-877B-159A8B80E3BE}"/>
    <cellStyle name="Millares [0] 27 5" xfId="41588" xr:uid="{A88931EE-16AC-476F-A095-3CF0CA299D4A}"/>
    <cellStyle name="Millares [0] 27 6" xfId="18268" xr:uid="{726A87BD-2216-4954-B3AF-9F2110F900CB}"/>
    <cellStyle name="Millares [0] 27 7" xfId="50121" xr:uid="{47B9F507-8062-426E-8EC3-9784A0AC6C51}"/>
    <cellStyle name="Millares [0] 28" xfId="9671" xr:uid="{6B8461E3-0026-4CE0-ACD8-9F9D8B780E32}"/>
    <cellStyle name="Millares [0] 28 2" xfId="15779" xr:uid="{960D0929-B4F7-4875-B916-FB862D025231}"/>
    <cellStyle name="Millares [0] 28 2 2" xfId="42041" xr:uid="{C10A2214-5166-4E4B-81FF-92E1EDF1D61D}"/>
    <cellStyle name="Millares [0] 28 2 3" xfId="23997" xr:uid="{2C852F5B-3A8A-4367-B443-0A08A2138DD6}"/>
    <cellStyle name="Millares [0] 28 3" xfId="29871" xr:uid="{8020A14C-27FD-41E4-A8E1-11947D1F7197}"/>
    <cellStyle name="Millares [0] 28 4" xfId="35753" xr:uid="{FDFAE198-8A3D-4F25-A399-9D17FA206C0F}"/>
    <cellStyle name="Millares [0] 28 5" xfId="41612" xr:uid="{8AA0695D-679A-420C-A584-91E9553A812D}"/>
    <cellStyle name="Millares [0] 28 6" xfId="18272" xr:uid="{30AE1E62-66F9-4673-8052-B6E8DE61B374}"/>
    <cellStyle name="Millares [0] 29" xfId="12511" xr:uid="{5D0EA1C9-EF73-4898-9D80-DDC8EBF03F7C}"/>
    <cellStyle name="Millares [0] 29 2" xfId="15810" xr:uid="{6C26189D-2B4A-4154-B1B7-1D113A925AE4}"/>
    <cellStyle name="Millares [0] 29 2 2" xfId="41641" xr:uid="{670CA15D-0A47-43D5-9AB9-E6853B527D32}"/>
    <cellStyle name="Millares [0] 29 3" xfId="18276" xr:uid="{12A97373-611E-4E8F-8FF9-EA39C456E12D}"/>
    <cellStyle name="Millares [0] 3" xfId="55" xr:uid="{00000000-0005-0000-0000-00001D010000}"/>
    <cellStyle name="Millares [0] 3 10" xfId="1879" xr:uid="{00000000-0005-0000-0000-00001E010000}"/>
    <cellStyle name="Millares [0] 3 10 2" xfId="6438" xr:uid="{D7B1888D-19F2-4E2D-8590-4EBD75359198}"/>
    <cellStyle name="Millares [0] 3 10 2 2" xfId="12269" xr:uid="{0B3C6748-8512-43A8-A3FE-736BFD4C459B}"/>
    <cellStyle name="Millares [0] 3 10 2 2 2" xfId="41846" xr:uid="{B693556D-96C8-4140-95DB-DF1895C042F2}"/>
    <cellStyle name="Millares [0] 3 10 2 3" xfId="15110" xr:uid="{7FA1AB32-5ED9-4ADA-8F55-DC0C2CA486CA}"/>
    <cellStyle name="Millares [0] 3 10 2 4" xfId="20879" xr:uid="{0525830E-418B-49D7-8D6F-0E87A432780D}"/>
    <cellStyle name="Millares [0] 3 10 2 5" xfId="49926" xr:uid="{D6B61876-9E50-4D0A-A10D-ED7B33FA9E37}"/>
    <cellStyle name="Millares [0] 3 10 3" xfId="15557" xr:uid="{991E20D5-5730-440B-8C28-F71F71379DDE}"/>
    <cellStyle name="Millares [0] 3 10 3 2" xfId="26688" xr:uid="{7D20D8D4-71EC-4F1C-B31F-3D41A6A88DC9}"/>
    <cellStyle name="Millares [0] 3 10 4" xfId="32563" xr:uid="{E9CC74D6-B9EA-493E-8792-031CCE0CBD2B}"/>
    <cellStyle name="Millares [0] 3 10 5" xfId="38427" xr:uid="{43E5E0D6-EA0A-4C7F-96D1-DD2D5216E56A}"/>
    <cellStyle name="Millares [0] 3 10 6" xfId="17854" xr:uid="{6AECF6FA-CAAD-411C-9D5F-73997A183061}"/>
    <cellStyle name="Millares [0] 3 10 7" xfId="46841" xr:uid="{FAEDE819-32DD-45F2-89C2-379D2C001917}"/>
    <cellStyle name="Millares [0] 3 10 8" xfId="47049" xr:uid="{0D52319B-96D3-4D4A-9085-454E9A7D52E9}"/>
    <cellStyle name="Millares [0] 3 11" xfId="9580" xr:uid="{6C1DDC35-9C63-4C74-948B-398F6C4A5A1D}"/>
    <cellStyle name="Millares [0] 3 11 2" xfId="12458" xr:uid="{2760F1FB-B601-4682-82A1-D0C2C72BB8A5}"/>
    <cellStyle name="Millares [0] 3 11 2 2" xfId="42035" xr:uid="{2031333A-BD87-4768-B606-13E0D474FDA9}"/>
    <cellStyle name="Millares [0] 3 11 2 3" xfId="23940" xr:uid="{C0361356-7CF3-40BA-AE8D-D5D3A7B7275C}"/>
    <cellStyle name="Millares [0] 3 11 3" xfId="15299" xr:uid="{2D4A5CD1-6A02-46A8-BA76-E75C237F44D8}"/>
    <cellStyle name="Millares [0] 3 11 3 2" xfId="29810" xr:uid="{1001FE3A-A109-42F5-9A06-64B8F019BC5B}"/>
    <cellStyle name="Millares [0] 3 11 4" xfId="15749" xr:uid="{CF37451F-A863-4028-B490-F1D71A76D67C}"/>
    <cellStyle name="Millares [0] 3 11 4 2" xfId="35692" xr:uid="{BD5CF70E-1FD7-4D17-9992-1F816340B8B1}"/>
    <cellStyle name="Millares [0] 3 11 5" xfId="41551" xr:uid="{341A5252-32CE-4A78-9481-B5F53FB44FCE}"/>
    <cellStyle name="Millares [0] 3 11 6" xfId="18263" xr:uid="{4E4E2FEB-2EB9-4B99-8636-428BAB44ABB0}"/>
    <cellStyle name="Millares [0] 3 11 7" xfId="46842" xr:uid="{E49638A8-1622-43F2-AAD2-E05685C44051}"/>
    <cellStyle name="Millares [0] 3 11 8" xfId="47019" xr:uid="{A2849D78-CB2B-40D1-A617-EC9BBBD87A2F}"/>
    <cellStyle name="Millares [0] 3 11 9" xfId="50115" xr:uid="{EC186D9B-6FF9-4A9E-BE07-C06EF8E186DB}"/>
    <cellStyle name="Millares [0] 3 12" xfId="3832" xr:uid="{08D17576-A015-40E9-A533-3A921F429D96}"/>
    <cellStyle name="Millares [0] 3 12 2" xfId="12069" xr:uid="{E77339FA-ADC9-4A14-98B0-5B1C4577F481}"/>
    <cellStyle name="Millares [0] 3 12 2 2" xfId="41645" xr:uid="{CBAA27D8-FDFE-4723-8D77-4F1D6D34009E}"/>
    <cellStyle name="Millares [0] 3 12 3" xfId="14910" xr:uid="{D55FBF23-3A1B-4BFA-B349-3C7A63F05A1F}"/>
    <cellStyle name="Millares [0] 3 12 4" xfId="15835" xr:uid="{37CCE916-F4A1-4A17-996C-55DEAF5E1839}"/>
    <cellStyle name="Millares [0] 3 12 5" xfId="18279" xr:uid="{671DCF31-839C-4274-BBA6-EDD1BA2756BB}"/>
    <cellStyle name="Millares [0] 3 12 6" xfId="49726" xr:uid="{96A054BF-4D4E-4FC0-AC0C-3F82CA333D94}"/>
    <cellStyle name="Millares [0] 3 13" xfId="15354" xr:uid="{DABF3177-EE31-4D22-BE63-3AFBC2B20827}"/>
    <cellStyle name="Millares [0] 3 13 2" xfId="18343" xr:uid="{2FF2D8CC-8035-4F90-9272-327C01F09BD0}"/>
    <cellStyle name="Millares [0] 3 14" xfId="24052" xr:uid="{B3A27D40-F781-4943-AE40-AEF2937572F3}"/>
    <cellStyle name="Millares [0] 3 15" xfId="29930" xr:uid="{A5E250F4-1E5E-4E78-82B8-90AD0C4CBBA4}"/>
    <cellStyle name="Millares [0] 3 16" xfId="35811" xr:uid="{C6132043-75BF-4695-AC39-689801AA96F8}"/>
    <cellStyle name="Millares [0] 3 17" xfId="17491" xr:uid="{4649005A-E0F5-4C18-8164-C088E8A34E90}"/>
    <cellStyle name="Millares [0] 3 18" xfId="46843" xr:uid="{83FE19AE-7682-4F27-BEA6-E2F83CC36BF3}"/>
    <cellStyle name="Millares [0] 3 19" xfId="47004" xr:uid="{82E3708E-D7AD-4213-B296-9CFD83961959}"/>
    <cellStyle name="Millares [0] 3 2" xfId="104" xr:uid="{00000000-0005-0000-0000-00001F010000}"/>
    <cellStyle name="Millares [0] 3 2 10" xfId="1966" xr:uid="{F1D1BE39-8F36-4FD7-8512-C95AA2F31AB8}"/>
    <cellStyle name="Millares [0] 3 2 10 2" xfId="10237" xr:uid="{421EEC34-60CA-46C3-8939-84672FD3D783}"/>
    <cellStyle name="Millares [0] 3 2 10 2 2" xfId="45397" xr:uid="{1FCF7CED-4D78-45FC-BBB0-B60DAC6224A9}"/>
    <cellStyle name="Millares [0] 3 2 10 3" xfId="13077" xr:uid="{E02817EE-0896-48B9-9DDF-F3CC1261F727}"/>
    <cellStyle name="Millares [0] 3 2 10 4" xfId="24079" xr:uid="{67CE2984-A70C-4C00-B0BD-A7EA5D1F61A0}"/>
    <cellStyle name="Millares [0] 3 2 10 5" xfId="43001" xr:uid="{6201722E-A951-49BB-B0F0-9AEBC2BA80F2}"/>
    <cellStyle name="Millares [0] 3 2 10 6" xfId="47894" xr:uid="{4BD00801-4072-45C0-B49A-A020CDA97630}"/>
    <cellStyle name="Millares [0] 3 2 11" xfId="2384" xr:uid="{D906B33B-5509-40A6-9BEE-5DDC61C9DD21}"/>
    <cellStyle name="Millares [0] 3 2 11 2" xfId="10655" xr:uid="{0034E329-4BFD-4952-8459-3206D08D2756}"/>
    <cellStyle name="Millares [0] 3 2 11 2 2" xfId="45815" xr:uid="{37F0F97D-57BD-4BF3-BB9C-01ECAF8BC9CA}"/>
    <cellStyle name="Millares [0] 3 2 11 3" xfId="13495" xr:uid="{FBDE585F-4CF6-425A-AAD2-61A9FB9CEB7B}"/>
    <cellStyle name="Millares [0] 3 2 11 4" xfId="29957" xr:uid="{0E2E1753-3509-4BD7-AFAB-F4F7EAB1945E}"/>
    <cellStyle name="Millares [0] 3 2 11 5" xfId="43419" xr:uid="{E2CBD7B7-BA24-4DF5-AE4A-8E7FBE13350D}"/>
    <cellStyle name="Millares [0] 3 2 11 6" xfId="48312" xr:uid="{A9449462-9843-4F7D-9343-1894860FA4D9}"/>
    <cellStyle name="Millares [0] 3 2 12" xfId="2928" xr:uid="{786E1630-114E-4468-BD3E-FF8674F1601A}"/>
    <cellStyle name="Millares [0] 3 2 12 2" xfId="11199" xr:uid="{8EEDD2EA-5862-41B3-BA15-792B0915E3B5}"/>
    <cellStyle name="Millares [0] 3 2 12 2 2" xfId="46359" xr:uid="{7E381759-E487-484E-B8F8-17BC202D5356}"/>
    <cellStyle name="Millares [0] 3 2 12 3" xfId="14039" xr:uid="{AD731955-F3A1-421E-A3DB-DC9D9D8504DA}"/>
    <cellStyle name="Millares [0] 3 2 12 4" xfId="35838" xr:uid="{731991F9-FA3C-4491-AF90-34EBFCAD4B3A}"/>
    <cellStyle name="Millares [0] 3 2 12 5" xfId="43963" xr:uid="{643E9583-F687-4C89-8FE7-DD45452FB57A}"/>
    <cellStyle name="Millares [0] 3 2 12 6" xfId="48856" xr:uid="{6BDFD548-36CC-48F8-838A-D8B9793FF0AE}"/>
    <cellStyle name="Millares [0] 3 2 13" xfId="3362" xr:uid="{055AFCA2-0C62-4620-82F5-256B69A03307}"/>
    <cellStyle name="Millares [0] 3 2 13 2" xfId="11613" xr:uid="{34DF950A-A2AA-44C3-B117-BFD21C46A7C0}"/>
    <cellStyle name="Millares [0] 3 2 13 2 2" xfId="46773" xr:uid="{61DF6F85-CD37-4144-8EFD-6FC830ABEFD2}"/>
    <cellStyle name="Millares [0] 3 2 13 3" xfId="14453" xr:uid="{1E263223-0CB4-4363-B0A7-772BDE10DC76}"/>
    <cellStyle name="Millares [0] 3 2 13 4" xfId="44377" xr:uid="{32CCDDD6-F415-4F40-AC72-E95BB47318FC}"/>
    <cellStyle name="Millares [0] 3 2 13 5" xfId="49270" xr:uid="{C653296D-D8E3-44AA-BC36-C4C43EA85020}"/>
    <cellStyle name="Millares [0] 3 2 14" xfId="3430" xr:uid="{E0203A1D-00B2-49C8-BD1C-EBFBCA4E7F3C}"/>
    <cellStyle name="Millares [0] 3 2 14 2" xfId="11671" xr:uid="{56E32865-BB6F-4CB7-A861-F030C4FE3D44}"/>
    <cellStyle name="Millares [0] 3 2 14 3" xfId="14511" xr:uid="{3F0BC825-0AF5-41B3-B9E3-D199AACB6F2C}"/>
    <cellStyle name="Millares [0] 3 2 14 4" xfId="44435" xr:uid="{4DC68318-32D2-48F9-B7AA-9D82DB526973}"/>
    <cellStyle name="Millares [0] 3 2 14 5" xfId="49328" xr:uid="{80C86EEA-BC15-4ED6-8E56-5C576BEADC13}"/>
    <cellStyle name="Millares [0] 3 2 15" xfId="3852" xr:uid="{BE60EC29-7346-4613-80BE-1B95B2DEA5C7}"/>
    <cellStyle name="Millares [0] 3 2 15 2" xfId="12072" xr:uid="{CCFF4E15-A943-40F3-926C-E0F57C5DC249}"/>
    <cellStyle name="Millares [0] 3 2 15 3" xfId="14913" xr:uid="{A020223B-6992-4653-8C7E-23F03C94DB75}"/>
    <cellStyle name="Millares [0] 3 2 15 4" xfId="44853" xr:uid="{6788ADDA-F010-456C-AB57-D3D1F5541AF9}"/>
    <cellStyle name="Millares [0] 3 2 15 5" xfId="49729" xr:uid="{27499636-8B8C-481F-94C4-6D26675686C3}"/>
    <cellStyle name="Millares [0] 3 2 16" xfId="9653" xr:uid="{D94F328D-F50C-4F7A-A3F2-C6E1185A7EE1}"/>
    <cellStyle name="Millares [0] 3 2 16 2" xfId="12493" xr:uid="{0B2EA622-5239-44CD-AB1F-685D500166C7}"/>
    <cellStyle name="Millares [0] 3 2 16 3" xfId="15334" xr:uid="{CF21CDDC-7FF5-4E28-BAC9-81865E91C4C0}"/>
    <cellStyle name="Millares [0] 3 2 16 4" xfId="50150" xr:uid="{B481E914-03AE-4349-8C7F-0FAFCD2F9172}"/>
    <cellStyle name="Millares [0] 3 2 17" xfId="9693" xr:uid="{FD14F251-42D9-4864-B739-9872591125CA}"/>
    <cellStyle name="Millares [0] 3 2 18" xfId="12533" xr:uid="{4D76CB46-C06B-45A5-9C14-F64DFB4252E0}"/>
    <cellStyle name="Millares [0] 3 2 19" xfId="15358" xr:uid="{DE11732F-2897-4535-81D8-6AD6D8310023}"/>
    <cellStyle name="Millares [0] 3 2 2" xfId="199" xr:uid="{00000000-0005-0000-0000-000020010000}"/>
    <cellStyle name="Millares [0] 3 2 2 10" xfId="9762" xr:uid="{B6D7A863-5A31-4627-8C4A-8AB2028448B8}"/>
    <cellStyle name="Millares [0] 3 2 2 11" xfId="12602" xr:uid="{0CF046F0-20E1-4A61-9D4E-82C72005A0F0}"/>
    <cellStyle name="Millares [0] 3 2 2 12" xfId="15364" xr:uid="{63BE51EE-6AF1-4C99-9B08-C30ACB13046B}"/>
    <cellStyle name="Millares [0] 3 2 2 13" xfId="15945" xr:uid="{4A50657B-A082-4120-AF36-ED662344C434}"/>
    <cellStyle name="Millares [0] 3 2 2 14" xfId="16488" xr:uid="{E4ECBAF7-CB75-48A5-A558-6E9AF9FDD996}"/>
    <cellStyle name="Millares [0] 3 2 2 15" xfId="17032" xr:uid="{FC012E40-594F-4C6C-BCF5-2B8C76FEFA60}"/>
    <cellStyle name="Millares [0] 3 2 2 16" xfId="17506" xr:uid="{62F20ACF-3ACE-45A3-BA2C-7C094A9755C6}"/>
    <cellStyle name="Millares [0] 3 2 2 17" xfId="17796" xr:uid="{6046A14D-99AB-43C4-AD2E-BC9966A9107C}"/>
    <cellStyle name="Millares [0] 3 2 2 18" xfId="42080" xr:uid="{DDCD9489-E983-493B-A519-A1E614D85023}"/>
    <cellStyle name="Millares [0] 3 2 2 19" xfId="42526" xr:uid="{4C3A5C8C-EBDB-438E-B527-DE1E3878FA6D}"/>
    <cellStyle name="Millares [0] 3 2 2 2" xfId="308" xr:uid="{00000000-0005-0000-0000-000021010000}"/>
    <cellStyle name="Millares [0] 3 2 2 2 10" xfId="16592" xr:uid="{EAC220BB-E368-4E01-8707-42E0001EE6B7}"/>
    <cellStyle name="Millares [0] 3 2 2 2 11" xfId="17136" xr:uid="{E1D53588-E219-4BD6-B8FD-69AE743CA9BC}"/>
    <cellStyle name="Millares [0] 3 2 2 2 12" xfId="18400" xr:uid="{D92F1F3B-8CEA-4F31-B9A8-7F7F4726EA30}"/>
    <cellStyle name="Millares [0] 3 2 2 2 13" xfId="17859" xr:uid="{93BC3C06-A47F-4018-887D-53E1E9D58A78}"/>
    <cellStyle name="Millares [0] 3 2 2 2 14" xfId="42630" xr:uid="{7A06A771-FB05-4FE7-8003-138C2190F8D8}"/>
    <cellStyle name="Millares [0] 3 2 2 2 15" xfId="47523" xr:uid="{2BA3C712-A1F6-4513-A47E-0980D87B6CB7}"/>
    <cellStyle name="Millares [0] 3 2 2 2 16" xfId="50364" xr:uid="{7DA7B2B6-1CB1-4CD3-8948-56EA867C635C}"/>
    <cellStyle name="Millares [0] 3 2 2 2 2" xfId="535" xr:uid="{00000000-0005-0000-0000-000022010000}"/>
    <cellStyle name="Millares [0] 3 2 2 2 2 10" xfId="17348" xr:uid="{E90493E0-6A78-4C57-A407-22B761CEC2B0}"/>
    <cellStyle name="Millares [0] 3 2 2 2 2 11" xfId="41655" xr:uid="{AB5DA53B-6673-4815-B506-5B372331BD80}"/>
    <cellStyle name="Millares [0] 3 2 2 2 2 12" xfId="17712" xr:uid="{10850F44-BE53-4AA6-906B-98D026F1AD5C}"/>
    <cellStyle name="Millares [0] 3 2 2 2 2 13" xfId="42842" xr:uid="{2FA69079-79E3-4074-BF69-930FA36DE441}"/>
    <cellStyle name="Millares [0] 3 2 2 2 2 14" xfId="47735" xr:uid="{1C1DC725-6421-46EF-B086-ADB7D31C4487}"/>
    <cellStyle name="Millares [0] 3 2 2 2 2 2" xfId="2351" xr:uid="{A389E413-E0CF-45FB-B965-3F47BEDFFFF1}"/>
    <cellStyle name="Millares [0] 3 2 2 2 2 2 2" xfId="10622" xr:uid="{7A2ED5FE-3B7D-4516-AB9E-9B540A366DA1}"/>
    <cellStyle name="Millares [0] 3 2 2 2 2 2 2 2" xfId="45782" xr:uid="{A7429EAD-B26A-4D6F-B6B0-9A583EA66E66}"/>
    <cellStyle name="Millares [0] 3 2 2 2 2 2 3" xfId="13462" xr:uid="{A9E261EA-48B9-435D-91DD-366F1A44A69F}"/>
    <cellStyle name="Millares [0] 3 2 2 2 2 2 4" xfId="43386" xr:uid="{06E7FB02-E6DD-4AD5-9F69-BBD64CD71617}"/>
    <cellStyle name="Millares [0] 3 2 2 2 2 2 5" xfId="48279" xr:uid="{D3338CC1-BF7E-4FDC-A510-44C52472C429}"/>
    <cellStyle name="Millares [0] 3 2 2 2 2 3" xfId="2769" xr:uid="{5746AD9B-C00D-4E3E-A0E6-C0B639ED397C}"/>
    <cellStyle name="Millares [0] 3 2 2 2 2 3 2" xfId="11040" xr:uid="{7845D655-6E0E-4FE3-88F0-DF72EA6E927F}"/>
    <cellStyle name="Millares [0] 3 2 2 2 2 3 2 2" xfId="46200" xr:uid="{4D241A33-8AFD-42D3-855D-E5AF0418FE3D}"/>
    <cellStyle name="Millares [0] 3 2 2 2 2 3 3" xfId="13880" xr:uid="{0E6F0C90-45B3-4310-AA8B-46FA854296FF}"/>
    <cellStyle name="Millares [0] 3 2 2 2 2 3 4" xfId="43804" xr:uid="{7D975A6C-5E7E-4532-A8DE-035409BE2FDA}"/>
    <cellStyle name="Millares [0] 3 2 2 2 2 3 5" xfId="48697" xr:uid="{457C4D9E-BA55-4504-BA2E-A7FB120E7F22}"/>
    <cellStyle name="Millares [0] 3 2 2 2 2 4" xfId="3313" xr:uid="{DCF605A1-FAF9-4AF6-8BF4-E7DAA7AB3CCF}"/>
    <cellStyle name="Millares [0] 3 2 2 2 2 4 2" xfId="11584" xr:uid="{FB78861D-85AF-4705-913F-83147C63C888}"/>
    <cellStyle name="Millares [0] 3 2 2 2 2 4 2 2" xfId="46744" xr:uid="{1516C942-77AE-414C-B781-50C936BEDB98}"/>
    <cellStyle name="Millares [0] 3 2 2 2 2 4 3" xfId="14424" xr:uid="{97F728C9-77FD-4EC6-A832-06D963FDA0C1}"/>
    <cellStyle name="Millares [0] 3 2 2 2 2 4 4" xfId="44348" xr:uid="{70B36989-BEED-4941-B2A6-9CD5D2A6273D}"/>
    <cellStyle name="Millares [0] 3 2 2 2 2 4 5" xfId="49241" xr:uid="{A95793BE-2011-458A-A436-C7C72AFA05F7}"/>
    <cellStyle name="Millares [0] 3 2 2 2 2 5" xfId="3815" xr:uid="{D3FF207D-A9FA-4863-BEA8-C4E592524199}"/>
    <cellStyle name="Millares [0] 3 2 2 2 2 5 2" xfId="12056" xr:uid="{E990DA3B-88E9-491C-8129-72D91E0DCB7C}"/>
    <cellStyle name="Millares [0] 3 2 2 2 2 5 3" xfId="14896" xr:uid="{ABE0FBE3-1423-48F4-9CE6-814A9924FB2B}"/>
    <cellStyle name="Millares [0] 3 2 2 2 2 5 4" xfId="44820" xr:uid="{FAC4C9D4-528A-42A2-9422-1C567AC45683}"/>
    <cellStyle name="Millares [0] 3 2 2 2 2 5 5" xfId="49713" xr:uid="{992AE374-97CE-44C1-8EED-7BB5F12EFB3A}"/>
    <cellStyle name="Millares [0] 3 2 2 2 2 6" xfId="10078" xr:uid="{DBF3A1D5-E53C-4932-AC38-73BECEACEEF5}"/>
    <cellStyle name="Millares [0] 3 2 2 2 2 6 2" xfId="45238" xr:uid="{0D0233A7-3189-4A30-A9CE-F092CECEAA6D}"/>
    <cellStyle name="Millares [0] 3 2 2 2 2 7" xfId="12918" xr:uid="{B438749F-FAA2-4EC2-896F-73D8D330E218}"/>
    <cellStyle name="Millares [0] 3 2 2 2 2 8" xfId="16261" xr:uid="{3714B543-378C-4467-BEE0-5194F3F71A0E}"/>
    <cellStyle name="Millares [0] 3 2 2 2 2 9" xfId="16804" xr:uid="{A90C5410-F3BD-4370-92B1-7DF82B88E820}"/>
    <cellStyle name="Millares [0] 3 2 2 2 3" xfId="2139" xr:uid="{81E4DFEC-748E-4C81-88B0-436AD0092A3E}"/>
    <cellStyle name="Millares [0] 3 2 2 2 3 2" xfId="10410" xr:uid="{6B55EB7C-8BDC-449E-8E7E-94B8FFE6D738}"/>
    <cellStyle name="Millares [0] 3 2 2 2 3 2 2" xfId="45570" xr:uid="{708524D4-CB57-4E06-9308-7E81316560E8}"/>
    <cellStyle name="Millares [0] 3 2 2 2 3 3" xfId="13250" xr:uid="{8F0DC637-F0DB-475A-8668-8169D7BAD781}"/>
    <cellStyle name="Millares [0] 3 2 2 2 3 4" xfId="43174" xr:uid="{A8EEAED9-9CE1-4E72-A511-59FC7AC81734}"/>
    <cellStyle name="Millares [0] 3 2 2 2 3 5" xfId="48067" xr:uid="{A1A130E8-0EAD-4B65-8F50-3CE9B708154F}"/>
    <cellStyle name="Millares [0] 3 2 2 2 4" xfId="2557" xr:uid="{4017DE83-0D1C-4B8E-993B-9D7A8D3037A2}"/>
    <cellStyle name="Millares [0] 3 2 2 2 4 2" xfId="10828" xr:uid="{1CF5DF2F-4706-481A-B089-3E6E45ACA8C3}"/>
    <cellStyle name="Millares [0] 3 2 2 2 4 2 2" xfId="45988" xr:uid="{6E202C76-2AD2-4E07-BFFB-A43BFE2F3739}"/>
    <cellStyle name="Millares [0] 3 2 2 2 4 3" xfId="13668" xr:uid="{75A333B5-6EC1-447E-9C32-18B61ECE81B8}"/>
    <cellStyle name="Millares [0] 3 2 2 2 4 4" xfId="43592" xr:uid="{DE8844BC-FFB1-40F2-A133-1243C81D7188}"/>
    <cellStyle name="Millares [0] 3 2 2 2 4 5" xfId="48485" xr:uid="{629CA16A-40D1-4266-91B7-80920B9AFD84}"/>
    <cellStyle name="Millares [0] 3 2 2 2 5" xfId="3101" xr:uid="{6F1FE9EE-4A8E-49AD-9856-F8858DAE6E1F}"/>
    <cellStyle name="Millares [0] 3 2 2 2 5 2" xfId="11372" xr:uid="{4499D854-EF15-4B0D-8809-9CA2A3861C55}"/>
    <cellStyle name="Millares [0] 3 2 2 2 5 2 2" xfId="46532" xr:uid="{F84221A4-9BEB-4501-ABE9-99C64BE3D5FB}"/>
    <cellStyle name="Millares [0] 3 2 2 2 5 3" xfId="14212" xr:uid="{D779E01A-E786-4339-8C6E-97C25B9D5F33}"/>
    <cellStyle name="Millares [0] 3 2 2 2 5 4" xfId="44136" xr:uid="{C854807B-AE19-4DAC-A623-B9417E8B4971}"/>
    <cellStyle name="Millares [0] 3 2 2 2 5 5" xfId="49029" xr:uid="{745F27B5-CC90-4D0B-B1F3-865267671D54}"/>
    <cellStyle name="Millares [0] 3 2 2 2 6" xfId="3603" xr:uid="{5522CE41-A4A9-4005-B05E-2E4B94AA69E6}"/>
    <cellStyle name="Millares [0] 3 2 2 2 6 2" xfId="11844" xr:uid="{CC43281B-4429-4D83-835E-63136D475E70}"/>
    <cellStyle name="Millares [0] 3 2 2 2 6 3" xfId="14684" xr:uid="{4D07977C-A1C0-4422-8608-5E264558C153}"/>
    <cellStyle name="Millares [0] 3 2 2 2 6 4" xfId="44608" xr:uid="{61E4B88B-625E-4488-88C8-49C4F9F43F89}"/>
    <cellStyle name="Millares [0] 3 2 2 2 6 5" xfId="49501" xr:uid="{26820649-2072-4EE8-AE27-674926F31C19}"/>
    <cellStyle name="Millares [0] 3 2 2 2 7" xfId="9866" xr:uid="{0D79B8F6-0916-48A5-AD60-61CC029A42D8}"/>
    <cellStyle name="Millares [0] 3 2 2 2 7 2" xfId="45026" xr:uid="{B0BABF1F-CCCE-478C-AA7A-D4FC76B5E806}"/>
    <cellStyle name="Millares [0] 3 2 2 2 8" xfId="12706" xr:uid="{97C8EB5F-A212-49AE-9BD4-C9A9F7DDEA2F}"/>
    <cellStyle name="Millares [0] 3 2 2 2 9" xfId="16049" xr:uid="{191E48A3-0274-4074-9769-B0C3C0CACF8A}"/>
    <cellStyle name="Millares [0] 3 2 2 20" xfId="47419" xr:uid="{A8E9FC58-4D84-4736-BEA5-2A17EA73820D}"/>
    <cellStyle name="Millares [0] 3 2 2 21" xfId="50218" xr:uid="{56BD1736-7EE3-4512-8A1C-366D3DEAD11C}"/>
    <cellStyle name="Millares [0] 3 2 2 22" xfId="50292" xr:uid="{FB7F9649-B21C-4B67-BFE1-102F3336CCA9}"/>
    <cellStyle name="Millares [0] 3 2 2 3" xfId="434" xr:uid="{00000000-0005-0000-0000-000023010000}"/>
    <cellStyle name="Millares [0] 3 2 2 3 10" xfId="17248" xr:uid="{C54C43CF-EF12-431A-8BA5-1E83CDCB5CC0}"/>
    <cellStyle name="Millares [0] 3 2 2 3 11" xfId="24109" xr:uid="{C0A15652-24B5-4B6A-8815-8C3163353319}"/>
    <cellStyle name="Millares [0] 3 2 2 3 12" xfId="17615" xr:uid="{BB8C4653-C15D-4E59-8022-972F93847684}"/>
    <cellStyle name="Millares [0] 3 2 2 3 13" xfId="42742" xr:uid="{FD9C30FF-4215-4F39-9CED-0EE0D37B36E2}"/>
    <cellStyle name="Millares [0] 3 2 2 3 14" xfId="47635" xr:uid="{156203B5-D7C3-466D-B72D-D915442B2925}"/>
    <cellStyle name="Millares [0] 3 2 2 3 2" xfId="2251" xr:uid="{534DAB74-9DA9-4707-B281-0EAA826FA735}"/>
    <cellStyle name="Millares [0] 3 2 2 3 2 2" xfId="10522" xr:uid="{1A4C046D-DE7D-4F29-A059-591B664DF5E7}"/>
    <cellStyle name="Millares [0] 3 2 2 3 2 2 2" xfId="45682" xr:uid="{D38DA19B-EA87-4C59-B451-5B1C820A5204}"/>
    <cellStyle name="Millares [0] 3 2 2 3 2 3" xfId="13362" xr:uid="{0E23D16A-7D9A-47E1-9221-2C022671EE45}"/>
    <cellStyle name="Millares [0] 3 2 2 3 2 4" xfId="43286" xr:uid="{6EC485F6-5E95-4B03-A5D4-0D83FDC0BB05}"/>
    <cellStyle name="Millares [0] 3 2 2 3 2 5" xfId="48179" xr:uid="{3538FF43-F56D-4567-8174-EF2F3BD51430}"/>
    <cellStyle name="Millares [0] 3 2 2 3 3" xfId="2669" xr:uid="{AFCC3AF8-1A89-404E-B554-8BC5D0F91EF4}"/>
    <cellStyle name="Millares [0] 3 2 2 3 3 2" xfId="10940" xr:uid="{3352434F-0511-4A49-82DE-B7FE9E9D6F1D}"/>
    <cellStyle name="Millares [0] 3 2 2 3 3 2 2" xfId="46100" xr:uid="{10FAB2F8-971E-4A94-BC19-C32AFCE5863B}"/>
    <cellStyle name="Millares [0] 3 2 2 3 3 3" xfId="13780" xr:uid="{B7B66DE6-E1E2-4DC6-A6A1-C683D009FA6E}"/>
    <cellStyle name="Millares [0] 3 2 2 3 3 4" xfId="43704" xr:uid="{0F749A80-2571-4105-A91B-98ACC3C957CF}"/>
    <cellStyle name="Millares [0] 3 2 2 3 3 5" xfId="48597" xr:uid="{E9CF0673-AAD1-4B66-992F-4DA44174A58E}"/>
    <cellStyle name="Millares [0] 3 2 2 3 4" xfId="3213" xr:uid="{77E6AFEB-C30B-4792-82D9-78FCEF73E52C}"/>
    <cellStyle name="Millares [0] 3 2 2 3 4 2" xfId="11484" xr:uid="{C17EC516-5BA5-41C2-A9EE-7728B9D6C686}"/>
    <cellStyle name="Millares [0] 3 2 2 3 4 2 2" xfId="46644" xr:uid="{6253A907-02E4-4D89-BEEC-45DD7BE5EBC6}"/>
    <cellStyle name="Millares [0] 3 2 2 3 4 3" xfId="14324" xr:uid="{F68593F0-86A0-457A-AFBE-01B8302832F5}"/>
    <cellStyle name="Millares [0] 3 2 2 3 4 4" xfId="44248" xr:uid="{FFEE7B99-8DC7-4AB6-A93A-AAA815301ACE}"/>
    <cellStyle name="Millares [0] 3 2 2 3 4 5" xfId="49141" xr:uid="{CBF44222-23EB-4C39-BC0F-DC99108BBB0E}"/>
    <cellStyle name="Millares [0] 3 2 2 3 5" xfId="3715" xr:uid="{EE5A3326-4634-4DBC-BA8B-19C9F214A082}"/>
    <cellStyle name="Millares [0] 3 2 2 3 5 2" xfId="11956" xr:uid="{AC0F6E47-2782-4011-AFB2-F69C3571774E}"/>
    <cellStyle name="Millares [0] 3 2 2 3 5 3" xfId="14796" xr:uid="{962D71A6-0FFD-44C0-A52E-0A53DF1BB606}"/>
    <cellStyle name="Millares [0] 3 2 2 3 5 4" xfId="44720" xr:uid="{BC739003-738A-41C5-A416-74440CCD510D}"/>
    <cellStyle name="Millares [0] 3 2 2 3 5 5" xfId="49613" xr:uid="{1C3BCAA2-90C4-4C66-80DD-BA80850F230C}"/>
    <cellStyle name="Millares [0] 3 2 2 3 6" xfId="9978" xr:uid="{069480D3-599D-4120-A27A-D6C24EC900EE}"/>
    <cellStyle name="Millares [0] 3 2 2 3 6 2" xfId="45138" xr:uid="{12FF0C98-D33D-4749-9BF4-E6C446729CB7}"/>
    <cellStyle name="Millares [0] 3 2 2 3 7" xfId="12818" xr:uid="{FC1D1ACA-690B-413B-87EA-AAED946E8DE5}"/>
    <cellStyle name="Millares [0] 3 2 2 3 8" xfId="16161" xr:uid="{9B381DC3-CFBB-488C-B24C-A070E2347FB9}"/>
    <cellStyle name="Millares [0] 3 2 2 3 9" xfId="16704" xr:uid="{E4E46BE1-49BF-4F26-8278-9DEEBADF7BB5}"/>
    <cellStyle name="Millares [0] 3 2 2 4" xfId="637" xr:uid="{00000000-0005-0000-0000-000024010000}"/>
    <cellStyle name="Millares [0] 3 2 2 4 10" xfId="42944" xr:uid="{A521569E-74D9-4077-B1B2-97757F8F00BE}"/>
    <cellStyle name="Millares [0] 3 2 2 4 11" xfId="47837" xr:uid="{4755049C-D174-486E-9A99-E4EF1E70642B}"/>
    <cellStyle name="Millares [0] 3 2 2 4 2" xfId="2871" xr:uid="{B48CDDA1-D633-4AF8-8A8B-04FF8DD7CD53}"/>
    <cellStyle name="Millares [0] 3 2 2 4 2 2" xfId="11142" xr:uid="{9D90E67A-D5BC-4A46-8717-43E56A01E9F1}"/>
    <cellStyle name="Millares [0] 3 2 2 4 2 2 2" xfId="46302" xr:uid="{4D4CEEEA-66DA-48EA-99BB-99F2043EBB17}"/>
    <cellStyle name="Millares [0] 3 2 2 4 2 3" xfId="13982" xr:uid="{55E311D8-2DC1-4587-8738-40221AD443E5}"/>
    <cellStyle name="Millares [0] 3 2 2 4 2 4" xfId="43906" xr:uid="{DFBDF73F-95FA-48C6-B8C6-47830D024C84}"/>
    <cellStyle name="Millares [0] 3 2 2 4 2 5" xfId="48799" xr:uid="{3DAD64A3-F72F-4040-B151-6D965AAD5D55}"/>
    <cellStyle name="Millares [0] 3 2 2 4 3" xfId="10180" xr:uid="{B90D306F-6443-487A-8278-99ACA9BD08BD}"/>
    <cellStyle name="Millares [0] 3 2 2 4 3 2" xfId="45340" xr:uid="{B793801C-C559-4D74-BD20-7BE05AEA6C6E}"/>
    <cellStyle name="Millares [0] 3 2 2 4 4" xfId="13020" xr:uid="{34AB9D53-A917-4EF3-9820-A190AD3D29FF}"/>
    <cellStyle name="Millares [0] 3 2 2 4 5" xfId="16363" xr:uid="{DA2A456C-DF67-4023-8A2D-D97AC1E66854}"/>
    <cellStyle name="Millares [0] 3 2 2 4 6" xfId="16906" xr:uid="{41351642-04DD-428D-96BD-4B694649DCFA}"/>
    <cellStyle name="Millares [0] 3 2 2 4 7" xfId="17450" xr:uid="{3A814602-6931-4969-899F-E3BDF6ADD8B9}"/>
    <cellStyle name="Millares [0] 3 2 2 4 8" xfId="29987" xr:uid="{A122B9D8-BD21-4263-930E-F9226A6A2324}"/>
    <cellStyle name="Millares [0] 3 2 2 4 9" xfId="17814" xr:uid="{D53AB1D7-EC7D-4B98-81C8-87DA3D5BCE4F}"/>
    <cellStyle name="Millares [0] 3 2 2 5" xfId="2035" xr:uid="{75B9F8CB-5DD1-4494-B0E8-DFC6DDA99E24}"/>
    <cellStyle name="Millares [0] 3 2 2 5 2" xfId="10306" xr:uid="{FD5DC1A2-3E2A-4439-9263-9B9D19E3D2D8}"/>
    <cellStyle name="Millares [0] 3 2 2 5 2 2" xfId="45466" xr:uid="{C8DA1A3A-DDB6-474F-A0C7-5A22183FB0DE}"/>
    <cellStyle name="Millares [0] 3 2 2 5 3" xfId="13146" xr:uid="{98BE7F07-F971-4A95-9647-32B37F8A6B6F}"/>
    <cellStyle name="Millares [0] 3 2 2 5 4" xfId="35868" xr:uid="{5C092C8C-625D-40C8-BF59-FDD2E0B69CDE}"/>
    <cellStyle name="Millares [0] 3 2 2 5 5" xfId="43070" xr:uid="{F7744957-B1D3-4983-BB94-A8B538BD715A}"/>
    <cellStyle name="Millares [0] 3 2 2 5 6" xfId="47963" xr:uid="{B0D4DF6E-9EC5-48D8-8D7C-094F917E31FC}"/>
    <cellStyle name="Millares [0] 3 2 2 6" xfId="2453" xr:uid="{59733730-1BA9-42BE-B810-850498B7A299}"/>
    <cellStyle name="Millares [0] 3 2 2 6 2" xfId="10724" xr:uid="{F2B3D582-A5EC-406C-A53E-5123BB981303}"/>
    <cellStyle name="Millares [0] 3 2 2 6 2 2" xfId="45884" xr:uid="{B03C3101-D386-469E-BE77-98C32FA452DD}"/>
    <cellStyle name="Millares [0] 3 2 2 6 3" xfId="13564" xr:uid="{3A4FD57A-5C67-4FB8-A27F-A10F761CCC36}"/>
    <cellStyle name="Millares [0] 3 2 2 6 4" xfId="43488" xr:uid="{0D69B143-8084-4B4A-BEB3-EAD8045C89EA}"/>
    <cellStyle name="Millares [0] 3 2 2 6 5" xfId="48381" xr:uid="{83B9E2CC-70F3-4A10-A5E1-BCC0B0AF27B1}"/>
    <cellStyle name="Millares [0] 3 2 2 7" xfId="2997" xr:uid="{852EBA7A-210C-4D2C-B93C-100DE0D40035}"/>
    <cellStyle name="Millares [0] 3 2 2 7 2" xfId="11268" xr:uid="{E8CA1B83-3A8C-4BCA-9089-83592F439366}"/>
    <cellStyle name="Millares [0] 3 2 2 7 2 2" xfId="46428" xr:uid="{E216B4BE-4614-43E2-BE64-7B7FC4C47DA8}"/>
    <cellStyle name="Millares [0] 3 2 2 7 3" xfId="14108" xr:uid="{0C5204C8-BEBD-4785-BF38-B049A3F9FA5B}"/>
    <cellStyle name="Millares [0] 3 2 2 7 4" xfId="44032" xr:uid="{07E8F9AE-5E03-4A91-A9C6-AD3E97EB7D39}"/>
    <cellStyle name="Millares [0] 3 2 2 7 5" xfId="48925" xr:uid="{848EDEB6-7B80-4C3C-814B-974F3EA991A9}"/>
    <cellStyle name="Millares [0] 3 2 2 8" xfId="3499" xr:uid="{173D945E-193B-488F-B94A-6817FC1027CE}"/>
    <cellStyle name="Millares [0] 3 2 2 8 2" xfId="11740" xr:uid="{16BB5D58-861B-4335-ABE2-F55CE744F656}"/>
    <cellStyle name="Millares [0] 3 2 2 8 3" xfId="14580" xr:uid="{C6CBFAD5-E74D-4403-8C19-4C606AC29DDC}"/>
    <cellStyle name="Millares [0] 3 2 2 8 4" xfId="44504" xr:uid="{23544E7F-2812-4F46-9F29-2A2A884336F5}"/>
    <cellStyle name="Millares [0] 3 2 2 8 5" xfId="49397" xr:uid="{8AD3B5AB-63FA-49EB-A396-5DAB2DF57D97}"/>
    <cellStyle name="Millares [0] 3 2 2 9" xfId="3878" xr:uid="{6EF06E82-1E01-46AB-8A7E-3183F940EB7D}"/>
    <cellStyle name="Millares [0] 3 2 2 9 2" xfId="12078" xr:uid="{AE1DADF3-8B56-40D8-8A86-3A7B0381FC00}"/>
    <cellStyle name="Millares [0] 3 2 2 9 3" xfId="14919" xr:uid="{12791BB0-589A-4147-949C-F3A7771E88C2}"/>
    <cellStyle name="Millares [0] 3 2 2 9 4" xfId="44922" xr:uid="{90E27AC5-93FF-4A5C-92B0-51B47C960260}"/>
    <cellStyle name="Millares [0] 3 2 2 9 5" xfId="49735" xr:uid="{57D315C6-FB7C-4159-9EB6-DE2807347F83}"/>
    <cellStyle name="Millares [0] 3 2 20" xfId="15876" xr:uid="{2D4765C2-896A-4366-BAC2-EED83CA9EB04}"/>
    <cellStyle name="Millares [0] 3 2 21" xfId="16419" xr:uid="{9DA78B89-3C1D-4A2E-A666-6F1A6C50374F}"/>
    <cellStyle name="Millares [0] 3 2 22" xfId="16963" xr:uid="{9D36A3B6-90FC-4D33-95DE-9C1D8B26E276}"/>
    <cellStyle name="Millares [0] 3 2 23" xfId="17497" xr:uid="{4E647C32-A4B1-4026-A89E-B5CC89E3937C}"/>
    <cellStyle name="Millares [0] 3 2 24" xfId="42081" xr:uid="{7C3090BD-BAE3-4389-BBB5-ADBE047A1A62}"/>
    <cellStyle name="Millares [0] 3 2 25" xfId="42457" xr:uid="{EFF8C6ED-4C2E-46A3-AA83-C30B16FF2A1D}"/>
    <cellStyle name="Millares [0] 3 2 26" xfId="47350" xr:uid="{CEBFFEEB-2794-4F39-90FB-3681F628489E}"/>
    <cellStyle name="Millares [0] 3 2 27" xfId="50180" xr:uid="{85AEE9F7-9ACF-4E2C-9959-965B8EF8597D}"/>
    <cellStyle name="Millares [0] 3 2 28" xfId="50254" xr:uid="{C3A2D455-028C-4079-A1B0-5B533A9531D5}"/>
    <cellStyle name="Millares [0] 3 2 3" xfId="152" xr:uid="{00000000-0005-0000-0000-000025010000}"/>
    <cellStyle name="Millares [0] 3 2 3 10" xfId="9720" xr:uid="{6E475B6E-A970-452D-AC50-26C06C1CD61B}"/>
    <cellStyle name="Millares [0] 3 2 3 11" xfId="12560" xr:uid="{642B0468-1845-4500-B76A-577BFD213CDB}"/>
    <cellStyle name="Millares [0] 3 2 3 12" xfId="15370" xr:uid="{0EC118FD-D1C7-450D-A8ED-953FB149D960}"/>
    <cellStyle name="Millares [0] 3 2 3 13" xfId="15903" xr:uid="{A47E04EA-E00E-45D5-8ED4-1C4A369D6632}"/>
    <cellStyle name="Millares [0] 3 2 3 14" xfId="16446" xr:uid="{D7B36AE4-4556-4DC2-8B5E-41C9518127CA}"/>
    <cellStyle name="Millares [0] 3 2 3 15" xfId="16990" xr:uid="{B2EA23A4-BF1B-4FC2-AC38-8D50AAF51CB2}"/>
    <cellStyle name="Millares [0] 3 2 3 16" xfId="17513" xr:uid="{DBCB6AE1-3DE7-4301-B949-8C692EA84687}"/>
    <cellStyle name="Millares [0] 3 2 3 17" xfId="17733" xr:uid="{62B7FBC0-D765-4AB7-B045-8C825FA1A0E0}"/>
    <cellStyle name="Millares [0] 3 2 3 18" xfId="42484" xr:uid="{9B8FD065-2BE4-42CB-B958-CA04D0A354C7}"/>
    <cellStyle name="Millares [0] 3 2 3 19" xfId="47377" xr:uid="{194A263D-C38D-46CD-861F-EA5F5A4BDD86}"/>
    <cellStyle name="Millares [0] 3 2 3 2" xfId="266" xr:uid="{00000000-0005-0000-0000-000026010000}"/>
    <cellStyle name="Millares [0] 3 2 3 2 10" xfId="16550" xr:uid="{16B2E145-E135-4720-BC09-E79936F8DE3E}"/>
    <cellStyle name="Millares [0] 3 2 3 2 11" xfId="17094" xr:uid="{C29E843B-8B1A-4F83-A343-FCCC0096AE69}"/>
    <cellStyle name="Millares [0] 3 2 3 2 12" xfId="18429" xr:uid="{FCC448C7-9564-49A6-989D-3104878563CB}"/>
    <cellStyle name="Millares [0] 3 2 3 2 13" xfId="17743" xr:uid="{1CED0E28-21C5-4B12-B92E-AE38F089A5BF}"/>
    <cellStyle name="Millares [0] 3 2 3 2 14" xfId="42588" xr:uid="{80150E75-8CD6-467F-96C9-8EAD8A2D3685}"/>
    <cellStyle name="Millares [0] 3 2 3 2 15" xfId="47481" xr:uid="{F66BCBC3-9619-49FB-8623-FE5C676B122C}"/>
    <cellStyle name="Millares [0] 3 2 3 2 2" xfId="493" xr:uid="{00000000-0005-0000-0000-000027010000}"/>
    <cellStyle name="Millares [0] 3 2 3 2 2 10" xfId="17306" xr:uid="{CD9E5879-E25B-4A8D-B974-6EFE2BBFE639}"/>
    <cellStyle name="Millares [0] 3 2 3 2 2 11" xfId="41661" xr:uid="{B244BC11-AA98-4D64-9B1D-4AB71BEE0A99}"/>
    <cellStyle name="Millares [0] 3 2 3 2 2 12" xfId="17783" xr:uid="{0D1D543A-A381-408B-9596-B58B61BD9086}"/>
    <cellStyle name="Millares [0] 3 2 3 2 2 13" xfId="42800" xr:uid="{0F89476A-5EC3-4490-A890-108E2F8D1B9D}"/>
    <cellStyle name="Millares [0] 3 2 3 2 2 14" xfId="47693" xr:uid="{91BD59F6-CE1F-4A5C-BD21-AA69686703A4}"/>
    <cellStyle name="Millares [0] 3 2 3 2 2 2" xfId="2309" xr:uid="{A16AC3F7-8095-45AB-8B14-A1CD2775210B}"/>
    <cellStyle name="Millares [0] 3 2 3 2 2 2 2" xfId="10580" xr:uid="{4313E3C0-744A-4597-82CF-5B2A5C1D404D}"/>
    <cellStyle name="Millares [0] 3 2 3 2 2 2 2 2" xfId="45740" xr:uid="{7A589F84-1C1E-4F9F-9520-9927807B77C4}"/>
    <cellStyle name="Millares [0] 3 2 3 2 2 2 3" xfId="13420" xr:uid="{CBDFDA35-9752-42C7-8E2C-2AEA475BA12A}"/>
    <cellStyle name="Millares [0] 3 2 3 2 2 2 4" xfId="43344" xr:uid="{E4C75019-088B-4680-92CE-9B65F26102EC}"/>
    <cellStyle name="Millares [0] 3 2 3 2 2 2 5" xfId="48237" xr:uid="{3C26C514-696F-49B5-8A6A-17B12E8CB040}"/>
    <cellStyle name="Millares [0] 3 2 3 2 2 3" xfId="2727" xr:uid="{4CA3EC03-B433-42ED-9ED4-500B82B74F60}"/>
    <cellStyle name="Millares [0] 3 2 3 2 2 3 2" xfId="10998" xr:uid="{863FF713-D195-40F8-8C9A-AF5F6304046F}"/>
    <cellStyle name="Millares [0] 3 2 3 2 2 3 2 2" xfId="46158" xr:uid="{43BC7464-4C8B-4246-B3F6-1822F80AD793}"/>
    <cellStyle name="Millares [0] 3 2 3 2 2 3 3" xfId="13838" xr:uid="{C4781924-F878-4625-972B-D34B8C5CE24F}"/>
    <cellStyle name="Millares [0] 3 2 3 2 2 3 4" xfId="43762" xr:uid="{E74E2D12-C5C4-4E90-AAB7-906164BE8745}"/>
    <cellStyle name="Millares [0] 3 2 3 2 2 3 5" xfId="48655" xr:uid="{155D6355-864D-492A-BE48-3280701DF34B}"/>
    <cellStyle name="Millares [0] 3 2 3 2 2 4" xfId="3271" xr:uid="{AF0C54D0-95DA-41FF-B0BB-17E1BF7B775E}"/>
    <cellStyle name="Millares [0] 3 2 3 2 2 4 2" xfId="11542" xr:uid="{B1803D35-6338-4F0F-A57E-39D7C0733A5D}"/>
    <cellStyle name="Millares [0] 3 2 3 2 2 4 2 2" xfId="46702" xr:uid="{1F4B5341-B900-4842-AE87-BB42F9E40B0E}"/>
    <cellStyle name="Millares [0] 3 2 3 2 2 4 3" xfId="14382" xr:uid="{A6353FD8-359F-4EC4-AD96-29A743CC7069}"/>
    <cellStyle name="Millares [0] 3 2 3 2 2 4 4" xfId="44306" xr:uid="{4CA67CCF-072A-4E3C-B7A0-0C90884BE49D}"/>
    <cellStyle name="Millares [0] 3 2 3 2 2 4 5" xfId="49199" xr:uid="{0931E47B-51A0-463F-B05C-68DB0EF20E58}"/>
    <cellStyle name="Millares [0] 3 2 3 2 2 5" xfId="3773" xr:uid="{5D82C92C-9769-44D9-89E0-DC84851DB9EE}"/>
    <cellStyle name="Millares [0] 3 2 3 2 2 5 2" xfId="12014" xr:uid="{10CBCB54-5395-4719-9394-BB44C11E1F02}"/>
    <cellStyle name="Millares [0] 3 2 3 2 2 5 3" xfId="14854" xr:uid="{25F40E69-A5F4-4563-8610-A170A5E6C041}"/>
    <cellStyle name="Millares [0] 3 2 3 2 2 5 4" xfId="44778" xr:uid="{317ABA59-8E7B-4C22-8264-3BDAAD6A28E4}"/>
    <cellStyle name="Millares [0] 3 2 3 2 2 5 5" xfId="49671" xr:uid="{A899DCD2-78E1-44B3-A3F6-4E743D38D696}"/>
    <cellStyle name="Millares [0] 3 2 3 2 2 6" xfId="10036" xr:uid="{6AE97DB0-C896-414E-B07C-D7B8DA6AFE26}"/>
    <cellStyle name="Millares [0] 3 2 3 2 2 6 2" xfId="45196" xr:uid="{6CF0D511-CB6D-4BB2-8563-3FC6CF04E751}"/>
    <cellStyle name="Millares [0] 3 2 3 2 2 7" xfId="12876" xr:uid="{2FA39B27-34FC-4B27-AA78-269D9271DE63}"/>
    <cellStyle name="Millares [0] 3 2 3 2 2 8" xfId="16219" xr:uid="{F22CC270-5CB7-4D0B-81D3-F3E26963CCFE}"/>
    <cellStyle name="Millares [0] 3 2 3 2 2 9" xfId="16762" xr:uid="{60B04477-3D89-47D9-94D7-1F9EAB9485DE}"/>
    <cellStyle name="Millares [0] 3 2 3 2 3" xfId="2097" xr:uid="{F6D0D041-04DB-4870-ADCC-C7E5642C5B73}"/>
    <cellStyle name="Millares [0] 3 2 3 2 3 2" xfId="10368" xr:uid="{71F734A2-31E9-4983-A179-C61C7E680923}"/>
    <cellStyle name="Millares [0] 3 2 3 2 3 2 2" xfId="45528" xr:uid="{8E6D203C-4E76-4DE1-AABA-D7F01D80BC8F}"/>
    <cellStyle name="Millares [0] 3 2 3 2 3 3" xfId="13208" xr:uid="{5FC4866C-45EC-4379-8437-4A60DA45DC92}"/>
    <cellStyle name="Millares [0] 3 2 3 2 3 4" xfId="43132" xr:uid="{E4210E34-0385-420A-AC78-B5F770806C02}"/>
    <cellStyle name="Millares [0] 3 2 3 2 3 5" xfId="48025" xr:uid="{896380EE-AC59-4178-B536-9DC16DFC6BB3}"/>
    <cellStyle name="Millares [0] 3 2 3 2 4" xfId="2515" xr:uid="{3450092E-02AB-401A-872F-7DBE516F3436}"/>
    <cellStyle name="Millares [0] 3 2 3 2 4 2" xfId="10786" xr:uid="{74A6D22E-96EE-474B-84EE-C23B958789AD}"/>
    <cellStyle name="Millares [0] 3 2 3 2 4 2 2" xfId="45946" xr:uid="{3BECDDCC-0CDF-487A-BB46-5F9CFB59B504}"/>
    <cellStyle name="Millares [0] 3 2 3 2 4 3" xfId="13626" xr:uid="{DA8F7C81-684F-4A6B-9D58-510C20418BE7}"/>
    <cellStyle name="Millares [0] 3 2 3 2 4 4" xfId="43550" xr:uid="{FB8A37E9-81DC-4A25-A040-170D91D8B5CA}"/>
    <cellStyle name="Millares [0] 3 2 3 2 4 5" xfId="48443" xr:uid="{6DFE483D-B394-415C-AC2B-B81C2A20E981}"/>
    <cellStyle name="Millares [0] 3 2 3 2 5" xfId="3059" xr:uid="{67E0BB40-56A8-4E74-82A8-2E4A5144E6CD}"/>
    <cellStyle name="Millares [0] 3 2 3 2 5 2" xfId="11330" xr:uid="{40675481-DAB9-46E6-9FD2-82B2198C8F07}"/>
    <cellStyle name="Millares [0] 3 2 3 2 5 2 2" xfId="46490" xr:uid="{E8772753-5BCA-446A-BD15-3BCA82B619F5}"/>
    <cellStyle name="Millares [0] 3 2 3 2 5 3" xfId="14170" xr:uid="{6A05BE6E-6CA6-463B-BCC5-8AD986CCA340}"/>
    <cellStyle name="Millares [0] 3 2 3 2 5 4" xfId="44094" xr:uid="{87F82D17-907E-4CB5-A2B9-B721C7A8C8F5}"/>
    <cellStyle name="Millares [0] 3 2 3 2 5 5" xfId="48987" xr:uid="{27FF7DEB-1806-45FB-A914-907B8DE3EF9F}"/>
    <cellStyle name="Millares [0] 3 2 3 2 6" xfId="3561" xr:uid="{D0F107F6-5EA5-4E49-ABA4-AA61ED8DCE2E}"/>
    <cellStyle name="Millares [0] 3 2 3 2 6 2" xfId="11802" xr:uid="{A8CBB70C-4C17-4C0D-9B4D-FA544F14B29B}"/>
    <cellStyle name="Millares [0] 3 2 3 2 6 3" xfId="14642" xr:uid="{3F201320-8789-4679-8D56-BEC2ED23BD14}"/>
    <cellStyle name="Millares [0] 3 2 3 2 6 4" xfId="44566" xr:uid="{3B456E4F-9C86-4F85-84CE-74E7CBA7C432}"/>
    <cellStyle name="Millares [0] 3 2 3 2 6 5" xfId="49459" xr:uid="{855D1C83-AE1E-4B46-B924-6CEA5FD9DB56}"/>
    <cellStyle name="Millares [0] 3 2 3 2 7" xfId="9824" xr:uid="{D67CD97E-4A1C-45A5-AE75-FF6551E3F574}"/>
    <cellStyle name="Millares [0] 3 2 3 2 7 2" xfId="44984" xr:uid="{C5E5F2F6-70A1-496D-AC5C-DCFD0285000E}"/>
    <cellStyle name="Millares [0] 3 2 3 2 8" xfId="12664" xr:uid="{AE076933-6970-46CB-A1F5-87A9222A12E7}"/>
    <cellStyle name="Millares [0] 3 2 3 2 9" xfId="16007" xr:uid="{62DD6528-C0F9-46EC-B3CD-2F92E146DDA0}"/>
    <cellStyle name="Millares [0] 3 2 3 20" xfId="50326" xr:uid="{FAA3B2E3-1A13-4A18-8F6C-B974039BBCE8}"/>
    <cellStyle name="Millares [0] 3 2 3 3" xfId="392" xr:uid="{00000000-0005-0000-0000-000028010000}"/>
    <cellStyle name="Millares [0] 3 2 3 3 10" xfId="17206" xr:uid="{DE157F6F-77F9-4F1B-9F81-B9A6B7177F72}"/>
    <cellStyle name="Millares [0] 3 2 3 3 11" xfId="24138" xr:uid="{52995D69-387F-4DFF-ABB2-A9F0640233C8}"/>
    <cellStyle name="Millares [0] 3 2 3 3 12" xfId="17775" xr:uid="{8A52C250-457A-4619-B73D-16711946F991}"/>
    <cellStyle name="Millares [0] 3 2 3 3 13" xfId="42700" xr:uid="{8475A991-C617-42A8-AF1F-CC360FEC65EB}"/>
    <cellStyle name="Millares [0] 3 2 3 3 14" xfId="47593" xr:uid="{8929148F-2EB2-4647-9E7C-77C46E57C988}"/>
    <cellStyle name="Millares [0] 3 2 3 3 2" xfId="2209" xr:uid="{B346F81D-D871-41C1-B12B-A1F4D68F9625}"/>
    <cellStyle name="Millares [0] 3 2 3 3 2 2" xfId="10480" xr:uid="{E61627C5-7914-44FF-9647-BB5158EE716F}"/>
    <cellStyle name="Millares [0] 3 2 3 3 2 2 2" xfId="45640" xr:uid="{55157BE0-5365-4263-BD4D-420ECF7F286B}"/>
    <cellStyle name="Millares [0] 3 2 3 3 2 3" xfId="13320" xr:uid="{60AAB0F5-DFA4-490E-BE2A-AAB8C6DE9BD0}"/>
    <cellStyle name="Millares [0] 3 2 3 3 2 4" xfId="43244" xr:uid="{8EB0C8C2-A0B6-4A8E-B0D1-9464CC378BDF}"/>
    <cellStyle name="Millares [0] 3 2 3 3 2 5" xfId="48137" xr:uid="{BC2846C8-4C18-4706-A618-78A843E03693}"/>
    <cellStyle name="Millares [0] 3 2 3 3 3" xfId="2627" xr:uid="{7DBA0653-5C2A-49DD-B1E3-D84BD550D1E9}"/>
    <cellStyle name="Millares [0] 3 2 3 3 3 2" xfId="10898" xr:uid="{F9904D21-8588-49BE-9681-3299966DE936}"/>
    <cellStyle name="Millares [0] 3 2 3 3 3 2 2" xfId="46058" xr:uid="{30C66AE7-DEAA-4377-AB0A-6745345C3E38}"/>
    <cellStyle name="Millares [0] 3 2 3 3 3 3" xfId="13738" xr:uid="{523FBB30-1390-4421-A83C-EA6B1DCC6294}"/>
    <cellStyle name="Millares [0] 3 2 3 3 3 4" xfId="43662" xr:uid="{95525598-FBC3-49A0-89F7-7C9CA14A4DF9}"/>
    <cellStyle name="Millares [0] 3 2 3 3 3 5" xfId="48555" xr:uid="{3B09DBF3-FFE3-423A-ABD8-744D4E4DDA84}"/>
    <cellStyle name="Millares [0] 3 2 3 3 4" xfId="3171" xr:uid="{4CB44B05-56CA-4E63-A238-D87A72364851}"/>
    <cellStyle name="Millares [0] 3 2 3 3 4 2" xfId="11442" xr:uid="{FE7C4CF9-0EFA-4286-BBB0-952477D10D37}"/>
    <cellStyle name="Millares [0] 3 2 3 3 4 2 2" xfId="46602" xr:uid="{7B39405F-F1A4-42F0-9FAA-9A23F467BD7C}"/>
    <cellStyle name="Millares [0] 3 2 3 3 4 3" xfId="14282" xr:uid="{15E84862-92F1-45D6-BBB5-A58F07BE38F3}"/>
    <cellStyle name="Millares [0] 3 2 3 3 4 4" xfId="44206" xr:uid="{3DDF94D7-C0D9-4CF0-ABA8-8EC473989C0C}"/>
    <cellStyle name="Millares [0] 3 2 3 3 4 5" xfId="49099" xr:uid="{2B6F3F1E-FA87-4C8D-BF3B-C3844ADBE072}"/>
    <cellStyle name="Millares [0] 3 2 3 3 5" xfId="3673" xr:uid="{BE392AD7-12AC-4193-A7F2-E867AD12A038}"/>
    <cellStyle name="Millares [0] 3 2 3 3 5 2" xfId="11914" xr:uid="{8E7A089F-CF2E-4200-9CB4-871EA5A75282}"/>
    <cellStyle name="Millares [0] 3 2 3 3 5 3" xfId="14754" xr:uid="{7344613D-F55F-4A66-B4B0-CDC8BC47CD1B}"/>
    <cellStyle name="Millares [0] 3 2 3 3 5 4" xfId="44678" xr:uid="{B5A26C11-D52F-4F48-9995-F7191A925A12}"/>
    <cellStyle name="Millares [0] 3 2 3 3 5 5" xfId="49571" xr:uid="{BB9064D2-266C-49A8-8C0E-E918E9C410E8}"/>
    <cellStyle name="Millares [0] 3 2 3 3 6" xfId="9936" xr:uid="{A8F263C7-968E-4852-9D2E-B52E6F6B5D7F}"/>
    <cellStyle name="Millares [0] 3 2 3 3 6 2" xfId="45096" xr:uid="{477BDF8E-6837-42F3-BD27-DF34B1D486ED}"/>
    <cellStyle name="Millares [0] 3 2 3 3 7" xfId="12776" xr:uid="{E6DBA643-2AE0-4DCE-98F5-09B8EC0886F8}"/>
    <cellStyle name="Millares [0] 3 2 3 3 8" xfId="16119" xr:uid="{FB9B66A0-CE40-46F0-86E6-03A38737DC9D}"/>
    <cellStyle name="Millares [0] 3 2 3 3 9" xfId="16662" xr:uid="{E4E44E8A-A38F-408B-BECF-17F63D546936}"/>
    <cellStyle name="Millares [0] 3 2 3 4" xfId="595" xr:uid="{00000000-0005-0000-0000-000029010000}"/>
    <cellStyle name="Millares [0] 3 2 3 4 10" xfId="42902" xr:uid="{2A1F2911-176C-4255-B21F-969DCDA49DAF}"/>
    <cellStyle name="Millares [0] 3 2 3 4 11" xfId="47795" xr:uid="{F88775AA-7197-4369-BC61-375D560DEAAC}"/>
    <cellStyle name="Millares [0] 3 2 3 4 2" xfId="2829" xr:uid="{6EB90357-C3EE-43CC-89E5-68C8B776788C}"/>
    <cellStyle name="Millares [0] 3 2 3 4 2 2" xfId="11100" xr:uid="{AB85529C-45EA-4F00-92CC-B89FB3B8173E}"/>
    <cellStyle name="Millares [0] 3 2 3 4 2 2 2" xfId="46260" xr:uid="{A92654DA-032C-4F11-ABD6-5FE752535F8C}"/>
    <cellStyle name="Millares [0] 3 2 3 4 2 3" xfId="13940" xr:uid="{9491C84F-5FF7-496A-92B8-505F756D5564}"/>
    <cellStyle name="Millares [0] 3 2 3 4 2 4" xfId="43864" xr:uid="{9B69A7F3-3DCE-4BEC-95ED-69FE25E0E6E3}"/>
    <cellStyle name="Millares [0] 3 2 3 4 2 5" xfId="48757" xr:uid="{7BF1B054-333A-42D6-B28E-06E0AECF5625}"/>
    <cellStyle name="Millares [0] 3 2 3 4 3" xfId="10138" xr:uid="{6081D862-D346-48E2-BD79-FD78ACA29B0D}"/>
    <cellStyle name="Millares [0] 3 2 3 4 3 2" xfId="45298" xr:uid="{2E90C635-88C0-45BC-A050-AC1DD304BD99}"/>
    <cellStyle name="Millares [0] 3 2 3 4 4" xfId="12978" xr:uid="{9233F704-AC87-487D-8206-3BABDFFE2F48}"/>
    <cellStyle name="Millares [0] 3 2 3 4 5" xfId="16321" xr:uid="{243651E2-C78B-4070-BACF-C33FD9FD1987}"/>
    <cellStyle name="Millares [0] 3 2 3 4 6" xfId="16864" xr:uid="{298DC4DE-07B5-4E70-A29E-789B63D63A9E}"/>
    <cellStyle name="Millares [0] 3 2 3 4 7" xfId="17408" xr:uid="{FDB3BA63-D102-4038-85B6-77D044317400}"/>
    <cellStyle name="Millares [0] 3 2 3 4 8" xfId="30016" xr:uid="{C7AE654C-AFAF-4C8C-BA01-81E108EAD0E8}"/>
    <cellStyle name="Millares [0] 3 2 3 4 9" xfId="17767" xr:uid="{2A58C328-E47D-4426-BDE9-503F14001B50}"/>
    <cellStyle name="Millares [0] 3 2 3 5" xfId="1993" xr:uid="{A45A42D7-3C38-41E4-B3FA-202A1BAB2C84}"/>
    <cellStyle name="Millares [0] 3 2 3 5 2" xfId="10264" xr:uid="{0BAECD30-A4CB-46A2-9620-4D9C67B42A53}"/>
    <cellStyle name="Millares [0] 3 2 3 5 2 2" xfId="45424" xr:uid="{04D13E39-106E-4FD8-80E2-16E47829A4CC}"/>
    <cellStyle name="Millares [0] 3 2 3 5 3" xfId="13104" xr:uid="{18C888B3-CD62-493C-BF27-65BC7625A472}"/>
    <cellStyle name="Millares [0] 3 2 3 5 4" xfId="35897" xr:uid="{83431568-18AE-4191-A016-12A2335A3B72}"/>
    <cellStyle name="Millares [0] 3 2 3 5 5" xfId="43028" xr:uid="{756994EC-B1B7-4228-AC09-3BCF7A53B244}"/>
    <cellStyle name="Millares [0] 3 2 3 5 6" xfId="47921" xr:uid="{269292C0-5EA3-48CD-910E-311B742C1BC5}"/>
    <cellStyle name="Millares [0] 3 2 3 6" xfId="2411" xr:uid="{1224C707-CFB7-41D3-A0C8-B7435CFB997B}"/>
    <cellStyle name="Millares [0] 3 2 3 6 2" xfId="10682" xr:uid="{5A096FE7-32D7-4060-B1C2-70BE3BE071C5}"/>
    <cellStyle name="Millares [0] 3 2 3 6 2 2" xfId="45842" xr:uid="{93C56C8C-BB97-437D-8856-820EC5591C8F}"/>
    <cellStyle name="Millares [0] 3 2 3 6 3" xfId="13522" xr:uid="{4CEC7987-6AE3-4D5E-A28E-9B3CCAAB020E}"/>
    <cellStyle name="Millares [0] 3 2 3 6 4" xfId="43446" xr:uid="{26A5B2AD-3B55-4ED7-BF99-0CEBC6359564}"/>
    <cellStyle name="Millares [0] 3 2 3 6 5" xfId="48339" xr:uid="{1DB41260-261A-4116-A167-A4A3EF0A2595}"/>
    <cellStyle name="Millares [0] 3 2 3 7" xfId="2955" xr:uid="{BF6191F4-FB18-43E8-83EF-BE4B7C3AFA48}"/>
    <cellStyle name="Millares [0] 3 2 3 7 2" xfId="11226" xr:uid="{922ED0CB-677E-461C-B727-2E14A64AF7C1}"/>
    <cellStyle name="Millares [0] 3 2 3 7 2 2" xfId="46386" xr:uid="{ED1BCA59-9B93-47E2-A7AB-CD77168585EC}"/>
    <cellStyle name="Millares [0] 3 2 3 7 3" xfId="14066" xr:uid="{BFEC3DCA-50EE-4A66-B008-439DBB996CB4}"/>
    <cellStyle name="Millares [0] 3 2 3 7 4" xfId="43990" xr:uid="{51253062-D936-42DF-84FA-28280E54A59D}"/>
    <cellStyle name="Millares [0] 3 2 3 7 5" xfId="48883" xr:uid="{B756A1DB-9EE3-427E-8DCE-F7C732DDBB5B}"/>
    <cellStyle name="Millares [0] 3 2 3 8" xfId="3457" xr:uid="{4F79DD2C-794E-4AED-9845-F4B0C0C57D1A}"/>
    <cellStyle name="Millares [0] 3 2 3 8 2" xfId="11698" xr:uid="{A9860874-04D0-4D2E-A438-489CF1A2E027}"/>
    <cellStyle name="Millares [0] 3 2 3 8 3" xfId="14538" xr:uid="{48454BCA-E19E-45FE-9E8F-3F4B1A0F395C}"/>
    <cellStyle name="Millares [0] 3 2 3 8 4" xfId="44462" xr:uid="{D56E04C2-2D25-4F82-888C-29DC384A181B}"/>
    <cellStyle name="Millares [0] 3 2 3 8 5" xfId="49355" xr:uid="{F44F13DF-E92D-4041-8D1A-486AFCD0D67D}"/>
    <cellStyle name="Millares [0] 3 2 3 9" xfId="3905" xr:uid="{C28F4C4B-CC5E-4543-A20C-AA2A76C6553F}"/>
    <cellStyle name="Millares [0] 3 2 3 9 2" xfId="12084" xr:uid="{DAA85E7B-96F0-470A-9A0F-0AE2B18003B7}"/>
    <cellStyle name="Millares [0] 3 2 3 9 3" xfId="14925" xr:uid="{7AC352BA-774A-4ED9-9995-A075E0E30587}"/>
    <cellStyle name="Millares [0] 3 2 3 9 4" xfId="44880" xr:uid="{998BB7AC-1ECB-47B0-A995-CA3149252E3C}"/>
    <cellStyle name="Millares [0] 3 2 3 9 5" xfId="49741" xr:uid="{B9A21A0B-A10A-4BEC-8CAC-516E8758E05A}"/>
    <cellStyle name="Millares [0] 3 2 4" xfId="239" xr:uid="{00000000-0005-0000-0000-00002A010000}"/>
    <cellStyle name="Millares [0] 3 2 4 10" xfId="15384" xr:uid="{D21E6FF5-62D4-432E-8302-697CCB4B987C}"/>
    <cellStyle name="Millares [0] 3 2 4 11" xfId="15980" xr:uid="{368D38B8-53B3-45A3-92E6-F0F953FDB951}"/>
    <cellStyle name="Millares [0] 3 2 4 12" xfId="16523" xr:uid="{2228E95D-7F7E-4519-95F0-98D6B58D1F58}"/>
    <cellStyle name="Millares [0] 3 2 4 13" xfId="17067" xr:uid="{258FEA77-53D1-4A23-AF10-B44EA059E138}"/>
    <cellStyle name="Millares [0] 3 2 4 14" xfId="17533" xr:uid="{BD96EFA4-2E17-4458-8418-757EDD89CCAD}"/>
    <cellStyle name="Millares [0] 3 2 4 15" xfId="18106" xr:uid="{D723087D-C5D2-4118-87AB-A5CD8DE2E184}"/>
    <cellStyle name="Millares [0] 3 2 4 16" xfId="42561" xr:uid="{0047E007-31C7-42E2-8EAC-502FD0FEFA0D}"/>
    <cellStyle name="Millares [0] 3 2 4 17" xfId="47454" xr:uid="{E8CA0EA1-0A5E-4CAD-89E8-52EEFDA8F27F}"/>
    <cellStyle name="Millares [0] 3 2 4 2" xfId="466" xr:uid="{00000000-0005-0000-0000-00002B010000}"/>
    <cellStyle name="Millares [0] 3 2 4 2 10" xfId="17279" xr:uid="{B6FA9FB7-8083-4F9E-944D-ED309519A8CD}"/>
    <cellStyle name="Millares [0] 3 2 4 2 11" xfId="18532" xr:uid="{C87D4286-904E-43CB-8594-094FFC4C5840}"/>
    <cellStyle name="Millares [0] 3 2 4 2 12" xfId="18169" xr:uid="{5134CB6F-48CD-4364-AB62-0CD4F7A8ABC3}"/>
    <cellStyle name="Millares [0] 3 2 4 2 13" xfId="42773" xr:uid="{69B99BA8-FB3F-4CE6-9541-4FD6B5CC5BE2}"/>
    <cellStyle name="Millares [0] 3 2 4 2 14" xfId="47666" xr:uid="{4AA0799B-5350-4A14-BC5E-4EF0098FB4CB}"/>
    <cellStyle name="Millares [0] 3 2 4 2 2" xfId="2282" xr:uid="{8D07F9C1-668D-4ABA-8E80-B748E75AFCA2}"/>
    <cellStyle name="Millares [0] 3 2 4 2 2 2" xfId="10553" xr:uid="{7862FC3B-13EA-4713-94FC-1FF4DE014BE1}"/>
    <cellStyle name="Millares [0] 3 2 4 2 2 2 2" xfId="45713" xr:uid="{CADD5101-9650-4102-948D-C7C900A5AB4B}"/>
    <cellStyle name="Millares [0] 3 2 4 2 2 3" xfId="13393" xr:uid="{F04DC2C6-D394-42B9-86CD-84BF013AAD93}"/>
    <cellStyle name="Millares [0] 3 2 4 2 2 4" xfId="41675" xr:uid="{D68BD96A-2764-4F70-9078-775B6C30F1CE}"/>
    <cellStyle name="Millares [0] 3 2 4 2 2 5" xfId="43317" xr:uid="{EF0A02F5-6272-4DB8-981F-9320710BD08C}"/>
    <cellStyle name="Millares [0] 3 2 4 2 2 6" xfId="48210" xr:uid="{6CB24268-B7C9-4033-8AFA-6110BC17CC8F}"/>
    <cellStyle name="Millares [0] 3 2 4 2 3" xfId="2700" xr:uid="{53997DA1-2D11-45E7-B7A7-64A9B0D00A6F}"/>
    <cellStyle name="Millares [0] 3 2 4 2 3 2" xfId="10971" xr:uid="{E7F97E19-9355-4AA2-9FD8-55A7904B2CD7}"/>
    <cellStyle name="Millares [0] 3 2 4 2 3 2 2" xfId="46131" xr:uid="{2E17F1CC-96DD-4119-8D7E-68096FF61A58}"/>
    <cellStyle name="Millares [0] 3 2 4 2 3 3" xfId="13811" xr:uid="{7B0347A6-6696-41D8-BD4A-E9633CF3892F}"/>
    <cellStyle name="Millares [0] 3 2 4 2 3 4" xfId="43735" xr:uid="{13E37773-C567-4C5B-B3F8-E8679E54DEE0}"/>
    <cellStyle name="Millares [0] 3 2 4 2 3 5" xfId="48628" xr:uid="{8A1C8626-4A5C-4699-A739-3706491509CC}"/>
    <cellStyle name="Millares [0] 3 2 4 2 4" xfId="3244" xr:uid="{FAB18392-19CA-4C1E-AE8A-DCE9E5F0D03B}"/>
    <cellStyle name="Millares [0] 3 2 4 2 4 2" xfId="11515" xr:uid="{99B6D996-B516-4798-B9B4-F2D8174F5FB3}"/>
    <cellStyle name="Millares [0] 3 2 4 2 4 2 2" xfId="46675" xr:uid="{A68C6B89-4065-477C-AB1C-45FDE758CD9B}"/>
    <cellStyle name="Millares [0] 3 2 4 2 4 3" xfId="14355" xr:uid="{86A43453-73E1-4CE1-8481-C1941750380F}"/>
    <cellStyle name="Millares [0] 3 2 4 2 4 4" xfId="44279" xr:uid="{EBA4B258-8352-4017-943B-8849E79AB7C0}"/>
    <cellStyle name="Millares [0] 3 2 4 2 4 5" xfId="49172" xr:uid="{23FF5998-1183-4D4A-9F0B-011C88E54672}"/>
    <cellStyle name="Millares [0] 3 2 4 2 5" xfId="3746" xr:uid="{9D788E60-5162-47E9-BE51-8791CC27CEA6}"/>
    <cellStyle name="Millares [0] 3 2 4 2 5 2" xfId="11987" xr:uid="{83161014-7823-475D-89A9-81429A192932}"/>
    <cellStyle name="Millares [0] 3 2 4 2 5 3" xfId="14827" xr:uid="{E1C1EE24-B21E-40D3-8562-140CF4DDAFFC}"/>
    <cellStyle name="Millares [0] 3 2 4 2 5 4" xfId="44751" xr:uid="{4BAF98DD-DC88-4B52-9F64-629FECAEACB9}"/>
    <cellStyle name="Millares [0] 3 2 4 2 5 5" xfId="49644" xr:uid="{EA9D3DBD-C6E5-42C9-9B98-02B4998AB220}"/>
    <cellStyle name="Millares [0] 3 2 4 2 6" xfId="10009" xr:uid="{3048C5E1-ABEF-486A-A112-38C197553C68}"/>
    <cellStyle name="Millares [0] 3 2 4 2 6 2" xfId="45169" xr:uid="{FE5BD511-4304-4E19-A982-465247216693}"/>
    <cellStyle name="Millares [0] 3 2 4 2 7" xfId="12849" xr:uid="{54CD02EF-64D7-476B-A3C1-F904BEBD3323}"/>
    <cellStyle name="Millares [0] 3 2 4 2 8" xfId="16192" xr:uid="{115A355A-9645-498F-A473-D59FA912791A}"/>
    <cellStyle name="Millares [0] 3 2 4 2 9" xfId="16735" xr:uid="{6ED83343-11FF-4E7E-9F33-340568C99C62}"/>
    <cellStyle name="Millares [0] 3 2 4 3" xfId="2070" xr:uid="{8B70D3C7-A0A1-4186-8D38-2204737219A8}"/>
    <cellStyle name="Millares [0] 3 2 4 3 2" xfId="10341" xr:uid="{D4E032DB-7D2A-4D11-A73E-775225161ACA}"/>
    <cellStyle name="Millares [0] 3 2 4 3 2 2" xfId="45501" xr:uid="{CECE7D38-B285-415D-9DF7-3404E7D5B94B}"/>
    <cellStyle name="Millares [0] 3 2 4 3 3" xfId="13181" xr:uid="{08E99B00-80E1-4BA1-B54F-79D5016061A9}"/>
    <cellStyle name="Millares [0] 3 2 4 3 4" xfId="24242" xr:uid="{26F136EC-CE58-471B-BCED-C78C1AB2FAD5}"/>
    <cellStyle name="Millares [0] 3 2 4 3 5" xfId="43105" xr:uid="{11FDBB5F-1361-47A3-A3C2-1341B73B33F0}"/>
    <cellStyle name="Millares [0] 3 2 4 3 6" xfId="47998" xr:uid="{210E4F5E-D21C-43FE-AD55-975BAEFAF898}"/>
    <cellStyle name="Millares [0] 3 2 4 4" xfId="2488" xr:uid="{DC86244C-49C3-4E69-9ED9-D624025306A8}"/>
    <cellStyle name="Millares [0] 3 2 4 4 2" xfId="10759" xr:uid="{EF2BAB2B-04FD-4FB2-B11A-6615622A881F}"/>
    <cellStyle name="Millares [0] 3 2 4 4 2 2" xfId="45919" xr:uid="{37613595-B5C0-42FE-A132-2E972E0B2ABD}"/>
    <cellStyle name="Millares [0] 3 2 4 4 3" xfId="13599" xr:uid="{2CF2C555-8471-4394-9407-6B43CFC05C8A}"/>
    <cellStyle name="Millares [0] 3 2 4 4 4" xfId="30120" xr:uid="{A32764B8-ED7C-4C35-91C8-8374DCA21CF7}"/>
    <cellStyle name="Millares [0] 3 2 4 4 5" xfId="43523" xr:uid="{09538F3E-6583-4125-ACE5-2D683182A71E}"/>
    <cellStyle name="Millares [0] 3 2 4 4 6" xfId="48416" xr:uid="{58775E29-16D4-4DDD-9162-3409297AC18C}"/>
    <cellStyle name="Millares [0] 3 2 4 5" xfId="3032" xr:uid="{C0679C8A-F11A-4662-B93F-FF0126EFEF09}"/>
    <cellStyle name="Millares [0] 3 2 4 5 2" xfId="11303" xr:uid="{DB7F63D2-1D3B-4B0E-896E-D78DDE65E2F6}"/>
    <cellStyle name="Millares [0] 3 2 4 5 2 2" xfId="46463" xr:uid="{E9AC7474-5450-497A-8F83-482F15D0E9EC}"/>
    <cellStyle name="Millares [0] 3 2 4 5 3" xfId="14143" xr:uid="{662AEAE4-96F5-4924-B5F7-FE0D1C42E9D5}"/>
    <cellStyle name="Millares [0] 3 2 4 5 4" xfId="36000" xr:uid="{6A94439C-E6FA-49CC-BEA1-9FB94EB3DFA7}"/>
    <cellStyle name="Millares [0] 3 2 4 5 5" xfId="44067" xr:uid="{CD00F934-99DE-4D8C-BE48-5825A0D66778}"/>
    <cellStyle name="Millares [0] 3 2 4 5 6" xfId="48960" xr:uid="{4EFE13E2-1333-476B-B47F-869E1664DF29}"/>
    <cellStyle name="Millares [0] 3 2 4 6" xfId="3534" xr:uid="{6EC789CA-4F1A-40DE-8242-B59D6B9415FA}"/>
    <cellStyle name="Millares [0] 3 2 4 6 2" xfId="11775" xr:uid="{012534A4-DA3E-4BCC-94F3-FD97191467E0}"/>
    <cellStyle name="Millares [0] 3 2 4 6 3" xfId="14615" xr:uid="{5C7E28A8-E000-47BC-BE8C-903BFB507425}"/>
    <cellStyle name="Millares [0] 3 2 4 6 4" xfId="44539" xr:uid="{66682C56-DF26-4B31-93DA-00DFB580509E}"/>
    <cellStyle name="Millares [0] 3 2 4 6 5" xfId="49432" xr:uid="{CB0C3B7C-B595-4198-96A2-B59C6A6B0936}"/>
    <cellStyle name="Millares [0] 3 2 4 7" xfId="4006" xr:uid="{33C53837-31C0-4A79-8B6C-6FB19EAE2A3D}"/>
    <cellStyle name="Millares [0] 3 2 4 7 2" xfId="12098" xr:uid="{F0E5BD36-595F-43B9-BFE1-2FE954FBF23C}"/>
    <cellStyle name="Millares [0] 3 2 4 7 3" xfId="14939" xr:uid="{D2BCF077-5F51-43ED-A0D0-C1F239C50E9F}"/>
    <cellStyle name="Millares [0] 3 2 4 7 4" xfId="44957" xr:uid="{6242C121-2D1B-4492-B1AC-BC5F9D0651A4}"/>
    <cellStyle name="Millares [0] 3 2 4 7 5" xfId="49755" xr:uid="{9BDA9F02-0FE8-46BE-A453-1BA5057BA9C7}"/>
    <cellStyle name="Millares [0] 3 2 4 8" xfId="9797" xr:uid="{3E8AA29B-29D3-4CCB-958E-F4D7DA5C83DA}"/>
    <cellStyle name="Millares [0] 3 2 4 9" xfId="12637" xr:uid="{66CCD97C-DF9C-4CB6-9DD4-D07E167E2B20}"/>
    <cellStyle name="Millares [0] 3 2 5" xfId="334" xr:uid="{00000000-0005-0000-0000-00002C010000}"/>
    <cellStyle name="Millares [0] 3 2 5 10" xfId="16065" xr:uid="{42C42180-F54F-4F71-8183-E2BCFE89E9A2}"/>
    <cellStyle name="Millares [0] 3 2 5 11" xfId="16608" xr:uid="{3C94217D-4233-426C-B3CF-895698DA21F0}"/>
    <cellStyle name="Millares [0] 3 2 5 12" xfId="17152" xr:uid="{F5411B95-ECBA-45BB-8057-EA3A1678C49A}"/>
    <cellStyle name="Millares [0] 3 2 5 13" xfId="17567" xr:uid="{4E3C12B5-81C6-4990-91C0-97D2BD2368B2}"/>
    <cellStyle name="Millares [0] 3 2 5 14" xfId="18121" xr:uid="{900021D2-1F9B-4DFA-B2B7-B6A0488332B9}"/>
    <cellStyle name="Millares [0] 3 2 5 15" xfId="42646" xr:uid="{133F9AC4-0154-4A51-AFF1-7CB7C4EADC4C}"/>
    <cellStyle name="Millares [0] 3 2 5 16" xfId="47539" xr:uid="{B7271916-75EC-46D3-85FE-5EDF51212CF1}"/>
    <cellStyle name="Millares [0] 3 2 5 2" xfId="2155" xr:uid="{25C6EC29-E321-4BB2-BD82-B5FD78A9BCC7}"/>
    <cellStyle name="Millares [0] 3 2 5 2 10" xfId="48083" xr:uid="{27CFE38B-0E2E-4957-B796-BE090D969B92}"/>
    <cellStyle name="Millares [0] 3 2 5 2 2" xfId="5704" xr:uid="{3D7EBB56-39CF-4EA8-B31A-01BF152CBABE}"/>
    <cellStyle name="Millares [0] 3 2 5 2 2 2" xfId="8572" xr:uid="{F250234D-CF0A-487C-83C7-2B8DA3D45896}"/>
    <cellStyle name="Millares [0] 3 2 5 2 2 2 2" xfId="12411" xr:uid="{0AD28F48-0F8C-4179-90B9-5C9DF1DF3A01}"/>
    <cellStyle name="Millares [0] 3 2 5 2 2 2 2 2" xfId="41988" xr:uid="{6A32C1E5-286E-44F6-AD64-97FF73FA9585}"/>
    <cellStyle name="Millares [0] 3 2 5 2 2 2 2 3" xfId="22944" xr:uid="{866B8226-7813-4444-839D-9B311EAF87AC}"/>
    <cellStyle name="Millares [0] 3 2 5 2 2 2 3" xfId="15252" xr:uid="{D7A9435F-40B5-440F-9CBF-3CA608A424AB}"/>
    <cellStyle name="Millares [0] 3 2 5 2 2 2 3 2" xfId="28805" xr:uid="{D776EFF2-E9ED-447C-925C-086CE2A4FA65}"/>
    <cellStyle name="Millares [0] 3 2 5 2 2 2 4" xfId="15700" xr:uid="{90EFF55D-EB77-46AF-AE38-768597056D3E}"/>
    <cellStyle name="Millares [0] 3 2 5 2 2 2 4 2" xfId="34687" xr:uid="{72DCFDE9-4C82-4181-BE8C-8498BE0E25CB}"/>
    <cellStyle name="Millares [0] 3 2 5 2 2 2 5" xfId="40551" xr:uid="{C5D6F17C-F2AB-4205-8E61-CAAB97CAA56A}"/>
    <cellStyle name="Millares [0] 3 2 5 2 2 2 6" xfId="18149" xr:uid="{BBE93936-4F1C-468B-B665-008F864B287A}"/>
    <cellStyle name="Millares [0] 3 2 5 2 2 2 7" xfId="50068" xr:uid="{5AE69D3A-4559-4904-804F-4DBA2226A606}"/>
    <cellStyle name="Millares [0] 3 2 5 2 2 3" xfId="12224" xr:uid="{7C0192B1-44ED-4805-B74C-BF69088D1A5F}"/>
    <cellStyle name="Millares [0] 3 2 5 2 2 3 2" xfId="41801" xr:uid="{5D4C0D48-A403-401F-A0F0-65B285C740F6}"/>
    <cellStyle name="Millares [0] 3 2 5 2 2 3 3" xfId="20161" xr:uid="{98E7C547-2C60-452E-822C-6F55115EFED2}"/>
    <cellStyle name="Millares [0] 3 2 5 2 2 4" xfId="15065" xr:uid="{67678C97-6327-4AE6-9584-A0A358CB19FC}"/>
    <cellStyle name="Millares [0] 3 2 5 2 2 4 2" xfId="25955" xr:uid="{EDB6C686-6390-4291-9002-E0E29023D6D7}"/>
    <cellStyle name="Millares [0] 3 2 5 2 2 5" xfId="15512" xr:uid="{81A72E9C-6BCE-40D9-9088-C01EB5F5F653}"/>
    <cellStyle name="Millares [0] 3 2 5 2 2 5 2" xfId="31830" xr:uid="{992E79C2-C903-40F1-83C8-DDA480D419B8}"/>
    <cellStyle name="Millares [0] 3 2 5 2 2 6" xfId="37697" xr:uid="{5FBC5DEE-2EB3-4C89-A2DD-11BE039527A8}"/>
    <cellStyle name="Millares [0] 3 2 5 2 2 7" xfId="17763" xr:uid="{EFD438A8-5577-412E-A92A-E86FF3927B71}"/>
    <cellStyle name="Millares [0] 3 2 5 2 2 8" xfId="45586" xr:uid="{66514F3C-3E34-45CD-9EED-11A57399931E}"/>
    <cellStyle name="Millares [0] 3 2 5 2 2 9" xfId="49881" xr:uid="{FFBEE2A9-27EE-47C7-B94D-36F9C01266D1}"/>
    <cellStyle name="Millares [0] 3 2 5 2 3" xfId="7600" xr:uid="{39F50E1C-2877-4A88-B5C0-82F5BCDEEF01}"/>
    <cellStyle name="Millares [0] 3 2 5 2 3 2" xfId="12339" xr:uid="{B14ADC40-33F5-4259-BEE4-2BEFD345405A}"/>
    <cellStyle name="Millares [0] 3 2 5 2 3 2 2" xfId="41916" xr:uid="{51E26AEA-9965-43F6-9C44-B5203ED0DEB2}"/>
    <cellStyle name="Millares [0] 3 2 5 2 3 2 3" xfId="21994" xr:uid="{407E9CCE-B6D9-4C6D-B366-E902FDAC5938}"/>
    <cellStyle name="Millares [0] 3 2 5 2 3 3" xfId="15180" xr:uid="{051E0C23-24EF-42B5-96FA-36E25B094754}"/>
    <cellStyle name="Millares [0] 3 2 5 2 3 3 2" xfId="27834" xr:uid="{5ECEF589-D807-4095-B63D-8EC5689008A3}"/>
    <cellStyle name="Millares [0] 3 2 5 2 3 4" xfId="15627" xr:uid="{4AB0BFEC-19B8-4749-A1EB-4FC9ABF07689}"/>
    <cellStyle name="Millares [0] 3 2 5 2 3 4 2" xfId="33716" xr:uid="{0E19717E-D6A4-4D88-9DDB-6C8AF6D1354A}"/>
    <cellStyle name="Millares [0] 3 2 5 2 3 5" xfId="39580" xr:uid="{08C3D921-C580-469C-A309-ED94310B3FC3}"/>
    <cellStyle name="Millares [0] 3 2 5 2 3 6" xfId="18010" xr:uid="{2DE70B33-9B55-4672-B6A5-1D4C14773AE7}"/>
    <cellStyle name="Millares [0] 3 2 5 2 3 7" xfId="47168" xr:uid="{453F4B07-8CEA-427E-9595-E4CAB66F435E}"/>
    <cellStyle name="Millares [0] 3 2 5 2 3 8" xfId="49996" xr:uid="{858A9898-4ED2-4B11-A004-C5EAD8577EB6}"/>
    <cellStyle name="Millares [0] 3 2 5 2 4" xfId="4736" xr:uid="{5AC793D7-5D88-4AEC-A749-2285497C9464}"/>
    <cellStyle name="Millares [0] 3 2 5 2 4 2" xfId="12152" xr:uid="{BDBEE90C-B566-4AB5-9A5B-02C333031FB0}"/>
    <cellStyle name="Millares [0] 3 2 5 2 4 2 2" xfId="41729" xr:uid="{66A88D5A-5A0D-4065-9692-D9ADD1102DE6}"/>
    <cellStyle name="Millares [0] 3 2 5 2 4 3" xfId="14993" xr:uid="{3B07EE99-3DFD-4004-8712-EF4D67CBFA90}"/>
    <cellStyle name="Millares [0] 3 2 5 2 4 4" xfId="19225" xr:uid="{EA7591C8-FE01-4A0D-8439-D2BC2420B4DE}"/>
    <cellStyle name="Millares [0] 3 2 5 2 4 5" xfId="49809" xr:uid="{A802E7B5-AA68-414F-B758-A8C183E62A57}"/>
    <cellStyle name="Millares [0] 3 2 5 2 5" xfId="10426" xr:uid="{FB43A733-6369-49F5-B9FE-19078A5E749C}"/>
    <cellStyle name="Millares [0] 3 2 5 2 5 2" xfId="24985" xr:uid="{49C32B6F-4912-4286-AF46-A9CEAD5F6CBF}"/>
    <cellStyle name="Millares [0] 3 2 5 2 6" xfId="13266" xr:uid="{C9A8A952-800E-445F-860F-21106BEF1317}"/>
    <cellStyle name="Millares [0] 3 2 5 2 6 2" xfId="30859" xr:uid="{1A65DD7D-BEBC-40F7-9C70-60D5625B1925}"/>
    <cellStyle name="Millares [0] 3 2 5 2 7" xfId="15439" xr:uid="{9CF6F47C-5C85-43BB-9D47-D5C27CEB6316}"/>
    <cellStyle name="Millares [0] 3 2 5 2 7 2" xfId="36740" xr:uid="{1E2D31A6-8034-4EBA-9D56-03018B6B96FB}"/>
    <cellStyle name="Millares [0] 3 2 5 2 8" xfId="17630" xr:uid="{2FF0D2C7-FEEA-4D7B-9A2E-1D7ED79C2F48}"/>
    <cellStyle name="Millares [0] 3 2 5 2 9" xfId="43190" xr:uid="{22FEDBDD-E559-4B6C-8BE1-77428F070724}"/>
    <cellStyle name="Millares [0] 3 2 5 3" xfId="2573" xr:uid="{A2880432-6F24-4532-95D1-9D72B36983C1}"/>
    <cellStyle name="Millares [0] 3 2 5 3 2" xfId="8087" xr:uid="{27DA335A-1E8E-4528-AFE0-3F8079774C52}"/>
    <cellStyle name="Millares [0] 3 2 5 3 2 2" xfId="12375" xr:uid="{F4B10614-B59D-4D3D-BA39-D989AD8CC459}"/>
    <cellStyle name="Millares [0] 3 2 5 3 2 2 2" xfId="41952" xr:uid="{606867D9-9689-4AF5-A6A3-BFE55D3625F3}"/>
    <cellStyle name="Millares [0] 3 2 5 3 2 2 3" xfId="22465" xr:uid="{7B7B74F4-2840-40A7-A42C-F424AEB4EBD0}"/>
    <cellStyle name="Millares [0] 3 2 5 3 2 3" xfId="15216" xr:uid="{AFE004AE-2FB7-4260-AC50-E0A807AC3103}"/>
    <cellStyle name="Millares [0] 3 2 5 3 2 3 2" xfId="28320" xr:uid="{8515B7CB-5BF6-430B-853D-424962D8376B}"/>
    <cellStyle name="Millares [0] 3 2 5 3 2 4" xfId="15663" xr:uid="{076B0096-E954-4C45-A63D-91E35CD70E94}"/>
    <cellStyle name="Millares [0] 3 2 5 3 2 4 2" xfId="34202" xr:uid="{A1CEB196-077E-4F2E-B506-1B33687DE00F}"/>
    <cellStyle name="Millares [0] 3 2 5 3 2 5" xfId="40066" xr:uid="{E3E1EE32-07E1-416D-8308-A37EBFE805A4}"/>
    <cellStyle name="Millares [0] 3 2 5 3 2 6" xfId="18080" xr:uid="{0CC4641E-E1F6-4001-9C40-D05BD4E621CB}"/>
    <cellStyle name="Millares [0] 3 2 5 3 2 7" xfId="46004" xr:uid="{85ADCE59-97E8-4475-A921-38B04852227F}"/>
    <cellStyle name="Millares [0] 3 2 5 3 2 8" xfId="50032" xr:uid="{F7049160-2D22-40F9-8C5F-DFFF6E358070}"/>
    <cellStyle name="Millares [0] 3 2 5 3 3" xfId="5220" xr:uid="{DE50BA1C-B5C9-4A76-9CF5-7161C2DFBA3E}"/>
    <cellStyle name="Millares [0] 3 2 5 3 3 2" xfId="12188" xr:uid="{E1B428D2-9D8D-4C61-B7EF-B3DC22CA4942}"/>
    <cellStyle name="Millares [0] 3 2 5 3 3 2 2" xfId="41765" xr:uid="{6D098C4C-79D4-49B7-8768-5A124B7892E7}"/>
    <cellStyle name="Millares [0] 3 2 5 3 3 3" xfId="15029" xr:uid="{7BA30FDA-EAC5-4157-8EE1-537EE6339A0C}"/>
    <cellStyle name="Millares [0] 3 2 5 3 3 4" xfId="19690" xr:uid="{9E723B8F-9E5F-4F2D-9B76-598ED6DE7E12}"/>
    <cellStyle name="Millares [0] 3 2 5 3 3 5" xfId="47176" xr:uid="{F6D40FEE-8EDB-4664-AFB1-D52EEF32FFDA}"/>
    <cellStyle name="Millares [0] 3 2 5 3 3 6" xfId="49845" xr:uid="{806AA369-E687-4B60-BFD4-23703E05FD95}"/>
    <cellStyle name="Millares [0] 3 2 5 3 4" xfId="10844" xr:uid="{FA5B5246-3BBA-4128-80EE-C8C851F52367}"/>
    <cellStyle name="Millares [0] 3 2 5 3 4 2" xfId="25471" xr:uid="{9464E867-C332-4BD3-9801-A16BF5249961}"/>
    <cellStyle name="Millares [0] 3 2 5 3 5" xfId="13684" xr:uid="{A6C228C4-3F6B-4DD8-845D-0FD3E542F784}"/>
    <cellStyle name="Millares [0] 3 2 5 3 5 2" xfId="31345" xr:uid="{C0CDBB39-179A-451C-9481-98A1FEEA3B90}"/>
    <cellStyle name="Millares [0] 3 2 5 3 6" xfId="15475" xr:uid="{A01F117D-51A0-46D3-A316-181882E4E057}"/>
    <cellStyle name="Millares [0] 3 2 5 3 6 2" xfId="37218" xr:uid="{B10A8E53-834A-4100-B26B-A6C816C0745D}"/>
    <cellStyle name="Millares [0] 3 2 5 3 7" xfId="17698" xr:uid="{360BD74F-62E4-4019-8328-3FFBAAEDD58F}"/>
    <cellStyle name="Millares [0] 3 2 5 3 8" xfId="43608" xr:uid="{E5AD557E-69A9-42B9-937E-EC371E18DE3F}"/>
    <cellStyle name="Millares [0] 3 2 5 3 9" xfId="48501" xr:uid="{FF05D517-755F-4CDA-BD56-0630AFD2C928}"/>
    <cellStyle name="Millares [0] 3 2 5 4" xfId="3117" xr:uid="{1B173BF9-2CBC-4AD2-A97B-1AA772F68766}"/>
    <cellStyle name="Millares [0] 3 2 5 4 2" xfId="7115" xr:uid="{D1432018-2830-4AC9-8843-821F2C7C3FB9}"/>
    <cellStyle name="Millares [0] 3 2 5 4 2 2" xfId="12303" xr:uid="{F976F415-BCF6-4EC7-B889-29F1B6026151}"/>
    <cellStyle name="Millares [0] 3 2 5 4 2 2 2" xfId="41880" xr:uid="{C2F6FE6A-C910-4F13-8937-FC4E2953A218}"/>
    <cellStyle name="Millares [0] 3 2 5 4 2 3" xfId="15144" xr:uid="{C0D66A28-1754-4DE0-9383-EEFF75356761}"/>
    <cellStyle name="Millares [0] 3 2 5 4 2 4" xfId="21526" xr:uid="{629F97A8-045A-401A-987E-5908BA75B7E5}"/>
    <cellStyle name="Millares [0] 3 2 5 4 2 5" xfId="46548" xr:uid="{AF5B2270-B627-4376-88E9-C29D0799F957}"/>
    <cellStyle name="Millares [0] 3 2 5 4 2 6" xfId="49960" xr:uid="{ED3DB8F0-4515-4608-A8EB-797726A3EA77}"/>
    <cellStyle name="Millares [0] 3 2 5 4 3" xfId="11388" xr:uid="{572C73B3-8AEF-4F3A-AC18-F41D47A43C43}"/>
    <cellStyle name="Millares [0] 3 2 5 4 3 2" xfId="27350" xr:uid="{E3D70BFB-A072-449C-9F1F-6E571DB102EB}"/>
    <cellStyle name="Millares [0] 3 2 5 4 4" xfId="14228" xr:uid="{991B9529-FF62-41D4-84A3-B2A8D0067EE9}"/>
    <cellStyle name="Millares [0] 3 2 5 4 4 2" xfId="33231" xr:uid="{66CEAC90-0306-48B6-9F65-383485D27E44}"/>
    <cellStyle name="Millares [0] 3 2 5 4 5" xfId="15591" xr:uid="{3D65321C-0226-40FD-ADF7-BA0140307E94}"/>
    <cellStyle name="Millares [0] 3 2 5 4 5 2" xfId="39095" xr:uid="{97F62669-378A-436F-ABF8-0C890B62B8BA}"/>
    <cellStyle name="Millares [0] 3 2 5 4 6" xfId="17942" xr:uid="{146B87A1-3805-4491-9ECF-ECE4C8B10C99}"/>
    <cellStyle name="Millares [0] 3 2 5 4 7" xfId="44152" xr:uid="{FC7D7231-0AC1-4A05-9092-61A6CAA8A3EE}"/>
    <cellStyle name="Millares [0] 3 2 5 4 8" xfId="49045" xr:uid="{CB67A63F-32B6-4171-8883-8CBBED6BA9D9}"/>
    <cellStyle name="Millares [0] 3 2 5 5" xfId="3619" xr:uid="{861DB9A7-AA6C-4F9E-89E6-E2E115A105AA}"/>
    <cellStyle name="Millares [0] 3 2 5 5 2" xfId="11860" xr:uid="{75CE82DA-33D3-4B43-8C4B-451DC1DCDFB2}"/>
    <cellStyle name="Millares [0] 3 2 5 5 2 2" xfId="41692" xr:uid="{5BA96120-F9A0-4BFE-80FD-EB9C40D657C6}"/>
    <cellStyle name="Millares [0] 3 2 5 5 2 3" xfId="47289" xr:uid="{E100EBCE-9352-4C92-AB73-6FB846CB9144}"/>
    <cellStyle name="Millares [0] 3 2 5 5 3" xfId="14700" xr:uid="{1AD1DC95-A705-4A7F-B821-071D4749D575}"/>
    <cellStyle name="Millares [0] 3 2 5 5 3 2" xfId="47201" xr:uid="{BADB0B78-522B-40D7-B641-A3E5D1ED2B5F}"/>
    <cellStyle name="Millares [0] 3 2 5 5 4" xfId="18777" xr:uid="{F57DABDA-5E1B-4D71-A031-24F74191A40A}"/>
    <cellStyle name="Millares [0] 3 2 5 5 5" xfId="44624" xr:uid="{EDA2D1DF-F365-436A-AB1D-946F4D6D8617}"/>
    <cellStyle name="Millares [0] 3 2 5 5 6" xfId="46844" xr:uid="{F821B0EF-D9CB-4C5A-B4AB-AF3182124648}"/>
    <cellStyle name="Millares [0] 3 2 5 5 7" xfId="49517" xr:uid="{458BAA5A-A37F-4AD1-8A48-99844CFFA31B}"/>
    <cellStyle name="Millares [0] 3 2 5 6" xfId="4256" xr:uid="{E328BA54-8BBC-4C53-AA8C-9343B6898FEA}"/>
    <cellStyle name="Millares [0] 3 2 5 6 2" xfId="12115" xr:uid="{10EDAA08-C0CB-4C9A-9797-2E878C88CD9D}"/>
    <cellStyle name="Millares [0] 3 2 5 6 3" xfId="14956" xr:uid="{696261EA-6872-4F5D-BC25-1A6750891922}"/>
    <cellStyle name="Millares [0] 3 2 5 6 4" xfId="24499" xr:uid="{DDFB4E18-459E-4552-938E-0199B9AB1A4D}"/>
    <cellStyle name="Millares [0] 3 2 5 6 5" xfId="45042" xr:uid="{CEA0E859-2E1E-4951-809F-0C00D7457740}"/>
    <cellStyle name="Millares [0] 3 2 5 6 6" xfId="49772" xr:uid="{90851DC7-0F55-45A7-8DC5-2F681C7B4708}"/>
    <cellStyle name="Millares [0] 3 2 5 7" xfId="9882" xr:uid="{F3CF8F8B-3BC3-48EB-9C3C-FA27A027C522}"/>
    <cellStyle name="Millares [0] 3 2 5 7 2" xfId="30378" xr:uid="{2D4A2C8E-9770-4E63-8790-8BB7719E235C}"/>
    <cellStyle name="Millares [0] 3 2 5 8" xfId="12722" xr:uid="{61CB8014-1207-4856-8EC9-AE0C3A969D31}"/>
    <cellStyle name="Millares [0] 3 2 5 8 2" xfId="36259" xr:uid="{A1729FBD-99B2-442A-A303-876E152190D3}"/>
    <cellStyle name="Millares [0] 3 2 5 9" xfId="15401" xr:uid="{FA44EDFF-CA84-40E9-814B-5E0817A5CB76}"/>
    <cellStyle name="Millares [0] 3 2 6" xfId="365" xr:uid="{00000000-0005-0000-0000-00002D010000}"/>
    <cellStyle name="Millares [0] 3 2 6 10" xfId="16092" xr:uid="{8AE69CD4-ED80-40AC-BB47-C6567DFA2981}"/>
    <cellStyle name="Millares [0] 3 2 6 11" xfId="16635" xr:uid="{53137DC2-D195-4367-B0E5-94DB3089AE00}"/>
    <cellStyle name="Millares [0] 3 2 6 12" xfId="17179" xr:uid="{240B777F-1B10-406A-BFAB-DC9B945DC196}"/>
    <cellStyle name="Millares [0] 3 2 6 13" xfId="17815" xr:uid="{F55DD475-5976-4A34-B548-40301EB88AC7}"/>
    <cellStyle name="Millares [0] 3 2 6 14" xfId="42673" xr:uid="{002ED787-6BEC-4FD8-AEBB-A600A2260FEC}"/>
    <cellStyle name="Millares [0] 3 2 6 15" xfId="47566" xr:uid="{3ACB40B7-4BEF-4DB4-A946-0468109E1B46}"/>
    <cellStyle name="Millares [0] 3 2 6 2" xfId="2182" xr:uid="{09E2B567-F64D-400F-82B0-EAF7E9E322C7}"/>
    <cellStyle name="Millares [0] 3 2 6 2 2" xfId="9087" xr:uid="{E5082FB3-BAA7-49A8-AAAE-972991A75220}"/>
    <cellStyle name="Millares [0] 3 2 6 2 2 2" xfId="12432" xr:uid="{2E648BD0-4011-4A0B-A705-5F4E172DBD77}"/>
    <cellStyle name="Millares [0] 3 2 6 2 2 2 2" xfId="42009" xr:uid="{4CB82096-CC0C-44B6-82D6-701136F1C9B5}"/>
    <cellStyle name="Millares [0] 3 2 6 2 2 3" xfId="15273" xr:uid="{88A121CE-D061-4600-A11B-5B0BB70DA29C}"/>
    <cellStyle name="Millares [0] 3 2 6 2 2 4" xfId="23451" xr:uid="{246C09D3-65CC-49E7-BD7D-8356E9C58A3E}"/>
    <cellStyle name="Millares [0] 3 2 6 2 2 5" xfId="45613" xr:uid="{A2A9CD65-57D5-4551-A9EA-86223A673379}"/>
    <cellStyle name="Millares [0] 3 2 6 2 2 6" xfId="50089" xr:uid="{EDBA2430-FF28-4C1C-9BF5-80CDF3AA9AFA}"/>
    <cellStyle name="Millares [0] 3 2 6 2 3" xfId="10453" xr:uid="{1F064DC9-9B6B-4B0E-B280-F89FEB8F6784}"/>
    <cellStyle name="Millares [0] 3 2 6 2 3 2" xfId="29318" xr:uid="{58BC3B5A-E4E1-4C86-9C84-0B7179E7AD91}"/>
    <cellStyle name="Millares [0] 3 2 6 2 4" xfId="13293" xr:uid="{E79D3A78-A3D6-4627-B9FB-537C37FAC75C}"/>
    <cellStyle name="Millares [0] 3 2 6 2 4 2" xfId="35200" xr:uid="{D48EDF42-197D-4757-A420-7AC06BE1465D}"/>
    <cellStyle name="Millares [0] 3 2 6 2 5" xfId="15722" xr:uid="{C0202853-EFBA-4583-9F69-B4A6D9B277D7}"/>
    <cellStyle name="Millares [0] 3 2 6 2 5 2" xfId="41061" xr:uid="{B90117DF-E3F2-4CE1-8A83-06A51A71CEAE}"/>
    <cellStyle name="Millares [0] 3 2 6 2 6" xfId="18198" xr:uid="{73A97A84-433F-4833-90B6-9727E54480EE}"/>
    <cellStyle name="Millares [0] 3 2 6 2 7" xfId="43217" xr:uid="{49C2ED6A-52E0-42DE-8FC0-D6D078E33924}"/>
    <cellStyle name="Millares [0] 3 2 6 2 8" xfId="48110" xr:uid="{3D87C95B-5188-4C00-9EE5-80E1B63747A9}"/>
    <cellStyle name="Millares [0] 3 2 6 3" xfId="2600" xr:uid="{058B35A6-3E6B-464C-90EA-00C82EA7AD94}"/>
    <cellStyle name="Millares [0] 3 2 6 3 2" xfId="10871" xr:uid="{3074FF54-F2DE-4568-8E4A-78A2673631A7}"/>
    <cellStyle name="Millares [0] 3 2 6 3 2 2" xfId="41822" xr:uid="{E6DBBCCD-DB66-47DD-9803-013B8E8EDE7D}"/>
    <cellStyle name="Millares [0] 3 2 6 3 2 3" xfId="46031" xr:uid="{626984B1-598E-41AC-99A9-5D87771190E5}"/>
    <cellStyle name="Millares [0] 3 2 6 3 3" xfId="13711" xr:uid="{58CAA8CE-D309-4848-B333-472EE277A725}"/>
    <cellStyle name="Millares [0] 3 2 6 3 4" xfId="20664" xr:uid="{7B3E6CBA-C298-4BA4-B4FA-1C1C460447B4}"/>
    <cellStyle name="Millares [0] 3 2 6 3 5" xfId="43635" xr:uid="{2ED09627-548A-4594-A641-23820A969299}"/>
    <cellStyle name="Millares [0] 3 2 6 3 6" xfId="48528" xr:uid="{31F3B5A2-4F80-4BDA-904E-29D18B0E895F}"/>
    <cellStyle name="Millares [0] 3 2 6 4" xfId="3144" xr:uid="{F6450D7F-55E8-4FC6-9600-C2DA4E020ADD}"/>
    <cellStyle name="Millares [0] 3 2 6 4 2" xfId="11415" xr:uid="{35E9F8CA-69A8-4500-B8E2-3DEE5E871C69}"/>
    <cellStyle name="Millares [0] 3 2 6 4 2 2" xfId="46575" xr:uid="{45796067-AD0A-472F-8421-C1A274FB6D40}"/>
    <cellStyle name="Millares [0] 3 2 6 4 3" xfId="14255" xr:uid="{C0A30826-AAD7-4710-837C-5F222DAF67A4}"/>
    <cellStyle name="Millares [0] 3 2 6 4 4" xfId="26468" xr:uid="{FEA4E7D9-F3FF-40DA-AFE5-06126917AEF0}"/>
    <cellStyle name="Millares [0] 3 2 6 4 5" xfId="44179" xr:uid="{7C6807DD-C426-4286-A67C-93CCA6BA53B6}"/>
    <cellStyle name="Millares [0] 3 2 6 4 6" xfId="49072" xr:uid="{F87ED81F-D98F-46DF-BA64-632E85EBA314}"/>
    <cellStyle name="Millares [0] 3 2 6 5" xfId="3646" xr:uid="{A2901563-6998-495A-AD5E-D2541FDF7847}"/>
    <cellStyle name="Millares [0] 3 2 6 5 2" xfId="11887" xr:uid="{47957BA4-7F3C-4E15-8CB9-AB5435274D49}"/>
    <cellStyle name="Millares [0] 3 2 6 5 3" xfId="14727" xr:uid="{2E6D4360-5879-41D6-9B87-B08D8B636E2F}"/>
    <cellStyle name="Millares [0] 3 2 6 5 4" xfId="32343" xr:uid="{A026AB84-0D91-49B3-A4E4-B2B598F576C3}"/>
    <cellStyle name="Millares [0] 3 2 6 5 5" xfId="44651" xr:uid="{049603BC-ADBD-4107-BFC8-BF4635DBA182}"/>
    <cellStyle name="Millares [0] 3 2 6 5 6" xfId="49544" xr:uid="{5C08E0A2-0B01-46F9-8A93-02DFBE5F6090}"/>
    <cellStyle name="Millares [0] 3 2 6 6" xfId="6218" xr:uid="{56ADFDB9-257E-4072-9638-451F6E8A8739}"/>
    <cellStyle name="Millares [0] 3 2 6 6 2" xfId="12245" xr:uid="{E5DA0B59-3FE1-4BA6-854E-5E50B3FB60AB}"/>
    <cellStyle name="Millares [0] 3 2 6 6 3" xfId="15086" xr:uid="{A04B88D3-C545-4504-A1EB-97C42E496B17}"/>
    <cellStyle name="Millares [0] 3 2 6 6 4" xfId="38208" xr:uid="{7D2DBD83-6F3A-4122-81B9-C73C9DDAD388}"/>
    <cellStyle name="Millares [0] 3 2 6 6 5" xfId="45069" xr:uid="{FEF08F96-B5C9-4213-BA58-BEE5020BD7D0}"/>
    <cellStyle name="Millares [0] 3 2 6 6 6" xfId="49902" xr:uid="{0504CDDE-CDC6-4AAA-855F-73B37204B754}"/>
    <cellStyle name="Millares [0] 3 2 6 7" xfId="9909" xr:uid="{E41C9BD0-219B-43F7-9048-3F1D19286CD7}"/>
    <cellStyle name="Millares [0] 3 2 6 8" xfId="12749" xr:uid="{1C1740C1-9C0A-413A-B4D1-F2177CA4409A}"/>
    <cellStyle name="Millares [0] 3 2 6 9" xfId="15533" xr:uid="{63DC987D-0DEC-4FAE-9156-8C26287471E3}"/>
    <cellStyle name="Millares [0] 3 2 7" xfId="568" xr:uid="{00000000-0005-0000-0000-00002E010000}"/>
    <cellStyle name="Millares [0] 3 2 7 10" xfId="17833" xr:uid="{5D6C1B7E-7E8F-4758-8174-68C810AF860F}"/>
    <cellStyle name="Millares [0] 3 2 7 11" xfId="17864" xr:uid="{1AFFC95B-228A-49ED-9E8F-0A516EA5E146}"/>
    <cellStyle name="Millares [0] 3 2 7 12" xfId="42875" xr:uid="{745F0D88-3786-4B89-B1B3-7CC61F681CED}"/>
    <cellStyle name="Millares [0] 3 2 7 13" xfId="47768" xr:uid="{C0A63143-711D-43A0-AF72-9F3D32968687}"/>
    <cellStyle name="Millares [0] 3 2 7 2" xfId="2802" xr:uid="{2330E643-D100-42AD-9EBF-E3D2B5F37FD0}"/>
    <cellStyle name="Millares [0] 3 2 7 2 2" xfId="11073" xr:uid="{3BE90A77-3E2F-40E4-9230-7CD1F1EE3C48}"/>
    <cellStyle name="Millares [0] 3 2 7 2 2 2" xfId="41833" xr:uid="{0DD4C0B0-1F21-425D-A8E4-CDB12E4B89D6}"/>
    <cellStyle name="Millares [0] 3 2 7 2 2 3" xfId="46233" xr:uid="{558B8257-B8DD-47C0-9E87-FA8BBE746914}"/>
    <cellStyle name="Millares [0] 3 2 7 2 3" xfId="13913" xr:uid="{C43F1539-5E02-4C8E-A3E1-32C9F509F747}"/>
    <cellStyle name="Millares [0] 3 2 7 2 4" xfId="20760" xr:uid="{6220FEED-A5D3-4F14-8D2B-618B9E97F470}"/>
    <cellStyle name="Millares [0] 3 2 7 2 5" xfId="43837" xr:uid="{0A8C685D-99CB-4696-9523-75CB8832FC0D}"/>
    <cellStyle name="Millares [0] 3 2 7 2 6" xfId="48730" xr:uid="{69A2D3A2-9D47-47AA-9C86-DA1BADFEB5D3}"/>
    <cellStyle name="Millares [0] 3 2 7 3" xfId="6319" xr:uid="{D816906D-57AF-4A24-8610-F9F404544BF5}"/>
    <cellStyle name="Millares [0] 3 2 7 3 2" xfId="12256" xr:uid="{C7FAABCA-9BD7-463F-99D2-A72C2341A851}"/>
    <cellStyle name="Millares [0] 3 2 7 3 3" xfId="15097" xr:uid="{D8EBDDD3-96A4-4B96-9291-7B51734FA28F}"/>
    <cellStyle name="Millares [0] 3 2 7 3 4" xfId="26569" xr:uid="{7AD507F9-80B5-46BC-8E1B-183717F5D23C}"/>
    <cellStyle name="Millares [0] 3 2 7 3 5" xfId="45271" xr:uid="{1A08BA5C-B6F3-4E0A-A42A-2CADFAC3A6FB}"/>
    <cellStyle name="Millares [0] 3 2 7 3 6" xfId="49913" xr:uid="{4AFCD662-6221-4D8F-9A87-5E97772BBAD2}"/>
    <cellStyle name="Millares [0] 3 2 7 4" xfId="10111" xr:uid="{F63389A7-63DC-4175-9773-7EB2A3ADFC0C}"/>
    <cellStyle name="Millares [0] 3 2 7 4 2" xfId="32444" xr:uid="{9200FF09-9F73-4C52-8E8F-87CB864F25C8}"/>
    <cellStyle name="Millares [0] 3 2 7 5" xfId="12951" xr:uid="{36049E82-CEC6-4731-8468-A2E70AC1E41E}"/>
    <cellStyle name="Millares [0] 3 2 7 5 2" xfId="38309" xr:uid="{21369909-C5EF-4889-AACD-4629091F26EE}"/>
    <cellStyle name="Millares [0] 3 2 7 6" xfId="15544" xr:uid="{497B18EE-672F-4989-ADF0-152FE849FC5A}"/>
    <cellStyle name="Millares [0] 3 2 7 7" xfId="16294" xr:uid="{938CDF0F-3A44-45C7-8D81-7A1FA6A20028}"/>
    <cellStyle name="Millares [0] 3 2 7 8" xfId="16837" xr:uid="{F8E6E7C0-C83D-4FFB-95FC-79EA442D59E8}"/>
    <cellStyle name="Millares [0] 3 2 7 9" xfId="17381" xr:uid="{6DD93DD9-7B2C-4EDF-A9CB-58ADE82EEB24}"/>
    <cellStyle name="Millares [0] 3 2 8" xfId="654" xr:uid="{00000000-0005-0000-0000-00002F010000}"/>
    <cellStyle name="Millares [0] 3 2 8 10" xfId="42958" xr:uid="{99269743-0D42-455B-86CE-CECF8932F81E}"/>
    <cellStyle name="Millares [0] 3 2 8 11" xfId="47851" xr:uid="{BB881E27-A919-464D-A091-FAEDE1963608}"/>
    <cellStyle name="Millares [0] 3 2 8 2" xfId="2885" xr:uid="{B93AFE3F-976E-4363-B274-F4B6F6807F3C}"/>
    <cellStyle name="Millares [0] 3 2 8 2 2" xfId="11156" xr:uid="{5DDD4A28-941A-4FAC-AA90-B87DAEC584DE}"/>
    <cellStyle name="Millares [0] 3 2 8 2 2 2" xfId="46316" xr:uid="{9F210381-CC19-4B67-9E0C-E21D8EE50D57}"/>
    <cellStyle name="Millares [0] 3 2 8 2 3" xfId="13996" xr:uid="{AD7FCCBF-1021-4E48-9E13-6228F717D706}"/>
    <cellStyle name="Millares [0] 3 2 8 2 4" xfId="41649" xr:uid="{60A30BF5-107F-4A6B-B450-BD5F44A41B10}"/>
    <cellStyle name="Millares [0] 3 2 8 2 5" xfId="43920" xr:uid="{DEE4DF0F-32E5-4422-BE12-3B31C2B6999B}"/>
    <cellStyle name="Millares [0] 3 2 8 2 6" xfId="48813" xr:uid="{B60D55DD-7D8C-40CF-9CD2-255AF85F64CB}"/>
    <cellStyle name="Millares [0] 3 2 8 3" xfId="10194" xr:uid="{970BFB60-5C70-4737-9B48-5B317761B434}"/>
    <cellStyle name="Millares [0] 3 2 8 3 2" xfId="45354" xr:uid="{651F879A-4DFD-4D38-8D9C-815F96FBD0F1}"/>
    <cellStyle name="Millares [0] 3 2 8 4" xfId="13034" xr:uid="{EC676F8C-AE0E-4633-A3D0-0AA3518C9F5D}"/>
    <cellStyle name="Millares [0] 3 2 8 5" xfId="15838" xr:uid="{36297E56-EFC2-4DB0-8E10-4DE127D6EBB6}"/>
    <cellStyle name="Millares [0] 3 2 8 6" xfId="16377" xr:uid="{D9BA1899-AAA4-40B7-8A3F-346F71A86831}"/>
    <cellStyle name="Millares [0] 3 2 8 7" xfId="16920" xr:uid="{68D1A0B7-A90F-45C2-B3E0-4D52C85EB4AC}"/>
    <cellStyle name="Millares [0] 3 2 8 8" xfId="17464" xr:uid="{7547BD3D-A9BA-4109-AD90-957A177731F0}"/>
    <cellStyle name="Millares [0] 3 2 8 9" xfId="18282" xr:uid="{CC1E835A-22A6-4B9C-9872-093B3B0C234E}"/>
    <cellStyle name="Millares [0] 3 2 9" xfId="1926" xr:uid="{00000000-0005-0000-0000-000030010000}"/>
    <cellStyle name="Millares [0] 3 2 9 2" xfId="18371" xr:uid="{10AF4EEE-B086-4D72-B3FB-EA188B1C2314}"/>
    <cellStyle name="Millares [0] 3 3" xfId="187" xr:uid="{00000000-0005-0000-0000-000031010000}"/>
    <cellStyle name="Millares [0] 3 3 10" xfId="3875" xr:uid="{10B71D9E-0C7A-43EB-AC82-A39C2D35DEE7}"/>
    <cellStyle name="Millares [0] 3 3 10 2" xfId="12075" xr:uid="{B211CEA4-A76C-4D2A-9BB8-077ECA96D7B0}"/>
    <cellStyle name="Millares [0] 3 3 10 3" xfId="14916" xr:uid="{7346EC27-392B-40C3-9455-DCD11B62801B}"/>
    <cellStyle name="Millares [0] 3 3 10 4" xfId="44911" xr:uid="{52D1005A-7195-4CE8-AA51-BF91E61C9CF1}"/>
    <cellStyle name="Millares [0] 3 3 10 5" xfId="49732" xr:uid="{11DF5320-F560-48D5-A5A4-14AF6DCD63FC}"/>
    <cellStyle name="Millares [0] 3 3 11" xfId="9658" xr:uid="{9D0FACA8-40E2-47EF-89DD-4A5F7F9EEAE0}"/>
    <cellStyle name="Millares [0] 3 3 11 2" xfId="12498" xr:uid="{07D86D2C-3F8F-4792-8766-9C2C2201F20B}"/>
    <cellStyle name="Millares [0] 3 3 11 3" xfId="15339" xr:uid="{D53189BA-CFCC-4D78-BF10-6E2890286D58}"/>
    <cellStyle name="Millares [0] 3 3 11 4" xfId="50155" xr:uid="{1AC0D486-6C43-4679-8A88-BA8F7B95FFAB}"/>
    <cellStyle name="Millares [0] 3 3 12" xfId="9751" xr:uid="{343DD552-EBF4-4FAA-8BBF-2FC6678D2FD6}"/>
    <cellStyle name="Millares [0] 3 3 13" xfId="12591" xr:uid="{F77DD402-9F0A-4852-AFE6-4D28C87B0F67}"/>
    <cellStyle name="Millares [0] 3 3 14" xfId="15361" xr:uid="{67498554-858E-403F-8595-366337713436}"/>
    <cellStyle name="Millares [0] 3 3 15" xfId="15934" xr:uid="{50059D9D-0BE6-48F9-8653-5CC17DB5E699}"/>
    <cellStyle name="Millares [0] 3 3 16" xfId="16477" xr:uid="{4DE438C4-1D61-46E1-A86B-0FC37A888ECA}"/>
    <cellStyle name="Millares [0] 3 3 17" xfId="17021" xr:uid="{73D385DE-70AE-4E93-BCF4-F349775872F4}"/>
    <cellStyle name="Millares [0] 3 3 18" xfId="17503" xr:uid="{AAA4DE44-185A-4F3B-802E-9875B44B4D06}"/>
    <cellStyle name="Millares [0] 3 3 19" xfId="42082" xr:uid="{BE6CD9A3-3383-4D45-AAEF-D68AFAD92B4E}"/>
    <cellStyle name="Millares [0] 3 3 2" xfId="297" xr:uid="{00000000-0005-0000-0000-000032010000}"/>
    <cellStyle name="Millares [0] 3 3 2 10" xfId="15400" xr:uid="{C1172A63-C7DC-439F-9DDC-066191BE230B}"/>
    <cellStyle name="Millares [0] 3 3 2 11" xfId="16038" xr:uid="{4EAEBBFB-CEB0-4E44-B24C-17341D3DA8DA}"/>
    <cellStyle name="Millares [0] 3 3 2 12" xfId="16581" xr:uid="{9ADB6449-3258-4461-B1AD-4F12486EEDFD}"/>
    <cellStyle name="Millares [0] 3 3 2 13" xfId="17125" xr:uid="{723D80DE-F6D2-4BBD-B117-0DBA3B7E5CCD}"/>
    <cellStyle name="Millares [0] 3 3 2 14" xfId="17566" xr:uid="{5D330D49-B4B8-4A24-ABDD-36600BAC5E65}"/>
    <cellStyle name="Millares [0] 3 3 2 15" xfId="42083" xr:uid="{78F4C0CA-A43D-4545-A97F-B6E0C7A09842}"/>
    <cellStyle name="Millares [0] 3 3 2 16" xfId="42619" xr:uid="{C57EA1F2-F659-4137-B79B-4EA7FB1212F2}"/>
    <cellStyle name="Millares [0] 3 3 2 17" xfId="47512" xr:uid="{1E736BE9-615E-4AEB-B181-D944CC8914B3}"/>
    <cellStyle name="Millares [0] 3 3 2 18" xfId="50228" xr:uid="{3B20597A-603B-4E78-AE1A-5342A5129392}"/>
    <cellStyle name="Millares [0] 3 3 2 19" xfId="50302" xr:uid="{FEDF7197-7E83-4CE3-9194-922A24175EAB}"/>
    <cellStyle name="Millares [0] 3 3 2 2" xfId="524" xr:uid="{00000000-0005-0000-0000-000033010000}"/>
    <cellStyle name="Millares [0] 3 3 2 2 10" xfId="16250" xr:uid="{103EA38B-0565-4C45-AE87-CAEB7BEEBD6B}"/>
    <cellStyle name="Millares [0] 3 3 2 2 11" xfId="16793" xr:uid="{C96B4079-E274-4321-932F-C81E428EC0C3}"/>
    <cellStyle name="Millares [0] 3 3 2 2 12" xfId="17337" xr:uid="{68EAE69B-29E6-4BE6-A549-396FD32189B8}"/>
    <cellStyle name="Millares [0] 3 3 2 2 13" xfId="17628" xr:uid="{22561C00-DF21-4B82-9797-9B605F5DA548}"/>
    <cellStyle name="Millares [0] 3 3 2 2 14" xfId="42831" xr:uid="{55825F73-464F-4CE5-8A28-8E6854A3FD09}"/>
    <cellStyle name="Millares [0] 3 3 2 2 15" xfId="47724" xr:uid="{018BA8B0-AA59-4285-8CF8-F3195BEC7DA1}"/>
    <cellStyle name="Millares [0] 3 3 2 2 16" xfId="50374" xr:uid="{234AA4AF-DFBB-4F63-BF61-DDED854F3402}"/>
    <cellStyle name="Millares [0] 3 3 2 2 2" xfId="2340" xr:uid="{E4B31EAA-EC41-4841-A8D0-63BC78B8FC84}"/>
    <cellStyle name="Millares [0] 3 3 2 2 2 2" xfId="8544" xr:uid="{8C92C751-A5FB-4F3F-8AD2-9EE82D2FC713}"/>
    <cellStyle name="Millares [0] 3 3 2 2 2 2 2" xfId="12410" xr:uid="{5C0A3957-5850-45BA-B141-82164BF2F796}"/>
    <cellStyle name="Millares [0] 3 3 2 2 2 2 2 2" xfId="41987" xr:uid="{E1F97839-ABBC-441D-B64C-519BDE414BB4}"/>
    <cellStyle name="Millares [0] 3 3 2 2 2 2 2 3" xfId="22916" xr:uid="{00D7288E-4ABE-4D0C-B043-37A124104ECC}"/>
    <cellStyle name="Millares [0] 3 3 2 2 2 2 3" xfId="15251" xr:uid="{339DAC31-C86D-4427-B9C8-3663525B28A5}"/>
    <cellStyle name="Millares [0] 3 3 2 2 2 2 3 2" xfId="28777" xr:uid="{A3BC0E0B-E4C7-4D80-8C67-F59578D9F681}"/>
    <cellStyle name="Millares [0] 3 3 2 2 2 2 4" xfId="15699" xr:uid="{2FA8DAE8-D6DD-47FD-A3F3-B5C9A11189A4}"/>
    <cellStyle name="Millares [0] 3 3 2 2 2 2 4 2" xfId="34659" xr:uid="{4120C11B-8EE5-49EF-8F46-8DF37A6AE670}"/>
    <cellStyle name="Millares [0] 3 3 2 2 2 2 5" xfId="40523" xr:uid="{AD1B5F92-4258-4FC8-992C-34F2493192F1}"/>
    <cellStyle name="Millares [0] 3 3 2 2 2 2 6" xfId="18147" xr:uid="{AE6A4969-41A9-4248-BA77-4782C2855DA3}"/>
    <cellStyle name="Millares [0] 3 3 2 2 2 2 7" xfId="45771" xr:uid="{4279DC96-4117-479D-AC9C-7EA236B35659}"/>
    <cellStyle name="Millares [0] 3 3 2 2 2 2 8" xfId="50067" xr:uid="{529E7D8E-307B-4EBC-B047-CAA6234CA917}"/>
    <cellStyle name="Millares [0] 3 3 2 2 2 3" xfId="5676" xr:uid="{FA4261D2-D922-4E07-91F4-C315CB53DE67}"/>
    <cellStyle name="Millares [0] 3 3 2 2 2 3 2" xfId="12223" xr:uid="{363C3726-2D00-4DF5-BB47-6C731AA9CCF6}"/>
    <cellStyle name="Millares [0] 3 3 2 2 2 3 2 2" xfId="41800" xr:uid="{566AE9F2-2ABB-4DAE-8951-71F035613841}"/>
    <cellStyle name="Millares [0] 3 3 2 2 2 3 3" xfId="15064" xr:uid="{677B2A97-A083-44FD-B585-9788B570F608}"/>
    <cellStyle name="Millares [0] 3 3 2 2 2 3 4" xfId="20133" xr:uid="{596A36B7-6939-41C0-AF9A-618E6FCDC1E3}"/>
    <cellStyle name="Millares [0] 3 3 2 2 2 3 5" xfId="49880" xr:uid="{5BE3B557-CEB8-47DD-8446-B80744B5F53E}"/>
    <cellStyle name="Millares [0] 3 3 2 2 2 4" xfId="10611" xr:uid="{9AD5F165-53D1-4239-BF63-CFE832D633E8}"/>
    <cellStyle name="Millares [0] 3 3 2 2 2 4 2" xfId="25927" xr:uid="{5CD8C4C2-F874-4DEE-92BC-F7D7A950F8CC}"/>
    <cellStyle name="Millares [0] 3 3 2 2 2 5" xfId="13451" xr:uid="{8A4C915D-7465-4DEC-B406-07AC3EECA299}"/>
    <cellStyle name="Millares [0] 3 3 2 2 2 5 2" xfId="31802" xr:uid="{6B3F59F3-0481-4322-9B1C-43F20D8AC030}"/>
    <cellStyle name="Millares [0] 3 3 2 2 2 6" xfId="15511" xr:uid="{791BE8CE-B65D-4370-BCFB-95BD91C2465C}"/>
    <cellStyle name="Millares [0] 3 3 2 2 2 6 2" xfId="37669" xr:uid="{9D0D1989-9E6A-438F-B4C4-AFB604338C1D}"/>
    <cellStyle name="Millares [0] 3 3 2 2 2 7" xfId="17761" xr:uid="{CF4A5EFF-1895-4A30-901E-C959540FF062}"/>
    <cellStyle name="Millares [0] 3 3 2 2 2 8" xfId="43375" xr:uid="{132506A9-DB44-41F6-9498-00540165AF12}"/>
    <cellStyle name="Millares [0] 3 3 2 2 2 9" xfId="48268" xr:uid="{DC19F4D1-DDEE-42D7-9BC2-1419C8C1FC2C}"/>
    <cellStyle name="Millares [0] 3 3 2 2 3" xfId="2758" xr:uid="{11C792F5-3E4E-403E-9FB8-15C0FED262AD}"/>
    <cellStyle name="Millares [0] 3 3 2 2 3 2" xfId="7572" xr:uid="{2C7D49F9-80A4-49E0-9BEC-57105F273B08}"/>
    <cellStyle name="Millares [0] 3 3 2 2 3 2 2" xfId="12338" xr:uid="{5D4F8D50-958D-4053-BA9B-C76FE0911E66}"/>
    <cellStyle name="Millares [0] 3 3 2 2 3 2 2 2" xfId="41915" xr:uid="{6297FB4E-42AE-41BE-BB39-F169FCD895A0}"/>
    <cellStyle name="Millares [0] 3 3 2 2 3 2 3" xfId="15179" xr:uid="{9806EC1C-E1D7-4766-8C71-CE85D465D402}"/>
    <cellStyle name="Millares [0] 3 3 2 2 3 2 4" xfId="21966" xr:uid="{6B3284B9-2A29-4AA5-AA8D-58DDF19DF84D}"/>
    <cellStyle name="Millares [0] 3 3 2 2 3 2 5" xfId="46189" xr:uid="{37F9F84C-75E9-41A4-8A64-873D0BA0DA9B}"/>
    <cellStyle name="Millares [0] 3 3 2 2 3 2 6" xfId="49995" xr:uid="{05BBFCA9-BE41-4D8D-ADE8-362E8F784365}"/>
    <cellStyle name="Millares [0] 3 3 2 2 3 3" xfId="11029" xr:uid="{DD6D2BBD-9D0C-41E3-8C71-0D4D0CDB6EEC}"/>
    <cellStyle name="Millares [0] 3 3 2 2 3 3 2" xfId="27806" xr:uid="{F86C4FBE-312F-4D3D-AA5F-3E5F383368FC}"/>
    <cellStyle name="Millares [0] 3 3 2 2 3 4" xfId="13869" xr:uid="{6B6D6041-1CD4-4556-80C0-EEC8500E94D0}"/>
    <cellStyle name="Millares [0] 3 3 2 2 3 4 2" xfId="33688" xr:uid="{8110BB7F-2CB0-449C-8C6D-57A56FD60BF4}"/>
    <cellStyle name="Millares [0] 3 3 2 2 3 5" xfId="15626" xr:uid="{DF9F728C-DD6E-4DE5-A065-5674D78D868E}"/>
    <cellStyle name="Millares [0] 3 3 2 2 3 5 2" xfId="39552" xr:uid="{4FFD7378-60B3-4A1F-AB22-1A7167AB5035}"/>
    <cellStyle name="Millares [0] 3 3 2 2 3 6" xfId="18007" xr:uid="{F6CD688C-697D-4699-9739-FBA8BE0D8B41}"/>
    <cellStyle name="Millares [0] 3 3 2 2 3 7" xfId="43793" xr:uid="{1EA4ACDE-1F26-4348-BA0A-49C80839A0E5}"/>
    <cellStyle name="Millares [0] 3 3 2 2 3 8" xfId="48686" xr:uid="{D2C17193-A031-4965-B6E4-08CF69C4F87A}"/>
    <cellStyle name="Millares [0] 3 3 2 2 4" xfId="3302" xr:uid="{7396A24D-0DBD-48E6-BD8E-1187AC8A35D5}"/>
    <cellStyle name="Millares [0] 3 3 2 2 4 2" xfId="11573" xr:uid="{4B70B771-721E-4885-9DB5-4CCA7F08E5E5}"/>
    <cellStyle name="Millares [0] 3 3 2 2 4 2 2" xfId="41728" xr:uid="{571566D7-E207-472F-9D4A-6189E6C6B193}"/>
    <cellStyle name="Millares [0] 3 3 2 2 4 2 3" xfId="46733" xr:uid="{F4AF95CD-A01A-45FD-9059-EE3F7B8CDE46}"/>
    <cellStyle name="Millares [0] 3 3 2 2 4 3" xfId="14413" xr:uid="{A050FA37-866B-47D9-9FB1-B419A7448158}"/>
    <cellStyle name="Millares [0] 3 3 2 2 4 4" xfId="19198" xr:uid="{0C19B192-9795-4620-8104-7227008A617C}"/>
    <cellStyle name="Millares [0] 3 3 2 2 4 5" xfId="44337" xr:uid="{76FE881B-BAE0-4433-98D9-202449F07FE9}"/>
    <cellStyle name="Millares [0] 3 3 2 2 4 6" xfId="49230" xr:uid="{D8902D9F-900C-40E5-8FCE-41FFD93DFA55}"/>
    <cellStyle name="Millares [0] 3 3 2 2 5" xfId="3804" xr:uid="{6AD9228B-BAF1-4B88-B54C-7E76AEFFE9E8}"/>
    <cellStyle name="Millares [0] 3 3 2 2 5 2" xfId="12045" xr:uid="{95FD675A-591A-4A2D-B2B6-CF0CE1F18AC3}"/>
    <cellStyle name="Millares [0] 3 3 2 2 5 3" xfId="14885" xr:uid="{FD7D636F-6EC3-48F0-B85B-C1050C32CA63}"/>
    <cellStyle name="Millares [0] 3 3 2 2 5 4" xfId="24957" xr:uid="{FCE212CB-222E-432F-A547-391F2FFB0AE0}"/>
    <cellStyle name="Millares [0] 3 3 2 2 5 5" xfId="44809" xr:uid="{2B598151-C729-473E-BB25-08BD65BFEB62}"/>
    <cellStyle name="Millares [0] 3 3 2 2 5 6" xfId="49702" xr:uid="{0FAFD31B-DD33-458C-8D68-C221CF607AD2}"/>
    <cellStyle name="Millares [0] 3 3 2 2 6" xfId="4708" xr:uid="{FEDA12C6-A8CB-4B30-8EDA-1DD62E901C7D}"/>
    <cellStyle name="Millares [0] 3 3 2 2 6 2" xfId="12151" xr:uid="{7CB9F76C-B9F4-45D8-A3B2-21DAA3561B94}"/>
    <cellStyle name="Millares [0] 3 3 2 2 6 3" xfId="14992" xr:uid="{CD7C5A15-DE34-4EC5-8214-955B165F0434}"/>
    <cellStyle name="Millares [0] 3 3 2 2 6 4" xfId="30831" xr:uid="{7260D07E-14C0-4DFC-B7AE-86D3D4445A88}"/>
    <cellStyle name="Millares [0] 3 3 2 2 6 5" xfId="45227" xr:uid="{1A88ED7B-D125-430C-A70E-210E2F841770}"/>
    <cellStyle name="Millares [0] 3 3 2 2 6 6" xfId="49808" xr:uid="{FBC56427-C4AA-471B-BE76-A5C5F3D0B48A}"/>
    <cellStyle name="Millares [0] 3 3 2 2 7" xfId="10067" xr:uid="{1AF65630-AC06-4E61-BAFA-0E648FFD32A2}"/>
    <cellStyle name="Millares [0] 3 3 2 2 7 2" xfId="36712" xr:uid="{BC32BBBA-9180-4D66-AA94-5F0A21CD090A}"/>
    <cellStyle name="Millares [0] 3 3 2 2 8" xfId="12907" xr:uid="{471FC7E4-F85D-4D1C-A046-519F1B787542}"/>
    <cellStyle name="Millares [0] 3 3 2 2 9" xfId="15438" xr:uid="{3C7360D9-F29B-49F5-892F-892087685E1A}"/>
    <cellStyle name="Millares [0] 3 3 2 3" xfId="2128" xr:uid="{398CDA04-DEE3-450F-A297-2AC598A42B67}"/>
    <cellStyle name="Millares [0] 3 3 2 3 2" xfId="8059" xr:uid="{2D6ED79E-6DDF-43A5-AA0E-951C75FF88F0}"/>
    <cellStyle name="Millares [0] 3 3 2 3 2 2" xfId="12374" xr:uid="{618C11D1-9246-48A5-B77D-95D9C1B24720}"/>
    <cellStyle name="Millares [0] 3 3 2 3 2 2 2" xfId="41951" xr:uid="{9B27A961-3131-4C47-BD87-B640B3903FF3}"/>
    <cellStyle name="Millares [0] 3 3 2 3 2 2 3" xfId="22437" xr:uid="{3785C763-9588-430A-B40C-B09A27827605}"/>
    <cellStyle name="Millares [0] 3 3 2 3 2 3" xfId="15215" xr:uid="{E8090E49-0AEE-41B6-8AE6-533026E99A10}"/>
    <cellStyle name="Millares [0] 3 3 2 3 2 3 2" xfId="28292" xr:uid="{E5C1A292-230D-4848-8D9B-BAFE79489FF4}"/>
    <cellStyle name="Millares [0] 3 3 2 3 2 4" xfId="15662" xr:uid="{73BA6146-E9BE-402E-AE6A-98B32B170474}"/>
    <cellStyle name="Millares [0] 3 3 2 3 2 4 2" xfId="34174" xr:uid="{9B576FB4-D8C9-4A3A-8061-4967AB1C577E}"/>
    <cellStyle name="Millares [0] 3 3 2 3 2 5" xfId="40038" xr:uid="{7FB5D6D7-8670-4FF7-B436-C71C3C9BF1E7}"/>
    <cellStyle name="Millares [0] 3 3 2 3 2 6" xfId="18077" xr:uid="{C3635254-0227-41E7-B10F-6D2F75986810}"/>
    <cellStyle name="Millares [0] 3 3 2 3 2 7" xfId="45559" xr:uid="{D914B3E0-3A0E-4B95-AE7C-7F524829CA0A}"/>
    <cellStyle name="Millares [0] 3 3 2 3 2 8" xfId="50031" xr:uid="{98847B88-68A0-4E6A-A0CD-B540C06B9463}"/>
    <cellStyle name="Millares [0] 3 3 2 3 3" xfId="5192" xr:uid="{0045DCE3-D51D-4416-96DD-C7D31916A11A}"/>
    <cellStyle name="Millares [0] 3 3 2 3 3 2" xfId="12187" xr:uid="{46E35B53-018E-4022-B30D-3823E5BB5B99}"/>
    <cellStyle name="Millares [0] 3 3 2 3 3 2 2" xfId="41764" xr:uid="{E4A98BEA-5505-4129-B613-A9B9CE08B6AA}"/>
    <cellStyle name="Millares [0] 3 3 2 3 3 3" xfId="15028" xr:uid="{C1D07F54-9183-486B-B4FF-BA490B7E621F}"/>
    <cellStyle name="Millares [0] 3 3 2 3 3 4" xfId="19663" xr:uid="{316FF7FE-1CBB-4C78-894A-69DDE276FF5D}"/>
    <cellStyle name="Millares [0] 3 3 2 3 3 5" xfId="49844" xr:uid="{E8EFC303-4A92-4A31-8E23-057D7E0C89CD}"/>
    <cellStyle name="Millares [0] 3 3 2 3 4" xfId="10399" xr:uid="{002F6DDD-85C0-4B73-A9C2-8C220A239F01}"/>
    <cellStyle name="Millares [0] 3 3 2 3 4 2" xfId="25443" xr:uid="{F372470A-A215-4EFB-9FC4-94FCF91646EE}"/>
    <cellStyle name="Millares [0] 3 3 2 3 5" xfId="13239" xr:uid="{A5B6327A-A138-407A-AF2B-C9D0646A59DB}"/>
    <cellStyle name="Millares [0] 3 3 2 3 5 2" xfId="31317" xr:uid="{76DBAB39-426B-425B-AD30-AF655BD11F0A}"/>
    <cellStyle name="Millares [0] 3 3 2 3 6" xfId="15474" xr:uid="{AF30F606-9DF4-4A8E-9C31-C355800601AD}"/>
    <cellStyle name="Millares [0] 3 3 2 3 6 2" xfId="37190" xr:uid="{23291BC0-9E18-484B-BE5C-F0A3B0B65695}"/>
    <cellStyle name="Millares [0] 3 3 2 3 7" xfId="17694" xr:uid="{9FB33B05-8368-4DB8-B78D-B721747711D1}"/>
    <cellStyle name="Millares [0] 3 3 2 3 8" xfId="43163" xr:uid="{4F3CA6F3-E021-453D-A5EC-CFB8E4133622}"/>
    <cellStyle name="Millares [0] 3 3 2 3 9" xfId="48056" xr:uid="{C4AB3E53-3F9E-4407-949D-6CA6AFBB6881}"/>
    <cellStyle name="Millares [0] 3 3 2 4" xfId="2546" xr:uid="{C51B1EE5-E8DE-468A-8CDA-98D0F154CF5A}"/>
    <cellStyle name="Millares [0] 3 3 2 4 2" xfId="7087" xr:uid="{D801DB84-C623-46F5-96E7-ED4BB2351DA4}"/>
    <cellStyle name="Millares [0] 3 3 2 4 2 2" xfId="12302" xr:uid="{863ADCF4-C5F1-43A7-A65A-EC23BD51C1DE}"/>
    <cellStyle name="Millares [0] 3 3 2 4 2 2 2" xfId="41879" xr:uid="{76994ED0-9D6B-4615-948E-307ABB2E3B69}"/>
    <cellStyle name="Millares [0] 3 3 2 4 2 3" xfId="15143" xr:uid="{E6C3D8E9-84C7-41CF-9ACB-D018B2447ACE}"/>
    <cellStyle name="Millares [0] 3 3 2 4 2 4" xfId="21499" xr:uid="{A9A813B3-0385-4EA8-89A6-FFA7B3EA4798}"/>
    <cellStyle name="Millares [0] 3 3 2 4 2 5" xfId="45977" xr:uid="{35734603-1338-4DCA-8508-B96D57B13700}"/>
    <cellStyle name="Millares [0] 3 3 2 4 2 6" xfId="49959" xr:uid="{84C7B51C-62D9-4712-98AA-4BD6511CDAE5}"/>
    <cellStyle name="Millares [0] 3 3 2 4 3" xfId="10817" xr:uid="{EB5785BA-99F1-4B9C-A203-F810AB298EBB}"/>
    <cellStyle name="Millares [0] 3 3 2 4 3 2" xfId="27322" xr:uid="{ED0C6626-3B8D-4214-9767-721284FD9CEF}"/>
    <cellStyle name="Millares [0] 3 3 2 4 4" xfId="13657" xr:uid="{8A277875-15AB-4E1D-A412-02C682612D1F}"/>
    <cellStyle name="Millares [0] 3 3 2 4 4 2" xfId="33203" xr:uid="{364F07D6-773D-462A-A2C9-677EC8AFAEAD}"/>
    <cellStyle name="Millares [0] 3 3 2 4 5" xfId="15590" xr:uid="{4422F030-B8B2-4B07-908C-9579EA69AA74}"/>
    <cellStyle name="Millares [0] 3 3 2 4 5 2" xfId="39067" xr:uid="{995B275F-AEEF-4EDB-9875-23916D62E675}"/>
    <cellStyle name="Millares [0] 3 3 2 4 6" xfId="17940" xr:uid="{612B67C8-3D4D-44F8-874E-BC0DAC1F4CE6}"/>
    <cellStyle name="Millares [0] 3 3 2 4 7" xfId="43581" xr:uid="{31A393F3-EDA5-4AE2-8C72-C10BCA7B27B0}"/>
    <cellStyle name="Millares [0] 3 3 2 4 8" xfId="48474" xr:uid="{C7A8B0C6-579D-45C9-A203-244A2FAC9A4C}"/>
    <cellStyle name="Millares [0] 3 3 2 5" xfId="3090" xr:uid="{A92F47B6-2B09-4419-BF2F-7F73081E0CE4}"/>
    <cellStyle name="Millares [0] 3 3 2 5 2" xfId="11361" xr:uid="{9D3C2CA3-FA15-426E-ABF0-FFDF654D42C7}"/>
    <cellStyle name="Millares [0] 3 3 2 5 2 2" xfId="41691" xr:uid="{660C343C-EACF-44E5-ABB1-A8A377032280}"/>
    <cellStyle name="Millares [0] 3 3 2 5 2 3" xfId="46521" xr:uid="{209B9D12-0209-4018-92AC-E69B5CACE6A6}"/>
    <cellStyle name="Millares [0] 3 3 2 5 3" xfId="14201" xr:uid="{EEE86CCD-FF86-4D67-9EAA-B277CAA28EB7}"/>
    <cellStyle name="Millares [0] 3 3 2 5 4" xfId="18755" xr:uid="{178A82EE-1F23-4145-9E23-E4DA90A70B8D}"/>
    <cellStyle name="Millares [0] 3 3 2 5 5" xfId="44125" xr:uid="{D543B6B1-7FF3-49C4-9AA6-555C60678704}"/>
    <cellStyle name="Millares [0] 3 3 2 5 6" xfId="49018" xr:uid="{099ECDC9-85A5-4653-B74A-DDB8977C4159}"/>
    <cellStyle name="Millares [0] 3 3 2 6" xfId="3592" xr:uid="{6833B103-E671-4447-B36A-71B984A08E0E}"/>
    <cellStyle name="Millares [0] 3 3 2 6 2" xfId="11833" xr:uid="{6C122A7B-EC9C-4D2C-AC86-E2ED54773E00}"/>
    <cellStyle name="Millares [0] 3 3 2 6 3" xfId="14673" xr:uid="{680964EC-EB5B-404E-9639-265F4F48BCCA}"/>
    <cellStyle name="Millares [0] 3 3 2 6 4" xfId="24472" xr:uid="{EADADABF-79B7-4EAB-A554-98BFE6D7DD91}"/>
    <cellStyle name="Millares [0] 3 3 2 6 5" xfId="44597" xr:uid="{B4E04306-ED81-43DF-A0B2-B905FFF0AE83}"/>
    <cellStyle name="Millares [0] 3 3 2 6 6" xfId="49490" xr:uid="{1AC96F45-3DF4-41AA-B55D-771C6DB56D12}"/>
    <cellStyle name="Millares [0] 3 3 2 7" xfId="4229" xr:uid="{13AC7F5A-B465-488A-9158-6602DF4AC2FE}"/>
    <cellStyle name="Millares [0] 3 3 2 7 2" xfId="12114" xr:uid="{3FCA09A2-96AC-4D14-AC6B-8FFAF6B4A6B1}"/>
    <cellStyle name="Millares [0] 3 3 2 7 3" xfId="14955" xr:uid="{633796EF-B409-431F-8BBB-1976E2CEA039}"/>
    <cellStyle name="Millares [0] 3 3 2 7 4" xfId="30350" xr:uid="{477B21EE-1766-43B8-A3FF-733898D34799}"/>
    <cellStyle name="Millares [0] 3 3 2 7 5" xfId="45015" xr:uid="{71CE54A6-217A-49B5-B16E-94ACD30C1194}"/>
    <cellStyle name="Millares [0] 3 3 2 7 6" xfId="49771" xr:uid="{94729606-621A-4509-BE10-0230030B8742}"/>
    <cellStyle name="Millares [0] 3 3 2 8" xfId="9855" xr:uid="{2D1CB87B-04FE-4E5C-A641-54C0E4C82A86}"/>
    <cellStyle name="Millares [0] 3 3 2 8 2" xfId="36231" xr:uid="{79A6712F-C10B-4258-BDAE-0E513B25E159}"/>
    <cellStyle name="Millares [0] 3 3 2 9" xfId="12695" xr:uid="{92B72B17-5577-4369-ACFE-1A42ED02F65B}"/>
    <cellStyle name="Millares [0] 3 3 20" xfId="42515" xr:uid="{5B016DFE-CEFA-4079-B1AE-3A49781C8F4A}"/>
    <cellStyle name="Millares [0] 3 3 21" xfId="47408" xr:uid="{82C25A2F-4309-464A-9431-EC6C58C68755}"/>
    <cellStyle name="Millares [0] 3 3 22" xfId="50190" xr:uid="{636573EC-BB5F-4292-89E9-7271AF388736}"/>
    <cellStyle name="Millares [0] 3 3 23" xfId="50264" xr:uid="{8F01EE16-B5B6-4990-8BF0-B0691829D6A2}"/>
    <cellStyle name="Millares [0] 3 3 3" xfId="423" xr:uid="{00000000-0005-0000-0000-000034010000}"/>
    <cellStyle name="Millares [0] 3 3 3 10" xfId="16150" xr:uid="{BEA9F7BB-4B93-4885-944F-4F48E70D45EE}"/>
    <cellStyle name="Millares [0] 3 3 3 11" xfId="16693" xr:uid="{F9EC18D7-4BDB-43A5-8574-7CEB880EAD06}"/>
    <cellStyle name="Millares [0] 3 3 3 12" xfId="17237" xr:uid="{55217868-0649-48CD-B80A-38696521BE6C}"/>
    <cellStyle name="Millares [0] 3 3 3 13" xfId="17834" xr:uid="{DA1D55EB-EB7D-442F-8024-15A1C8DBA9C6}"/>
    <cellStyle name="Millares [0] 3 3 3 14" xfId="42731" xr:uid="{BD2D09ED-57A3-4C01-82CA-400996581CB9}"/>
    <cellStyle name="Millares [0] 3 3 3 15" xfId="47624" xr:uid="{F93E7CDD-A9AD-4BB0-B01D-9FBA817A6A6A}"/>
    <cellStyle name="Millares [0] 3 3 3 16" xfId="50336" xr:uid="{1082D9BA-D017-43E2-9052-20E207594BC4}"/>
    <cellStyle name="Millares [0] 3 3 3 2" xfId="2240" xr:uid="{5C2C962F-46EE-4456-A714-3EC34CA39C91}"/>
    <cellStyle name="Millares [0] 3 3 3 2 2" xfId="9185" xr:uid="{F4016AC7-1C57-448E-A772-D8003EC47B04}"/>
    <cellStyle name="Millares [0] 3 3 3 2 2 2" xfId="12440" xr:uid="{C52EE355-924B-4CE8-A380-E4296EDD5E76}"/>
    <cellStyle name="Millares [0] 3 3 3 2 2 2 2" xfId="42017" xr:uid="{7DA7C104-C7CB-48B2-82C9-408DCA612773}"/>
    <cellStyle name="Millares [0] 3 3 3 2 2 3" xfId="15281" xr:uid="{316B4674-E0DB-4F4A-9230-733CC7B04CF4}"/>
    <cellStyle name="Millares [0] 3 3 3 2 2 4" xfId="23549" xr:uid="{393DD516-BB6E-4DEA-8378-6B92ACA89623}"/>
    <cellStyle name="Millares [0] 3 3 3 2 2 5" xfId="45671" xr:uid="{9D200CCC-A734-4157-8375-B1F8209BBCE7}"/>
    <cellStyle name="Millares [0] 3 3 3 2 2 6" xfId="50097" xr:uid="{EB9C9A9C-226D-42DA-975D-6E1A7CD96170}"/>
    <cellStyle name="Millares [0] 3 3 3 2 3" xfId="10511" xr:uid="{D67750A3-DCDE-4352-85B7-43FB20A6C78B}"/>
    <cellStyle name="Millares [0] 3 3 3 2 3 2" xfId="29416" xr:uid="{1D5B4E01-48FF-412C-9740-FA3B604D6BCD}"/>
    <cellStyle name="Millares [0] 3 3 3 2 4" xfId="13351" xr:uid="{43A78274-D770-4D94-9F56-EFCEF5EE4F17}"/>
    <cellStyle name="Millares [0] 3 3 3 2 4 2" xfId="35298" xr:uid="{9D2ABC8C-4DD9-4070-B44A-1301A57E2476}"/>
    <cellStyle name="Millares [0] 3 3 3 2 5" xfId="15730" xr:uid="{75CD3434-226B-4789-AC74-4B59059F9974}"/>
    <cellStyle name="Millares [0] 3 3 3 2 5 2" xfId="41157" xr:uid="{BACBA4DD-BED5-4667-9AFB-C5AD80A4468A}"/>
    <cellStyle name="Millares [0] 3 3 3 2 6" xfId="18214" xr:uid="{A5169361-D807-498E-B8BB-F05AC0856F3D}"/>
    <cellStyle name="Millares [0] 3 3 3 2 7" xfId="43275" xr:uid="{72E06850-221B-40EA-B22F-91C2D1DBF56E}"/>
    <cellStyle name="Millares [0] 3 3 3 2 8" xfId="48168" xr:uid="{3AB5303C-74F5-47EE-BFAF-A113C3CF9274}"/>
    <cellStyle name="Millares [0] 3 3 3 3" xfId="2658" xr:uid="{94716EA7-1C17-44BE-BDDA-DDC09B1782DC}"/>
    <cellStyle name="Millares [0] 3 3 3 3 2" xfId="10929" xr:uid="{766FCEB6-3B1C-424A-8688-DFFAF795863A}"/>
    <cellStyle name="Millares [0] 3 3 3 3 2 2" xfId="41834" xr:uid="{522554AA-C3A1-4489-AC58-62C2F9FEBFCC}"/>
    <cellStyle name="Millares [0] 3 3 3 3 2 3" xfId="46089" xr:uid="{6D15F976-01AE-4D2C-AA58-615EE3464AF3}"/>
    <cellStyle name="Millares [0] 3 3 3 3 3" xfId="13769" xr:uid="{7BE6DABC-2F4F-4407-A5AB-9AF685112F05}"/>
    <cellStyle name="Millares [0] 3 3 3 3 4" xfId="20761" xr:uid="{56DFEC09-47CF-4BF9-BA90-25BBCF63DA8D}"/>
    <cellStyle name="Millares [0] 3 3 3 3 5" xfId="43693" xr:uid="{45B35BBF-E4F2-4209-8D06-000066C7D338}"/>
    <cellStyle name="Millares [0] 3 3 3 3 6" xfId="48586" xr:uid="{A6510D8A-2AF2-47D7-8FB8-44D6FA68DF14}"/>
    <cellStyle name="Millares [0] 3 3 3 4" xfId="3202" xr:uid="{7A54F277-E32A-447E-B87D-7E0EFCB2EBE3}"/>
    <cellStyle name="Millares [0] 3 3 3 4 2" xfId="11473" xr:uid="{7B2C4E26-DD40-460D-9E7B-49C03B2A2B08}"/>
    <cellStyle name="Millares [0] 3 3 3 4 2 2" xfId="46633" xr:uid="{095C8EB6-5D6B-4480-A888-1184C5235FFA}"/>
    <cellStyle name="Millares [0] 3 3 3 4 3" xfId="14313" xr:uid="{9C029B6D-79D3-4306-8B83-135279048F33}"/>
    <cellStyle name="Millares [0] 3 3 3 4 4" xfId="26570" xr:uid="{B0684657-30CD-4D15-8F92-1CE9B7C5AE33}"/>
    <cellStyle name="Millares [0] 3 3 3 4 5" xfId="44237" xr:uid="{E05DD1BA-FF9F-4E65-BF42-6D9BDC440642}"/>
    <cellStyle name="Millares [0] 3 3 3 4 6" xfId="49130" xr:uid="{3FFD8F52-FF77-4FFE-8F4B-D1DB5CD13FDB}"/>
    <cellStyle name="Millares [0] 3 3 3 5" xfId="3704" xr:uid="{5770787C-4FF2-4FF7-9B09-0EBFEA4CE60B}"/>
    <cellStyle name="Millares [0] 3 3 3 5 2" xfId="11945" xr:uid="{3B0EE1BC-9C24-4CC8-9262-2C65A7313546}"/>
    <cellStyle name="Millares [0] 3 3 3 5 3" xfId="14785" xr:uid="{6A36CF5D-67C7-4AE9-9AE4-6D8AC75D3CED}"/>
    <cellStyle name="Millares [0] 3 3 3 5 4" xfId="32445" xr:uid="{377CDCCA-BBD1-4C2B-A531-DA9B01883F10}"/>
    <cellStyle name="Millares [0] 3 3 3 5 5" xfId="44709" xr:uid="{9A18FFAD-C9FA-4AB3-A781-6FAF4B7243CD}"/>
    <cellStyle name="Millares [0] 3 3 3 5 6" xfId="49602" xr:uid="{206838BA-3D61-45F9-86BB-8275F6B4C6BF}"/>
    <cellStyle name="Millares [0] 3 3 3 6" xfId="6320" xr:uid="{9BF247BC-7C4F-414D-9BFA-A5888581195A}"/>
    <cellStyle name="Millares [0] 3 3 3 6 2" xfId="12257" xr:uid="{A6138537-B718-4E49-B641-3A88E15C7561}"/>
    <cellStyle name="Millares [0] 3 3 3 6 3" xfId="15098" xr:uid="{4C474038-2A9E-4D0E-9B0F-151A702B6DD8}"/>
    <cellStyle name="Millares [0] 3 3 3 6 4" xfId="38310" xr:uid="{85F73593-43A8-4BCC-A7BB-247B8473E327}"/>
    <cellStyle name="Millares [0] 3 3 3 6 5" xfId="45127" xr:uid="{2D807A0F-08C9-42CA-B5F8-654305CA3550}"/>
    <cellStyle name="Millares [0] 3 3 3 6 6" xfId="49914" xr:uid="{9241A109-DC11-4D83-97AA-DF1F4EDC0F58}"/>
    <cellStyle name="Millares [0] 3 3 3 7" xfId="9967" xr:uid="{02151C98-89B3-4DE1-85FD-ED3E5C0EA316}"/>
    <cellStyle name="Millares [0] 3 3 3 8" xfId="12807" xr:uid="{37A6CE3B-6940-4BD6-83CE-F55A80DD2BF7}"/>
    <cellStyle name="Millares [0] 3 3 3 9" xfId="15545" xr:uid="{C735C5E5-6C02-4493-9534-9639C68989BF}"/>
    <cellStyle name="Millares [0] 3 3 4" xfId="626" xr:uid="{00000000-0005-0000-0000-000035010000}"/>
    <cellStyle name="Millares [0] 3 3 4 10" xfId="42933" xr:uid="{9873F06A-B331-4B86-9CA1-393B67BA6385}"/>
    <cellStyle name="Millares [0] 3 3 4 11" xfId="47826" xr:uid="{8E8ACC8D-0E92-466C-9EEB-CC2E18C3E430}"/>
    <cellStyle name="Millares [0] 3 3 4 2" xfId="2860" xr:uid="{154EFA0C-07A6-4CC2-874E-94E7AE3DC04E}"/>
    <cellStyle name="Millares [0] 3 3 4 2 2" xfId="11131" xr:uid="{6C9E6C3F-B298-4355-AC7A-304CF1A867B0}"/>
    <cellStyle name="Millares [0] 3 3 4 2 2 2" xfId="46291" xr:uid="{963F6340-F059-4D2B-B50D-E204BBA701D2}"/>
    <cellStyle name="Millares [0] 3 3 4 2 3" xfId="13971" xr:uid="{D31E3806-BA21-40D2-BB04-F6A7E56FE875}"/>
    <cellStyle name="Millares [0] 3 3 4 2 4" xfId="41652" xr:uid="{16D79B79-04CF-47A3-BF15-9E0839F0C224}"/>
    <cellStyle name="Millares [0] 3 3 4 2 5" xfId="43895" xr:uid="{775A2F0E-6054-4F05-A91F-551FEDB4D8D9}"/>
    <cellStyle name="Millares [0] 3 3 4 2 6" xfId="48788" xr:uid="{69165F08-6DE0-4414-AE3E-91D73670CD31}"/>
    <cellStyle name="Millares [0] 3 3 4 3" xfId="10169" xr:uid="{168EF5C7-91D1-4CBC-A304-459C1C9369E5}"/>
    <cellStyle name="Millares [0] 3 3 4 3 2" xfId="45329" xr:uid="{94006B93-B87E-455D-BAF4-C44DE75E28EF}"/>
    <cellStyle name="Millares [0] 3 3 4 4" xfId="13009" xr:uid="{3B14B347-AACF-4749-8B3F-8A8AFFEB58BF}"/>
    <cellStyle name="Millares [0] 3 3 4 5" xfId="15839" xr:uid="{B775AAE4-EF73-472F-A8CE-A55407C1957D}"/>
    <cellStyle name="Millares [0] 3 3 4 6" xfId="16352" xr:uid="{D0903A7C-422D-4E28-BD3C-9BE9F2F75B3F}"/>
    <cellStyle name="Millares [0] 3 3 4 7" xfId="16895" xr:uid="{5D0BC5C9-44D6-4318-B90C-451BA6FFAE27}"/>
    <cellStyle name="Millares [0] 3 3 4 8" xfId="17439" xr:uid="{4072EC1F-FC7A-426A-A841-FB083F29265C}"/>
    <cellStyle name="Millares [0] 3 3 4 9" xfId="18283" xr:uid="{17B0F09C-FB44-4577-B71A-C8ABC4166A80}"/>
    <cellStyle name="Millares [0] 3 3 5" xfId="2024" xr:uid="{B8D0BAFE-36C2-4ADF-BDF7-33DFBF2F68B0}"/>
    <cellStyle name="Millares [0] 3 3 5 2" xfId="10295" xr:uid="{1B57391F-11A9-4D01-B68C-AEA7FED956F9}"/>
    <cellStyle name="Millares [0] 3 3 5 2 2" xfId="45455" xr:uid="{5639BF18-B0B5-4888-8CEA-AF0CE4F93BEE}"/>
    <cellStyle name="Millares [0] 3 3 5 3" xfId="13135" xr:uid="{5AA25E0A-479A-4D6D-B47D-33ADB6F8AE38}"/>
    <cellStyle name="Millares [0] 3 3 5 4" xfId="18397" xr:uid="{93347E53-79A2-48F4-8682-95585606EEB4}"/>
    <cellStyle name="Millares [0] 3 3 5 5" xfId="43059" xr:uid="{8F361820-B2C1-460A-A067-51AE98545728}"/>
    <cellStyle name="Millares [0] 3 3 5 6" xfId="47952" xr:uid="{F5F6E36A-5D8D-45FC-8548-F968C3B9C016}"/>
    <cellStyle name="Millares [0] 3 3 6" xfId="2442" xr:uid="{CAB5A0A7-26DF-4106-ADB8-A8222A7B3D43}"/>
    <cellStyle name="Millares [0] 3 3 6 2" xfId="10713" xr:uid="{71E21880-A5C1-479A-892F-A34CB0D63533}"/>
    <cellStyle name="Millares [0] 3 3 6 2 2" xfId="45873" xr:uid="{0E873D2A-0BA7-40E7-BBC2-A276567D512D}"/>
    <cellStyle name="Millares [0] 3 3 6 3" xfId="13553" xr:uid="{B86D6C8C-21A2-4A20-A4E3-CF2C94998338}"/>
    <cellStyle name="Millares [0] 3 3 6 4" xfId="24106" xr:uid="{D2848B99-A337-4298-8AD1-207C4C47F22A}"/>
    <cellStyle name="Millares [0] 3 3 6 5" xfId="43477" xr:uid="{64B1CA77-29ED-4E5F-AA0D-43CA5F3C9A81}"/>
    <cellStyle name="Millares [0] 3 3 6 6" xfId="48370" xr:uid="{6CEFCE66-D495-4BA1-9B3E-1193E11487EC}"/>
    <cellStyle name="Millares [0] 3 3 7" xfId="2986" xr:uid="{85DD1129-EE96-41E0-9AEF-B5A92E5F56CA}"/>
    <cellStyle name="Millares [0] 3 3 7 2" xfId="11257" xr:uid="{9511986B-5DC8-437A-9F69-CC6DF022BAAE}"/>
    <cellStyle name="Millares [0] 3 3 7 2 2" xfId="46417" xr:uid="{0EED8DBC-23F7-4C15-90A0-B96F10A8D1F6}"/>
    <cellStyle name="Millares [0] 3 3 7 3" xfId="14097" xr:uid="{2A57BBD3-E0DA-443D-9C9E-0544AD0FE85F}"/>
    <cellStyle name="Millares [0] 3 3 7 4" xfId="29984" xr:uid="{29245186-E733-40AE-859C-7BB742E80E91}"/>
    <cellStyle name="Millares [0] 3 3 7 5" xfId="44021" xr:uid="{FDBDD67E-2624-4FC2-8867-8CA313E62E58}"/>
    <cellStyle name="Millares [0] 3 3 7 6" xfId="48914" xr:uid="{BAA3F83E-DA8E-4B57-9D5A-51E56BB1A0CA}"/>
    <cellStyle name="Millares [0] 3 3 8" xfId="3374" xr:uid="{F389C435-30F5-4637-867E-6AE736679872}"/>
    <cellStyle name="Millares [0] 3 3 8 2" xfId="11622" xr:uid="{20EC1FEC-B9E5-4938-900A-ECF7877AEEF2}"/>
    <cellStyle name="Millares [0] 3 3 8 2 2" xfId="46782" xr:uid="{FC67595E-3D8E-4B8B-9918-BDD4C6DB338F}"/>
    <cellStyle name="Millares [0] 3 3 8 3" xfId="14462" xr:uid="{BAB81994-D15A-4D90-890C-CD240E72CDDE}"/>
    <cellStyle name="Millares [0] 3 3 8 4" xfId="35865" xr:uid="{55C2C4B0-4ABF-4144-8B06-2EF20015D3A8}"/>
    <cellStyle name="Millares [0] 3 3 8 5" xfId="44386" xr:uid="{C1403594-11E2-45E3-8D54-8B686B8D4D75}"/>
    <cellStyle name="Millares [0] 3 3 8 6" xfId="49279" xr:uid="{266E1960-5114-4D6A-9C76-80C76E52A52E}"/>
    <cellStyle name="Millares [0] 3 3 9" xfId="3488" xr:uid="{CDDEECC7-0266-46A1-9516-9B57D11E1F05}"/>
    <cellStyle name="Millares [0] 3 3 9 2" xfId="11729" xr:uid="{8426AC2E-44B0-421A-A9E3-DB3823B7FBFA}"/>
    <cellStyle name="Millares [0] 3 3 9 3" xfId="14569" xr:uid="{D1EA26EB-CDF7-43C8-857C-49B9A74F2A51}"/>
    <cellStyle name="Millares [0] 3 3 9 4" xfId="44493" xr:uid="{DBD6E53C-5250-47CC-B871-AD0FE81F82EF}"/>
    <cellStyle name="Millares [0] 3 3 9 5" xfId="49386" xr:uid="{4D966060-798D-4323-9E65-224AB5A99D22}"/>
    <cellStyle name="Millares [0] 3 4" xfId="171" xr:uid="{00000000-0005-0000-0000-000036010000}"/>
    <cellStyle name="Millares [0] 3 4 10" xfId="9738" xr:uid="{69E09695-F130-4056-9057-9475B4B89938}"/>
    <cellStyle name="Millares [0] 3 4 11" xfId="12578" xr:uid="{C658CCB9-8894-4A31-BE47-888727BCEB0F}"/>
    <cellStyle name="Millares [0] 3 4 12" xfId="15367" xr:uid="{CF84EAB6-CF09-4803-B0EC-5867A51C1165}"/>
    <cellStyle name="Millares [0] 3 4 13" xfId="15921" xr:uid="{57973EF9-F3A7-498B-B81C-97D6A893DF33}"/>
    <cellStyle name="Millares [0] 3 4 14" xfId="16464" xr:uid="{5E4243D9-A392-4AFD-8AC2-DEACEB904F97}"/>
    <cellStyle name="Millares [0] 3 4 15" xfId="17008" xr:uid="{2789465F-1C94-4186-8B21-A9DAFF8C625D}"/>
    <cellStyle name="Millares [0] 3 4 16" xfId="17510" xr:uid="{9D5224A7-BCC0-40D3-8554-38D960A1FC46}"/>
    <cellStyle name="Millares [0] 3 4 17" xfId="18074" xr:uid="{D91252CC-0337-45CB-882E-364D9092B706}"/>
    <cellStyle name="Millares [0] 3 4 18" xfId="42502" xr:uid="{6877224E-3B43-4109-9BB4-672501013D24}"/>
    <cellStyle name="Millares [0] 3 4 19" xfId="46845" xr:uid="{6F11B18F-51FF-419D-845B-84090CE4C648}"/>
    <cellStyle name="Millares [0] 3 4 2" xfId="284" xr:uid="{00000000-0005-0000-0000-000037010000}"/>
    <cellStyle name="Millares [0] 3 4 2 10" xfId="16568" xr:uid="{6695BBAF-D472-4E3D-8664-B9A2E859DBAD}"/>
    <cellStyle name="Millares [0] 3 4 2 11" xfId="17112" xr:uid="{BD27B73E-64FC-42B1-A3BD-1E40E5E22362}"/>
    <cellStyle name="Millares [0] 3 4 2 12" xfId="18426" xr:uid="{563BD73C-0421-401E-8970-D7C895047ADE}"/>
    <cellStyle name="Millares [0] 3 4 2 13" xfId="18167" xr:uid="{28327704-F5DF-4B33-AE76-E24FE9E26465}"/>
    <cellStyle name="Millares [0] 3 4 2 14" xfId="42606" xr:uid="{EE83AC57-EB1D-46F7-8AC8-0C8DD2330EF9}"/>
    <cellStyle name="Millares [0] 3 4 2 15" xfId="47499" xr:uid="{9A2EF1EC-CE55-4D95-A02E-18FB9AF91D50}"/>
    <cellStyle name="Millares [0] 3 4 2 2" xfId="511" xr:uid="{00000000-0005-0000-0000-000038010000}"/>
    <cellStyle name="Millares [0] 3 4 2 2 10" xfId="17324" xr:uid="{53CEC24B-BCDF-44C9-A722-28B6C1EAEC5A}"/>
    <cellStyle name="Millares [0] 3 4 2 2 11" xfId="41658" xr:uid="{53FDB41E-5055-479E-AEF1-9C1409388ABF}"/>
    <cellStyle name="Millares [0] 3 4 2 2 12" xfId="17738" xr:uid="{34985219-C717-4E2C-B2E2-18238F6BD008}"/>
    <cellStyle name="Millares [0] 3 4 2 2 13" xfId="42818" xr:uid="{6095AEEA-69C7-44E8-A768-EFEB3CA82232}"/>
    <cellStyle name="Millares [0] 3 4 2 2 14" xfId="47711" xr:uid="{170B1C90-E98B-4BF2-9CD7-919CA312AB32}"/>
    <cellStyle name="Millares [0] 3 4 2 2 2" xfId="2327" xr:uid="{BC0E0B2D-D2BA-4806-B79D-306495E08950}"/>
    <cellStyle name="Millares [0] 3 4 2 2 2 2" xfId="10598" xr:uid="{56883B88-0292-4C1C-BC85-52A0B361D1F0}"/>
    <cellStyle name="Millares [0] 3 4 2 2 2 2 2" xfId="45758" xr:uid="{09EF3BB0-B479-432B-83F0-1FFA049BEC71}"/>
    <cellStyle name="Millares [0] 3 4 2 2 2 3" xfId="13438" xr:uid="{4AA1454B-560E-43A3-A443-29D1282BDF25}"/>
    <cellStyle name="Millares [0] 3 4 2 2 2 4" xfId="43362" xr:uid="{C6355078-C611-4EEC-BBFD-06BA678C15FF}"/>
    <cellStyle name="Millares [0] 3 4 2 2 2 5" xfId="48255" xr:uid="{7939F4B7-5138-4C71-9B92-224C6B067E55}"/>
    <cellStyle name="Millares [0] 3 4 2 2 3" xfId="2745" xr:uid="{E2C46A7B-6657-4C0D-BE60-A9945A6B6E0C}"/>
    <cellStyle name="Millares [0] 3 4 2 2 3 2" xfId="11016" xr:uid="{8FC78EFA-DC7E-4A5C-9C10-3EF29845C9E9}"/>
    <cellStyle name="Millares [0] 3 4 2 2 3 2 2" xfId="46176" xr:uid="{77D30001-BECB-4216-8573-55668B5C759F}"/>
    <cellStyle name="Millares [0] 3 4 2 2 3 3" xfId="13856" xr:uid="{C5D69C39-10D1-49F9-B06C-AB683B485865}"/>
    <cellStyle name="Millares [0] 3 4 2 2 3 4" xfId="43780" xr:uid="{7EACFE79-3F3B-4404-B921-3D6E2D0A7199}"/>
    <cellStyle name="Millares [0] 3 4 2 2 3 5" xfId="48673" xr:uid="{DCC518E0-3291-4191-AD74-D20C73720C3A}"/>
    <cellStyle name="Millares [0] 3 4 2 2 4" xfId="3289" xr:uid="{897D2282-A3C8-4A3B-9717-C9AEBA1A5C00}"/>
    <cellStyle name="Millares [0] 3 4 2 2 4 2" xfId="11560" xr:uid="{7B92CF5D-74BC-4091-9141-E5DCD3D79A9C}"/>
    <cellStyle name="Millares [0] 3 4 2 2 4 2 2" xfId="46720" xr:uid="{C38C34CB-AD20-433B-9FDA-7F79AE513C59}"/>
    <cellStyle name="Millares [0] 3 4 2 2 4 3" xfId="14400" xr:uid="{28CCE89D-3986-4C4D-A066-49813275154C}"/>
    <cellStyle name="Millares [0] 3 4 2 2 4 4" xfId="44324" xr:uid="{B0342D0A-CE7C-4455-AF11-DBCEF5C05E84}"/>
    <cellStyle name="Millares [0] 3 4 2 2 4 5" xfId="49217" xr:uid="{F747DB90-21B9-4942-8F7D-7FCD4885C2C5}"/>
    <cellStyle name="Millares [0] 3 4 2 2 5" xfId="3791" xr:uid="{F53E31CF-949F-4C34-9C6D-6CB44DFBB5E2}"/>
    <cellStyle name="Millares [0] 3 4 2 2 5 2" xfId="12032" xr:uid="{D96EE9C4-BADC-46F2-A0B3-F1F0DA85AAB3}"/>
    <cellStyle name="Millares [0] 3 4 2 2 5 3" xfId="14872" xr:uid="{9FA0BEB8-E045-4C2B-BF30-A256AAD29C08}"/>
    <cellStyle name="Millares [0] 3 4 2 2 5 4" xfId="44796" xr:uid="{2BE7A172-9842-4185-9A4F-DD75258D415A}"/>
    <cellStyle name="Millares [0] 3 4 2 2 5 5" xfId="49689" xr:uid="{1CA87BCF-948D-48F8-8258-1EA9CE70DF77}"/>
    <cellStyle name="Millares [0] 3 4 2 2 6" xfId="10054" xr:uid="{A5C62658-D552-4EB8-A883-4D0A4156660C}"/>
    <cellStyle name="Millares [0] 3 4 2 2 6 2" xfId="45214" xr:uid="{0FC9AD82-F278-4945-AE8A-F219B0AE4990}"/>
    <cellStyle name="Millares [0] 3 4 2 2 7" xfId="12894" xr:uid="{25005B41-7C4C-423A-9C82-0270F9512C10}"/>
    <cellStyle name="Millares [0] 3 4 2 2 8" xfId="16237" xr:uid="{95371C28-574D-4612-A213-75A261F80904}"/>
    <cellStyle name="Millares [0] 3 4 2 2 9" xfId="16780" xr:uid="{BE0304D0-23D7-437D-8E38-69B8327AFA22}"/>
    <cellStyle name="Millares [0] 3 4 2 3" xfId="2115" xr:uid="{C36357D2-05A1-4C85-BE29-FFACE013FF63}"/>
    <cellStyle name="Millares [0] 3 4 2 3 2" xfId="10386" xr:uid="{A4B0D0F5-6C11-41C5-AA8F-6BEAEE5554C2}"/>
    <cellStyle name="Millares [0] 3 4 2 3 2 2" xfId="45546" xr:uid="{F4D880BE-F06B-4A58-8347-2504AF9AEC00}"/>
    <cellStyle name="Millares [0] 3 4 2 3 3" xfId="13226" xr:uid="{BDDC0662-DDDD-4323-A8C0-FC59F2CBE960}"/>
    <cellStyle name="Millares [0] 3 4 2 3 4" xfId="43150" xr:uid="{C56B52C7-8B36-4BD1-B366-E4C1D563F493}"/>
    <cellStyle name="Millares [0] 3 4 2 3 5" xfId="48043" xr:uid="{00FE3870-6651-43D6-A083-067CCCAEA50C}"/>
    <cellStyle name="Millares [0] 3 4 2 4" xfId="2533" xr:uid="{378CFADC-25ED-4447-8B03-CB156C75ADE1}"/>
    <cellStyle name="Millares [0] 3 4 2 4 2" xfId="10804" xr:uid="{F909EB5F-3809-449C-AD54-0DBA9D56E185}"/>
    <cellStyle name="Millares [0] 3 4 2 4 2 2" xfId="45964" xr:uid="{1F88B42D-7691-44A9-87B4-A41AE7966064}"/>
    <cellStyle name="Millares [0] 3 4 2 4 3" xfId="13644" xr:uid="{6ADE100F-75DE-47FA-83A5-650BE21F40B2}"/>
    <cellStyle name="Millares [0] 3 4 2 4 4" xfId="43568" xr:uid="{CA69AEBF-369A-4D26-99D9-C432B190C85B}"/>
    <cellStyle name="Millares [0] 3 4 2 4 5" xfId="48461" xr:uid="{1B3DF868-F5F8-44D0-82F3-E89E5757BA76}"/>
    <cellStyle name="Millares [0] 3 4 2 5" xfId="3077" xr:uid="{159C928D-91D5-4949-B772-A62A135A701D}"/>
    <cellStyle name="Millares [0] 3 4 2 5 2" xfId="11348" xr:uid="{10918E44-F540-48CE-A954-5D8067C3A4BA}"/>
    <cellStyle name="Millares [0] 3 4 2 5 2 2" xfId="46508" xr:uid="{CF26BCF3-CCD1-467A-BB2B-A9655D4EDF70}"/>
    <cellStyle name="Millares [0] 3 4 2 5 3" xfId="14188" xr:uid="{97AEEB50-D986-4462-877B-78A468A378E4}"/>
    <cellStyle name="Millares [0] 3 4 2 5 4" xfId="44112" xr:uid="{FD2D8CF1-97C5-4353-869B-DFDC79ECE572}"/>
    <cellStyle name="Millares [0] 3 4 2 5 5" xfId="49005" xr:uid="{5B58CB6E-45E4-450F-882E-123E49FCEFEB}"/>
    <cellStyle name="Millares [0] 3 4 2 6" xfId="3579" xr:uid="{309DE54A-94BB-495B-8503-BDA900B891AD}"/>
    <cellStyle name="Millares [0] 3 4 2 6 2" xfId="11820" xr:uid="{78180C58-8D63-4D9F-B54B-A76C6CB732EB}"/>
    <cellStyle name="Millares [0] 3 4 2 6 3" xfId="14660" xr:uid="{623E7B2A-325A-4792-AB25-4204A8F83D81}"/>
    <cellStyle name="Millares [0] 3 4 2 6 4" xfId="44584" xr:uid="{A79B1E46-5AAE-4605-AFAA-9F64FCAC2A5D}"/>
    <cellStyle name="Millares [0] 3 4 2 6 5" xfId="49477" xr:uid="{FA2B2282-667D-4094-BCB7-5C602B20B0C6}"/>
    <cellStyle name="Millares [0] 3 4 2 7" xfId="9842" xr:uid="{C320BEE1-8ECA-4161-ACE1-AC516A31C0E7}"/>
    <cellStyle name="Millares [0] 3 4 2 7 2" xfId="45002" xr:uid="{822BC279-D44F-4F48-BD8B-E4FBF887309B}"/>
    <cellStyle name="Millares [0] 3 4 2 8" xfId="12682" xr:uid="{D8C2BAAC-BB36-4F7C-A363-5530C5E66A70}"/>
    <cellStyle name="Millares [0] 3 4 2 9" xfId="16025" xr:uid="{67DD48B2-8AC9-47BD-9C92-2697E5372BDB}"/>
    <cellStyle name="Millares [0] 3 4 20" xfId="47011" xr:uid="{29337C7A-54C4-414E-9B00-0DE236D0039A}"/>
    <cellStyle name="Millares [0] 3 4 21" xfId="47395" xr:uid="{5173296F-318C-49E8-B0EE-E55E89026DA8}"/>
    <cellStyle name="Millares [0] 3 4 3" xfId="410" xr:uid="{00000000-0005-0000-0000-000039010000}"/>
    <cellStyle name="Millares [0] 3 4 3 10" xfId="17224" xr:uid="{06C476D2-32B6-43C3-BDBE-1276CEA9AB76}"/>
    <cellStyle name="Millares [0] 3 4 3 11" xfId="24135" xr:uid="{25986E68-CF3F-4072-A469-4DBF6301A695}"/>
    <cellStyle name="Millares [0] 3 4 3 12" xfId="17562" xr:uid="{274226ED-8502-4BD5-8120-C9042058E4C8}"/>
    <cellStyle name="Millares [0] 3 4 3 13" xfId="42718" xr:uid="{E96988AB-94D2-4363-B0A8-12E80D021379}"/>
    <cellStyle name="Millares [0] 3 4 3 14" xfId="47611" xr:uid="{7C7EDBC2-7BBE-448C-B749-DB4F0882A00B}"/>
    <cellStyle name="Millares [0] 3 4 3 2" xfId="2227" xr:uid="{A45C06DB-7893-4BD5-932B-E4843C02694D}"/>
    <cellStyle name="Millares [0] 3 4 3 2 2" xfId="10498" xr:uid="{E7AC533B-6FB8-42F9-A195-978EDBE196B2}"/>
    <cellStyle name="Millares [0] 3 4 3 2 2 2" xfId="45658" xr:uid="{5B2ED7CF-7EDB-4EBB-9B41-D7A2005EA870}"/>
    <cellStyle name="Millares [0] 3 4 3 2 3" xfId="13338" xr:uid="{DC8122DB-2CB9-4587-BC60-18A15DEFDC7C}"/>
    <cellStyle name="Millares [0] 3 4 3 2 4" xfId="43262" xr:uid="{FC13DB26-3F52-4BF2-826F-284B573DA812}"/>
    <cellStyle name="Millares [0] 3 4 3 2 5" xfId="48155" xr:uid="{C7D3EAFF-D721-40E0-B802-11EDEE079AE6}"/>
    <cellStyle name="Millares [0] 3 4 3 3" xfId="2645" xr:uid="{19799A06-DF05-41F3-838B-60CFF00DBB0A}"/>
    <cellStyle name="Millares [0] 3 4 3 3 2" xfId="10916" xr:uid="{7F04109C-F209-4194-A70A-020720DFA74B}"/>
    <cellStyle name="Millares [0] 3 4 3 3 2 2" xfId="46076" xr:uid="{4FF67D95-D284-4AB8-AC54-117485EB672B}"/>
    <cellStyle name="Millares [0] 3 4 3 3 3" xfId="13756" xr:uid="{A3177110-BD93-4F43-8EF3-303333DF4752}"/>
    <cellStyle name="Millares [0] 3 4 3 3 4" xfId="43680" xr:uid="{544C8067-DFA4-4D77-B7CC-A26F7B864134}"/>
    <cellStyle name="Millares [0] 3 4 3 3 5" xfId="48573" xr:uid="{FF6DEC48-177E-4827-A374-B214C3A10A90}"/>
    <cellStyle name="Millares [0] 3 4 3 4" xfId="3189" xr:uid="{6257E877-2CB6-45CB-8EB4-E5F3FCC0CF89}"/>
    <cellStyle name="Millares [0] 3 4 3 4 2" xfId="11460" xr:uid="{D92FAF74-29EC-4FDD-88FE-CB7DCD6546BC}"/>
    <cellStyle name="Millares [0] 3 4 3 4 2 2" xfId="46620" xr:uid="{09C232A1-33B4-4070-B67A-3047073BB67E}"/>
    <cellStyle name="Millares [0] 3 4 3 4 3" xfId="14300" xr:uid="{16902C72-6919-4D98-ABE5-7CFBCAF40D0E}"/>
    <cellStyle name="Millares [0] 3 4 3 4 4" xfId="44224" xr:uid="{3502A4D8-AD46-4C8D-AD9A-CC9CB2741436}"/>
    <cellStyle name="Millares [0] 3 4 3 4 5" xfId="49117" xr:uid="{7A87927F-66B6-48D5-88FF-0B15E19E2D57}"/>
    <cellStyle name="Millares [0] 3 4 3 5" xfId="3691" xr:uid="{68F5C3D1-DA42-42F5-A8E2-C75DAEBED0BC}"/>
    <cellStyle name="Millares [0] 3 4 3 5 2" xfId="11932" xr:uid="{89A44833-412D-4CC3-A978-AE91B54CAF41}"/>
    <cellStyle name="Millares [0] 3 4 3 5 3" xfId="14772" xr:uid="{80C93240-516F-4BE4-A719-145EA2716F2F}"/>
    <cellStyle name="Millares [0] 3 4 3 5 4" xfId="44696" xr:uid="{545E3ECF-0E37-4A18-BD01-C8882427B1D4}"/>
    <cellStyle name="Millares [0] 3 4 3 5 5" xfId="49589" xr:uid="{1AF09B30-8233-4A93-B13C-7A410B48291A}"/>
    <cellStyle name="Millares [0] 3 4 3 6" xfId="9954" xr:uid="{898BFAC0-9B94-4547-9D80-A8293318A6FD}"/>
    <cellStyle name="Millares [0] 3 4 3 6 2" xfId="45114" xr:uid="{7B52B1F7-D2C1-46E6-BCE0-0D68F61D4060}"/>
    <cellStyle name="Millares [0] 3 4 3 7" xfId="12794" xr:uid="{AC6521D6-294D-4EF1-9803-C90E207144FD}"/>
    <cellStyle name="Millares [0] 3 4 3 8" xfId="16137" xr:uid="{0ADA5C32-AFD0-4A1E-8460-D1193304B91D}"/>
    <cellStyle name="Millares [0] 3 4 3 9" xfId="16680" xr:uid="{6A7CCE97-E573-4FF0-A31D-BF61F7E02944}"/>
    <cellStyle name="Millares [0] 3 4 4" xfId="613" xr:uid="{00000000-0005-0000-0000-00003A010000}"/>
    <cellStyle name="Millares [0] 3 4 4 10" xfId="42920" xr:uid="{EECD4363-1593-497A-BF66-494264BD1C14}"/>
    <cellStyle name="Millares [0] 3 4 4 11" xfId="47813" xr:uid="{A8A74574-EAEB-499E-A712-225900F61C42}"/>
    <cellStyle name="Millares [0] 3 4 4 2" xfId="2847" xr:uid="{9CAF8192-FAD7-4179-AD3F-A820A24BDC4E}"/>
    <cellStyle name="Millares [0] 3 4 4 2 2" xfId="11118" xr:uid="{8E23545A-283A-40E3-9E38-4BFA50514228}"/>
    <cellStyle name="Millares [0] 3 4 4 2 2 2" xfId="46278" xr:uid="{61696803-88D0-4B81-9ABA-9CB701433B0B}"/>
    <cellStyle name="Millares [0] 3 4 4 2 3" xfId="13958" xr:uid="{079A44AE-B602-46F5-AFE9-F0700231A2B1}"/>
    <cellStyle name="Millares [0] 3 4 4 2 4" xfId="43882" xr:uid="{26B5B57D-F71B-495A-953D-DA13426CC915}"/>
    <cellStyle name="Millares [0] 3 4 4 2 5" xfId="48775" xr:uid="{2D6ED5C5-8D93-4509-B164-701A82C16451}"/>
    <cellStyle name="Millares [0] 3 4 4 3" xfId="10156" xr:uid="{EE88F2D2-8DC5-48AD-8527-79C48CCEEF75}"/>
    <cellStyle name="Millares [0] 3 4 4 3 2" xfId="45316" xr:uid="{7971C087-5FD0-4039-8886-9C05AD34F5C7}"/>
    <cellStyle name="Millares [0] 3 4 4 4" xfId="12996" xr:uid="{079DE477-191C-4F4A-9793-2D8806D8078B}"/>
    <cellStyle name="Millares [0] 3 4 4 5" xfId="16339" xr:uid="{BB0E9FA7-CBF9-4363-9B25-A44FAB352E64}"/>
    <cellStyle name="Millares [0] 3 4 4 6" xfId="16882" xr:uid="{D7649E0D-A6B0-4F80-B9E7-E17EBD197904}"/>
    <cellStyle name="Millares [0] 3 4 4 7" xfId="17426" xr:uid="{CD10F4E7-DEB5-45CA-90BF-846CD7F3495E}"/>
    <cellStyle name="Millares [0] 3 4 4 8" xfId="30013" xr:uid="{4B661A56-ED7C-4B11-ACF6-66242D24069E}"/>
    <cellStyle name="Millares [0] 3 4 4 9" xfId="18233" xr:uid="{31874316-92BA-4B57-8B17-7E38435A2D9C}"/>
    <cellStyle name="Millares [0] 3 4 5" xfId="2011" xr:uid="{271280E2-6C91-4A10-9A1D-8E541521CBDA}"/>
    <cellStyle name="Millares [0] 3 4 5 2" xfId="10282" xr:uid="{5645F48B-873D-4BD1-8FD3-4C9A6D2C68F7}"/>
    <cellStyle name="Millares [0] 3 4 5 2 2" xfId="45442" xr:uid="{DE540BE2-847E-4BC9-BFE0-00E3CEBC1080}"/>
    <cellStyle name="Millares [0] 3 4 5 3" xfId="13122" xr:uid="{A1AABF0B-84E5-46A6-ADA7-EB6C84F42747}"/>
    <cellStyle name="Millares [0] 3 4 5 4" xfId="35894" xr:uid="{ED0C6B89-1B8F-4730-92B9-2AA0DCFE7547}"/>
    <cellStyle name="Millares [0] 3 4 5 5" xfId="43046" xr:uid="{E789DF08-75E9-4CEA-97B6-1AA93CC34C08}"/>
    <cellStyle name="Millares [0] 3 4 5 6" xfId="47939" xr:uid="{2040667E-93DC-43C8-B2A1-997F5ACBC8D5}"/>
    <cellStyle name="Millares [0] 3 4 6" xfId="2429" xr:uid="{DFB6D168-15BC-4812-B27C-58146941C459}"/>
    <cellStyle name="Millares [0] 3 4 6 2" xfId="10700" xr:uid="{BC44ADC6-1F53-4CEC-8FDD-304F576A4502}"/>
    <cellStyle name="Millares [0] 3 4 6 2 2" xfId="45860" xr:uid="{51A45401-9ECF-4CF2-B2BA-383BCB94E8C9}"/>
    <cellStyle name="Millares [0] 3 4 6 3" xfId="13540" xr:uid="{94DB935C-BD3B-4726-8ED5-6316D01CB0C4}"/>
    <cellStyle name="Millares [0] 3 4 6 4" xfId="43464" xr:uid="{73E2A785-3E36-4B6A-93D8-AF9DF5733EC0}"/>
    <cellStyle name="Millares [0] 3 4 6 5" xfId="48357" xr:uid="{A653C1A1-9FDF-4EBC-8CA6-FF197D133477}"/>
    <cellStyle name="Millares [0] 3 4 7" xfId="2973" xr:uid="{D5079B0C-7A34-4F72-8DF6-005516386599}"/>
    <cellStyle name="Millares [0] 3 4 7 2" xfId="11244" xr:uid="{752FC601-527D-44DA-8FBF-3D6BEE80A2CE}"/>
    <cellStyle name="Millares [0] 3 4 7 2 2" xfId="46404" xr:uid="{B26AA765-A1B0-4D94-94AA-5808DD51AD72}"/>
    <cellStyle name="Millares [0] 3 4 7 3" xfId="14084" xr:uid="{119297D0-A69D-4B56-AB53-D725853096B8}"/>
    <cellStyle name="Millares [0] 3 4 7 4" xfId="44008" xr:uid="{582C9C57-AD94-48A8-9FCF-D522263FF8A5}"/>
    <cellStyle name="Millares [0] 3 4 7 5" xfId="48901" xr:uid="{69936A91-3B02-42BA-9CAF-D20171982A4F}"/>
    <cellStyle name="Millares [0] 3 4 8" xfId="3475" xr:uid="{BD7363E5-5197-460F-9EBC-78B9E0088136}"/>
    <cellStyle name="Millares [0] 3 4 8 2" xfId="11716" xr:uid="{18E7ED08-83F2-4593-B793-43DF619B8735}"/>
    <cellStyle name="Millares [0] 3 4 8 3" xfId="14556" xr:uid="{ADD33AB6-5835-491E-8198-6CE40C9E6F2A}"/>
    <cellStyle name="Millares [0] 3 4 8 4" xfId="44480" xr:uid="{A1ED1443-8A09-4523-8318-D544B4B05460}"/>
    <cellStyle name="Millares [0] 3 4 8 5" xfId="49373" xr:uid="{730AC684-5B84-4F89-87E2-75E91B57C001}"/>
    <cellStyle name="Millares [0] 3 4 9" xfId="3902" xr:uid="{70BDE446-134C-4E16-AD1A-5694062DBCF4}"/>
    <cellStyle name="Millares [0] 3 4 9 2" xfId="12081" xr:uid="{55E5607C-5F66-4A48-9283-2FE1922BE9A0}"/>
    <cellStyle name="Millares [0] 3 4 9 3" xfId="14922" xr:uid="{C312105F-30D1-4273-A864-A14E88AC34F2}"/>
    <cellStyle name="Millares [0] 3 4 9 4" xfId="44898" xr:uid="{7952B396-FFCC-479F-BA82-6248CB276B4D}"/>
    <cellStyle name="Millares [0] 3 4 9 5" xfId="49738" xr:uid="{E5AF133B-07BB-4636-979E-2CC386B6E040}"/>
    <cellStyle name="Millares [0] 3 5" xfId="141" xr:uid="{00000000-0005-0000-0000-00003B010000}"/>
    <cellStyle name="Millares [0] 3 5 10" xfId="9709" xr:uid="{17CC623D-33AE-4209-B3C1-F46B96C91E6D}"/>
    <cellStyle name="Millares [0] 3 5 11" xfId="12549" xr:uid="{DEBE1E4B-8E56-4EF5-BD5E-E0783561F1FD}"/>
    <cellStyle name="Millares [0] 3 5 12" xfId="15374" xr:uid="{15270A24-94A9-47C1-8E5E-68DA025EC9F5}"/>
    <cellStyle name="Millares [0] 3 5 13" xfId="15892" xr:uid="{E8B33FB2-0945-4402-B39D-C7F3A308C95C}"/>
    <cellStyle name="Millares [0] 3 5 14" xfId="16435" xr:uid="{B1BF5FC5-B5D3-4DDD-96F3-2C831A76ADAA}"/>
    <cellStyle name="Millares [0] 3 5 15" xfId="16979" xr:uid="{4179DB60-E043-4D27-AC80-A37E660DEBD1}"/>
    <cellStyle name="Millares [0] 3 5 16" xfId="17522" xr:uid="{0DEF22F5-2925-4218-B2AC-D395454E1D71}"/>
    <cellStyle name="Millares [0] 3 5 17" xfId="17699" xr:uid="{BF6EA730-8F0F-44C1-B3B6-18BACB3299BB}"/>
    <cellStyle name="Millares [0] 3 5 18" xfId="42473" xr:uid="{31123FBF-3068-4E65-96B9-FEA980FBFBC3}"/>
    <cellStyle name="Millares [0] 3 5 19" xfId="47366" xr:uid="{77E358DA-710B-4585-8DBC-DBE0F381549A}"/>
    <cellStyle name="Millares [0] 3 5 2" xfId="255" xr:uid="{00000000-0005-0000-0000-00003C010000}"/>
    <cellStyle name="Millares [0] 3 5 2 10" xfId="16539" xr:uid="{C364C8C1-1AA2-4380-B528-ECB6CDF5F4ED}"/>
    <cellStyle name="Millares [0] 3 5 2 11" xfId="17083" xr:uid="{D67BCE19-E238-49C5-B631-4D4CECCF004C}"/>
    <cellStyle name="Millares [0] 3 5 2 12" xfId="18476" xr:uid="{AD05569C-862A-4567-8320-F8E81D72F02B}"/>
    <cellStyle name="Millares [0] 3 5 2 13" xfId="18035" xr:uid="{51EF90B4-AEB5-4913-9609-D5CA495B7810}"/>
    <cellStyle name="Millares [0] 3 5 2 14" xfId="42577" xr:uid="{F54A6C4D-31C4-4FD7-9722-4267FCC6736B}"/>
    <cellStyle name="Millares [0] 3 5 2 15" xfId="47470" xr:uid="{EAD4A1EF-D840-4035-B333-34B381ADE13A}"/>
    <cellStyle name="Millares [0] 3 5 2 2" xfId="482" xr:uid="{00000000-0005-0000-0000-00003D010000}"/>
    <cellStyle name="Millares [0] 3 5 2 2 10" xfId="17295" xr:uid="{4419B816-18CA-4547-9338-5BF14597C3F6}"/>
    <cellStyle name="Millares [0] 3 5 2 2 11" xfId="41665" xr:uid="{91B5B829-9145-4D71-9E8E-09A4BF796AA5}"/>
    <cellStyle name="Millares [0] 3 5 2 2 12" xfId="19050" xr:uid="{CD66597D-D0C6-439F-B3BF-1BE475679ABC}"/>
    <cellStyle name="Millares [0] 3 5 2 2 13" xfId="42789" xr:uid="{09DDF577-5B8E-415D-B9E7-35193ACE8835}"/>
    <cellStyle name="Millares [0] 3 5 2 2 14" xfId="47682" xr:uid="{474B0185-979D-4B89-A968-5C41D5A8032E}"/>
    <cellStyle name="Millares [0] 3 5 2 2 2" xfId="2298" xr:uid="{3CEE863F-28D0-4F4A-8143-9D6621947138}"/>
    <cellStyle name="Millares [0] 3 5 2 2 2 2" xfId="10569" xr:uid="{71C111B6-2005-4A2D-AAA5-618D16DEECDF}"/>
    <cellStyle name="Millares [0] 3 5 2 2 2 2 2" xfId="45729" xr:uid="{92E4231C-A9B7-4B3B-940A-DA37A20C95FC}"/>
    <cellStyle name="Millares [0] 3 5 2 2 2 3" xfId="13409" xr:uid="{6D140CF7-66F0-405E-A59F-C3A0A62FD2BE}"/>
    <cellStyle name="Millares [0] 3 5 2 2 2 4" xfId="43333" xr:uid="{A952FC8D-F71C-4256-8CDF-4D54C19F3919}"/>
    <cellStyle name="Millares [0] 3 5 2 2 2 5" xfId="48226" xr:uid="{EFF46C3C-B5E8-4DF3-97DB-EDF47F2CAE24}"/>
    <cellStyle name="Millares [0] 3 5 2 2 3" xfId="2716" xr:uid="{9B47B498-E44C-49C8-9806-13A29DF641D2}"/>
    <cellStyle name="Millares [0] 3 5 2 2 3 2" xfId="10987" xr:uid="{E54DFB4B-69C0-4E21-B337-A273381E4938}"/>
    <cellStyle name="Millares [0] 3 5 2 2 3 2 2" xfId="46147" xr:uid="{96D29400-AAE1-462F-9342-18E11F7B59CC}"/>
    <cellStyle name="Millares [0] 3 5 2 2 3 3" xfId="13827" xr:uid="{85EEC73B-15E1-4586-9BB0-F0D1416E3B9A}"/>
    <cellStyle name="Millares [0] 3 5 2 2 3 4" xfId="43751" xr:uid="{05A14DD1-C5D1-4751-B823-E176A5F4D84A}"/>
    <cellStyle name="Millares [0] 3 5 2 2 3 5" xfId="48644" xr:uid="{FC52DA05-6F40-4151-AAA6-E74DE46828A2}"/>
    <cellStyle name="Millares [0] 3 5 2 2 4" xfId="3260" xr:uid="{AA592037-D989-4B74-9206-886F42264D57}"/>
    <cellStyle name="Millares [0] 3 5 2 2 4 2" xfId="11531" xr:uid="{C5F5A421-ABB7-47DE-9A3C-0FC719DCE17E}"/>
    <cellStyle name="Millares [0] 3 5 2 2 4 2 2" xfId="46691" xr:uid="{9A2EFBE0-8532-41E9-AEB8-06306B394BC8}"/>
    <cellStyle name="Millares [0] 3 5 2 2 4 3" xfId="14371" xr:uid="{1E1BE986-C910-4707-A0E5-953FF523B1DB}"/>
    <cellStyle name="Millares [0] 3 5 2 2 4 4" xfId="44295" xr:uid="{93D783B0-128E-42BD-B57D-EDA13C3767BB}"/>
    <cellStyle name="Millares [0] 3 5 2 2 4 5" xfId="49188" xr:uid="{6C4955E2-EF49-445B-888B-9626C81C9FB0}"/>
    <cellStyle name="Millares [0] 3 5 2 2 5" xfId="3762" xr:uid="{DBBD688E-D1DB-4443-8139-D9A210F4B01A}"/>
    <cellStyle name="Millares [0] 3 5 2 2 5 2" xfId="12003" xr:uid="{FE579FA4-D9EB-4F40-8EBF-2CF7EECB5DDD}"/>
    <cellStyle name="Millares [0] 3 5 2 2 5 3" xfId="14843" xr:uid="{8D4E0599-1747-4CCD-AAAF-F70883A65C3C}"/>
    <cellStyle name="Millares [0] 3 5 2 2 5 4" xfId="44767" xr:uid="{0085B211-DB1E-4144-A85B-D3251AB88653}"/>
    <cellStyle name="Millares [0] 3 5 2 2 5 5" xfId="49660" xr:uid="{AF504D96-FC25-46D8-B478-C6CD37316874}"/>
    <cellStyle name="Millares [0] 3 5 2 2 6" xfId="10025" xr:uid="{548CC51C-3CB3-4874-9EBE-57705101786F}"/>
    <cellStyle name="Millares [0] 3 5 2 2 6 2" xfId="45185" xr:uid="{84B45A16-FAC3-4707-A1D4-F35713EFF840}"/>
    <cellStyle name="Millares [0] 3 5 2 2 7" xfId="12865" xr:uid="{ED91B16F-BFA6-43AD-BE1C-953889E87438}"/>
    <cellStyle name="Millares [0] 3 5 2 2 8" xfId="16208" xr:uid="{B4C35918-330B-4749-A091-CE0FD6D789B5}"/>
    <cellStyle name="Millares [0] 3 5 2 2 9" xfId="16751" xr:uid="{DAA9191D-9B52-486D-94C3-110DAC75ACA9}"/>
    <cellStyle name="Millares [0] 3 5 2 3" xfId="2086" xr:uid="{2A21F687-B555-4D1C-B442-FDB5E73F972A}"/>
    <cellStyle name="Millares [0] 3 5 2 3 2" xfId="10357" xr:uid="{62D2C821-BC24-4F98-9603-2BF642085166}"/>
    <cellStyle name="Millares [0] 3 5 2 3 2 2" xfId="45517" xr:uid="{29795AE5-2C2F-4FDE-9B05-31339B733869}"/>
    <cellStyle name="Millares [0] 3 5 2 3 3" xfId="13197" xr:uid="{8B2F4B52-F8A0-4B47-B81C-B941405A3EE4}"/>
    <cellStyle name="Millares [0] 3 5 2 3 4" xfId="43121" xr:uid="{8843FF25-D12A-434A-9F83-4D2237120EAF}"/>
    <cellStyle name="Millares [0] 3 5 2 3 5" xfId="48014" xr:uid="{064448D0-0789-4256-8F47-4EF1DB6314F7}"/>
    <cellStyle name="Millares [0] 3 5 2 4" xfId="2504" xr:uid="{EBA3F3EB-A9AE-4BDA-AACE-ADA9177939FA}"/>
    <cellStyle name="Millares [0] 3 5 2 4 2" xfId="10775" xr:uid="{CED6F93D-7B33-4506-9891-E2A79E4E2CE2}"/>
    <cellStyle name="Millares [0] 3 5 2 4 2 2" xfId="45935" xr:uid="{0BEDBE7F-7244-4927-B591-0F55B6BC5283}"/>
    <cellStyle name="Millares [0] 3 5 2 4 3" xfId="13615" xr:uid="{FF10F7E7-ED14-4182-B9B8-04AFE0F7A289}"/>
    <cellStyle name="Millares [0] 3 5 2 4 4" xfId="43539" xr:uid="{97574C19-E7BC-409F-AC0D-08B20875AF10}"/>
    <cellStyle name="Millares [0] 3 5 2 4 5" xfId="48432" xr:uid="{4F401757-2EA7-4991-AB5F-605982ADC234}"/>
    <cellStyle name="Millares [0] 3 5 2 5" xfId="3048" xr:uid="{1D3F87C7-0DB7-4F2D-9BB3-42A7F8342EBF}"/>
    <cellStyle name="Millares [0] 3 5 2 5 2" xfId="11319" xr:uid="{D9459C22-3000-412D-ACC8-5EF3444374D4}"/>
    <cellStyle name="Millares [0] 3 5 2 5 2 2" xfId="46479" xr:uid="{9FC66D03-CB58-4281-BF9D-A9195E3A468E}"/>
    <cellStyle name="Millares [0] 3 5 2 5 3" xfId="14159" xr:uid="{6254FB2A-22B4-442D-BC63-2DABD00BFF5E}"/>
    <cellStyle name="Millares [0] 3 5 2 5 4" xfId="44083" xr:uid="{41B11848-7918-4DF1-9C25-57377F4F506E}"/>
    <cellStyle name="Millares [0] 3 5 2 5 5" xfId="48976" xr:uid="{3E8B451C-19F9-4BA5-917C-862393772E32}"/>
    <cellStyle name="Millares [0] 3 5 2 6" xfId="3550" xr:uid="{308108D1-0DFC-4474-92D7-9B89F44FB90E}"/>
    <cellStyle name="Millares [0] 3 5 2 6 2" xfId="11791" xr:uid="{112C6302-D2AA-428E-9A1A-C03963B4A5F7}"/>
    <cellStyle name="Millares [0] 3 5 2 6 3" xfId="14631" xr:uid="{895A2FFC-1AC8-4C5F-937E-F40037C5AD42}"/>
    <cellStyle name="Millares [0] 3 5 2 6 4" xfId="44555" xr:uid="{208B8983-75AF-45F0-9737-7EBC175B200B}"/>
    <cellStyle name="Millares [0] 3 5 2 6 5" xfId="49448" xr:uid="{52F53B2F-E2CC-48ED-A42E-DB95036DDF51}"/>
    <cellStyle name="Millares [0] 3 5 2 7" xfId="9813" xr:uid="{8722DDC1-D1ED-4DED-A56D-75CB73A00871}"/>
    <cellStyle name="Millares [0] 3 5 2 7 2" xfId="44973" xr:uid="{0C6FEF47-5A8C-4F77-A801-12FEBF72D7BB}"/>
    <cellStyle name="Millares [0] 3 5 2 8" xfId="12653" xr:uid="{4D0C8A4B-8D49-4A54-97B0-D6C2C04D80FB}"/>
    <cellStyle name="Millares [0] 3 5 2 9" xfId="15996" xr:uid="{EDC876B0-4359-4562-AA6D-5A6C25FE6FD2}"/>
    <cellStyle name="Millares [0] 3 5 3" xfId="381" xr:uid="{00000000-0005-0000-0000-00003E010000}"/>
    <cellStyle name="Millares [0] 3 5 3 10" xfId="17195" xr:uid="{0B140993-A971-4447-8D7D-AF72B6138BC7}"/>
    <cellStyle name="Millares [0] 3 5 3 11" xfId="24184" xr:uid="{F949518E-D1E6-449B-A394-39BFAF5234D4}"/>
    <cellStyle name="Millares [0] 3 5 3 12" xfId="18186" xr:uid="{092FE8BE-CA85-473F-8CD6-43181768224F}"/>
    <cellStyle name="Millares [0] 3 5 3 13" xfId="42689" xr:uid="{118B0094-ACB2-4D0D-BCB6-EE914CD16609}"/>
    <cellStyle name="Millares [0] 3 5 3 14" xfId="47582" xr:uid="{1AB965F6-7F5A-4D48-8963-28621A892B2A}"/>
    <cellStyle name="Millares [0] 3 5 3 2" xfId="2198" xr:uid="{D0348F06-757B-4462-955B-1E5EAB2B5B76}"/>
    <cellStyle name="Millares [0] 3 5 3 2 2" xfId="10469" xr:uid="{DE38BFE1-59BB-491B-BAA6-AE231F1941E7}"/>
    <cellStyle name="Millares [0] 3 5 3 2 2 2" xfId="45629" xr:uid="{7A21FB96-B70B-4231-9A14-479927C5F82C}"/>
    <cellStyle name="Millares [0] 3 5 3 2 3" xfId="13309" xr:uid="{34DF8EAA-257D-4FE0-B12D-4CD2C1044938}"/>
    <cellStyle name="Millares [0] 3 5 3 2 4" xfId="43233" xr:uid="{2554E813-49DB-464D-9458-A8B5150F7A6F}"/>
    <cellStyle name="Millares [0] 3 5 3 2 5" xfId="48126" xr:uid="{AB77B312-307B-47A6-90B4-78585444F5F1}"/>
    <cellStyle name="Millares [0] 3 5 3 3" xfId="2616" xr:uid="{99BB45AA-F19D-4264-B0FB-D9C1FD6DB916}"/>
    <cellStyle name="Millares [0] 3 5 3 3 2" xfId="10887" xr:uid="{F32CD951-C8D1-4E7F-972C-A8B2AD0AC88F}"/>
    <cellStyle name="Millares [0] 3 5 3 3 2 2" xfId="46047" xr:uid="{21CDA036-03EB-4542-8875-6A170FB9B5B3}"/>
    <cellStyle name="Millares [0] 3 5 3 3 3" xfId="13727" xr:uid="{9EA9D8E7-1BA3-45A9-8336-2197994DBBF1}"/>
    <cellStyle name="Millares [0] 3 5 3 3 4" xfId="43651" xr:uid="{12398945-BAD8-41D8-8C86-A19B10081F2F}"/>
    <cellStyle name="Millares [0] 3 5 3 3 5" xfId="48544" xr:uid="{6A1D8E5B-6CBB-4B72-AD65-8367461485DF}"/>
    <cellStyle name="Millares [0] 3 5 3 4" xfId="3160" xr:uid="{4005977E-DC71-4D23-AC8B-4AD94F615E36}"/>
    <cellStyle name="Millares [0] 3 5 3 4 2" xfId="11431" xr:uid="{D2C0C65B-D3B2-444E-B675-0681DC5ADD49}"/>
    <cellStyle name="Millares [0] 3 5 3 4 2 2" xfId="46591" xr:uid="{B5BCE4D9-237D-49D9-B8FE-6CA8D5F0813A}"/>
    <cellStyle name="Millares [0] 3 5 3 4 3" xfId="14271" xr:uid="{F91E262F-55B4-4331-8BD4-CC787DF6B5C3}"/>
    <cellStyle name="Millares [0] 3 5 3 4 4" xfId="44195" xr:uid="{4A8FA95E-7E4C-4C8F-AB0C-5BF678C63287}"/>
    <cellStyle name="Millares [0] 3 5 3 4 5" xfId="49088" xr:uid="{7085B877-B919-48BD-82C3-15FD8FD25FEC}"/>
    <cellStyle name="Millares [0] 3 5 3 5" xfId="3662" xr:uid="{286FEDA3-C638-4EA7-83FE-6DBE974402A8}"/>
    <cellStyle name="Millares [0] 3 5 3 5 2" xfId="11903" xr:uid="{38A01A32-18A4-4015-B319-D7853CD38EDD}"/>
    <cellStyle name="Millares [0] 3 5 3 5 3" xfId="14743" xr:uid="{FEF028A9-48F0-4C87-9FC8-4362FFEB1A9B}"/>
    <cellStyle name="Millares [0] 3 5 3 5 4" xfId="44667" xr:uid="{FB2FAC31-8FC0-4D26-A931-941B48D42677}"/>
    <cellStyle name="Millares [0] 3 5 3 5 5" xfId="49560" xr:uid="{ACD56061-6626-46F4-A839-C7D4156B9DF4}"/>
    <cellStyle name="Millares [0] 3 5 3 6" xfId="9925" xr:uid="{3C6B1FDB-9951-4D68-9962-F64496561DD1}"/>
    <cellStyle name="Millares [0] 3 5 3 6 2" xfId="45085" xr:uid="{487E2193-CC7F-40BE-BB98-A9E240B312F0}"/>
    <cellStyle name="Millares [0] 3 5 3 7" xfId="12765" xr:uid="{0D091A81-E6ED-4836-A6B8-5675A4DAD955}"/>
    <cellStyle name="Millares [0] 3 5 3 8" xfId="16108" xr:uid="{60F70747-3D7A-4AE8-9AF1-21BF60D980A1}"/>
    <cellStyle name="Millares [0] 3 5 3 9" xfId="16651" xr:uid="{C7E29029-5EA1-424D-A613-5FEA67ED408D}"/>
    <cellStyle name="Millares [0] 3 5 4" xfId="584" xr:uid="{00000000-0005-0000-0000-00003F010000}"/>
    <cellStyle name="Millares [0] 3 5 4 10" xfId="42891" xr:uid="{624CDEEF-3491-4059-B5DD-E134F7C0A19F}"/>
    <cellStyle name="Millares [0] 3 5 4 11" xfId="47784" xr:uid="{B2BF74E0-8B9B-4531-9899-896F8F09F723}"/>
    <cellStyle name="Millares [0] 3 5 4 2" xfId="2818" xr:uid="{77E7B272-1776-48C6-8CB0-93CB90C7D023}"/>
    <cellStyle name="Millares [0] 3 5 4 2 2" xfId="11089" xr:uid="{7D1D41CD-FBAE-4CBF-91DC-E03A6E0AF56D}"/>
    <cellStyle name="Millares [0] 3 5 4 2 2 2" xfId="46249" xr:uid="{DA8BE703-B0C0-4D47-9D60-A6E80EB20DA9}"/>
    <cellStyle name="Millares [0] 3 5 4 2 3" xfId="13929" xr:uid="{87958393-EF01-4E97-AD3B-C4D19C870FEF}"/>
    <cellStyle name="Millares [0] 3 5 4 2 4" xfId="43853" xr:uid="{BA904D77-B086-4BD7-9D32-7EEF9BAF4DB5}"/>
    <cellStyle name="Millares [0] 3 5 4 2 5" xfId="48746" xr:uid="{85A069F9-E86D-4B07-B3D6-899F0CF44460}"/>
    <cellStyle name="Millares [0] 3 5 4 3" xfId="10127" xr:uid="{C821305F-7B85-4048-8DE3-1DA83F635C57}"/>
    <cellStyle name="Millares [0] 3 5 4 3 2" xfId="45287" xr:uid="{EBA8956E-7E40-4F05-86C8-BDBED266FC81}"/>
    <cellStyle name="Millares [0] 3 5 4 4" xfId="12967" xr:uid="{6901E3D4-3AF4-401C-BD46-3E5D5406B800}"/>
    <cellStyle name="Millares [0] 3 5 4 5" xfId="16310" xr:uid="{B73EC9D2-5009-4B63-9B98-1D074B9E03DE}"/>
    <cellStyle name="Millares [0] 3 5 4 6" xfId="16853" xr:uid="{0C3538B1-44E6-4B8E-B198-2F28EE63B1A6}"/>
    <cellStyle name="Millares [0] 3 5 4 7" xfId="17397" xr:uid="{DAFB329A-2FDB-40C9-A664-B0C766BB5280}"/>
    <cellStyle name="Millares [0] 3 5 4 8" xfId="30062" xr:uid="{2A9CABAB-145B-498F-B9D0-2060D08078A8}"/>
    <cellStyle name="Millares [0] 3 5 4 9" xfId="18090" xr:uid="{02460E4C-3470-4761-9E3D-40C396341F47}"/>
    <cellStyle name="Millares [0] 3 5 5" xfId="1982" xr:uid="{A4D21818-1D6D-440E-88EA-12674C208C95}"/>
    <cellStyle name="Millares [0] 3 5 5 2" xfId="10253" xr:uid="{DD961809-A8B3-4D4B-9A9F-7F5BA1C06DA7}"/>
    <cellStyle name="Millares [0] 3 5 5 2 2" xfId="45413" xr:uid="{AFAF6289-188F-4222-8811-9A158E2C587C}"/>
    <cellStyle name="Millares [0] 3 5 5 3" xfId="13093" xr:uid="{B6AED325-1582-47C4-9AD3-3EDBA98A0568}"/>
    <cellStyle name="Millares [0] 3 5 5 4" xfId="35943" xr:uid="{6B9F65BB-8D08-4F2E-8379-6EB1C562E2B1}"/>
    <cellStyle name="Millares [0] 3 5 5 5" xfId="43017" xr:uid="{5D250A76-76B4-40FF-8D89-652E77ACA0A9}"/>
    <cellStyle name="Millares [0] 3 5 5 6" xfId="47910" xr:uid="{3481B9EE-A780-4108-AEB6-58E9BE650E0C}"/>
    <cellStyle name="Millares [0] 3 5 6" xfId="2400" xr:uid="{D726E0A2-DE52-4B00-9D34-25309640861B}"/>
    <cellStyle name="Millares [0] 3 5 6 2" xfId="10671" xr:uid="{7588DF3B-AB73-44BD-92E2-89E0201BF769}"/>
    <cellStyle name="Millares [0] 3 5 6 2 2" xfId="45831" xr:uid="{0C1F6620-4DEE-4D27-9BF7-64E9659BE760}"/>
    <cellStyle name="Millares [0] 3 5 6 3" xfId="13511" xr:uid="{7CA9A479-049F-4197-97A1-4C6540F8939A}"/>
    <cellStyle name="Millares [0] 3 5 6 4" xfId="43435" xr:uid="{987E923A-5E93-41E7-8E7A-C8FE8C66F1C8}"/>
    <cellStyle name="Millares [0] 3 5 6 5" xfId="48328" xr:uid="{62469D25-117E-463A-A022-92653D8A9A00}"/>
    <cellStyle name="Millares [0] 3 5 7" xfId="2944" xr:uid="{3164618B-823C-4D6B-BACC-77167448B385}"/>
    <cellStyle name="Millares [0] 3 5 7 2" xfId="11215" xr:uid="{0C24E4A5-4261-4212-AC00-15CE8E65F12D}"/>
    <cellStyle name="Millares [0] 3 5 7 2 2" xfId="46375" xr:uid="{D990907D-BE9B-42FC-9078-B8138CB6F9AD}"/>
    <cellStyle name="Millares [0] 3 5 7 3" xfId="14055" xr:uid="{29346CC6-3D15-4EE3-A1BD-07CF6475F5FF}"/>
    <cellStyle name="Millares [0] 3 5 7 4" xfId="43979" xr:uid="{2ED35950-42DD-4DF1-95A1-875D5625CF3B}"/>
    <cellStyle name="Millares [0] 3 5 7 5" xfId="48872" xr:uid="{62CD5709-2C4A-433A-947E-304E53F0E08E}"/>
    <cellStyle name="Millares [0] 3 5 8" xfId="3446" xr:uid="{747131AC-FA05-4D68-854C-4A7B79641168}"/>
    <cellStyle name="Millares [0] 3 5 8 2" xfId="11687" xr:uid="{15107CEB-3216-4ECD-B68A-D024ACCE0114}"/>
    <cellStyle name="Millares [0] 3 5 8 3" xfId="14527" xr:uid="{3ABA29DA-A90A-43C1-B7A6-14DC87FBC7F9}"/>
    <cellStyle name="Millares [0] 3 5 8 4" xfId="44451" xr:uid="{4BF2208E-4705-4050-9624-45FD0E147690}"/>
    <cellStyle name="Millares [0] 3 5 8 5" xfId="49344" xr:uid="{C22A7B22-A5E2-4366-B6AD-0DA5795D2E6B}"/>
    <cellStyle name="Millares [0] 3 5 9" xfId="3952" xr:uid="{C75432DC-ADC7-41E2-A6B0-8C88E988D1A1}"/>
    <cellStyle name="Millares [0] 3 5 9 2" xfId="12088" xr:uid="{FE76BC81-1C39-49BA-8289-2965CE9D5FAB}"/>
    <cellStyle name="Millares [0] 3 5 9 3" xfId="14929" xr:uid="{0AD59AD8-92C1-4ACD-A414-13C2C12CC4C4}"/>
    <cellStyle name="Millares [0] 3 5 9 4" xfId="44869" xr:uid="{8125A326-467D-4C73-88BB-B6CBC8C92790}"/>
    <cellStyle name="Millares [0] 3 5 9 5" xfId="49745" xr:uid="{E151C687-C2B8-4AC6-99E0-B86D3F6C38EC}"/>
    <cellStyle name="Millares [0] 3 6" xfId="92" xr:uid="{00000000-0005-0000-0000-000040010000}"/>
    <cellStyle name="Millares [0] 3 6 10" xfId="9682" xr:uid="{3E9B214A-54A2-4629-BCC0-C4A88CE8672C}"/>
    <cellStyle name="Millares [0] 3 6 11" xfId="12522" xr:uid="{470DB83B-47AC-4BA2-92F4-8CD907CD68BD}"/>
    <cellStyle name="Millares [0] 3 6 12" xfId="15377" xr:uid="{AA0AC9CA-76FD-4A1C-AF1B-0480A8E6F7EB}"/>
    <cellStyle name="Millares [0] 3 6 13" xfId="15865" xr:uid="{2B0DBDC7-99A6-492F-8029-48BA5FB1FD16}"/>
    <cellStyle name="Millares [0] 3 6 14" xfId="16408" xr:uid="{15534EF4-EED6-4165-B001-644B2D43EF3F}"/>
    <cellStyle name="Millares [0] 3 6 15" xfId="16952" xr:uid="{DA6E40EC-1B5D-43E1-8572-579DFE65F854}"/>
    <cellStyle name="Millares [0] 3 6 16" xfId="17526" xr:uid="{538EF407-8EEB-49EE-9751-FEAC09BC107E}"/>
    <cellStyle name="Millares [0] 3 6 17" xfId="18123" xr:uid="{D26C0363-4228-4910-B666-C5E644EFD01B}"/>
    <cellStyle name="Millares [0] 3 6 18" xfId="42446" xr:uid="{42BB0A33-4E3C-4D75-9954-40E4631818F6}"/>
    <cellStyle name="Millares [0] 3 6 19" xfId="47339" xr:uid="{25DE0F76-47FC-4AA3-B2AD-78DF3B10CBB7}"/>
    <cellStyle name="Millares [0] 3 6 2" xfId="228" xr:uid="{00000000-0005-0000-0000-000041010000}"/>
    <cellStyle name="Millares [0] 3 6 2 10" xfId="16512" xr:uid="{D55601CC-07E6-42ED-A57E-18681E4D0127}"/>
    <cellStyle name="Millares [0] 3 6 2 11" xfId="17056" xr:uid="{0EFF3F46-93F4-4B88-AE42-51652C27238E}"/>
    <cellStyle name="Millares [0] 3 6 2 12" xfId="18502" xr:uid="{785D71F9-DD6C-463E-96A6-B29901B753B2}"/>
    <cellStyle name="Millares [0] 3 6 2 13" xfId="18135" xr:uid="{6B025473-B39D-49B3-88E2-8720066AE0A5}"/>
    <cellStyle name="Millares [0] 3 6 2 14" xfId="42550" xr:uid="{CAA48EA9-3EBD-4759-8160-D29A4EB89C21}"/>
    <cellStyle name="Millares [0] 3 6 2 15" xfId="47443" xr:uid="{2FFB582C-4E9C-41C9-8DC6-AD686EF4EA3B}"/>
    <cellStyle name="Millares [0] 3 6 2 2" xfId="455" xr:uid="{00000000-0005-0000-0000-000042010000}"/>
    <cellStyle name="Millares [0] 3 6 2 2 10" xfId="17268" xr:uid="{6644D2C7-4BB0-4208-8807-4DBE5ED565BB}"/>
    <cellStyle name="Millares [0] 3 6 2 2 11" xfId="41668" xr:uid="{24FB1BA2-676E-446A-BD84-4EEEDC7ABF64}"/>
    <cellStyle name="Millares [0] 3 6 2 2 12" xfId="17676" xr:uid="{ECF26271-057A-470A-B480-7E794730E70E}"/>
    <cellStyle name="Millares [0] 3 6 2 2 13" xfId="42762" xr:uid="{90B470DD-2577-4C11-BE29-878B28A25710}"/>
    <cellStyle name="Millares [0] 3 6 2 2 14" xfId="47655" xr:uid="{1E1BBEB5-799C-4240-A7DF-9D0EA140F0EB}"/>
    <cellStyle name="Millares [0] 3 6 2 2 2" xfId="2271" xr:uid="{91C27396-AAF3-477D-9F25-15585C8A54A0}"/>
    <cellStyle name="Millares [0] 3 6 2 2 2 2" xfId="10542" xr:uid="{B5B1AE42-5913-4721-B824-298402D7EB2E}"/>
    <cellStyle name="Millares [0] 3 6 2 2 2 2 2" xfId="45702" xr:uid="{2E1DD687-7A40-4DF9-8913-55532BBEE6D8}"/>
    <cellStyle name="Millares [0] 3 6 2 2 2 3" xfId="13382" xr:uid="{4EB79779-5F52-4CF6-92C8-12F2D9AB41AD}"/>
    <cellStyle name="Millares [0] 3 6 2 2 2 4" xfId="43306" xr:uid="{44794F56-704E-4DA8-A26A-222A412501BE}"/>
    <cellStyle name="Millares [0] 3 6 2 2 2 5" xfId="48199" xr:uid="{CD62AC36-26BD-4F99-8AA0-9D6C32A9471E}"/>
    <cellStyle name="Millares [0] 3 6 2 2 3" xfId="2689" xr:uid="{AA305DBD-1447-4CC5-886F-106DAF3D9ACE}"/>
    <cellStyle name="Millares [0] 3 6 2 2 3 2" xfId="10960" xr:uid="{5791D337-60F4-4A61-9D20-CC4EE8E792CF}"/>
    <cellStyle name="Millares [0] 3 6 2 2 3 2 2" xfId="46120" xr:uid="{55E0A947-0A6F-4C9C-BAB7-B7284B928DAC}"/>
    <cellStyle name="Millares [0] 3 6 2 2 3 3" xfId="13800" xr:uid="{EA711A32-7B6E-4C9D-BB37-7D58CA60CC6C}"/>
    <cellStyle name="Millares [0] 3 6 2 2 3 4" xfId="43724" xr:uid="{BE627727-9AA2-403F-B0A8-DD1F6010D5B0}"/>
    <cellStyle name="Millares [0] 3 6 2 2 3 5" xfId="48617" xr:uid="{EFB5E2AB-0037-49F9-996D-2961AE9D2F93}"/>
    <cellStyle name="Millares [0] 3 6 2 2 4" xfId="3233" xr:uid="{2C3B42EA-CE70-46AC-BCC6-E5C817A10351}"/>
    <cellStyle name="Millares [0] 3 6 2 2 4 2" xfId="11504" xr:uid="{B3FDC7EC-8721-4108-A5FA-A87AF7CAA160}"/>
    <cellStyle name="Millares [0] 3 6 2 2 4 2 2" xfId="46664" xr:uid="{522382DC-1753-4A6F-B826-1A7FBE7168AA}"/>
    <cellStyle name="Millares [0] 3 6 2 2 4 3" xfId="14344" xr:uid="{15FF2057-6E00-4AF0-9683-F2A2AC047A60}"/>
    <cellStyle name="Millares [0] 3 6 2 2 4 4" xfId="44268" xr:uid="{3A2BFE4C-26BE-46AD-A4EC-4E4CFAFF018C}"/>
    <cellStyle name="Millares [0] 3 6 2 2 4 5" xfId="49161" xr:uid="{0D7A5729-6E13-4EF8-8CA6-8E2156E48AEA}"/>
    <cellStyle name="Millares [0] 3 6 2 2 5" xfId="3735" xr:uid="{670E0675-1401-44A4-956C-7E9576311AEF}"/>
    <cellStyle name="Millares [0] 3 6 2 2 5 2" xfId="11976" xr:uid="{B812FE82-B379-41E7-8666-A6D9C9DB844F}"/>
    <cellStyle name="Millares [0] 3 6 2 2 5 3" xfId="14816" xr:uid="{4E5FFDB3-50DA-40F1-BB26-6C9656CB0125}"/>
    <cellStyle name="Millares [0] 3 6 2 2 5 4" xfId="44740" xr:uid="{6441BEDC-0994-495D-9E56-86B2A3A3F1CA}"/>
    <cellStyle name="Millares [0] 3 6 2 2 5 5" xfId="49633" xr:uid="{06E0BAE5-5673-4A29-AFAF-D76FC8C15E41}"/>
    <cellStyle name="Millares [0] 3 6 2 2 6" xfId="9998" xr:uid="{B88E391B-C483-4859-8644-88CBB4C1F871}"/>
    <cellStyle name="Millares [0] 3 6 2 2 6 2" xfId="45158" xr:uid="{D6D7A1F8-A385-4406-8702-FB9FDF4093FE}"/>
    <cellStyle name="Millares [0] 3 6 2 2 7" xfId="12838" xr:uid="{F610FF0B-6D0A-4C10-8424-7110124E292F}"/>
    <cellStyle name="Millares [0] 3 6 2 2 8" xfId="16181" xr:uid="{7311856A-0A94-4FDA-A458-BE22A1619303}"/>
    <cellStyle name="Millares [0] 3 6 2 2 9" xfId="16724" xr:uid="{942C6900-1821-440E-9528-C58D56698F9A}"/>
    <cellStyle name="Millares [0] 3 6 2 3" xfId="2059" xr:uid="{76F08946-84BB-4248-98DE-059435019F0C}"/>
    <cellStyle name="Millares [0] 3 6 2 3 2" xfId="10330" xr:uid="{EBD8C545-9E09-4CD3-B3E6-02468519168C}"/>
    <cellStyle name="Millares [0] 3 6 2 3 2 2" xfId="45490" xr:uid="{194152D2-3F72-41DE-AE9D-F911B8A5992E}"/>
    <cellStyle name="Millares [0] 3 6 2 3 3" xfId="13170" xr:uid="{82B563F1-6BD5-4371-ADB6-30983B59181A}"/>
    <cellStyle name="Millares [0] 3 6 2 3 4" xfId="43094" xr:uid="{AC939DFD-EEC3-46AB-BB1D-44074ABA7802}"/>
    <cellStyle name="Millares [0] 3 6 2 3 5" xfId="47987" xr:uid="{E57E74E1-3942-461F-94BD-DEF6C099A6EC}"/>
    <cellStyle name="Millares [0] 3 6 2 4" xfId="2477" xr:uid="{9E02F2A6-0E7F-4F7E-A3C1-C4D9A068671A}"/>
    <cellStyle name="Millares [0] 3 6 2 4 2" xfId="10748" xr:uid="{9C67E7E4-DAEA-44DD-BD1F-311A16F051BC}"/>
    <cellStyle name="Millares [0] 3 6 2 4 2 2" xfId="45908" xr:uid="{DBED0F65-3129-42FD-93BD-5947A80A1262}"/>
    <cellStyle name="Millares [0] 3 6 2 4 3" xfId="13588" xr:uid="{C2DC3B6B-E63C-42FC-9691-418E3F3AA78C}"/>
    <cellStyle name="Millares [0] 3 6 2 4 4" xfId="43512" xr:uid="{91B7FE80-9C24-4D68-873D-9AD1E3F88AAB}"/>
    <cellStyle name="Millares [0] 3 6 2 4 5" xfId="48405" xr:uid="{BCCC195A-1F10-4993-8D52-2DE55874ABF2}"/>
    <cellStyle name="Millares [0] 3 6 2 5" xfId="3021" xr:uid="{3BEAC910-E463-4BBB-8CC1-C7079A994DA1}"/>
    <cellStyle name="Millares [0] 3 6 2 5 2" xfId="11292" xr:uid="{2AE7C0B8-8A15-460C-943C-0202D3FF1CA8}"/>
    <cellStyle name="Millares [0] 3 6 2 5 2 2" xfId="46452" xr:uid="{00E14965-0EB6-4DA3-971E-0B41DB329C70}"/>
    <cellStyle name="Millares [0] 3 6 2 5 3" xfId="14132" xr:uid="{0BD294C5-0794-4CCC-9416-D3625E869966}"/>
    <cellStyle name="Millares [0] 3 6 2 5 4" xfId="44056" xr:uid="{40FAA3E2-C1D8-4E5B-8CBB-730D695CAD5B}"/>
    <cellStyle name="Millares [0] 3 6 2 5 5" xfId="48949" xr:uid="{6B83E470-A072-4B97-8B1A-84D136BE3992}"/>
    <cellStyle name="Millares [0] 3 6 2 6" xfId="3523" xr:uid="{AAC6B9C6-3E3E-46A7-BC89-3D7593463B8B}"/>
    <cellStyle name="Millares [0] 3 6 2 6 2" xfId="11764" xr:uid="{0A94FEB9-4DA1-4836-9B3C-65EC7D2A95BE}"/>
    <cellStyle name="Millares [0] 3 6 2 6 3" xfId="14604" xr:uid="{397C5D4F-96F4-4378-B9DC-BAC4C083EE69}"/>
    <cellStyle name="Millares [0] 3 6 2 6 4" xfId="44528" xr:uid="{D5EFD114-1418-4988-8B8D-EED645836265}"/>
    <cellStyle name="Millares [0] 3 6 2 6 5" xfId="49421" xr:uid="{55F9E341-18E1-4B3D-A15F-6B71EFB083F9}"/>
    <cellStyle name="Millares [0] 3 6 2 7" xfId="9786" xr:uid="{6A5124F7-145E-4139-B6C2-75C75E855FDB}"/>
    <cellStyle name="Millares [0] 3 6 2 7 2" xfId="44946" xr:uid="{AAD0307A-B033-4616-88A9-CA5D5AF1D753}"/>
    <cellStyle name="Millares [0] 3 6 2 8" xfId="12626" xr:uid="{17C93117-60E9-4D70-B0DC-9F364C6AB38B}"/>
    <cellStyle name="Millares [0] 3 6 2 9" xfId="15969" xr:uid="{1BD22EDE-F855-427C-9E0A-84C9927D73FD}"/>
    <cellStyle name="Millares [0] 3 6 3" xfId="354" xr:uid="{00000000-0005-0000-0000-000043010000}"/>
    <cellStyle name="Millares [0] 3 6 3 10" xfId="17168" xr:uid="{116E00A3-FA44-4A1D-A067-E3315148D08F}"/>
    <cellStyle name="Millares [0] 3 6 3 11" xfId="24210" xr:uid="{3A7C233F-2D91-431F-9CC0-BF664CED5BB9}"/>
    <cellStyle name="Millares [0] 3 6 3 12" xfId="17809" xr:uid="{23A814D7-E2A8-4450-AC3B-7479F0F643EC}"/>
    <cellStyle name="Millares [0] 3 6 3 13" xfId="42662" xr:uid="{3A51CE2B-8B89-4F46-AE5C-23FFD2358D41}"/>
    <cellStyle name="Millares [0] 3 6 3 14" xfId="47555" xr:uid="{397D4F4B-30D5-4E28-8F91-15F21037AD0A}"/>
    <cellStyle name="Millares [0] 3 6 3 2" xfId="2171" xr:uid="{6612A592-0CFD-44EE-991C-90E31551FF3F}"/>
    <cellStyle name="Millares [0] 3 6 3 2 2" xfId="10442" xr:uid="{C3E2CBB2-5019-422F-BFDC-D2310B9386E4}"/>
    <cellStyle name="Millares [0] 3 6 3 2 2 2" xfId="45602" xr:uid="{F182197A-72AF-40D0-9CF2-13B1C3D6BA4B}"/>
    <cellStyle name="Millares [0] 3 6 3 2 3" xfId="13282" xr:uid="{D4F968FA-D01B-4FA7-ABBD-5F90A3008426}"/>
    <cellStyle name="Millares [0] 3 6 3 2 4" xfId="43206" xr:uid="{2A4E3E1E-7532-4B67-8D3D-983EA97940C7}"/>
    <cellStyle name="Millares [0] 3 6 3 2 5" xfId="48099" xr:uid="{90CCC29B-0916-4417-8385-8AD54D83AD15}"/>
    <cellStyle name="Millares [0] 3 6 3 3" xfId="2589" xr:uid="{12B43130-C7FB-4AA3-8DA0-FB174664640E}"/>
    <cellStyle name="Millares [0] 3 6 3 3 2" xfId="10860" xr:uid="{7F230257-CD29-424A-BEFA-EAAEA5245420}"/>
    <cellStyle name="Millares [0] 3 6 3 3 2 2" xfId="46020" xr:uid="{627B1752-7A36-48BD-9EC7-7E6DA7B8FE0A}"/>
    <cellStyle name="Millares [0] 3 6 3 3 3" xfId="13700" xr:uid="{75F57DF6-B2CB-4108-9A37-9A5E3F05610B}"/>
    <cellStyle name="Millares [0] 3 6 3 3 4" xfId="43624" xr:uid="{8FAB5F1B-B07C-4699-8803-0B1A8B42F3F0}"/>
    <cellStyle name="Millares [0] 3 6 3 3 5" xfId="48517" xr:uid="{C872E285-0DAC-4446-8DED-8B1E2EAB594E}"/>
    <cellStyle name="Millares [0] 3 6 3 4" xfId="3133" xr:uid="{091688BD-E8C5-41BA-8A81-41C6DB59709C}"/>
    <cellStyle name="Millares [0] 3 6 3 4 2" xfId="11404" xr:uid="{1C34E4F3-4B2D-4358-873E-6669FCAEDC0F}"/>
    <cellStyle name="Millares [0] 3 6 3 4 2 2" xfId="46564" xr:uid="{1F0D5221-18CE-4BBC-9260-7B62F75A2227}"/>
    <cellStyle name="Millares [0] 3 6 3 4 3" xfId="14244" xr:uid="{236FD9A8-4019-425A-B24D-4A6C2C52D06F}"/>
    <cellStyle name="Millares [0] 3 6 3 4 4" xfId="44168" xr:uid="{74C7ED9A-25E6-44EF-B748-19B54E7E4514}"/>
    <cellStyle name="Millares [0] 3 6 3 4 5" xfId="49061" xr:uid="{3104A57E-EF6C-408F-9360-E573BAD1B311}"/>
    <cellStyle name="Millares [0] 3 6 3 5" xfId="3635" xr:uid="{D1825203-0D6F-4905-90A9-50532026F46C}"/>
    <cellStyle name="Millares [0] 3 6 3 5 2" xfId="11876" xr:uid="{408E9286-9FA8-493D-80D9-330E55A7AB2C}"/>
    <cellStyle name="Millares [0] 3 6 3 5 3" xfId="14716" xr:uid="{0D922FC3-91F9-4018-9634-B33703BDCD30}"/>
    <cellStyle name="Millares [0] 3 6 3 5 4" xfId="44640" xr:uid="{D5AF6774-6463-4FA0-9E64-82F5E073C257}"/>
    <cellStyle name="Millares [0] 3 6 3 5 5" xfId="49533" xr:uid="{555FFB59-35EE-43BF-86E3-647A5611D404}"/>
    <cellStyle name="Millares [0] 3 6 3 6" xfId="9898" xr:uid="{FD7F7EFB-4687-4BFB-B5AB-75A145553977}"/>
    <cellStyle name="Millares [0] 3 6 3 6 2" xfId="45058" xr:uid="{BD14E903-B193-4EEF-B934-7653635B9AA8}"/>
    <cellStyle name="Millares [0] 3 6 3 7" xfId="12738" xr:uid="{962464A4-50C9-4699-806E-A9A70F1FE845}"/>
    <cellStyle name="Millares [0] 3 6 3 8" xfId="16081" xr:uid="{F1E0AD58-7D0C-4813-9DA5-5B9FEF2A0111}"/>
    <cellStyle name="Millares [0] 3 6 3 9" xfId="16624" xr:uid="{BF8BC778-57A6-41F2-A5AE-5DEC9D82D461}"/>
    <cellStyle name="Millares [0] 3 6 4" xfId="557" xr:uid="{00000000-0005-0000-0000-000044010000}"/>
    <cellStyle name="Millares [0] 3 6 4 10" xfId="42864" xr:uid="{E6F4EB94-387A-4B6B-909B-740888A997C1}"/>
    <cellStyle name="Millares [0] 3 6 4 11" xfId="47757" xr:uid="{B132416E-AECC-49CB-AD8B-169B6AE55713}"/>
    <cellStyle name="Millares [0] 3 6 4 2" xfId="2791" xr:uid="{68F338AE-80F1-459B-9628-FBB2E7EB157F}"/>
    <cellStyle name="Millares [0] 3 6 4 2 2" xfId="11062" xr:uid="{2BC9A134-206C-41BD-8CB0-7DB2591FD3BA}"/>
    <cellStyle name="Millares [0] 3 6 4 2 2 2" xfId="46222" xr:uid="{CDCE77AF-8CE9-4E5B-9B70-6F48AE330917}"/>
    <cellStyle name="Millares [0] 3 6 4 2 3" xfId="13902" xr:uid="{F8200C7A-C92C-46F4-8594-37E6168FCAD5}"/>
    <cellStyle name="Millares [0] 3 6 4 2 4" xfId="43826" xr:uid="{9FC66DEC-66B3-4C6E-8F33-B86A87D16E37}"/>
    <cellStyle name="Millares [0] 3 6 4 2 5" xfId="48719" xr:uid="{B3E4453C-5CAC-4FCF-956F-C88A8EC03E7F}"/>
    <cellStyle name="Millares [0] 3 6 4 3" xfId="10100" xr:uid="{8AA91EFD-2A2F-40B8-BED1-921CC6676420}"/>
    <cellStyle name="Millares [0] 3 6 4 3 2" xfId="45260" xr:uid="{044004F9-7B45-411C-A595-6F8FD6DE8268}"/>
    <cellStyle name="Millares [0] 3 6 4 4" xfId="12940" xr:uid="{52777874-978F-4B02-B803-8918ED9FF0BE}"/>
    <cellStyle name="Millares [0] 3 6 4 5" xfId="16283" xr:uid="{F51C1E2A-BB3E-4AA4-B2C1-EEDDBFDA8B48}"/>
    <cellStyle name="Millares [0] 3 6 4 6" xfId="16826" xr:uid="{7641B39F-8B9E-415D-94FA-3065ABE972A7}"/>
    <cellStyle name="Millares [0] 3 6 4 7" xfId="17370" xr:uid="{96FF4F2A-0A73-4190-8695-AC85D8D0D19B}"/>
    <cellStyle name="Millares [0] 3 6 4 8" xfId="30088" xr:uid="{CC1617EF-ACDF-40B3-94C3-6CFFB09CD516}"/>
    <cellStyle name="Millares [0] 3 6 4 9" xfId="17875" xr:uid="{23F41828-B431-42AF-BCE0-442E5C434E9C}"/>
    <cellStyle name="Millares [0] 3 6 5" xfId="1955" xr:uid="{C3CCAB6A-D0BC-4228-9AAE-5FB04B9DC5E6}"/>
    <cellStyle name="Millares [0] 3 6 5 2" xfId="10226" xr:uid="{0DBDEBA6-D255-4C49-9910-CF64E70E88F6}"/>
    <cellStyle name="Millares [0] 3 6 5 2 2" xfId="45386" xr:uid="{2CBFF27E-CA9D-401D-87EF-78E107798339}"/>
    <cellStyle name="Millares [0] 3 6 5 3" xfId="13066" xr:uid="{D9BB08A1-EC02-4A6D-AD82-6BB72FF17223}"/>
    <cellStyle name="Millares [0] 3 6 5 4" xfId="35968" xr:uid="{6D27CCE4-BD0E-4BEE-9DF7-68EAA48FCF4F}"/>
    <cellStyle name="Millares [0] 3 6 5 5" xfId="42990" xr:uid="{EB852D66-FFF3-4325-9006-C8A61DE9E2F6}"/>
    <cellStyle name="Millares [0] 3 6 5 6" xfId="47883" xr:uid="{D3A7386D-AB07-49B9-9084-E2EEA983A3AE}"/>
    <cellStyle name="Millares [0] 3 6 6" xfId="2373" xr:uid="{55AE62FF-4C48-4380-B200-5752B615DBDE}"/>
    <cellStyle name="Millares [0] 3 6 6 2" xfId="10644" xr:uid="{A6896714-D3DB-4BE3-B366-2E491E8E2C2E}"/>
    <cellStyle name="Millares [0] 3 6 6 2 2" xfId="45804" xr:uid="{F247A40B-4C92-48FA-B373-7645918CBB3E}"/>
    <cellStyle name="Millares [0] 3 6 6 3" xfId="13484" xr:uid="{546262A3-B0D9-4DFE-B7C6-96C9702C0F70}"/>
    <cellStyle name="Millares [0] 3 6 6 4" xfId="43408" xr:uid="{5306E7A1-B7AC-43EC-BE28-05325CC39C86}"/>
    <cellStyle name="Millares [0] 3 6 6 5" xfId="48301" xr:uid="{CE761B41-FF8C-4BBC-A5F4-630AA2C95AA1}"/>
    <cellStyle name="Millares [0] 3 6 7" xfId="2917" xr:uid="{E7FC9E31-F6FF-4DC6-B4C2-4BD9591FF982}"/>
    <cellStyle name="Millares [0] 3 6 7 2" xfId="11188" xr:uid="{2A9B3EE5-61F3-48A1-AC53-64A38EFEADEE}"/>
    <cellStyle name="Millares [0] 3 6 7 2 2" xfId="46348" xr:uid="{B3BAFF41-0BC6-4FDC-BF89-D30252720C46}"/>
    <cellStyle name="Millares [0] 3 6 7 3" xfId="14028" xr:uid="{0CFF8E3E-C28F-4617-9C62-915289EFCA54}"/>
    <cellStyle name="Millares [0] 3 6 7 4" xfId="43952" xr:uid="{D1C7DA66-CB01-45EF-9565-0034E29CCEF5}"/>
    <cellStyle name="Millares [0] 3 6 7 5" xfId="48845" xr:uid="{674F5E0F-EDB6-4EB2-8A40-9643C1D63974}"/>
    <cellStyle name="Millares [0] 3 6 8" xfId="3419" xr:uid="{D2DC94D5-4091-4304-A8B9-643F6D1C934F}"/>
    <cellStyle name="Millares [0] 3 6 8 2" xfId="11660" xr:uid="{5C6AAFD5-5F87-4FD8-B8A7-072B65560452}"/>
    <cellStyle name="Millares [0] 3 6 8 3" xfId="14500" xr:uid="{7590C836-D183-40B2-BEB1-425D629422CD}"/>
    <cellStyle name="Millares [0] 3 6 8 4" xfId="44424" xr:uid="{19799FBF-F25D-46DC-933F-9F545EAEE8F3}"/>
    <cellStyle name="Millares [0] 3 6 8 5" xfId="49317" xr:uid="{95FD9268-4CC9-4106-9088-F3F9147FE436}"/>
    <cellStyle name="Millares [0] 3 6 9" xfId="3976" xr:uid="{9601369E-264C-48C1-A608-06FA2BE41660}"/>
    <cellStyle name="Millares [0] 3 6 9 2" xfId="12091" xr:uid="{E4519BDC-1CBD-4F87-AD9F-C90BF984D12D}"/>
    <cellStyle name="Millares [0] 3 6 9 3" xfId="14932" xr:uid="{F11082D6-B7C0-40E9-8EFB-BD5766221AB4}"/>
    <cellStyle name="Millares [0] 3 6 9 4" xfId="44842" xr:uid="{C78E0F5C-B18E-4919-9312-55A5641EEF53}"/>
    <cellStyle name="Millares [0] 3 6 9 5" xfId="49748" xr:uid="{99FA8167-F6A9-45DD-9B12-57A2B6401688}"/>
    <cellStyle name="Millares [0] 3 7" xfId="331" xr:uid="{00000000-0005-0000-0000-000045010000}"/>
    <cellStyle name="Millares [0] 3 7 10" xfId="15381" xr:uid="{CF05271A-1E12-46E2-96B1-B858E355C9E6}"/>
    <cellStyle name="Millares [0] 3 7 11" xfId="16062" xr:uid="{F3378F40-3D5F-430D-B775-62A0EA078A50}"/>
    <cellStyle name="Millares [0] 3 7 12" xfId="16605" xr:uid="{83EACC73-1DD1-418D-9A61-911D99875B9D}"/>
    <cellStyle name="Millares [0] 3 7 13" xfId="17149" xr:uid="{5831445D-FDEE-4732-8370-2A96FEDB2AF5}"/>
    <cellStyle name="Millares [0] 3 7 14" xfId="17530" xr:uid="{8498357C-4FCB-41CE-8189-7470936357F5}"/>
    <cellStyle name="Millares [0] 3 7 15" xfId="42643" xr:uid="{9B36A4B6-4523-4758-8406-02016CCA644A}"/>
    <cellStyle name="Millares [0] 3 7 16" xfId="47536" xr:uid="{2E8F9558-0442-4CD0-8379-488DAC8398D6}"/>
    <cellStyle name="Millares [0] 3 7 2" xfId="342" xr:uid="{00000000-0005-0000-0000-000046010000}"/>
    <cellStyle name="Millares [0] 3 7 2 2" xfId="41672" xr:uid="{181B1F73-B64F-4CF4-AD8F-002A8AB18378}"/>
    <cellStyle name="Millares [0] 3 7 2 3" xfId="18529" xr:uid="{69A56284-300D-4968-ACFD-8D3941769C9C}"/>
    <cellStyle name="Millares [0] 3 7 2 4" xfId="46846" xr:uid="{591F47DF-13E3-4D90-B501-34E0C414FCC8}"/>
    <cellStyle name="Millares [0] 3 7 2 5" xfId="47036" xr:uid="{9B89061E-5C02-42F5-9480-824AB9E390D5}"/>
    <cellStyle name="Millares [0] 3 7 3" xfId="2152" xr:uid="{07EFF197-03C6-4E80-A29B-AC85F17A5F25}"/>
    <cellStyle name="Millares [0] 3 7 3 2" xfId="10423" xr:uid="{3954D45B-019A-43C0-8434-8A75A270315A}"/>
    <cellStyle name="Millares [0] 3 7 3 2 2" xfId="45583" xr:uid="{1D62523D-15C5-43C9-BFEB-0C68D965FC2A}"/>
    <cellStyle name="Millares [0] 3 7 3 3" xfId="13263" xr:uid="{84CDAB32-30CB-4FCD-8849-FBB0C72E0939}"/>
    <cellStyle name="Millares [0] 3 7 3 4" xfId="24238" xr:uid="{8ACA52D2-972F-4906-AD48-43C090385618}"/>
    <cellStyle name="Millares [0] 3 7 3 5" xfId="43187" xr:uid="{43BF1A4D-D1E8-48CD-950D-DE8EE4DF5907}"/>
    <cellStyle name="Millares [0] 3 7 3 6" xfId="48080" xr:uid="{E68989AC-0C5A-44F9-BF18-86490AB810DC}"/>
    <cellStyle name="Millares [0] 3 7 4" xfId="2570" xr:uid="{39D8984B-3F29-4B8F-AD60-2FA1BC1C15BE}"/>
    <cellStyle name="Millares [0] 3 7 4 2" xfId="10841" xr:uid="{7187FA76-AE65-4A83-BA94-1BAA0E0ECE23}"/>
    <cellStyle name="Millares [0] 3 7 4 2 2" xfId="46001" xr:uid="{87BA2E34-DDE4-4513-BC64-399A4F2B5446}"/>
    <cellStyle name="Millares [0] 3 7 4 3" xfId="13681" xr:uid="{AFFF4F81-72DD-4211-86EB-2BA958ABAC7F}"/>
    <cellStyle name="Millares [0] 3 7 4 4" xfId="30116" xr:uid="{87AADF37-B758-4092-A4ED-350B0785EFEE}"/>
    <cellStyle name="Millares [0] 3 7 4 5" xfId="43605" xr:uid="{799CDA6D-A8D6-4F4B-9618-7BF30D7F028D}"/>
    <cellStyle name="Millares [0] 3 7 4 6" xfId="48498" xr:uid="{23488E20-60EB-4AD7-872A-FB6EB370C69A}"/>
    <cellStyle name="Millares [0] 3 7 5" xfId="3114" xr:uid="{580D556D-67D8-4548-A308-A3354BFD8691}"/>
    <cellStyle name="Millares [0] 3 7 5 2" xfId="11385" xr:uid="{5685E57E-EEC2-4C3E-9CA0-29B3A81F4044}"/>
    <cellStyle name="Millares [0] 3 7 5 2 2" xfId="46545" xr:uid="{279C6951-22B3-4A50-815B-EA24EBE9A064}"/>
    <cellStyle name="Millares [0] 3 7 5 3" xfId="14225" xr:uid="{FEF2487A-44BE-4724-9F78-0379A1451841}"/>
    <cellStyle name="Millares [0] 3 7 5 4" xfId="35996" xr:uid="{6552C4BF-C38B-4DE9-8AC2-30A4B69864C0}"/>
    <cellStyle name="Millares [0] 3 7 5 5" xfId="44149" xr:uid="{1F7FF330-E70F-4284-A66C-B5041263DD9C}"/>
    <cellStyle name="Millares [0] 3 7 5 6" xfId="49042" xr:uid="{671DBE6F-C1B6-4931-9165-D77C7299135B}"/>
    <cellStyle name="Millares [0] 3 7 6" xfId="3616" xr:uid="{BF626736-71B5-4D79-9125-167BA3FF1E15}"/>
    <cellStyle name="Millares [0] 3 7 6 2" xfId="11857" xr:uid="{145805B9-41EC-418E-BB06-8F54E473E2CF}"/>
    <cellStyle name="Millares [0] 3 7 6 3" xfId="14697" xr:uid="{FF3D467A-96DD-4D69-9A75-165C74E991ED}"/>
    <cellStyle name="Millares [0] 3 7 6 4" xfId="44621" xr:uid="{0D7DBB56-95EA-477C-9CB5-DF4A1950D244}"/>
    <cellStyle name="Millares [0] 3 7 6 5" xfId="46847" xr:uid="{80028161-E512-465C-AFAB-F55A223E86DF}"/>
    <cellStyle name="Millares [0] 3 7 6 6" xfId="47065" xr:uid="{BE9C21E8-30D6-4AFF-BF06-9A108418B1F4}"/>
    <cellStyle name="Millares [0] 3 7 6 7" xfId="49514" xr:uid="{B41275DB-F0F8-42A3-8C4D-CF4B2978019A}"/>
    <cellStyle name="Millares [0] 3 7 7" xfId="4002" xr:uid="{7BE9C98C-19C2-498F-86D5-D163185D0C05}"/>
    <cellStyle name="Millares [0] 3 7 7 2" xfId="12095" xr:uid="{D6B85540-8110-420B-A0C5-2A3B26C86BB4}"/>
    <cellStyle name="Millares [0] 3 7 7 3" xfId="14936" xr:uid="{96348388-564D-4463-8F8E-342EEAEF4C15}"/>
    <cellStyle name="Millares [0] 3 7 7 4" xfId="45039" xr:uid="{39281661-2A7C-46B8-8BD7-94194C7934B4}"/>
    <cellStyle name="Millares [0] 3 7 7 5" xfId="49752" xr:uid="{F5277D37-1565-4657-B117-B8FC8AFA2221}"/>
    <cellStyle name="Millares [0] 3 7 8" xfId="9879" xr:uid="{FA562959-68B8-4C46-8939-EB3FEE961365}"/>
    <cellStyle name="Millares [0] 3 7 9" xfId="12719" xr:uid="{35982BA0-B623-4ABC-8F40-D90B77359074}"/>
    <cellStyle name="Millares [0] 3 8" xfId="339" xr:uid="{00000000-0005-0000-0000-000047010000}"/>
    <cellStyle name="Millares [0] 3 8 10" xfId="16069" xr:uid="{8F41877E-4B07-4BB7-8234-25B6ADEEFCDC}"/>
    <cellStyle name="Millares [0] 3 8 11" xfId="16612" xr:uid="{E683FA1F-4278-435B-8C64-DAFCCA64AF9B}"/>
    <cellStyle name="Millares [0] 3 8 12" xfId="17156" xr:uid="{10D6E9D8-46BB-4E60-99D9-0E4A76CAF71B}"/>
    <cellStyle name="Millares [0] 3 8 13" xfId="17830" xr:uid="{78884129-9E94-4B7C-96AC-2E51D8ED83BA}"/>
    <cellStyle name="Millares [0] 3 8 14" xfId="18212" xr:uid="{F93E763C-6DB6-4F60-BE74-FB12941FBFC0}"/>
    <cellStyle name="Millares [0] 3 8 15" xfId="42650" xr:uid="{F52FC973-3642-424F-A16C-FEF60E0626B9}"/>
    <cellStyle name="Millares [0] 3 8 16" xfId="47543" xr:uid="{B642AAEA-9795-4582-BA8F-5D5E97133E54}"/>
    <cellStyle name="Millares [0] 3 8 2" xfId="2159" xr:uid="{5D9EFED1-494F-4E78-9256-F5DE50A78F02}"/>
    <cellStyle name="Millares [0] 3 8 2 2" xfId="10430" xr:uid="{94986CFB-9BB9-4A5F-80E9-809C759595AE}"/>
    <cellStyle name="Millares [0] 3 8 2 2 2" xfId="41830" xr:uid="{4208EE2A-CC87-490B-B1C7-21036BBA745B}"/>
    <cellStyle name="Millares [0] 3 8 2 2 3" xfId="45590" xr:uid="{8B30D971-2E89-4E4F-8D5A-DBBAD5C9638D}"/>
    <cellStyle name="Millares [0] 3 8 2 3" xfId="13270" xr:uid="{A23EA86C-1725-414A-84D3-56B0C9BE4B69}"/>
    <cellStyle name="Millares [0] 3 8 2 4" xfId="20757" xr:uid="{A4A99ACB-DF2F-46C3-9773-0C8C873C2BEC}"/>
    <cellStyle name="Millares [0] 3 8 2 5" xfId="43194" xr:uid="{39147CE8-D511-4651-AE38-4E649A271308}"/>
    <cellStyle name="Millares [0] 3 8 2 6" xfId="48087" xr:uid="{51F2E374-B930-4EE9-A8D8-DA619DECFE5F}"/>
    <cellStyle name="Millares [0] 3 8 3" xfId="2577" xr:uid="{0BBB8B59-D777-4CDD-AB84-494015FC74ED}"/>
    <cellStyle name="Millares [0] 3 8 3 2" xfId="10848" xr:uid="{69D1EDCA-7FF7-49F8-8C95-E960AE1DC9F5}"/>
    <cellStyle name="Millares [0] 3 8 3 2 2" xfId="46008" xr:uid="{78A475A7-A575-4B47-824B-DDE6DD9D79A6}"/>
    <cellStyle name="Millares [0] 3 8 3 3" xfId="13688" xr:uid="{7F83F603-BE13-4050-8D34-65A53869B537}"/>
    <cellStyle name="Millares [0] 3 8 3 4" xfId="26566" xr:uid="{BC9CA3BC-7DEA-4249-B3EB-06EAB61B0854}"/>
    <cellStyle name="Millares [0] 3 8 3 5" xfId="43612" xr:uid="{6E02CDA3-E3F6-491B-809B-8582A3DB9BE6}"/>
    <cellStyle name="Millares [0] 3 8 3 6" xfId="48505" xr:uid="{599AEDCF-2BF0-48AF-A199-A2B861D402A3}"/>
    <cellStyle name="Millares [0] 3 8 4" xfId="3121" xr:uid="{7E8EE476-F0FA-421E-93FC-BC7FE3724BF3}"/>
    <cellStyle name="Millares [0] 3 8 4 2" xfId="11392" xr:uid="{0685DB60-B655-4182-8596-A1ECA7CDF408}"/>
    <cellStyle name="Millares [0] 3 8 4 2 2" xfId="46552" xr:uid="{E7718320-F18F-410D-B27B-906CB574B8A9}"/>
    <cellStyle name="Millares [0] 3 8 4 3" xfId="14232" xr:uid="{C3E80D00-C41A-4273-9E16-BA378DC3E61D}"/>
    <cellStyle name="Millares [0] 3 8 4 4" xfId="32441" xr:uid="{E57E8A25-13B2-42A4-B958-918E90D86729}"/>
    <cellStyle name="Millares [0] 3 8 4 5" xfId="44156" xr:uid="{C4C0AAC7-20EB-46EC-AABD-37F397E928BF}"/>
    <cellStyle name="Millares [0] 3 8 4 6" xfId="49049" xr:uid="{7ED09FF5-E690-4BF2-A243-1A7D20E712A8}"/>
    <cellStyle name="Millares [0] 3 8 5" xfId="3623" xr:uid="{8310179E-E74B-4EC8-ABB9-F3F68D8870CB}"/>
    <cellStyle name="Millares [0] 3 8 5 2" xfId="11864" xr:uid="{D45D99E2-E511-4D12-91B7-F1DDED999E24}"/>
    <cellStyle name="Millares [0] 3 8 5 2 2" xfId="47288" xr:uid="{A9896F66-5A08-431A-BCFC-6FC809DC9FFB}"/>
    <cellStyle name="Millares [0] 3 8 5 3" xfId="14704" xr:uid="{1C25DC5E-CEA5-4FD6-A07F-F206DA18D5FE}"/>
    <cellStyle name="Millares [0] 3 8 5 3 2" xfId="47200" xr:uid="{A607E3CC-072F-4B70-8F93-C9D8BB2D9122}"/>
    <cellStyle name="Millares [0] 3 8 5 4" xfId="38306" xr:uid="{93BBDEB9-9058-4D12-9A68-067269AFDD8E}"/>
    <cellStyle name="Millares [0] 3 8 5 5" xfId="44628" xr:uid="{02867700-FB69-4DF9-9ED1-3261D24F613C}"/>
    <cellStyle name="Millares [0] 3 8 5 6" xfId="46848" xr:uid="{269A1896-3AF7-4994-AF33-10C88C8242D7}"/>
    <cellStyle name="Millares [0] 3 8 5 7" xfId="49521" xr:uid="{166E887D-A06D-4533-B4E5-F785E7100F31}"/>
    <cellStyle name="Millares [0] 3 8 6" xfId="6316" xr:uid="{F6265DF1-A6C8-41A8-B271-103377C5BCDA}"/>
    <cellStyle name="Millares [0] 3 8 6 2" xfId="12253" xr:uid="{291033E8-A96E-4F35-844C-A7CDBFA006A4}"/>
    <cellStyle name="Millares [0] 3 8 6 3" xfId="15094" xr:uid="{8E60F93C-D281-4057-B535-53AFCEB1917D}"/>
    <cellStyle name="Millares [0] 3 8 6 4" xfId="45046" xr:uid="{6819C4B0-4C7C-47DD-B1BA-CE0044092CB9}"/>
    <cellStyle name="Millares [0] 3 8 6 5" xfId="49910" xr:uid="{F58BD70F-FB86-486F-935F-69ABE1BE58EF}"/>
    <cellStyle name="Millares [0] 3 8 7" xfId="9886" xr:uid="{342743DB-47D8-4CAA-A62A-1AA50BCBE5DF}"/>
    <cellStyle name="Millares [0] 3 8 8" xfId="12726" xr:uid="{5BBE7A76-7FD9-45A0-A021-A5626385A656}"/>
    <cellStyle name="Millares [0] 3 8 9" xfId="15541" xr:uid="{18C733F3-C30B-4936-A1DA-EF6CB75C2DD1}"/>
    <cellStyle name="Millares [0] 3 9" xfId="651" xr:uid="{00000000-0005-0000-0000-000048010000}"/>
    <cellStyle name="Millares [0] 3 9 10" xfId="17850" xr:uid="{E9FFD9C7-BAAE-47E2-A3CC-499442BC1F2F}"/>
    <cellStyle name="Millares [0] 3 9 11" xfId="42955" xr:uid="{F401947B-F6B7-483E-B6BD-BA7A2B040679}"/>
    <cellStyle name="Millares [0] 3 9 12" xfId="47848" xr:uid="{D07E378E-75AD-4A37-BB5C-E1C0C8ED830D}"/>
    <cellStyle name="Millares [0] 3 9 2" xfId="2882" xr:uid="{E296E4DE-05FE-4CD6-81D7-27693C9D7A1A}"/>
    <cellStyle name="Millares [0] 3 9 2 2" xfId="11153" xr:uid="{2F450037-32F1-410F-BD8C-BFC4919B2A4E}"/>
    <cellStyle name="Millares [0] 3 9 2 2 2" xfId="41843" xr:uid="{B027549C-F1D2-4957-8BCA-1CBE1EFCBB6A}"/>
    <cellStyle name="Millares [0] 3 9 2 2 3" xfId="46313" xr:uid="{DD98FBE9-B896-4612-9AE9-506067739E30}"/>
    <cellStyle name="Millares [0] 3 9 2 3" xfId="13993" xr:uid="{B03F3D1A-5AAE-4A9B-A076-09E78D6E1A10}"/>
    <cellStyle name="Millares [0] 3 9 2 4" xfId="20852" xr:uid="{E76FDC6B-A011-4223-969D-0B5C8597175C}"/>
    <cellStyle name="Millares [0] 3 9 2 5" xfId="43917" xr:uid="{3B68D6E6-8718-417D-8959-E450C0DFBFF7}"/>
    <cellStyle name="Millares [0] 3 9 2 6" xfId="48810" xr:uid="{AAD90CF7-0C63-48A5-B6F1-4131CADC8DF5}"/>
    <cellStyle name="Millares [0] 3 9 3" xfId="6411" xr:uid="{90F90F0E-8F04-4C20-A02D-7FA857F18AAF}"/>
    <cellStyle name="Millares [0] 3 9 3 2" xfId="12266" xr:uid="{1D738555-C819-4E89-AA5A-E6D9DF196165}"/>
    <cellStyle name="Millares [0] 3 9 3 3" xfId="15107" xr:uid="{D536C70A-9DDD-4197-A96C-C967CFE63F42}"/>
    <cellStyle name="Millares [0] 3 9 3 4" xfId="26661" xr:uid="{6DDF31E3-7098-4610-B2A7-9CC81D54030A}"/>
    <cellStyle name="Millares [0] 3 9 3 5" xfId="45351" xr:uid="{2272DCAA-5A97-4FF3-BA64-70B64A56FF5B}"/>
    <cellStyle name="Millares [0] 3 9 3 6" xfId="49923" xr:uid="{B53401E5-7CFB-4CE9-B363-7C94B26031B0}"/>
    <cellStyle name="Millares [0] 3 9 4" xfId="10191" xr:uid="{42914A9B-7E9F-433A-9903-EAA26AEEF9B3}"/>
    <cellStyle name="Millares [0] 3 9 4 2" xfId="32536" xr:uid="{B84224B2-B609-488A-8047-650BBE3A37F7}"/>
    <cellStyle name="Millares [0] 3 9 5" xfId="13031" xr:uid="{3E04CE9B-A409-48D2-965D-70AF614FFB9D}"/>
    <cellStyle name="Millares [0] 3 9 5 2" xfId="38400" xr:uid="{25A15B33-332E-4301-BBD3-331886F89B3B}"/>
    <cellStyle name="Millares [0] 3 9 6" xfId="15554" xr:uid="{8B7C556B-3E94-40E8-B30C-3A1C9AF034DF}"/>
    <cellStyle name="Millares [0] 3 9 7" xfId="16374" xr:uid="{789BC0CC-97CB-424D-B634-3221A96D0FBA}"/>
    <cellStyle name="Millares [0] 3 9 8" xfId="16917" xr:uid="{E8806912-1E23-4CC4-9AD6-AE05429DCE18}"/>
    <cellStyle name="Millares [0] 3 9 9" xfId="17461" xr:uid="{04C53ABA-8D7D-4CB1-BEA4-FC9D6A205404}"/>
    <cellStyle name="Millares [0] 30" xfId="15850" xr:uid="{4072AB6D-8DB0-4027-8651-1AEACD8ED2EF}"/>
    <cellStyle name="Millares [0] 30 2" xfId="18312" xr:uid="{0132D037-2755-4CC3-A543-3694131EA45D}"/>
    <cellStyle name="Millares [0] 31" xfId="16397" xr:uid="{04869145-F4A5-4F09-90F2-7E4EC2522D87}"/>
    <cellStyle name="Millares [0] 31 2" xfId="24024" xr:uid="{3256EFE5-65CF-49D4-86C1-DB16211776B8}"/>
    <cellStyle name="Millares [0] 32" xfId="16941" xr:uid="{B0B0C6A5-35A6-4F90-A881-21A55124F241}"/>
    <cellStyle name="Millares [0] 32 2" xfId="29902" xr:uid="{BC3F4DD7-C69D-47EF-999A-A0C1EE6E7FDC}"/>
    <cellStyle name="Millares [0] 33" xfId="35783" xr:uid="{CC8BF322-CEE3-49DC-9B41-748A23DDAEAE}"/>
    <cellStyle name="Millares [0] 34" xfId="42048" xr:uid="{B23BC311-A601-4E02-A658-C9539DDF203C}"/>
    <cellStyle name="Millares [0] 35" xfId="42084" xr:uid="{C1EBAC48-5FF1-4377-BF54-DA76CDEC6DAD}"/>
    <cellStyle name="Millares [0] 36" xfId="42435" xr:uid="{F57AB05D-912F-42BB-ACD9-0B1D59661B0A}"/>
    <cellStyle name="Millares [0] 37" xfId="47325" xr:uid="{158B4B73-CE70-4BC5-BE86-E0AB21CDA4B7}"/>
    <cellStyle name="Millares [0] 38" xfId="47328" xr:uid="{40E25514-6996-4E31-A0A7-1287719A9E11}"/>
    <cellStyle name="Millares [0] 39" xfId="50169" xr:uid="{AE7F5A3D-1D55-4A40-B0B9-0E95A986BAF0}"/>
    <cellStyle name="Millares [0] 4" xfId="101" xr:uid="{00000000-0005-0000-0000-000049010000}"/>
    <cellStyle name="Millares [0] 4 10" xfId="1963" xr:uid="{D089B14B-6343-4DFF-BF97-804434BE764F}"/>
    <cellStyle name="Millares [0] 4 10 2" xfId="9092" xr:uid="{30D52C36-10B3-48BE-85D5-D53B60023CC8}"/>
    <cellStyle name="Millares [0] 4 10 2 2" xfId="12435" xr:uid="{E6876F38-EBC6-4E2F-86F6-907169A4C886}"/>
    <cellStyle name="Millares [0] 4 10 2 2 2" xfId="42012" xr:uid="{886B681D-7262-450B-BECC-67D09DD42AC8}"/>
    <cellStyle name="Millares [0] 4 10 2 2 3" xfId="23456" xr:uid="{07F3FA3A-84AE-46AD-8DC8-05F5383BED43}"/>
    <cellStyle name="Millares [0] 4 10 2 3" xfId="15276" xr:uid="{CADDA5BF-CA2A-437D-A9EE-317B9100F2C7}"/>
    <cellStyle name="Millares [0] 4 10 2 3 2" xfId="29323" xr:uid="{A671303F-DEED-4FD2-A2B1-83116497F6CB}"/>
    <cellStyle name="Millares [0] 4 10 2 4" xfId="15725" xr:uid="{CFF289E4-BAC4-4CEF-A811-CFEE47938B99}"/>
    <cellStyle name="Millares [0] 4 10 2 4 2" xfId="35205" xr:uid="{EBC49729-EFE4-40D4-812C-0FCF336DB2E1}"/>
    <cellStyle name="Millares [0] 4 10 2 5" xfId="41066" xr:uid="{AB667B1C-AB3A-4B14-BBFE-AAE9FC55752D}"/>
    <cellStyle name="Millares [0] 4 10 2 6" xfId="18202" xr:uid="{1C07BD48-C582-4C40-900D-54F62F5E132F}"/>
    <cellStyle name="Millares [0] 4 10 2 7" xfId="45394" xr:uid="{EE381F0F-4BEA-4536-9312-0ED7D00C8C56}"/>
    <cellStyle name="Millares [0] 4 10 2 8" xfId="50092" xr:uid="{24EDB1E3-4179-46B9-B1A8-2716398ADFC9}"/>
    <cellStyle name="Millares [0] 4 10 3" xfId="6223" xr:uid="{BEB9043A-E2A9-4230-BF6A-17C9B58C578A}"/>
    <cellStyle name="Millares [0] 4 10 3 2" xfId="12248" xr:uid="{D391D419-0C4D-40EF-9527-0CD2EF711716}"/>
    <cellStyle name="Millares [0] 4 10 3 2 2" xfId="41825" xr:uid="{95926344-FAEB-4FD9-90F9-EA96B13D6937}"/>
    <cellStyle name="Millares [0] 4 10 3 3" xfId="15089" xr:uid="{5950613B-0BEF-4B6D-8A5F-E100654741CA}"/>
    <cellStyle name="Millares [0] 4 10 3 4" xfId="20669" xr:uid="{D10EE252-D84F-4D69-9FD2-53344C71BE28}"/>
    <cellStyle name="Millares [0] 4 10 3 5" xfId="49905" xr:uid="{783CABE9-15AB-443B-B8EE-97AE78C8E64D}"/>
    <cellStyle name="Millares [0] 4 10 4" xfId="10234" xr:uid="{DF6ACBA1-05E7-4CE8-AEAB-05F2DE621954}"/>
    <cellStyle name="Millares [0] 4 10 4 2" xfId="26473" xr:uid="{333F4339-A47E-48A0-96CC-DF18D0FBE525}"/>
    <cellStyle name="Millares [0] 4 10 5" xfId="13074" xr:uid="{F13363B0-F383-4068-8379-1D22726F8118}"/>
    <cellStyle name="Millares [0] 4 10 5 2" xfId="32348" xr:uid="{81D13AE4-CEF4-4172-9AE6-D84691B632A7}"/>
    <cellStyle name="Millares [0] 4 10 6" xfId="15536" xr:uid="{51AFE1AA-6BC3-4736-AD30-8AE2FA17365B}"/>
    <cellStyle name="Millares [0] 4 10 6 2" xfId="38213" xr:uid="{5BD107BB-9AB2-4819-8DF2-83BD7649411C}"/>
    <cellStyle name="Millares [0] 4 10 7" xfId="17819" xr:uid="{63634003-0321-46C9-86FF-730218756360}"/>
    <cellStyle name="Millares [0] 4 10 8" xfId="42998" xr:uid="{3CD2C583-27E4-4863-8435-5021845DB9E8}"/>
    <cellStyle name="Millares [0] 4 10 9" xfId="47891" xr:uid="{BEDC21B7-4063-424A-8DF3-BFD0BA0CD360}"/>
    <cellStyle name="Millares [0] 4 11" xfId="2381" xr:uid="{A2F8E6DB-C5CD-4E68-B393-AE6CBEFF0B40}"/>
    <cellStyle name="Millares [0] 4 11 2" xfId="9184" xr:uid="{8CD43329-6C57-4B80-A06F-7F8E9ED62408}"/>
    <cellStyle name="Millares [0] 4 11 2 2" xfId="12439" xr:uid="{C81F6F4C-EE6E-4B64-825F-53C1EEB4CF66}"/>
    <cellStyle name="Millares [0] 4 11 2 2 2" xfId="42016" xr:uid="{7A81BDF1-161B-4375-896A-E5D5ADD7E594}"/>
    <cellStyle name="Millares [0] 4 11 2 2 3" xfId="23548" xr:uid="{64D4254A-816D-4E24-9436-8777DA5969EA}"/>
    <cellStyle name="Millares [0] 4 11 2 3" xfId="15280" xr:uid="{87190A48-9889-49FE-B6B8-88B23E5BD867}"/>
    <cellStyle name="Millares [0] 4 11 2 3 2" xfId="29415" xr:uid="{F1E0D426-8A03-4F64-AFC3-C118336F64F7}"/>
    <cellStyle name="Millares [0] 4 11 2 4" xfId="15729" xr:uid="{618D9CAC-2469-4CEB-873C-8104F0586FD8}"/>
    <cellStyle name="Millares [0] 4 11 2 4 2" xfId="35297" xr:uid="{A3FEEBC3-F0C0-4267-917E-E52FD72D4514}"/>
    <cellStyle name="Millares [0] 4 11 2 5" xfId="41156" xr:uid="{D5F57E23-BDB1-48EC-A1BA-6891E1442FE4}"/>
    <cellStyle name="Millares [0] 4 11 2 6" xfId="18213" xr:uid="{9C051F40-B3D7-4190-A512-54ECFD77452E}"/>
    <cellStyle name="Millares [0] 4 11 2 7" xfId="45812" xr:uid="{D7B19CFC-7378-4683-A4A4-6944FB5B4DCF}"/>
    <cellStyle name="Millares [0] 4 11 2 8" xfId="50096" xr:uid="{7597867F-397A-48E5-8966-6F78EDED2307}"/>
    <cellStyle name="Millares [0] 4 11 3" xfId="6317" xr:uid="{ED1D68CF-3662-482A-9865-9EF3BC526FCF}"/>
    <cellStyle name="Millares [0] 4 11 3 2" xfId="12254" xr:uid="{807E9BB8-148A-464F-90E6-C32FA2068B22}"/>
    <cellStyle name="Millares [0] 4 11 3 2 2" xfId="41831" xr:uid="{24E6C574-E2FD-4FB1-A7DD-1DDEF3AAC973}"/>
    <cellStyle name="Millares [0] 4 11 3 3" xfId="15095" xr:uid="{D1854B4C-0123-477F-BE42-4950A385B3D6}"/>
    <cellStyle name="Millares [0] 4 11 3 4" xfId="20758" xr:uid="{991793D2-AD31-4402-B6A2-1D0B553BB252}"/>
    <cellStyle name="Millares [0] 4 11 3 5" xfId="49911" xr:uid="{9546FA43-3460-4246-871C-E4C810BA5F12}"/>
    <cellStyle name="Millares [0] 4 11 4" xfId="10652" xr:uid="{DB0C8BDB-0A64-45B8-9091-323F5D31627A}"/>
    <cellStyle name="Millares [0] 4 11 4 2" xfId="26567" xr:uid="{C7CB4B7D-97AA-42D7-BFE0-028A12FD99CB}"/>
    <cellStyle name="Millares [0] 4 11 5" xfId="13492" xr:uid="{5677F8C8-F0A3-42C0-85F9-A557051E1FE1}"/>
    <cellStyle name="Millares [0] 4 11 5 2" xfId="32442" xr:uid="{37326250-89F0-4587-877C-6713F65B5A16}"/>
    <cellStyle name="Millares [0] 4 11 6" xfId="15542" xr:uid="{13D0AC5B-BE4D-456F-A187-5F0A5AFE3298}"/>
    <cellStyle name="Millares [0] 4 11 6 2" xfId="38307" xr:uid="{84BBC427-9DBF-45FE-B8B6-40B4B9037661}"/>
    <cellStyle name="Millares [0] 4 11 7" xfId="17831" xr:uid="{23FCE5B9-F8B3-4CBC-A1DF-9A77601DCDFE}"/>
    <cellStyle name="Millares [0] 4 11 8" xfId="43416" xr:uid="{19C08475-3BA9-4091-A4FD-5F8D115DA1BB}"/>
    <cellStyle name="Millares [0] 4 11 9" xfId="48309" xr:uid="{1DF587DE-F56D-49D4-B814-D2BF6F911831}"/>
    <cellStyle name="Millares [0] 4 12" xfId="2925" xr:uid="{3187B448-192E-4ACB-AAD6-FAEAFFB1775B}"/>
    <cellStyle name="Millares [0] 4 12 2" xfId="9303" xr:uid="{0DA0E161-E75C-48D9-910A-739354C5CFE1}"/>
    <cellStyle name="Millares [0] 4 12 2 2" xfId="12449" xr:uid="{62702048-60EE-47D7-BAC0-7B00F01F12E6}"/>
    <cellStyle name="Millares [0] 4 12 2 2 2" xfId="42026" xr:uid="{3BF01343-6C4D-4450-A424-D8E7E814B9F7}"/>
    <cellStyle name="Millares [0] 4 12 2 2 3" xfId="23666" xr:uid="{72D02463-26DD-45AF-B9B7-ACB928B5D1C1}"/>
    <cellStyle name="Millares [0] 4 12 2 3" xfId="15290" xr:uid="{0B443E5F-0DF3-421F-A0CA-1AB37C8CA103}"/>
    <cellStyle name="Millares [0] 4 12 2 3 2" xfId="29534" xr:uid="{2442DDE5-045D-4A0C-8B7C-E65A13CD4859}"/>
    <cellStyle name="Millares [0] 4 12 2 4" xfId="15740" xr:uid="{75FCAD6C-F03C-4B0E-8DC8-5A3732146517}"/>
    <cellStyle name="Millares [0] 4 12 2 4 2" xfId="35416" xr:uid="{A6EE26F5-B299-40D8-9DFB-2EB50A91F6AB}"/>
    <cellStyle name="Millares [0] 4 12 2 5" xfId="41275" xr:uid="{ABF60133-9D0B-45FE-A310-036A13A5EAB0}"/>
    <cellStyle name="Millares [0] 4 12 2 6" xfId="18230" xr:uid="{FEE4BA3C-4736-4DDE-9C47-0DDD16DBC72A}"/>
    <cellStyle name="Millares [0] 4 12 2 7" xfId="46356" xr:uid="{D647CBBA-4E25-4D30-8864-750FF4866099}"/>
    <cellStyle name="Millares [0] 4 12 2 8" xfId="50106" xr:uid="{9E592647-0ACA-4147-9135-5DE213F841CB}"/>
    <cellStyle name="Millares [0] 4 12 3" xfId="6442" xr:uid="{77BB117B-E4F0-4091-84EF-D992BAD07B1F}"/>
    <cellStyle name="Millares [0] 4 12 3 2" xfId="12270" xr:uid="{DE69BF48-8915-4A82-9031-02D2EC4BB75B}"/>
    <cellStyle name="Millares [0] 4 12 3 2 2" xfId="41847" xr:uid="{961A244B-0D5C-4344-863A-EA1392CFF8BD}"/>
    <cellStyle name="Millares [0] 4 12 3 3" xfId="15111" xr:uid="{5505DF12-857D-49B9-A494-3C544C6D0747}"/>
    <cellStyle name="Millares [0] 4 12 3 4" xfId="20882" xr:uid="{B2DB4BDC-580C-4438-B7E2-709995AD149E}"/>
    <cellStyle name="Millares [0] 4 12 3 5" xfId="49927" xr:uid="{62ED7C3A-021E-424E-B62A-B1CDE8A5E47C}"/>
    <cellStyle name="Millares [0] 4 12 4" xfId="11196" xr:uid="{B7243799-D412-4617-AF43-AC57EE8E8A8E}"/>
    <cellStyle name="Millares [0] 4 12 4 2" xfId="26692" xr:uid="{69C017E6-4C81-4DBD-A5E4-AA964D9EF1AB}"/>
    <cellStyle name="Millares [0] 4 12 5" xfId="14036" xr:uid="{F2DA9CB9-467D-49DA-B243-D46B9648339E}"/>
    <cellStyle name="Millares [0] 4 12 5 2" xfId="32567" xr:uid="{5F823EF5-0AB4-4893-89B9-61B905832403}"/>
    <cellStyle name="Millares [0] 4 12 6" xfId="15558" xr:uid="{3436C5ED-FCE8-4FD8-BEF3-950A2CAC657E}"/>
    <cellStyle name="Millares [0] 4 12 6 2" xfId="38431" xr:uid="{8A2AB13A-F299-466D-8BD8-AC8D2F22D129}"/>
    <cellStyle name="Millares [0] 4 12 7" xfId="17855" xr:uid="{F8FEC2A3-9D53-4BA7-805B-7358CCA36E8F}"/>
    <cellStyle name="Millares [0] 4 12 8" xfId="43960" xr:uid="{4A358236-6015-40F0-B7D1-0AF4821D624E}"/>
    <cellStyle name="Millares [0] 4 12 9" xfId="48853" xr:uid="{6013D5AA-2B07-44FB-AD0C-449CE6F16D8D}"/>
    <cellStyle name="Millares [0] 4 13" xfId="3358" xr:uid="{29DE68BE-CB56-4C23-B8AF-91C6BE93AD6A}"/>
    <cellStyle name="Millares [0] 4 13 2" xfId="6682" xr:uid="{C13F6ADC-38BB-4B15-BBD0-AF7BC1EEE552}"/>
    <cellStyle name="Millares [0] 4 13 2 2" xfId="12275" xr:uid="{279411BF-2001-4E58-B868-54F6B9ABA0D8}"/>
    <cellStyle name="Millares [0] 4 13 2 2 2" xfId="41852" xr:uid="{EBDD82A6-A5E0-44C1-B0FC-487E139AFE8E}"/>
    <cellStyle name="Millares [0] 4 13 2 3" xfId="15116" xr:uid="{5757A5EC-98B8-4654-B256-44AFBB60A156}"/>
    <cellStyle name="Millares [0] 4 13 2 4" xfId="21111" xr:uid="{FC865330-CE6F-49D2-BFA9-D93F8EDEB12B}"/>
    <cellStyle name="Millares [0] 4 13 2 5" xfId="46770" xr:uid="{1E667A7A-CC59-4453-8005-F84FFD7B62BB}"/>
    <cellStyle name="Millares [0] 4 13 2 6" xfId="49932" xr:uid="{3D15CF54-9EE5-4A94-896B-38D679CEC99B}"/>
    <cellStyle name="Millares [0] 4 13 3" xfId="11610" xr:uid="{B27C6A36-EE1C-48D1-B73F-05F53220A28E}"/>
    <cellStyle name="Millares [0] 4 13 3 2" xfId="26923" xr:uid="{6F7CC3CB-379A-4ED8-9806-8C1BA56DFE75}"/>
    <cellStyle name="Millares [0] 4 13 4" xfId="14450" xr:uid="{E450C6D9-0135-4E9A-A9FC-48B2D7CC406A}"/>
    <cellStyle name="Millares [0] 4 13 4 2" xfId="32798" xr:uid="{70477F8A-E0E8-46B0-97E4-8D015017D514}"/>
    <cellStyle name="Millares [0] 4 13 5" xfId="15563" xr:uid="{4AEEE72C-86FA-4770-81F4-8E896FDE28BB}"/>
    <cellStyle name="Millares [0] 4 13 5 2" xfId="38662" xr:uid="{A2190555-D34B-456A-A6C2-9988CA8ADF57}"/>
    <cellStyle name="Millares [0] 4 13 6" xfId="17884" xr:uid="{D83E7C7A-8438-4CEA-AEB9-B542D75D5A7C}"/>
    <cellStyle name="Millares [0] 4 13 7" xfId="44374" xr:uid="{57923A0B-E8AD-49E5-A836-4517682FAD99}"/>
    <cellStyle name="Millares [0] 4 13 8" xfId="49267" xr:uid="{86E31B5A-3025-4538-8839-FFE5CA8E6F8C}"/>
    <cellStyle name="Millares [0] 4 14" xfId="3427" xr:uid="{7C3FB57E-ABFA-425D-9A33-F14217C8CEFE}"/>
    <cellStyle name="Millares [0] 4 14 2" xfId="9553" xr:uid="{8975A5C7-8C13-43B1-8753-352913C1F8B0}"/>
    <cellStyle name="Millares [0] 4 14 2 2" xfId="12453" xr:uid="{EC9FC22D-9607-4ADD-A382-63D1445BD309}"/>
    <cellStyle name="Millares [0] 4 14 2 2 2" xfId="42030" xr:uid="{A209F75F-2956-4DCA-A468-1BE3FE7A10DD}"/>
    <cellStyle name="Millares [0] 4 14 2 3" xfId="15294" xr:uid="{E763F82E-61E0-4431-A8A2-91991EC79292}"/>
    <cellStyle name="Millares [0] 4 14 2 4" xfId="23915" xr:uid="{911D1F15-E9C0-4A4C-A37C-FDC4DBFC96BB}"/>
    <cellStyle name="Millares [0] 4 14 2 5" xfId="50110" xr:uid="{DE27E3D2-AB4C-4EF4-97A6-F1DD1634B822}"/>
    <cellStyle name="Millares [0] 4 14 3" xfId="11668" xr:uid="{433A0222-7056-49E4-BE92-1F351319675C}"/>
    <cellStyle name="Millares [0] 4 14 3 2" xfId="29785" xr:uid="{E4384115-138D-4BFB-AD75-13FF05692B69}"/>
    <cellStyle name="Millares [0] 4 14 4" xfId="14508" xr:uid="{0C1376A3-EE3D-4A8F-A375-B682C0C515F9}"/>
    <cellStyle name="Millares [0] 4 14 4 2" xfId="35667" xr:uid="{5587A9DE-5660-4F00-A13E-683A6C0A4F93}"/>
    <cellStyle name="Millares [0] 4 14 5" xfId="15744" xr:uid="{55495C7D-B6DB-424D-86F9-18BA11031FEE}"/>
    <cellStyle name="Millares [0] 4 14 5 2" xfId="41526" xr:uid="{C2BE849C-5EC4-4C84-8574-AB52068496F4}"/>
    <cellStyle name="Millares [0] 4 14 6" xfId="18257" xr:uid="{2868C566-5718-4E2E-95F8-82D5FC90CD1F}"/>
    <cellStyle name="Millares [0] 4 14 7" xfId="44432" xr:uid="{F1900EF3-EE8F-47F9-820C-B2507442A5C4}"/>
    <cellStyle name="Millares [0] 4 14 8" xfId="49325" xr:uid="{AA767055-C96A-4E1B-91D3-6E384ACE751E}"/>
    <cellStyle name="Millares [0] 4 15" xfId="3830" xr:uid="{53313B5B-FC50-4290-A305-6C0D583C4102}"/>
    <cellStyle name="Millares [0] 4 15 2" xfId="12067" xr:uid="{F4005542-C72B-49E0-96A5-48CC1DB5C309}"/>
    <cellStyle name="Millares [0] 4 15 2 2" xfId="41643" xr:uid="{716B64E7-4DC8-44A3-B8A5-CBFDCCC0E9A7}"/>
    <cellStyle name="Millares [0] 4 15 3" xfId="14908" xr:uid="{B2A5A707-3820-4637-B428-5848683CB8FE}"/>
    <cellStyle name="Millares [0] 4 15 4" xfId="15836" xr:uid="{4CB6290F-AC35-4268-97F1-C8B4D6565BD0}"/>
    <cellStyle name="Millares [0] 4 15 5" xfId="18280" xr:uid="{0E539882-CF9C-4686-9E99-1820CA0C4EE6}"/>
    <cellStyle name="Millares [0] 4 15 6" xfId="44850" xr:uid="{9B4DADB7-C6B0-4E8D-8A10-5115E03F2328}"/>
    <cellStyle name="Millares [0] 4 15 7" xfId="49724" xr:uid="{9F122737-D898-4118-B43B-949651C33FC7}"/>
    <cellStyle name="Millares [0] 4 16" xfId="9636" xr:uid="{3C70C238-6694-46B6-BA26-0AC89DBA93CD}"/>
    <cellStyle name="Millares [0] 4 16 2" xfId="12476" xr:uid="{CA86D855-2529-4529-8B7D-93E04DE6101B}"/>
    <cellStyle name="Millares [0] 4 16 3" xfId="15317" xr:uid="{89279B9D-6A0E-4508-A015-FB789674E5CF}"/>
    <cellStyle name="Millares [0] 4 16 4" xfId="18340" xr:uid="{C814CE84-0676-4745-A6EC-1DFF8DFDF16A}"/>
    <cellStyle name="Millares [0] 4 16 5" xfId="50133" xr:uid="{8EBD813D-C928-420F-B15F-7DCBC2E667D5}"/>
    <cellStyle name="Millares [0] 4 17" xfId="9690" xr:uid="{85A3F1E9-1391-45CC-8E3B-20956AD60EA5}"/>
    <cellStyle name="Millares [0] 4 17 2" xfId="24049" xr:uid="{6BFBBE83-C4F9-4759-A324-28AF8E587211}"/>
    <cellStyle name="Millares [0] 4 18" xfId="12530" xr:uid="{DC4740AC-1789-41B8-BEEF-E5BE96091961}"/>
    <cellStyle name="Millares [0] 4 18 2" xfId="29927" xr:uid="{69CF8550-5305-4F31-944E-FC687695D26E}"/>
    <cellStyle name="Millares [0] 4 19" xfId="15352" xr:uid="{E2C19846-EE20-491C-87C3-61FFD327EB4F}"/>
    <cellStyle name="Millares [0] 4 19 2" xfId="35808" xr:uid="{3C284978-0811-48BB-9EC5-8F1B17ACAB76}"/>
    <cellStyle name="Millares [0] 4 2" xfId="196" xr:uid="{00000000-0005-0000-0000-00004A010000}"/>
    <cellStyle name="Millares [0] 4 2 10" xfId="3496" xr:uid="{0464AC83-1076-4F05-BDC9-CD96DD461440}"/>
    <cellStyle name="Millares [0] 4 2 10 2" xfId="11737" xr:uid="{2BA5AE43-128D-4851-88A0-ABBCD76E2817}"/>
    <cellStyle name="Millares [0] 4 2 10 3" xfId="14577" xr:uid="{3400B3B7-7E9E-4BA7-9B17-64AD2C99DDD9}"/>
    <cellStyle name="Millares [0] 4 2 10 4" xfId="35866" xr:uid="{E9D7B7BC-6AA1-4A63-89F9-E42CC8E01122}"/>
    <cellStyle name="Millares [0] 4 2 10 5" xfId="44501" xr:uid="{882D8650-9EFC-4EDC-BB04-DDF630948EA8}"/>
    <cellStyle name="Millares [0] 4 2 10 6" xfId="49394" xr:uid="{FE9ED681-C3E5-4A19-BB92-732B456ACBC7}"/>
    <cellStyle name="Millares [0] 4 2 11" xfId="3876" xr:uid="{0539321F-EDC3-4516-95E1-15E05A6107AB}"/>
    <cellStyle name="Millares [0] 4 2 11 2" xfId="12076" xr:uid="{501EB382-A6D4-42C2-960C-351A30AF1F44}"/>
    <cellStyle name="Millares [0] 4 2 11 3" xfId="14917" xr:uid="{D59D5FF1-7798-4A8C-9FC5-C5E08CDC28BD}"/>
    <cellStyle name="Millares [0] 4 2 11 4" xfId="44919" xr:uid="{42C10A09-6631-417F-A082-6062CE8ED613}"/>
    <cellStyle name="Millares [0] 4 2 11 5" xfId="49733" xr:uid="{6155954B-93F8-412E-BD46-B293C19BA835}"/>
    <cellStyle name="Millares [0] 4 2 12" xfId="9759" xr:uid="{E54B22F0-4C40-410E-803B-CEA2AB4D311A}"/>
    <cellStyle name="Millares [0] 4 2 13" xfId="12599" xr:uid="{27CC1F3F-DD47-460A-81C1-3BC6CE0B8A2E}"/>
    <cellStyle name="Millares [0] 4 2 14" xfId="15362" xr:uid="{20119A55-1759-4D69-A793-928231BB89D5}"/>
    <cellStyle name="Millares [0] 4 2 15" xfId="15942" xr:uid="{B97B68D5-EBDE-474A-BED6-AB144E1E4921}"/>
    <cellStyle name="Millares [0] 4 2 16" xfId="16485" xr:uid="{E26294B1-5DEE-441F-80F8-F357CA473032}"/>
    <cellStyle name="Millares [0] 4 2 17" xfId="17029" xr:uid="{0A57CA15-F4D8-40DA-9407-7E441D808BD1}"/>
    <cellStyle name="Millares [0] 4 2 18" xfId="17504" xr:uid="{9F652F6E-ED13-4026-9F3D-02656F1779DA}"/>
    <cellStyle name="Millares [0] 4 2 19" xfId="42085" xr:uid="{02652376-B939-4AB5-AB3C-5DAFB3839EC9}"/>
    <cellStyle name="Millares [0] 4 2 2" xfId="305" xr:uid="{00000000-0005-0000-0000-00004B010000}"/>
    <cellStyle name="Millares [0] 4 2 2 10" xfId="15388" xr:uid="{0DF604FE-1E39-4AA0-B804-FD8C5A2C04D4}"/>
    <cellStyle name="Millares [0] 4 2 2 11" xfId="16046" xr:uid="{CC99AF47-81B5-47B6-B798-83AB58A698DF}"/>
    <cellStyle name="Millares [0] 4 2 2 12" xfId="16589" xr:uid="{D674D989-6688-4AF3-8866-99EE1B85D92F}"/>
    <cellStyle name="Millares [0] 4 2 2 13" xfId="17133" xr:uid="{7D3DD55C-D6AE-4278-B731-F56FBE4D46A3}"/>
    <cellStyle name="Millares [0] 4 2 2 14" xfId="17545" xr:uid="{FFD1E254-B67E-4BDC-97AF-65DFAFB3ACF4}"/>
    <cellStyle name="Millares [0] 4 2 2 15" xfId="42627" xr:uid="{9BBF65B9-D5C4-43EA-96F3-B7AF82A43CB7}"/>
    <cellStyle name="Millares [0] 4 2 2 16" xfId="47520" xr:uid="{1BA250C9-43B2-4C90-B8D3-7AF052AB4532}"/>
    <cellStyle name="Millares [0] 4 2 2 17" xfId="50361" xr:uid="{0A3E2F6A-B80A-456A-A923-414A9EE062A2}"/>
    <cellStyle name="Millares [0] 4 2 2 2" xfId="532" xr:uid="{00000000-0005-0000-0000-00004C010000}"/>
    <cellStyle name="Millares [0] 4 2 2 2 10" xfId="16258" xr:uid="{D9A76DA2-4857-4B5B-A6D5-49E9CFCC95C0}"/>
    <cellStyle name="Millares [0] 4 2 2 2 11" xfId="16801" xr:uid="{52DAAA08-4BC4-4D1F-9FE6-B3C3DB408E92}"/>
    <cellStyle name="Millares [0] 4 2 2 2 12" xfId="17345" xr:uid="{3656AE51-128E-4DF3-B093-AD716D078577}"/>
    <cellStyle name="Millares [0] 4 2 2 2 13" xfId="17608" xr:uid="{61DA0E31-865A-4C0A-A170-236B6159B951}"/>
    <cellStyle name="Millares [0] 4 2 2 2 14" xfId="42839" xr:uid="{829EC5AA-36A4-4ABC-A396-9A665E89325B}"/>
    <cellStyle name="Millares [0] 4 2 2 2 15" xfId="47732" xr:uid="{1C653128-2764-4EA6-9C5E-EDD0D0A9D2AA}"/>
    <cellStyle name="Millares [0] 4 2 2 2 2" xfId="2348" xr:uid="{D2F59FB2-58EF-4728-B789-E7B8D9092332}"/>
    <cellStyle name="Millares [0] 4 2 2 2 2 2" xfId="8387" xr:uid="{AEE36BDA-C134-4BF5-9A14-D5739FA62399}"/>
    <cellStyle name="Millares [0] 4 2 2 2 2 2 2" xfId="12398" xr:uid="{07409421-AC03-41DB-980D-3F62F1ECDBBA}"/>
    <cellStyle name="Millares [0] 4 2 2 2 2 2 2 2" xfId="41975" xr:uid="{D71A72FB-E8FC-4F88-A24E-41E6837C3C74}"/>
    <cellStyle name="Millares [0] 4 2 2 2 2 2 2 3" xfId="22762" xr:uid="{27F9E0BF-D3D6-483B-AD21-512E63003DC2}"/>
    <cellStyle name="Millares [0] 4 2 2 2 2 2 3" xfId="15239" xr:uid="{5DD5F247-C753-44EA-B7E3-69249DD2B05E}"/>
    <cellStyle name="Millares [0] 4 2 2 2 2 2 3 2" xfId="28620" xr:uid="{FBD16526-5DD2-4D1D-9738-B0570241875F}"/>
    <cellStyle name="Millares [0] 4 2 2 2 2 2 4" xfId="15686" xr:uid="{C7939149-51DB-486E-8537-243B065F9EC2}"/>
    <cellStyle name="Millares [0] 4 2 2 2 2 2 4 2" xfId="34502" xr:uid="{67B59932-6182-4D81-9BA0-AA3FC178AF10}"/>
    <cellStyle name="Millares [0] 4 2 2 2 2 2 5" xfId="40366" xr:uid="{6346E58E-472E-4CDB-ACB0-148B256A9FC5}"/>
    <cellStyle name="Millares [0] 4 2 2 2 2 2 6" xfId="18126" xr:uid="{CCB9AD44-C823-473B-AED8-61359CF0C353}"/>
    <cellStyle name="Millares [0] 4 2 2 2 2 2 7" xfId="45779" xr:uid="{89BC75F0-4FBB-48D5-8E79-A6562130F66D}"/>
    <cellStyle name="Millares [0] 4 2 2 2 2 2 8" xfId="50055" xr:uid="{905CE27B-E4E9-4945-9833-88315F39026D}"/>
    <cellStyle name="Millares [0] 4 2 2 2 2 3" xfId="5520" xr:uid="{2D2C9207-C932-4CE1-9048-BADB4F93580F}"/>
    <cellStyle name="Millares [0] 4 2 2 2 2 3 2" xfId="12211" xr:uid="{0A449B30-AB10-4DAA-BAB4-7FBC1850A919}"/>
    <cellStyle name="Millares [0] 4 2 2 2 2 3 2 2" xfId="41788" xr:uid="{65C448EF-A959-4353-BF94-BB2F98A59DF9}"/>
    <cellStyle name="Millares [0] 4 2 2 2 2 3 3" xfId="15052" xr:uid="{63AB4E0F-DE33-429A-A8D6-42333275088A}"/>
    <cellStyle name="Millares [0] 4 2 2 2 2 3 4" xfId="19980" xr:uid="{51C023EC-F13F-447C-AFD7-C0AFEFE16F0B}"/>
    <cellStyle name="Millares [0] 4 2 2 2 2 3 5" xfId="49868" xr:uid="{12A94283-B3E5-43F3-BC11-4B76FBDDA73D}"/>
    <cellStyle name="Millares [0] 4 2 2 2 2 4" xfId="10619" xr:uid="{4AAA3C61-8200-4467-B675-92B286898042}"/>
    <cellStyle name="Millares [0] 4 2 2 2 2 4 2" xfId="25771" xr:uid="{4A3FCF2B-9C2D-43CD-AA4A-69594AB37520}"/>
    <cellStyle name="Millares [0] 4 2 2 2 2 5" xfId="13459" xr:uid="{9A6000AF-6693-4733-9DA5-B1E2CADEB9CC}"/>
    <cellStyle name="Millares [0] 4 2 2 2 2 5 2" xfId="31645" xr:uid="{E4F5DDDD-71C1-4D4E-8018-BF5A9C220DB4}"/>
    <cellStyle name="Millares [0] 4 2 2 2 2 6" xfId="15499" xr:uid="{840163AA-1D03-4350-86C1-AD6567B43F09}"/>
    <cellStyle name="Millares [0] 4 2 2 2 2 6 2" xfId="37515" xr:uid="{C9D69729-089F-400C-B5A5-6D7FF9D5784C}"/>
    <cellStyle name="Millares [0] 4 2 2 2 2 7" xfId="17740" xr:uid="{B62D0DF2-8B47-4D10-9D20-6157463ECC3B}"/>
    <cellStyle name="Millares [0] 4 2 2 2 2 8" xfId="43383" xr:uid="{391841F7-59D8-4883-9080-29640D0E61FB}"/>
    <cellStyle name="Millares [0] 4 2 2 2 2 9" xfId="48276" xr:uid="{748C12F8-63FF-4D8C-A106-0E56C7B6E4C6}"/>
    <cellStyle name="Millares [0] 4 2 2 2 3" xfId="2766" xr:uid="{362D15E9-76B7-4661-9CB2-5AE890FBF829}"/>
    <cellStyle name="Millares [0] 4 2 2 2 3 2" xfId="7415" xr:uid="{B6823EC7-3E84-4C6B-8546-5EE11BB7E06A}"/>
    <cellStyle name="Millares [0] 4 2 2 2 3 2 2" xfId="12326" xr:uid="{7891D145-B94F-4EB8-8DD8-261D0CF94A62}"/>
    <cellStyle name="Millares [0] 4 2 2 2 3 2 2 2" xfId="41903" xr:uid="{49A350C0-EE5B-4045-9F42-D95FC7C91806}"/>
    <cellStyle name="Millares [0] 4 2 2 2 3 2 3" xfId="15167" xr:uid="{C300CAA3-6778-4B38-9F31-42ACB13D0225}"/>
    <cellStyle name="Millares [0] 4 2 2 2 3 2 4" xfId="21817" xr:uid="{3BF9E488-8FC1-4053-A37A-27C563633EAC}"/>
    <cellStyle name="Millares [0] 4 2 2 2 3 2 5" xfId="46197" xr:uid="{FFD787C3-C4EF-422E-BCE6-C122B6AED7E2}"/>
    <cellStyle name="Millares [0] 4 2 2 2 3 2 6" xfId="49983" xr:uid="{E0A6B4D2-99C1-4AA6-B9F5-804CD9704911}"/>
    <cellStyle name="Millares [0] 4 2 2 2 3 3" xfId="11037" xr:uid="{13AAF5E2-E0BA-4D2E-A56B-59A4995F2BAE}"/>
    <cellStyle name="Millares [0] 4 2 2 2 3 3 2" xfId="27649" xr:uid="{4080DBA7-616E-421E-913A-C7EF3793BA32}"/>
    <cellStyle name="Millares [0] 4 2 2 2 3 4" xfId="13877" xr:uid="{AD81E748-5ECB-4804-932F-4B0A9B2EF32C}"/>
    <cellStyle name="Millares [0] 4 2 2 2 3 4 2" xfId="33531" xr:uid="{F0BAB1D5-ED4A-4423-89D6-02D934C4A89D}"/>
    <cellStyle name="Millares [0] 4 2 2 2 3 5" xfId="15614" xr:uid="{AF27C1A4-C87C-4A65-97C7-C64BF212362F}"/>
    <cellStyle name="Millares [0] 4 2 2 2 3 5 2" xfId="39395" xr:uid="{0E4E9B06-EF3C-4F47-8AC9-614B78B9D992}"/>
    <cellStyle name="Millares [0] 4 2 2 2 3 6" xfId="17986" xr:uid="{7E2CA2F3-9801-4D7E-BC8C-545E7C7F777F}"/>
    <cellStyle name="Millares [0] 4 2 2 2 3 7" xfId="43801" xr:uid="{43F4D73F-A2D3-438A-93CB-C3DFDF26778D}"/>
    <cellStyle name="Millares [0] 4 2 2 2 3 8" xfId="48694" xr:uid="{7D508A3E-9632-4F54-AF39-FD9471F34BF2}"/>
    <cellStyle name="Millares [0] 4 2 2 2 4" xfId="3310" xr:uid="{912CADE7-2B49-40E1-8B35-8E020F0B0B30}"/>
    <cellStyle name="Millares [0] 4 2 2 2 4 2" xfId="11581" xr:uid="{8E3A0685-2E97-4611-BD4D-38DE8ED6429C}"/>
    <cellStyle name="Millares [0] 4 2 2 2 4 2 2" xfId="41716" xr:uid="{3F553FE6-6E4B-4EA8-8A82-D9923097C6A8}"/>
    <cellStyle name="Millares [0] 4 2 2 2 4 2 3" xfId="46741" xr:uid="{B7C3568C-E8E0-4113-BDCD-BA4CBA4EFB6F}"/>
    <cellStyle name="Millares [0] 4 2 2 2 4 3" xfId="14421" xr:uid="{7EB2778B-07A3-4EA9-819B-23082B22E84C}"/>
    <cellStyle name="Millares [0] 4 2 2 2 4 4" xfId="19048" xr:uid="{66169E27-8090-4D50-BDCB-2BEB0066CB8E}"/>
    <cellStyle name="Millares [0] 4 2 2 2 4 5" xfId="44345" xr:uid="{8140EA13-F536-495A-A8D4-51E54CCCD597}"/>
    <cellStyle name="Millares [0] 4 2 2 2 4 6" xfId="49238" xr:uid="{DB83EDFF-A27F-4FA6-B38F-60A12B201ECA}"/>
    <cellStyle name="Millares [0] 4 2 2 2 5" xfId="3812" xr:uid="{ADAA3555-7034-4B66-9704-A192719710D1}"/>
    <cellStyle name="Millares [0] 4 2 2 2 5 2" xfId="12053" xr:uid="{EC00BF5D-1B35-4746-AE0E-3F0F697FEDCD}"/>
    <cellStyle name="Millares [0] 4 2 2 2 5 3" xfId="14893" xr:uid="{F9AC212C-2D4B-4C29-9075-F6FB24269BB4}"/>
    <cellStyle name="Millares [0] 4 2 2 2 5 4" xfId="24800" xr:uid="{C71C6B0B-E29C-48DD-A478-BB7BB9A47208}"/>
    <cellStyle name="Millares [0] 4 2 2 2 5 5" xfId="44817" xr:uid="{F378AD12-EEC1-4FC2-95B2-BC911C81AE56}"/>
    <cellStyle name="Millares [0] 4 2 2 2 5 6" xfId="49710" xr:uid="{2838EE18-EF22-409D-8FE6-0C6A64EF8E06}"/>
    <cellStyle name="Millares [0] 4 2 2 2 6" xfId="4552" xr:uid="{F51361FA-C52C-4F3A-B380-21628BCFC603}"/>
    <cellStyle name="Millares [0] 4 2 2 2 6 2" xfId="12139" xr:uid="{456B0E9B-6339-4319-B75A-3DF8EB876D1B}"/>
    <cellStyle name="Millares [0] 4 2 2 2 6 3" xfId="14980" xr:uid="{C224A0B9-5C23-4681-8BCB-7124F7F68049}"/>
    <cellStyle name="Millares [0] 4 2 2 2 6 4" xfId="30677" xr:uid="{6B4DB0C5-2C21-486E-87BB-01CD94EAEF23}"/>
    <cellStyle name="Millares [0] 4 2 2 2 6 5" xfId="45235" xr:uid="{5CDC2078-9925-4FD1-BA25-E32DF354DF6B}"/>
    <cellStyle name="Millares [0] 4 2 2 2 6 6" xfId="49796" xr:uid="{EF254E70-72A5-4807-AB77-B35DFD965D6F}"/>
    <cellStyle name="Millares [0] 4 2 2 2 7" xfId="10075" xr:uid="{A309DCBA-78C0-439A-A200-21A1EF4E5959}"/>
    <cellStyle name="Millares [0] 4 2 2 2 7 2" xfId="36558" xr:uid="{5E7FA48C-8558-45D6-84E9-31B49E6FB474}"/>
    <cellStyle name="Millares [0] 4 2 2 2 8" xfId="12915" xr:uid="{669E1F57-1039-46D0-8E5C-C26F3041B13E}"/>
    <cellStyle name="Millares [0] 4 2 2 2 9" xfId="15425" xr:uid="{D8EF1175-60FA-4819-B01F-EEEB74D1BD41}"/>
    <cellStyle name="Millares [0] 4 2 2 3" xfId="2136" xr:uid="{2D0EDBCD-B02E-4878-B712-D3952D7BA6BF}"/>
    <cellStyle name="Millares [0] 4 2 2 3 2" xfId="7902" xr:uid="{70CA97BA-B987-4A34-A7AC-A33F8604ABDB}"/>
    <cellStyle name="Millares [0] 4 2 2 3 2 2" xfId="12362" xr:uid="{63286D04-289F-4C4E-A1DA-F55062A8FAD4}"/>
    <cellStyle name="Millares [0] 4 2 2 3 2 2 2" xfId="41939" xr:uid="{FFF2C7A2-7F1B-4C8F-8C60-2F1CB19CF591}"/>
    <cellStyle name="Millares [0] 4 2 2 3 2 2 3" xfId="22287" xr:uid="{066EB849-BB57-4C70-8A58-5848597ABF3D}"/>
    <cellStyle name="Millares [0] 4 2 2 3 2 3" xfId="15203" xr:uid="{92F9FB0B-E6FB-4BAE-8B91-067F8557A66A}"/>
    <cellStyle name="Millares [0] 4 2 2 3 2 3 2" xfId="28135" xr:uid="{1F8F0B7B-CEC0-4D4A-90DB-46AF3A1F175D}"/>
    <cellStyle name="Millares [0] 4 2 2 3 2 4" xfId="15650" xr:uid="{EC0DAEE3-A0D7-42E3-AAA7-B9F3C5854918}"/>
    <cellStyle name="Millares [0] 4 2 2 3 2 4 2" xfId="34017" xr:uid="{0DBF696F-D524-43C2-A3FF-6ADEDEA1C5BB}"/>
    <cellStyle name="Millares [0] 4 2 2 3 2 5" xfId="39881" xr:uid="{B78B6A9A-F168-4739-A801-65D30D4BC611}"/>
    <cellStyle name="Millares [0] 4 2 2 3 2 6" xfId="18055" xr:uid="{101D34EB-53B7-4C58-A0C0-6C452E6692E2}"/>
    <cellStyle name="Millares [0] 4 2 2 3 2 7" xfId="45567" xr:uid="{31FD8C7E-FB34-4C8F-A979-0C9660EE6E06}"/>
    <cellStyle name="Millares [0] 4 2 2 3 2 8" xfId="50019" xr:uid="{59336261-700A-4031-ADAD-001DFFDF111D}"/>
    <cellStyle name="Millares [0] 4 2 2 3 3" xfId="5035" xr:uid="{0AA929FB-F858-4268-817E-624F8A97431E}"/>
    <cellStyle name="Millares [0] 4 2 2 3 3 2" xfId="12175" xr:uid="{6ED9D44C-3D24-4AD6-AB02-42E3A4CE648A}"/>
    <cellStyle name="Millares [0] 4 2 2 3 3 2 2" xfId="41752" xr:uid="{0BE075D0-C09A-48CA-89C7-4A17ECCC73DB}"/>
    <cellStyle name="Millares [0] 4 2 2 3 3 3" xfId="15016" xr:uid="{9EC932AE-21C7-47A2-B4A0-C24D5FDD3A7B}"/>
    <cellStyle name="Millares [0] 4 2 2 3 3 4" xfId="19513" xr:uid="{02037CE0-4967-465D-BAF8-8E0A74646406}"/>
    <cellStyle name="Millares [0] 4 2 2 3 3 5" xfId="49832" xr:uid="{7D7CFB83-0A59-4FE5-B349-1BF1D1E9B640}"/>
    <cellStyle name="Millares [0] 4 2 2 3 4" xfId="10407" xr:uid="{9815E824-564D-45F1-B5CA-0E02D8F69945}"/>
    <cellStyle name="Millares [0] 4 2 2 3 4 2" xfId="25286" xr:uid="{5DFA9CCA-EEB9-4889-B37D-F87A03AC0DAB}"/>
    <cellStyle name="Millares [0] 4 2 2 3 5" xfId="13247" xr:uid="{91F76554-7FC2-4FC1-A79A-CCBB0AAE69A4}"/>
    <cellStyle name="Millares [0] 4 2 2 3 5 2" xfId="31160" xr:uid="{0E67DEFF-2A50-43A4-9C26-ECE1F3A0446D}"/>
    <cellStyle name="Millares [0] 4 2 2 3 6" xfId="15462" xr:uid="{8F45EE4F-DE48-42A5-AE9F-9A522B0AE7CD}"/>
    <cellStyle name="Millares [0] 4 2 2 3 6 2" xfId="37038" xr:uid="{D2FA630A-3092-424B-B89E-6CEC3C474E96}"/>
    <cellStyle name="Millares [0] 4 2 2 3 7" xfId="17672" xr:uid="{80ECD49B-EC5E-48CF-BC36-EDF3E7FF24D7}"/>
    <cellStyle name="Millares [0] 4 2 2 3 8" xfId="43171" xr:uid="{DD02FBF2-26F5-4525-8C40-225A04A65989}"/>
    <cellStyle name="Millares [0] 4 2 2 3 9" xfId="48064" xr:uid="{AD4370B8-23CA-47C4-95D6-24559028DDE2}"/>
    <cellStyle name="Millares [0] 4 2 2 4" xfId="2554" xr:uid="{8635269D-B06E-496D-81DC-CC3BA8ED79B8}"/>
    <cellStyle name="Millares [0] 4 2 2 4 2" xfId="6930" xr:uid="{885E47B4-9CEE-40BD-8A59-C37A449DE0BD}"/>
    <cellStyle name="Millares [0] 4 2 2 4 2 2" xfId="12290" xr:uid="{7B1F5E52-7C73-43A8-A679-042EEA2CFEAF}"/>
    <cellStyle name="Millares [0] 4 2 2 4 2 2 2" xfId="41867" xr:uid="{CAD3F38D-94F7-48BD-81E6-33A74B620423}"/>
    <cellStyle name="Millares [0] 4 2 2 4 2 3" xfId="15131" xr:uid="{298F7383-93DD-44EB-B432-14CFAEF6DA03}"/>
    <cellStyle name="Millares [0] 4 2 2 4 2 4" xfId="21350" xr:uid="{C0ECB58B-C905-4747-A19A-00DB5CF622C0}"/>
    <cellStyle name="Millares [0] 4 2 2 4 2 5" xfId="45985" xr:uid="{0F439F7F-491C-4C86-823A-E162D87CD89C}"/>
    <cellStyle name="Millares [0] 4 2 2 4 2 6" xfId="49947" xr:uid="{1C9F99A9-7657-4A64-BE35-04A2A5328D8A}"/>
    <cellStyle name="Millares [0] 4 2 2 4 3" xfId="10825" xr:uid="{D5B7311A-EFBA-4731-A573-AE76B47AE0D2}"/>
    <cellStyle name="Millares [0] 4 2 2 4 3 2" xfId="27168" xr:uid="{9D1502FE-ABCA-4242-AD68-45348AC5D158}"/>
    <cellStyle name="Millares [0] 4 2 2 4 4" xfId="13665" xr:uid="{24549C8D-8644-4B37-9BB0-868548F79602}"/>
    <cellStyle name="Millares [0] 4 2 2 4 4 2" xfId="33046" xr:uid="{4549AFAB-1D8A-4FF8-B864-457FB406F15D}"/>
    <cellStyle name="Millares [0] 4 2 2 4 5" xfId="15578" xr:uid="{E9951A8D-92E4-4D93-B36D-E9CD6B1355DE}"/>
    <cellStyle name="Millares [0] 4 2 2 4 5 2" xfId="38910" xr:uid="{6348E3CF-6105-412E-AA55-D904E775A9DC}"/>
    <cellStyle name="Millares [0] 4 2 2 4 6" xfId="17917" xr:uid="{DCBB0B99-028F-4807-B688-484E263E610F}"/>
    <cellStyle name="Millares [0] 4 2 2 4 7" xfId="43589" xr:uid="{E367B321-374A-4BFF-87C3-A850FA6B28FE}"/>
    <cellStyle name="Millares [0] 4 2 2 4 8" xfId="48482" xr:uid="{53D501B4-E959-456F-8512-4D89A780B801}"/>
    <cellStyle name="Millares [0] 4 2 2 5" xfId="3098" xr:uid="{AC8F2A51-4069-492D-8BE3-D86E213E6ECC}"/>
    <cellStyle name="Millares [0] 4 2 2 5 2" xfId="11369" xr:uid="{5708915D-9B81-4EBF-BCE9-B1C9F0139594}"/>
    <cellStyle name="Millares [0] 4 2 2 5 2 2" xfId="41679" xr:uid="{8CAC30DF-35CB-4728-B4D8-2814747D2E80}"/>
    <cellStyle name="Millares [0] 4 2 2 5 2 3" xfId="46529" xr:uid="{A7F95AD8-0254-483B-978D-CFA05A748661}"/>
    <cellStyle name="Millares [0] 4 2 2 5 3" xfId="14209" xr:uid="{E8E7EA96-D6FB-442A-B8F2-FE2E1F5F7FE9}"/>
    <cellStyle name="Millares [0] 4 2 2 5 4" xfId="18605" xr:uid="{64207E78-B007-40E4-A401-536B89FA77A6}"/>
    <cellStyle name="Millares [0] 4 2 2 5 5" xfId="44133" xr:uid="{EB5871BD-76E7-41B1-B819-7D861A323AA0}"/>
    <cellStyle name="Millares [0] 4 2 2 5 6" xfId="49026" xr:uid="{A1A35F6B-2026-4E17-8AA2-C575783B11DF}"/>
    <cellStyle name="Millares [0] 4 2 2 6" xfId="3600" xr:uid="{801397D0-3B81-4CF5-BF95-D0251EF8D1F4}"/>
    <cellStyle name="Millares [0] 4 2 2 6 2" xfId="11841" xr:uid="{42D31D6A-923D-472A-84EF-183151B829B4}"/>
    <cellStyle name="Millares [0] 4 2 2 6 3" xfId="14681" xr:uid="{21FC6562-AF66-42B0-B305-C859BA755D6C}"/>
    <cellStyle name="Millares [0] 4 2 2 6 4" xfId="24317" xr:uid="{67A6E111-8C27-4BA6-B048-2091B971D327}"/>
    <cellStyle name="Millares [0] 4 2 2 6 5" xfId="44605" xr:uid="{69AC2BBB-55CF-4EA4-9339-C37C3F5D0867}"/>
    <cellStyle name="Millares [0] 4 2 2 6 6" xfId="49498" xr:uid="{ADA66200-EA60-44EC-A685-8AB5FCFFF87E}"/>
    <cellStyle name="Millares [0] 4 2 2 7" xfId="4074" xr:uid="{528080F1-FB99-4624-B6C4-539EAF1B47A3}"/>
    <cellStyle name="Millares [0] 4 2 2 7 2" xfId="12102" xr:uid="{E12A226D-04D7-47AB-A98A-7620A6243CD2}"/>
    <cellStyle name="Millares [0] 4 2 2 7 3" xfId="14943" xr:uid="{16927D7B-C3CB-4B2C-8881-5EC18E7E8D6E}"/>
    <cellStyle name="Millares [0] 4 2 2 7 4" xfId="30195" xr:uid="{5637BF15-8FCF-48A8-BE4F-D21176CAA466}"/>
    <cellStyle name="Millares [0] 4 2 2 7 5" xfId="45023" xr:uid="{B2790EA2-9C27-4C32-A0D2-64F742D84B94}"/>
    <cellStyle name="Millares [0] 4 2 2 7 6" xfId="49759" xr:uid="{4AF72B46-94BB-424C-9CE4-4799AA9C564C}"/>
    <cellStyle name="Millares [0] 4 2 2 8" xfId="9863" xr:uid="{857C6E25-91DC-4B28-A3FB-22E8E499278B}"/>
    <cellStyle name="Millares [0] 4 2 2 8 2" xfId="36074" xr:uid="{627AB2AF-DAC7-4FF4-A7EC-126D6384F16A}"/>
    <cellStyle name="Millares [0] 4 2 2 9" xfId="12703" xr:uid="{77921C74-D046-4AFD-89F2-8FF7361C0A93}"/>
    <cellStyle name="Millares [0] 4 2 20" xfId="42136" xr:uid="{3FB6FCD7-E70B-4552-975C-6A6DF1B50046}"/>
    <cellStyle name="Millares [0] 4 2 21" xfId="42523" xr:uid="{8AEE5E53-1458-4FFD-83F0-8BA8C8758FB2}"/>
    <cellStyle name="Millares [0] 4 2 22" xfId="47416" xr:uid="{BBA8327B-E7AC-443B-83B9-2077B9220089}"/>
    <cellStyle name="Millares [0] 4 2 23" xfId="50215" xr:uid="{F827452B-D96F-4BFF-B4AA-7BC648A4FE29}"/>
    <cellStyle name="Millares [0] 4 2 24" xfId="50289" xr:uid="{A4BE98A2-B26D-4086-BF74-E77071D9BD53}"/>
    <cellStyle name="Millares [0] 4 2 3" xfId="431" xr:uid="{00000000-0005-0000-0000-00004D010000}"/>
    <cellStyle name="Millares [0] 4 2 3 10" xfId="16158" xr:uid="{402148F8-E23A-46FD-9CE9-940CAE21DAD5}"/>
    <cellStyle name="Millares [0] 4 2 3 11" xfId="16701" xr:uid="{75BD25DD-8995-4F12-B256-DDEEBB69723F}"/>
    <cellStyle name="Millares [0] 4 2 3 12" xfId="17245" xr:uid="{DB3DD055-DC99-4F11-A7F1-1F35930058DB}"/>
    <cellStyle name="Millares [0] 4 2 3 13" xfId="17585" xr:uid="{35E835B0-8E78-4826-B213-7C42DB7E9D32}"/>
    <cellStyle name="Millares [0] 4 2 3 14" xfId="42739" xr:uid="{CE65B276-3CE0-49A3-8905-5144187F7893}"/>
    <cellStyle name="Millares [0] 4 2 3 15" xfId="47632" xr:uid="{04D3205D-B3BC-4E68-ADCB-C586B42D0E80}"/>
    <cellStyle name="Millares [0] 4 2 3 2" xfId="2248" xr:uid="{6115C78A-C663-4E62-8CF0-F8AD5E1924FF}"/>
    <cellStyle name="Millares [0] 4 2 3 2 2" xfId="8191" xr:uid="{3C6A95D8-888C-4C87-BD56-5E12A30F6140}"/>
    <cellStyle name="Millares [0] 4 2 3 2 2 2" xfId="12386" xr:uid="{52D56472-559C-4B6F-8561-E4EB674D49AD}"/>
    <cellStyle name="Millares [0] 4 2 3 2 2 2 2" xfId="41963" xr:uid="{73CF7E2C-DCAF-4CF9-B8B3-61EA8E7CCB04}"/>
    <cellStyle name="Millares [0] 4 2 3 2 2 2 3" xfId="22567" xr:uid="{E6332C2F-672D-4204-B949-F3C74B24F85D}"/>
    <cellStyle name="Millares [0] 4 2 3 2 2 3" xfId="15227" xr:uid="{536ECD77-8C3F-4A21-9F32-FA378BBA9D22}"/>
    <cellStyle name="Millares [0] 4 2 3 2 2 3 2" xfId="28424" xr:uid="{58C7B3CF-320D-47B9-8918-24EBCFE36DD4}"/>
    <cellStyle name="Millares [0] 4 2 3 2 2 4" xfId="15674" xr:uid="{2ED3F54B-CA64-4EB8-BAC3-894ECADEBFE8}"/>
    <cellStyle name="Millares [0] 4 2 3 2 2 4 2" xfId="34306" xr:uid="{0B567A8D-E9DA-4ECB-A7FC-4E427C08A6E7}"/>
    <cellStyle name="Millares [0] 4 2 3 2 2 5" xfId="40170" xr:uid="{BA6B92CE-FF0F-4D0C-BF8D-D88DF886A41E}"/>
    <cellStyle name="Millares [0] 4 2 3 2 2 6" xfId="18098" xr:uid="{4CDBEB8D-C675-4FBD-9745-E976267C9495}"/>
    <cellStyle name="Millares [0] 4 2 3 2 2 7" xfId="45679" xr:uid="{C8E59481-2D17-4B3B-BB39-CE6148A9D031}"/>
    <cellStyle name="Millares [0] 4 2 3 2 2 8" xfId="50043" xr:uid="{2C9F6ECF-3D6D-45AF-B9B1-F23CED5BF5C6}"/>
    <cellStyle name="Millares [0] 4 2 3 2 3" xfId="5324" xr:uid="{E6938872-2834-4AF9-8910-948B4F7871F9}"/>
    <cellStyle name="Millares [0] 4 2 3 2 3 2" xfId="12199" xr:uid="{E72FC17D-3C5B-47C3-BC7B-FD6F8B4FE286}"/>
    <cellStyle name="Millares [0] 4 2 3 2 3 2 2" xfId="41776" xr:uid="{4F32F195-A07A-4206-9559-F8F69683D749}"/>
    <cellStyle name="Millares [0] 4 2 3 2 3 3" xfId="15040" xr:uid="{B433375D-1A4B-4801-9435-714046E0410E}"/>
    <cellStyle name="Millares [0] 4 2 3 2 3 4" xfId="19792" xr:uid="{4EB668BA-303C-43AA-A8B3-C924423693D2}"/>
    <cellStyle name="Millares [0] 4 2 3 2 3 5" xfId="49856" xr:uid="{A8AE61F3-859B-4150-87B8-0DBB91D76CF2}"/>
    <cellStyle name="Millares [0] 4 2 3 2 4" xfId="10519" xr:uid="{61AAE453-8639-499F-A4AE-F4B3DD92CDD4}"/>
    <cellStyle name="Millares [0] 4 2 3 2 4 2" xfId="25575" xr:uid="{5073CCAC-8D2D-4BC9-9D19-BCC40C71ADFE}"/>
    <cellStyle name="Millares [0] 4 2 3 2 5" xfId="13359" xr:uid="{9ADE4B5C-8BDB-433C-A757-F4047E8D9C00}"/>
    <cellStyle name="Millares [0] 4 2 3 2 5 2" xfId="31449" xr:uid="{5AEED8A4-8F50-40A2-82D6-FBAF7A42AE27}"/>
    <cellStyle name="Millares [0] 4 2 3 2 6" xfId="15486" xr:uid="{9233ADAE-7D51-4A43-9CF9-5905948A87F7}"/>
    <cellStyle name="Millares [0] 4 2 3 2 6 2" xfId="37320" xr:uid="{4BA4BB75-8E12-4D7A-9935-FBE511139C24}"/>
    <cellStyle name="Millares [0] 4 2 3 2 7" xfId="17716" xr:uid="{6B897F3D-EC37-4949-B898-AD8AA46603FC}"/>
    <cellStyle name="Millares [0] 4 2 3 2 8" xfId="43283" xr:uid="{86B6139F-06A3-4464-B7E6-A01AA0D52594}"/>
    <cellStyle name="Millares [0] 4 2 3 2 9" xfId="48176" xr:uid="{7987CAB5-E0CB-4010-8ED6-805E1005029B}"/>
    <cellStyle name="Millares [0] 4 2 3 3" xfId="2666" xr:uid="{53CE4359-A517-4134-BCAB-A332569C505A}"/>
    <cellStyle name="Millares [0] 4 2 3 3 2" xfId="7219" xr:uid="{6A64B563-C7D5-41FD-AEAC-54BFAE44C901}"/>
    <cellStyle name="Millares [0] 4 2 3 3 2 2" xfId="12314" xr:uid="{F9C9439C-93BE-4484-8F39-B19B102790CA}"/>
    <cellStyle name="Millares [0] 4 2 3 3 2 2 2" xfId="41891" xr:uid="{6D4ACD41-0870-49A4-8C8A-CED407CFF022}"/>
    <cellStyle name="Millares [0] 4 2 3 3 2 3" xfId="15155" xr:uid="{535DF70D-6C33-43F0-BA80-B1D996916402}"/>
    <cellStyle name="Millares [0] 4 2 3 3 2 4" xfId="21626" xr:uid="{18FEFD7F-F876-4D89-8B5C-D6BE9C50FAD0}"/>
    <cellStyle name="Millares [0] 4 2 3 3 2 5" xfId="46097" xr:uid="{2E2432AC-9424-4786-BD3F-762A0512478E}"/>
    <cellStyle name="Millares [0] 4 2 3 3 2 6" xfId="49971" xr:uid="{7DD58C82-A86F-4468-B46C-E8734B23455E}"/>
    <cellStyle name="Millares [0] 4 2 3 3 3" xfId="10937" xr:uid="{D1825429-62BD-455D-AC73-8DE5486120DA}"/>
    <cellStyle name="Millares [0] 4 2 3 3 3 2" xfId="27453" xr:uid="{CA8D2931-10E5-4D3A-ADB4-1A9DAE7FE81B}"/>
    <cellStyle name="Millares [0] 4 2 3 3 4" xfId="13777" xr:uid="{C3961B78-2DD1-4C23-BF3E-BBC03E466377}"/>
    <cellStyle name="Millares [0] 4 2 3 3 4 2" xfId="33335" xr:uid="{39BD0EF1-3A1E-42A7-AC24-9A98AC1A4B9A}"/>
    <cellStyle name="Millares [0] 4 2 3 3 5" xfId="15602" xr:uid="{D6D2BC33-4C17-480C-BB80-168B7A3E621B}"/>
    <cellStyle name="Millares [0] 4 2 3 3 5 2" xfId="39199" xr:uid="{F420681B-26E5-4D36-A18D-9E5B7BC10523}"/>
    <cellStyle name="Millares [0] 4 2 3 3 6" xfId="17960" xr:uid="{E3611903-E044-45A6-B099-E1214469B9A0}"/>
    <cellStyle name="Millares [0] 4 2 3 3 7" xfId="43701" xr:uid="{6C5F0BC4-F6DB-478F-8342-20F4F86BF66B}"/>
    <cellStyle name="Millares [0] 4 2 3 3 8" xfId="48594" xr:uid="{A8B78E2D-EDD6-4327-A393-602B715C0FC5}"/>
    <cellStyle name="Millares [0] 4 2 3 4" xfId="3210" xr:uid="{C9AB557E-03FB-468C-A31C-88EB44B3CB7D}"/>
    <cellStyle name="Millares [0] 4 2 3 4 2" xfId="11481" xr:uid="{A9DD5A2C-8C32-4B79-8236-6C909207028F}"/>
    <cellStyle name="Millares [0] 4 2 3 4 2 2" xfId="41704" xr:uid="{F981A354-D7FC-499A-94E1-511C0BA3EE28}"/>
    <cellStyle name="Millares [0] 4 2 3 4 2 3" xfId="46641" xr:uid="{6C831F0B-4003-4775-92AE-8A9EF6DBB5C7}"/>
    <cellStyle name="Millares [0] 4 2 3 4 3" xfId="14321" xr:uid="{9B746612-D233-4EAC-87EB-157795A37121}"/>
    <cellStyle name="Millares [0] 4 2 3 4 4" xfId="18863" xr:uid="{67D60026-3A27-4888-8B5E-7BC4E6A019A2}"/>
    <cellStyle name="Millares [0] 4 2 3 4 5" xfId="44245" xr:uid="{299F4E25-2960-4EDD-A475-0BA01BCA3106}"/>
    <cellStyle name="Millares [0] 4 2 3 4 6" xfId="49138" xr:uid="{D3A24075-86CA-4D6F-AFCC-23A1E2E3669F}"/>
    <cellStyle name="Millares [0] 4 2 3 5" xfId="3712" xr:uid="{9EC54512-4D65-4B79-B4BC-2D2549564DA9}"/>
    <cellStyle name="Millares [0] 4 2 3 5 2" xfId="11953" xr:uid="{0E122B8E-34FF-4287-84D9-2413C49B38A0}"/>
    <cellStyle name="Millares [0] 4 2 3 5 3" xfId="14793" xr:uid="{C1393E32-3CD9-4719-A983-BCAFDA817DDF}"/>
    <cellStyle name="Millares [0] 4 2 3 5 4" xfId="24604" xr:uid="{7DFC6C9B-E1E7-4DAA-88CE-546D1C64B1A6}"/>
    <cellStyle name="Millares [0] 4 2 3 5 5" xfId="44717" xr:uid="{AF78FA33-D07B-4D2E-845B-B2559A7442D4}"/>
    <cellStyle name="Millares [0] 4 2 3 5 6" xfId="49610" xr:uid="{556B3B91-E685-4B28-9A49-8E56F4014B0A}"/>
    <cellStyle name="Millares [0] 4 2 3 6" xfId="4358" xr:uid="{E7987AC2-C877-4707-944B-DD74C95971FF}"/>
    <cellStyle name="Millares [0] 4 2 3 6 2" xfId="12127" xr:uid="{5B788534-C08B-4C42-A191-C23EB67B551D}"/>
    <cellStyle name="Millares [0] 4 2 3 6 3" xfId="14968" xr:uid="{852FC38F-734E-45E0-9309-B32E3DC42AB5}"/>
    <cellStyle name="Millares [0] 4 2 3 6 4" xfId="30483" xr:uid="{5210CFB4-5846-4503-87D4-3CECF5EDE7E7}"/>
    <cellStyle name="Millares [0] 4 2 3 6 5" xfId="45135" xr:uid="{776A5476-FDBB-4A60-8542-27AE947A2748}"/>
    <cellStyle name="Millares [0] 4 2 3 6 6" xfId="49784" xr:uid="{B7EEE57B-D3D6-4A03-994F-36552F943DE0}"/>
    <cellStyle name="Millares [0] 4 2 3 7" xfId="9975" xr:uid="{5881A519-957E-4D32-B567-DB6E13ED2026}"/>
    <cellStyle name="Millares [0] 4 2 3 7 2" xfId="36363" xr:uid="{8BAE2CC4-1E15-43AB-A0C4-150FB1972FBD}"/>
    <cellStyle name="Millares [0] 4 2 3 8" xfId="12815" xr:uid="{27E66001-8FE7-4A09-844E-914A1CAAF943}"/>
    <cellStyle name="Millares [0] 4 2 3 9" xfId="15413" xr:uid="{2E5121B8-A7A7-4A9C-9068-26CF6CABB19B}"/>
    <cellStyle name="Millares [0] 4 2 4" xfId="634" xr:uid="{00000000-0005-0000-0000-00004E010000}"/>
    <cellStyle name="Millares [0] 4 2 4 10" xfId="17649" xr:uid="{40904B0C-E42B-46FF-B6DC-119C1D3963BA}"/>
    <cellStyle name="Millares [0] 4 2 4 11" xfId="42941" xr:uid="{3B5490B8-D5D7-41BB-9F86-CB483F134CA7}"/>
    <cellStyle name="Millares [0] 4 2 4 12" xfId="47834" xr:uid="{66FC27DD-E717-4DEE-93A4-4DF45288B265}"/>
    <cellStyle name="Millares [0] 4 2 4 2" xfId="2868" xr:uid="{31840CB4-D0D4-42FA-9E36-22A10CC95DF0}"/>
    <cellStyle name="Millares [0] 4 2 4 2 2" xfId="7706" xr:uid="{273A681E-D606-4EB4-80A6-FDB43BAE55F2}"/>
    <cellStyle name="Millares [0] 4 2 4 2 2 2" xfId="12350" xr:uid="{35E5456F-2195-4BC9-A41B-AF152102433C}"/>
    <cellStyle name="Millares [0] 4 2 4 2 2 2 2" xfId="41927" xr:uid="{0C845815-A748-4680-A9DC-5E861751C429}"/>
    <cellStyle name="Millares [0] 4 2 4 2 2 3" xfId="15191" xr:uid="{0570046C-D45B-457B-B793-0EF1D71F1E00}"/>
    <cellStyle name="Millares [0] 4 2 4 2 2 4" xfId="22096" xr:uid="{8D006F25-F4B2-48D9-892D-C7CA64C371D7}"/>
    <cellStyle name="Millares [0] 4 2 4 2 2 5" xfId="46299" xr:uid="{A0915C68-654E-40A2-9249-9DA99F5A4240}"/>
    <cellStyle name="Millares [0] 4 2 4 2 2 6" xfId="50007" xr:uid="{5917B9A3-0A9D-45A6-BC9A-1BBADFBF8635}"/>
    <cellStyle name="Millares [0] 4 2 4 2 3" xfId="11139" xr:uid="{2C0B1468-701F-4101-B520-A27257558305}"/>
    <cellStyle name="Millares [0] 4 2 4 2 3 2" xfId="27939" xr:uid="{D66FCCEC-6DDC-4AFD-9170-65291F454D76}"/>
    <cellStyle name="Millares [0] 4 2 4 2 4" xfId="13979" xr:uid="{4F5F4043-0D45-40B3-95B8-261A4F6409B1}"/>
    <cellStyle name="Millares [0] 4 2 4 2 4 2" xfId="33821" xr:uid="{2DFA024F-85FD-466D-B020-6F9F89DE6A0A}"/>
    <cellStyle name="Millares [0] 4 2 4 2 5" xfId="15638" xr:uid="{972361E7-B346-42AD-A04A-684AEF416362}"/>
    <cellStyle name="Millares [0] 4 2 4 2 5 2" xfId="39685" xr:uid="{C9008BA7-F4A9-43A8-A8E2-3CF20FBC0471}"/>
    <cellStyle name="Millares [0] 4 2 4 2 6" xfId="18031" xr:uid="{153B01DE-087C-4982-89A6-4701F4A298EF}"/>
    <cellStyle name="Millares [0] 4 2 4 2 7" xfId="43903" xr:uid="{ECEBBBB9-1301-4AF2-85A6-73C9AED6EC35}"/>
    <cellStyle name="Millares [0] 4 2 4 2 8" xfId="48796" xr:uid="{56CEE564-B34E-4C2F-8563-145AA9C0D19E}"/>
    <cellStyle name="Millares [0] 4 2 4 3" xfId="4840" xr:uid="{F3E329F4-93E2-4F54-8ACA-0B078B446C91}"/>
    <cellStyle name="Millares [0] 4 2 4 3 2" xfId="12163" xr:uid="{CD5F0522-9C3A-42C6-BE3B-15280BE9B25F}"/>
    <cellStyle name="Millares [0] 4 2 4 3 2 2" xfId="41740" xr:uid="{1E53892A-C9DF-4FB5-9523-82C726662E3C}"/>
    <cellStyle name="Millares [0] 4 2 4 3 3" xfId="15004" xr:uid="{BE692730-8C0D-4007-BBAA-EC962905BD64}"/>
    <cellStyle name="Millares [0] 4 2 4 3 4" xfId="19322" xr:uid="{F7EF8C1D-4D27-4687-B5DC-F26F6FA3DE65}"/>
    <cellStyle name="Millares [0] 4 2 4 3 5" xfId="45337" xr:uid="{6FF8BFD8-2617-450A-A658-F6C5F2524C02}"/>
    <cellStyle name="Millares [0] 4 2 4 3 6" xfId="49820" xr:uid="{65225190-5DD8-4DB3-AE03-B5BFCDCE88FB}"/>
    <cellStyle name="Millares [0] 4 2 4 4" xfId="10177" xr:uid="{C0977864-018E-4BF1-A6CD-D38CD699A483}"/>
    <cellStyle name="Millares [0] 4 2 4 4 2" xfId="25090" xr:uid="{0D0E2E75-8706-4824-BB4E-7C1E56DB82ED}"/>
    <cellStyle name="Millares [0] 4 2 4 5" xfId="13017" xr:uid="{374B8F22-900C-462E-A6FA-530045D53164}"/>
    <cellStyle name="Millares [0] 4 2 4 5 2" xfId="30964" xr:uid="{487D8754-13CD-426F-96F9-ABAC37509211}"/>
    <cellStyle name="Millares [0] 4 2 4 6" xfId="15450" xr:uid="{6E309DDD-9911-4725-B696-8B97E58BD873}"/>
    <cellStyle name="Millares [0] 4 2 4 6 2" xfId="36843" xr:uid="{681462E6-12B7-4D47-9707-A8702D5B7703}"/>
    <cellStyle name="Millares [0] 4 2 4 7" xfId="16360" xr:uid="{B20CF593-94D0-4527-BAC5-91A69AA3BA3F}"/>
    <cellStyle name="Millares [0] 4 2 4 8" xfId="16903" xr:uid="{347514B4-2752-41C6-A3C4-35AA535A3FEE}"/>
    <cellStyle name="Millares [0] 4 2 4 9" xfId="17447" xr:uid="{D346F9D7-03E8-438F-982B-191B9DE498EE}"/>
    <cellStyle name="Millares [0] 4 2 5" xfId="1930" xr:uid="{00000000-0005-0000-0000-00004F010000}"/>
    <cellStyle name="Millares [0] 4 2 5 2" xfId="8718" xr:uid="{D4930913-C956-408A-8387-D7843EF5134A}"/>
    <cellStyle name="Millares [0] 4 2 5 2 2" xfId="12422" xr:uid="{940F8668-5130-4AD3-AE6C-F6FF272DD748}"/>
    <cellStyle name="Millares [0] 4 2 5 2 2 2" xfId="41999" xr:uid="{44FC2EA7-8D30-4268-839E-9CB25481D15A}"/>
    <cellStyle name="Millares [0] 4 2 5 2 2 3" xfId="23086" xr:uid="{BC1A90BB-8383-4B91-AA36-B68FF22E660C}"/>
    <cellStyle name="Millares [0] 4 2 5 2 3" xfId="15263" xr:uid="{9BDAFE36-AD6F-4592-BC54-7BB55BF5BB70}"/>
    <cellStyle name="Millares [0] 4 2 5 2 3 2" xfId="28950" xr:uid="{C6B38033-2425-4D84-9B4C-CB3C8FB9621F}"/>
    <cellStyle name="Millares [0] 4 2 5 2 4" xfId="15712" xr:uid="{2A892C31-4209-415A-90D3-F0247263B434}"/>
    <cellStyle name="Millares [0] 4 2 5 2 4 2" xfId="34832" xr:uid="{A0B8E4D5-B0C0-4979-A9E2-B6D93B02C5EC}"/>
    <cellStyle name="Millares [0] 4 2 5 2 5" xfId="40696" xr:uid="{EAC7064D-62BB-4826-8CCC-D23496BB84A9}"/>
    <cellStyle name="Millares [0] 4 2 5 2 6" xfId="18168" xr:uid="{4B5DF536-C929-4AFA-B129-E02BA42B9E86}"/>
    <cellStyle name="Millares [0] 4 2 5 2 7" xfId="50079" xr:uid="{4670B284-5AA4-41C4-85B0-75DF35155520}"/>
    <cellStyle name="Millares [0] 4 2 5 3" xfId="5849" xr:uid="{C06AAB90-45CB-4A37-8AD0-1A1D7DABAC16}"/>
    <cellStyle name="Millares [0] 4 2 5 3 2" xfId="12235" xr:uid="{E21F27E8-F02B-47D0-A3EF-347ACA38E68B}"/>
    <cellStyle name="Millares [0] 4 2 5 3 2 2" xfId="41812" xr:uid="{225A738C-AF95-4D5B-B081-A69DEDB92DCC}"/>
    <cellStyle name="Millares [0] 4 2 5 3 3" xfId="15076" xr:uid="{18A89A5A-B762-4C85-B125-05371BDC5AA7}"/>
    <cellStyle name="Millares [0] 4 2 5 3 4" xfId="20301" xr:uid="{3E25688A-2F8F-47E8-BC23-1C64F0B591A1}"/>
    <cellStyle name="Millares [0] 4 2 5 3 5" xfId="49892" xr:uid="{BBA8FF99-72C4-4652-9568-F7979AE93DAB}"/>
    <cellStyle name="Millares [0] 4 2 5 4" xfId="15523" xr:uid="{79F06BEC-506D-4921-8800-CB85FF3DE04D}"/>
    <cellStyle name="Millares [0] 4 2 5 4 2" xfId="26100" xr:uid="{B8EF37E1-B325-427F-B890-40668A93D415}"/>
    <cellStyle name="Millares [0] 4 2 5 5" xfId="31975" xr:uid="{36AEAEEF-E57F-4A77-B384-FC0819C0161E}"/>
    <cellStyle name="Millares [0] 4 2 5 6" xfId="37841" xr:uid="{A9049F33-F6A0-4131-846B-D51244328437}"/>
    <cellStyle name="Millares [0] 4 2 5 7" xfId="17787" xr:uid="{DA98F0D0-89A5-418A-AD65-18E75EBC18D9}"/>
    <cellStyle name="Millares [0] 4 2 5 8" xfId="46849" xr:uid="{81F0C31C-50BA-40B2-BA73-167F99E67C06}"/>
    <cellStyle name="Millares [0] 4 2 5 9" xfId="47055" xr:uid="{F6CC13F5-EBF4-4759-A7DB-3D4216479DBF}"/>
    <cellStyle name="Millares [0] 4 2 6" xfId="2032" xr:uid="{4041F895-2459-4006-84BF-1E4457C5F37E}"/>
    <cellStyle name="Millares [0] 4 2 6 2" xfId="6735" xr:uid="{51E4E09D-C2DF-4BC3-BC9E-DFBBF6D8AB06}"/>
    <cellStyle name="Millares [0] 4 2 6 2 2" xfId="12278" xr:uid="{3948D284-3E1A-47BC-BDEE-41B026DCAF20}"/>
    <cellStyle name="Millares [0] 4 2 6 2 2 2" xfId="41855" xr:uid="{3AB82F46-71AE-4569-8E33-18FEDE86A014}"/>
    <cellStyle name="Millares [0] 4 2 6 2 3" xfId="15119" xr:uid="{8CEC8602-6240-440F-B695-5775F9FCBBDB}"/>
    <cellStyle name="Millares [0] 4 2 6 2 4" xfId="21159" xr:uid="{F0D5A20C-0296-40E3-95C3-57D80642B476}"/>
    <cellStyle name="Millares [0] 4 2 6 2 5" xfId="45463" xr:uid="{1E2292A6-ABC4-4873-B4DC-2D7EC4844A59}"/>
    <cellStyle name="Millares [0] 4 2 6 2 6" xfId="49935" xr:uid="{B71808BD-419A-4F6F-BE8B-A42AFA1334FD}"/>
    <cellStyle name="Millares [0] 4 2 6 3" xfId="10303" xr:uid="{E5E136D6-504F-4CDC-9DBA-B9AE26A6C2C8}"/>
    <cellStyle name="Millares [0] 4 2 6 3 2" xfId="26974" xr:uid="{01BCC648-349D-46FD-BBE3-0FCD17EB8F99}"/>
    <cellStyle name="Millares [0] 4 2 6 4" xfId="13143" xr:uid="{FEBB9343-8E87-40E1-9F33-19049FAC1B87}"/>
    <cellStyle name="Millares [0] 4 2 6 4 2" xfId="32850" xr:uid="{B7678F77-BD83-4403-9333-1B7A9FE97A58}"/>
    <cellStyle name="Millares [0] 4 2 6 5" xfId="15566" xr:uid="{C72B53B1-55EA-4DBB-9DC1-1EDB8E2B9A55}"/>
    <cellStyle name="Millares [0] 4 2 6 5 2" xfId="38714" xr:uid="{238F3626-1687-46C6-851C-E36065CBA164}"/>
    <cellStyle name="Millares [0] 4 2 6 6" xfId="17892" xr:uid="{9B60C8DE-F6BE-4691-AB2C-4EC03F5C2ACC}"/>
    <cellStyle name="Millares [0] 4 2 6 7" xfId="43067" xr:uid="{00847ADA-ADBB-49F7-81A3-BA9668D4377D}"/>
    <cellStyle name="Millares [0] 4 2 6 8" xfId="47960" xr:uid="{B9B6E40B-95E1-41A5-B426-F1E538AA58FF}"/>
    <cellStyle name="Millares [0] 4 2 7" xfId="2450" xr:uid="{A35D9B3B-72FC-4990-809B-4A0816C7AE87}"/>
    <cellStyle name="Millares [0] 4 2 7 2" xfId="10721" xr:uid="{39874EAB-337B-4579-8B79-2B95D4E3C8A8}"/>
    <cellStyle name="Millares [0] 4 2 7 2 2" xfId="41653" xr:uid="{79327074-59C2-4933-A0C0-274365E0F1E6}"/>
    <cellStyle name="Millares [0] 4 2 7 2 3" xfId="45881" xr:uid="{1DE7A34A-8BF4-4CDB-BD90-50F8EEB6F173}"/>
    <cellStyle name="Millares [0] 4 2 7 3" xfId="13561" xr:uid="{C34EAF50-41CF-4CE8-A1F2-0E490E4B493F}"/>
    <cellStyle name="Millares [0] 4 2 7 4" xfId="18398" xr:uid="{8A3EE7CA-63F5-4D59-98E7-9D5AAF000342}"/>
    <cellStyle name="Millares [0] 4 2 7 5" xfId="43485" xr:uid="{DECA0488-53B8-4BFC-B0CC-6EF0135C664B}"/>
    <cellStyle name="Millares [0] 4 2 7 6" xfId="48378" xr:uid="{BF8B3619-3C4F-4DFA-99BC-2E78EB045CFE}"/>
    <cellStyle name="Millares [0] 4 2 8" xfId="2994" xr:uid="{61E5C0D2-47E3-4E16-A793-0D4546BE8BBC}"/>
    <cellStyle name="Millares [0] 4 2 8 2" xfId="11265" xr:uid="{B92E615B-2028-44F9-B615-7176B95C7B1E}"/>
    <cellStyle name="Millares [0] 4 2 8 2 2" xfId="46425" xr:uid="{75EFE0F6-2B3D-4FE8-94A0-354F32874F53}"/>
    <cellStyle name="Millares [0] 4 2 8 3" xfId="14105" xr:uid="{C1626B7D-A2B6-4E27-B76D-E7DA2AC7AE7C}"/>
    <cellStyle name="Millares [0] 4 2 8 4" xfId="24107" xr:uid="{D55B780C-A3F6-4523-87F6-C92E658BC639}"/>
    <cellStyle name="Millares [0] 4 2 8 5" xfId="44029" xr:uid="{80D15A21-A006-4F77-B58D-CC701ED88BEE}"/>
    <cellStyle name="Millares [0] 4 2 8 6" xfId="48922" xr:uid="{6EB57CEC-44EA-458C-A3C7-6FD00A5628E4}"/>
    <cellStyle name="Millares [0] 4 2 9" xfId="3405" xr:uid="{69BF5603-6B04-45BB-B037-70F7F976B8A5}"/>
    <cellStyle name="Millares [0] 4 2 9 2" xfId="11646" xr:uid="{A97E5ACA-A268-4510-BF42-54FEEA62DA47}"/>
    <cellStyle name="Millares [0] 4 2 9 2 2" xfId="46806" xr:uid="{39143274-5F22-474E-95B6-6B463A276F0E}"/>
    <cellStyle name="Millares [0] 4 2 9 3" xfId="14486" xr:uid="{6CCE6A87-8E71-4A27-9562-5110DBE66939}"/>
    <cellStyle name="Millares [0] 4 2 9 4" xfId="29985" xr:uid="{75E456E3-8CA1-44CD-BA38-D1685D3C57CF}"/>
    <cellStyle name="Millares [0] 4 2 9 5" xfId="44410" xr:uid="{42F03BC7-631E-4965-BCAC-B78893DBFE39}"/>
    <cellStyle name="Millares [0] 4 2 9 6" xfId="49303" xr:uid="{4A3DA91F-C151-4B0E-A324-DC050467A26A}"/>
    <cellStyle name="Millares [0] 4 20" xfId="15873" xr:uid="{91F472CB-A2C7-46AD-AF47-B7163C2EA330}"/>
    <cellStyle name="Millares [0] 4 21" xfId="16416" xr:uid="{71949BED-B10A-4DD6-B2B4-6DB47C1B535D}"/>
    <cellStyle name="Millares [0] 4 22" xfId="16960" xr:uid="{67B2B583-55D8-47A6-9D9D-8CF8F6D09CDC}"/>
    <cellStyle name="Millares [0] 4 23" xfId="17489" xr:uid="{0F6B821C-F3DC-46B1-8391-F4D6704CFE30}"/>
    <cellStyle name="Millares [0] 4 24" xfId="42086" xr:uid="{0BAFC333-0FB1-4886-B0D0-AD59E80218F5}"/>
    <cellStyle name="Millares [0] 4 25" xfId="42137" xr:uid="{791C6A7B-B933-46B8-B77B-50A232157BB1}"/>
    <cellStyle name="Millares [0] 4 26" xfId="42454" xr:uid="{0ED5D4C0-76B5-4DD8-9662-8677780E2855}"/>
    <cellStyle name="Millares [0] 4 27" xfId="47347" xr:uid="{22D277C5-424C-4630-B9E9-3AED66D20C67}"/>
    <cellStyle name="Millares [0] 4 28" xfId="50177" xr:uid="{2D2C5B61-5B63-4AEC-B4E3-30C27C0356B1}"/>
    <cellStyle name="Millares [0] 4 29" xfId="50251" xr:uid="{5FAE92D4-7097-45A6-B432-8DA8E2894550}"/>
    <cellStyle name="Millares [0] 4 3" xfId="175" xr:uid="{00000000-0005-0000-0000-000050010000}"/>
    <cellStyle name="Millares [0] 4 3 10" xfId="9742" xr:uid="{E79CEC28-4474-4382-A551-B7B488BCB07F}"/>
    <cellStyle name="Millares [0] 4 3 10 2" xfId="35895" xr:uid="{EDBDCE59-4060-46CA-A02A-C27F434C76AC}"/>
    <cellStyle name="Millares [0] 4 3 11" xfId="12582" xr:uid="{88C4DF3D-AF0B-4C63-95B4-C9F5A57BA1D4}"/>
    <cellStyle name="Millares [0] 4 3 12" xfId="15368" xr:uid="{1D083C2E-9B0B-448C-A221-2AB2DDB93EDE}"/>
    <cellStyle name="Millares [0] 4 3 13" xfId="15925" xr:uid="{49DE6038-7E22-47CD-8B44-16845413ABDF}"/>
    <cellStyle name="Millares [0] 4 3 14" xfId="16468" xr:uid="{65EF53B1-82A7-4EFD-A352-541637476EAD}"/>
    <cellStyle name="Millares [0] 4 3 15" xfId="17012" xr:uid="{0A32289A-C55E-46BE-87FD-54F19FDBE934}"/>
    <cellStyle name="Millares [0] 4 3 16" xfId="17511" xr:uid="{68ADAFA1-CD20-4529-A737-8EB6A64865B9}"/>
    <cellStyle name="Millares [0] 4 3 17" xfId="42138" xr:uid="{69EC58CA-FFFB-4F40-B6B6-FB3EC40913E3}"/>
    <cellStyle name="Millares [0] 4 3 18" xfId="42506" xr:uid="{068CCD03-C526-4CD9-BB10-89DD94AD9971}"/>
    <cellStyle name="Millares [0] 4 3 19" xfId="47399" xr:uid="{AA864133-B2B3-4E71-B012-0F0B39687C4C}"/>
    <cellStyle name="Millares [0] 4 3 2" xfId="288" xr:uid="{00000000-0005-0000-0000-000051010000}"/>
    <cellStyle name="Millares [0] 4 3 2 10" xfId="15390" xr:uid="{CD715997-4E31-4D91-BB6A-FF60A8FF1136}"/>
    <cellStyle name="Millares [0] 4 3 2 11" xfId="16029" xr:uid="{551E019C-0C0B-4338-968F-B88B23176A39}"/>
    <cellStyle name="Millares [0] 4 3 2 12" xfId="16572" xr:uid="{D7419E3B-5BB5-43CE-90EF-4C4591247319}"/>
    <cellStyle name="Millares [0] 4 3 2 13" xfId="17116" xr:uid="{12F2E1AB-639A-4FB9-ABB1-50ECB163F4C9}"/>
    <cellStyle name="Millares [0] 4 3 2 14" xfId="17549" xr:uid="{0EB6D1D6-0C27-4941-9579-B691A70EC7F4}"/>
    <cellStyle name="Millares [0] 4 3 2 15" xfId="42610" xr:uid="{F82DABBC-94C0-4C0F-A714-6293E7C1C819}"/>
    <cellStyle name="Millares [0] 4 3 2 16" xfId="47503" xr:uid="{AB46460B-7E58-41AE-88CC-27477F3286A6}"/>
    <cellStyle name="Millares [0] 4 3 2 2" xfId="515" xr:uid="{00000000-0005-0000-0000-000052010000}"/>
    <cellStyle name="Millares [0] 4 3 2 2 10" xfId="16241" xr:uid="{BFA798ED-C8B9-44D4-82DA-26490C250E88}"/>
    <cellStyle name="Millares [0] 4 3 2 2 11" xfId="16784" xr:uid="{FA0DBFD8-7545-483B-AE31-B0CC1A88112B}"/>
    <cellStyle name="Millares [0] 4 3 2 2 12" xfId="17328" xr:uid="{5D0E3E8F-AEE7-4B9A-B507-2EA63B447717}"/>
    <cellStyle name="Millares [0] 4 3 2 2 13" xfId="17611" xr:uid="{AF9DFC84-3B1A-41F3-AAED-4C50DC56EE10}"/>
    <cellStyle name="Millares [0] 4 3 2 2 14" xfId="42822" xr:uid="{AA54B227-FDAC-4505-A82E-F6A0D8EA35C2}"/>
    <cellStyle name="Millares [0] 4 3 2 2 15" xfId="47715" xr:uid="{E43CBA78-33CB-4D6F-8446-DC16B212ECB2}"/>
    <cellStyle name="Millares [0] 4 3 2 2 2" xfId="2331" xr:uid="{17F5AEE3-4395-42BD-91D3-9E990479D888}"/>
    <cellStyle name="Millares [0] 4 3 2 2 2 2" xfId="8412" xr:uid="{BBADE365-39F6-49AC-84BF-B6AEA348C6BA}"/>
    <cellStyle name="Millares [0] 4 3 2 2 2 2 2" xfId="12400" xr:uid="{9D7C61B6-003F-4228-9327-81134BF6AB06}"/>
    <cellStyle name="Millares [0] 4 3 2 2 2 2 2 2" xfId="41977" xr:uid="{A53D8568-F798-48A8-92E0-B1B265D452BA}"/>
    <cellStyle name="Millares [0] 4 3 2 2 2 2 2 3" xfId="22787" xr:uid="{F75B0B6E-240A-4F64-BD80-2983F353A128}"/>
    <cellStyle name="Millares [0] 4 3 2 2 2 2 3" xfId="15241" xr:uid="{FB1ECC2C-228D-49F9-A66D-7593F75E6E6E}"/>
    <cellStyle name="Millares [0] 4 3 2 2 2 2 3 2" xfId="28645" xr:uid="{4DEEA9C7-CC57-4CCC-8C71-A015B519708B}"/>
    <cellStyle name="Millares [0] 4 3 2 2 2 2 4" xfId="15688" xr:uid="{516638C3-8F66-462D-8D98-4C4F1F0035D6}"/>
    <cellStyle name="Millares [0] 4 3 2 2 2 2 4 2" xfId="34527" xr:uid="{DD41DA26-31F7-467C-9258-4F806579FB7A}"/>
    <cellStyle name="Millares [0] 4 3 2 2 2 2 5" xfId="40391" xr:uid="{8C8DBEE1-4E66-40DD-B4D7-DF83FC0B5AF5}"/>
    <cellStyle name="Millares [0] 4 3 2 2 2 2 6" xfId="18130" xr:uid="{2CCA3359-6492-4617-B0FE-DC93E092182B}"/>
    <cellStyle name="Millares [0] 4 3 2 2 2 2 7" xfId="45762" xr:uid="{02260147-E596-4826-9BE0-FAFFF26425D0}"/>
    <cellStyle name="Millares [0] 4 3 2 2 2 2 8" xfId="50057" xr:uid="{E0779414-2D69-457F-8ED4-0F9D1934D055}"/>
    <cellStyle name="Millares [0] 4 3 2 2 2 3" xfId="5545" xr:uid="{D31EEF28-9DAB-4AA4-B9D0-61B65C6E27EF}"/>
    <cellStyle name="Millares [0] 4 3 2 2 2 3 2" xfId="12213" xr:uid="{AADA3D99-BCA3-485B-B862-797B9DCC3743}"/>
    <cellStyle name="Millares [0] 4 3 2 2 2 3 2 2" xfId="41790" xr:uid="{9A038C8D-AA4E-4862-ABCE-01F15D175AE5}"/>
    <cellStyle name="Millares [0] 4 3 2 2 2 3 3" xfId="15054" xr:uid="{709ED64B-7282-4966-9356-AB46C5B4F670}"/>
    <cellStyle name="Millares [0] 4 3 2 2 2 3 4" xfId="20005" xr:uid="{C3015A74-42BD-43F7-B5E4-7DF73FFAC8A6}"/>
    <cellStyle name="Millares [0] 4 3 2 2 2 3 5" xfId="49870" xr:uid="{E6670E6D-EE80-47BC-8F93-B162B1D809E2}"/>
    <cellStyle name="Millares [0] 4 3 2 2 2 4" xfId="10602" xr:uid="{FB7CD759-E998-4CC4-B8A8-03BBDEACD65E}"/>
    <cellStyle name="Millares [0] 4 3 2 2 2 4 2" xfId="25796" xr:uid="{CBC90E76-B275-4454-9F4E-1BEFF085640E}"/>
    <cellStyle name="Millares [0] 4 3 2 2 2 5" xfId="13442" xr:uid="{5E6C197B-1499-4CA9-8A47-FADCFB9C6612}"/>
    <cellStyle name="Millares [0] 4 3 2 2 2 5 2" xfId="31670" xr:uid="{AAC45436-4FA5-495C-998A-4BDA989F8ED5}"/>
    <cellStyle name="Millares [0] 4 3 2 2 2 6" xfId="15501" xr:uid="{963192B6-5560-477F-859E-E622D3885489}"/>
    <cellStyle name="Millares [0] 4 3 2 2 2 6 2" xfId="37540" xr:uid="{4595D879-4EE3-4462-8FC2-4D0BE0E7420A}"/>
    <cellStyle name="Millares [0] 4 3 2 2 2 7" xfId="17744" xr:uid="{7BBD01C7-49CC-4A16-B825-B04181002F54}"/>
    <cellStyle name="Millares [0] 4 3 2 2 2 8" xfId="43366" xr:uid="{6867347F-CE3A-49E5-B9BB-095424F0DEDE}"/>
    <cellStyle name="Millares [0] 4 3 2 2 2 9" xfId="48259" xr:uid="{E2345A1D-65E6-4A74-BEB2-91AE107CB130}"/>
    <cellStyle name="Millares [0] 4 3 2 2 3" xfId="2749" xr:uid="{BEB95A28-3FB3-4B76-9F52-A2C1614EAACA}"/>
    <cellStyle name="Millares [0] 4 3 2 2 3 2" xfId="7440" xr:uid="{9CEA4CE8-62D6-46EF-A176-7C5A5C032DB1}"/>
    <cellStyle name="Millares [0] 4 3 2 2 3 2 2" xfId="12328" xr:uid="{39885678-1F43-48D8-84BE-288F7EC868F3}"/>
    <cellStyle name="Millares [0] 4 3 2 2 3 2 2 2" xfId="41905" xr:uid="{E9F58738-7D45-4F31-8052-B8B855FD5D2F}"/>
    <cellStyle name="Millares [0] 4 3 2 2 3 2 3" xfId="15169" xr:uid="{025D8653-2670-4453-893B-10956385EBFD}"/>
    <cellStyle name="Millares [0] 4 3 2 2 3 2 4" xfId="21842" xr:uid="{898F6A8B-F20B-4BEE-A918-A1BF497F65FC}"/>
    <cellStyle name="Millares [0] 4 3 2 2 3 2 5" xfId="46180" xr:uid="{0AC28D71-74DC-48E5-B8EE-FE67E848DAA5}"/>
    <cellStyle name="Millares [0] 4 3 2 2 3 2 6" xfId="49985" xr:uid="{193C4BCA-D97F-4985-A5E2-191E3080AFD9}"/>
    <cellStyle name="Millares [0] 4 3 2 2 3 3" xfId="11020" xr:uid="{07C295A7-B89B-4214-86C0-F0AB3078B9DD}"/>
    <cellStyle name="Millares [0] 4 3 2 2 3 3 2" xfId="27674" xr:uid="{2943A1E4-C22A-41E0-9F46-BF2E484035E5}"/>
    <cellStyle name="Millares [0] 4 3 2 2 3 4" xfId="13860" xr:uid="{5FC037C0-BF7A-4157-96EE-3912A05802F7}"/>
    <cellStyle name="Millares [0] 4 3 2 2 3 4 2" xfId="33556" xr:uid="{78171257-C5D4-42A3-9E4A-35E894E38CB3}"/>
    <cellStyle name="Millares [0] 4 3 2 2 3 5" xfId="15616" xr:uid="{AD256B8C-12F1-494C-ADAE-D4DD6A43380B}"/>
    <cellStyle name="Millares [0] 4 3 2 2 3 5 2" xfId="39420" xr:uid="{D3001D37-8BFE-479B-BE09-99CE56130131}"/>
    <cellStyle name="Millares [0] 4 3 2 2 3 6" xfId="17990" xr:uid="{DC256977-F01C-41D8-AF28-C4F788E9D85C}"/>
    <cellStyle name="Millares [0] 4 3 2 2 3 7" xfId="43784" xr:uid="{A8CC66DD-889F-491D-B3EF-EC38A57AC8FB}"/>
    <cellStyle name="Millares [0] 4 3 2 2 3 8" xfId="48677" xr:uid="{3B3741FF-B236-4704-BB86-5AE187BBB2AB}"/>
    <cellStyle name="Millares [0] 4 3 2 2 4" xfId="3293" xr:uid="{1ED1C1D4-BD30-487E-92F4-F46802B887EB}"/>
    <cellStyle name="Millares [0] 4 3 2 2 4 2" xfId="11564" xr:uid="{0294F791-A2BA-4F5C-A570-AAD11E1C6770}"/>
    <cellStyle name="Millares [0] 4 3 2 2 4 2 2" xfId="41718" xr:uid="{2AB825C8-9498-4517-8EDD-C45ADBA4E52B}"/>
    <cellStyle name="Millares [0] 4 3 2 2 4 2 3" xfId="46724" xr:uid="{3901F427-5280-4CE0-8E11-09D1D5633AC6}"/>
    <cellStyle name="Millares [0] 4 3 2 2 4 3" xfId="14404" xr:uid="{4FA4BA82-2B7B-45C9-B6F1-DCA208B954CF}"/>
    <cellStyle name="Millares [0] 4 3 2 2 4 4" xfId="19073" xr:uid="{A391A798-D782-4967-ADF6-59192B0D7C30}"/>
    <cellStyle name="Millares [0] 4 3 2 2 4 5" xfId="44328" xr:uid="{4CFA8F42-FF2E-4478-8926-C8FE0F57B8C6}"/>
    <cellStyle name="Millares [0] 4 3 2 2 4 6" xfId="49221" xr:uid="{05770421-0039-4EBF-9813-E97B0101638B}"/>
    <cellStyle name="Millares [0] 4 3 2 2 5" xfId="3795" xr:uid="{684ADBB0-1B6F-4475-9A00-B362A0E4FE53}"/>
    <cellStyle name="Millares [0] 4 3 2 2 5 2" xfId="12036" xr:uid="{13298998-1520-45DD-B767-B107BA91FCFE}"/>
    <cellStyle name="Millares [0] 4 3 2 2 5 3" xfId="14876" xr:uid="{0A5DF917-4705-405F-AEA6-56D63A118034}"/>
    <cellStyle name="Millares [0] 4 3 2 2 5 4" xfId="24825" xr:uid="{3FA41DCF-D1E7-49DC-9D7D-33FD0CE35769}"/>
    <cellStyle name="Millares [0] 4 3 2 2 5 5" xfId="44800" xr:uid="{C3808F7F-93CD-478B-8998-3C063376D01A}"/>
    <cellStyle name="Millares [0] 4 3 2 2 5 6" xfId="49693" xr:uid="{2E0A84E3-5D32-458D-B377-8AB4F351F35B}"/>
    <cellStyle name="Millares [0] 4 3 2 2 6" xfId="4577" xr:uid="{28F24861-96EB-4B6A-A899-F8E2D1ED30E9}"/>
    <cellStyle name="Millares [0] 4 3 2 2 6 2" xfId="12141" xr:uid="{0CD20D53-6B8D-45A1-974D-3B6F54E1D0EA}"/>
    <cellStyle name="Millares [0] 4 3 2 2 6 3" xfId="14982" xr:uid="{882723D9-E8C4-4096-B8D7-4126A0662294}"/>
    <cellStyle name="Millares [0] 4 3 2 2 6 4" xfId="30702" xr:uid="{D72786D7-1045-47E2-BB00-B4B65BE2600A}"/>
    <cellStyle name="Millares [0] 4 3 2 2 6 5" xfId="45218" xr:uid="{B3FC589E-40A6-4499-8BDF-548176718F13}"/>
    <cellStyle name="Millares [0] 4 3 2 2 6 6" xfId="49798" xr:uid="{584F4AEE-ED7C-4469-8ECF-4FA31EAE6529}"/>
    <cellStyle name="Millares [0] 4 3 2 2 7" xfId="10058" xr:uid="{CA818813-9AE4-41BF-93DF-87513F71D609}"/>
    <cellStyle name="Millares [0] 4 3 2 2 7 2" xfId="36583" xr:uid="{1EB2EB89-1517-41CF-8624-2CFF8F5618BD}"/>
    <cellStyle name="Millares [0] 4 3 2 2 8" xfId="12898" xr:uid="{1FE46460-C6A8-4035-AC0C-70B61E988609}"/>
    <cellStyle name="Millares [0] 4 3 2 2 9" xfId="15427" xr:uid="{B99E2632-47EA-4E9F-8375-A98B045696F3}"/>
    <cellStyle name="Millares [0] 4 3 2 3" xfId="2119" xr:uid="{C8DD8E69-2198-41DF-88F1-A8B37D05B846}"/>
    <cellStyle name="Millares [0] 4 3 2 3 2" xfId="7927" xr:uid="{5359D263-DD51-4DF6-9B8C-930B943507EC}"/>
    <cellStyle name="Millares [0] 4 3 2 3 2 2" xfId="12364" xr:uid="{FEC331D2-CA84-4DBF-8E7E-E75AB5CBD215}"/>
    <cellStyle name="Millares [0] 4 3 2 3 2 2 2" xfId="41941" xr:uid="{8481A74C-5E93-4A9F-9A0D-97089125E09F}"/>
    <cellStyle name="Millares [0] 4 3 2 3 2 2 3" xfId="22312" xr:uid="{08A07429-3F75-428A-8887-D5EEC544D1BD}"/>
    <cellStyle name="Millares [0] 4 3 2 3 2 3" xfId="15205" xr:uid="{ECDC8144-C358-4549-82EC-6A78D8E7B209}"/>
    <cellStyle name="Millares [0] 4 3 2 3 2 3 2" xfId="28160" xr:uid="{C4A4D040-6757-4D15-990D-4F8F2ACFA38C}"/>
    <cellStyle name="Millares [0] 4 3 2 3 2 4" xfId="15652" xr:uid="{A6D39203-8763-430A-AB6F-2801A4EBDC40}"/>
    <cellStyle name="Millares [0] 4 3 2 3 2 4 2" xfId="34042" xr:uid="{F0734511-BFDE-42B9-877B-52C58D207FC8}"/>
    <cellStyle name="Millares [0] 4 3 2 3 2 5" xfId="39906" xr:uid="{651BF5E2-A1EC-4011-8946-354337F4B2A6}"/>
    <cellStyle name="Millares [0] 4 3 2 3 2 6" xfId="18059" xr:uid="{B9853187-4884-4743-BEA2-70B3058C124B}"/>
    <cellStyle name="Millares [0] 4 3 2 3 2 7" xfId="45550" xr:uid="{BBB7B26F-B6C3-4418-9012-342E3B3E77D7}"/>
    <cellStyle name="Millares [0] 4 3 2 3 2 8" xfId="50021" xr:uid="{F7992F73-E4E0-46AE-88AD-AD2F297E7A5D}"/>
    <cellStyle name="Millares [0] 4 3 2 3 3" xfId="5060" xr:uid="{1199C3C6-5C5C-4CE4-960E-6069B32A3A45}"/>
    <cellStyle name="Millares [0] 4 3 2 3 3 2" xfId="12177" xr:uid="{5B794997-E73F-41E4-B5DA-45FA043584C1}"/>
    <cellStyle name="Millares [0] 4 3 2 3 3 2 2" xfId="41754" xr:uid="{796128BC-29CD-48D3-90BB-7070501BD574}"/>
    <cellStyle name="Millares [0] 4 3 2 3 3 3" xfId="15018" xr:uid="{C540C85A-54E8-4993-9452-C442B689A64C}"/>
    <cellStyle name="Millares [0] 4 3 2 3 3 4" xfId="19537" xr:uid="{9799D286-FBC5-46EE-AD5E-F76C197C1098}"/>
    <cellStyle name="Millares [0] 4 3 2 3 3 5" xfId="49834" xr:uid="{9F62E2AD-440B-4963-A983-AE4A596DAB08}"/>
    <cellStyle name="Millares [0] 4 3 2 3 4" xfId="10390" xr:uid="{8DBD0D84-9C17-4AC3-A1D3-F780CA85800A}"/>
    <cellStyle name="Millares [0] 4 3 2 3 4 2" xfId="25311" xr:uid="{4297107A-8B15-4B55-B47E-8656DD177663}"/>
    <cellStyle name="Millares [0] 4 3 2 3 5" xfId="13230" xr:uid="{3FE660C6-17AD-4531-B5B1-54A081A5BC1D}"/>
    <cellStyle name="Millares [0] 4 3 2 3 5 2" xfId="31185" xr:uid="{BED60AE6-AFE7-4108-8CFC-E09B2B6BF768}"/>
    <cellStyle name="Millares [0] 4 3 2 3 6" xfId="15464" xr:uid="{E8C55618-E460-4655-8950-FD2716BA5253}"/>
    <cellStyle name="Millares [0] 4 3 2 3 6 2" xfId="37063" xr:uid="{87FB3EAF-2236-4182-B59D-14BA708738F4}"/>
    <cellStyle name="Millares [0] 4 3 2 3 7" xfId="17675" xr:uid="{4C8A3BF7-DE68-43D9-AC21-ACBE03B075FF}"/>
    <cellStyle name="Millares [0] 4 3 2 3 8" xfId="43154" xr:uid="{734FD49C-D365-4C62-9BDF-3527904456E0}"/>
    <cellStyle name="Millares [0] 4 3 2 3 9" xfId="48047" xr:uid="{D5C3CCB4-614F-4F30-9718-0C85A5D85624}"/>
    <cellStyle name="Millares [0] 4 3 2 4" xfId="2537" xr:uid="{34BAAAC8-E019-4265-9461-B746CBA69549}"/>
    <cellStyle name="Millares [0] 4 3 2 4 2" xfId="6955" xr:uid="{A6CC276E-FEB9-4443-9006-0D6E51147245}"/>
    <cellStyle name="Millares [0] 4 3 2 4 2 2" xfId="12292" xr:uid="{25570E13-C2C2-4A18-A7F9-D77212F7EAE9}"/>
    <cellStyle name="Millares [0] 4 3 2 4 2 2 2" xfId="41869" xr:uid="{658497D5-A0C6-4C56-823B-EFD3EEAA040C}"/>
    <cellStyle name="Millares [0] 4 3 2 4 2 3" xfId="15133" xr:uid="{9FE7291E-D6C8-48CF-B014-86C155BD2276}"/>
    <cellStyle name="Millares [0] 4 3 2 4 2 4" xfId="21375" xr:uid="{2076AB03-8502-4A30-A5CB-0BF4EDCC3598}"/>
    <cellStyle name="Millares [0] 4 3 2 4 2 5" xfId="45968" xr:uid="{4662EDE0-F029-4728-BD28-C97BD792DC21}"/>
    <cellStyle name="Millares [0] 4 3 2 4 2 6" xfId="49949" xr:uid="{5CBE3860-1E34-4517-94C4-8FE551621A24}"/>
    <cellStyle name="Millares [0] 4 3 2 4 3" xfId="10808" xr:uid="{D60F07A6-8E07-4633-91E6-F3B198D4D4C0}"/>
    <cellStyle name="Millares [0] 4 3 2 4 3 2" xfId="27193" xr:uid="{9FFAF6D4-0611-42F3-B6BF-208E979AF665}"/>
    <cellStyle name="Millares [0] 4 3 2 4 4" xfId="13648" xr:uid="{7CEB28E2-A1E0-45E4-8272-244059904660}"/>
    <cellStyle name="Millares [0] 4 3 2 4 4 2" xfId="33071" xr:uid="{EBCAE7F5-D69A-4BA3-B98D-3D091D7651B1}"/>
    <cellStyle name="Millares [0] 4 3 2 4 5" xfId="15580" xr:uid="{C4BAFE1A-21C2-4D2B-B3B7-E9596F76507B}"/>
    <cellStyle name="Millares [0] 4 3 2 4 5 2" xfId="38935" xr:uid="{600D30CA-7FA8-4BD1-8626-7E7A3A569671}"/>
    <cellStyle name="Millares [0] 4 3 2 4 6" xfId="17922" xr:uid="{28A84D7F-D614-4F66-B70F-20810BD58A95}"/>
    <cellStyle name="Millares [0] 4 3 2 4 7" xfId="43572" xr:uid="{78597462-CAFD-4C13-8E81-CA230C2380B5}"/>
    <cellStyle name="Millares [0] 4 3 2 4 8" xfId="48465" xr:uid="{4F455E5E-6D3A-40F0-8DCA-0C00EA44F9E4}"/>
    <cellStyle name="Millares [0] 4 3 2 5" xfId="3081" xr:uid="{8D86A66A-ECAE-49B5-BBC4-E24C210A8F8B}"/>
    <cellStyle name="Millares [0] 4 3 2 5 2" xfId="11352" xr:uid="{8DFE1084-D2CA-4E1D-93B6-A593E69553B9}"/>
    <cellStyle name="Millares [0] 4 3 2 5 2 2" xfId="41681" xr:uid="{578B3EF8-EBDC-4523-AFDE-F3DF464C0E9E}"/>
    <cellStyle name="Millares [0] 4 3 2 5 2 3" xfId="46512" xr:uid="{0A45EB9C-D791-47DC-882A-710B27E2578C}"/>
    <cellStyle name="Millares [0] 4 3 2 5 3" xfId="14192" xr:uid="{728F469B-B28C-46F8-94CA-0021F259EE1F}"/>
    <cellStyle name="Millares [0] 4 3 2 5 4" xfId="18629" xr:uid="{63D13FC5-5E61-486C-AE4D-6849B32727E3}"/>
    <cellStyle name="Millares [0] 4 3 2 5 5" xfId="44116" xr:uid="{5F555ED7-9890-4838-9164-B73BAE2D1D8D}"/>
    <cellStyle name="Millares [0] 4 3 2 5 6" xfId="49009" xr:uid="{FC33D1E7-B76A-4817-92D0-6A499F82066C}"/>
    <cellStyle name="Millares [0] 4 3 2 6" xfId="3583" xr:uid="{61F5F7C2-BCED-443F-84D8-8FB55700A0EE}"/>
    <cellStyle name="Millares [0] 4 3 2 6 2" xfId="11824" xr:uid="{AF62E3FE-EC04-41B3-8554-43AC3EC1BB13}"/>
    <cellStyle name="Millares [0] 4 3 2 6 3" xfId="14664" xr:uid="{FDA803A8-C25D-4D1C-8E1D-F42270C7B70E}"/>
    <cellStyle name="Millares [0] 4 3 2 6 4" xfId="24342" xr:uid="{4F4592E7-616B-4FAD-9A1B-E04FDCD11A51}"/>
    <cellStyle name="Millares [0] 4 3 2 6 5" xfId="44588" xr:uid="{E6344FDF-7C79-4F6B-838A-4443B7EB7D0C}"/>
    <cellStyle name="Millares [0] 4 3 2 6 6" xfId="49481" xr:uid="{689E4410-7F15-4724-95BB-5A2611935EDF}"/>
    <cellStyle name="Millares [0] 4 3 2 7" xfId="4099" xr:uid="{3B07F300-C4DA-4BE8-80A2-631EE30D0FF0}"/>
    <cellStyle name="Millares [0] 4 3 2 7 2" xfId="12104" xr:uid="{62E7B879-F459-4379-ADBD-C8BD7C79D416}"/>
    <cellStyle name="Millares [0] 4 3 2 7 3" xfId="14945" xr:uid="{0D6B005C-1307-4A93-9E20-17C5CAB9E039}"/>
    <cellStyle name="Millares [0] 4 3 2 7 4" xfId="30220" xr:uid="{1C1AD9D6-D0CA-49CA-A8E4-A08C7D5C2296}"/>
    <cellStyle name="Millares [0] 4 3 2 7 5" xfId="45006" xr:uid="{F6706512-7B9D-40DB-92FC-2C787BC83E56}"/>
    <cellStyle name="Millares [0] 4 3 2 7 6" xfId="49761" xr:uid="{9A53540A-834B-429A-915D-68A5E4E35CBE}"/>
    <cellStyle name="Millares [0] 4 3 2 8" xfId="9846" xr:uid="{DB913261-50FC-4895-BA19-70F7DA611C38}"/>
    <cellStyle name="Millares [0] 4 3 2 8 2" xfId="36099" xr:uid="{0C610552-2B89-4952-84F9-1C302C8D855E}"/>
    <cellStyle name="Millares [0] 4 3 2 9" xfId="12686" xr:uid="{F1C68D91-0577-48B3-86BB-C3FAB56656BB}"/>
    <cellStyle name="Millares [0] 4 3 20" xfId="50323" xr:uid="{F05FFF07-6694-4309-A218-F4A2E6BCC1BF}"/>
    <cellStyle name="Millares [0] 4 3 3" xfId="414" xr:uid="{00000000-0005-0000-0000-000053010000}"/>
    <cellStyle name="Millares [0] 4 3 3 10" xfId="16141" xr:uid="{7054ECEA-0EDC-4F1A-97A8-ABC3E0813421}"/>
    <cellStyle name="Millares [0] 4 3 3 11" xfId="16684" xr:uid="{4DCE55B4-962C-4166-9287-0CD451CFC012}"/>
    <cellStyle name="Millares [0] 4 3 3 12" xfId="17228" xr:uid="{18BCE10A-7EA2-4CC8-9C1D-5F7E59619676}"/>
    <cellStyle name="Millares [0] 4 3 3 13" xfId="17589" xr:uid="{4334CBEC-DC52-45D4-9829-AFF4D8CB6DBF}"/>
    <cellStyle name="Millares [0] 4 3 3 14" xfId="42722" xr:uid="{A4DAC31B-87E6-418D-8763-6017D8D99F93}"/>
    <cellStyle name="Millares [0] 4 3 3 15" xfId="47615" xr:uid="{CA19A96F-9ECA-48E4-A858-F6A842466703}"/>
    <cellStyle name="Millares [0] 4 3 3 2" xfId="2231" xr:uid="{4A3DCB0A-0E29-45C7-A24C-3FE3542F4896}"/>
    <cellStyle name="Millares [0] 4 3 3 2 2" xfId="8216" xr:uid="{FAA3612E-8EDE-443E-A0C3-7402F155B1DE}"/>
    <cellStyle name="Millares [0] 4 3 3 2 2 2" xfId="12388" xr:uid="{1DDCD1C6-53F0-4440-88DE-EE0117B85C45}"/>
    <cellStyle name="Millares [0] 4 3 3 2 2 2 2" xfId="41965" xr:uid="{62848C64-226E-4EA1-9DA3-A22DD502FD87}"/>
    <cellStyle name="Millares [0] 4 3 3 2 2 2 3" xfId="22592" xr:uid="{7F1B4A5D-2FBC-4B86-9B3F-AC840DEFF029}"/>
    <cellStyle name="Millares [0] 4 3 3 2 2 3" xfId="15229" xr:uid="{09F6FE85-F9E2-4A1B-9C13-23C474E830EE}"/>
    <cellStyle name="Millares [0] 4 3 3 2 2 3 2" xfId="28449" xr:uid="{92A93721-E28D-47EE-A643-9444F873A43A}"/>
    <cellStyle name="Millares [0] 4 3 3 2 2 4" xfId="15676" xr:uid="{223F3AD3-8AC1-4733-90CD-2A19C3E147D6}"/>
    <cellStyle name="Millares [0] 4 3 3 2 2 4 2" xfId="34331" xr:uid="{80919BB4-4264-46EA-9F34-4B68FDEE83DC}"/>
    <cellStyle name="Millares [0] 4 3 3 2 2 5" xfId="40195" xr:uid="{C7EBAE91-AE7B-4A54-8702-4ADF889EAAAC}"/>
    <cellStyle name="Millares [0] 4 3 3 2 2 6" xfId="18103" xr:uid="{6A39440C-1A1B-431C-B656-C52133B04224}"/>
    <cellStyle name="Millares [0] 4 3 3 2 2 7" xfId="45662" xr:uid="{3E06E396-8E40-421F-822B-FCD76DF39F26}"/>
    <cellStyle name="Millares [0] 4 3 3 2 2 8" xfId="50045" xr:uid="{7FA0E89F-7EDE-4141-96B7-8926169EF4B9}"/>
    <cellStyle name="Millares [0] 4 3 3 2 3" xfId="5349" xr:uid="{D9E74CFB-9220-4534-86E3-C0DF242FAB81}"/>
    <cellStyle name="Millares [0] 4 3 3 2 3 2" xfId="12201" xr:uid="{BF8E9F09-3EF3-4ED6-BAC2-74228771C760}"/>
    <cellStyle name="Millares [0] 4 3 3 2 3 2 2" xfId="41778" xr:uid="{9AEF8E56-6CE9-442F-B96E-C724E491BBCE}"/>
    <cellStyle name="Millares [0] 4 3 3 2 3 3" xfId="15042" xr:uid="{CC20EA24-6087-4882-AF6C-B024284553E5}"/>
    <cellStyle name="Millares [0] 4 3 3 2 3 4" xfId="19816" xr:uid="{0A86B898-3FD8-40C5-A8C0-7197C5D85FC1}"/>
    <cellStyle name="Millares [0] 4 3 3 2 3 5" xfId="49858" xr:uid="{BDFF8A34-4116-4077-AC75-45B8411FC40C}"/>
    <cellStyle name="Millares [0] 4 3 3 2 4" xfId="10502" xr:uid="{C3250897-6F4A-47C0-9EAB-8CA467C59E59}"/>
    <cellStyle name="Millares [0] 4 3 3 2 4 2" xfId="25600" xr:uid="{27E43DFB-6A7F-4878-B119-5AE1FEC326FE}"/>
    <cellStyle name="Millares [0] 4 3 3 2 5" xfId="13342" xr:uid="{6D484D89-B717-4F44-8E4D-A85D49B42570}"/>
    <cellStyle name="Millares [0] 4 3 3 2 5 2" xfId="31474" xr:uid="{87E29673-41A4-473A-BD5F-999335CF62CA}"/>
    <cellStyle name="Millares [0] 4 3 3 2 6" xfId="15488" xr:uid="{BFDCAEF7-5C0B-4640-90FD-95A6A5E4830A}"/>
    <cellStyle name="Millares [0] 4 3 3 2 6 2" xfId="37345" xr:uid="{24BB95A5-04B8-47FB-AB51-47B9C7AF6664}"/>
    <cellStyle name="Millares [0] 4 3 3 2 7" xfId="17721" xr:uid="{80669A9B-3F3C-4373-87D4-5A6F9660971A}"/>
    <cellStyle name="Millares [0] 4 3 3 2 8" xfId="43266" xr:uid="{DE3195E4-7049-4E2A-B86A-FEA478B75B7E}"/>
    <cellStyle name="Millares [0] 4 3 3 2 9" xfId="48159" xr:uid="{4E19A90A-1596-459F-B573-8957AD20C7C8}"/>
    <cellStyle name="Millares [0] 4 3 3 3" xfId="2649" xr:uid="{55F37A1F-BB7D-4902-871B-ECF8F1091F2A}"/>
    <cellStyle name="Millares [0] 4 3 3 3 2" xfId="7244" xr:uid="{1681A0AF-E2F3-4B18-9CE0-C0D5FB31953B}"/>
    <cellStyle name="Millares [0] 4 3 3 3 2 2" xfId="12316" xr:uid="{DB4070AB-2AAF-43E4-80F9-3781FF44CB8D}"/>
    <cellStyle name="Millares [0] 4 3 3 3 2 2 2" xfId="41893" xr:uid="{01DC8DB8-16F2-410D-8E1A-2FD76FA3A790}"/>
    <cellStyle name="Millares [0] 4 3 3 3 2 3" xfId="15157" xr:uid="{2C7FB180-F486-4942-B080-839972C78A1C}"/>
    <cellStyle name="Millares [0] 4 3 3 3 2 4" xfId="21651" xr:uid="{00FD6DAC-DC7F-45E7-88DC-43FB4FA7BDC2}"/>
    <cellStyle name="Millares [0] 4 3 3 3 2 5" xfId="46080" xr:uid="{2EE8E04A-B215-42AB-AB79-A14F94FAB50E}"/>
    <cellStyle name="Millares [0] 4 3 3 3 2 6" xfId="49973" xr:uid="{D808FC3E-02E3-46AE-A09E-2C3335896512}"/>
    <cellStyle name="Millares [0] 4 3 3 3 3" xfId="10920" xr:uid="{B7696F86-9DE1-4329-8959-FC3352BF0958}"/>
    <cellStyle name="Millares [0] 4 3 3 3 3 2" xfId="27478" xr:uid="{FC91F29B-CE01-4D75-B036-85C06B066FD2}"/>
    <cellStyle name="Millares [0] 4 3 3 3 4" xfId="13760" xr:uid="{1F08268D-9774-4605-8C7C-0DA45F4D9984}"/>
    <cellStyle name="Millares [0] 4 3 3 3 4 2" xfId="33360" xr:uid="{F86AEBFC-E9CD-41A4-9027-783D5D1CC239}"/>
    <cellStyle name="Millares [0] 4 3 3 3 5" xfId="15604" xr:uid="{78BCE2FC-6D35-4C18-A671-FF12FB481567}"/>
    <cellStyle name="Millares [0] 4 3 3 3 5 2" xfId="39224" xr:uid="{77290A7D-5D83-4131-A59D-24F5B573234D}"/>
    <cellStyle name="Millares [0] 4 3 3 3 6" xfId="17964" xr:uid="{9E539A69-0AE4-4831-89B0-95218B74D623}"/>
    <cellStyle name="Millares [0] 4 3 3 3 7" xfId="43684" xr:uid="{0FC82BEF-5732-42C1-9FD5-A105DC207689}"/>
    <cellStyle name="Millares [0] 4 3 3 3 8" xfId="48577" xr:uid="{BC294C90-FB4F-4CD8-A2E4-E9C921D67D9D}"/>
    <cellStyle name="Millares [0] 4 3 3 4" xfId="3193" xr:uid="{77149CCD-407C-4A95-89FA-90D7EEDD29B1}"/>
    <cellStyle name="Millares [0] 4 3 3 4 2" xfId="11464" xr:uid="{1F35B377-8631-4B8D-B625-DFB05878E06B}"/>
    <cellStyle name="Millares [0] 4 3 3 4 2 2" xfId="41706" xr:uid="{FE47129D-5E73-4AC0-BBEF-E54ABD32F38E}"/>
    <cellStyle name="Millares [0] 4 3 3 4 2 3" xfId="46624" xr:uid="{7CC0EF1F-790C-4438-80BF-ACDFE791A389}"/>
    <cellStyle name="Millares [0] 4 3 3 4 3" xfId="14304" xr:uid="{5C8144D3-0B6E-45EA-836C-770644AD9F9A}"/>
    <cellStyle name="Millares [0] 4 3 3 4 4" xfId="18886" xr:uid="{0804DE5F-B8ED-491A-A18D-B05756EFB563}"/>
    <cellStyle name="Millares [0] 4 3 3 4 5" xfId="44228" xr:uid="{6B5B2EBE-FA00-46A7-B40B-D8EF580B5477}"/>
    <cellStyle name="Millares [0] 4 3 3 4 6" xfId="49121" xr:uid="{A91A9EAE-292B-412E-B74D-2474F733D1CE}"/>
    <cellStyle name="Millares [0] 4 3 3 5" xfId="3695" xr:uid="{C4DF9ACE-4D37-40C7-8B37-BC17C11CCE08}"/>
    <cellStyle name="Millares [0] 4 3 3 5 2" xfId="11936" xr:uid="{27516BFE-4096-4C92-8E2F-D3F19F205D23}"/>
    <cellStyle name="Millares [0] 4 3 3 5 3" xfId="14776" xr:uid="{35A9EAC6-E078-45A4-8ED0-C01CD3BDD432}"/>
    <cellStyle name="Millares [0] 4 3 3 5 4" xfId="24629" xr:uid="{75F93544-CB5D-4756-BD8A-5495D1C9888B}"/>
    <cellStyle name="Millares [0] 4 3 3 5 5" xfId="44700" xr:uid="{0B18E789-CDC1-4EF7-A3E2-26F1BE9A2CD5}"/>
    <cellStyle name="Millares [0] 4 3 3 5 6" xfId="49593" xr:uid="{4139D52B-F464-4247-B691-F3D3F922F013}"/>
    <cellStyle name="Millares [0] 4 3 3 6" xfId="4383" xr:uid="{98BD9663-6771-4033-818E-D473CB5E315D}"/>
    <cellStyle name="Millares [0] 4 3 3 6 2" xfId="12129" xr:uid="{5F9D952B-B2CD-43FD-9357-6D01B0124052}"/>
    <cellStyle name="Millares [0] 4 3 3 6 3" xfId="14970" xr:uid="{ABFC4DC9-A06A-4434-8E29-1804931B1B5A}"/>
    <cellStyle name="Millares [0] 4 3 3 6 4" xfId="30508" xr:uid="{9D2D9B32-59E6-4DB6-80D8-98F2431E98D0}"/>
    <cellStyle name="Millares [0] 4 3 3 6 5" xfId="45118" xr:uid="{28D68C26-5461-4A01-8961-4F6FB29DE2BF}"/>
    <cellStyle name="Millares [0] 4 3 3 6 6" xfId="49786" xr:uid="{53DB1D34-570E-4EA8-938E-25F6F2DBB139}"/>
    <cellStyle name="Millares [0] 4 3 3 7" xfId="9958" xr:uid="{493D04A4-15A6-45DF-B355-FAD44FA16CA6}"/>
    <cellStyle name="Millares [0] 4 3 3 7 2" xfId="36388" xr:uid="{3AA9023E-0339-4E16-A46B-096DBC6ACE33}"/>
    <cellStyle name="Millares [0] 4 3 3 8" xfId="12798" xr:uid="{6D14679E-E01C-4D12-94E5-9D57DD343798}"/>
    <cellStyle name="Millares [0] 4 3 3 9" xfId="15415" xr:uid="{6F8A32E4-2BEC-47FB-926C-BBC897B841F3}"/>
    <cellStyle name="Millares [0] 4 3 4" xfId="617" xr:uid="{00000000-0005-0000-0000-000054010000}"/>
    <cellStyle name="Millares [0] 4 3 4 10" xfId="17654" xr:uid="{F28F0D47-C4F7-406D-A6E8-17280D91C4C8}"/>
    <cellStyle name="Millares [0] 4 3 4 11" xfId="42924" xr:uid="{9F582800-CE62-4E6D-99A0-7420E14E39DA}"/>
    <cellStyle name="Millares [0] 4 3 4 12" xfId="47817" xr:uid="{DFC97194-0FB5-4AFF-AB8C-102298E4C7E0}"/>
    <cellStyle name="Millares [0] 4 3 4 2" xfId="2851" xr:uid="{1FF64C70-EF17-4565-9600-D6159D8E8E56}"/>
    <cellStyle name="Millares [0] 4 3 4 2 2" xfId="7731" xr:uid="{68AFECB8-DFCE-4EBB-B5E3-94A424050832}"/>
    <cellStyle name="Millares [0] 4 3 4 2 2 2" xfId="12352" xr:uid="{691FF132-2825-409E-BFB2-C4C02673D18E}"/>
    <cellStyle name="Millares [0] 4 3 4 2 2 2 2" xfId="41929" xr:uid="{56FE45E2-A5B3-4AD4-93A8-467A22F80173}"/>
    <cellStyle name="Millares [0] 4 3 4 2 2 3" xfId="15193" xr:uid="{1B79F13F-7C10-4B60-905D-BBD6636D6EFC}"/>
    <cellStyle name="Millares [0] 4 3 4 2 2 4" xfId="22121" xr:uid="{95F72C63-380B-49E2-BEC8-10774D77D44B}"/>
    <cellStyle name="Millares [0] 4 3 4 2 2 5" xfId="46282" xr:uid="{DE7F9C18-B255-46B4-AB01-78AFBFE4664F}"/>
    <cellStyle name="Millares [0] 4 3 4 2 2 6" xfId="50009" xr:uid="{D5205F4F-D650-4A8F-A244-EC70907CDF8A}"/>
    <cellStyle name="Millares [0] 4 3 4 2 3" xfId="11122" xr:uid="{430AECC6-C775-4500-A4EC-F17E77BB13B9}"/>
    <cellStyle name="Millares [0] 4 3 4 2 3 2" xfId="27964" xr:uid="{9C86AEC2-0812-4781-A2CE-AC9898622B26}"/>
    <cellStyle name="Millares [0] 4 3 4 2 4" xfId="13962" xr:uid="{9FC6CBC3-B8E4-4BE7-A3E8-41F130F75A7B}"/>
    <cellStyle name="Millares [0] 4 3 4 2 4 2" xfId="33846" xr:uid="{57A5D080-6876-4CCC-8C64-CD18F6E76FF4}"/>
    <cellStyle name="Millares [0] 4 3 4 2 5" xfId="15640" xr:uid="{360FAFD8-80A1-478C-8227-A499BA3D591A}"/>
    <cellStyle name="Millares [0] 4 3 4 2 5 2" xfId="39710" xr:uid="{2BBA6A24-0CD4-4589-8917-EE2770B44F56}"/>
    <cellStyle name="Millares [0] 4 3 4 2 6" xfId="18036" xr:uid="{A8F4D4E0-538F-47AA-85BE-F85367849242}"/>
    <cellStyle name="Millares [0] 4 3 4 2 7" xfId="43886" xr:uid="{091DBC6A-5F51-442F-992C-0EF382752134}"/>
    <cellStyle name="Millares [0] 4 3 4 2 8" xfId="48779" xr:uid="{964B139A-6FE4-4E75-9A66-35E55902F6DC}"/>
    <cellStyle name="Millares [0] 4 3 4 3" xfId="4865" xr:uid="{E79BC605-50EF-4983-8AD9-504E26E8720A}"/>
    <cellStyle name="Millares [0] 4 3 4 3 2" xfId="12165" xr:uid="{A2D6149F-0181-475E-86B4-E4EA7A5A63A4}"/>
    <cellStyle name="Millares [0] 4 3 4 3 2 2" xfId="41742" xr:uid="{9B1F4EFC-27D6-41FE-8B49-695F749A8EAD}"/>
    <cellStyle name="Millares [0] 4 3 4 3 3" xfId="15006" xr:uid="{976E8B73-9B8E-439D-B803-F84C765FB687}"/>
    <cellStyle name="Millares [0] 4 3 4 3 4" xfId="19347" xr:uid="{4DCC118E-058C-4446-947B-862EE3D5E74A}"/>
    <cellStyle name="Millares [0] 4 3 4 3 5" xfId="45320" xr:uid="{223B13AB-9D6E-481F-B5F8-07532F94A189}"/>
    <cellStyle name="Millares [0] 4 3 4 3 6" xfId="49822" xr:uid="{C7B0B05D-75FF-4CC2-B696-968D1BCF4D78}"/>
    <cellStyle name="Millares [0] 4 3 4 4" xfId="10160" xr:uid="{64A9AF4D-CEC5-4F0A-8FAA-6565F45C5E6C}"/>
    <cellStyle name="Millares [0] 4 3 4 4 2" xfId="25115" xr:uid="{8FE2D934-5032-4E98-B0B7-2A29A2EFB6AE}"/>
    <cellStyle name="Millares [0] 4 3 4 5" xfId="13000" xr:uid="{609F02F1-65AD-4660-9C24-A539CA8420E4}"/>
    <cellStyle name="Millares [0] 4 3 4 5 2" xfId="30989" xr:uid="{2604192D-304D-4B7A-94FB-2DF33C9827C5}"/>
    <cellStyle name="Millares [0] 4 3 4 6" xfId="15452" xr:uid="{BC3099E7-B682-42CE-B876-A957CD4A7B8D}"/>
    <cellStyle name="Millares [0] 4 3 4 6 2" xfId="36868" xr:uid="{00CAD247-9A55-47E7-A1D3-DAC896055D61}"/>
    <cellStyle name="Millares [0] 4 3 4 7" xfId="16343" xr:uid="{38FC9E3B-003F-41BC-9725-010F73F9B939}"/>
    <cellStyle name="Millares [0] 4 3 4 8" xfId="16886" xr:uid="{4F586AF2-2EB9-4963-9987-C311497EA12C}"/>
    <cellStyle name="Millares [0] 4 3 4 9" xfId="17430" xr:uid="{9372A783-7806-440D-8E0C-5FAAB0DC74D2}"/>
    <cellStyle name="Millares [0] 4 3 5" xfId="2015" xr:uid="{C04F0013-DE49-40D6-B4B1-BCB86A92AEC3}"/>
    <cellStyle name="Millares [0] 4 3 5 2" xfId="8743" xr:uid="{01979143-B391-4DE6-A3A3-ECF2512A07DC}"/>
    <cellStyle name="Millares [0] 4 3 5 2 2" xfId="12424" xr:uid="{A0E763EF-062A-4DA6-888F-367D0120B176}"/>
    <cellStyle name="Millares [0] 4 3 5 2 2 2" xfId="42001" xr:uid="{32EA570A-E7FC-41F6-8C23-730C87B42D1A}"/>
    <cellStyle name="Millares [0] 4 3 5 2 2 3" xfId="23111" xr:uid="{79679391-9AE3-4FF3-97FD-D4FA08AC56B4}"/>
    <cellStyle name="Millares [0] 4 3 5 2 3" xfId="15265" xr:uid="{679F6AB9-C7A4-44CC-B0DE-736243A5CCC1}"/>
    <cellStyle name="Millares [0] 4 3 5 2 3 2" xfId="28975" xr:uid="{C60C5DC5-0055-431B-9E45-007717212559}"/>
    <cellStyle name="Millares [0] 4 3 5 2 4" xfId="15714" xr:uid="{F57C5A8F-6FBE-4E56-8BBE-53E97FCC45D7}"/>
    <cellStyle name="Millares [0] 4 3 5 2 4 2" xfId="34857" xr:uid="{67BF953A-11C8-47AF-9B40-14A4D3EF44ED}"/>
    <cellStyle name="Millares [0] 4 3 5 2 5" xfId="40721" xr:uid="{305AAE81-0761-4363-AD41-7EBCD157D92E}"/>
    <cellStyle name="Millares [0] 4 3 5 2 6" xfId="18172" xr:uid="{3C35BC82-BB85-474A-8EC1-7239EDE42FFF}"/>
    <cellStyle name="Millares [0] 4 3 5 2 7" xfId="45446" xr:uid="{3BB8E759-D892-421B-B4B6-F1EB137F19C0}"/>
    <cellStyle name="Millares [0] 4 3 5 2 8" xfId="50081" xr:uid="{1BC363BA-6369-463C-89D5-27B6ADE86D1D}"/>
    <cellStyle name="Millares [0] 4 3 5 3" xfId="5874" xr:uid="{858D4231-17A9-4CFB-B7A5-A03C841ABD00}"/>
    <cellStyle name="Millares [0] 4 3 5 3 2" xfId="12237" xr:uid="{D1943948-A18F-4FC8-A7FB-4F5D246F783C}"/>
    <cellStyle name="Millares [0] 4 3 5 3 2 2" xfId="41814" xr:uid="{249E7DEF-880F-49F5-A7AA-403C194F8983}"/>
    <cellStyle name="Millares [0] 4 3 5 3 3" xfId="15078" xr:uid="{84D4E40A-1012-4EC3-A7A2-2464F89C2EB8}"/>
    <cellStyle name="Millares [0] 4 3 5 3 4" xfId="20326" xr:uid="{C70406BD-92F0-47DE-A45C-363F19C78500}"/>
    <cellStyle name="Millares [0] 4 3 5 3 5" xfId="49894" xr:uid="{671E439B-B3D5-466E-BC8F-2DCE093273E0}"/>
    <cellStyle name="Millares [0] 4 3 5 4" xfId="10286" xr:uid="{CAE6B262-68C1-452F-9C0F-A386FF382E92}"/>
    <cellStyle name="Millares [0] 4 3 5 4 2" xfId="26125" xr:uid="{5CF83E82-1B1A-4B58-80E2-D6EEDA817BC2}"/>
    <cellStyle name="Millares [0] 4 3 5 5" xfId="13126" xr:uid="{9009CEDF-10CF-461B-BC6B-47E4DC280A51}"/>
    <cellStyle name="Millares [0] 4 3 5 5 2" xfId="32000" xr:uid="{C2A87270-761E-4A9B-8838-3343D2BA1BF1}"/>
    <cellStyle name="Millares [0] 4 3 5 6" xfId="15525" xr:uid="{C623FEEB-DAC6-403A-98E2-1F4E86E73059}"/>
    <cellStyle name="Millares [0] 4 3 5 6 2" xfId="37866" xr:uid="{C3A20DDA-A809-4AC4-82C4-2BB93A298A7D}"/>
    <cellStyle name="Millares [0] 4 3 5 7" xfId="17791" xr:uid="{C4EE5B24-6949-46F0-BB64-86F382EC0F6D}"/>
    <cellStyle name="Millares [0] 4 3 5 8" xfId="43050" xr:uid="{79AF53AE-EA0D-434E-A9F5-7BC47C4BF3D8}"/>
    <cellStyle name="Millares [0] 4 3 5 9" xfId="47943" xr:uid="{0A606DD5-F1B0-45DA-833B-F46E7D9E2F37}"/>
    <cellStyle name="Millares [0] 4 3 6" xfId="2433" xr:uid="{A03468CF-44A1-4C7C-9929-EEDEE764A287}"/>
    <cellStyle name="Millares [0] 4 3 6 2" xfId="6760" xr:uid="{5464F1E0-7849-4D56-9F9D-13E01A181258}"/>
    <cellStyle name="Millares [0] 4 3 6 2 2" xfId="12280" xr:uid="{E3EEBA4A-27F5-4077-BD0F-48FDA4A8D924}"/>
    <cellStyle name="Millares [0] 4 3 6 2 2 2" xfId="41857" xr:uid="{1FE96593-3E47-4A5C-AFB2-D01DC1DDA0CE}"/>
    <cellStyle name="Millares [0] 4 3 6 2 3" xfId="15121" xr:uid="{12FB8B57-7BD1-4E37-9E23-A83D16B15878}"/>
    <cellStyle name="Millares [0] 4 3 6 2 4" xfId="21184" xr:uid="{C8A297F4-5751-4DCB-897F-EDA1B507A172}"/>
    <cellStyle name="Millares [0] 4 3 6 2 5" xfId="45864" xr:uid="{BD4A6E91-BA87-4BF3-93F9-F5196B2C7796}"/>
    <cellStyle name="Millares [0] 4 3 6 2 6" xfId="49937" xr:uid="{2FD9A425-58B8-4D2D-B75D-61E7E326C6B2}"/>
    <cellStyle name="Millares [0] 4 3 6 3" xfId="10704" xr:uid="{5F102170-8EBD-48A6-9C20-E29ED27EF55C}"/>
    <cellStyle name="Millares [0] 4 3 6 3 2" xfId="26999" xr:uid="{F6E80B91-1B32-42E8-B1C0-775C4A1F6C15}"/>
    <cellStyle name="Millares [0] 4 3 6 4" xfId="13544" xr:uid="{DD046076-321B-46FC-8360-3881C93373BD}"/>
    <cellStyle name="Millares [0] 4 3 6 4 2" xfId="32875" xr:uid="{92CFB35C-3039-45A1-BEA9-CB4E06F41179}"/>
    <cellStyle name="Millares [0] 4 3 6 5" xfId="15568" xr:uid="{E09FA78A-89C4-4816-9DB5-B22C51AC7DDA}"/>
    <cellStyle name="Millares [0] 4 3 6 5 2" xfId="38739" xr:uid="{3891DB07-D6C6-4A16-8D60-5B639D2A52F6}"/>
    <cellStyle name="Millares [0] 4 3 6 6" xfId="17894" xr:uid="{ACDC7C42-5BA7-4120-95E3-3E59A0768467}"/>
    <cellStyle name="Millares [0] 4 3 6 7" xfId="43468" xr:uid="{AF1CC52D-63BC-482C-BADD-EAB6B24A53D8}"/>
    <cellStyle name="Millares [0] 4 3 6 8" xfId="48361" xr:uid="{6C0F0C89-66F1-4257-B07E-FF29F8EDA219}"/>
    <cellStyle name="Millares [0] 4 3 7" xfId="2977" xr:uid="{980C8078-3B3C-461E-9A5B-F62CB6249E52}"/>
    <cellStyle name="Millares [0] 4 3 7 2" xfId="11248" xr:uid="{6921349B-0298-4B7E-8C66-7FB9755F41F9}"/>
    <cellStyle name="Millares [0] 4 3 7 2 2" xfId="41659" xr:uid="{43805A81-5E39-44A5-B524-8FEEEE7D8AFB}"/>
    <cellStyle name="Millares [0] 4 3 7 2 3" xfId="46408" xr:uid="{8461BB92-EC57-4882-9EAB-AF2EFEDBC75B}"/>
    <cellStyle name="Millares [0] 4 3 7 3" xfId="14088" xr:uid="{20D80CF1-E261-4A04-A4D4-14E509BDB238}"/>
    <cellStyle name="Millares [0] 4 3 7 4" xfId="18427" xr:uid="{235587B5-FFE3-499F-9112-5CD5C4243E63}"/>
    <cellStyle name="Millares [0] 4 3 7 5" xfId="44012" xr:uid="{B0D5D1D8-8295-48BE-8204-1B65C35B0766}"/>
    <cellStyle name="Millares [0] 4 3 7 6" xfId="48905" xr:uid="{5669F022-9221-4132-86B2-FE02122B44D4}"/>
    <cellStyle name="Millares [0] 4 3 8" xfId="3479" xr:uid="{400D54A4-0BEF-4B46-8A5B-A526C8CD7052}"/>
    <cellStyle name="Millares [0] 4 3 8 2" xfId="11720" xr:uid="{D69F562F-6C6F-4111-94F7-B382DB871653}"/>
    <cellStyle name="Millares [0] 4 3 8 3" xfId="14560" xr:uid="{8F382C2D-76B0-4ABC-A7C9-755477DE82DB}"/>
    <cellStyle name="Millares [0] 4 3 8 4" xfId="24136" xr:uid="{A336CCF7-CA3E-466C-AD3D-D94083659453}"/>
    <cellStyle name="Millares [0] 4 3 8 5" xfId="44484" xr:uid="{01198ED3-0993-4D5C-8B41-5A55168D526C}"/>
    <cellStyle name="Millares [0] 4 3 8 6" xfId="49377" xr:uid="{57D72BB8-0435-4D26-99E8-870056AB29B4}"/>
    <cellStyle name="Millares [0] 4 3 9" xfId="3903" xr:uid="{77628DB0-6BB7-456B-8415-F3867F8D3561}"/>
    <cellStyle name="Millares [0] 4 3 9 2" xfId="12082" xr:uid="{EE61611C-AFA9-4657-8961-7D3EE9C9DD60}"/>
    <cellStyle name="Millares [0] 4 3 9 3" xfId="14923" xr:uid="{6474FF59-A1CF-4E04-B56C-6A52065A89AA}"/>
    <cellStyle name="Millares [0] 4 3 9 4" xfId="30014" xr:uid="{B90459A1-23B1-478A-8CFD-73BCAAEE0CDE}"/>
    <cellStyle name="Millares [0] 4 3 9 5" xfId="44902" xr:uid="{DF3F9BFC-14A7-4533-88A0-5EC3E0ED3368}"/>
    <cellStyle name="Millares [0] 4 3 9 6" xfId="49739" xr:uid="{B8245B13-822D-4419-9444-473D3846E265}"/>
    <cellStyle name="Millares [0] 4 4" xfId="149" xr:uid="{00000000-0005-0000-0000-000055010000}"/>
    <cellStyle name="Millares [0] 4 4 10" xfId="9717" xr:uid="{6D55BD17-F6AB-4EFC-97A9-600717C5B1A9}"/>
    <cellStyle name="Millares [0] 4 4 10 2" xfId="35998" xr:uid="{103EBD4B-03B7-4354-8AB7-D70353BCB24D}"/>
    <cellStyle name="Millares [0] 4 4 11" xfId="12557" xr:uid="{E1AECD34-37E3-4F02-A71B-6756F04F6B47}"/>
    <cellStyle name="Millares [0] 4 4 12" xfId="15382" xr:uid="{FCBCFDA6-E4F1-474F-ADA7-1594AA7F709B}"/>
    <cellStyle name="Millares [0] 4 4 13" xfId="15900" xr:uid="{AE44556C-1B95-488D-A24C-BB329CCC51FF}"/>
    <cellStyle name="Millares [0] 4 4 14" xfId="16443" xr:uid="{7213D052-5269-4E4A-B836-D2FD97B516E6}"/>
    <cellStyle name="Millares [0] 4 4 15" xfId="16987" xr:uid="{A3DCA8D6-CB36-4AA7-BC20-5087B2269A8F}"/>
    <cellStyle name="Millares [0] 4 4 16" xfId="17531" xr:uid="{40B2983E-956E-46FC-B6E7-C1D2E80A8694}"/>
    <cellStyle name="Millares [0] 4 4 17" xfId="42481" xr:uid="{D224831C-9BD5-47AA-A6FA-18E628647530}"/>
    <cellStyle name="Millares [0] 4 4 18" xfId="47374" xr:uid="{4E8CE5B5-AB5F-4248-B0E9-714F8737AE46}"/>
    <cellStyle name="Millares [0] 4 4 2" xfId="263" xr:uid="{00000000-0005-0000-0000-000056010000}"/>
    <cellStyle name="Millares [0] 4 4 2 10" xfId="15396" xr:uid="{133111A4-7E9A-4C19-8A10-C1A7014BA7A4}"/>
    <cellStyle name="Millares [0] 4 4 2 11" xfId="16004" xr:uid="{72F27358-5896-43D3-8DBB-138A75732AAC}"/>
    <cellStyle name="Millares [0] 4 4 2 12" xfId="16547" xr:uid="{C170DF05-FD10-4161-8272-0DD9B4C6A279}"/>
    <cellStyle name="Millares [0] 4 4 2 13" xfId="17091" xr:uid="{6C1B9F0B-FF18-4064-AC05-D103D2A5C24A}"/>
    <cellStyle name="Millares [0] 4 4 2 14" xfId="17560" xr:uid="{0DB4F8FF-A85D-4D2A-BB2D-F4C35801BF22}"/>
    <cellStyle name="Millares [0] 4 4 2 15" xfId="42585" xr:uid="{00DAEF66-3312-47D5-A77E-5F7D1A07F877}"/>
    <cellStyle name="Millares [0] 4 4 2 16" xfId="47478" xr:uid="{8F3693DF-BBCB-4837-815D-8E95AB12D1A3}"/>
    <cellStyle name="Millares [0] 4 4 2 2" xfId="490" xr:uid="{00000000-0005-0000-0000-000057010000}"/>
    <cellStyle name="Millares [0] 4 4 2 2 10" xfId="16216" xr:uid="{1B73128B-89AE-4E81-8CBA-AE6157283D16}"/>
    <cellStyle name="Millares [0] 4 4 2 2 11" xfId="16759" xr:uid="{C3A044AE-51ED-43F0-A5C6-C81A79D52DA9}"/>
    <cellStyle name="Millares [0] 4 4 2 2 12" xfId="17303" xr:uid="{E7EA8C31-55E9-4A9C-B799-B8BA166FB5E7}"/>
    <cellStyle name="Millares [0] 4 4 2 2 13" xfId="17622" xr:uid="{FAE7E8CE-2FA4-40DC-BD40-228C288AB4FF}"/>
    <cellStyle name="Millares [0] 4 4 2 2 14" xfId="42797" xr:uid="{FAD559AB-9096-4A05-A7AF-3CD6CE1A3609}"/>
    <cellStyle name="Millares [0] 4 4 2 2 15" xfId="47690" xr:uid="{C63B3687-5DA3-41F9-B40B-FD0C1356A971}"/>
    <cellStyle name="Millares [0] 4 4 2 2 2" xfId="2306" xr:uid="{EC50BA45-97A7-4C6C-A620-B0ED2A2996D8}"/>
    <cellStyle name="Millares [0] 4 4 2 2 2 2" xfId="8508" xr:uid="{CFE346B6-58AF-4B8F-8730-DFFB8B9FF16F}"/>
    <cellStyle name="Millares [0] 4 4 2 2 2 2 2" xfId="12406" xr:uid="{70DCD06C-F710-4AC8-AEB0-AFCC3AFA897B}"/>
    <cellStyle name="Millares [0] 4 4 2 2 2 2 2 2" xfId="41983" xr:uid="{B962997B-580A-44FD-B2BE-967838B587FA}"/>
    <cellStyle name="Millares [0] 4 4 2 2 2 2 2 3" xfId="22882" xr:uid="{8E7AF17C-0F43-4601-AD1E-40467C1D9521}"/>
    <cellStyle name="Millares [0] 4 4 2 2 2 2 3" xfId="15247" xr:uid="{A5E581DF-EDC1-4C5B-BFB2-9BB36F5B2ACC}"/>
    <cellStyle name="Millares [0] 4 4 2 2 2 2 3 2" xfId="28741" xr:uid="{F94151EE-78EF-4D99-8E5C-40431F8CC7A0}"/>
    <cellStyle name="Millares [0] 4 4 2 2 2 2 4" xfId="15695" xr:uid="{92501E08-34AB-4472-87FA-D3F8D4D8868D}"/>
    <cellStyle name="Millares [0] 4 4 2 2 2 2 4 2" xfId="34623" xr:uid="{667B80AB-6250-4549-9243-A2CB08C3FDD7}"/>
    <cellStyle name="Millares [0] 4 4 2 2 2 2 5" xfId="40487" xr:uid="{717FB0F3-772D-4401-93F3-90240FC093AF}"/>
    <cellStyle name="Millares [0] 4 4 2 2 2 2 6" xfId="18140" xr:uid="{4D6FED4D-1534-47D1-83FE-DAE1CB27D43C}"/>
    <cellStyle name="Millares [0] 4 4 2 2 2 2 7" xfId="45737" xr:uid="{678E0B8C-501D-422E-87DF-D0C37BC55F45}"/>
    <cellStyle name="Millares [0] 4 4 2 2 2 2 8" xfId="50063" xr:uid="{D71CFE1C-3D01-4AF4-9818-D72F37CEB290}"/>
    <cellStyle name="Millares [0] 4 4 2 2 2 3" xfId="5641" xr:uid="{B90767D1-9C02-4043-986F-6C088C169623}"/>
    <cellStyle name="Millares [0] 4 4 2 2 2 3 2" xfId="12219" xr:uid="{2C67F297-20B2-4881-991B-F93DB7F4523D}"/>
    <cellStyle name="Millares [0] 4 4 2 2 2 3 2 2" xfId="41796" xr:uid="{0D7CA38C-2246-4E4E-9AAB-9A2CBDF327F9}"/>
    <cellStyle name="Millares [0] 4 4 2 2 2 3 3" xfId="15060" xr:uid="{5A1051FE-45AC-4BC2-A625-710B585DBFED}"/>
    <cellStyle name="Millares [0] 4 4 2 2 2 3 4" xfId="20100" xr:uid="{4D68408D-1577-4FE4-83EE-D7A951BD661F}"/>
    <cellStyle name="Millares [0] 4 4 2 2 2 3 5" xfId="49876" xr:uid="{027255CD-BD8A-4FEA-9F3E-36B36D88158D}"/>
    <cellStyle name="Millares [0] 4 4 2 2 2 4" xfId="10577" xr:uid="{3F5FA881-F068-4885-B1EC-1C262657BE7E}"/>
    <cellStyle name="Millares [0] 4 4 2 2 2 4 2" xfId="25892" xr:uid="{2449966E-4580-4A29-9D1B-23FDD93F6BEE}"/>
    <cellStyle name="Millares [0] 4 4 2 2 2 5" xfId="13417" xr:uid="{BFDF06D0-8735-440A-AA48-491CAF035988}"/>
    <cellStyle name="Millares [0] 4 4 2 2 2 5 2" xfId="31766" xr:uid="{D06D108B-1B24-43D1-BF82-15539FB8048B}"/>
    <cellStyle name="Millares [0] 4 4 2 2 2 6" xfId="15507" xr:uid="{76EA1F09-536C-4E1B-92C0-AA3EAC01DAAD}"/>
    <cellStyle name="Millares [0] 4 4 2 2 2 6 2" xfId="37635" xr:uid="{34782AE1-4143-4983-9480-F7B2638D0C30}"/>
    <cellStyle name="Millares [0] 4 4 2 2 2 7" xfId="17755" xr:uid="{8EF0EB76-D75E-4768-8540-1562CA13FE2D}"/>
    <cellStyle name="Millares [0] 4 4 2 2 2 8" xfId="43341" xr:uid="{B6875283-24B7-4725-90E4-63A8FD564330}"/>
    <cellStyle name="Millares [0] 4 4 2 2 2 9" xfId="48234" xr:uid="{E7841073-B53D-4B16-88CD-645FD63422B9}"/>
    <cellStyle name="Millares [0] 4 4 2 2 3" xfId="2724" xr:uid="{A113F6A3-7738-4B24-88FF-1CE191E4A403}"/>
    <cellStyle name="Millares [0] 4 4 2 2 3 2" xfId="7536" xr:uid="{3094B38F-096A-46A0-ABE0-39F213F155A5}"/>
    <cellStyle name="Millares [0] 4 4 2 2 3 2 2" xfId="12334" xr:uid="{E73A182D-223D-497B-871B-41AAF7816A6D}"/>
    <cellStyle name="Millares [0] 4 4 2 2 3 2 2 2" xfId="41911" xr:uid="{7C75B44B-3645-4D3F-8134-E11D73412795}"/>
    <cellStyle name="Millares [0] 4 4 2 2 3 2 3" xfId="15175" xr:uid="{60278556-3A22-4882-BAB7-66E0A7C6BF72}"/>
    <cellStyle name="Millares [0] 4 4 2 2 3 2 4" xfId="21936" xr:uid="{53D29486-FAD2-450D-B978-D40A6A6B649D}"/>
    <cellStyle name="Millares [0] 4 4 2 2 3 2 5" xfId="46155" xr:uid="{9DD0C585-B9D1-4096-AD2C-D11CCB9202CB}"/>
    <cellStyle name="Millares [0] 4 4 2 2 3 2 6" xfId="49991" xr:uid="{875C049F-7E88-484F-B212-C6ABC59583DA}"/>
    <cellStyle name="Millares [0] 4 4 2 2 3 3" xfId="10995" xr:uid="{7DE9AD9E-11D3-4211-BD79-869E915FE98E}"/>
    <cellStyle name="Millares [0] 4 4 2 2 3 3 2" xfId="27770" xr:uid="{A87D16F6-322E-41BF-B7E1-A1C5A8FE51E9}"/>
    <cellStyle name="Millares [0] 4 4 2 2 3 4" xfId="13835" xr:uid="{BA89D860-9FC7-47E7-B067-65B285D1C049}"/>
    <cellStyle name="Millares [0] 4 4 2 2 3 4 2" xfId="33652" xr:uid="{9374A5C7-72D2-44B3-A340-2B8013925CB1}"/>
    <cellStyle name="Millares [0] 4 4 2 2 3 5" xfId="15622" xr:uid="{D8F8A093-41E5-4F69-A4CD-2A99A0328520}"/>
    <cellStyle name="Millares [0] 4 4 2 2 3 5 2" xfId="39516" xr:uid="{8AC382FE-5EAB-4498-8D07-DFDFD62D62A4}"/>
    <cellStyle name="Millares [0] 4 4 2 2 3 6" xfId="18000" xr:uid="{49474CD6-0816-44B8-9776-5FBCFD62A0AC}"/>
    <cellStyle name="Millares [0] 4 4 2 2 3 7" xfId="43759" xr:uid="{695C9040-78A9-4602-936C-82875B197FE0}"/>
    <cellStyle name="Millares [0] 4 4 2 2 3 8" xfId="48652" xr:uid="{B237EA47-AF60-42C0-A665-27CB01E4511E}"/>
    <cellStyle name="Millares [0] 4 4 2 2 4" xfId="3268" xr:uid="{9B5C5D32-4E67-4EF2-8B94-B617D1DEDE8A}"/>
    <cellStyle name="Millares [0] 4 4 2 2 4 2" xfId="11539" xr:uid="{8D7C8974-BA7B-4945-9FDA-96D5FC0B293C}"/>
    <cellStyle name="Millares [0] 4 4 2 2 4 2 2" xfId="41724" xr:uid="{DB7C0C5B-1439-4086-9CAD-57A7609ABE38}"/>
    <cellStyle name="Millares [0] 4 4 2 2 4 2 3" xfId="46699" xr:uid="{00411FA3-BC1C-4565-BA1F-C71608E7AB13}"/>
    <cellStyle name="Millares [0] 4 4 2 2 4 3" xfId="14379" xr:uid="{0988C653-6F3E-4C61-A77A-A8E7B608EA81}"/>
    <cellStyle name="Millares [0] 4 4 2 2 4 4" xfId="19165" xr:uid="{D974EE7A-E803-4E1F-B186-528AA2F203F2}"/>
    <cellStyle name="Millares [0] 4 4 2 2 4 5" xfId="44303" xr:uid="{F92F5AF0-AB96-4417-881E-F741B79F34E8}"/>
    <cellStyle name="Millares [0] 4 4 2 2 4 6" xfId="49196" xr:uid="{5DB33FE3-C9D9-4C53-9F62-2A5179C1149A}"/>
    <cellStyle name="Millares [0] 4 4 2 2 5" xfId="3770" xr:uid="{549B25EE-2BFC-41C9-ABD2-65391A49779E}"/>
    <cellStyle name="Millares [0] 4 4 2 2 5 2" xfId="12011" xr:uid="{801A9BFD-2956-4808-8315-F4132047952D}"/>
    <cellStyle name="Millares [0] 4 4 2 2 5 3" xfId="14851" xr:uid="{508D3057-FE54-43B8-92A3-8C81D334B9B7}"/>
    <cellStyle name="Millares [0] 4 4 2 2 5 4" xfId="24921" xr:uid="{047B8C4F-78B9-4B4B-8ABB-BD4B7DDCA9D2}"/>
    <cellStyle name="Millares [0] 4 4 2 2 5 5" xfId="44775" xr:uid="{C5E9C84A-FDCB-430B-9D80-8FCB5C0E20EB}"/>
    <cellStyle name="Millares [0] 4 4 2 2 5 6" xfId="49668" xr:uid="{1627883C-E395-4345-B8E1-C6887C0696E7}"/>
    <cellStyle name="Millares [0] 4 4 2 2 6" xfId="4673" xr:uid="{84E69FD4-BB21-4EC4-ACE6-783C2BE02BCE}"/>
    <cellStyle name="Millares [0] 4 4 2 2 6 2" xfId="12147" xr:uid="{4A22123C-C22A-4C87-AEE1-2E93BA3C8FB6}"/>
    <cellStyle name="Millares [0] 4 4 2 2 6 3" xfId="14988" xr:uid="{B1BDE305-4861-489B-978A-BAC1B1CB976C}"/>
    <cellStyle name="Millares [0] 4 4 2 2 6 4" xfId="30797" xr:uid="{2616A57C-7554-448B-8CA7-6D9513B173C6}"/>
    <cellStyle name="Millares [0] 4 4 2 2 6 5" xfId="45193" xr:uid="{C065AF54-7A1A-405A-B3EF-ADD5EF119A3B}"/>
    <cellStyle name="Millares [0] 4 4 2 2 6 6" xfId="49804" xr:uid="{689BFD4A-9F6E-4C8B-8BC9-94F7F045C613}"/>
    <cellStyle name="Millares [0] 4 4 2 2 7" xfId="10033" xr:uid="{26D50D39-57CA-4052-8F79-025FAD4A51B2}"/>
    <cellStyle name="Millares [0] 4 4 2 2 7 2" xfId="36678" xr:uid="{DEA853D3-3657-495D-853B-C50F3A0B2386}"/>
    <cellStyle name="Millares [0] 4 4 2 2 8" xfId="12873" xr:uid="{8234F911-1796-4445-828A-2ECDF9DD6E47}"/>
    <cellStyle name="Millares [0] 4 4 2 2 9" xfId="15434" xr:uid="{A404EED5-6648-4E87-9EA8-85C926D10FE1}"/>
    <cellStyle name="Millares [0] 4 4 2 3" xfId="2094" xr:uid="{588224BD-0634-4F78-BDF8-C54EEEE75CF8}"/>
    <cellStyle name="Millares [0] 4 4 2 3 2" xfId="8023" xr:uid="{702CDA2B-8951-41FB-9DC0-476C6446F7EF}"/>
    <cellStyle name="Millares [0] 4 4 2 3 2 2" xfId="12370" xr:uid="{CF48A8D8-C872-4099-8B37-882BE7443FDF}"/>
    <cellStyle name="Millares [0] 4 4 2 3 2 2 2" xfId="41947" xr:uid="{CCC8B62B-5BC3-4D04-B2E1-74B96FDECA2C}"/>
    <cellStyle name="Millares [0] 4 4 2 3 2 2 3" xfId="22407" xr:uid="{CA4CB033-BAEF-46FB-8121-7586422C9200}"/>
    <cellStyle name="Millares [0] 4 4 2 3 2 3" xfId="15211" xr:uid="{DF0AD3D8-EF4D-4273-BCFD-8B6BE0549745}"/>
    <cellStyle name="Millares [0] 4 4 2 3 2 3 2" xfId="28256" xr:uid="{6ADDA7E9-0300-4C73-BC89-91C81F06BA5F}"/>
    <cellStyle name="Millares [0] 4 4 2 3 2 4" xfId="15658" xr:uid="{84AB03BD-0ADC-4266-8FDE-AE9076CE6836}"/>
    <cellStyle name="Millares [0] 4 4 2 3 2 4 2" xfId="34138" xr:uid="{71423A41-6150-423C-B271-1F58F616A8A6}"/>
    <cellStyle name="Millares [0] 4 4 2 3 2 5" xfId="40002" xr:uid="{E380627E-12E5-4CCD-8BB6-0F3C6B330400}"/>
    <cellStyle name="Millares [0] 4 4 2 3 2 6" xfId="18070" xr:uid="{581640A5-051B-459B-BF2B-9F3F4B05640A}"/>
    <cellStyle name="Millares [0] 4 4 2 3 2 7" xfId="45525" xr:uid="{56C96497-FA1E-4B7E-BD97-F38712C7DF5E}"/>
    <cellStyle name="Millares [0] 4 4 2 3 2 8" xfId="50027" xr:uid="{72BCBCEA-1AB1-4329-A430-2C3BA474AAD5}"/>
    <cellStyle name="Millares [0] 4 4 2 3 3" xfId="5156" xr:uid="{4A76C5F2-1DF6-410F-87E3-3D4607834127}"/>
    <cellStyle name="Millares [0] 4 4 2 3 3 2" xfId="12183" xr:uid="{5821A432-B390-49B5-9936-D94F96B9F38B}"/>
    <cellStyle name="Millares [0] 4 4 2 3 3 2 2" xfId="41760" xr:uid="{3B935829-D7BB-449E-A3B3-00A067460463}"/>
    <cellStyle name="Millares [0] 4 4 2 3 3 3" xfId="15024" xr:uid="{6C20A376-A93B-4BB0-BBF1-440A29EE84A6}"/>
    <cellStyle name="Millares [0] 4 4 2 3 3 4" xfId="19630" xr:uid="{6CF7EE57-77E8-4D86-8FE9-EE556A0A352D}"/>
    <cellStyle name="Millares [0] 4 4 2 3 3 5" xfId="49840" xr:uid="{A537DF6E-92B4-402A-82B8-1C5B25B864CB}"/>
    <cellStyle name="Millares [0] 4 4 2 3 4" xfId="10365" xr:uid="{928EDCB2-D995-48B0-A929-E72E46AED089}"/>
    <cellStyle name="Millares [0] 4 4 2 3 4 2" xfId="25407" xr:uid="{0BB0F3CA-8A07-4BAA-B17C-F72F4C3A89DD}"/>
    <cellStyle name="Millares [0] 4 4 2 3 5" xfId="13205" xr:uid="{39C4C029-5D7B-4E2C-9160-EE4379BCEC45}"/>
    <cellStyle name="Millares [0] 4 4 2 3 5 2" xfId="31281" xr:uid="{38FFB482-286E-4AFA-94C5-FE2A69199B3E}"/>
    <cellStyle name="Millares [0] 4 4 2 3 6" xfId="15470" xr:uid="{5DBBC47C-14BE-4E03-A0D6-6FD689FA943E}"/>
    <cellStyle name="Millares [0] 4 4 2 3 6 2" xfId="37158" xr:uid="{8C3CCDA8-5240-4E29-8BAE-237D8F959651}"/>
    <cellStyle name="Millares [0] 4 4 2 3 7" xfId="17687" xr:uid="{772E43CF-A148-4196-921B-121141E0B371}"/>
    <cellStyle name="Millares [0] 4 4 2 3 8" xfId="43129" xr:uid="{E6F0BEF1-3540-4911-842C-95AB771531CA}"/>
    <cellStyle name="Millares [0] 4 4 2 3 9" xfId="48022" xr:uid="{B418D4EF-5DC6-43DF-9F7C-04BCEFC79598}"/>
    <cellStyle name="Millares [0] 4 4 2 4" xfId="2512" xr:uid="{E9F4437F-4E9A-4A31-A486-03F5E795EC6A}"/>
    <cellStyle name="Millares [0] 4 4 2 4 2" xfId="7051" xr:uid="{009FF4AD-CD75-4EEC-82F9-4A4C5F742879}"/>
    <cellStyle name="Millares [0] 4 4 2 4 2 2" xfId="12298" xr:uid="{98EDC755-D66F-4831-8A19-2226A3D8A0D6}"/>
    <cellStyle name="Millares [0] 4 4 2 4 2 2 2" xfId="41875" xr:uid="{CD585888-2398-4C65-8513-83B699B93ED5}"/>
    <cellStyle name="Millares [0] 4 4 2 4 2 3" xfId="15139" xr:uid="{27B9942B-9CC1-4737-A535-6F0729AB35AE}"/>
    <cellStyle name="Millares [0] 4 4 2 4 2 4" xfId="21467" xr:uid="{9FC37C6E-50B9-49EE-BEEE-256DC8D9E34D}"/>
    <cellStyle name="Millares [0] 4 4 2 4 2 5" xfId="45943" xr:uid="{9F6E82CE-676B-4CB0-B63E-CACFA4252DB5}"/>
    <cellStyle name="Millares [0] 4 4 2 4 2 6" xfId="49955" xr:uid="{B896BADD-D3EE-46D7-B2F7-614BBD417113}"/>
    <cellStyle name="Millares [0] 4 4 2 4 3" xfId="10783" xr:uid="{95FD2038-DBC6-407C-8A39-50F6D3A6D18D}"/>
    <cellStyle name="Millares [0] 4 4 2 4 3 2" xfId="27288" xr:uid="{934702F0-06A3-4EAA-AE69-26B803778802}"/>
    <cellStyle name="Millares [0] 4 4 2 4 4" xfId="13623" xr:uid="{977BC831-8CDA-4504-BFC2-BFF512B96276}"/>
    <cellStyle name="Millares [0] 4 4 2 4 4 2" xfId="33167" xr:uid="{380053C1-9093-4F44-AEBC-039E8AE0C924}"/>
    <cellStyle name="Millares [0] 4 4 2 4 5" xfId="15586" xr:uid="{2BAD702A-224F-48A0-A1C1-43B21C10956B}"/>
    <cellStyle name="Millares [0] 4 4 2 4 5 2" xfId="39031" xr:uid="{3AF10847-967E-44C6-A4A6-8CE2FA269509}"/>
    <cellStyle name="Millares [0] 4 4 2 4 6" xfId="17933" xr:uid="{ACDFA0DE-7A5A-4CB1-BA64-06FE05D9A3B1}"/>
    <cellStyle name="Millares [0] 4 4 2 4 7" xfId="43547" xr:uid="{F975E68E-20AB-4AE5-8455-A298BD1D8F13}"/>
    <cellStyle name="Millares [0] 4 4 2 4 8" xfId="48440" xr:uid="{5DEE2FC6-9F3E-43D1-BC7B-5CC250F13073}"/>
    <cellStyle name="Millares [0] 4 4 2 5" xfId="3056" xr:uid="{23E93764-D8CB-4BD7-8CB8-B27E7E47CC9D}"/>
    <cellStyle name="Millares [0] 4 4 2 5 2" xfId="11327" xr:uid="{D56048AB-C021-45A1-B259-A5A6DE2A249C}"/>
    <cellStyle name="Millares [0] 4 4 2 5 2 2" xfId="41687" xr:uid="{3AFCFFFA-072E-4385-96C6-2C511CE6A1A6}"/>
    <cellStyle name="Millares [0] 4 4 2 5 2 3" xfId="46487" xr:uid="{CE8D4187-2686-42FA-91ED-100F03CB8C84}"/>
    <cellStyle name="Millares [0] 4 4 2 5 3" xfId="14167" xr:uid="{899244FC-CF59-415E-9C35-8F7ED0BA6E29}"/>
    <cellStyle name="Millares [0] 4 4 2 5 4" xfId="18722" xr:uid="{E356B7E8-CA20-4ABC-A68D-2EA79901A6C9}"/>
    <cellStyle name="Millares [0] 4 4 2 5 5" xfId="44091" xr:uid="{D7B96DA3-FE4C-4AC5-8E3C-6B3F969D2F6F}"/>
    <cellStyle name="Millares [0] 4 4 2 5 6" xfId="48984" xr:uid="{4D53624B-5CBB-4A93-B907-F92A65980FD6}"/>
    <cellStyle name="Millares [0] 4 4 2 6" xfId="3558" xr:uid="{CC636A39-BBFE-4E0F-A6A0-D0E26D066FF2}"/>
    <cellStyle name="Millares [0] 4 4 2 6 2" xfId="11799" xr:uid="{C6F1636B-0C0D-4992-8892-48733C3E15CD}"/>
    <cellStyle name="Millares [0] 4 4 2 6 3" xfId="14639" xr:uid="{9567F8D6-5BD9-4569-A775-FAA827F33061}"/>
    <cellStyle name="Millares [0] 4 4 2 6 4" xfId="24438" xr:uid="{85C033E3-42CF-431E-9E2C-76377E84599A}"/>
    <cellStyle name="Millares [0] 4 4 2 6 5" xfId="44563" xr:uid="{1DAC9885-59BD-4D45-9472-C73251A64889}"/>
    <cellStyle name="Millares [0] 4 4 2 6 6" xfId="49456" xr:uid="{6F7BA6E7-A503-4D24-8603-9D56E49CD4D2}"/>
    <cellStyle name="Millares [0] 4 4 2 7" xfId="4195" xr:uid="{257789AE-DD9A-4D38-8578-BF982159D6B3}"/>
    <cellStyle name="Millares [0] 4 4 2 7 2" xfId="12110" xr:uid="{F1C7D1F8-AD22-490A-A34C-DDB8CB2DA894}"/>
    <cellStyle name="Millares [0] 4 4 2 7 3" xfId="14951" xr:uid="{1319E559-E1C9-42CD-912A-DD7AEBD1474D}"/>
    <cellStyle name="Millares [0] 4 4 2 7 4" xfId="30315" xr:uid="{25B6FCA9-A727-4AE1-8385-4E1B47CD1EFA}"/>
    <cellStyle name="Millares [0] 4 4 2 7 5" xfId="44981" xr:uid="{EFAB1599-5F5B-467E-B953-98C1A021B060}"/>
    <cellStyle name="Millares [0] 4 4 2 7 6" xfId="49767" xr:uid="{2661FC85-DE09-42D1-943F-967B01C44E30}"/>
    <cellStyle name="Millares [0] 4 4 2 8" xfId="9821" xr:uid="{F7B2EFB4-F038-4953-99C5-07E7D7C7752E}"/>
    <cellStyle name="Millares [0] 4 4 2 8 2" xfId="36195" xr:uid="{9E734E7D-8138-44AF-93EA-DA3A7C9B7974}"/>
    <cellStyle name="Millares [0] 4 4 2 9" xfId="12661" xr:uid="{97506FFB-9D61-4AB5-8CAB-D3FE4FA5F1FB}"/>
    <cellStyle name="Millares [0] 4 4 3" xfId="389" xr:uid="{00000000-0005-0000-0000-000058010000}"/>
    <cellStyle name="Millares [0] 4 4 3 10" xfId="16116" xr:uid="{DF92ECAF-83A8-402D-8D35-29207FA61620}"/>
    <cellStyle name="Millares [0] 4 4 3 11" xfId="16659" xr:uid="{5FA78F46-2542-4564-B5A6-2FDB81DE8B55}"/>
    <cellStyle name="Millares [0] 4 4 3 12" xfId="17203" xr:uid="{80D82448-AE83-4CC3-8EB2-586627D0A4BD}"/>
    <cellStyle name="Millares [0] 4 4 3 13" xfId="17600" xr:uid="{26E7A35A-5D2E-4C93-91BE-3EC6B982E1E0}"/>
    <cellStyle name="Millares [0] 4 4 3 14" xfId="42697" xr:uid="{975E7E5A-1A35-4C97-989E-D91BAD899CE2}"/>
    <cellStyle name="Millares [0] 4 4 3 15" xfId="47590" xr:uid="{98B78AB3-EA79-4F6F-BB99-675051B461DE}"/>
    <cellStyle name="Millares [0] 4 4 3 2" xfId="2206" xr:uid="{3D10ED5C-1B7E-4545-AF61-36EDA9F582EA}"/>
    <cellStyle name="Millares [0] 4 4 3 2 2" xfId="8312" xr:uid="{14120A23-C99C-4799-A2C9-BE777A8A3111}"/>
    <cellStyle name="Millares [0] 4 4 3 2 2 2" xfId="12394" xr:uid="{F5FE2E7E-A4AB-4CFC-91E7-5D3CA5F8B41F}"/>
    <cellStyle name="Millares [0] 4 4 3 2 2 2 2" xfId="41971" xr:uid="{59D17DA7-C421-450F-B6E4-021F394D222A}"/>
    <cellStyle name="Millares [0] 4 4 3 2 2 2 3" xfId="22688" xr:uid="{DB531625-B0F0-40C1-B284-415AAE7DCA4B}"/>
    <cellStyle name="Millares [0] 4 4 3 2 2 3" xfId="15235" xr:uid="{EB865C51-418E-4E25-B353-4CB55B0DB2D4}"/>
    <cellStyle name="Millares [0] 4 4 3 2 2 3 2" xfId="28545" xr:uid="{97083E77-CE18-4E44-9B74-066009811596}"/>
    <cellStyle name="Millares [0] 4 4 3 2 2 4" xfId="15682" xr:uid="{A565E14D-985C-41EE-9A0A-F5E7D765A9FF}"/>
    <cellStyle name="Millares [0] 4 4 3 2 2 4 2" xfId="34427" xr:uid="{9DC03B1A-D435-4425-A126-ADDB1E57F74C}"/>
    <cellStyle name="Millares [0] 4 4 3 2 2 5" xfId="40291" xr:uid="{EB0E1FA9-19EE-4674-A5D3-581B5E8FBDE7}"/>
    <cellStyle name="Millares [0] 4 4 3 2 2 6" xfId="18114" xr:uid="{E48BB156-29E6-43FA-99C1-669CE68FA3B2}"/>
    <cellStyle name="Millares [0] 4 4 3 2 2 7" xfId="45637" xr:uid="{24533657-19F7-49BD-BDFC-103447C5D2BC}"/>
    <cellStyle name="Millares [0] 4 4 3 2 2 8" xfId="50051" xr:uid="{92BCFC51-CD1D-4988-A45D-42C56E37C597}"/>
    <cellStyle name="Millares [0] 4 4 3 2 3" xfId="5445" xr:uid="{0797CD04-C13A-4CF5-BE75-7BA4AA63F3EF}"/>
    <cellStyle name="Millares [0] 4 4 3 2 3 2" xfId="12207" xr:uid="{BB819887-44F0-4C5B-955C-924AC3AB5E90}"/>
    <cellStyle name="Millares [0] 4 4 3 2 3 2 2" xfId="41784" xr:uid="{7B82BDD3-9C71-4226-96B8-86ED6C939B17}"/>
    <cellStyle name="Millares [0] 4 4 3 2 3 3" xfId="15048" xr:uid="{ACD30616-6F81-4D93-8C42-98F343D3E74A}"/>
    <cellStyle name="Millares [0] 4 4 3 2 3 4" xfId="19909" xr:uid="{861392DD-0AD2-4516-B1EB-023F69443BC4}"/>
    <cellStyle name="Millares [0] 4 4 3 2 3 5" xfId="49864" xr:uid="{639576E1-8EF2-4286-A56E-143F8FA53192}"/>
    <cellStyle name="Millares [0] 4 4 3 2 4" xfId="10477" xr:uid="{D49049F8-B229-4400-BCA1-8BB71E7916CB}"/>
    <cellStyle name="Millares [0] 4 4 3 2 4 2" xfId="25696" xr:uid="{AF3600AA-CCB7-4827-9E19-995425FE8194}"/>
    <cellStyle name="Millares [0] 4 4 3 2 5" xfId="13317" xr:uid="{8538BDE5-BA3D-41BB-9852-17D7ADB6DE87}"/>
    <cellStyle name="Millares [0] 4 4 3 2 5 2" xfId="31570" xr:uid="{8FE80FA3-05E2-4FE4-9F59-73EF41F8AEAB}"/>
    <cellStyle name="Millares [0] 4 4 3 2 6" xfId="15495" xr:uid="{FC96FA45-66CD-4FFE-BA33-70D3581E69A3}"/>
    <cellStyle name="Millares [0] 4 4 3 2 6 2" xfId="37441" xr:uid="{EDB151E1-77A9-4BDF-A676-D51D6A1EA42F}"/>
    <cellStyle name="Millares [0] 4 4 3 2 7" xfId="17731" xr:uid="{AFBA8597-2F5D-4B1A-88CC-C74329A71429}"/>
    <cellStyle name="Millares [0] 4 4 3 2 8" xfId="43241" xr:uid="{A818EE6E-24F4-439E-9D06-1067F20B38AC}"/>
    <cellStyle name="Millares [0] 4 4 3 2 9" xfId="48134" xr:uid="{258B54CF-41F0-499F-A1E2-5155ED6DF12D}"/>
    <cellStyle name="Millares [0] 4 4 3 3" xfId="2624" xr:uid="{6156F91C-225E-483C-9C52-66F8EBDFF2AC}"/>
    <cellStyle name="Millares [0] 4 4 3 3 2" xfId="7340" xr:uid="{17E8D343-B728-46E2-9819-C0863C1DBAFF}"/>
    <cellStyle name="Millares [0] 4 4 3 3 2 2" xfId="12322" xr:uid="{63E4D09D-D02A-4FE7-820B-D9BAB0BD17C5}"/>
    <cellStyle name="Millares [0] 4 4 3 3 2 2 2" xfId="41899" xr:uid="{0E0E971A-BB21-44FD-BCEF-E1FE02B1D645}"/>
    <cellStyle name="Millares [0] 4 4 3 3 2 3" xfId="15163" xr:uid="{B24243F7-DD0D-4C3D-8DE9-AAEC28096025}"/>
    <cellStyle name="Millares [0] 4 4 3 3 2 4" xfId="21744" xr:uid="{1BDE1F13-ED02-49C5-967C-13EEA38CFD5D}"/>
    <cellStyle name="Millares [0] 4 4 3 3 2 5" xfId="46055" xr:uid="{CDF14355-E74D-4AD0-8C60-A0BFF207343F}"/>
    <cellStyle name="Millares [0] 4 4 3 3 2 6" xfId="49979" xr:uid="{EDA8667C-5FCB-4E81-89BB-60273AA00FEB}"/>
    <cellStyle name="Millares [0] 4 4 3 3 3" xfId="10895" xr:uid="{28EED137-4E14-47F8-8261-ACBB2F04ED57}"/>
    <cellStyle name="Millares [0] 4 4 3 3 3 2" xfId="27574" xr:uid="{E4187AAD-9D9C-42FB-84D7-C2D0E9E26774}"/>
    <cellStyle name="Millares [0] 4 4 3 3 4" xfId="13735" xr:uid="{CBB98B76-F24B-4684-BBB8-07C8FBE7922F}"/>
    <cellStyle name="Millares [0] 4 4 3 3 4 2" xfId="33456" xr:uid="{CFD8C4F1-2C73-4C68-BF49-979CE5F57866}"/>
    <cellStyle name="Millares [0] 4 4 3 3 5" xfId="15610" xr:uid="{00A5D294-8287-4512-A55E-A880CD74754D}"/>
    <cellStyle name="Millares [0] 4 4 3 3 5 2" xfId="39320" xr:uid="{4DB31652-620D-487C-98B0-50FA1496DB57}"/>
    <cellStyle name="Millares [0] 4 4 3 3 6" xfId="17974" xr:uid="{3BD5606B-D5D5-456C-916D-75373185F66C}"/>
    <cellStyle name="Millares [0] 4 4 3 3 7" xfId="43659" xr:uid="{D12B782D-C502-42BF-9C35-2FA49DF7A176}"/>
    <cellStyle name="Millares [0] 4 4 3 3 8" xfId="48552" xr:uid="{BBBECF95-9EFC-48C1-88F7-4FFBDF4F8B69}"/>
    <cellStyle name="Millares [0] 4 4 3 4" xfId="3168" xr:uid="{B480466E-9173-4959-AC69-36D8834CE944}"/>
    <cellStyle name="Millares [0] 4 4 3 4 2" xfId="11439" xr:uid="{3B9F9E86-FF37-4888-8AE3-62602386D87C}"/>
    <cellStyle name="Millares [0] 4 4 3 4 2 2" xfId="41712" xr:uid="{EB6F09AC-76E1-4A4D-9863-3F1B32D6064D}"/>
    <cellStyle name="Millares [0] 4 4 3 4 2 3" xfId="46599" xr:uid="{3B41ABB6-B2BB-4C75-B812-5138E4C53234}"/>
    <cellStyle name="Millares [0] 4 4 3 4 3" xfId="14279" xr:uid="{7A1A3D8B-9B7B-435C-81C7-81AAECB740D7}"/>
    <cellStyle name="Millares [0] 4 4 3 4 4" xfId="18981" xr:uid="{3B69426D-A0C0-4972-80F3-44AFE4C09924}"/>
    <cellStyle name="Millares [0] 4 4 3 4 5" xfId="44203" xr:uid="{970A6AE5-89D3-4DAE-9502-F8D0E87F31E2}"/>
    <cellStyle name="Millares [0] 4 4 3 4 6" xfId="49096" xr:uid="{5DA7E710-2EC7-4D96-ADCB-28CFF76DABD6}"/>
    <cellStyle name="Millares [0] 4 4 3 5" xfId="3670" xr:uid="{8DAB7BE1-4780-4F69-855E-01F55624CB46}"/>
    <cellStyle name="Millares [0] 4 4 3 5 2" xfId="11911" xr:uid="{D8A04ACE-51BC-4356-9F01-53473436EDC2}"/>
    <cellStyle name="Millares [0] 4 4 3 5 3" xfId="14751" xr:uid="{80CF4887-D283-41DA-9B6F-68EEB4944AE1}"/>
    <cellStyle name="Millares [0] 4 4 3 5 4" xfId="24725" xr:uid="{42D7BC4B-B546-4EB0-B4ED-2A036589E07A}"/>
    <cellStyle name="Millares [0] 4 4 3 5 5" xfId="44675" xr:uid="{EA7E14C6-0A08-4591-9084-3B4D1D0F933C}"/>
    <cellStyle name="Millares [0] 4 4 3 5 6" xfId="49568" xr:uid="{421FBBCE-61E2-4636-84F2-E1C163A879E0}"/>
    <cellStyle name="Millares [0] 4 4 3 6" xfId="4477" xr:uid="{3EF35F07-A1F6-441B-A161-A128050A7201}"/>
    <cellStyle name="Millares [0] 4 4 3 6 2" xfId="12135" xr:uid="{7B10BC21-82C1-4BE3-89E8-37570CD8FBD9}"/>
    <cellStyle name="Millares [0] 4 4 3 6 3" xfId="14976" xr:uid="{F93C5667-45CD-4565-BB6A-9A4EDBA97DF9}"/>
    <cellStyle name="Millares [0] 4 4 3 6 4" xfId="30603" xr:uid="{5102CA4B-154E-4B66-9602-B4A48C698D70}"/>
    <cellStyle name="Millares [0] 4 4 3 6 5" xfId="45093" xr:uid="{AC2C19C6-4EE8-4F43-8F2B-D683AE34F8A9}"/>
    <cellStyle name="Millares [0] 4 4 3 6 6" xfId="49792" xr:uid="{645FEB4E-C96A-4984-8386-5D4C2D3F30C8}"/>
    <cellStyle name="Millares [0] 4 4 3 7" xfId="9933" xr:uid="{4BADF7D8-24CA-40F3-AD42-381D44AAD5EC}"/>
    <cellStyle name="Millares [0] 4 4 3 7 2" xfId="36484" xr:uid="{8995D3ED-4133-4168-8DF5-DFFCB6AA4E62}"/>
    <cellStyle name="Millares [0] 4 4 3 8" xfId="12773" xr:uid="{AD21CB2C-91B4-48E9-9B9E-CF916FED9F10}"/>
    <cellStyle name="Millares [0] 4 4 3 9" xfId="15421" xr:uid="{60F0920A-13C0-4F13-A30C-4CA86560B968}"/>
    <cellStyle name="Millares [0] 4 4 4" xfId="592" xr:uid="{00000000-0005-0000-0000-000059010000}"/>
    <cellStyle name="Millares [0] 4 4 4 10" xfId="17665" xr:uid="{DEFA600E-733F-4D99-B3A2-23E47570B766}"/>
    <cellStyle name="Millares [0] 4 4 4 11" xfId="42899" xr:uid="{F573E350-6273-46C0-AACD-5ABBBE9310B3}"/>
    <cellStyle name="Millares [0] 4 4 4 12" xfId="47792" xr:uid="{4B6524BA-8EE0-4B65-AFA3-C7B0CE69A40B}"/>
    <cellStyle name="Millares [0] 4 4 4 2" xfId="2826" xr:uid="{CA776FC6-1F1F-44B4-AABA-C1160B218AFF}"/>
    <cellStyle name="Millares [0] 4 4 4 2 2" xfId="7827" xr:uid="{B939FAC4-7C48-46D0-A93F-C1E845DCAC6F}"/>
    <cellStyle name="Millares [0] 4 4 4 2 2 2" xfId="12358" xr:uid="{87965B92-B4CB-4058-940E-0E21E8F930DA}"/>
    <cellStyle name="Millares [0] 4 4 4 2 2 2 2" xfId="41935" xr:uid="{48F84202-159A-4ED4-8B10-2A61443E01ED}"/>
    <cellStyle name="Millares [0] 4 4 4 2 2 3" xfId="15199" xr:uid="{9298C306-5317-4A54-861F-BC6517AA4019}"/>
    <cellStyle name="Millares [0] 4 4 4 2 2 4" xfId="22214" xr:uid="{08296064-FF23-48FA-965F-48110B3156D0}"/>
    <cellStyle name="Millares [0] 4 4 4 2 2 5" xfId="46257" xr:uid="{A97D44C0-BB59-420A-9BC3-F6CCEA901C21}"/>
    <cellStyle name="Millares [0] 4 4 4 2 2 6" xfId="50015" xr:uid="{ED01E3E2-2552-463D-B43A-7C01527F0501}"/>
    <cellStyle name="Millares [0] 4 4 4 2 3" xfId="11097" xr:uid="{DFFEBD20-5BB9-4B89-9A22-4C31833D0FE9}"/>
    <cellStyle name="Millares [0] 4 4 4 2 3 2" xfId="28060" xr:uid="{832B1E91-DFF2-4459-8B29-5F33D81F0B92}"/>
    <cellStyle name="Millares [0] 4 4 4 2 4" xfId="13937" xr:uid="{E40544CD-14A9-41E0-8D4C-277F59155FA7}"/>
    <cellStyle name="Millares [0] 4 4 4 2 4 2" xfId="33942" xr:uid="{3ADFAF3C-AC31-4F3E-8F76-06EDFC0D4984}"/>
    <cellStyle name="Millares [0] 4 4 4 2 5" xfId="15646" xr:uid="{BF585343-AD74-4435-B715-E6D6F553D532}"/>
    <cellStyle name="Millares [0] 4 4 4 2 5 2" xfId="39806" xr:uid="{EB0D8C31-1D52-4147-84DF-D713B9D7C07A}"/>
    <cellStyle name="Millares [0] 4 4 4 2 6" xfId="18044" xr:uid="{EF2C39BD-5AAB-45C3-A2D2-9489922BA0BE}"/>
    <cellStyle name="Millares [0] 4 4 4 2 7" xfId="43861" xr:uid="{027A8A22-8F0F-46F2-8ABE-5E29FF77F5DB}"/>
    <cellStyle name="Millares [0] 4 4 4 2 8" xfId="48754" xr:uid="{58808FA8-F427-407E-A1B3-0F8DB5D7DD0F}"/>
    <cellStyle name="Millares [0] 4 4 4 3" xfId="4960" xr:uid="{13C3812D-6314-4FBC-A334-0FBF2D8CC5DC}"/>
    <cellStyle name="Millares [0] 4 4 4 3 2" xfId="12171" xr:uid="{849A42C7-1B9A-424E-9FE9-B8955323F1ED}"/>
    <cellStyle name="Millares [0] 4 4 4 3 2 2" xfId="41748" xr:uid="{F9B1B298-D423-4050-9DAA-710B9CA75C2B}"/>
    <cellStyle name="Millares [0] 4 4 4 3 3" xfId="15012" xr:uid="{0EF4B59C-5858-46C6-9BCE-9F5F491900C4}"/>
    <cellStyle name="Millares [0] 4 4 4 3 4" xfId="19442" xr:uid="{D8C28490-6D29-47D6-B3B5-968226F7C38D}"/>
    <cellStyle name="Millares [0] 4 4 4 3 5" xfId="45295" xr:uid="{6C1140B5-A0B1-490D-943E-A3B157DA3B62}"/>
    <cellStyle name="Millares [0] 4 4 4 3 6" xfId="49828" xr:uid="{A033E5FC-CC0C-45A6-9AB4-9B876C7B5AAD}"/>
    <cellStyle name="Millares [0] 4 4 4 4" xfId="10135" xr:uid="{36C3A843-08BD-4400-8C99-2F9635AB25B9}"/>
    <cellStyle name="Millares [0] 4 4 4 4 2" xfId="25211" xr:uid="{37205709-EFC3-47A9-B58C-205B8F7EC31E}"/>
    <cellStyle name="Millares [0] 4 4 4 5" xfId="12975" xr:uid="{51AD32E6-A3D1-4026-ABA0-6613383F6468}"/>
    <cellStyle name="Millares [0] 4 4 4 5 2" xfId="31085" xr:uid="{FC3F9DA8-07AB-45DC-91E0-CE33C0F8F1D6}"/>
    <cellStyle name="Millares [0] 4 4 4 6" xfId="15458" xr:uid="{FCC3A4E3-FA6E-4F7E-985B-F56D7EC6726A}"/>
    <cellStyle name="Millares [0] 4 4 4 6 2" xfId="36964" xr:uid="{AC3E85F0-E217-41E2-89B0-034F657123D9}"/>
    <cellStyle name="Millares [0] 4 4 4 7" xfId="16318" xr:uid="{677BE198-455A-4E33-AC9C-22DD824225D3}"/>
    <cellStyle name="Millares [0] 4 4 4 8" xfId="16861" xr:uid="{9D3E210B-81F0-4439-BF5A-0583A020268F}"/>
    <cellStyle name="Millares [0] 4 4 4 9" xfId="17405" xr:uid="{1A881CD5-21AB-42CF-8C69-B0C50BD199CD}"/>
    <cellStyle name="Millares [0] 4 4 5" xfId="1990" xr:uid="{F052257C-E4A2-4BEF-99D8-2B0541697920}"/>
    <cellStyle name="Millares [0] 4 4 5 2" xfId="8839" xr:uid="{A7A956F7-9D5C-44DA-96EF-E209EC0EF5D5}"/>
    <cellStyle name="Millares [0] 4 4 5 2 2" xfId="12430" xr:uid="{62C9D62D-AAC5-4785-8D69-20FF4FB97889}"/>
    <cellStyle name="Millares [0] 4 4 5 2 2 2" xfId="42007" xr:uid="{DADD94ED-2483-4102-BE6F-8510CCB2FEEA}"/>
    <cellStyle name="Millares [0] 4 4 5 2 2 3" xfId="23204" xr:uid="{E0A4B64E-ED93-40FF-BE72-F9D00984082E}"/>
    <cellStyle name="Millares [0] 4 4 5 2 3" xfId="15271" xr:uid="{067B4538-6C23-4D8A-849A-5AD2ABDC649B}"/>
    <cellStyle name="Millares [0] 4 4 5 2 3 2" xfId="29071" xr:uid="{87983248-67BE-4682-980F-ECF0BD962863}"/>
    <cellStyle name="Millares [0] 4 4 5 2 4" xfId="15720" xr:uid="{1127591C-8865-4F51-A3EA-BEF3C0139EBC}"/>
    <cellStyle name="Millares [0] 4 4 5 2 4 2" xfId="34953" xr:uid="{58037A76-BC8A-480E-A283-C7C56D3A40D6}"/>
    <cellStyle name="Millares [0] 4 4 5 2 5" xfId="40817" xr:uid="{22184152-899F-48CC-9721-C5F18B658F48}"/>
    <cellStyle name="Millares [0] 4 4 5 2 6" xfId="18182" xr:uid="{B83DB422-4A46-4E33-94FB-57DBAB6D8A36}"/>
    <cellStyle name="Millares [0] 4 4 5 2 7" xfId="45421" xr:uid="{2DB9DB92-99C0-401F-8DB6-426593BBA102}"/>
    <cellStyle name="Millares [0] 4 4 5 2 8" xfId="50087" xr:uid="{434F3B95-1B70-4FC9-9C4B-5F3E2BF6EDBC}"/>
    <cellStyle name="Millares [0] 4 4 5 3" xfId="5970" xr:uid="{93E95A11-7A89-47F9-97BF-DE93EAA00813}"/>
    <cellStyle name="Millares [0] 4 4 5 3 2" xfId="12243" xr:uid="{2950DFFE-5E69-4A5B-B7E0-B80A31D84F71}"/>
    <cellStyle name="Millares [0] 4 4 5 3 2 2" xfId="41820" xr:uid="{83FCE4F5-13A7-48A4-A2E7-64F3219AAB94}"/>
    <cellStyle name="Millares [0] 4 4 5 3 3" xfId="15084" xr:uid="{21B27ADE-D14A-433E-A1C4-DCEBA3ACA249}"/>
    <cellStyle name="Millares [0] 4 4 5 3 4" xfId="20420" xr:uid="{E6D76EDB-C7DF-4CC4-97C6-644823F4D8D8}"/>
    <cellStyle name="Millares [0] 4 4 5 3 5" xfId="49900" xr:uid="{507D23C8-1CDC-4231-A9F9-C3112D9D403B}"/>
    <cellStyle name="Millares [0] 4 4 5 4" xfId="10261" xr:uid="{D94C62A3-B464-495C-8958-C49A804170A2}"/>
    <cellStyle name="Millares [0] 4 4 5 4 2" xfId="26221" xr:uid="{043D2FDE-DFA9-44AD-9D6A-36CCFD3777AA}"/>
    <cellStyle name="Millares [0] 4 4 5 5" xfId="13101" xr:uid="{9051EF00-44B1-4289-8EBD-32F4183B9203}"/>
    <cellStyle name="Millares [0] 4 4 5 5 2" xfId="32096" xr:uid="{FB057AC7-A25E-4FDA-8119-9FFDE55E1A46}"/>
    <cellStyle name="Millares [0] 4 4 5 6" xfId="15531" xr:uid="{AFC799B6-CACB-44BE-8618-7C46FC30912F}"/>
    <cellStyle name="Millares [0] 4 4 5 6 2" xfId="37961" xr:uid="{9CF8DD22-D7F5-4A87-B1A1-88CDD4D49032}"/>
    <cellStyle name="Millares [0] 4 4 5 7" xfId="17800" xr:uid="{F7820517-BB14-427E-8BE2-0C207F9804DB}"/>
    <cellStyle name="Millares [0] 4 4 5 8" xfId="43025" xr:uid="{FD2ABE27-0708-470B-BDBD-95A1DC828D9F}"/>
    <cellStyle name="Millares [0] 4 4 5 9" xfId="47918" xr:uid="{A92BCDC5-4065-4399-9EDE-D9C074E4F7E7}"/>
    <cellStyle name="Millares [0] 4 4 6" xfId="2408" xr:uid="{55AC9107-AA4C-42AE-8567-D8535A7600A2}"/>
    <cellStyle name="Millares [0] 4 4 6 2" xfId="6856" xr:uid="{9D6150D0-BA39-4A4D-BD89-C97D84C36B12}"/>
    <cellStyle name="Millares [0] 4 4 6 2 2" xfId="12286" xr:uid="{E475B939-2BE4-4984-99A4-9A6D9FCF8EDD}"/>
    <cellStyle name="Millares [0] 4 4 6 2 2 2" xfId="41863" xr:uid="{971DDB66-8795-4A68-8D3A-194F40C64C81}"/>
    <cellStyle name="Millares [0] 4 4 6 2 3" xfId="15127" xr:uid="{FA03D904-279E-4DC3-8FA1-2A0C8D330FC2}"/>
    <cellStyle name="Millares [0] 4 4 6 2 4" xfId="21279" xr:uid="{1A14AE5A-D3FE-4969-910B-E05D16B96DC3}"/>
    <cellStyle name="Millares [0] 4 4 6 2 5" xfId="45839" xr:uid="{E3ABCBCA-9CBC-4151-AE60-65FAEF0DD150}"/>
    <cellStyle name="Millares [0] 4 4 6 2 6" xfId="49943" xr:uid="{EE21A727-EFA6-403A-A041-EB005D6FE455}"/>
    <cellStyle name="Millares [0] 4 4 6 3" xfId="10679" xr:uid="{33BB2950-8AAE-4690-9FD6-B896421EEF29}"/>
    <cellStyle name="Millares [0] 4 4 6 3 2" xfId="27094" xr:uid="{5A2BD3DC-EED3-42B8-A86F-741D4359A34F}"/>
    <cellStyle name="Millares [0] 4 4 6 4" xfId="13519" xr:uid="{BC448434-A7E2-49F6-BC28-A85F3CAA9BB3}"/>
    <cellStyle name="Millares [0] 4 4 6 4 2" xfId="32971" xr:uid="{BA5CF93C-BD6C-4274-AAC2-AFE9FE46CDB5}"/>
    <cellStyle name="Millares [0] 4 4 6 5" xfId="15574" xr:uid="{776104AC-160A-43E6-9B79-2478B10640A0}"/>
    <cellStyle name="Millares [0] 4 4 6 5 2" xfId="38835" xr:uid="{0F7BF5A8-D1B3-4676-B708-5E865B97637E}"/>
    <cellStyle name="Millares [0] 4 4 6 6" xfId="17906" xr:uid="{A32B2B6C-937E-443E-BD57-10965968EB53}"/>
    <cellStyle name="Millares [0] 4 4 6 7" xfId="43443" xr:uid="{3C5353C3-FC55-4334-9776-0AAF893F3D77}"/>
    <cellStyle name="Millares [0] 4 4 6 8" xfId="48336" xr:uid="{9E91E2F6-16A7-465D-8A47-F528959C0C6D}"/>
    <cellStyle name="Millares [0] 4 4 7" xfId="2952" xr:uid="{653A88C3-2B83-4D90-A461-3E18D8D64F0C}"/>
    <cellStyle name="Millares [0] 4 4 7 2" xfId="11223" xr:uid="{8119A1E8-2B5D-4B50-A2F4-169FAB997187}"/>
    <cellStyle name="Millares [0] 4 4 7 2 2" xfId="41673" xr:uid="{1F85419E-4D59-4EDA-9FD0-57F6D401B498}"/>
    <cellStyle name="Millares [0] 4 4 7 2 3" xfId="46383" xr:uid="{1FC4AC30-0C71-4F40-9E1E-86B5EECE6209}"/>
    <cellStyle name="Millares [0] 4 4 7 3" xfId="14063" xr:uid="{632D3AD3-3B9F-4608-A58C-B110B74B90C8}"/>
    <cellStyle name="Millares [0] 4 4 7 4" xfId="18530" xr:uid="{8D8C00C0-8488-4169-BB53-33457926047A}"/>
    <cellStyle name="Millares [0] 4 4 7 5" xfId="43987" xr:uid="{AFF276CE-B055-484B-BC57-C97DE9BB56AF}"/>
    <cellStyle name="Millares [0] 4 4 7 6" xfId="48880" xr:uid="{C8C3125F-3915-467A-BE97-572AB177DD9D}"/>
    <cellStyle name="Millares [0] 4 4 8" xfId="3454" xr:uid="{9C773F27-D43E-4AEC-855B-B12E38C0D2C6}"/>
    <cellStyle name="Millares [0] 4 4 8 2" xfId="11695" xr:uid="{C48946AC-E152-47C4-B658-A4BBED27CF62}"/>
    <cellStyle name="Millares [0] 4 4 8 3" xfId="14535" xr:uid="{36D47D57-FF68-43FD-B889-EFB505AF7E79}"/>
    <cellStyle name="Millares [0] 4 4 8 4" xfId="24240" xr:uid="{53CCD943-FFB2-433D-9B24-A5E4B6564E97}"/>
    <cellStyle name="Millares [0] 4 4 8 5" xfId="44459" xr:uid="{19227E9C-76DD-45AC-8662-8D7213E85B07}"/>
    <cellStyle name="Millares [0] 4 4 8 6" xfId="49352" xr:uid="{0EF31D25-8695-4228-AE91-9E71D8B517E0}"/>
    <cellStyle name="Millares [0] 4 4 9" xfId="4004" xr:uid="{F0FA269A-239E-4D36-BEDC-D5E51FC7F4E8}"/>
    <cellStyle name="Millares [0] 4 4 9 2" xfId="12096" xr:uid="{91648CC4-36C6-4B56-9109-F4AD2560111F}"/>
    <cellStyle name="Millares [0] 4 4 9 3" xfId="14937" xr:uid="{9AF727CC-379C-4F3C-9972-72D4E8D25BC5}"/>
    <cellStyle name="Millares [0] 4 4 9 4" xfId="30118" xr:uid="{4C3B6E44-DEEC-449B-A757-CB38874C290D}"/>
    <cellStyle name="Millares [0] 4 4 9 5" xfId="44877" xr:uid="{E15AE5FA-AAF1-4735-B355-10C56113FFC3}"/>
    <cellStyle name="Millares [0] 4 4 9 6" xfId="49753" xr:uid="{D21E86A4-61A3-48B6-9982-FA6319070A3F}"/>
    <cellStyle name="Millares [0] 4 5" xfId="236" xr:uid="{00000000-0005-0000-0000-00005A010000}"/>
    <cellStyle name="Millares [0] 4 5 10" xfId="15385" xr:uid="{BD5D4660-0D18-4207-AFB9-0E03A82D93E5}"/>
    <cellStyle name="Millares [0] 4 5 11" xfId="15977" xr:uid="{0FE2212E-E242-4CD6-94C7-B7C2DB85FDAA}"/>
    <cellStyle name="Millares [0] 4 5 12" xfId="16520" xr:uid="{3F2EBF81-2E75-4845-B6CD-AF2C65CECD1D}"/>
    <cellStyle name="Millares [0] 4 5 13" xfId="17064" xr:uid="{EE44F665-6CBD-47A2-B071-0CD0490E3BBC}"/>
    <cellStyle name="Millares [0] 4 5 14" xfId="17536" xr:uid="{590CEADC-9B77-41B1-AC41-AF61FF341483}"/>
    <cellStyle name="Millares [0] 4 5 15" xfId="42558" xr:uid="{4FEA82ED-ABB9-4A5C-B4A4-A4872F25DDB3}"/>
    <cellStyle name="Millares [0] 4 5 16" xfId="47451" xr:uid="{9DA0503B-C3FD-4288-A0F7-27BFAFC8EE15}"/>
    <cellStyle name="Millares [0] 4 5 2" xfId="463" xr:uid="{00000000-0005-0000-0000-00005B010000}"/>
    <cellStyle name="Millares [0] 4 5 2 10" xfId="16189" xr:uid="{4E8AE23D-5AC4-46EA-BA7F-B288DBAE923F}"/>
    <cellStyle name="Millares [0] 4 5 2 11" xfId="16732" xr:uid="{5A6A6E79-62C4-4AAE-8F68-1827AC6325E4}"/>
    <cellStyle name="Millares [0] 4 5 2 12" xfId="17276" xr:uid="{5C347029-B417-4D26-820C-D8D38E6D801A}"/>
    <cellStyle name="Millares [0] 4 5 2 13" xfId="17602" xr:uid="{9B2B782F-CB30-4EFE-873D-D455AB0BF08F}"/>
    <cellStyle name="Millares [0] 4 5 2 14" xfId="42770" xr:uid="{C45C26F0-30F9-4B9B-8E8A-A88302DD81AF}"/>
    <cellStyle name="Millares [0] 4 5 2 15" xfId="47663" xr:uid="{98FAE528-F521-4068-AA52-A9250557D1B3}"/>
    <cellStyle name="Millares [0] 4 5 2 2" xfId="2279" xr:uid="{64510B25-7153-4302-AA4B-F1067A35D339}"/>
    <cellStyle name="Millares [0] 4 5 2 2 2" xfId="8335" xr:uid="{E6F6FC86-117E-4C39-99C0-17F68EE5546A}"/>
    <cellStyle name="Millares [0] 4 5 2 2 2 2" xfId="12395" xr:uid="{C799A950-C137-4E03-B7A4-9C6D6A08E06D}"/>
    <cellStyle name="Millares [0] 4 5 2 2 2 2 2" xfId="41972" xr:uid="{2AD89240-E424-43A1-88FD-11FDFF8E21DE}"/>
    <cellStyle name="Millares [0] 4 5 2 2 2 2 3" xfId="22711" xr:uid="{B1364B25-1C6A-4BFA-8A65-A1E48D43D958}"/>
    <cellStyle name="Millares [0] 4 5 2 2 2 3" xfId="15236" xr:uid="{454602CB-A1AF-4955-A609-198A38F24E54}"/>
    <cellStyle name="Millares [0] 4 5 2 2 2 3 2" xfId="28568" xr:uid="{F7B600B8-AEFE-468F-B1FF-E3314A884E05}"/>
    <cellStyle name="Millares [0] 4 5 2 2 2 4" xfId="15683" xr:uid="{60908D20-EC32-4387-A04B-82C2DE308D83}"/>
    <cellStyle name="Millares [0] 4 5 2 2 2 4 2" xfId="34450" xr:uid="{47773198-775A-4D93-B9CC-E01476917786}"/>
    <cellStyle name="Millares [0] 4 5 2 2 2 5" xfId="40314" xr:uid="{E13E382C-F840-4399-BD2F-F85BBF4A24D3}"/>
    <cellStyle name="Millares [0] 4 5 2 2 2 6" xfId="18116" xr:uid="{63A6BD8D-3FA7-4FF2-A8CA-06EDFEA1115A}"/>
    <cellStyle name="Millares [0] 4 5 2 2 2 7" xfId="45710" xr:uid="{C4BFF8ED-6CB8-432C-A8A1-D86BFF1CCFE5}"/>
    <cellStyle name="Millares [0] 4 5 2 2 2 8" xfId="50052" xr:uid="{5D5DBC1C-FA70-4AD6-8AAB-96497AE49B84}"/>
    <cellStyle name="Millares [0] 4 5 2 2 3" xfId="5468" xr:uid="{69E94268-FB2E-48AD-88A6-9E68C46D4D75}"/>
    <cellStyle name="Millares [0] 4 5 2 2 3 2" xfId="12208" xr:uid="{DBC83CF1-0FD0-4417-B761-6DD5B4D41CC3}"/>
    <cellStyle name="Millares [0] 4 5 2 2 3 2 2" xfId="41785" xr:uid="{352FCCF6-7D7D-4E8F-886B-1D47003ADE50}"/>
    <cellStyle name="Millares [0] 4 5 2 2 3 3" xfId="15049" xr:uid="{853C0D47-2E5B-4E2E-B916-EFDBFFA7960C}"/>
    <cellStyle name="Millares [0] 4 5 2 2 3 4" xfId="19930" xr:uid="{24C2923B-B266-4B53-8A51-F3E979ECA8D9}"/>
    <cellStyle name="Millares [0] 4 5 2 2 3 5" xfId="49865" xr:uid="{6C115841-4E6B-410B-AD93-DAAC18D60A05}"/>
    <cellStyle name="Millares [0] 4 5 2 2 4" xfId="10550" xr:uid="{22CA515A-3991-46B0-A53F-0E967B69689C}"/>
    <cellStyle name="Millares [0] 4 5 2 2 4 2" xfId="25719" xr:uid="{7877E1BF-D64A-4C25-881A-9DFDDED776BA}"/>
    <cellStyle name="Millares [0] 4 5 2 2 5" xfId="13390" xr:uid="{8383E55B-1E4F-46CE-B0CF-B2E0C372957B}"/>
    <cellStyle name="Millares [0] 4 5 2 2 5 2" xfId="31593" xr:uid="{2F614D20-8A0E-4ECA-BCBE-EFB2F8DD5234}"/>
    <cellStyle name="Millares [0] 4 5 2 2 6" xfId="15496" xr:uid="{040580F3-C73D-416F-98C1-D504ADD6D9A9}"/>
    <cellStyle name="Millares [0] 4 5 2 2 6 2" xfId="37464" xr:uid="{02CCAA91-468C-4F5A-9186-82929AA91BFA}"/>
    <cellStyle name="Millares [0] 4 5 2 2 7" xfId="17734" xr:uid="{7796B5D3-1E66-49D3-9019-94F650EB807E}"/>
    <cellStyle name="Millares [0] 4 5 2 2 8" xfId="43314" xr:uid="{9AB30308-D526-4537-9D01-C4539839A3CB}"/>
    <cellStyle name="Millares [0] 4 5 2 2 9" xfId="48207" xr:uid="{C94531AC-8DA9-4664-BE83-3268757E3948}"/>
    <cellStyle name="Millares [0] 4 5 2 3" xfId="2697" xr:uid="{B010F33C-3EC3-4E41-9BE9-87BC57856D47}"/>
    <cellStyle name="Millares [0] 4 5 2 3 2" xfId="7363" xr:uid="{1ABC7C9A-730B-4988-8427-DB5E07B69CB2}"/>
    <cellStyle name="Millares [0] 4 5 2 3 2 2" xfId="12323" xr:uid="{54CAD142-BB96-406A-ACF9-8F1198C97E27}"/>
    <cellStyle name="Millares [0] 4 5 2 3 2 2 2" xfId="41900" xr:uid="{BB62D0E7-D6CA-46A5-939D-463AE42BE668}"/>
    <cellStyle name="Millares [0] 4 5 2 3 2 3" xfId="15164" xr:uid="{57BA1B20-28D0-4BC5-BAC9-0E2361C142DB}"/>
    <cellStyle name="Millares [0] 4 5 2 3 2 4" xfId="21766" xr:uid="{53D87355-A91A-48D3-A235-9450F6A462BC}"/>
    <cellStyle name="Millares [0] 4 5 2 3 2 5" xfId="46128" xr:uid="{FC050ADB-E7B1-4E34-AA53-8976BDA4FAB3}"/>
    <cellStyle name="Millares [0] 4 5 2 3 2 6" xfId="49980" xr:uid="{E1E94843-5FFE-4E5D-A3BE-0FBFC5D14D0E}"/>
    <cellStyle name="Millares [0] 4 5 2 3 3" xfId="10968" xr:uid="{DA82F15A-B5E4-4DC4-940F-4153470DF82A}"/>
    <cellStyle name="Millares [0] 4 5 2 3 3 2" xfId="27597" xr:uid="{01DB9ABF-8F3B-4574-91D8-C1F6D8413F69}"/>
    <cellStyle name="Millares [0] 4 5 2 3 4" xfId="13808" xr:uid="{5E388E0B-90E2-41D4-ADCC-0B95900A876D}"/>
    <cellStyle name="Millares [0] 4 5 2 3 4 2" xfId="33479" xr:uid="{22C98328-D14A-4E19-AA83-69C39A4B178A}"/>
    <cellStyle name="Millares [0] 4 5 2 3 5" xfId="15611" xr:uid="{184C7D80-836F-4AE4-B3ED-940816F4486B}"/>
    <cellStyle name="Millares [0] 4 5 2 3 5 2" xfId="39343" xr:uid="{C2A8C2B8-05C7-4846-A304-6B10D754E68C}"/>
    <cellStyle name="Millares [0] 4 5 2 3 6" xfId="17977" xr:uid="{5539DDF4-3543-4EC9-A2CD-69CF4659978D}"/>
    <cellStyle name="Millares [0] 4 5 2 3 7" xfId="43732" xr:uid="{9EFA4AB2-00C1-4377-9AE6-3EB8B47A595A}"/>
    <cellStyle name="Millares [0] 4 5 2 3 8" xfId="48625" xr:uid="{68E928D7-ADF4-4312-954B-7FF91E8D08D6}"/>
    <cellStyle name="Millares [0] 4 5 2 4" xfId="3241" xr:uid="{4DD1F754-96E9-45F2-857A-243DC3E9FD28}"/>
    <cellStyle name="Millares [0] 4 5 2 4 2" xfId="11512" xr:uid="{0915761F-21D8-43A8-B904-21FDF365DD6A}"/>
    <cellStyle name="Millares [0] 4 5 2 4 2 2" xfId="41713" xr:uid="{2DFE7D41-BB20-4A71-A4E2-A9D8FCC82732}"/>
    <cellStyle name="Millares [0] 4 5 2 4 2 3" xfId="46672" xr:uid="{9F5B200C-1AC2-4D85-BD21-90D8951462D1}"/>
    <cellStyle name="Millares [0] 4 5 2 4 3" xfId="14352" xr:uid="{57EA1960-7DBC-49B6-AC31-CF2A1CB63491}"/>
    <cellStyle name="Millares [0] 4 5 2 4 4" xfId="19002" xr:uid="{29FE923F-6D06-4B41-B763-4AFDEB6552D1}"/>
    <cellStyle name="Millares [0] 4 5 2 4 5" xfId="44276" xr:uid="{C5E6E57B-05EB-4B32-8215-235B31EFB137}"/>
    <cellStyle name="Millares [0] 4 5 2 4 6" xfId="49169" xr:uid="{AA8D4738-6329-4B5D-A587-445074186949}"/>
    <cellStyle name="Millares [0] 4 5 2 5" xfId="3743" xr:uid="{7412A6F6-8BD9-4AAF-92EC-BF617A4DB62A}"/>
    <cellStyle name="Millares [0] 4 5 2 5 2" xfId="11984" xr:uid="{8A819376-16EE-4E52-B28A-6F33F4A89C9F}"/>
    <cellStyle name="Millares [0] 4 5 2 5 3" xfId="14824" xr:uid="{036EF4CC-9B55-4572-B1DE-111B544E3F09}"/>
    <cellStyle name="Millares [0] 4 5 2 5 4" xfId="24748" xr:uid="{C893D216-3BB5-495D-A617-442011DAF379}"/>
    <cellStyle name="Millares [0] 4 5 2 5 5" xfId="44748" xr:uid="{F71C48CC-D795-442B-9C1D-AEED19D2841A}"/>
    <cellStyle name="Millares [0] 4 5 2 5 6" xfId="49641" xr:uid="{F3401A63-129E-4F86-B4BF-6B341A88844F}"/>
    <cellStyle name="Millares [0] 4 5 2 6" xfId="4500" xr:uid="{CA85FA25-5710-44F5-A676-06E23145922B}"/>
    <cellStyle name="Millares [0] 4 5 2 6 2" xfId="12136" xr:uid="{785B6197-E609-4FE7-A593-C635A1CACD6E}"/>
    <cellStyle name="Millares [0] 4 5 2 6 3" xfId="14977" xr:uid="{A67A601D-3F75-452B-ADA3-8585FA8A7215}"/>
    <cellStyle name="Millares [0] 4 5 2 6 4" xfId="30625" xr:uid="{883CD0FE-3327-43D6-9DB3-BC25ED92E899}"/>
    <cellStyle name="Millares [0] 4 5 2 6 5" xfId="45166" xr:uid="{9E86A7A2-0054-4874-8754-54AA4DAB2BE4}"/>
    <cellStyle name="Millares [0] 4 5 2 6 6" xfId="49793" xr:uid="{D13B0D6E-7A6B-4A16-977A-86E51F8B1BF6}"/>
    <cellStyle name="Millares [0] 4 5 2 7" xfId="10006" xr:uid="{1AB6A827-2A3D-47A2-BFDA-90B92BC3380D}"/>
    <cellStyle name="Millares [0] 4 5 2 7 2" xfId="36507" xr:uid="{19588DD7-39DB-43B3-A0D1-0B38FEBA3EE7}"/>
    <cellStyle name="Millares [0] 4 5 2 8" xfId="12846" xr:uid="{2F4D5B48-E094-46F8-823B-D40FDBF37961}"/>
    <cellStyle name="Millares [0] 4 5 2 9" xfId="15422" xr:uid="{7FE12C69-9B4B-4691-8086-EF8B7A22F2FD}"/>
    <cellStyle name="Millares [0] 4 5 3" xfId="2067" xr:uid="{CDB285B7-72C7-40C4-999B-08BACE85B51E}"/>
    <cellStyle name="Millares [0] 4 5 3 2" xfId="7850" xr:uid="{9B15E97D-0F86-4E3E-8193-38A2687C00C4}"/>
    <cellStyle name="Millares [0] 4 5 3 2 2" xfId="12359" xr:uid="{B7226F9F-0F08-4234-8342-B3B5ECC83A0D}"/>
    <cellStyle name="Millares [0] 4 5 3 2 2 2" xfId="41936" xr:uid="{8811D875-7E9E-429A-828A-39E737F3991A}"/>
    <cellStyle name="Millares [0] 4 5 3 2 2 3" xfId="22236" xr:uid="{902AC952-3248-43D6-84F0-66B8ECF4D39A}"/>
    <cellStyle name="Millares [0] 4 5 3 2 3" xfId="15200" xr:uid="{EE61456D-BB1A-427E-933F-0184E61D99F2}"/>
    <cellStyle name="Millares [0] 4 5 3 2 3 2" xfId="28083" xr:uid="{2AF77E0F-3164-4E8E-B920-88D9CF733F88}"/>
    <cellStyle name="Millares [0] 4 5 3 2 4" xfId="15647" xr:uid="{6E2B7C40-2259-404C-8400-011AF147CB7A}"/>
    <cellStyle name="Millares [0] 4 5 3 2 4 2" xfId="33965" xr:uid="{1167AB46-FA86-432D-8E78-8EAF4D541AEC}"/>
    <cellStyle name="Millares [0] 4 5 3 2 5" xfId="39829" xr:uid="{53686BF5-4EEC-4D30-975E-F664391C45FD}"/>
    <cellStyle name="Millares [0] 4 5 3 2 6" xfId="18047" xr:uid="{CC23F280-01F6-4C2F-AA30-CF99F1A5213C}"/>
    <cellStyle name="Millares [0] 4 5 3 2 7" xfId="45498" xr:uid="{1A1898D0-6325-4E30-88E4-622CB5B040D6}"/>
    <cellStyle name="Millares [0] 4 5 3 2 8" xfId="50016" xr:uid="{CCAFD1EC-D039-4390-8884-7F916963E507}"/>
    <cellStyle name="Millares [0] 4 5 3 3" xfId="4983" xr:uid="{FF561D5D-8793-44A7-8E80-BD66D65EA116}"/>
    <cellStyle name="Millares [0] 4 5 3 3 2" xfId="12172" xr:uid="{B9EF95F5-BA4E-4DF4-A1DD-B03B359B9F29}"/>
    <cellStyle name="Millares [0] 4 5 3 3 2 2" xfId="41749" xr:uid="{C39F289A-5BC1-4C8D-A923-49D2FA928A3A}"/>
    <cellStyle name="Millares [0] 4 5 3 3 3" xfId="15013" xr:uid="{2CE0B118-230F-4E97-83D5-D8B139717652}"/>
    <cellStyle name="Millares [0] 4 5 3 3 4" xfId="19463" xr:uid="{3A8E09EA-D829-436E-81D5-BF08683C44BC}"/>
    <cellStyle name="Millares [0] 4 5 3 3 5" xfId="49829" xr:uid="{E7BCFD11-6C2F-439C-B504-F31CD539CD8F}"/>
    <cellStyle name="Millares [0] 4 5 3 4" xfId="10338" xr:uid="{1F78DD87-56D5-407C-85A6-415884391BC9}"/>
    <cellStyle name="Millares [0] 4 5 3 4 2" xfId="25234" xr:uid="{086C4DEB-27C5-4060-AEC3-4B296EBFCFCB}"/>
    <cellStyle name="Millares [0] 4 5 3 5" xfId="13178" xr:uid="{8A1A2375-4A3E-40D5-96F5-EC6217C7D553}"/>
    <cellStyle name="Millares [0] 4 5 3 5 2" xfId="31108" xr:uid="{4CF6EA5B-58C2-4E7E-A541-65238A39CDE2}"/>
    <cellStyle name="Millares [0] 4 5 3 6" xfId="15459" xr:uid="{C84D4A4D-23EA-4C63-BCCA-0F3A451FBEF0}"/>
    <cellStyle name="Millares [0] 4 5 3 6 2" xfId="36987" xr:uid="{74603750-871F-4FB6-894C-4A2E24E5E337}"/>
    <cellStyle name="Millares [0] 4 5 3 7" xfId="17667" xr:uid="{86A5E2D8-93AC-40E6-8030-112A90467683}"/>
    <cellStyle name="Millares [0] 4 5 3 8" xfId="43102" xr:uid="{EF4B3D6E-1A05-4B01-82AF-F9FCB6CEF591}"/>
    <cellStyle name="Millares [0] 4 5 3 9" xfId="47995" xr:uid="{B3B7E023-8A10-483D-B241-7E7E42E6EB6F}"/>
    <cellStyle name="Millares [0] 4 5 4" xfId="2485" xr:uid="{2DFDB1D2-01ED-413F-B482-AE467E571711}"/>
    <cellStyle name="Millares [0] 4 5 4 2" xfId="6878" xr:uid="{8F1CEE21-DF79-42A0-A261-7FC1C6EE5B34}"/>
    <cellStyle name="Millares [0] 4 5 4 2 2" xfId="12287" xr:uid="{C81F3272-120D-441C-BB14-849B2FAF0C28}"/>
    <cellStyle name="Millares [0] 4 5 4 2 2 2" xfId="41864" xr:uid="{81696605-120C-43BB-862A-0CBC5619CF47}"/>
    <cellStyle name="Millares [0] 4 5 4 2 3" xfId="15128" xr:uid="{321602F3-1556-4835-8900-D07ED8FD476D}"/>
    <cellStyle name="Millares [0] 4 5 4 2 4" xfId="21300" xr:uid="{719A4AEC-6864-4A77-8425-99C572479E53}"/>
    <cellStyle name="Millares [0] 4 5 4 2 5" xfId="45916" xr:uid="{280F317C-03C5-489B-B669-D3FC9EE30A0F}"/>
    <cellStyle name="Millares [0] 4 5 4 2 6" xfId="49944" xr:uid="{C00B3CC0-DF67-4874-B74D-7993976F625F}"/>
    <cellStyle name="Millares [0] 4 5 4 3" xfId="10756" xr:uid="{49D4F4CA-0892-40DB-A1A1-008DA39F8573}"/>
    <cellStyle name="Millares [0] 4 5 4 3 2" xfId="27117" xr:uid="{84F399A8-EA81-493E-B835-7C6A2F2AD479}"/>
    <cellStyle name="Millares [0] 4 5 4 4" xfId="13596" xr:uid="{B34BC8DC-5429-4750-A2D6-6DDA2E0689DE}"/>
    <cellStyle name="Millares [0] 4 5 4 4 2" xfId="32994" xr:uid="{8664FD5E-EAAC-4793-A6F3-9418020DDE8A}"/>
    <cellStyle name="Millares [0] 4 5 4 5" xfId="15575" xr:uid="{2D391FCA-2B62-453C-9C7E-989C599561EF}"/>
    <cellStyle name="Millares [0] 4 5 4 5 2" xfId="38858" xr:uid="{20005A52-D975-4960-AF8C-DEBD167AC66D}"/>
    <cellStyle name="Millares [0] 4 5 4 6" xfId="17910" xr:uid="{9C330BFC-9260-4526-A74B-082C733AF3EA}"/>
    <cellStyle name="Millares [0] 4 5 4 7" xfId="43520" xr:uid="{A983A488-6D82-4193-86E0-F05497217EB6}"/>
    <cellStyle name="Millares [0] 4 5 4 8" xfId="48413" xr:uid="{883FD900-9550-48CE-9F14-02B2FA8EC5A3}"/>
    <cellStyle name="Millares [0] 4 5 5" xfId="3029" xr:uid="{CE74B0E5-A80F-4821-A166-042B00FAF595}"/>
    <cellStyle name="Millares [0] 4 5 5 2" xfId="11300" xr:uid="{4F0F0EA4-3EAD-49EA-8BAF-C45DD888D1F1}"/>
    <cellStyle name="Millares [0] 4 5 5 2 2" xfId="41676" xr:uid="{C9CDDB0D-9F02-4DE7-9B09-BF8D0C9EC3FD}"/>
    <cellStyle name="Millares [0] 4 5 5 2 3" xfId="46460" xr:uid="{CB296F24-635A-4B84-9D8C-0036DE3F2363}"/>
    <cellStyle name="Millares [0] 4 5 5 3" xfId="14140" xr:uid="{65798571-3B9A-425D-BC96-861339AC1181}"/>
    <cellStyle name="Millares [0] 4 5 5 4" xfId="18555" xr:uid="{0F573067-7F62-4754-9D96-E12FDB098C70}"/>
    <cellStyle name="Millares [0] 4 5 5 5" xfId="44064" xr:uid="{EA5B447F-0452-4F10-B486-36191CCECFF9}"/>
    <cellStyle name="Millares [0] 4 5 5 6" xfId="48957" xr:uid="{E4803BFD-883C-4B5A-B872-C20B35701628}"/>
    <cellStyle name="Millares [0] 4 5 6" xfId="3531" xr:uid="{05909EAF-674F-427C-BAB5-DBAD8858F0BC}"/>
    <cellStyle name="Millares [0] 4 5 6 2" xfId="11772" xr:uid="{BFD2575A-83D0-41AE-8897-66DEDB0F46A8}"/>
    <cellStyle name="Millares [0] 4 5 6 3" xfId="14612" xr:uid="{7B1403CF-73E0-4430-A316-AE6107D83C0B}"/>
    <cellStyle name="Millares [0] 4 5 6 4" xfId="24265" xr:uid="{626413A6-AF3E-4157-9F90-661662E2B204}"/>
    <cellStyle name="Millares [0] 4 5 6 5" xfId="44536" xr:uid="{B58C7102-F50B-4978-BFB3-5C3A253E38FE}"/>
    <cellStyle name="Millares [0] 4 5 6 6" xfId="49429" xr:uid="{82299795-AE1D-4896-A89D-F9A3402ECD4D}"/>
    <cellStyle name="Millares [0] 4 5 7" xfId="4027" xr:uid="{A1861631-43EC-46C3-9189-34FB54CA57B8}"/>
    <cellStyle name="Millares [0] 4 5 7 2" xfId="12099" xr:uid="{A239844A-60F5-46D5-9843-FC73B1CA3B02}"/>
    <cellStyle name="Millares [0] 4 5 7 3" xfId="14940" xr:uid="{B8F05B51-B077-4B1B-B9C2-66BB9EEFBE32}"/>
    <cellStyle name="Millares [0] 4 5 7 4" xfId="30143" xr:uid="{2C8894ED-5154-4A16-84B0-BBCEF8E7B947}"/>
    <cellStyle name="Millares [0] 4 5 7 5" xfId="44954" xr:uid="{739F8C26-1CAC-427A-A81E-A9A512768E65}"/>
    <cellStyle name="Millares [0] 4 5 7 6" xfId="49756" xr:uid="{6C91514E-0E07-4F91-B1D1-92A2103F0A46}"/>
    <cellStyle name="Millares [0] 4 5 8" xfId="9794" xr:uid="{0B393476-F7E5-41D3-9659-E470C93F3924}"/>
    <cellStyle name="Millares [0] 4 5 8 2" xfId="36022" xr:uid="{792F17E5-844A-4292-BD8E-FE1C12AE2565}"/>
    <cellStyle name="Millares [0] 4 5 9" xfId="12634" xr:uid="{D6620AC9-7DF0-4FBC-9682-E8C9E03917BD}"/>
    <cellStyle name="Millares [0] 4 6" xfId="332" xr:uid="{00000000-0005-0000-0000-00005C010000}"/>
    <cellStyle name="Millares [0] 4 6 10" xfId="16063" xr:uid="{E28443C1-C4CC-426E-A151-5E01230E39AD}"/>
    <cellStyle name="Millares [0] 4 6 11" xfId="16606" xr:uid="{4D1287FC-F57B-4991-B2C6-B6C4D5099E9F}"/>
    <cellStyle name="Millares [0] 4 6 12" xfId="17150" xr:uid="{A8539DCA-E552-485A-A66A-C62C7923D044}"/>
    <cellStyle name="Millares [0] 4 6 13" xfId="17572" xr:uid="{26A53CE5-BDDC-42BD-9C58-D46AE97FDA8B}"/>
    <cellStyle name="Millares [0] 4 6 14" xfId="42644" xr:uid="{A1F828E0-9119-4C1B-A9A4-F496B15F91A6}"/>
    <cellStyle name="Millares [0] 4 6 15" xfId="47537" xr:uid="{CB0C54F7-221A-4E5C-A77F-4372A02322F5}"/>
    <cellStyle name="Millares [0] 4 6 2" xfId="2153" xr:uid="{52122F7A-21DC-4E93-A55C-767D195E4361}"/>
    <cellStyle name="Millares [0] 4 6 2 10" xfId="48081" xr:uid="{96F581D8-6F91-4892-B251-D6EE91AA8C70}"/>
    <cellStyle name="Millares [0] 4 6 2 2" xfId="5709" xr:uid="{CD4E3B03-33E8-4F43-B4C3-6E0B0AE54230}"/>
    <cellStyle name="Millares [0] 4 6 2 2 2" xfId="8577" xr:uid="{B1C59B49-2846-4122-86AF-968BFA6F5EC9}"/>
    <cellStyle name="Millares [0] 4 6 2 2 2 2" xfId="12414" xr:uid="{BE5E0F19-CB46-4550-83E9-1E6553CD3C14}"/>
    <cellStyle name="Millares [0] 4 6 2 2 2 2 2" xfId="41991" xr:uid="{8D2EBF38-8319-41B9-927A-B5FA72F42D55}"/>
    <cellStyle name="Millares [0] 4 6 2 2 2 2 3" xfId="22949" xr:uid="{5CF2C1AB-184A-41B4-ACC5-C573D16C2316}"/>
    <cellStyle name="Millares [0] 4 6 2 2 2 3" xfId="15255" xr:uid="{CEE0EE84-D25A-44F1-AA2C-4ACBD8F4A03F}"/>
    <cellStyle name="Millares [0] 4 6 2 2 2 3 2" xfId="28810" xr:uid="{9D2CE9DD-1DCB-4A38-9274-C1D0F2E3ED29}"/>
    <cellStyle name="Millares [0] 4 6 2 2 2 4" xfId="15703" xr:uid="{F3F0E506-5AD5-481C-BEBF-F0EB2BE71AF7}"/>
    <cellStyle name="Millares [0] 4 6 2 2 2 4 2" xfId="34692" xr:uid="{AA097161-E4A1-4EEE-9D3F-7E72D40F361D}"/>
    <cellStyle name="Millares [0] 4 6 2 2 2 5" xfId="40556" xr:uid="{E5A8FE8E-7942-4CC3-BEC1-2DDAF0A66467}"/>
    <cellStyle name="Millares [0] 4 6 2 2 2 6" xfId="18154" xr:uid="{991512F0-A07E-4954-929B-A2F27F492537}"/>
    <cellStyle name="Millares [0] 4 6 2 2 2 7" xfId="50071" xr:uid="{E2AEEEA3-46B3-4D70-A527-C51A58E8871E}"/>
    <cellStyle name="Millares [0] 4 6 2 2 3" xfId="12227" xr:uid="{587E74B2-F5D1-4C1B-8653-3CB4A55DB589}"/>
    <cellStyle name="Millares [0] 4 6 2 2 3 2" xfId="41804" xr:uid="{D2B25A4B-7349-45AB-9E20-16702C20615E}"/>
    <cellStyle name="Millares [0] 4 6 2 2 3 3" xfId="20166" xr:uid="{C6A35D7C-7D84-44E7-814B-5031D1E35DA3}"/>
    <cellStyle name="Millares [0] 4 6 2 2 4" xfId="15068" xr:uid="{5BF6E166-5416-4E32-8BD1-135091DD1F49}"/>
    <cellStyle name="Millares [0] 4 6 2 2 4 2" xfId="25960" xr:uid="{1DFCDE5E-4223-4EF6-A645-6B016B679259}"/>
    <cellStyle name="Millares [0] 4 6 2 2 5" xfId="15515" xr:uid="{D95AB32F-A2A9-47CE-824B-DC15903DF74A}"/>
    <cellStyle name="Millares [0] 4 6 2 2 5 2" xfId="31835" xr:uid="{72FF47F7-CD32-4032-B018-4BF18ED29431}"/>
    <cellStyle name="Millares [0] 4 6 2 2 6" xfId="37702" xr:uid="{41022F31-A4A0-4AF3-9AD9-C06A03A42511}"/>
    <cellStyle name="Millares [0] 4 6 2 2 7" xfId="17768" xr:uid="{7A17933C-56F8-40C5-B298-7A206919AA6D}"/>
    <cellStyle name="Millares [0] 4 6 2 2 8" xfId="45584" xr:uid="{C4B33482-8969-4BD5-8A72-3D15F7F30B59}"/>
    <cellStyle name="Millares [0] 4 6 2 2 9" xfId="49884" xr:uid="{D0C444C9-9196-4763-8EF6-06E2AD2B606A}"/>
    <cellStyle name="Millares [0] 4 6 2 3" xfId="7605" xr:uid="{6D0ACF38-820C-4033-8FEA-36B35DE343B0}"/>
    <cellStyle name="Millares [0] 4 6 2 3 2" xfId="12342" xr:uid="{C24DDC34-9621-40D2-B15C-91348B685731}"/>
    <cellStyle name="Millares [0] 4 6 2 3 2 2" xfId="41919" xr:uid="{7355B979-14CA-418C-9155-0825E4E94C89}"/>
    <cellStyle name="Millares [0] 4 6 2 3 2 3" xfId="21999" xr:uid="{F7352C1C-48F0-4238-A259-D406ABB03F56}"/>
    <cellStyle name="Millares [0] 4 6 2 3 3" xfId="15183" xr:uid="{2BE32535-325E-476E-86F7-226F89A42ED4}"/>
    <cellStyle name="Millares [0] 4 6 2 3 3 2" xfId="27839" xr:uid="{33AB31B5-14D5-4254-9BC3-18286BD77220}"/>
    <cellStyle name="Millares [0] 4 6 2 3 4" xfId="15630" xr:uid="{CA2D1997-D2EE-42B4-80D1-4D0CFF7FB55A}"/>
    <cellStyle name="Millares [0] 4 6 2 3 4 2" xfId="33721" xr:uid="{A8DE02F5-AE28-4735-8A42-9637C234D505}"/>
    <cellStyle name="Millares [0] 4 6 2 3 5" xfId="39585" xr:uid="{CB6C9C81-53AF-4B84-8EAC-5477A6744053}"/>
    <cellStyle name="Millares [0] 4 6 2 3 6" xfId="18015" xr:uid="{DF029089-ECF4-4DC7-8997-23BD0C070881}"/>
    <cellStyle name="Millares [0] 4 6 2 3 7" xfId="49999" xr:uid="{AB0D67F4-3100-43B0-B157-C264D051B867}"/>
    <cellStyle name="Millares [0] 4 6 2 4" xfId="4741" xr:uid="{6793ED28-3849-46F7-9E15-F44F4C537B76}"/>
    <cellStyle name="Millares [0] 4 6 2 4 2" xfId="12155" xr:uid="{DC617C02-A197-4E3D-BA29-632662C83169}"/>
    <cellStyle name="Millares [0] 4 6 2 4 2 2" xfId="41732" xr:uid="{4D17CB0D-6D71-495B-A95F-FF8E78860C91}"/>
    <cellStyle name="Millares [0] 4 6 2 4 3" xfId="14996" xr:uid="{097BAC57-9B66-4855-9CFE-62657FD1CA4B}"/>
    <cellStyle name="Millares [0] 4 6 2 4 4" xfId="19229" xr:uid="{2E619320-55EB-4388-B7DD-588DC72CA237}"/>
    <cellStyle name="Millares [0] 4 6 2 4 5" xfId="49812" xr:uid="{5C737795-2628-40C0-A10E-CF3DC544F6C2}"/>
    <cellStyle name="Millares [0] 4 6 2 5" xfId="10424" xr:uid="{50ED7286-4453-4776-A8E7-3D4833099518}"/>
    <cellStyle name="Millares [0] 4 6 2 5 2" xfId="24990" xr:uid="{2585959B-3CB0-4A50-8791-3E05EA020D3D}"/>
    <cellStyle name="Millares [0] 4 6 2 6" xfId="13264" xr:uid="{1BE3F8B8-1EB8-4B68-8293-35DC88ABDA25}"/>
    <cellStyle name="Millares [0] 4 6 2 6 2" xfId="30864" xr:uid="{89D6C0AD-A29C-4A67-9189-B89CDDA2F54E}"/>
    <cellStyle name="Millares [0] 4 6 2 7" xfId="15442" xr:uid="{41AADEF1-0B90-40F9-98FD-77E362CFC69A}"/>
    <cellStyle name="Millares [0] 4 6 2 7 2" xfId="36745" xr:uid="{E29BE3EC-1BF8-48B5-A28E-F23ECED35DA6}"/>
    <cellStyle name="Millares [0] 4 6 2 8" xfId="17634" xr:uid="{7A37833B-11C0-473E-B6A7-FA3278185A90}"/>
    <cellStyle name="Millares [0] 4 6 2 9" xfId="43188" xr:uid="{D16CEBDC-DFF4-4489-982D-C41260DAC2DA}"/>
    <cellStyle name="Millares [0] 4 6 3" xfId="2571" xr:uid="{07C6C869-A66E-4505-9384-E2C229E20459}"/>
    <cellStyle name="Millares [0] 4 6 3 2" xfId="8092" xr:uid="{0B4823A0-D729-49E3-A5E6-14F00D121C08}"/>
    <cellStyle name="Millares [0] 4 6 3 2 2" xfId="12378" xr:uid="{FBFF8783-4A5F-4308-A385-33E2464324ED}"/>
    <cellStyle name="Millares [0] 4 6 3 2 2 2" xfId="41955" xr:uid="{BAA98DBD-4D70-4A9C-9A38-2DFC9D3DAE4D}"/>
    <cellStyle name="Millares [0] 4 6 3 2 2 3" xfId="22470" xr:uid="{8085A57E-35AE-419E-9A64-B3D013ACBA21}"/>
    <cellStyle name="Millares [0] 4 6 3 2 3" xfId="15219" xr:uid="{85613983-F626-4E82-8486-CE0501D86BD4}"/>
    <cellStyle name="Millares [0] 4 6 3 2 3 2" xfId="28325" xr:uid="{CA0AEE61-5DC0-4629-AA34-56B0EBBC6E27}"/>
    <cellStyle name="Millares [0] 4 6 3 2 4" xfId="15666" xr:uid="{529F4B73-098D-48B5-B7A1-B9EE0BB93024}"/>
    <cellStyle name="Millares [0] 4 6 3 2 4 2" xfId="34207" xr:uid="{B9CFBF42-BF98-4ABC-9801-3506953B8A75}"/>
    <cellStyle name="Millares [0] 4 6 3 2 5" xfId="40071" xr:uid="{5BD6ACCD-A87F-43DE-8BFA-D0E933C36B3C}"/>
    <cellStyle name="Millares [0] 4 6 3 2 6" xfId="18085" xr:uid="{984D7664-59F4-474D-AAD1-6D90736462F2}"/>
    <cellStyle name="Millares [0] 4 6 3 2 7" xfId="46002" xr:uid="{BC8B4956-7170-416D-88FC-E373C0509C0C}"/>
    <cellStyle name="Millares [0] 4 6 3 2 8" xfId="50035" xr:uid="{6A9DC60B-18B0-423D-96EA-0DE770C12333}"/>
    <cellStyle name="Millares [0] 4 6 3 3" xfId="5225" xr:uid="{1ADE7ECB-4342-4A08-864A-17A47C357517}"/>
    <cellStyle name="Millares [0] 4 6 3 3 2" xfId="12191" xr:uid="{3BFCDDC7-5F80-48D9-968B-CA088D90ABF1}"/>
    <cellStyle name="Millares [0] 4 6 3 3 2 2" xfId="41768" xr:uid="{F734ED2C-82F5-4274-B1A2-ADA808100106}"/>
    <cellStyle name="Millares [0] 4 6 3 3 3" xfId="15032" xr:uid="{62A759DE-FE76-4B9D-BE37-F462AA93660F}"/>
    <cellStyle name="Millares [0] 4 6 3 3 4" xfId="19695" xr:uid="{56EA9065-5245-4C35-A183-F320DBF87EAF}"/>
    <cellStyle name="Millares [0] 4 6 3 3 5" xfId="49848" xr:uid="{95593B53-4DA6-4F32-82F8-8AA246DD076F}"/>
    <cellStyle name="Millares [0] 4 6 3 4" xfId="10842" xr:uid="{C91920C2-17D2-42ED-9DDD-190640D5BB6D}"/>
    <cellStyle name="Millares [0] 4 6 3 4 2" xfId="25476" xr:uid="{4C10C569-8E18-4B7E-8D67-18C57E98D507}"/>
    <cellStyle name="Millares [0] 4 6 3 5" xfId="13682" xr:uid="{7887F43F-AD00-4F5C-9D45-2386A70C6E35}"/>
    <cellStyle name="Millares [0] 4 6 3 5 2" xfId="31350" xr:uid="{55A39CD0-7E6A-4E8E-976D-B9C7FC03B8EC}"/>
    <cellStyle name="Millares [0] 4 6 3 6" xfId="15478" xr:uid="{96895BB5-437E-4DCC-8070-49C2C3EE615C}"/>
    <cellStyle name="Millares [0] 4 6 3 6 2" xfId="37223" xr:uid="{CA81DF2C-C46A-4341-99AA-98390D51AE20}"/>
    <cellStyle name="Millares [0] 4 6 3 7" xfId="17703" xr:uid="{385E51C1-B3F9-4B7C-8BA8-15B238F3D6FC}"/>
    <cellStyle name="Millares [0] 4 6 3 8" xfId="43606" xr:uid="{F4C61BF5-6AF5-4E52-BADC-A528BEF28ED3}"/>
    <cellStyle name="Millares [0] 4 6 3 9" xfId="48499" xr:uid="{4985F9B2-B10A-47EC-8161-BE19A495AFFF}"/>
    <cellStyle name="Millares [0] 4 6 4" xfId="3115" xr:uid="{40BCA556-29F2-4729-9C71-0FC8589D2B2A}"/>
    <cellStyle name="Millares [0] 4 6 4 2" xfId="7120" xr:uid="{E5616C6E-DEBA-4A86-B791-C06D57B3E9DA}"/>
    <cellStyle name="Millares [0] 4 6 4 2 2" xfId="12306" xr:uid="{00770F3D-390E-4A26-82E2-79E520F6C417}"/>
    <cellStyle name="Millares [0] 4 6 4 2 2 2" xfId="41883" xr:uid="{162BB33F-4680-4588-811F-C6D8738EA819}"/>
    <cellStyle name="Millares [0] 4 6 4 2 3" xfId="15147" xr:uid="{580E3AA7-3EF4-49FC-A870-19F9A8DE23EC}"/>
    <cellStyle name="Millares [0] 4 6 4 2 4" xfId="21531" xr:uid="{F4994F17-BA1C-47D6-A7C2-337F85B21510}"/>
    <cellStyle name="Millares [0] 4 6 4 2 5" xfId="46546" xr:uid="{95BC300D-9325-468E-A042-A231B621BA04}"/>
    <cellStyle name="Millares [0] 4 6 4 2 6" xfId="49963" xr:uid="{E407D9E8-67E1-4012-82DF-219248E73412}"/>
    <cellStyle name="Millares [0] 4 6 4 3" xfId="11386" xr:uid="{7FBB0278-300D-4B6F-927D-2521E8CC2865}"/>
    <cellStyle name="Millares [0] 4 6 4 3 2" xfId="27355" xr:uid="{77A005F7-884F-45C7-9A75-D6F90FB09F0F}"/>
    <cellStyle name="Millares [0] 4 6 4 4" xfId="14226" xr:uid="{A09664E4-E543-47E6-9A4A-8D95485AD19A}"/>
    <cellStyle name="Millares [0] 4 6 4 4 2" xfId="33236" xr:uid="{A673808C-ECFB-4710-8425-1D9E45BE5BD1}"/>
    <cellStyle name="Millares [0] 4 6 4 5" xfId="15594" xr:uid="{0C1D55C4-F438-4B3E-9298-996FE068860A}"/>
    <cellStyle name="Millares [0] 4 6 4 5 2" xfId="39100" xr:uid="{9B75360C-2574-434F-A1CD-B70EEABC6AC9}"/>
    <cellStyle name="Millares [0] 4 6 4 6" xfId="17947" xr:uid="{F0350787-309C-4B23-BD93-C44493C5C439}"/>
    <cellStyle name="Millares [0] 4 6 4 7" xfId="44150" xr:uid="{A674EACA-7EB2-4174-9DF4-923029C14612}"/>
    <cellStyle name="Millares [0] 4 6 4 8" xfId="49043" xr:uid="{27795644-5DCF-42B6-A0A2-3EE661F7EC22}"/>
    <cellStyle name="Millares [0] 4 6 5" xfId="3617" xr:uid="{B8AA7566-6636-41B7-B60E-2A4D5DB7F6C9}"/>
    <cellStyle name="Millares [0] 4 6 5 2" xfId="11858" xr:uid="{6E800969-C0E2-4347-A017-EF81B48293A8}"/>
    <cellStyle name="Millares [0] 4 6 5 2 2" xfId="41695" xr:uid="{DA2E873A-3EF5-4EAA-B498-BB9684471DF2}"/>
    <cellStyle name="Millares [0] 4 6 5 3" xfId="14698" xr:uid="{A6CCB320-B63F-45CE-B45F-9E4778CD192A}"/>
    <cellStyle name="Millares [0] 4 6 5 4" xfId="18782" xr:uid="{6D7D74CA-CA64-4D25-BBE9-97AD0D4F69A9}"/>
    <cellStyle name="Millares [0] 4 6 5 5" xfId="44622" xr:uid="{933A724A-A62D-4B49-94AE-B662B78E6513}"/>
    <cellStyle name="Millares [0] 4 6 5 6" xfId="49515" xr:uid="{CB27A24A-CB1E-47D7-A361-2877BEEF1DB9}"/>
    <cellStyle name="Millares [0] 4 6 6" xfId="4261" xr:uid="{24566E66-7EA0-491F-B92A-141502E0E065}"/>
    <cellStyle name="Millares [0] 4 6 6 2" xfId="12118" xr:uid="{6BFA1B26-EACF-476D-A7D2-B24C52B82468}"/>
    <cellStyle name="Millares [0] 4 6 6 3" xfId="14959" xr:uid="{905F398D-2135-4C84-9A3A-2114410E9675}"/>
    <cellStyle name="Millares [0] 4 6 6 4" xfId="24504" xr:uid="{4388653B-BF24-43BC-9EE2-241229DD9952}"/>
    <cellStyle name="Millares [0] 4 6 6 5" xfId="45040" xr:uid="{D156841E-1B8B-4CE8-8EB8-FF0C9AEA5654}"/>
    <cellStyle name="Millares [0] 4 6 6 6" xfId="49775" xr:uid="{0A9B1EC9-15EA-49FC-83FA-879A3084D9C0}"/>
    <cellStyle name="Millares [0] 4 6 7" xfId="9880" xr:uid="{AE302105-1073-48BA-A667-9616829A0E8D}"/>
    <cellStyle name="Millares [0] 4 6 7 2" xfId="30383" xr:uid="{73AAAA71-1F62-46DD-A4C5-A61F57A50E1C}"/>
    <cellStyle name="Millares [0] 4 6 8" xfId="12720" xr:uid="{FDC41374-269C-42CF-9976-B2172CDE7035}"/>
    <cellStyle name="Millares [0] 4 6 8 2" xfId="36264" xr:uid="{468E5CEA-F6F8-45A1-A992-1659B23BD8E0}"/>
    <cellStyle name="Millares [0] 4 6 9" xfId="15404" xr:uid="{F9926566-5DA5-4687-891C-14060D5A7FDE}"/>
    <cellStyle name="Millares [0] 4 7" xfId="362" xr:uid="{00000000-0005-0000-0000-00005D010000}"/>
    <cellStyle name="Millares [0] 4 7 10" xfId="16089" xr:uid="{0C62B62E-23AE-4455-BA93-2F911A7756A6}"/>
    <cellStyle name="Millares [0] 4 7 11" xfId="16632" xr:uid="{BB7BE676-22AB-4506-BEDB-5EB0AB66543D}"/>
    <cellStyle name="Millares [0] 4 7 12" xfId="17176" xr:uid="{BCD52590-558F-4852-B446-76634B68159F}"/>
    <cellStyle name="Millares [0] 4 7 13" xfId="17579" xr:uid="{15C76F5A-52F9-4D0A-9981-EDDF107ECA7A}"/>
    <cellStyle name="Millares [0] 4 7 14" xfId="42670" xr:uid="{E01A5FA7-C2B2-4028-9FE1-D862B16339B6}"/>
    <cellStyle name="Millares [0] 4 7 15" xfId="47563" xr:uid="{B8AB377D-D24E-4C36-AC41-F2BD342E830C}"/>
    <cellStyle name="Millares [0] 4 7 2" xfId="2179" xr:uid="{3133E2F6-FAA8-46E5-A3F4-9AFEE1E44575}"/>
    <cellStyle name="Millares [0] 4 7 2 2" xfId="8139" xr:uid="{ACF695A2-2251-4495-B079-2AB3C7C15FD8}"/>
    <cellStyle name="Millares [0] 4 7 2 2 2" xfId="12383" xr:uid="{1B909058-8BD9-493D-85D0-D4C0D941E5FE}"/>
    <cellStyle name="Millares [0] 4 7 2 2 2 2" xfId="41960" xr:uid="{AECBA630-CB71-4019-9A77-C3CA44DA21A5}"/>
    <cellStyle name="Millares [0] 4 7 2 2 2 3" xfId="22516" xr:uid="{3B7EED4E-E4D4-4C56-A22A-69E7E1BA4D38}"/>
    <cellStyle name="Millares [0] 4 7 2 2 3" xfId="15224" xr:uid="{D8961C04-30C5-4EFE-9B06-BD38AD0EF9D5}"/>
    <cellStyle name="Millares [0] 4 7 2 2 3 2" xfId="28372" xr:uid="{0349BE10-D1A9-4294-9AED-B04FF2F06F61}"/>
    <cellStyle name="Millares [0] 4 7 2 2 4" xfId="15671" xr:uid="{43F44AAC-EB20-4B05-AE29-CA78DDD5622E}"/>
    <cellStyle name="Millares [0] 4 7 2 2 4 2" xfId="34254" xr:uid="{D83E48EC-B982-4C8F-9C4E-C011783C6C7C}"/>
    <cellStyle name="Millares [0] 4 7 2 2 5" xfId="40118" xr:uid="{7CCD51E1-EDE0-4139-9741-A8465B868646}"/>
    <cellStyle name="Millares [0] 4 7 2 2 6" xfId="18092" xr:uid="{38F3A536-6215-4359-A67B-CD5F165E7B80}"/>
    <cellStyle name="Millares [0] 4 7 2 2 7" xfId="45610" xr:uid="{56B95F11-2FC9-4854-A4AC-1AD629A25908}"/>
    <cellStyle name="Millares [0] 4 7 2 2 8" xfId="50040" xr:uid="{4CC0A1D4-2BFD-4A68-B8B5-B649D9792128}"/>
    <cellStyle name="Millares [0] 4 7 2 3" xfId="5272" xr:uid="{D921D1EB-9117-47C7-BF6B-EFABB4398CB7}"/>
    <cellStyle name="Millares [0] 4 7 2 3 2" xfId="12196" xr:uid="{8843F012-A641-4C3A-9C7C-3F8C093FE3C2}"/>
    <cellStyle name="Millares [0] 4 7 2 3 2 2" xfId="41773" xr:uid="{F9F48F9D-4DE9-49DD-A6C7-B6F5F1E6223F}"/>
    <cellStyle name="Millares [0] 4 7 2 3 3" xfId="15037" xr:uid="{7BFECD64-E6F4-4264-A804-0149649AFF74}"/>
    <cellStyle name="Millares [0] 4 7 2 3 4" xfId="19741" xr:uid="{BC3CE376-3F65-4F42-85C8-9CA40157F2B5}"/>
    <cellStyle name="Millares [0] 4 7 2 3 5" xfId="49853" xr:uid="{2E9DC409-4AB6-4203-A5AE-19689A094786}"/>
    <cellStyle name="Millares [0] 4 7 2 4" xfId="10450" xr:uid="{230DE80D-77AA-4FED-A013-562D8A980A52}"/>
    <cellStyle name="Millares [0] 4 7 2 4 2" xfId="25523" xr:uid="{91B18E48-6F2B-477C-9760-92171D406FF9}"/>
    <cellStyle name="Millares [0] 4 7 2 5" xfId="13290" xr:uid="{A480B374-07FF-472E-8F4B-60583999F4EC}"/>
    <cellStyle name="Millares [0] 4 7 2 5 2" xfId="31397" xr:uid="{0221F1A2-F92C-40A9-A708-95B1BAA61697}"/>
    <cellStyle name="Millares [0] 4 7 2 6" xfId="15483" xr:uid="{AE6491C9-F80F-4981-AF05-2A6EBD42408B}"/>
    <cellStyle name="Millares [0] 4 7 2 6 2" xfId="37269" xr:uid="{9291C93F-111F-44BE-9A5F-E1F55FA27C79}"/>
    <cellStyle name="Millares [0] 4 7 2 7" xfId="17710" xr:uid="{9826483E-23D2-4F8D-BB0A-ADF6404B6DD6}"/>
    <cellStyle name="Millares [0] 4 7 2 8" xfId="43214" xr:uid="{A8A778E6-9250-44D6-B8CD-57D00ED8FB91}"/>
    <cellStyle name="Millares [0] 4 7 2 9" xfId="48107" xr:uid="{EA4FB20A-6E99-44EA-B173-9678F1682DFC}"/>
    <cellStyle name="Millares [0] 4 7 3" xfId="2597" xr:uid="{C7E6CE3D-F413-438E-8D92-A8DA81948BC2}"/>
    <cellStyle name="Millares [0] 4 7 3 2" xfId="7167" xr:uid="{89AAE255-A7C0-4F12-B53A-51950499DE97}"/>
    <cellStyle name="Millares [0] 4 7 3 2 2" xfId="12311" xr:uid="{2EB08BD1-6A67-4453-8A27-4E54B4DE31ED}"/>
    <cellStyle name="Millares [0] 4 7 3 2 2 2" xfId="41888" xr:uid="{8A18F500-4E91-4FB3-A7BB-42F193F67C60}"/>
    <cellStyle name="Millares [0] 4 7 3 2 3" xfId="15152" xr:uid="{8CBDAA13-7753-4AD9-A1B4-2AC2987123E5}"/>
    <cellStyle name="Millares [0] 4 7 3 2 4" xfId="21576" xr:uid="{88778D25-8611-44CF-B1FE-84F6F6F02FD7}"/>
    <cellStyle name="Millares [0] 4 7 3 2 5" xfId="46028" xr:uid="{D3A8AAED-A494-4D59-AA0F-16E11B8C3374}"/>
    <cellStyle name="Millares [0] 4 7 3 2 6" xfId="49968" xr:uid="{61D74A4A-C815-4D01-A09E-68F17EC01C99}"/>
    <cellStyle name="Millares [0] 4 7 3 3" xfId="10868" xr:uid="{0F4FECBB-A61B-47BB-B9BD-422A02D07F9C}"/>
    <cellStyle name="Millares [0] 4 7 3 3 2" xfId="27401" xr:uid="{3162E00C-E4A3-4588-830E-9B261762FA78}"/>
    <cellStyle name="Millares [0] 4 7 3 4" xfId="13708" xr:uid="{87863F43-68E1-4706-9BE1-F1A5FAC0ACD2}"/>
    <cellStyle name="Millares [0] 4 7 3 4 2" xfId="33283" xr:uid="{9C4A1AD5-6744-409A-8B91-20D0C7031628}"/>
    <cellStyle name="Millares [0] 4 7 3 5" xfId="15599" xr:uid="{A6A5E890-BCF8-4C59-9D25-C5D7886AE3C9}"/>
    <cellStyle name="Millares [0] 4 7 3 5 2" xfId="39147" xr:uid="{469BE3B1-7AFD-4ACB-BF0A-58FFF026D26D}"/>
    <cellStyle name="Millares [0] 4 7 3 6" xfId="17954" xr:uid="{B22F743C-8695-440F-9FEF-D8891F8CE926}"/>
    <cellStyle name="Millares [0] 4 7 3 7" xfId="43632" xr:uid="{888057A3-8814-450B-BBDC-9574C70A17BB}"/>
    <cellStyle name="Millares [0] 4 7 3 8" xfId="48525" xr:uid="{E5569DAD-F530-4346-B82B-84B72AA7E080}"/>
    <cellStyle name="Millares [0] 4 7 4" xfId="3141" xr:uid="{53D35BC0-E00A-42C2-96F8-5E60272E4D1D}"/>
    <cellStyle name="Millares [0] 4 7 4 2" xfId="11412" xr:uid="{A8A609D2-006E-4686-BBC7-FA105799E031}"/>
    <cellStyle name="Millares [0] 4 7 4 2 2" xfId="41701" xr:uid="{85BCCF67-E826-4971-A4E6-70C9DB64EF1E}"/>
    <cellStyle name="Millares [0] 4 7 4 2 3" xfId="46572" xr:uid="{8846DFD5-C9DD-43EE-98E3-0761C930B63D}"/>
    <cellStyle name="Millares [0] 4 7 4 3" xfId="14252" xr:uid="{3A73E56D-120D-4D35-8015-266970E29031}"/>
    <cellStyle name="Millares [0] 4 7 4 4" xfId="18813" xr:uid="{9A4FCAF9-B4B9-4337-B885-009777B2F535}"/>
    <cellStyle name="Millares [0] 4 7 4 5" xfId="44176" xr:uid="{2EBCB469-C3D4-460E-9EA9-DB8943F74343}"/>
    <cellStyle name="Millares [0] 4 7 4 6" xfId="49069" xr:uid="{F8ECE4E8-1AC7-493C-995E-4EA97BF6D0D2}"/>
    <cellStyle name="Millares [0] 4 7 5" xfId="3643" xr:uid="{412B8049-8D42-42C5-90A4-155D6B89E64B}"/>
    <cellStyle name="Millares [0] 4 7 5 2" xfId="11884" xr:uid="{8EE96283-2AB6-4AEE-86A6-55D03FE0A35F}"/>
    <cellStyle name="Millares [0] 4 7 5 3" xfId="14724" xr:uid="{0BA54155-979B-42B0-8F7D-B686C03F3AD6}"/>
    <cellStyle name="Millares [0] 4 7 5 4" xfId="24552" xr:uid="{D5DFDDC3-5D7B-498E-81D6-F62511E69071}"/>
    <cellStyle name="Millares [0] 4 7 5 5" xfId="44648" xr:uid="{0AED4208-23EC-450D-AF6E-B465255CE820}"/>
    <cellStyle name="Millares [0] 4 7 5 6" xfId="49541" xr:uid="{3D2C655B-B394-4BE0-AB3C-30213B3966A8}"/>
    <cellStyle name="Millares [0] 4 7 6" xfId="4306" xr:uid="{04238152-838D-433D-94F5-6BB0B0FBC293}"/>
    <cellStyle name="Millares [0] 4 7 6 2" xfId="12124" xr:uid="{31BAC11F-FF5F-47B9-95A4-08D3AB3FBFB7}"/>
    <cellStyle name="Millares [0] 4 7 6 3" xfId="14965" xr:uid="{A18053FA-BD82-4B21-B9E4-E4AC14F9A87A}"/>
    <cellStyle name="Millares [0] 4 7 6 4" xfId="30431" xr:uid="{455C8A55-F6E9-4D67-A131-2BD49564791B}"/>
    <cellStyle name="Millares [0] 4 7 6 5" xfId="45066" xr:uid="{BE76E047-587F-4991-8C6F-8839B4941796}"/>
    <cellStyle name="Millares [0] 4 7 6 6" xfId="49781" xr:uid="{1AD8BFE1-7973-4383-83FB-ECD28C0BB62E}"/>
    <cellStyle name="Millares [0] 4 7 7" xfId="9906" xr:uid="{4AAC657C-1768-40FE-9BC7-373C7FFCAAC2}"/>
    <cellStyle name="Millares [0] 4 7 7 2" xfId="36312" xr:uid="{70F5CFCE-3815-468F-A512-42FD564FB330}"/>
    <cellStyle name="Millares [0] 4 7 8" xfId="12746" xr:uid="{59DADEC5-C837-4913-9B0A-79DBBBCAFFAA}"/>
    <cellStyle name="Millares [0] 4 7 9" xfId="15410" xr:uid="{27C6B712-23C2-46A6-9C59-7E49817EB2D3}"/>
    <cellStyle name="Millares [0] 4 8" xfId="565" xr:uid="{00000000-0005-0000-0000-00005E010000}"/>
    <cellStyle name="Millares [0] 4 8 10" xfId="17642" xr:uid="{F8442CE8-BCE2-4B6B-88A5-481774F5EDDF}"/>
    <cellStyle name="Millares [0] 4 8 11" xfId="42872" xr:uid="{4DD09900-44EA-4897-BE0A-9F84DAD11526}"/>
    <cellStyle name="Millares [0] 4 8 12" xfId="47765" xr:uid="{419AAEDC-745F-4917-8166-7177DC4ED707}"/>
    <cellStyle name="Millares [0] 4 8 2" xfId="2799" xr:uid="{E63C8DA4-C2DF-4542-9B1B-433BE1E85C22}"/>
    <cellStyle name="Millares [0] 4 8 2 2" xfId="7653" xr:uid="{62B006F3-E99A-4F45-A529-FD657A019288}"/>
    <cellStyle name="Millares [0] 4 8 2 2 2" xfId="12347" xr:uid="{3CECFE10-BBD5-4CAB-85C9-E1B61B11F20C}"/>
    <cellStyle name="Millares [0] 4 8 2 2 2 2" xfId="41924" xr:uid="{7CAC2683-6C11-4CEC-A65D-30C764021789}"/>
    <cellStyle name="Millares [0] 4 8 2 2 3" xfId="15188" xr:uid="{749A7E2B-C34C-47A4-80B1-5E68530CF41F}"/>
    <cellStyle name="Millares [0] 4 8 2 2 4" xfId="22046" xr:uid="{FF75B057-72A9-45F2-97F8-F0E515CFCD5E}"/>
    <cellStyle name="Millares [0] 4 8 2 2 5" xfId="46230" xr:uid="{C286B5C0-1F9F-4DB0-A6BA-6E42D5C39668}"/>
    <cellStyle name="Millares [0] 4 8 2 2 6" xfId="50004" xr:uid="{25ADD413-D81A-40DA-9D48-FF85F802E415}"/>
    <cellStyle name="Millares [0] 4 8 2 3" xfId="11070" xr:uid="{2204707B-2150-4519-BC1B-73F207AB8A58}"/>
    <cellStyle name="Millares [0] 4 8 2 3 2" xfId="27887" xr:uid="{F32D3B39-5822-408A-9A2B-75868C917A11}"/>
    <cellStyle name="Millares [0] 4 8 2 4" xfId="13910" xr:uid="{CFED6743-DC71-4973-9BF2-5B3A9B0953E9}"/>
    <cellStyle name="Millares [0] 4 8 2 4 2" xfId="33769" xr:uid="{17268126-AF14-4F0C-96E0-BC95E33E53ED}"/>
    <cellStyle name="Millares [0] 4 8 2 5" xfId="15635" xr:uid="{CF535BF1-A0CF-4684-B89C-DFD261D27CAD}"/>
    <cellStyle name="Millares [0] 4 8 2 5 2" xfId="39633" xr:uid="{113E7EAA-0DD5-483A-A450-AD78CD6DA364}"/>
    <cellStyle name="Millares [0] 4 8 2 6" xfId="18023" xr:uid="{C03C0DE0-E1DD-435E-A07B-EDC9A061870F}"/>
    <cellStyle name="Millares [0] 4 8 2 7" xfId="43834" xr:uid="{17503927-435A-4DDB-805B-3C3CB921B827}"/>
    <cellStyle name="Millares [0] 4 8 2 8" xfId="48727" xr:uid="{3538A5BD-6C02-4A76-99FF-3024E12DA890}"/>
    <cellStyle name="Millares [0] 4 8 3" xfId="4790" xr:uid="{96113074-04A3-4A31-A765-5941A4A1D3DD}"/>
    <cellStyle name="Millares [0] 4 8 3 2" xfId="12160" xr:uid="{D2539096-633B-48EC-8B29-3ACAE9CDF15D}"/>
    <cellStyle name="Millares [0] 4 8 3 2 2" xfId="41737" xr:uid="{D21D8F34-CDB3-4FBA-A8F2-BDF03F5269FA}"/>
    <cellStyle name="Millares [0] 4 8 3 3" xfId="15001" xr:uid="{F65DDF23-F63D-4E2D-8105-150002470CB6}"/>
    <cellStyle name="Millares [0] 4 8 3 4" xfId="19272" xr:uid="{76837B54-F766-4ADA-BDB1-30AFA5743801}"/>
    <cellStyle name="Millares [0] 4 8 3 5" xfId="45268" xr:uid="{3669EFC5-03F6-418F-81DA-967F7659AE78}"/>
    <cellStyle name="Millares [0] 4 8 3 6" xfId="49817" xr:uid="{F8BA0EED-8612-4442-9E4F-31B7B5B66863}"/>
    <cellStyle name="Millares [0] 4 8 4" xfId="10108" xr:uid="{43DDE037-3D13-4AB7-9244-083BE6544E3F}"/>
    <cellStyle name="Millares [0] 4 8 4 2" xfId="25038" xr:uid="{458B7E48-4FF6-44F5-853E-E1FAD970F2D1}"/>
    <cellStyle name="Millares [0] 4 8 5" xfId="12948" xr:uid="{24E87874-86F9-4FB7-B4A1-330C9183A37D}"/>
    <cellStyle name="Millares [0] 4 8 5 2" xfId="30912" xr:uid="{0680292A-0BE0-4EAA-971C-7C9DEFA5C6D4}"/>
    <cellStyle name="Millares [0] 4 8 6" xfId="15447" xr:uid="{F35C6D46-0DD1-46A1-8C26-A72E210D6827}"/>
    <cellStyle name="Millares [0] 4 8 6 2" xfId="36792" xr:uid="{7E6931FD-DD06-45C9-9D79-19E7E1384652}"/>
    <cellStyle name="Millares [0] 4 8 7" xfId="16291" xr:uid="{043E594F-DB45-4B0D-8167-536A76E6A150}"/>
    <cellStyle name="Millares [0] 4 8 8" xfId="16834" xr:uid="{833D3D34-AADC-4367-A4A7-DB3D41C230DA}"/>
    <cellStyle name="Millares [0] 4 8 9" xfId="17378" xr:uid="{34F81DB4-C95C-41B2-8870-9F26ABBB55AA}"/>
    <cellStyle name="Millares [0] 4 9" xfId="652" xr:uid="{00000000-0005-0000-0000-00005F010000}"/>
    <cellStyle name="Millares [0] 4 9 10" xfId="17778" xr:uid="{830507D1-C006-478B-9CE6-3FEC89B63CE6}"/>
    <cellStyle name="Millares [0] 4 9 11" xfId="42956" xr:uid="{00E8F7FC-9BC1-4454-BFA6-5989B6F87DF0}"/>
    <cellStyle name="Millares [0] 4 9 12" xfId="47849" xr:uid="{29B6D98D-2F72-468E-81FC-A77E713FCA38}"/>
    <cellStyle name="Millares [0] 4 9 2" xfId="2883" xr:uid="{A8B38EE4-9473-4C22-A86A-900D7949CEBC}"/>
    <cellStyle name="Millares [0] 4 9 2 2" xfId="8665" xr:uid="{0F54F64F-CC1D-4093-AE29-0B7097D30541}"/>
    <cellStyle name="Millares [0] 4 9 2 2 2" xfId="12419" xr:uid="{D9A9CB16-FE07-4561-9263-68AEE813503B}"/>
    <cellStyle name="Millares [0] 4 9 2 2 2 2" xfId="41996" xr:uid="{B9ABCEEE-AFFA-456C-95C2-CEDCB1E29EAC}"/>
    <cellStyle name="Millares [0] 4 9 2 2 3" xfId="15260" xr:uid="{0B2E83D2-0785-4EDB-A75E-C0C2C04E2A89}"/>
    <cellStyle name="Millares [0] 4 9 2 2 4" xfId="23035" xr:uid="{1E3D84C9-9264-43AD-9FF9-0D00484A581F}"/>
    <cellStyle name="Millares [0] 4 9 2 2 5" xfId="46314" xr:uid="{B64A3F1E-26E8-4654-B97E-46EEF482CC7F}"/>
    <cellStyle name="Millares [0] 4 9 2 2 6" xfId="50076" xr:uid="{1DEE9881-94E9-477A-BC7E-C34F38814B8D}"/>
    <cellStyle name="Millares [0] 4 9 2 3" xfId="11154" xr:uid="{6DE2B402-0AF8-450C-B3A1-336336F6AE30}"/>
    <cellStyle name="Millares [0] 4 9 2 3 2" xfId="28898" xr:uid="{D6CCD87A-F8B5-46DD-975B-086390C90332}"/>
    <cellStyle name="Millares [0] 4 9 2 4" xfId="13994" xr:uid="{B48D3FE1-CE80-433B-A6B9-C552D2A227F7}"/>
    <cellStyle name="Millares [0] 4 9 2 4 2" xfId="34780" xr:uid="{E9D4A163-DEEC-4066-8294-CD5CD8017ADF}"/>
    <cellStyle name="Millares [0] 4 9 2 5" xfId="15709" xr:uid="{22C55DD2-F0F6-4D5D-BC4D-7E14C71792A9}"/>
    <cellStyle name="Millares [0] 4 9 2 5 2" xfId="40644" xr:uid="{A9EA8FA0-3B2F-41AE-98CB-6AA947AA5014}"/>
    <cellStyle name="Millares [0] 4 9 2 6" xfId="18161" xr:uid="{B7BA2837-7D7A-4895-8471-D638C7F2EF37}"/>
    <cellStyle name="Millares [0] 4 9 2 7" xfId="43918" xr:uid="{EB21D9A1-0E7F-4E68-A21E-B95C58B77356}"/>
    <cellStyle name="Millares [0] 4 9 2 8" xfId="48811" xr:uid="{987047A8-0CBC-4951-86F3-DF42CA97A7D8}"/>
    <cellStyle name="Millares [0] 4 9 3" xfId="5796" xr:uid="{B1B29C70-C804-46AA-89ED-EBC4FA35A212}"/>
    <cellStyle name="Millares [0] 4 9 3 2" xfId="12232" xr:uid="{7FF5F034-6CED-4D0B-8FB6-CB02013C1CA3}"/>
    <cellStyle name="Millares [0] 4 9 3 2 2" xfId="41809" xr:uid="{86651DC7-C618-4615-B799-3F7A8D886E31}"/>
    <cellStyle name="Millares [0] 4 9 3 3" xfId="15073" xr:uid="{CE9EA7E9-55A6-4763-92CB-58DEF18E3F95}"/>
    <cellStyle name="Millares [0] 4 9 3 4" xfId="20251" xr:uid="{66F4FB96-01C0-4931-A569-D34198D669A8}"/>
    <cellStyle name="Millares [0] 4 9 3 5" xfId="45352" xr:uid="{4D0731CF-93A6-4945-A0B7-1856B95F13E3}"/>
    <cellStyle name="Millares [0] 4 9 3 6" xfId="49889" xr:uid="{DF0954DF-A54F-4E4D-B0D7-EB8A47B5CCF0}"/>
    <cellStyle name="Millares [0] 4 9 4" xfId="10192" xr:uid="{225CC424-FF6C-4F84-BBAF-EE52792CA231}"/>
    <cellStyle name="Millares [0] 4 9 4 2" xfId="26048" xr:uid="{C96F6763-7DC4-4F84-B458-293F1ADD224D}"/>
    <cellStyle name="Millares [0] 4 9 5" xfId="13032" xr:uid="{356F9C01-C342-4B76-81D7-13692DF5DE7E}"/>
    <cellStyle name="Millares [0] 4 9 5 2" xfId="31923" xr:uid="{A9D91601-7F1D-4994-8BFA-60E43DA5E5C8}"/>
    <cellStyle name="Millares [0] 4 9 6" xfId="15520" xr:uid="{0713EB91-9441-4BE6-9634-971A0ABAA5A1}"/>
    <cellStyle name="Millares [0] 4 9 6 2" xfId="37789" xr:uid="{A3CB858A-A1DF-47C5-B91C-BA5668A8531A}"/>
    <cellStyle name="Millares [0] 4 9 7" xfId="16375" xr:uid="{C425E50B-27B3-45CF-B8D8-C1A0096C5D3B}"/>
    <cellStyle name="Millares [0] 4 9 8" xfId="16918" xr:uid="{DD81979F-F2B8-4D01-8656-EE26A9116739}"/>
    <cellStyle name="Millares [0] 4 9 9" xfId="17462" xr:uid="{2F7D587E-AC56-4B2D-B7F3-8693BB953EBD}"/>
    <cellStyle name="Millares [0] 40" xfId="50172" xr:uid="{37425DE5-2607-4C2B-B0C2-073BE3528961}"/>
    <cellStyle name="Millares [0] 41" xfId="50245" xr:uid="{E043396A-00D1-4BEF-844E-7C1D41786128}"/>
    <cellStyle name="Millares [0] 5" xfId="111" xr:uid="{00000000-0005-0000-0000-000060010000}"/>
    <cellStyle name="Millares [0] 5 10" xfId="2930" xr:uid="{82314C0B-C613-4E68-AC10-079FF0E07506}"/>
    <cellStyle name="Millares [0] 5 10 2" xfId="9578" xr:uid="{75CCFE63-F90F-4856-AE76-58DFBC7E2265}"/>
    <cellStyle name="Millares [0] 5 10 2 2" xfId="12457" xr:uid="{38C5D099-9F65-4F40-8C2B-515462059CCB}"/>
    <cellStyle name="Millares [0] 5 10 2 2 2" xfId="42034" xr:uid="{F85EAE98-CCF8-4E7E-BE16-5E34B7C9FACF}"/>
    <cellStyle name="Millares [0] 5 10 2 3" xfId="15298" xr:uid="{1DAE7208-5E86-4D21-8A67-8220D6E1D874}"/>
    <cellStyle name="Millares [0] 5 10 2 4" xfId="23939" xr:uid="{92F1889C-9584-416D-8FA3-74B37A46371B}"/>
    <cellStyle name="Millares [0] 5 10 2 5" xfId="46361" xr:uid="{5210107E-3B57-476D-9E5B-8F46D4ACA399}"/>
    <cellStyle name="Millares [0] 5 10 2 6" xfId="50114" xr:uid="{07046FED-28EC-44E6-8F01-5B361E1E6324}"/>
    <cellStyle name="Millares [0] 5 10 3" xfId="11201" xr:uid="{1A073CA7-D197-4C78-8657-2B308575C7F3}"/>
    <cellStyle name="Millares [0] 5 10 3 2" xfId="29809" xr:uid="{1345FFF4-33EB-46D6-A753-D8AEE7ED96A1}"/>
    <cellStyle name="Millares [0] 5 10 4" xfId="14041" xr:uid="{260D21DB-2401-4EFB-8D48-A22045D6B2D7}"/>
    <cellStyle name="Millares [0] 5 10 4 2" xfId="35691" xr:uid="{906C49F7-5AFD-4E89-858E-00ACFA9C6706}"/>
    <cellStyle name="Millares [0] 5 10 5" xfId="15748" xr:uid="{9EC5052D-80FF-4CDF-B094-8C5FBD03FC7E}"/>
    <cellStyle name="Millares [0] 5 10 5 2" xfId="41550" xr:uid="{F76F39A9-D5AA-4B94-B509-230FDD429BF7}"/>
    <cellStyle name="Millares [0] 5 10 6" xfId="18262" xr:uid="{3E03EDEE-5266-4016-A5F4-A03A63D2A4F8}"/>
    <cellStyle name="Millares [0] 5 10 7" xfId="43965" xr:uid="{926EF921-83DF-4FA1-B3C0-21C0905D19E9}"/>
    <cellStyle name="Millares [0] 5 10 8" xfId="48858" xr:uid="{18D0BC52-9EB8-4589-8B75-20DEC8E96041}"/>
    <cellStyle name="Millares [0] 5 11" xfId="3327" xr:uid="{3FB24B69-EBD5-4C02-812E-B38FC6A03877}"/>
    <cellStyle name="Millares [0] 5 11 2" xfId="11597" xr:uid="{6F361728-5CCE-4314-B9A8-377C0D30908F}"/>
    <cellStyle name="Millares [0] 5 11 2 2" xfId="41646" xr:uid="{65F0F57B-E111-4539-A548-AB14DA83B65A}"/>
    <cellStyle name="Millares [0] 5 11 2 3" xfId="46757" xr:uid="{2332365C-4BE2-4804-9F48-6D0A88C03A16}"/>
    <cellStyle name="Millares [0] 5 11 3" xfId="14437" xr:uid="{D6B1A975-1E29-4565-BBCE-D4C25298EEB8}"/>
    <cellStyle name="Millares [0] 5 11 4" xfId="15844" xr:uid="{71CB4C9C-2E78-4EE6-81F4-CA914A91840D}"/>
    <cellStyle name="Millares [0] 5 11 5" xfId="18288" xr:uid="{7677A3F6-EA57-428E-81AC-D62E1ECE03A3}"/>
    <cellStyle name="Millares [0] 5 11 6" xfId="44361" xr:uid="{DF1A0F6A-DC9B-4CB2-9B1F-EF7F12016E3A}"/>
    <cellStyle name="Millares [0] 5 11 7" xfId="49254" xr:uid="{D502F321-8EC8-4E7E-A557-F8C237326B4E}"/>
    <cellStyle name="Millares [0] 5 12" xfId="3432" xr:uid="{21D6C122-0407-4AB3-9456-E805CD09AC70}"/>
    <cellStyle name="Millares [0] 5 12 2" xfId="11673" xr:uid="{339B5920-1203-4412-9D22-92E0C8DC04D5}"/>
    <cellStyle name="Millares [0] 5 12 3" xfId="14513" xr:uid="{3BB1E343-6C66-4B85-8049-89CF670AE8B5}"/>
    <cellStyle name="Millares [0] 5 12 4" xfId="18344" xr:uid="{3C3C9490-79C7-4491-8A2F-180463E49866}"/>
    <cellStyle name="Millares [0] 5 12 5" xfId="44437" xr:uid="{993A5E4F-2669-4F25-982D-652594B518C3}"/>
    <cellStyle name="Millares [0] 5 12 6" xfId="49330" xr:uid="{BE0EAA17-24A5-4308-AD15-8941C629126D}"/>
    <cellStyle name="Millares [0] 5 13" xfId="9655" xr:uid="{770239E1-CD4B-488B-995B-7A7365B372CB}"/>
    <cellStyle name="Millares [0] 5 13 2" xfId="12495" xr:uid="{08CC1F41-EA73-477E-8734-BE65F55D49F2}"/>
    <cellStyle name="Millares [0] 5 13 3" xfId="15336" xr:uid="{1E7F1071-BBFA-410B-A14E-9F9F52F097FB}"/>
    <cellStyle name="Millares [0] 5 13 4" xfId="24053" xr:uid="{72A84CF5-3130-4080-80EB-7521400635D5}"/>
    <cellStyle name="Millares [0] 5 13 5" xfId="44855" xr:uid="{302BFCDA-C625-4FCA-88EA-84ECEE4725B1}"/>
    <cellStyle name="Millares [0] 5 13 6" xfId="50152" xr:uid="{BB34FFBA-0FCF-4051-B0C8-D55F20BAFEEC}"/>
    <cellStyle name="Millares [0] 5 14" xfId="9695" xr:uid="{E4C4EEAC-A888-4206-AAF2-BB10117BE9B3}"/>
    <cellStyle name="Millares [0] 5 14 2" xfId="29931" xr:uid="{05B7FE8F-FAF5-408D-BFD8-0CD983FD46CF}"/>
    <cellStyle name="Millares [0] 5 15" xfId="12535" xr:uid="{423EA669-1072-4C50-84D6-BB82B495D1C6}"/>
    <cellStyle name="Millares [0] 5 15 2" xfId="35812" xr:uid="{49FBA548-7286-4178-80F7-BC35CFA191FD}"/>
    <cellStyle name="Millares [0] 5 16" xfId="15878" xr:uid="{42A991CA-8DD9-4C18-AE06-895D7568BD9E}"/>
    <cellStyle name="Millares [0] 5 17" xfId="16421" xr:uid="{1A8C2205-E884-4EA9-B1B6-BC1A53E3FCF7}"/>
    <cellStyle name="Millares [0] 5 18" xfId="16965" xr:uid="{B9F446DD-A93E-48E8-B270-08FCAB292EE6}"/>
    <cellStyle name="Millares [0] 5 19" xfId="42087" xr:uid="{7FB79862-E3EC-4D75-A106-CFB0114F6F12}"/>
    <cellStyle name="Millares [0] 5 2" xfId="201" xr:uid="{00000000-0005-0000-0000-000061010000}"/>
    <cellStyle name="Millares [0] 5 2 10" xfId="9764" xr:uid="{3B9A7B27-1F6E-4F71-8272-ABF2D3A769B3}"/>
    <cellStyle name="Millares [0] 5 2 11" xfId="12604" xr:uid="{DFBD0825-51E4-4E3A-8450-774317ED5335}"/>
    <cellStyle name="Millares [0] 5 2 12" xfId="15947" xr:uid="{818090EF-9068-4170-A2B8-3F218EFD3325}"/>
    <cellStyle name="Millares [0] 5 2 13" xfId="16490" xr:uid="{FC3AB657-DD60-4EC7-A46C-95DB0BEC38B6}"/>
    <cellStyle name="Millares [0] 5 2 14" xfId="17034" xr:uid="{493D2C8D-5302-487E-875D-1AF0A576AEBB}"/>
    <cellStyle name="Millares [0] 5 2 15" xfId="17661" xr:uid="{05E83D24-BE15-4FBF-A26B-3851DC7EFAA7}"/>
    <cellStyle name="Millares [0] 5 2 16" xfId="42088" xr:uid="{B51E3E34-3577-4200-8E5C-47DAD850E080}"/>
    <cellStyle name="Millares [0] 5 2 17" xfId="42528" xr:uid="{C84A9984-CB34-477C-9421-67DFCA271489}"/>
    <cellStyle name="Millares [0] 5 2 18" xfId="47421" xr:uid="{58147349-FAC9-4D4D-B1A4-24E473CFAFB8}"/>
    <cellStyle name="Millares [0] 5 2 19" xfId="50225" xr:uid="{882916B6-F622-4223-A814-1020321513E9}"/>
    <cellStyle name="Millares [0] 5 2 2" xfId="310" xr:uid="{00000000-0005-0000-0000-000062010000}"/>
    <cellStyle name="Millares [0] 5 2 2 10" xfId="16051" xr:uid="{DE770E1B-9235-43B9-9FD0-35A6915A823F}"/>
    <cellStyle name="Millares [0] 5 2 2 11" xfId="16594" xr:uid="{333372A2-52CB-45A0-9EBA-2625D2F5E3EF}"/>
    <cellStyle name="Millares [0] 5 2 2 12" xfId="17138" xr:uid="{9540F2B1-C680-4636-B2CE-BA8061A5FB4D}"/>
    <cellStyle name="Millares [0] 5 2 2 13" xfId="17857" xr:uid="{9AC681C6-3490-44C4-81CD-8AAB1AF1EE63}"/>
    <cellStyle name="Millares [0] 5 2 2 14" xfId="42632" xr:uid="{A760CB4F-D8E1-488A-884C-FED9DD2FE47C}"/>
    <cellStyle name="Millares [0] 5 2 2 15" xfId="47525" xr:uid="{3F56A8AC-6A71-4F39-B20A-218C39D8D2EC}"/>
    <cellStyle name="Millares [0] 5 2 2 16" xfId="50371" xr:uid="{48C4391C-4FED-4F11-AD0D-6AA7FE2E286C}"/>
    <cellStyle name="Millares [0] 5 2 2 2" xfId="537" xr:uid="{00000000-0005-0000-0000-000063010000}"/>
    <cellStyle name="Millares [0] 5 2 2 2 10" xfId="16806" xr:uid="{EF8686FB-8B83-43BA-AA96-B21CC3A3F59E}"/>
    <cellStyle name="Millares [0] 5 2 2 2 11" xfId="17350" xr:uid="{240A4817-7F48-4A96-931C-A4C749700BA5}"/>
    <cellStyle name="Millares [0] 5 2 2 2 12" xfId="21304" xr:uid="{9D3BF3DC-2B89-482A-9A2E-2C2944BF9AE1}"/>
    <cellStyle name="Millares [0] 5 2 2 2 13" xfId="42844" xr:uid="{BFB10077-1ED9-436A-85EB-03D6FFAC6245}"/>
    <cellStyle name="Millares [0] 5 2 2 2 14" xfId="47737" xr:uid="{B6009447-AD80-4A63-B5B7-251F75E2E870}"/>
    <cellStyle name="Millares [0] 5 2 2 2 2" xfId="2353" xr:uid="{8704F4DA-1822-42EB-ACDD-354B67F86C4B}"/>
    <cellStyle name="Millares [0] 5 2 2 2 2 2" xfId="8337" xr:uid="{343568B0-6A3F-45B5-8820-2E885C187044}"/>
    <cellStyle name="Millares [0] 5 2 2 2 2 2 2" xfId="45784" xr:uid="{2BB47B15-70AE-43A2-A762-901E92CADC19}"/>
    <cellStyle name="Millares [0] 5 2 2 2 2 3" xfId="10624" xr:uid="{04A8C37F-5EE0-42E1-87EE-D413AC5B9818}"/>
    <cellStyle name="Millares [0] 5 2 2 2 2 3 2" xfId="28570" xr:uid="{C3975BBF-8F80-4035-B539-63C291309C0A}"/>
    <cellStyle name="Millares [0] 5 2 2 2 2 4" xfId="13464" xr:uid="{54139674-46D0-417B-A06B-ED838EB698A9}"/>
    <cellStyle name="Millares [0] 5 2 2 2 2 4 2" xfId="34452" xr:uid="{8D4B1EE9-072D-4127-8393-587A1F5595B3}"/>
    <cellStyle name="Millares [0] 5 2 2 2 2 5" xfId="40316" xr:uid="{C75DB2A2-AC61-4549-9256-B2A32C7FD004}"/>
    <cellStyle name="Millares [0] 5 2 2 2 2 6" xfId="43388" xr:uid="{7902C511-4D21-41D5-BA18-9C2C6652CE4B}"/>
    <cellStyle name="Millares [0] 5 2 2 2 2 7" xfId="48281" xr:uid="{2C57363E-EDCC-420C-A658-8CFB6ADCF463}"/>
    <cellStyle name="Millares [0] 5 2 2 2 3" xfId="2771" xr:uid="{B0DE37FE-3595-426F-9265-92F4E493BA4A}"/>
    <cellStyle name="Millares [0] 5 2 2 2 3 2" xfId="11042" xr:uid="{34545953-31E2-4DD5-B8AE-6012EFEE678B}"/>
    <cellStyle name="Millares [0] 5 2 2 2 3 2 2" xfId="46202" xr:uid="{014F408A-5342-498F-ABA3-3E7B6937CF6B}"/>
    <cellStyle name="Millares [0] 5 2 2 2 3 3" xfId="13882" xr:uid="{832252CC-A08A-4436-89CD-809FC0F96AF3}"/>
    <cellStyle name="Millares [0] 5 2 2 2 3 4" xfId="19932" xr:uid="{C6549EF0-95E2-4FDD-965A-D900B3824D4E}"/>
    <cellStyle name="Millares [0] 5 2 2 2 3 5" xfId="43806" xr:uid="{8A887F69-5F8B-439B-AF78-F3813218D790}"/>
    <cellStyle name="Millares [0] 5 2 2 2 3 6" xfId="48699" xr:uid="{32F2C3BC-AF99-455D-BBEC-55F2605CFFF6}"/>
    <cellStyle name="Millares [0] 5 2 2 2 4" xfId="3315" xr:uid="{E119469A-34AD-40AC-9685-5F2B9565C679}"/>
    <cellStyle name="Millares [0] 5 2 2 2 4 2" xfId="11586" xr:uid="{6C172793-2B54-44DE-AF34-0DE975D5EDA7}"/>
    <cellStyle name="Millares [0] 5 2 2 2 4 2 2" xfId="46746" xr:uid="{B67C011F-666D-42B6-8536-0A692946D922}"/>
    <cellStyle name="Millares [0] 5 2 2 2 4 3" xfId="14426" xr:uid="{5832A18F-F9A1-46B8-95C8-5157A6323103}"/>
    <cellStyle name="Millares [0] 5 2 2 2 4 4" xfId="25721" xr:uid="{B685CDAE-DC0E-4374-9397-6737BA1932C7}"/>
    <cellStyle name="Millares [0] 5 2 2 2 4 5" xfId="44350" xr:uid="{168B5D17-A871-4BB6-8A05-EB5B615D57E3}"/>
    <cellStyle name="Millares [0] 5 2 2 2 4 6" xfId="49243" xr:uid="{D10449B5-1333-44C7-9CEF-119AFA2519BD}"/>
    <cellStyle name="Millares [0] 5 2 2 2 5" xfId="3817" xr:uid="{169713B1-82EF-4778-918B-A15620C7909B}"/>
    <cellStyle name="Millares [0] 5 2 2 2 5 2" xfId="12058" xr:uid="{7CCEADE9-74E6-4DEE-A7A0-87D1D0015BC3}"/>
    <cellStyle name="Millares [0] 5 2 2 2 5 3" xfId="14898" xr:uid="{0923A84D-5177-4C1E-BCCF-C741585CECB3}"/>
    <cellStyle name="Millares [0] 5 2 2 2 5 4" xfId="31595" xr:uid="{09250C61-4C0D-45B9-BE4E-A614AF07AC0B}"/>
    <cellStyle name="Millares [0] 5 2 2 2 5 5" xfId="44822" xr:uid="{626F01AE-AB7D-47A3-8572-50EC1B8F11D2}"/>
    <cellStyle name="Millares [0] 5 2 2 2 5 6" xfId="49715" xr:uid="{E95E9493-B101-4736-8098-6B39C6F088D8}"/>
    <cellStyle name="Millares [0] 5 2 2 2 6" xfId="5470" xr:uid="{DBD2531D-1411-47ED-97A1-D75F8E543282}"/>
    <cellStyle name="Millares [0] 5 2 2 2 6 2" xfId="45240" xr:uid="{9A332115-3DA3-4960-8CFC-B386DD972FDB}"/>
    <cellStyle name="Millares [0] 5 2 2 2 7" xfId="10080" xr:uid="{748FD5C9-86BE-422C-8129-15483A511DA5}"/>
    <cellStyle name="Millares [0] 5 2 2 2 8" xfId="12920" xr:uid="{2D3A96DA-C60B-45BF-9227-F1435710972F}"/>
    <cellStyle name="Millares [0] 5 2 2 2 9" xfId="16263" xr:uid="{28D53E21-88D3-4DB9-86D7-E74326746FFC}"/>
    <cellStyle name="Millares [0] 5 2 2 3" xfId="2141" xr:uid="{E73E86F9-1FF8-4EAD-8357-193D4F57FB9A}"/>
    <cellStyle name="Millares [0] 5 2 2 3 2" xfId="7365" xr:uid="{7259FCB5-E75D-4CB2-8EE7-6E6ADBC2E46D}"/>
    <cellStyle name="Millares [0] 5 2 2 3 2 2" xfId="45572" xr:uid="{C15C7C51-4AB1-4A66-BF56-D2DAB45C5476}"/>
    <cellStyle name="Millares [0] 5 2 2 3 3" xfId="10412" xr:uid="{BB7EBFDE-C34C-4BAD-9395-F258153CACC7}"/>
    <cellStyle name="Millares [0] 5 2 2 3 3 2" xfId="27599" xr:uid="{99ED7BAD-9563-4518-BDC0-E2486CFB3154}"/>
    <cellStyle name="Millares [0] 5 2 2 3 4" xfId="13252" xr:uid="{15DF9430-2E21-4786-87DD-707731C4D833}"/>
    <cellStyle name="Millares [0] 5 2 2 3 4 2" xfId="33481" xr:uid="{021ACD5C-5F5E-4320-B101-A1E0952F3EC8}"/>
    <cellStyle name="Millares [0] 5 2 2 3 5" xfId="39345" xr:uid="{E3DEEAAF-33A4-4581-9662-681A4A9E169A}"/>
    <cellStyle name="Millares [0] 5 2 2 3 6" xfId="43176" xr:uid="{79FFEC79-68C4-4D31-87DF-79AF56935583}"/>
    <cellStyle name="Millares [0] 5 2 2 3 7" xfId="48069" xr:uid="{125C85F8-752C-43E8-B7E3-CC91769981BE}"/>
    <cellStyle name="Millares [0] 5 2 2 4" xfId="2559" xr:uid="{3E4BEE2C-10FC-48EB-AF27-45602774DB17}"/>
    <cellStyle name="Millares [0] 5 2 2 4 2" xfId="10830" xr:uid="{8EF7AFB0-D119-425E-A0E2-66A806EB2C98}"/>
    <cellStyle name="Millares [0] 5 2 2 4 2 2" xfId="45990" xr:uid="{D0907206-926E-4D32-9F60-11996D0015C1}"/>
    <cellStyle name="Millares [0] 5 2 2 4 3" xfId="13670" xr:uid="{730BE975-B72F-4A83-A825-360F45C12504}"/>
    <cellStyle name="Millares [0] 5 2 2 4 4" xfId="19004" xr:uid="{7FC39AAF-989A-4071-89D8-C4107F138BAD}"/>
    <cellStyle name="Millares [0] 5 2 2 4 5" xfId="43594" xr:uid="{C480EFB7-3C31-4F5D-BE23-5D3FB13666BC}"/>
    <cellStyle name="Millares [0] 5 2 2 4 6" xfId="48487" xr:uid="{056B33BC-E36F-4E43-B4F6-41F80F3B9C4E}"/>
    <cellStyle name="Millares [0] 5 2 2 5" xfId="3103" xr:uid="{A97DB2A4-4CF9-4B35-89B7-5F434132D6F9}"/>
    <cellStyle name="Millares [0] 5 2 2 5 2" xfId="11374" xr:uid="{B20DA8CC-EF81-4F2D-BB2A-72D3A71F7B69}"/>
    <cellStyle name="Millares [0] 5 2 2 5 2 2" xfId="46534" xr:uid="{2A1C2120-29B2-4B3C-B8BE-57AE1873C7C7}"/>
    <cellStyle name="Millares [0] 5 2 2 5 3" xfId="14214" xr:uid="{2FBAE33C-38AD-4540-BC29-A906AECCAC60}"/>
    <cellStyle name="Millares [0] 5 2 2 5 4" xfId="24750" xr:uid="{664E9490-AD7D-457D-9BEA-62D2936D5EB4}"/>
    <cellStyle name="Millares [0] 5 2 2 5 5" xfId="44138" xr:uid="{B8EDE4C7-A509-4A6F-94F5-F923863E8ACD}"/>
    <cellStyle name="Millares [0] 5 2 2 5 6" xfId="49031" xr:uid="{3F1B06CA-540E-4356-AAC2-0ABECF48F712}"/>
    <cellStyle name="Millares [0] 5 2 2 6" xfId="3605" xr:uid="{7156338D-1B3B-4A07-894F-412979C6D8E0}"/>
    <cellStyle name="Millares [0] 5 2 2 6 2" xfId="11846" xr:uid="{4E57DCCC-E4A2-416F-9F27-439459A201B7}"/>
    <cellStyle name="Millares [0] 5 2 2 6 3" xfId="14686" xr:uid="{46109925-2A07-49B1-8C66-FFBA23A7F859}"/>
    <cellStyle name="Millares [0] 5 2 2 6 4" xfId="30627" xr:uid="{C6245D99-B4C9-4CB4-BDE9-03F36BBA804A}"/>
    <cellStyle name="Millares [0] 5 2 2 6 5" xfId="44610" xr:uid="{7F839DBF-0D95-4240-93E0-8153B97A39F0}"/>
    <cellStyle name="Millares [0] 5 2 2 6 6" xfId="49503" xr:uid="{09217552-DE85-40F9-B78C-E18B832E5F99}"/>
    <cellStyle name="Millares [0] 5 2 2 7" xfId="4502" xr:uid="{6BE61D13-84C9-4719-AB30-77164AB20CB5}"/>
    <cellStyle name="Millares [0] 5 2 2 7 2" xfId="45028" xr:uid="{4141C405-66C8-4858-AE05-C0C71CDB90D3}"/>
    <cellStyle name="Millares [0] 5 2 2 8" xfId="9868" xr:uid="{2D64A98F-931A-4EEF-936E-4C8E384DD976}"/>
    <cellStyle name="Millares [0] 5 2 2 9" xfId="12708" xr:uid="{80C77AB1-2D04-49A5-B925-E112E3545258}"/>
    <cellStyle name="Millares [0] 5 2 20" xfId="50299" xr:uid="{2E17255E-EB52-4BE5-83E1-95CBAF7D8A88}"/>
    <cellStyle name="Millares [0] 5 2 3" xfId="436" xr:uid="{00000000-0005-0000-0000-000064010000}"/>
    <cellStyle name="Millares [0] 5 2 3 10" xfId="16706" xr:uid="{FAAB0989-24C1-4965-B62C-8EE4E2DC4A43}"/>
    <cellStyle name="Millares [0] 5 2 3 11" xfId="17250" xr:uid="{2523F53F-D002-4C4F-8CB6-9F6DD5215736}"/>
    <cellStyle name="Millares [0] 5 2 3 12" xfId="17518" xr:uid="{68AF443C-19BA-4928-8D00-760948709E76}"/>
    <cellStyle name="Millares [0] 5 2 3 13" xfId="42744" xr:uid="{C16B5332-D04C-4ACD-A97E-76EF763A650C}"/>
    <cellStyle name="Millares [0] 5 2 3 14" xfId="47637" xr:uid="{3133CE11-FDC5-4E83-A3A1-957B12A7D0AD}"/>
    <cellStyle name="Millares [0] 5 2 3 2" xfId="2253" xr:uid="{9BF98DAD-20F2-4224-AF5A-798CD2FB5DD5}"/>
    <cellStyle name="Millares [0] 5 2 3 2 2" xfId="7852" xr:uid="{4402ED9C-D53B-48CC-8B15-291EFA027B50}"/>
    <cellStyle name="Millares [0] 5 2 3 2 2 2" xfId="45684" xr:uid="{EE20F782-FFD0-41F8-A8C3-E24BEF2B779F}"/>
    <cellStyle name="Millares [0] 5 2 3 2 3" xfId="10524" xr:uid="{A95AF0B6-AFB4-472E-A3D2-10E0120CD12B}"/>
    <cellStyle name="Millares [0] 5 2 3 2 3 2" xfId="28085" xr:uid="{494FAD52-AC3B-4DF0-9FAF-102C588BDCAF}"/>
    <cellStyle name="Millares [0] 5 2 3 2 4" xfId="13364" xr:uid="{956A2CF9-51F8-4824-9948-29FE58CD3858}"/>
    <cellStyle name="Millares [0] 5 2 3 2 4 2" xfId="33967" xr:uid="{F62066A4-612B-4EE6-8ED5-3BCBA73A2310}"/>
    <cellStyle name="Millares [0] 5 2 3 2 5" xfId="39831" xr:uid="{E4994321-A000-49DA-BC19-AA2E7806710C}"/>
    <cellStyle name="Millares [0] 5 2 3 2 6" xfId="43288" xr:uid="{B56AB27B-CFDB-40BA-A75B-2A1F079BDD5A}"/>
    <cellStyle name="Millares [0] 5 2 3 2 7" xfId="48181" xr:uid="{003472B7-9D09-4148-8902-BA86DDFDFC29}"/>
    <cellStyle name="Millares [0] 5 2 3 3" xfId="2671" xr:uid="{4F03FD79-3456-4327-8D7D-0B05884A1F0D}"/>
    <cellStyle name="Millares [0] 5 2 3 3 2" xfId="10942" xr:uid="{16901C4A-F6B7-42F6-B427-8218328CC30C}"/>
    <cellStyle name="Millares [0] 5 2 3 3 2 2" xfId="46102" xr:uid="{5620794E-3486-4D86-827C-61385C0440BC}"/>
    <cellStyle name="Millares [0] 5 2 3 3 3" xfId="13782" xr:uid="{20AF84A3-E63E-4064-8B75-97E196259084}"/>
    <cellStyle name="Millares [0] 5 2 3 3 4" xfId="19465" xr:uid="{86FF498E-2E17-4A20-AFA0-BC8148C8A92F}"/>
    <cellStyle name="Millares [0] 5 2 3 3 5" xfId="43706" xr:uid="{6A7A7362-48C9-4DFB-8786-08BF9A893638}"/>
    <cellStyle name="Millares [0] 5 2 3 3 6" xfId="48599" xr:uid="{71884E2A-98FA-418B-A245-EC2FB64A00D6}"/>
    <cellStyle name="Millares [0] 5 2 3 4" xfId="3215" xr:uid="{A2FEE0F5-A183-4BC1-8290-73C1E662BB60}"/>
    <cellStyle name="Millares [0] 5 2 3 4 2" xfId="11486" xr:uid="{3B22794D-5038-4D95-98D5-86BD384C1F72}"/>
    <cellStyle name="Millares [0] 5 2 3 4 2 2" xfId="46646" xr:uid="{D235DA0B-3803-4D91-82C1-E028217A6EFA}"/>
    <cellStyle name="Millares [0] 5 2 3 4 3" xfId="14326" xr:uid="{42156859-CE14-408E-853C-CF55AC84C32D}"/>
    <cellStyle name="Millares [0] 5 2 3 4 4" xfId="25236" xr:uid="{A43EE324-C4E6-4179-8259-05CF4E30BC81}"/>
    <cellStyle name="Millares [0] 5 2 3 4 5" xfId="44250" xr:uid="{C37E7988-5F2D-4144-84CE-CC6D2FF773A8}"/>
    <cellStyle name="Millares [0] 5 2 3 4 6" xfId="49143" xr:uid="{1D3751FE-BA6F-4170-A74D-D72C6CFE5E72}"/>
    <cellStyle name="Millares [0] 5 2 3 5" xfId="3717" xr:uid="{73DF9132-6DA8-4D13-B7E6-22C5C4072EA3}"/>
    <cellStyle name="Millares [0] 5 2 3 5 2" xfId="11958" xr:uid="{AEF433AB-8ECB-4E8A-B0A0-2472156CA5CB}"/>
    <cellStyle name="Millares [0] 5 2 3 5 2 2" xfId="47309" xr:uid="{D5E5DBBE-45E7-4026-B41B-4BAE5E2EB1D3}"/>
    <cellStyle name="Millares [0] 5 2 3 5 3" xfId="14798" xr:uid="{27941B4F-9154-4F01-BFAB-8DACE3804BEE}"/>
    <cellStyle name="Millares [0] 5 2 3 5 3 2" xfId="47221" xr:uid="{6790CD55-6F02-4A8E-AD46-712F3BF10BBC}"/>
    <cellStyle name="Millares [0] 5 2 3 5 4" xfId="31110" xr:uid="{0D897550-BA10-4CE5-A427-FC2DBBFAEA87}"/>
    <cellStyle name="Millares [0] 5 2 3 5 5" xfId="44722" xr:uid="{993FA699-750F-475A-981D-73452DC3034C}"/>
    <cellStyle name="Millares [0] 5 2 3 5 6" xfId="46850" xr:uid="{6EFF674D-7587-4F1A-BA8E-5CFF8B0BEAC3}"/>
    <cellStyle name="Millares [0] 5 2 3 5 7" xfId="49615" xr:uid="{B0C24E6A-186B-4B18-B2BB-C7E84E8DE961}"/>
    <cellStyle name="Millares [0] 5 2 3 6" xfId="4985" xr:uid="{12D9854F-FACA-4663-8256-3A911969574F}"/>
    <cellStyle name="Millares [0] 5 2 3 6 2" xfId="45140" xr:uid="{BF7FBCA2-01BE-4DA1-9942-3283F94252E1}"/>
    <cellStyle name="Millares [0] 5 2 3 7" xfId="9980" xr:uid="{F6D9E7EE-7A51-4BAA-AB8D-A673462C8182}"/>
    <cellStyle name="Millares [0] 5 2 3 8" xfId="12820" xr:uid="{115439CC-1C0B-4757-9723-894FB10C50D8}"/>
    <cellStyle name="Millares [0] 5 2 3 9" xfId="16163" xr:uid="{578C6406-32CB-47D7-95B2-DFF3957DE71A}"/>
    <cellStyle name="Millares [0] 5 2 4" xfId="639" xr:uid="{00000000-0005-0000-0000-000065010000}"/>
    <cellStyle name="Millares [0] 5 2 4 10" xfId="42946" xr:uid="{FCF21468-47AA-4181-8D4B-6EF449E473D8}"/>
    <cellStyle name="Millares [0] 5 2 4 11" xfId="47839" xr:uid="{03F87381-1264-496E-A4D3-040932589514}"/>
    <cellStyle name="Millares [0] 5 2 4 2" xfId="2873" xr:uid="{9F7892D1-084C-4735-A651-48164AC0E763}"/>
    <cellStyle name="Millares [0] 5 2 4 2 2" xfId="11144" xr:uid="{84C7BB6A-CAB4-473C-8893-64F06A47B823}"/>
    <cellStyle name="Millares [0] 5 2 4 2 2 2" xfId="46304" xr:uid="{34AE44E5-5F10-433D-BE98-124B3C3C360F}"/>
    <cellStyle name="Millares [0] 5 2 4 2 3" xfId="13984" xr:uid="{45B1EA34-A55A-4D18-BCA9-8577F7121EF9}"/>
    <cellStyle name="Millares [0] 5 2 4 2 4" xfId="21302" xr:uid="{5BDAA060-1450-42AF-8829-C89065E4B8D0}"/>
    <cellStyle name="Millares [0] 5 2 4 2 5" xfId="43908" xr:uid="{E430BA10-5D4F-4CD1-857F-EC75A00C4D24}"/>
    <cellStyle name="Millares [0] 5 2 4 2 6" xfId="48801" xr:uid="{A7D0805B-2157-416A-B67F-983870B7AF1A}"/>
    <cellStyle name="Millares [0] 5 2 4 3" xfId="6880" xr:uid="{044A1DCB-7A87-4FA6-8EA3-682E97263040}"/>
    <cellStyle name="Millares [0] 5 2 4 3 2" xfId="45342" xr:uid="{A8F3A2C9-C1B2-4FA8-86D9-26D3023E50AB}"/>
    <cellStyle name="Millares [0] 5 2 4 4" xfId="10182" xr:uid="{265E75B7-DE89-46C0-AB9D-7BD82D2D1681}"/>
    <cellStyle name="Millares [0] 5 2 4 4 2" xfId="32996" xr:uid="{0AE0B17E-E9F6-4E00-9403-03DAF02FDBA5}"/>
    <cellStyle name="Millares [0] 5 2 4 5" xfId="13022" xr:uid="{DE583E26-7A65-4FD4-8F5C-D58E4D43140F}"/>
    <cellStyle name="Millares [0] 5 2 4 5 2" xfId="38860" xr:uid="{3E9F4FE7-D625-4C56-9446-D60177EBD421}"/>
    <cellStyle name="Millares [0] 5 2 4 6" xfId="16365" xr:uid="{A9D40982-6E65-4919-B430-FB4446261C19}"/>
    <cellStyle name="Millares [0] 5 2 4 7" xfId="16908" xr:uid="{DFFC7C74-2BB4-4A57-A851-05CB5A0EBB20}"/>
    <cellStyle name="Millares [0] 5 2 4 8" xfId="17452" xr:uid="{01195197-65E3-46BE-8DE6-4B47A28638A7}"/>
    <cellStyle name="Millares [0] 5 2 4 9" xfId="17941" xr:uid="{8E23E7DA-4792-452E-A65B-0129235770C2}"/>
    <cellStyle name="Millares [0] 5 2 5" xfId="2037" xr:uid="{55AAAE3B-5E61-440F-B8E3-78C931430598}"/>
    <cellStyle name="Millares [0] 5 2 5 2" xfId="10308" xr:uid="{C814B809-4DEE-47C8-BC61-2744EA4F6BCF}"/>
    <cellStyle name="Millares [0] 5 2 5 2 2" xfId="45468" xr:uid="{80B9EA30-2FC2-4623-8C0D-34F667B4CE1E}"/>
    <cellStyle name="Millares [0] 5 2 5 3" xfId="13148" xr:uid="{21F05027-4921-4909-914A-CB7E511E5442}"/>
    <cellStyle name="Millares [0] 5 2 5 4" xfId="18557" xr:uid="{D14D86F7-F608-479D-ADC5-0FDE9198817F}"/>
    <cellStyle name="Millares [0] 5 2 5 5" xfId="43072" xr:uid="{EDE304B8-F950-4B1D-AD0F-867070302491}"/>
    <cellStyle name="Millares [0] 5 2 5 6" xfId="47965" xr:uid="{4A508CA8-60CC-4E8C-827E-FA36A7C7F322}"/>
    <cellStyle name="Millares [0] 5 2 6" xfId="2455" xr:uid="{8812CC9B-4448-4D8C-AD2E-03E873D1C54D}"/>
    <cellStyle name="Millares [0] 5 2 6 2" xfId="10726" xr:uid="{5A01BC79-9853-40D1-87E0-9A139697BD8B}"/>
    <cellStyle name="Millares [0] 5 2 6 2 2" xfId="45886" xr:uid="{C0575338-C9E1-405B-9182-DD50F4903664}"/>
    <cellStyle name="Millares [0] 5 2 6 3" xfId="13566" xr:uid="{915E0455-F666-4C22-8E56-C3577C42B91B}"/>
    <cellStyle name="Millares [0] 5 2 6 4" xfId="24267" xr:uid="{95585179-CE85-437E-9592-93166444D923}"/>
    <cellStyle name="Millares [0] 5 2 6 5" xfId="43490" xr:uid="{7842C6D7-5696-4879-9330-CA276C562D98}"/>
    <cellStyle name="Millares [0] 5 2 6 6" xfId="48383" xr:uid="{38B4A9CA-B595-44BD-AD9E-7D0BB7ACCC8B}"/>
    <cellStyle name="Millares [0] 5 2 7" xfId="2999" xr:uid="{3B7892B4-037E-46D3-9E78-2B7B32B27C52}"/>
    <cellStyle name="Millares [0] 5 2 7 2" xfId="11270" xr:uid="{1D4D0DAC-3769-48DB-A0FF-42E730A34C34}"/>
    <cellStyle name="Millares [0] 5 2 7 2 2" xfId="46430" xr:uid="{BDD87539-04D3-4532-9605-399082C48B04}"/>
    <cellStyle name="Millares [0] 5 2 7 3" xfId="14110" xr:uid="{F458AE40-31FE-4202-BF70-F44FE200BCBB}"/>
    <cellStyle name="Millares [0] 5 2 7 4" xfId="30145" xr:uid="{00C436AD-80F7-4307-BD81-40FEC5546BFA}"/>
    <cellStyle name="Millares [0] 5 2 7 5" xfId="44034" xr:uid="{03229310-23BB-4827-BCA2-BFD4AFDB9AA0}"/>
    <cellStyle name="Millares [0] 5 2 7 6" xfId="48927" xr:uid="{36BA1CA8-A3EA-4926-8B12-CFB7501AB2A9}"/>
    <cellStyle name="Millares [0] 5 2 8" xfId="3501" xr:uid="{C53CEC6B-38A2-42B2-A6D5-B85FBE77E13C}"/>
    <cellStyle name="Millares [0] 5 2 8 2" xfId="11742" xr:uid="{A5DBDFCD-3A0A-485C-8C94-F9E1656A3BF8}"/>
    <cellStyle name="Millares [0] 5 2 8 3" xfId="14582" xr:uid="{512F67CB-A7A4-4800-AFED-DF2485D3EB1E}"/>
    <cellStyle name="Millares [0] 5 2 8 4" xfId="36024" xr:uid="{CB550AD9-BBFB-4C47-B9D6-F7106A9C9AC0}"/>
    <cellStyle name="Millares [0] 5 2 8 5" xfId="44506" xr:uid="{BF2F604E-968C-4E07-84B7-82DBBB734E49}"/>
    <cellStyle name="Millares [0] 5 2 8 6" xfId="49399" xr:uid="{29EEE44B-71DF-47FF-B5B7-A6F086F2869A}"/>
    <cellStyle name="Millares [0] 5 2 9" xfId="4028" xr:uid="{FF1236DC-7C0D-47F8-AEBA-8E901C594A14}"/>
    <cellStyle name="Millares [0] 5 2 9 2" xfId="44924" xr:uid="{E3CA1D53-B257-49B9-9D90-B185C5D2049E}"/>
    <cellStyle name="Millares [0] 5 20" xfId="42139" xr:uid="{C1FD417A-1E13-48F4-89AD-3A0A97AD9688}"/>
    <cellStyle name="Millares [0] 5 21" xfId="42459" xr:uid="{E2A601F5-1F7E-4E6A-A244-F49C99F92141}"/>
    <cellStyle name="Millares [0] 5 22" xfId="47352" xr:uid="{A246FB67-FC83-4C7A-9C3C-422B209FFFE9}"/>
    <cellStyle name="Millares [0] 5 23" xfId="50170" xr:uid="{89EA8ABB-5F48-4106-A49C-FDC40F011A97}"/>
    <cellStyle name="Millares [0] 5 24" xfId="50187" xr:uid="{C5131D4B-65DF-4975-97C0-FEEA832A9D57}"/>
    <cellStyle name="Millares [0] 5 25" xfId="50261" xr:uid="{3D8E0E93-80AB-45BD-ADE2-155039B8D963}"/>
    <cellStyle name="Millares [0] 5 3" xfId="163" xr:uid="{00000000-0005-0000-0000-000066010000}"/>
    <cellStyle name="Millares [0] 5 3 10" xfId="9731" xr:uid="{A921B39C-5F34-4941-A0D7-8071771255A4}"/>
    <cellStyle name="Millares [0] 5 3 11" xfId="12571" xr:uid="{F6BCFC38-5352-498A-914C-30995594C8B6}"/>
    <cellStyle name="Millares [0] 5 3 12" xfId="15406" xr:uid="{EB633C18-DA7A-4DCD-8192-387D35D0F71E}"/>
    <cellStyle name="Millares [0] 5 3 13" xfId="15914" xr:uid="{D3CA4E97-C45D-46BC-914E-2E69599F4467}"/>
    <cellStyle name="Millares [0] 5 3 14" xfId="16457" xr:uid="{50FEEB20-182E-4883-A9F1-FAD351893E0E}"/>
    <cellStyle name="Millares [0] 5 3 15" xfId="17001" xr:uid="{5DB5F154-D023-49E7-89C4-4830B30470BD}"/>
    <cellStyle name="Millares [0] 5 3 16" xfId="17574" xr:uid="{FCB4375F-6B06-44F6-B562-F59C9674123E}"/>
    <cellStyle name="Millares [0] 5 3 17" xfId="18224" xr:uid="{482A8E8E-D413-4983-B3E0-45FB0BA0806A}"/>
    <cellStyle name="Millares [0] 5 3 18" xfId="42495" xr:uid="{D9F42F8E-3C2C-44AF-A366-B59BE0516FC5}"/>
    <cellStyle name="Millares [0] 5 3 19" xfId="47388" xr:uid="{C57AD7E2-1126-4E03-85EB-F0D6EA1FA037}"/>
    <cellStyle name="Millares [0] 5 3 2" xfId="277" xr:uid="{00000000-0005-0000-0000-000067010000}"/>
    <cellStyle name="Millares [0] 5 3 2 10" xfId="16561" xr:uid="{B1486511-3DBE-4FCC-BA91-DCEC55501EA3}"/>
    <cellStyle name="Millares [0] 5 3 2 11" xfId="17105" xr:uid="{395A28AB-617E-42B7-8862-C585E9CD6A56}"/>
    <cellStyle name="Millares [0] 5 3 2 12" xfId="18785" xr:uid="{A3BEFDB1-3293-444B-ADAB-7081C2141572}"/>
    <cellStyle name="Millares [0] 5 3 2 13" xfId="18249" xr:uid="{D3B2D1E5-B0E2-40F2-A941-76ECDC54B625}"/>
    <cellStyle name="Millares [0] 5 3 2 14" xfId="42599" xr:uid="{6FF654AD-88E0-4098-A14E-32B14BDEF0C2}"/>
    <cellStyle name="Millares [0] 5 3 2 15" xfId="47492" xr:uid="{96501B70-D531-437E-B4A4-6CA8A86724D7}"/>
    <cellStyle name="Millares [0] 5 3 2 2" xfId="504" xr:uid="{00000000-0005-0000-0000-000068010000}"/>
    <cellStyle name="Millares [0] 5 3 2 2 10" xfId="17317" xr:uid="{2806F9E8-653D-424A-BFD7-50AEFEF237E7}"/>
    <cellStyle name="Millares [0] 5 3 2 2 11" xfId="41697" xr:uid="{DA3071BD-1D93-4FB6-9F1E-C72825310416}"/>
    <cellStyle name="Millares [0] 5 3 2 2 12" xfId="17914" xr:uid="{55B378FE-33CD-451E-9FC5-6B0861D63BF8}"/>
    <cellStyle name="Millares [0] 5 3 2 2 13" xfId="42811" xr:uid="{B5F50D24-DC0D-4299-B885-397C32120AFB}"/>
    <cellStyle name="Millares [0] 5 3 2 2 14" xfId="47704" xr:uid="{42300A3E-B50A-4C4A-A0C6-ADEEE466C17E}"/>
    <cellStyle name="Millares [0] 5 3 2 2 2" xfId="2320" xr:uid="{1B3195FE-7C17-401E-96EB-CACEABBAB6B5}"/>
    <cellStyle name="Millares [0] 5 3 2 2 2 2" xfId="10591" xr:uid="{763B874D-2836-400B-A0A2-DF067A5BEEE5}"/>
    <cellStyle name="Millares [0] 5 3 2 2 2 2 2" xfId="45751" xr:uid="{984A696A-8FB4-4C39-A8B7-49D024B2E5EC}"/>
    <cellStyle name="Millares [0] 5 3 2 2 2 3" xfId="13431" xr:uid="{60367E40-65AE-4923-9495-488B0BDE497E}"/>
    <cellStyle name="Millares [0] 5 3 2 2 2 4" xfId="43355" xr:uid="{2996084B-07AE-40D7-82C6-7BDD4A9E63B1}"/>
    <cellStyle name="Millares [0] 5 3 2 2 2 5" xfId="48248" xr:uid="{D72D6C99-AD02-41CF-9109-0F37BCF66013}"/>
    <cellStyle name="Millares [0] 5 3 2 2 3" xfId="2738" xr:uid="{707EB4A0-422C-458B-A910-8F6F1EE41C7A}"/>
    <cellStyle name="Millares [0] 5 3 2 2 3 2" xfId="11009" xr:uid="{0D952007-D9DD-4375-965F-78C1AAEAB305}"/>
    <cellStyle name="Millares [0] 5 3 2 2 3 2 2" xfId="46169" xr:uid="{547A16B9-6763-4151-B540-4A95574BA8E8}"/>
    <cellStyle name="Millares [0] 5 3 2 2 3 3" xfId="13849" xr:uid="{3FD7FEE1-BA7D-40FD-AE61-3CA6B48D8AC6}"/>
    <cellStyle name="Millares [0] 5 3 2 2 3 4" xfId="43773" xr:uid="{2E67FBA1-1E71-49A8-B016-D39283CCEF07}"/>
    <cellStyle name="Millares [0] 5 3 2 2 3 5" xfId="48666" xr:uid="{07AD0A90-4263-4608-AB07-37A88CA9FFE9}"/>
    <cellStyle name="Millares [0] 5 3 2 2 4" xfId="3282" xr:uid="{14C371BC-70E1-4007-A6D1-9033E72F6893}"/>
    <cellStyle name="Millares [0] 5 3 2 2 4 2" xfId="11553" xr:uid="{0C070878-6B4F-4143-A692-CA880548BD92}"/>
    <cellStyle name="Millares [0] 5 3 2 2 4 2 2" xfId="46713" xr:uid="{23141A37-4B80-4BE3-8EBA-7620EF8DE761}"/>
    <cellStyle name="Millares [0] 5 3 2 2 4 3" xfId="14393" xr:uid="{7DFCAC80-AE25-4CC8-BFE7-83E1C147CD23}"/>
    <cellStyle name="Millares [0] 5 3 2 2 4 4" xfId="44317" xr:uid="{C0F16847-013E-40CA-8C36-E5C7D8DA59A7}"/>
    <cellStyle name="Millares [0] 5 3 2 2 4 5" xfId="49210" xr:uid="{82BE6E35-4BBE-42B3-81C3-3457B7CE3124}"/>
    <cellStyle name="Millares [0] 5 3 2 2 5" xfId="3784" xr:uid="{83A1B126-5552-4418-B527-D7C247CFE8D2}"/>
    <cellStyle name="Millares [0] 5 3 2 2 5 2" xfId="12025" xr:uid="{1D9863C9-6CA9-4006-8961-C0CF84F4BC50}"/>
    <cellStyle name="Millares [0] 5 3 2 2 5 3" xfId="14865" xr:uid="{F463B335-D0C5-44C7-82B2-AD19FDDACF46}"/>
    <cellStyle name="Millares [0] 5 3 2 2 5 4" xfId="44789" xr:uid="{C17CAB17-2107-419D-A6C9-3590A61E28B9}"/>
    <cellStyle name="Millares [0] 5 3 2 2 5 5" xfId="49682" xr:uid="{3FFDD7EE-1A45-4C9B-9A5D-9D6B262FF89C}"/>
    <cellStyle name="Millares [0] 5 3 2 2 6" xfId="10047" xr:uid="{B97F65BC-752D-4598-BF0D-4E60BAADD1A1}"/>
    <cellStyle name="Millares [0] 5 3 2 2 6 2" xfId="45207" xr:uid="{2F1CC2E1-16D5-4276-8FBB-536DBA4D1A22}"/>
    <cellStyle name="Millares [0] 5 3 2 2 7" xfId="12887" xr:uid="{4E72D6BF-93B8-4E38-B8A8-0369ADCBD1CA}"/>
    <cellStyle name="Millares [0] 5 3 2 2 8" xfId="16230" xr:uid="{624E5509-344D-4E54-9FE0-5F39488D8FA2}"/>
    <cellStyle name="Millares [0] 5 3 2 2 9" xfId="16773" xr:uid="{44454CC8-1ED3-432B-BC12-F7E05B3472A5}"/>
    <cellStyle name="Millares [0] 5 3 2 3" xfId="2108" xr:uid="{E2644FFF-9911-458C-87FE-FB3DE1B4BB05}"/>
    <cellStyle name="Millares [0] 5 3 2 3 2" xfId="10379" xr:uid="{2CAB62A0-14FB-44D0-BB29-0FF0C3149AD5}"/>
    <cellStyle name="Millares [0] 5 3 2 3 2 2" xfId="45539" xr:uid="{136B676C-F514-4539-B30F-C6C4FAAA1972}"/>
    <cellStyle name="Millares [0] 5 3 2 3 3" xfId="13219" xr:uid="{9D8FF1CB-A30C-4E3C-85E9-82CDDF724279}"/>
    <cellStyle name="Millares [0] 5 3 2 3 4" xfId="43143" xr:uid="{E414A446-C7E1-434B-9951-3DC32B2F81C9}"/>
    <cellStyle name="Millares [0] 5 3 2 3 5" xfId="48036" xr:uid="{6313A4D8-7AC1-464E-B8DE-7B4C084CF276}"/>
    <cellStyle name="Millares [0] 5 3 2 4" xfId="2526" xr:uid="{E120DB3D-9DE5-4344-964B-E18BAE5DCE32}"/>
    <cellStyle name="Millares [0] 5 3 2 4 2" xfId="10797" xr:uid="{E74FF074-75F2-42BD-869C-86098DC89F5C}"/>
    <cellStyle name="Millares [0] 5 3 2 4 2 2" xfId="45957" xr:uid="{F446A997-974E-482D-801C-B86D5A0F975E}"/>
    <cellStyle name="Millares [0] 5 3 2 4 3" xfId="13637" xr:uid="{2FF87EFF-17A9-4DB6-ABE1-D92A07D9F42D}"/>
    <cellStyle name="Millares [0] 5 3 2 4 4" xfId="43561" xr:uid="{08B84DCC-D248-4B89-B9C6-4AD5B1BBEA76}"/>
    <cellStyle name="Millares [0] 5 3 2 4 5" xfId="48454" xr:uid="{01BCF315-F4C0-4B91-805B-68E2A9194F8E}"/>
    <cellStyle name="Millares [0] 5 3 2 5" xfId="3070" xr:uid="{1EDD102C-29B5-4C17-80E8-52877F271BB4}"/>
    <cellStyle name="Millares [0] 5 3 2 5 2" xfId="11341" xr:uid="{6240A81B-BA81-438B-BB46-696F7CDE9258}"/>
    <cellStyle name="Millares [0] 5 3 2 5 2 2" xfId="46501" xr:uid="{B5AD7345-0FE1-4EE4-9D9A-256D6D7B2D5E}"/>
    <cellStyle name="Millares [0] 5 3 2 5 3" xfId="14181" xr:uid="{F5B4EB1F-BD95-4F47-9DD7-7663D2ECB985}"/>
    <cellStyle name="Millares [0] 5 3 2 5 4" xfId="44105" xr:uid="{0D3CF627-58AF-4F52-8D56-DEEB3BE2881D}"/>
    <cellStyle name="Millares [0] 5 3 2 5 5" xfId="48998" xr:uid="{3AB53DF6-8323-4BF8-89CC-99518B04C0AE}"/>
    <cellStyle name="Millares [0] 5 3 2 6" xfId="3572" xr:uid="{AE37F766-25F5-4364-8635-1265EEAEAF1B}"/>
    <cellStyle name="Millares [0] 5 3 2 6 2" xfId="11813" xr:uid="{4F9A52D2-E975-4C53-AB5B-403E8C09D067}"/>
    <cellStyle name="Millares [0] 5 3 2 6 3" xfId="14653" xr:uid="{7CB36B65-D9BA-4931-9893-4DEF07AF7C36}"/>
    <cellStyle name="Millares [0] 5 3 2 6 4" xfId="44577" xr:uid="{6C189BCD-1F05-4DCB-B43D-DD23EB794D2A}"/>
    <cellStyle name="Millares [0] 5 3 2 6 5" xfId="49470" xr:uid="{F0D49469-402A-4CB9-9265-2056A71C9CB5}"/>
    <cellStyle name="Millares [0] 5 3 2 7" xfId="9835" xr:uid="{9446A8EA-AD3E-4EAA-8A46-CC53559C8BEC}"/>
    <cellStyle name="Millares [0] 5 3 2 7 2" xfId="44995" xr:uid="{A4671D1E-BF6B-41B1-AC1E-D3AA278C18F2}"/>
    <cellStyle name="Millares [0] 5 3 2 8" xfId="12675" xr:uid="{67B92039-B51E-43BE-B6D6-4FA053D1E512}"/>
    <cellStyle name="Millares [0] 5 3 2 9" xfId="16018" xr:uid="{78345287-CF7D-4457-AD29-7429D5E6B17B}"/>
    <cellStyle name="Millares [0] 5 3 20" xfId="50333" xr:uid="{0F2CA107-A859-4488-A8BB-E209D04027C7}"/>
    <cellStyle name="Millares [0] 5 3 3" xfId="403" xr:uid="{00000000-0005-0000-0000-000069010000}"/>
    <cellStyle name="Millares [0] 5 3 3 10" xfId="17217" xr:uid="{036A7ED8-01E9-4A0E-B405-139C1908A48C}"/>
    <cellStyle name="Millares [0] 5 3 3 11" xfId="24507" xr:uid="{B938A331-D9CF-48AA-A0DA-0F345320E8FE}"/>
    <cellStyle name="Millares [0] 5 3 3 12" xfId="17935" xr:uid="{F09D59A3-1F24-4BDD-9714-58F8CC83FDA4}"/>
    <cellStyle name="Millares [0] 5 3 3 13" xfId="42711" xr:uid="{922325F4-5DA0-46A4-A8B8-AD7ABDCFDB03}"/>
    <cellStyle name="Millares [0] 5 3 3 14" xfId="47604" xr:uid="{023A5C91-85B0-4E32-9581-ED062FD69BE3}"/>
    <cellStyle name="Millares [0] 5 3 3 2" xfId="2220" xr:uid="{49777C98-6C1D-4BA5-A179-28229AE5FD67}"/>
    <cellStyle name="Millares [0] 5 3 3 2 2" xfId="10491" xr:uid="{A21B90A0-D2DD-45E7-8051-DB17548325F7}"/>
    <cellStyle name="Millares [0] 5 3 3 2 2 2" xfId="45651" xr:uid="{75304216-B845-48EF-B260-5221B113E81B}"/>
    <cellStyle name="Millares [0] 5 3 3 2 3" xfId="13331" xr:uid="{48874A0D-D28B-4484-833A-6414F475E0F3}"/>
    <cellStyle name="Millares [0] 5 3 3 2 4" xfId="43255" xr:uid="{AD2B2C24-661A-4908-8C10-2EB81F72A562}"/>
    <cellStyle name="Millares [0] 5 3 3 2 5" xfId="48148" xr:uid="{D5B64D79-BB3E-4F41-8F8E-FC4308899227}"/>
    <cellStyle name="Millares [0] 5 3 3 3" xfId="2638" xr:uid="{1A680380-A102-4B9E-B176-37C968A11506}"/>
    <cellStyle name="Millares [0] 5 3 3 3 2" xfId="10909" xr:uid="{C5B99AFF-341D-42F0-BF47-B253EE131B1E}"/>
    <cellStyle name="Millares [0] 5 3 3 3 2 2" xfId="46069" xr:uid="{DB00129C-B8B6-459D-BE2F-F33CD950F8F8}"/>
    <cellStyle name="Millares [0] 5 3 3 3 3" xfId="13749" xr:uid="{C92EBBDC-BB97-4377-A8EA-DD4D29D4BEEB}"/>
    <cellStyle name="Millares [0] 5 3 3 3 4" xfId="43673" xr:uid="{D07C6180-F2BE-496B-A79F-CA98CFD5C7A6}"/>
    <cellStyle name="Millares [0] 5 3 3 3 5" xfId="48566" xr:uid="{FDFEAAE4-096F-4EDE-BA55-5E304BDDF6F9}"/>
    <cellStyle name="Millares [0] 5 3 3 4" xfId="3182" xr:uid="{01A5DD5C-08FB-42F3-B5D0-83B565513135}"/>
    <cellStyle name="Millares [0] 5 3 3 4 2" xfId="11453" xr:uid="{E4FF78CC-33ED-4CCB-90FA-BD3DBC69A64D}"/>
    <cellStyle name="Millares [0] 5 3 3 4 2 2" xfId="46613" xr:uid="{63CBA159-077B-45A3-8D52-D6232F25E741}"/>
    <cellStyle name="Millares [0] 5 3 3 4 3" xfId="14293" xr:uid="{FD857B2A-E0D3-44C2-AB90-8733C4D4C129}"/>
    <cellStyle name="Millares [0] 5 3 3 4 4" xfId="44217" xr:uid="{C5E03306-40FB-4E2F-A1AB-469470625DBA}"/>
    <cellStyle name="Millares [0] 5 3 3 4 5" xfId="49110" xr:uid="{3FE3402F-2D15-4C80-94E0-C05904A874BC}"/>
    <cellStyle name="Millares [0] 5 3 3 5" xfId="3684" xr:uid="{D6807785-BC29-4AA7-944B-23F9E63E89C3}"/>
    <cellStyle name="Millares [0] 5 3 3 5 2" xfId="11925" xr:uid="{7D0D088F-24D7-4AFF-A7BB-0F24CB00785E}"/>
    <cellStyle name="Millares [0] 5 3 3 5 3" xfId="14765" xr:uid="{17643404-CF86-4AE7-819B-98128586C04B}"/>
    <cellStyle name="Millares [0] 5 3 3 5 4" xfId="44689" xr:uid="{CB0476D7-93BD-4B82-8C13-067E0B890171}"/>
    <cellStyle name="Millares [0] 5 3 3 5 5" xfId="49582" xr:uid="{D2F2E9B1-3257-4015-8284-C3B651BB0640}"/>
    <cellStyle name="Millares [0] 5 3 3 6" xfId="9947" xr:uid="{4CF7D65A-7548-48F3-9AF3-DC711F101FA5}"/>
    <cellStyle name="Millares [0] 5 3 3 6 2" xfId="45107" xr:uid="{A4B79A36-9F50-4838-97AE-7D12943C4494}"/>
    <cellStyle name="Millares [0] 5 3 3 7" xfId="12787" xr:uid="{4C670DCB-CA26-4FC8-91CF-67D56579A755}"/>
    <cellStyle name="Millares [0] 5 3 3 8" xfId="16130" xr:uid="{31C040D4-F7F0-4BFB-AC25-142E62D1948C}"/>
    <cellStyle name="Millares [0] 5 3 3 9" xfId="16673" xr:uid="{A70D5309-8D1E-422F-B0BC-81099080BA87}"/>
    <cellStyle name="Millares [0] 5 3 4" xfId="606" xr:uid="{00000000-0005-0000-0000-00006A010000}"/>
    <cellStyle name="Millares [0] 5 3 4 10" xfId="42913" xr:uid="{A91CC80B-8A6E-4172-B6D8-B49626D4E984}"/>
    <cellStyle name="Millares [0] 5 3 4 11" xfId="47806" xr:uid="{1CD718A8-A9E8-4D4C-B4C3-7F22DA089154}"/>
    <cellStyle name="Millares [0] 5 3 4 2" xfId="2840" xr:uid="{5E2CDE94-35D0-4380-9003-C31CEBC5BC5A}"/>
    <cellStyle name="Millares [0] 5 3 4 2 2" xfId="11111" xr:uid="{FE67B95D-8FCF-481D-92DD-30651203C802}"/>
    <cellStyle name="Millares [0] 5 3 4 2 2 2" xfId="46271" xr:uid="{597B9C75-B2C1-42CC-8DFE-0330F07EA639}"/>
    <cellStyle name="Millares [0] 5 3 4 2 3" xfId="13951" xr:uid="{85DECA15-BE3A-4BCC-9498-01ECAD183D6B}"/>
    <cellStyle name="Millares [0] 5 3 4 2 4" xfId="43875" xr:uid="{EC925B73-6C2D-46E3-B7EC-1FE815E7C213}"/>
    <cellStyle name="Millares [0] 5 3 4 2 5" xfId="48768" xr:uid="{93348255-D421-41D7-94ED-6DCBF8C924FC}"/>
    <cellStyle name="Millares [0] 5 3 4 3" xfId="10149" xr:uid="{63416D04-CD95-44F1-9A2A-10B077E8C196}"/>
    <cellStyle name="Millares [0] 5 3 4 3 2" xfId="45309" xr:uid="{7E3D209F-DEDB-4831-AC6E-9A0BEDAB9700}"/>
    <cellStyle name="Millares [0] 5 3 4 4" xfId="12989" xr:uid="{B7C37644-9BF9-4C67-B2F1-ABFC465D73DF}"/>
    <cellStyle name="Millares [0] 5 3 4 5" xfId="16332" xr:uid="{89DC6055-D0C4-4917-9529-1C6498795995}"/>
    <cellStyle name="Millares [0] 5 3 4 6" xfId="16875" xr:uid="{7991B64A-EE46-4809-8B33-156994DF3758}"/>
    <cellStyle name="Millares [0] 5 3 4 7" xfId="17419" xr:uid="{F6F48F90-E30E-4452-AA3A-ED4E3599283A}"/>
    <cellStyle name="Millares [0] 5 3 4 8" xfId="30386" xr:uid="{F8C2FEA2-7565-4C7D-BA27-887CB93D51CA}"/>
    <cellStyle name="Millares [0] 5 3 4 9" xfId="17732" xr:uid="{C1574D84-A5E2-4083-B1ED-35F91BDB63FB}"/>
    <cellStyle name="Millares [0] 5 3 5" xfId="2004" xr:uid="{8A68571E-9AFE-4EA2-923C-42F84885B9B1}"/>
    <cellStyle name="Millares [0] 5 3 5 2" xfId="10275" xr:uid="{214AAC84-2F8D-4890-877D-4D1DC974AF10}"/>
    <cellStyle name="Millares [0] 5 3 5 2 2" xfId="45435" xr:uid="{09E1C138-4D40-461A-9C8F-4D8664E84A0F}"/>
    <cellStyle name="Millares [0] 5 3 5 3" xfId="13115" xr:uid="{09FAB0F2-C458-4D7D-8C70-564E7BBF3B52}"/>
    <cellStyle name="Millares [0] 5 3 5 4" xfId="36267" xr:uid="{E9D2E78A-1378-41C4-80FA-E6BA6C265944}"/>
    <cellStyle name="Millares [0] 5 3 5 5" xfId="43039" xr:uid="{1EC65CAA-0B69-42C3-B9AF-E0749C6D2FE7}"/>
    <cellStyle name="Millares [0] 5 3 5 6" xfId="47932" xr:uid="{9D6347DD-1C8A-4F25-B205-89FA288BB5AA}"/>
    <cellStyle name="Millares [0] 5 3 6" xfId="2422" xr:uid="{872A5840-E7CC-4B56-A336-BCE9666B9B6A}"/>
    <cellStyle name="Millares [0] 5 3 6 2" xfId="10693" xr:uid="{37412FFB-6C9E-49EF-9E90-FCB323342135}"/>
    <cellStyle name="Millares [0] 5 3 6 2 2" xfId="45853" xr:uid="{E1A6A913-E60D-4B7E-A129-E02F14D2CEE4}"/>
    <cellStyle name="Millares [0] 5 3 6 3" xfId="13533" xr:uid="{B1E85595-7B19-4042-B251-49222DD7D196}"/>
    <cellStyle name="Millares [0] 5 3 6 4" xfId="43457" xr:uid="{6271FBD4-A640-4385-9355-8C0ABCF77120}"/>
    <cellStyle name="Millares [0] 5 3 6 5" xfId="48350" xr:uid="{976C1BFF-2107-4F2A-8C0B-BCEA94665678}"/>
    <cellStyle name="Millares [0] 5 3 7" xfId="2966" xr:uid="{EAF28AFF-1A14-41B6-888C-80E8BF481F85}"/>
    <cellStyle name="Millares [0] 5 3 7 2" xfId="11237" xr:uid="{F428A364-0EC6-4F36-8A5B-FC878A26F295}"/>
    <cellStyle name="Millares [0] 5 3 7 2 2" xfId="46397" xr:uid="{E933886B-6BC8-4EA6-ACC8-963AE9371210}"/>
    <cellStyle name="Millares [0] 5 3 7 3" xfId="14077" xr:uid="{9437A1DF-2C84-41DE-995E-5C3B429ED68D}"/>
    <cellStyle name="Millares [0] 5 3 7 4" xfId="44001" xr:uid="{906219EE-FE98-46CB-8D23-096668017CF5}"/>
    <cellStyle name="Millares [0] 5 3 7 5" xfId="48894" xr:uid="{112FBF34-04C8-4DA6-A699-C10980C616D1}"/>
    <cellStyle name="Millares [0] 5 3 8" xfId="3468" xr:uid="{F8620692-9924-4982-9419-161F4376357B}"/>
    <cellStyle name="Millares [0] 5 3 8 2" xfId="11709" xr:uid="{9EB4EE1E-F7A6-46D2-9E04-A7D07627D2DF}"/>
    <cellStyle name="Millares [0] 5 3 8 3" xfId="14549" xr:uid="{A9B33EDE-23F7-43C1-B415-F2242A5F4DA8}"/>
    <cellStyle name="Millares [0] 5 3 8 4" xfId="44473" xr:uid="{4075FF95-0367-4A2B-B15C-90D9184ECA66}"/>
    <cellStyle name="Millares [0] 5 3 8 5" xfId="49366" xr:uid="{A3BBCC50-C5FA-4C52-86CC-6639EA2110FA}"/>
    <cellStyle name="Millares [0] 5 3 9" xfId="4264" xr:uid="{457F7786-C39A-4976-8BD9-138D096E586F}"/>
    <cellStyle name="Millares [0] 5 3 9 2" xfId="12120" xr:uid="{4A188E19-42DF-4E07-82B6-5C41BBB03913}"/>
    <cellStyle name="Millares [0] 5 3 9 3" xfId="14961" xr:uid="{AFB3A090-E2F7-43FC-A9C5-157E38D4B3AB}"/>
    <cellStyle name="Millares [0] 5 3 9 4" xfId="44891" xr:uid="{C5C9F6B1-796A-4DA7-94B0-392B098C10B0}"/>
    <cellStyle name="Millares [0] 5 3 9 5" xfId="49777" xr:uid="{BBE7B20D-121F-4C52-9336-CEED2E5DDB9C}"/>
    <cellStyle name="Millares [0] 5 4" xfId="155" xr:uid="{00000000-0005-0000-0000-00006B010000}"/>
    <cellStyle name="Millares [0] 5 4 10" xfId="9723" xr:uid="{0D42D842-5605-4F6A-82C3-685DBFB55E3D}"/>
    <cellStyle name="Millares [0] 5 4 11" xfId="12563" xr:uid="{2973FE2E-74CE-4ABF-985C-098E918DCE39}"/>
    <cellStyle name="Millares [0] 5 4 12" xfId="15409" xr:uid="{DFE83EC1-BC21-4D74-BE72-9549649B0AC6}"/>
    <cellStyle name="Millares [0] 5 4 13" xfId="15906" xr:uid="{9C27ABB8-BD9C-4701-99B9-253D798DC2F5}"/>
    <cellStyle name="Millares [0] 5 4 14" xfId="16449" xr:uid="{A706AC55-239A-424D-8815-0ECF46B6E92A}"/>
    <cellStyle name="Millares [0] 5 4 15" xfId="16993" xr:uid="{528DFC6E-A15A-438D-854A-77F1CD425438}"/>
    <cellStyle name="Millares [0] 5 4 16" xfId="17577" xr:uid="{DCDFC26F-5590-4073-A95B-4E0E8394C139}"/>
    <cellStyle name="Millares [0] 5 4 17" xfId="42487" xr:uid="{228BF684-EC88-4EEB-A261-5E1FB853310A}"/>
    <cellStyle name="Millares [0] 5 4 18" xfId="47380" xr:uid="{38F2CE99-238D-45A1-B08A-76ED3095C608}"/>
    <cellStyle name="Millares [0] 5 4 2" xfId="269" xr:uid="{00000000-0005-0000-0000-00006C010000}"/>
    <cellStyle name="Millares [0] 5 4 2 10" xfId="15446" xr:uid="{86F7E530-056C-43F5-AE55-3155809F3334}"/>
    <cellStyle name="Millares [0] 5 4 2 11" xfId="16010" xr:uid="{F195760F-D9CE-42DA-AC08-661AB893FAFD}"/>
    <cellStyle name="Millares [0] 5 4 2 12" xfId="16553" xr:uid="{59006789-D5F9-4DB1-B8CF-6B41EA253C6D}"/>
    <cellStyle name="Millares [0] 5 4 2 13" xfId="17097" xr:uid="{5DEEF22B-EBC5-4FF9-9E3E-62245160E8B7}"/>
    <cellStyle name="Millares [0] 5 4 2 14" xfId="17638" xr:uid="{47BFD0AD-1C48-4C35-AB75-D415761387A8}"/>
    <cellStyle name="Millares [0] 5 4 2 15" xfId="42591" xr:uid="{805E06A7-FA7A-40B4-8D5B-48D10769144E}"/>
    <cellStyle name="Millares [0] 5 4 2 16" xfId="47484" xr:uid="{40571410-CE75-4BD4-853C-59FC0178CDAF}"/>
    <cellStyle name="Millares [0] 5 4 2 2" xfId="496" xr:uid="{00000000-0005-0000-0000-00006D010000}"/>
    <cellStyle name="Millares [0] 5 4 2 2 10" xfId="16222" xr:uid="{E18D414A-E7D2-42FD-A992-1901394DD1D1}"/>
    <cellStyle name="Millares [0] 5 4 2 2 11" xfId="16765" xr:uid="{D3A8B6E6-3814-415C-B9D6-305D23A63E81}"/>
    <cellStyle name="Millares [0] 5 4 2 2 12" xfId="17309" xr:uid="{930A8AF6-39A3-4A88-AB94-045284AFD1D0}"/>
    <cellStyle name="Millares [0] 5 4 2 2 13" xfId="17773" xr:uid="{4B872F2C-4AF6-436A-9E1A-62090EE76720}"/>
    <cellStyle name="Millares [0] 5 4 2 2 14" xfId="42803" xr:uid="{DFAC5EF3-5A7A-4EC1-99D8-BA341DF1DEEE}"/>
    <cellStyle name="Millares [0] 5 4 2 2 15" xfId="47696" xr:uid="{88FBBFBF-EAA2-41D0-8B88-A5A367526BF6}"/>
    <cellStyle name="Millares [0] 5 4 2 2 2" xfId="2312" xr:uid="{0C978780-2A8B-44FA-B497-08C9013C7FF3}"/>
    <cellStyle name="Millares [0] 5 4 2 2 2 2" xfId="8596" xr:uid="{285547A2-311F-4591-832F-722C13DAA072}"/>
    <cellStyle name="Millares [0] 5 4 2 2 2 2 2" xfId="12418" xr:uid="{72D41936-99C2-447A-91BE-37D948657689}"/>
    <cellStyle name="Millares [0] 5 4 2 2 2 2 2 2" xfId="41995" xr:uid="{E10BABDB-59F9-4327-97D5-9FCDB7CC31FA}"/>
    <cellStyle name="Millares [0] 5 4 2 2 2 2 3" xfId="15259" xr:uid="{09990803-FFB7-48EB-949A-E35E26DEBB37}"/>
    <cellStyle name="Millares [0] 5 4 2 2 2 2 4" xfId="22968" xr:uid="{A3B27B83-153C-45D7-95EE-0F0A4A93415E}"/>
    <cellStyle name="Millares [0] 5 4 2 2 2 2 5" xfId="45743" xr:uid="{F0C85124-E075-4A2F-95F3-49AE803C3ACA}"/>
    <cellStyle name="Millares [0] 5 4 2 2 2 2 6" xfId="50075" xr:uid="{66BCC183-A844-45A3-AD65-D0DC8ABE211A}"/>
    <cellStyle name="Millares [0] 5 4 2 2 2 3" xfId="10583" xr:uid="{284964F6-F44F-4280-BA8A-0BD9B2B61636}"/>
    <cellStyle name="Millares [0] 5 4 2 2 2 3 2" xfId="28829" xr:uid="{3A94471E-33B0-4975-BCFD-1C1CBFFAD33F}"/>
    <cellStyle name="Millares [0] 5 4 2 2 2 4" xfId="13423" xr:uid="{0A328963-981E-4A6E-9B0A-37126DF089D1}"/>
    <cellStyle name="Millares [0] 5 4 2 2 2 4 2" xfId="34711" xr:uid="{6BE5ED85-D1FA-4EA2-9219-D613B461A676}"/>
    <cellStyle name="Millares [0] 5 4 2 2 2 5" xfId="15707" xr:uid="{560B7A48-A55A-407D-BB08-8EC5078763F1}"/>
    <cellStyle name="Millares [0] 5 4 2 2 2 5 2" xfId="40575" xr:uid="{22A0E55F-08B1-4B8E-A70C-7D1652E954C8}"/>
    <cellStyle name="Millares [0] 5 4 2 2 2 6" xfId="18158" xr:uid="{AAFD4345-48C7-49E9-BEA3-40806355C4C8}"/>
    <cellStyle name="Millares [0] 5 4 2 2 2 7" xfId="43347" xr:uid="{C160C9AA-CEDB-4B7B-990C-56B70CE68617}"/>
    <cellStyle name="Millares [0] 5 4 2 2 2 8" xfId="48240" xr:uid="{1CC522FF-256F-4914-9F31-C65DC2F62E07}"/>
    <cellStyle name="Millares [0] 5 4 2 2 3" xfId="2730" xr:uid="{24C76813-814E-44FC-9DF1-ADA329E4454D}"/>
    <cellStyle name="Millares [0] 5 4 2 2 3 2" xfId="11001" xr:uid="{8018CB74-FBAC-4BE1-B4CF-9EE7243C75D0}"/>
    <cellStyle name="Millares [0] 5 4 2 2 3 2 2" xfId="41808" xr:uid="{A15484F5-8E31-4F06-9D14-903788C6042C}"/>
    <cellStyle name="Millares [0] 5 4 2 2 3 2 3" xfId="46161" xr:uid="{8D3A240E-4A6D-4783-8617-1D2BCA81E21D}"/>
    <cellStyle name="Millares [0] 5 4 2 2 3 3" xfId="13841" xr:uid="{AB1F4981-989A-431A-97A8-FDAA9F9C1662}"/>
    <cellStyle name="Millares [0] 5 4 2 2 3 4" xfId="20185" xr:uid="{2C753D60-5030-4222-936D-E4BAE8643705}"/>
    <cellStyle name="Millares [0] 5 4 2 2 3 5" xfId="43765" xr:uid="{73FD181F-B92E-499E-B516-9C707A3DBF86}"/>
    <cellStyle name="Millares [0] 5 4 2 2 3 6" xfId="48658" xr:uid="{278AFD01-1FC0-4B07-890B-2A808D4B0A5C}"/>
    <cellStyle name="Millares [0] 5 4 2 2 4" xfId="3274" xr:uid="{E85FFD1B-C555-433E-9DD5-7EB34E46EF15}"/>
    <cellStyle name="Millares [0] 5 4 2 2 4 2" xfId="11545" xr:uid="{4CD90EC8-A248-4316-BA45-3BF83F840722}"/>
    <cellStyle name="Millares [0] 5 4 2 2 4 2 2" xfId="46705" xr:uid="{2C5A9804-FDB3-4FB0-8B17-845FC5923345}"/>
    <cellStyle name="Millares [0] 5 4 2 2 4 3" xfId="14385" xr:uid="{49FC4B4F-8E61-4723-AC17-BA3D28EDA511}"/>
    <cellStyle name="Millares [0] 5 4 2 2 4 4" xfId="25979" xr:uid="{68AD5D1E-ADD9-4BE9-A1AF-3F9BE5B79FF6}"/>
    <cellStyle name="Millares [0] 5 4 2 2 4 5" xfId="44309" xr:uid="{081BD7BA-38A3-4443-B6A2-0B22725F26E6}"/>
    <cellStyle name="Millares [0] 5 4 2 2 4 6" xfId="49202" xr:uid="{93FF93AF-7C95-4383-ADCE-66FA771CC294}"/>
    <cellStyle name="Millares [0] 5 4 2 2 5" xfId="3776" xr:uid="{61E4F32C-58AC-41FA-882C-7E6AF9BE8A4E}"/>
    <cellStyle name="Millares [0] 5 4 2 2 5 2" xfId="12017" xr:uid="{DFCF5F04-9B34-47F9-B51E-17497EA0513E}"/>
    <cellStyle name="Millares [0] 5 4 2 2 5 3" xfId="14857" xr:uid="{49AB7195-DCC6-4DA7-972F-91C90B188197}"/>
    <cellStyle name="Millares [0] 5 4 2 2 5 4" xfId="31854" xr:uid="{6F594E4C-1D84-4669-B3CF-DD4307317FF8}"/>
    <cellStyle name="Millares [0] 5 4 2 2 5 5" xfId="44781" xr:uid="{16F88782-E63B-4C73-8D16-8E281A38AB97}"/>
    <cellStyle name="Millares [0] 5 4 2 2 5 6" xfId="49674" xr:uid="{A612FB1F-FA36-4B51-8437-01C035611FAE}"/>
    <cellStyle name="Millares [0] 5 4 2 2 6" xfId="5728" xr:uid="{099218D9-9AEA-45C5-B089-C8181F9E8570}"/>
    <cellStyle name="Millares [0] 5 4 2 2 6 2" xfId="12231" xr:uid="{78001C30-3159-407B-A6C8-6E3108B1E11B}"/>
    <cellStyle name="Millares [0] 5 4 2 2 6 3" xfId="15072" xr:uid="{D2BFB279-AC8C-4946-B197-B340C7E8E67B}"/>
    <cellStyle name="Millares [0] 5 4 2 2 6 4" xfId="37721" xr:uid="{FBF1D33B-A9F2-4EEB-8F58-9D3070FA482B}"/>
    <cellStyle name="Millares [0] 5 4 2 2 6 5" xfId="45199" xr:uid="{5002B958-C1AD-425F-B2FA-6662FA9113DD}"/>
    <cellStyle name="Millares [0] 5 4 2 2 6 6" xfId="49888" xr:uid="{5BD8F8F2-FCC4-44ED-835E-B7135F738252}"/>
    <cellStyle name="Millares [0] 5 4 2 2 7" xfId="10039" xr:uid="{832FC57F-3469-4EF5-AEFF-6043B2C80485}"/>
    <cellStyle name="Millares [0] 5 4 2 2 8" xfId="12879" xr:uid="{4596280A-C6DB-4EB7-B3A6-9BB330D8C828}"/>
    <cellStyle name="Millares [0] 5 4 2 2 9" xfId="15519" xr:uid="{68D51EBD-D72C-4E8E-89D2-413B9313C2C8}"/>
    <cellStyle name="Millares [0] 5 4 2 3" xfId="2100" xr:uid="{1B23CB46-8855-4089-9B50-BB650AD2D6F0}"/>
    <cellStyle name="Millares [0] 5 4 2 3 2" xfId="7624" xr:uid="{FEFAAB34-8AAB-4D48-8CE0-F7277D1AAE26}"/>
    <cellStyle name="Millares [0] 5 4 2 3 2 2" xfId="12346" xr:uid="{91B36A17-6842-4903-8304-37A92AA67B1B}"/>
    <cellStyle name="Millares [0] 5 4 2 3 2 2 2" xfId="41923" xr:uid="{4D6F9CB2-160E-4F7D-BB93-91F8C4035D64}"/>
    <cellStyle name="Millares [0] 5 4 2 3 2 3" xfId="15187" xr:uid="{8BA513ED-12CF-42AD-8275-9E5E919071D4}"/>
    <cellStyle name="Millares [0] 5 4 2 3 2 4" xfId="22018" xr:uid="{EC85E2CD-376A-4FEF-9D89-08000FE27B06}"/>
    <cellStyle name="Millares [0] 5 4 2 3 2 5" xfId="45531" xr:uid="{013ED80B-B0D6-43A7-8586-888BBF3A7355}"/>
    <cellStyle name="Millares [0] 5 4 2 3 2 6" xfId="50003" xr:uid="{739C564D-7935-46E7-957D-4A5E06869BC4}"/>
    <cellStyle name="Millares [0] 5 4 2 3 3" xfId="10371" xr:uid="{9F06EF9B-2AB2-4640-8B4F-11AA42ADE385}"/>
    <cellStyle name="Millares [0] 5 4 2 3 3 2" xfId="27858" xr:uid="{646F810E-8585-4377-BD1F-A68852CAC10E}"/>
    <cellStyle name="Millares [0] 5 4 2 3 4" xfId="13211" xr:uid="{F7A1831F-8577-429E-96BF-96BA46ED5301}"/>
    <cellStyle name="Millares [0] 5 4 2 3 4 2" xfId="33740" xr:uid="{6AF34A54-104F-4B64-B5E6-17D0BFC9665B}"/>
    <cellStyle name="Millares [0] 5 4 2 3 5" xfId="15634" xr:uid="{56A63A80-4ACB-4882-94FA-E6C4EBDD32F5}"/>
    <cellStyle name="Millares [0] 5 4 2 3 5 2" xfId="39604" xr:uid="{08117304-1A68-4541-992B-5380DA530C65}"/>
    <cellStyle name="Millares [0] 5 4 2 3 6" xfId="18020" xr:uid="{73C31CBE-B390-4E2A-8D21-DC50D3253B83}"/>
    <cellStyle name="Millares [0] 5 4 2 3 7" xfId="43135" xr:uid="{19FDF3A6-0F05-4DE0-A706-BE82A21133FC}"/>
    <cellStyle name="Millares [0] 5 4 2 3 8" xfId="48028" xr:uid="{0C48A0EB-3B0F-4501-9343-927B7DDE3A41}"/>
    <cellStyle name="Millares [0] 5 4 2 4" xfId="2518" xr:uid="{A6AE1770-2351-438E-9085-DEBA1AE2FDA3}"/>
    <cellStyle name="Millares [0] 5 4 2 4 2" xfId="10789" xr:uid="{CDEA68EE-63C8-4FE5-BF33-D09C3CC7B65E}"/>
    <cellStyle name="Millares [0] 5 4 2 4 2 2" xfId="41736" xr:uid="{37ED8219-8620-41A6-94EF-AD30809EB767}"/>
    <cellStyle name="Millares [0] 5 4 2 4 2 3" xfId="45949" xr:uid="{35B6A6F2-2E9B-4539-969C-A0701C4435D6}"/>
    <cellStyle name="Millares [0] 5 4 2 4 3" xfId="13629" xr:uid="{0B77893B-100A-4AD5-A6BB-2D39CA0DEBEE}"/>
    <cellStyle name="Millares [0] 5 4 2 4 4" xfId="19248" xr:uid="{F2C243EA-9003-404C-AB51-15C7AC7EBFAE}"/>
    <cellStyle name="Millares [0] 5 4 2 4 5" xfId="43553" xr:uid="{49771929-F373-4386-811E-6A4F1A15A8A1}"/>
    <cellStyle name="Millares [0] 5 4 2 4 6" xfId="48446" xr:uid="{B3AB947D-6D39-4506-AAE4-6670264BAA21}"/>
    <cellStyle name="Millares [0] 5 4 2 5" xfId="3062" xr:uid="{C4550C8E-9BF0-4BCD-98FC-41B47F79C741}"/>
    <cellStyle name="Millares [0] 5 4 2 5 2" xfId="11333" xr:uid="{A69D7616-C56B-4944-B528-EDB58E5F7F90}"/>
    <cellStyle name="Millares [0] 5 4 2 5 2 2" xfId="46493" xr:uid="{B7170450-2F2F-46C6-90BD-D9B6F5A54BC7}"/>
    <cellStyle name="Millares [0] 5 4 2 5 3" xfId="14173" xr:uid="{17272907-3CCA-46B1-AB1E-F44B6E88B4E2}"/>
    <cellStyle name="Millares [0] 5 4 2 5 4" xfId="25009" xr:uid="{06353686-8C2C-4711-A479-41C1DB8A7DBB}"/>
    <cellStyle name="Millares [0] 5 4 2 5 5" xfId="44097" xr:uid="{89519368-3121-4055-8163-8A0248952318}"/>
    <cellStyle name="Millares [0] 5 4 2 5 6" xfId="48990" xr:uid="{4092A8A0-F719-4354-B13D-421B90D5F68A}"/>
    <cellStyle name="Millares [0] 5 4 2 6" xfId="3564" xr:uid="{F5AF8439-6C48-45A8-8419-E9EA94C92A71}"/>
    <cellStyle name="Millares [0] 5 4 2 6 2" xfId="11805" xr:uid="{ABFEBB78-E209-4BFA-A5ED-5F1B52C9DB2A}"/>
    <cellStyle name="Millares [0] 5 4 2 6 3" xfId="14645" xr:uid="{CA0517A9-274A-4EF6-8B33-BEE9A14A2A3D}"/>
    <cellStyle name="Millares [0] 5 4 2 6 4" xfId="30883" xr:uid="{589708C9-83F9-45A6-903A-25188C48233B}"/>
    <cellStyle name="Millares [0] 5 4 2 6 5" xfId="44569" xr:uid="{D282CB69-96E1-473C-8D1B-1391F3FCE175}"/>
    <cellStyle name="Millares [0] 5 4 2 6 6" xfId="49462" xr:uid="{06D4B2B4-A0A4-47B3-B03E-65F5683D9F65}"/>
    <cellStyle name="Millares [0] 5 4 2 7" xfId="4760" xr:uid="{0CEF3524-0258-44F8-BDFE-77AD5A97D0BE}"/>
    <cellStyle name="Millares [0] 5 4 2 7 2" xfId="12159" xr:uid="{A4906D7F-4BDE-4D77-96FF-A154163A2134}"/>
    <cellStyle name="Millares [0] 5 4 2 7 3" xfId="15000" xr:uid="{564805CE-570A-46FD-8155-136F55EFC004}"/>
    <cellStyle name="Millares [0] 5 4 2 7 4" xfId="36764" xr:uid="{7103EA99-87E5-4AF7-BF4C-DCDEF5C725A4}"/>
    <cellStyle name="Millares [0] 5 4 2 7 5" xfId="44987" xr:uid="{E405D02D-570E-4FD5-A3D2-24B72FE1B58D}"/>
    <cellStyle name="Millares [0] 5 4 2 7 6" xfId="49816" xr:uid="{B95317B9-48C4-4D28-856A-178EE8C8181B}"/>
    <cellStyle name="Millares [0] 5 4 2 8" xfId="9827" xr:uid="{88537669-A58A-4559-A531-B3CDC8A5AC62}"/>
    <cellStyle name="Millares [0] 5 4 2 9" xfId="12667" xr:uid="{9D7A0222-5648-4439-91BA-84E2EE6A85E9}"/>
    <cellStyle name="Millares [0] 5 4 3" xfId="395" xr:uid="{00000000-0005-0000-0000-00006E010000}"/>
    <cellStyle name="Millares [0] 5 4 3 10" xfId="16122" xr:uid="{EBBCCF0A-2D7E-48D5-8C09-26E5BC192340}"/>
    <cellStyle name="Millares [0] 5 4 3 11" xfId="16665" xr:uid="{76E43E22-96B1-4A70-8B45-997E8D52F17F}"/>
    <cellStyle name="Millares [0] 5 4 3 12" xfId="17209" xr:uid="{1E8193AD-A2C0-425E-8379-1C5F8F42760E}"/>
    <cellStyle name="Millares [0] 5 4 3 13" xfId="17707" xr:uid="{8E5E78C1-AC8A-4703-8E9D-A1AB4F6DA4DC}"/>
    <cellStyle name="Millares [0] 5 4 3 14" xfId="42703" xr:uid="{19FAC31E-9FB5-4E92-AED2-E269F2950F02}"/>
    <cellStyle name="Millares [0] 5 4 3 15" xfId="47596" xr:uid="{0D6366B0-3A94-454E-BF25-29F71A4E216B}"/>
    <cellStyle name="Millares [0] 5 4 3 2" xfId="2212" xr:uid="{04AF5A90-F15C-4F9B-AF5B-92D7210C279B}"/>
    <cellStyle name="Millares [0] 5 4 3 2 2" xfId="8111" xr:uid="{718019B3-77B8-476F-8D19-36E58ADDA285}"/>
    <cellStyle name="Millares [0] 5 4 3 2 2 2" xfId="12382" xr:uid="{7A369C01-D6AF-44BB-8B4D-C27C4A497B09}"/>
    <cellStyle name="Millares [0] 5 4 3 2 2 2 2" xfId="41959" xr:uid="{7A97ABD5-0753-43A6-8F8C-5AC1E09784DC}"/>
    <cellStyle name="Millares [0] 5 4 3 2 2 3" xfId="15223" xr:uid="{0AFBBFB8-A2A2-4CF2-BD4D-80917DE2D1FB}"/>
    <cellStyle name="Millares [0] 5 4 3 2 2 4" xfId="22489" xr:uid="{A09C8479-7FB1-43EB-8964-E5DC0A87B0F4}"/>
    <cellStyle name="Millares [0] 5 4 3 2 2 5" xfId="45643" xr:uid="{5C17CE9F-ECD1-4607-BBC0-763597767954}"/>
    <cellStyle name="Millares [0] 5 4 3 2 2 6" xfId="50039" xr:uid="{4981A117-2980-4862-BF76-CC5A493E0622}"/>
    <cellStyle name="Millares [0] 5 4 3 2 3" xfId="10483" xr:uid="{287807D2-BD25-438C-9EE6-6FF5B534B796}"/>
    <cellStyle name="Millares [0] 5 4 3 2 3 2" xfId="28344" xr:uid="{FA8EBDE9-9272-4043-B4A7-823FBAB6B036}"/>
    <cellStyle name="Millares [0] 5 4 3 2 4" xfId="13323" xr:uid="{3121BF9A-F52D-4AB6-AF8F-F50C8693BFD6}"/>
    <cellStyle name="Millares [0] 5 4 3 2 4 2" xfId="34226" xr:uid="{B9C951AC-121D-41AD-A453-9696BEC5082B}"/>
    <cellStyle name="Millares [0] 5 4 3 2 5" xfId="15670" xr:uid="{DFE977B0-3DEC-4B16-8CAC-50B6511557DA}"/>
    <cellStyle name="Millares [0] 5 4 3 2 5 2" xfId="40090" xr:uid="{A333F896-BC08-4FEA-BB05-A80DFD6EA95F}"/>
    <cellStyle name="Millares [0] 5 4 3 2 6" xfId="18089" xr:uid="{CF336D5E-8C6F-4C6B-A015-EECB239387F4}"/>
    <cellStyle name="Millares [0] 5 4 3 2 7" xfId="43247" xr:uid="{0B2A0C4B-0B71-4A98-8D23-4A25832812E6}"/>
    <cellStyle name="Millares [0] 5 4 3 2 8" xfId="48140" xr:uid="{0559E737-897C-43AE-8D26-A5FA26FA2F31}"/>
    <cellStyle name="Millares [0] 5 4 3 3" xfId="2630" xr:uid="{46500943-E517-4750-991F-5E548E6A03E7}"/>
    <cellStyle name="Millares [0] 5 4 3 3 2" xfId="10901" xr:uid="{FAE01F3D-2789-4F77-86BD-2762320C1807}"/>
    <cellStyle name="Millares [0] 5 4 3 3 2 2" xfId="41772" xr:uid="{E84DF970-7D01-4ADE-80F1-57112223AF9C}"/>
    <cellStyle name="Millares [0] 5 4 3 3 2 3" xfId="46061" xr:uid="{85409750-D2D8-4251-9F93-6C3E6A2264AF}"/>
    <cellStyle name="Millares [0] 5 4 3 3 3" xfId="13741" xr:uid="{379E398F-D3E8-4A03-AA82-45D4EA7F0D4B}"/>
    <cellStyle name="Millares [0] 5 4 3 3 4" xfId="19714" xr:uid="{63F2A229-B750-4979-9669-CE5617924069}"/>
    <cellStyle name="Millares [0] 5 4 3 3 5" xfId="43665" xr:uid="{5F217E2B-80C4-419B-9EF7-2171A5D4B934}"/>
    <cellStyle name="Millares [0] 5 4 3 3 6" xfId="48558" xr:uid="{CC310FC6-9927-414B-B994-9603A2C71DF5}"/>
    <cellStyle name="Millares [0] 5 4 3 4" xfId="3174" xr:uid="{C2E1D826-3A71-4BAA-9EB6-DDDA91AF056B}"/>
    <cellStyle name="Millares [0] 5 4 3 4 2" xfId="11445" xr:uid="{CA16E436-D081-4B20-8132-0BBBC64E94BC}"/>
    <cellStyle name="Millares [0] 5 4 3 4 2 2" xfId="46605" xr:uid="{199D3E9C-BFEA-4C1C-B19D-E86364C87047}"/>
    <cellStyle name="Millares [0] 5 4 3 4 3" xfId="14285" xr:uid="{33774116-1DBE-48F4-BFEE-E94C2C940262}"/>
    <cellStyle name="Millares [0] 5 4 3 4 4" xfId="25495" xr:uid="{CB22B1B3-E46A-4BDA-B6ED-080F6F33EFEF}"/>
    <cellStyle name="Millares [0] 5 4 3 4 5" xfId="44209" xr:uid="{CCAFC704-30A0-48CD-8A04-AAACD033B065}"/>
    <cellStyle name="Millares [0] 5 4 3 4 6" xfId="49102" xr:uid="{EEB2B8A1-7DA7-4CAC-BAF2-FCD788B37AB9}"/>
    <cellStyle name="Millares [0] 5 4 3 5" xfId="3676" xr:uid="{C03810E4-6E09-483A-B951-CC356F400A37}"/>
    <cellStyle name="Millares [0] 5 4 3 5 2" xfId="11917" xr:uid="{4FD02B3C-ED9D-40F4-8E11-58F5700B3562}"/>
    <cellStyle name="Millares [0] 5 4 3 5 3" xfId="14757" xr:uid="{B5BA2C37-95F6-4E04-925B-35BFF09A93D8}"/>
    <cellStyle name="Millares [0] 5 4 3 5 4" xfId="31369" xr:uid="{2CC71AD0-C0F9-4368-8917-654D33BBC677}"/>
    <cellStyle name="Millares [0] 5 4 3 5 5" xfId="44681" xr:uid="{F4D6093C-BEB4-4A05-B0FC-AA9E08AC95EC}"/>
    <cellStyle name="Millares [0] 5 4 3 5 6" xfId="49574" xr:uid="{63A8A834-39C1-4027-8AB1-F038B1CA5AD2}"/>
    <cellStyle name="Millares [0] 5 4 3 6" xfId="5244" xr:uid="{C092B710-9A01-4134-A848-5B9DC69E7571}"/>
    <cellStyle name="Millares [0] 5 4 3 6 2" xfId="12195" xr:uid="{2B4ADC17-B614-455D-9A23-85F33DC5157E}"/>
    <cellStyle name="Millares [0] 5 4 3 6 3" xfId="15036" xr:uid="{B5470DC3-3D73-471B-AA6D-FF5835926501}"/>
    <cellStyle name="Millares [0] 5 4 3 6 4" xfId="37242" xr:uid="{01B761DB-3C8A-47ED-BF3D-EFFFA649D5BD}"/>
    <cellStyle name="Millares [0] 5 4 3 6 5" xfId="45099" xr:uid="{19BE89C5-DCA7-4A52-8570-F81A7EABE9DC}"/>
    <cellStyle name="Millares [0] 5 4 3 6 6" xfId="49852" xr:uid="{155345E4-BB62-427D-9532-810FCB95B5DA}"/>
    <cellStyle name="Millares [0] 5 4 3 7" xfId="9939" xr:uid="{5CF75518-4B5F-4F91-B978-C4167CDABE97}"/>
    <cellStyle name="Millares [0] 5 4 3 8" xfId="12779" xr:uid="{3DD2F1A9-CD18-4C3A-8C5D-85A8ACA9AAA8}"/>
    <cellStyle name="Millares [0] 5 4 3 9" xfId="15482" xr:uid="{035E8E89-7C01-46B4-99FA-C802810EAEE1}"/>
    <cellStyle name="Millares [0] 5 4 4" xfId="598" xr:uid="{00000000-0005-0000-0000-00006F010000}"/>
    <cellStyle name="Millares [0] 5 4 4 10" xfId="17951" xr:uid="{BCEE9683-184D-4A42-A07D-37E11F3F4FB8}"/>
    <cellStyle name="Millares [0] 5 4 4 11" xfId="42905" xr:uid="{5D7DA9D5-0176-498B-A92B-02AE396F7833}"/>
    <cellStyle name="Millares [0] 5 4 4 12" xfId="47798" xr:uid="{72FD4327-456D-4BCE-8395-A482A3E382F5}"/>
    <cellStyle name="Millares [0] 5 4 4 2" xfId="2832" xr:uid="{C5D047E9-C736-40ED-846C-ECF669A7274B}"/>
    <cellStyle name="Millares [0] 5 4 4 2 2" xfId="11103" xr:uid="{8BC44537-C4DF-4213-80A7-5174B242B753}"/>
    <cellStyle name="Millares [0] 5 4 4 2 2 2" xfId="41887" xr:uid="{90530B39-16D3-47D1-AE49-59F643EFFE99}"/>
    <cellStyle name="Millares [0] 5 4 4 2 2 3" xfId="46263" xr:uid="{0E9B900B-EDC2-4AD9-8C4F-45762D995379}"/>
    <cellStyle name="Millares [0] 5 4 4 2 3" xfId="13943" xr:uid="{F270C6EC-6B7E-4455-8F4C-D4216E760E23}"/>
    <cellStyle name="Millares [0] 5 4 4 2 4" xfId="21550" xr:uid="{010E2ECE-DCAC-4C49-8EB1-2813C05F4641}"/>
    <cellStyle name="Millares [0] 5 4 4 2 5" xfId="43867" xr:uid="{36E638B1-5672-4E7A-83DE-3609CCCEEE8D}"/>
    <cellStyle name="Millares [0] 5 4 4 2 6" xfId="48760" xr:uid="{13026736-31D4-4358-810D-26DA61EC3620}"/>
    <cellStyle name="Millares [0] 5 4 4 3" xfId="7139" xr:uid="{33EDA00B-D5B2-45B8-8ADB-6831E00A7EE9}"/>
    <cellStyle name="Millares [0] 5 4 4 3 2" xfId="12310" xr:uid="{0E882B3D-8ECD-4BD9-AC3A-A1EBC0A50943}"/>
    <cellStyle name="Millares [0] 5 4 4 3 3" xfId="15151" xr:uid="{664281CE-F147-453A-9084-6025DCE816C6}"/>
    <cellStyle name="Millares [0] 5 4 4 3 4" xfId="27374" xr:uid="{D84A0781-F60D-46F5-9D99-C52A8B2FEEFD}"/>
    <cellStyle name="Millares [0] 5 4 4 3 5" xfId="45301" xr:uid="{4700ACB8-C812-47AC-BA6F-8BE599F3E6C7}"/>
    <cellStyle name="Millares [0] 5 4 4 3 6" xfId="49967" xr:uid="{CA168E27-AC92-40C4-899A-F70127D6778E}"/>
    <cellStyle name="Millares [0] 5 4 4 4" xfId="10141" xr:uid="{D21C46B2-060A-4178-89FA-27B174CEF5D1}"/>
    <cellStyle name="Millares [0] 5 4 4 4 2" xfId="33255" xr:uid="{9424A83A-5B57-4281-A184-E550C0C40F18}"/>
    <cellStyle name="Millares [0] 5 4 4 5" xfId="12981" xr:uid="{48AF905B-DA47-4CFF-A7AA-3EDC9FC5B3EC}"/>
    <cellStyle name="Millares [0] 5 4 4 5 2" xfId="39119" xr:uid="{027E7BC4-1359-4478-9EF8-5DF9E0FD836C}"/>
    <cellStyle name="Millares [0] 5 4 4 6" xfId="15598" xr:uid="{94DA9E04-7E75-406B-A8BA-78F2133C82CC}"/>
    <cellStyle name="Millares [0] 5 4 4 7" xfId="16324" xr:uid="{BC1666C3-3503-4CCC-817C-3541EE7A8330}"/>
    <cellStyle name="Millares [0] 5 4 4 8" xfId="16867" xr:uid="{3B90E73A-5884-4020-822D-682907201CA3}"/>
    <cellStyle name="Millares [0] 5 4 4 9" xfId="17411" xr:uid="{793B539F-8C02-4170-AEE1-DC51A86CC31D}"/>
    <cellStyle name="Millares [0] 5 4 5" xfId="1996" xr:uid="{AFD00EFD-B4D6-40B6-8F59-6C0B664CCA4A}"/>
    <cellStyle name="Millares [0] 5 4 5 2" xfId="10267" xr:uid="{1A635BB9-10D7-44E3-8F0D-C7B2EC1DA7A0}"/>
    <cellStyle name="Millares [0] 5 4 5 2 2" xfId="41700" xr:uid="{530EED35-5033-4941-8094-434C915B73D7}"/>
    <cellStyle name="Millares [0] 5 4 5 2 3" xfId="45427" xr:uid="{E3C59586-D631-45B8-AAB9-6AC6D952BDA4}"/>
    <cellStyle name="Millares [0] 5 4 5 3" xfId="13107" xr:uid="{A8F5F3BC-E7B1-4535-87E8-CF7EEC8263CA}"/>
    <cellStyle name="Millares [0] 5 4 5 4" xfId="18791" xr:uid="{0F1B546B-1BD8-47DC-97FE-88C715744B23}"/>
    <cellStyle name="Millares [0] 5 4 5 5" xfId="43031" xr:uid="{DFC73D5B-FBFD-47E4-83D5-CCF1E7BD0D3F}"/>
    <cellStyle name="Millares [0] 5 4 5 6" xfId="47924" xr:uid="{458B813C-02EE-4E33-AFFE-BBCCC8BB7A95}"/>
    <cellStyle name="Millares [0] 5 4 6" xfId="2414" xr:uid="{3140041B-E09C-4DD0-8F36-8F8AA2957555}"/>
    <cellStyle name="Millares [0] 5 4 6 2" xfId="10685" xr:uid="{E76243A0-271C-4602-BEE7-24CB9E244507}"/>
    <cellStyle name="Millares [0] 5 4 6 2 2" xfId="45845" xr:uid="{378BEDD3-C05E-46EB-A78A-78B4F447B12F}"/>
    <cellStyle name="Millares [0] 5 4 6 3" xfId="13525" xr:uid="{E7815718-3FF5-426C-9F7E-A1088AB9ED40}"/>
    <cellStyle name="Millares [0] 5 4 6 4" xfId="24524" xr:uid="{65CB875F-B3BF-4E4B-9D95-D9BF8B15DF70}"/>
    <cellStyle name="Millares [0] 5 4 6 5" xfId="43449" xr:uid="{B86C3EE6-AE69-4646-AF5A-BE0A10CE7C85}"/>
    <cellStyle name="Millares [0] 5 4 6 6" xfId="48342" xr:uid="{975F241D-4661-46C9-8B5C-F61EA32F4FF4}"/>
    <cellStyle name="Millares [0] 5 4 7" xfId="2958" xr:uid="{35661B6B-4AC9-48CF-BCF3-B77322DF8C8E}"/>
    <cellStyle name="Millares [0] 5 4 7 2" xfId="11229" xr:uid="{4857D808-56DB-4211-B096-8F8509D1963D}"/>
    <cellStyle name="Millares [0] 5 4 7 2 2" xfId="46389" xr:uid="{DE987FFE-28EF-4FB2-8055-D8EC9D54F0F2}"/>
    <cellStyle name="Millares [0] 5 4 7 3" xfId="14069" xr:uid="{3841CEEE-250A-4C9D-BBB3-E2BFB3C61AE1}"/>
    <cellStyle name="Millares [0] 5 4 7 4" xfId="30403" xr:uid="{DA9D3062-98B4-4016-9F05-20FA52BE22C7}"/>
    <cellStyle name="Millares [0] 5 4 7 5" xfId="43993" xr:uid="{3D412C54-1AA8-45FE-9F14-6BCF627389FF}"/>
    <cellStyle name="Millares [0] 5 4 7 6" xfId="48886" xr:uid="{0BAB8830-9CFE-4DA6-A67C-A6F8B271B6CA}"/>
    <cellStyle name="Millares [0] 5 4 8" xfId="3460" xr:uid="{19CD8538-6ACB-424E-9A3C-5CFFB97099C2}"/>
    <cellStyle name="Millares [0] 5 4 8 2" xfId="11701" xr:uid="{1F0CCD58-0794-4619-B9F4-7E954585D080}"/>
    <cellStyle name="Millares [0] 5 4 8 3" xfId="14541" xr:uid="{8B0A226C-81E7-44AD-BBBF-CCB4D61CE159}"/>
    <cellStyle name="Millares [0] 5 4 8 4" xfId="36284" xr:uid="{3588770B-AFD9-4B4C-BFE5-B2970782D7D9}"/>
    <cellStyle name="Millares [0] 5 4 8 5" xfId="44465" xr:uid="{3852E340-ACB1-434C-9EA2-1C8495345BC0}"/>
    <cellStyle name="Millares [0] 5 4 8 6" xfId="49358" xr:uid="{0A6109B0-66E9-484C-8EBB-77D15BF2D21B}"/>
    <cellStyle name="Millares [0] 5 4 9" xfId="4278" xr:uid="{367AD26A-F926-4AD0-8A8F-265C2967F458}"/>
    <cellStyle name="Millares [0] 5 4 9 2" xfId="12123" xr:uid="{6DCC9003-1FED-41AE-A147-9F4B4CEE1B2B}"/>
    <cellStyle name="Millares [0] 5 4 9 3" xfId="14964" xr:uid="{0073E3AE-EB0C-4A61-9FD6-2C5E76656F29}"/>
    <cellStyle name="Millares [0] 5 4 9 4" xfId="44883" xr:uid="{6AE50BB5-9CE4-4A9A-BA95-7B5E37BE4D1C}"/>
    <cellStyle name="Millares [0] 5 4 9 5" xfId="49780" xr:uid="{7F0443D3-64A6-4511-BFD8-18C522A4F146}"/>
    <cellStyle name="Millares [0] 5 5" xfId="241" xr:uid="{00000000-0005-0000-0000-000070010000}"/>
    <cellStyle name="Millares [0] 5 5 10" xfId="15982" xr:uid="{4B07F3E2-1AF6-4369-93BD-71E639B42929}"/>
    <cellStyle name="Millares [0] 5 5 11" xfId="16525" xr:uid="{77A4933F-C57D-424B-B770-3CAEF56B9E69}"/>
    <cellStyle name="Millares [0] 5 5 12" xfId="17069" xr:uid="{75B03BD0-605B-40EB-BF4C-1CDC4134F70B}"/>
    <cellStyle name="Millares [0] 5 5 13" xfId="17592" xr:uid="{9E9DFCC7-F6A6-4437-B9D6-927AC5C754E7}"/>
    <cellStyle name="Millares [0] 5 5 14" xfId="42563" xr:uid="{E7DEC845-E6DA-404F-9FC7-27D1FD5445F6}"/>
    <cellStyle name="Millares [0] 5 5 15" xfId="47456" xr:uid="{6FAB9BAB-3BA0-4421-97AA-4D6DF6DFAD29}"/>
    <cellStyle name="Millares [0] 5 5 2" xfId="468" xr:uid="{00000000-0005-0000-0000-000071010000}"/>
    <cellStyle name="Millares [0] 5 5 2 10" xfId="16737" xr:uid="{65C3E728-E475-4023-8139-21816D3A0FCB}"/>
    <cellStyle name="Millares [0] 5 5 2 11" xfId="17281" xr:uid="{6D56EB15-2D82-4DE2-A543-26005E0D4A35}"/>
    <cellStyle name="Millares [0] 5 5 2 12" xfId="22098" xr:uid="{C6C7D257-594E-4DFA-A6A3-EBC46B545685}"/>
    <cellStyle name="Millares [0] 5 5 2 13" xfId="42775" xr:uid="{49B7F1E3-4938-4322-967F-AD8BE4440DBD}"/>
    <cellStyle name="Millares [0] 5 5 2 14" xfId="47668" xr:uid="{3F572535-DB4E-43B6-9028-BF81C3865336}"/>
    <cellStyle name="Millares [0] 5 5 2 2" xfId="2284" xr:uid="{B1AA725D-A349-4A91-AB53-08B717B08BAD}"/>
    <cellStyle name="Millares [0] 5 5 2 2 2" xfId="8141" xr:uid="{F107F820-7C77-4C53-A423-1C9B4DD1B968}"/>
    <cellStyle name="Millares [0] 5 5 2 2 2 2" xfId="45715" xr:uid="{9592997A-FD58-4A94-A52D-A6A14F8F21A0}"/>
    <cellStyle name="Millares [0] 5 5 2 2 3" xfId="10555" xr:uid="{E1C490BA-954E-4D1A-9EDD-668F5DC4BFE6}"/>
    <cellStyle name="Millares [0] 5 5 2 2 3 2" xfId="28374" xr:uid="{C83EDB9F-833B-4479-B6F6-26728A3F668A}"/>
    <cellStyle name="Millares [0] 5 5 2 2 4" xfId="13395" xr:uid="{33EC9F46-8CD8-4177-A62A-E52FEB92D8EE}"/>
    <cellStyle name="Millares [0] 5 5 2 2 4 2" xfId="34256" xr:uid="{1625DA93-98FD-43AC-A7EB-8387720A3046}"/>
    <cellStyle name="Millares [0] 5 5 2 2 5" xfId="40120" xr:uid="{EBC35030-65A6-431A-90B5-818FBE6C1636}"/>
    <cellStyle name="Millares [0] 5 5 2 2 6" xfId="43319" xr:uid="{952E6975-68B5-46BB-BF21-5F8CC83288A6}"/>
    <cellStyle name="Millares [0] 5 5 2 2 7" xfId="48212" xr:uid="{92F19FBF-0ABD-4433-B304-2AD46C3285C0}"/>
    <cellStyle name="Millares [0] 5 5 2 3" xfId="2702" xr:uid="{8DC48C4E-1CF1-447E-B763-D6F418BD7E64}"/>
    <cellStyle name="Millares [0] 5 5 2 3 2" xfId="10973" xr:uid="{3A34649B-55BA-4F39-B54E-02D167BDEB5C}"/>
    <cellStyle name="Millares [0] 5 5 2 3 2 2" xfId="46133" xr:uid="{A3A87B3F-AC27-4CE9-9646-5A543036950B}"/>
    <cellStyle name="Millares [0] 5 5 2 3 3" xfId="13813" xr:uid="{B6922695-4099-4976-BDE4-EF47BD6C297D}"/>
    <cellStyle name="Millares [0] 5 5 2 3 4" xfId="19743" xr:uid="{DCD15A3A-B127-40BA-B5CC-52E2AB5DFE9B}"/>
    <cellStyle name="Millares [0] 5 5 2 3 5" xfId="43737" xr:uid="{2314D5AF-7092-4075-83DF-F7B2F003B61B}"/>
    <cellStyle name="Millares [0] 5 5 2 3 6" xfId="48630" xr:uid="{8B276B06-FE1E-4B19-AE5A-2871E4A5183A}"/>
    <cellStyle name="Millares [0] 5 5 2 4" xfId="3246" xr:uid="{0BEB45C2-5A95-44EB-B9DF-116064885D45}"/>
    <cellStyle name="Millares [0] 5 5 2 4 2" xfId="11517" xr:uid="{283E0665-8E2E-442F-AA24-0329CC909F9F}"/>
    <cellStyle name="Millares [0] 5 5 2 4 2 2" xfId="46677" xr:uid="{F23B091F-6CF7-42BC-8B1B-432C1DB921F0}"/>
    <cellStyle name="Millares [0] 5 5 2 4 3" xfId="14357" xr:uid="{A5FD281B-7933-43CA-A41A-3961827CA529}"/>
    <cellStyle name="Millares [0] 5 5 2 4 4" xfId="25525" xr:uid="{EB6FF927-6DEE-4054-8675-F590A665A042}"/>
    <cellStyle name="Millares [0] 5 5 2 4 5" xfId="44281" xr:uid="{ABE0C4F5-637D-4A8F-8702-7AEF67B8F7AF}"/>
    <cellStyle name="Millares [0] 5 5 2 4 6" xfId="49174" xr:uid="{EAEDBC5B-64AE-44D5-BD5C-3297BE3C9C6A}"/>
    <cellStyle name="Millares [0] 5 5 2 5" xfId="3748" xr:uid="{227F8067-1530-479A-B0EB-6DBF05C61676}"/>
    <cellStyle name="Millares [0] 5 5 2 5 2" xfId="11989" xr:uid="{441A8F9D-3324-4EFF-869E-E9CCC050EDCA}"/>
    <cellStyle name="Millares [0] 5 5 2 5 3" xfId="14829" xr:uid="{C1E0D41E-6BEC-4A9C-AD5D-969B43689764}"/>
    <cellStyle name="Millares [0] 5 5 2 5 4" xfId="31399" xr:uid="{EBA227B7-B2C7-4273-9060-2F5FF5386446}"/>
    <cellStyle name="Millares [0] 5 5 2 5 5" xfId="44753" xr:uid="{F42D3624-6975-4EAF-A3B7-4321F95D2730}"/>
    <cellStyle name="Millares [0] 5 5 2 5 6" xfId="49646" xr:uid="{56ADE569-5603-45C1-A2FC-DA8DD83562B3}"/>
    <cellStyle name="Millares [0] 5 5 2 6" xfId="5274" xr:uid="{3103FA8A-3023-4EB1-95ED-DBD391AC3BF1}"/>
    <cellStyle name="Millares [0] 5 5 2 6 2" xfId="45171" xr:uid="{483F20C8-329F-4308-835D-38EF8985206E}"/>
    <cellStyle name="Millares [0] 5 5 2 7" xfId="10011" xr:uid="{AA09F96D-E6F1-4478-AF13-0B55B2A52189}"/>
    <cellStyle name="Millares [0] 5 5 2 8" xfId="12851" xr:uid="{FE3668A9-07D0-4743-AC6A-A3A63995C517}"/>
    <cellStyle name="Millares [0] 5 5 2 9" xfId="16194" xr:uid="{9D3FA257-D640-45B2-B4D0-77DE313B2CFB}"/>
    <cellStyle name="Millares [0] 5 5 3" xfId="2072" xr:uid="{64593A87-750C-4B0A-988B-15331B4CBF3B}"/>
    <cellStyle name="Millares [0] 5 5 3 2" xfId="7169" xr:uid="{C206403F-99AF-43AD-B82F-3A48ACCAE68B}"/>
    <cellStyle name="Millares [0] 5 5 3 2 2" xfId="45503" xr:uid="{7B4DC9EC-588E-4C96-ABA0-8F52536C2346}"/>
    <cellStyle name="Millares [0] 5 5 3 3" xfId="10343" xr:uid="{64D2C098-4A6E-490B-B497-41732DF221D1}"/>
    <cellStyle name="Millares [0] 5 5 3 3 2" xfId="27403" xr:uid="{D66A8B97-2DA3-4A33-92B5-34717EFD9770}"/>
    <cellStyle name="Millares [0] 5 5 3 4" xfId="13183" xr:uid="{CA998BB2-9216-452D-A942-8A8AE2478AF6}"/>
    <cellStyle name="Millares [0] 5 5 3 4 2" xfId="33285" xr:uid="{33CCB067-D2D1-443D-A9F8-8B26204806F4}"/>
    <cellStyle name="Millares [0] 5 5 3 5" xfId="39149" xr:uid="{FC64D6EC-C67F-4F0C-8D79-33C58FAD4187}"/>
    <cellStyle name="Millares [0] 5 5 3 6" xfId="43107" xr:uid="{71D7CDE2-6D35-478B-A6CF-577C7C066D90}"/>
    <cellStyle name="Millares [0] 5 5 3 7" xfId="48000" xr:uid="{CCB76AF4-58B7-48CA-8285-750EA4F64895}"/>
    <cellStyle name="Millares [0] 5 5 4" xfId="2490" xr:uid="{A57805D2-EC4D-47A9-BEE2-BF7F3098B910}"/>
    <cellStyle name="Millares [0] 5 5 4 2" xfId="10761" xr:uid="{F7B8194A-D6AD-478C-BB10-2C5DCDA2D068}"/>
    <cellStyle name="Millares [0] 5 5 4 2 2" xfId="45921" xr:uid="{56124989-A1B6-4A86-86A2-B070416E01C2}"/>
    <cellStyle name="Millares [0] 5 5 4 3" xfId="13601" xr:uid="{40B0CF0F-078D-4576-94CA-233816043BD3}"/>
    <cellStyle name="Millares [0] 5 5 4 4" xfId="18814" xr:uid="{24CC6B5F-BA1D-47ED-8C04-2468CF804CFD}"/>
    <cellStyle name="Millares [0] 5 5 4 5" xfId="43525" xr:uid="{5FBDE3ED-41C1-4ED8-8720-A36DBF7FAB1E}"/>
    <cellStyle name="Millares [0] 5 5 4 6" xfId="48418" xr:uid="{D58A4CB2-0C2D-42D9-BAAB-3D0DB09A647C}"/>
    <cellStyle name="Millares [0] 5 5 5" xfId="3034" xr:uid="{ADE1EA71-C889-44BB-B250-672713EABD81}"/>
    <cellStyle name="Millares [0] 5 5 5 2" xfId="11305" xr:uid="{3FCE4D15-48CB-4FBF-9D68-1C8CCC722EF2}"/>
    <cellStyle name="Millares [0] 5 5 5 2 2" xfId="46465" xr:uid="{D6B3F507-D2A4-4F72-BEE1-4C26D2E2B4F0}"/>
    <cellStyle name="Millares [0] 5 5 5 3" xfId="14145" xr:uid="{FE4A7BA9-1F53-48EF-9695-AC49BC4A433D}"/>
    <cellStyle name="Millares [0] 5 5 5 4" xfId="24554" xr:uid="{ABB33710-51B7-4586-B006-EEC4D5190D10}"/>
    <cellStyle name="Millares [0] 5 5 5 5" xfId="44069" xr:uid="{94F31229-E560-4145-AC70-E4C39086A096}"/>
    <cellStyle name="Millares [0] 5 5 5 6" xfId="48962" xr:uid="{AD07579B-9968-4F88-B74E-B1D823EAB59D}"/>
    <cellStyle name="Millares [0] 5 5 6" xfId="3536" xr:uid="{6E89A547-0566-407B-ACF6-E991239CCBA1}"/>
    <cellStyle name="Millares [0] 5 5 6 2" xfId="11777" xr:uid="{1D45AB5F-802E-45F8-BE17-3BA0BCC6D629}"/>
    <cellStyle name="Millares [0] 5 5 6 3" xfId="14617" xr:uid="{40EB5064-4F6F-446C-B62C-625A40F3415A}"/>
    <cellStyle name="Millares [0] 5 5 6 4" xfId="30433" xr:uid="{1050EC69-EA38-46B1-A19A-61ABBA13BC3A}"/>
    <cellStyle name="Millares [0] 5 5 6 5" xfId="44541" xr:uid="{2859734F-D5BB-4C12-BBDE-A18F46B144D8}"/>
    <cellStyle name="Millares [0] 5 5 6 6" xfId="49434" xr:uid="{981586A8-CD85-4967-9315-3F68795176D2}"/>
    <cellStyle name="Millares [0] 5 5 7" xfId="4308" xr:uid="{2509A28C-886B-4CAE-B4BC-CE4BF90A51B7}"/>
    <cellStyle name="Millares [0] 5 5 7 2" xfId="44959" xr:uid="{BAEEF9C9-15E7-410F-AA6D-26120A4137B5}"/>
    <cellStyle name="Millares [0] 5 5 8" xfId="9799" xr:uid="{7E206C90-B812-47B0-867A-3788CB1A387A}"/>
    <cellStyle name="Millares [0] 5 5 9" xfId="12639" xr:uid="{89EC13A1-ED3B-444F-AFC5-8B77C659B308}"/>
    <cellStyle name="Millares [0] 5 6" xfId="367" xr:uid="{00000000-0005-0000-0000-000072010000}"/>
    <cellStyle name="Millares [0] 5 6 10" xfId="16637" xr:uid="{08D37432-2C1A-45A3-87C7-667F59FD028D}"/>
    <cellStyle name="Millares [0] 5 6 11" xfId="17181" xr:uid="{E353FDAC-E9C0-46E5-9805-6FC1D0A47C2D}"/>
    <cellStyle name="Millares [0] 5 6 12" xfId="18093" xr:uid="{04F5CEB8-B8B1-4E2B-A10B-4886D3FAA0CE}"/>
    <cellStyle name="Millares [0] 5 6 13" xfId="42675" xr:uid="{C968EC76-BAD6-4EE3-A1B2-AC90F2AA7CA8}"/>
    <cellStyle name="Millares [0] 5 6 14" xfId="47568" xr:uid="{852B6AE0-83F9-4A7C-B764-2199C01DBF74}"/>
    <cellStyle name="Millares [0] 5 6 2" xfId="2184" xr:uid="{3018A586-0BD3-4D97-803B-ED4E0C2A1E4B}"/>
    <cellStyle name="Millares [0] 5 6 2 2" xfId="7655" xr:uid="{61F66456-C99D-4A50-AD9C-B0A6A933BD25}"/>
    <cellStyle name="Millares [0] 5 6 2 2 2" xfId="45615" xr:uid="{6CABC3E9-4393-40A0-82B5-9C3E46CA71CF}"/>
    <cellStyle name="Millares [0] 5 6 2 3" xfId="10455" xr:uid="{98DFC7E0-8E58-4F86-8E47-7CAFCA647554}"/>
    <cellStyle name="Millares [0] 5 6 2 3 2" xfId="27889" xr:uid="{4E27ABFE-296A-4A48-9913-4E83E5EA7AD2}"/>
    <cellStyle name="Millares [0] 5 6 2 4" xfId="13295" xr:uid="{2B3F7286-614A-419E-9E31-90D5B5A66F01}"/>
    <cellStyle name="Millares [0] 5 6 2 4 2" xfId="33771" xr:uid="{E0ECB650-460F-43F9-B89F-A81E0E48FE4A}"/>
    <cellStyle name="Millares [0] 5 6 2 5" xfId="39635" xr:uid="{995A081B-FA1B-43D0-866D-84A174C406EE}"/>
    <cellStyle name="Millares [0] 5 6 2 6" xfId="43219" xr:uid="{9B3CD5B3-C08E-4736-A7AD-F64B81D5ECDA}"/>
    <cellStyle name="Millares [0] 5 6 2 7" xfId="48112" xr:uid="{F08F4AED-E439-486F-A5D7-D2F78BA61E78}"/>
    <cellStyle name="Millares [0] 5 6 3" xfId="2602" xr:uid="{3C030C48-42C8-4DC7-896E-6E5BE4D3D4AB}"/>
    <cellStyle name="Millares [0] 5 6 3 2" xfId="10873" xr:uid="{4A845373-656C-4C5A-8F25-74CF1ECA310F}"/>
    <cellStyle name="Millares [0] 5 6 3 2 2" xfId="46033" xr:uid="{2C902255-0D4D-4E6E-956E-6A2A484B1842}"/>
    <cellStyle name="Millares [0] 5 6 3 3" xfId="13713" xr:uid="{F5AF4B63-C9F3-4E77-942A-3FD7CDE830CC}"/>
    <cellStyle name="Millares [0] 5 6 3 4" xfId="19273" xr:uid="{159833DE-31F3-4677-9EB3-5DA622CC7570}"/>
    <cellStyle name="Millares [0] 5 6 3 5" xfId="43637" xr:uid="{62F8AA8D-EB75-4FF3-A327-AA4D285994C1}"/>
    <cellStyle name="Millares [0] 5 6 3 6" xfId="48530" xr:uid="{10BAD843-338E-45C3-B81A-2638513EF5D0}"/>
    <cellStyle name="Millares [0] 5 6 4" xfId="3146" xr:uid="{6B1BA3D2-39AC-4CEB-8E0F-928F0358492B}"/>
    <cellStyle name="Millares [0] 5 6 4 2" xfId="11417" xr:uid="{60490296-0B8F-4D7E-A4B9-2B7383081D68}"/>
    <cellStyle name="Millares [0] 5 6 4 2 2" xfId="46577" xr:uid="{7AD60B54-9277-4422-84CF-A563BC69EF57}"/>
    <cellStyle name="Millares [0] 5 6 4 3" xfId="14257" xr:uid="{C3E3CB02-1B51-4D18-BED3-F92F481C89F9}"/>
    <cellStyle name="Millares [0] 5 6 4 4" xfId="25040" xr:uid="{6E5A60EE-858B-4A9C-9FF8-B3B421DCACB6}"/>
    <cellStyle name="Millares [0] 5 6 4 5" xfId="44181" xr:uid="{1D230DF1-4F8B-4F00-A0B4-42EBEF39F327}"/>
    <cellStyle name="Millares [0] 5 6 4 6" xfId="49074" xr:uid="{A6EFF941-CB81-402B-BA92-2F64710660B3}"/>
    <cellStyle name="Millares [0] 5 6 5" xfId="3648" xr:uid="{C14E8525-D345-4F8D-9A82-C822BDEBD248}"/>
    <cellStyle name="Millares [0] 5 6 5 2" xfId="11889" xr:uid="{0BF781FD-063A-4931-A092-761C74D49833}"/>
    <cellStyle name="Millares [0] 5 6 5 2 2" xfId="47295" xr:uid="{7C5B95A4-A33C-4ABA-A88D-36988F2ECD7A}"/>
    <cellStyle name="Millares [0] 5 6 5 3" xfId="14729" xr:uid="{05D29756-585A-41FF-9993-78853B7CDEAA}"/>
    <cellStyle name="Millares [0] 5 6 5 3 2" xfId="47207" xr:uid="{B6EE2CC1-462C-4199-8A71-319E3EE62AF5}"/>
    <cellStyle name="Millares [0] 5 6 5 4" xfId="30914" xr:uid="{7139DF8A-416E-451F-B0AA-EE8970BF1217}"/>
    <cellStyle name="Millares [0] 5 6 5 5" xfId="44653" xr:uid="{5316153E-17C0-4507-B579-01A0B4502A16}"/>
    <cellStyle name="Millares [0] 5 6 5 6" xfId="46851" xr:uid="{361335D7-BCB9-4B3B-BD4E-D6D20DAE8C86}"/>
    <cellStyle name="Millares [0] 5 6 5 7" xfId="49546" xr:uid="{D99F7018-6CAE-4B9E-9FAE-A48E9E55671C}"/>
    <cellStyle name="Millares [0] 5 6 6" xfId="4792" xr:uid="{4E7F2637-1DCF-4D44-841F-05BDC682461B}"/>
    <cellStyle name="Millares [0] 5 6 6 2" xfId="45071" xr:uid="{A13C96A9-7F91-4FFF-8356-1EDA35C4D6B7}"/>
    <cellStyle name="Millares [0] 5 6 7" xfId="9911" xr:uid="{6F116BEE-CB47-4EB7-981D-D91F8FE44495}"/>
    <cellStyle name="Millares [0] 5 6 8" xfId="12751" xr:uid="{D1E43181-918B-46AA-BFF0-F7412994ED00}"/>
    <cellStyle name="Millares [0] 5 6 9" xfId="16094" xr:uid="{0A6C564C-6A43-46E8-B179-B149CECD4754}"/>
    <cellStyle name="Millares [0] 5 7" xfId="570" xr:uid="{00000000-0005-0000-0000-000073010000}"/>
    <cellStyle name="Millares [0] 5 7 10" xfId="42877" xr:uid="{36F2257B-249A-42C1-8C3D-C715666AE0C8}"/>
    <cellStyle name="Millares [0] 5 7 11" xfId="47770" xr:uid="{DE74B7AA-E2BA-4B97-BE11-A723597DBC8F}"/>
    <cellStyle name="Millares [0] 5 7 2" xfId="2804" xr:uid="{53A9A40B-2F0B-43A7-9F3B-972C0EFA63EB}"/>
    <cellStyle name="Millares [0] 5 7 2 2" xfId="8667" xr:uid="{FEEB2EC2-8D03-4826-9BED-1CF6D54688BE}"/>
    <cellStyle name="Millares [0] 5 7 2 2 2" xfId="46235" xr:uid="{AB916B34-6857-4981-BE9C-EB7A250D95E6}"/>
    <cellStyle name="Millares [0] 5 7 2 3" xfId="11075" xr:uid="{65740B23-F84B-495C-ABF4-16B72388E3A6}"/>
    <cellStyle name="Millares [0] 5 7 2 3 2" xfId="28900" xr:uid="{0EED98F7-3A39-4310-984B-120B2CFA749A}"/>
    <cellStyle name="Millares [0] 5 7 2 4" xfId="13915" xr:uid="{EAAF6345-DA9A-456D-A3D9-B78DD684CC25}"/>
    <cellStyle name="Millares [0] 5 7 2 4 2" xfId="34782" xr:uid="{814D8764-3A1A-4626-B847-DD682A3934E8}"/>
    <cellStyle name="Millares [0] 5 7 2 5" xfId="40646" xr:uid="{E4A086F6-3D4D-4336-B339-2044E054B1CC}"/>
    <cellStyle name="Millares [0] 5 7 2 6" xfId="43839" xr:uid="{1E83F435-A0C0-4811-8E09-73DAEA131CB7}"/>
    <cellStyle name="Millares [0] 5 7 2 7" xfId="48732" xr:uid="{DECD4574-3917-4222-B67A-536AB586AD35}"/>
    <cellStyle name="Millares [0] 5 7 3" xfId="5798" xr:uid="{ABB8AA0B-6CFF-4226-A66F-48DDC63F052D}"/>
    <cellStyle name="Millares [0] 5 7 3 2" xfId="45273" xr:uid="{FEC0DC86-E2AD-4A35-BF06-28147D59F94E}"/>
    <cellStyle name="Millares [0] 5 7 4" xfId="10113" xr:uid="{80D3BEF2-42C5-4FA3-8B0E-AF6F455FA898}"/>
    <cellStyle name="Millares [0] 5 7 4 2" xfId="26050" xr:uid="{2C983658-BF59-4194-A406-4158A8B4EA8D}"/>
    <cellStyle name="Millares [0] 5 7 5" xfId="12953" xr:uid="{656DFB51-5879-49AF-BE28-1B784B4A3534}"/>
    <cellStyle name="Millares [0] 5 7 5 2" xfId="31925" xr:uid="{8B2E76FF-920F-43FA-BA2B-B67A4612FE75}"/>
    <cellStyle name="Millares [0] 5 7 6" xfId="16296" xr:uid="{EAABE5D1-495B-4969-9808-5B2838FBFF73}"/>
    <cellStyle name="Millares [0] 5 7 6 2" xfId="37791" xr:uid="{EA9028AC-9C7F-44E8-884C-7792720C3B14}"/>
    <cellStyle name="Millares [0] 5 7 7" xfId="16839" xr:uid="{E4D6691F-C6E1-4170-854E-05AC2284E8B3}"/>
    <cellStyle name="Millares [0] 5 7 8" xfId="17383" xr:uid="{6B71A51C-F2BD-419A-A3FC-2A92B3CB4525}"/>
    <cellStyle name="Millares [0] 5 7 9" xfId="17862" xr:uid="{E3505D18-5405-47E0-A195-8541D00A4545}"/>
    <cellStyle name="Millares [0] 5 8" xfId="1968" xr:uid="{3DE3F1F1-79E7-4B85-9CD5-D887E288F0A8}"/>
    <cellStyle name="Millares [0] 5 8 2" xfId="9190" xr:uid="{3E212401-C14B-420C-8ABD-7E6FFE2CB50C}"/>
    <cellStyle name="Millares [0] 5 8 2 2" xfId="12445" xr:uid="{1C9B1B99-014A-43E9-B3A8-CD0D1AA4F863}"/>
    <cellStyle name="Millares [0] 5 8 2 2 2" xfId="42022" xr:uid="{8BF2F58F-6DF3-48A9-8359-7B23612F3969}"/>
    <cellStyle name="Millares [0] 5 8 2 2 3" xfId="23554" xr:uid="{6879E427-001F-4110-B7A3-760B50940FF4}"/>
    <cellStyle name="Millares [0] 5 8 2 3" xfId="15286" xr:uid="{710EC37D-08FF-4ED6-951E-5C7A65E3C318}"/>
    <cellStyle name="Millares [0] 5 8 2 3 2" xfId="29421" xr:uid="{A163077D-F0D5-4644-B52F-B7B1B2B4B245}"/>
    <cellStyle name="Millares [0] 5 8 2 4" xfId="15735" xr:uid="{40DAF926-6EAE-4C22-9976-728A41AD1AEE}"/>
    <cellStyle name="Millares [0] 5 8 2 4 2" xfId="35303" xr:uid="{E15D7A95-CA94-4E7E-B41F-5420BB6D034E}"/>
    <cellStyle name="Millares [0] 5 8 2 5" xfId="41162" xr:uid="{8F7F8063-AD41-4C4D-A0D8-EDFCBBB8DD35}"/>
    <cellStyle name="Millares [0] 5 8 2 6" xfId="18219" xr:uid="{1D601A16-9D20-45B4-8B05-957E2AC4652E}"/>
    <cellStyle name="Millares [0] 5 8 2 7" xfId="45399" xr:uid="{806C8EDC-09C1-4198-8F23-F973385647C7}"/>
    <cellStyle name="Millares [0] 5 8 2 8" xfId="50102" xr:uid="{9A0FF30A-7C52-42C4-8F7A-8F4485611D9E}"/>
    <cellStyle name="Millares [0] 5 8 3" xfId="6325" xr:uid="{0056ABAC-6549-4B32-A855-88092C653E9C}"/>
    <cellStyle name="Millares [0] 5 8 3 2" xfId="12262" xr:uid="{ED2E1527-4CF2-4E2A-AE5F-E9F905FD13D2}"/>
    <cellStyle name="Millares [0] 5 8 3 2 2" xfId="41839" xr:uid="{38FB7653-C5A7-4051-8348-F08D5C7D5894}"/>
    <cellStyle name="Millares [0] 5 8 3 3" xfId="15103" xr:uid="{DB502AF8-345C-445D-9E61-CD6ACBA688B3}"/>
    <cellStyle name="Millares [0] 5 8 3 4" xfId="20766" xr:uid="{B18DA414-AE2B-41CA-84E7-DCBF7B4DD261}"/>
    <cellStyle name="Millares [0] 5 8 3 5" xfId="49919" xr:uid="{B960C423-EB91-4E63-96A6-0180D6B170A0}"/>
    <cellStyle name="Millares [0] 5 8 4" xfId="10239" xr:uid="{1E78DA42-D0D9-45D3-A743-B110085E97A0}"/>
    <cellStyle name="Millares [0] 5 8 4 2" xfId="26575" xr:uid="{18EA381F-95C1-4479-8879-467E3261A06F}"/>
    <cellStyle name="Millares [0] 5 8 5" xfId="13079" xr:uid="{53AD633C-ADFD-4098-9ABB-B3048C9C2868}"/>
    <cellStyle name="Millares [0] 5 8 5 2" xfId="32450" xr:uid="{30E6528C-80EF-4FDE-B441-7E041A0AA4E1}"/>
    <cellStyle name="Millares [0] 5 8 6" xfId="15550" xr:uid="{45696909-1E8B-411F-A687-D8C3475096B4}"/>
    <cellStyle name="Millares [0] 5 8 6 2" xfId="38315" xr:uid="{424A8E76-BB73-48EE-A5AB-4428BDB4335F}"/>
    <cellStyle name="Millares [0] 5 8 7" xfId="17839" xr:uid="{BD3089B1-DF12-44D5-81A7-B318BEC9CD5D}"/>
    <cellStyle name="Millares [0] 5 8 8" xfId="43003" xr:uid="{E6744530-91A9-4D3F-AE37-94171E0A3AFD}"/>
    <cellStyle name="Millares [0] 5 8 9" xfId="47896" xr:uid="{49A75A97-2D36-460D-869B-19C908741F58}"/>
    <cellStyle name="Millares [0] 5 9" xfId="2386" xr:uid="{5640CBC6-C1E2-4859-8C9D-3DB00706D298}"/>
    <cellStyle name="Millares [0] 5 9 2" xfId="6684" xr:uid="{6852A826-7E48-4281-810C-763BCE7913E6}"/>
    <cellStyle name="Millares [0] 5 9 2 2" xfId="45817" xr:uid="{9730258B-627F-468D-8030-ABA56F6FC53E}"/>
    <cellStyle name="Millares [0] 5 9 3" xfId="10657" xr:uid="{643C1B2A-E99B-4F7B-9F89-20D59661B7A3}"/>
    <cellStyle name="Millares [0] 5 9 3 2" xfId="26925" xr:uid="{8AF31DBF-6D25-40E0-AF66-6FFE72450C79}"/>
    <cellStyle name="Millares [0] 5 9 4" xfId="13497" xr:uid="{17C37620-D152-4418-860C-6278F3141068}"/>
    <cellStyle name="Millares [0] 5 9 4 2" xfId="32800" xr:uid="{3348CF59-1A2B-4448-B68F-B56F1D98ACDD}"/>
    <cellStyle name="Millares [0] 5 9 5" xfId="38664" xr:uid="{9A75A21B-B026-440F-A4F8-8092ABAB31B6}"/>
    <cellStyle name="Millares [0] 5 9 6" xfId="43421" xr:uid="{177991B7-C504-4EB8-88A6-23F7F8CF80FC}"/>
    <cellStyle name="Millares [0] 5 9 7" xfId="48314" xr:uid="{75DE7B98-434C-4D35-BA7E-EF3C9CC5CD70}"/>
    <cellStyle name="Millares [0] 6" xfId="124" xr:uid="{00000000-0005-0000-0000-000074010000}"/>
    <cellStyle name="Millares [0] 6 10" xfId="2935" xr:uid="{C62F3E8A-86D5-4E34-AE73-C6644AF903AB}"/>
    <cellStyle name="Millares [0] 6 10 2" xfId="11206" xr:uid="{9D98828A-7CD2-4FF1-94F4-D8F2B180787D}"/>
    <cellStyle name="Millares [0] 6 10 2 2" xfId="46366" xr:uid="{A2F67344-3D5A-4667-BD22-A815B3E99E0F}"/>
    <cellStyle name="Millares [0] 6 10 3" xfId="14046" xr:uid="{645FB0B4-9D2C-4003-B72F-C828BB7DDA6D}"/>
    <cellStyle name="Millares [0] 6 10 4" xfId="35817" xr:uid="{9904A1A7-83EF-4A42-B3AE-5F9428FA3E38}"/>
    <cellStyle name="Millares [0] 6 10 5" xfId="43970" xr:uid="{7F0CF2D9-7BED-46D2-B108-BD928899388B}"/>
    <cellStyle name="Millares [0] 6 10 6" xfId="48863" xr:uid="{582C157E-7D2F-4115-81AA-2CA317C9A64A}"/>
    <cellStyle name="Millares [0] 6 11" xfId="3387" xr:uid="{3DF9D38A-C650-4FDE-A8CD-5E6535FF5FF8}"/>
    <cellStyle name="Millares [0] 6 11 2" xfId="11633" xr:uid="{862B084C-4213-40BF-9522-78DFFB6CECAF}"/>
    <cellStyle name="Millares [0] 6 11 2 2" xfId="46793" xr:uid="{C5DCFF3E-568F-4B38-9CBF-440779F7ABFC}"/>
    <cellStyle name="Millares [0] 6 11 3" xfId="14473" xr:uid="{E68C93FB-6F39-45D7-9001-30C40AEC2C94}"/>
    <cellStyle name="Millares [0] 6 11 4" xfId="44397" xr:uid="{3131E9B3-D8D0-4CD0-8ECB-9314FDBBFD14}"/>
    <cellStyle name="Millares [0] 6 11 5" xfId="49290" xr:uid="{3D6751C2-9B0C-4E5F-9D71-0EC9BD80E8F0}"/>
    <cellStyle name="Millares [0] 6 12" xfId="3437" xr:uid="{0C471C41-6936-4696-9370-AC99221F599A}"/>
    <cellStyle name="Millares [0] 6 12 2" xfId="11678" xr:uid="{486A8058-DB5F-4355-B3A7-B2CB100BAB97}"/>
    <cellStyle name="Millares [0] 6 12 3" xfId="14518" xr:uid="{8FDEECF7-61B7-4B4E-8F96-15A6687551BE}"/>
    <cellStyle name="Millares [0] 6 12 4" xfId="44442" xr:uid="{E23B5D81-4B5A-4D63-A7FD-F179907638E8}"/>
    <cellStyle name="Millares [0] 6 12 5" xfId="49335" xr:uid="{18A34BC2-DA0B-4DB4-9CFD-184CC140501C}"/>
    <cellStyle name="Millares [0] 6 13" xfId="3837" xr:uid="{E4A0D6C1-747C-4B9A-8938-0C00EBE434DC}"/>
    <cellStyle name="Millares [0] 6 13 2" xfId="12070" xr:uid="{0A399897-2922-4DDD-9369-8F7E65AF976E}"/>
    <cellStyle name="Millares [0] 6 13 3" xfId="14911" xr:uid="{CDAC06A7-FD13-4671-BB46-7342F3F45337}"/>
    <cellStyle name="Millares [0] 6 13 4" xfId="44860" xr:uid="{33075E04-01E2-4FC1-B009-6D7EC5853FBF}"/>
    <cellStyle name="Millares [0] 6 13 5" xfId="49727" xr:uid="{1D76A160-E129-43CE-A0E5-AC2305733358}"/>
    <cellStyle name="Millares [0] 6 14" xfId="9669" xr:uid="{E1B0D195-0CCF-4BAF-B282-4CFAD97BB7FA}"/>
    <cellStyle name="Millares [0] 6 14 2" xfId="12509" xr:uid="{79621FAB-5A82-4DEC-B6F0-328C3F7E9550}"/>
    <cellStyle name="Millares [0] 6 14 3" xfId="15350" xr:uid="{52AE95E7-6B15-4A88-9855-8BBDBACBDDD2}"/>
    <cellStyle name="Millares [0] 6 14 4" xfId="50166" xr:uid="{AF698ED0-421D-4305-8607-179D06E98DDB}"/>
    <cellStyle name="Millares [0] 6 15" xfId="9700" xr:uid="{EBF8E512-BC0F-4274-A6AC-F9F58C4EE2AD}"/>
    <cellStyle name="Millares [0] 6 16" xfId="12540" xr:uid="{618782E5-BD9E-4BDD-AAB7-7FC9AE5696DC}"/>
    <cellStyle name="Millares [0] 6 17" xfId="15356" xr:uid="{F85E0457-BD7D-444D-97ED-8AD4C6401378}"/>
    <cellStyle name="Millares [0] 6 18" xfId="15883" xr:uid="{8C25DB47-D452-4D6A-935A-7C7EAE6DC281}"/>
    <cellStyle name="Millares [0] 6 19" xfId="16426" xr:uid="{87B613F8-D8FA-4C04-9C88-F493BBD4ED7B}"/>
    <cellStyle name="Millares [0] 6 2" xfId="206" xr:uid="{00000000-0005-0000-0000-000075010000}"/>
    <cellStyle name="Millares [0] 6 2 10" xfId="9769" xr:uid="{571218D2-F0DC-40F3-9CDB-9220AF8C6418}"/>
    <cellStyle name="Millares [0] 6 2 11" xfId="12609" xr:uid="{08556A6F-A478-400A-9B40-9D039D2153A2}"/>
    <cellStyle name="Millares [0] 6 2 12" xfId="15386" xr:uid="{38684C23-A1AD-4F09-B1E2-EA0A4E4AAFFA}"/>
    <cellStyle name="Millares [0] 6 2 13" xfId="15952" xr:uid="{C3ED00EE-7483-49A1-A282-7F9945F6C93E}"/>
    <cellStyle name="Millares [0] 6 2 14" xfId="16495" xr:uid="{679EA0EA-2B11-4E58-9C2E-1846D4B09242}"/>
    <cellStyle name="Millares [0] 6 2 15" xfId="17039" xr:uid="{53CBCDEE-D75E-409E-A871-FB35957C4EB3}"/>
    <cellStyle name="Millares [0] 6 2 16" xfId="17539" xr:uid="{CAE021FD-3BAA-41A3-A05A-B8493FAC6D66}"/>
    <cellStyle name="Millares [0] 6 2 17" xfId="42089" xr:uid="{5940D5A4-30FF-4A6A-99EE-382EF7F37B78}"/>
    <cellStyle name="Millares [0] 6 2 18" xfId="42533" xr:uid="{2D822E5C-F1C1-4D43-9FDB-5FFF9825F0EF}"/>
    <cellStyle name="Millares [0] 6 2 19" xfId="47426" xr:uid="{CFC2F6F7-5F50-4417-AD94-0BC97D346352}"/>
    <cellStyle name="Millares [0] 6 2 2" xfId="315" xr:uid="{00000000-0005-0000-0000-000076010000}"/>
    <cellStyle name="Millares [0] 6 2 2 10" xfId="15423" xr:uid="{ABFFF370-2B10-42E5-8000-05E25B041BC2}"/>
    <cellStyle name="Millares [0] 6 2 2 11" xfId="16056" xr:uid="{5DA4BD15-B73B-44BB-A07C-D17EE151CABC}"/>
    <cellStyle name="Millares [0] 6 2 2 12" xfId="16599" xr:uid="{8AEEA402-7559-4F1D-911C-F5E2006AA9FB}"/>
    <cellStyle name="Millares [0] 6 2 2 13" xfId="17143" xr:uid="{37AECB9F-4C99-4398-8C24-2F01D97BC724}"/>
    <cellStyle name="Millares [0] 6 2 2 14" xfId="17604" xr:uid="{46520DCA-FB58-4CD1-AA57-BE53FA1A26A2}"/>
    <cellStyle name="Millares [0] 6 2 2 15" xfId="42637" xr:uid="{4F7373CB-1A25-4D84-B7A6-AE9765EEEED0}"/>
    <cellStyle name="Millares [0] 6 2 2 16" xfId="47530" xr:uid="{F1F26A96-F956-4952-9770-1EB6BB8A1784}"/>
    <cellStyle name="Millares [0] 6 2 2 17" xfId="50385" xr:uid="{E711C117-87A4-4F5C-9C6E-6C17EDAF75FA}"/>
    <cellStyle name="Millares [0] 6 2 2 2" xfId="542" xr:uid="{00000000-0005-0000-0000-000077010000}"/>
    <cellStyle name="Millares [0] 6 2 2 2 10" xfId="16268" xr:uid="{C3F4D70C-CD93-4D0E-903F-30F21E150380}"/>
    <cellStyle name="Millares [0] 6 2 2 2 11" xfId="16811" xr:uid="{89DE06D5-70E6-4B0E-A9B9-CE6EE8E44719}"/>
    <cellStyle name="Millares [0] 6 2 2 2 12" xfId="17355" xr:uid="{A0785B38-6FB8-4262-9923-1E2E53D93B7C}"/>
    <cellStyle name="Millares [0] 6 2 2 2 13" xfId="17737" xr:uid="{47EF7971-A69C-4A5A-99BF-4A83B12A9FEC}"/>
    <cellStyle name="Millares [0] 6 2 2 2 14" xfId="42849" xr:uid="{AD9B06CD-431B-4E33-9C14-CBAECEAAC3C9}"/>
    <cellStyle name="Millares [0] 6 2 2 2 15" xfId="47742" xr:uid="{1BF8A1B3-23A2-4ACE-9B7F-860396ACF3D0}"/>
    <cellStyle name="Millares [0] 6 2 2 2 2" xfId="2358" xr:uid="{47342F5F-EE08-424D-86AE-CA029EA12B72}"/>
    <cellStyle name="Millares [0] 6 2 2 2 2 2" xfId="8342" xr:uid="{0C7F3F63-7D26-4784-94CA-4AA21A0AFD87}"/>
    <cellStyle name="Millares [0] 6 2 2 2 2 2 2" xfId="12396" xr:uid="{7447DB62-8228-48B9-BC84-78017053737E}"/>
    <cellStyle name="Millares [0] 6 2 2 2 2 2 2 2" xfId="41973" xr:uid="{97770F21-A25E-4F84-AA57-4AFB496EF276}"/>
    <cellStyle name="Millares [0] 6 2 2 2 2 2 3" xfId="15237" xr:uid="{A93AE7E9-B5EF-47C8-8BBE-37A8B5CC772F}"/>
    <cellStyle name="Millares [0] 6 2 2 2 2 2 4" xfId="22717" xr:uid="{67E44D35-44F3-4EC1-AC1C-783C0A0DE68F}"/>
    <cellStyle name="Millares [0] 6 2 2 2 2 2 5" xfId="45789" xr:uid="{2704942B-22C8-4A8F-AB51-BFBBE00FC8DA}"/>
    <cellStyle name="Millares [0] 6 2 2 2 2 2 6" xfId="50053" xr:uid="{E642007B-5659-4EB9-A6F7-4C33754EE1D5}"/>
    <cellStyle name="Millares [0] 6 2 2 2 2 3" xfId="10629" xr:uid="{1E5EED31-965F-4BC1-A70A-DCF6469E307F}"/>
    <cellStyle name="Millares [0] 6 2 2 2 2 3 2" xfId="28575" xr:uid="{82135ED0-D1A1-45C4-8B6C-CE6745D7C104}"/>
    <cellStyle name="Millares [0] 6 2 2 2 2 4" xfId="13469" xr:uid="{DCC93604-A844-418C-88F7-B94FA1E33169}"/>
    <cellStyle name="Millares [0] 6 2 2 2 2 4 2" xfId="34457" xr:uid="{AF680894-5A3A-47C2-94ED-2E98ACE0ABCE}"/>
    <cellStyle name="Millares [0] 6 2 2 2 2 5" xfId="15684" xr:uid="{A9193649-ADFA-4949-A275-612279BBF91D}"/>
    <cellStyle name="Millares [0] 6 2 2 2 2 5 2" xfId="40321" xr:uid="{FAC7F99A-F691-4A0C-99B3-9EC818F93931}"/>
    <cellStyle name="Millares [0] 6 2 2 2 2 6" xfId="18120" xr:uid="{4847AC46-D233-4B5B-BC71-4161E775AA87}"/>
    <cellStyle name="Millares [0] 6 2 2 2 2 7" xfId="43393" xr:uid="{BA96CEBB-02C3-49C2-8130-E2D9CCFFD4F0}"/>
    <cellStyle name="Millares [0] 6 2 2 2 2 8" xfId="48286" xr:uid="{22344611-0787-4D06-8048-D6E82C9BD773}"/>
    <cellStyle name="Millares [0] 6 2 2 2 3" xfId="2776" xr:uid="{7AA61454-6165-43E1-A69F-A075A0AFF861}"/>
    <cellStyle name="Millares [0] 6 2 2 2 3 2" xfId="11047" xr:uid="{62E056BD-6C6F-4A72-B243-00469EDF2B7C}"/>
    <cellStyle name="Millares [0] 6 2 2 2 3 2 2" xfId="41786" xr:uid="{7B9C4C52-10A7-4666-9E7C-42E4EBD6EB76}"/>
    <cellStyle name="Millares [0] 6 2 2 2 3 2 3" xfId="46207" xr:uid="{97ED963B-C7D5-4B4F-9394-D02CF27897CC}"/>
    <cellStyle name="Millares [0] 6 2 2 2 3 3" xfId="13887" xr:uid="{2AD5C348-4180-435D-B5E0-6536C0B9622C}"/>
    <cellStyle name="Millares [0] 6 2 2 2 3 4" xfId="19936" xr:uid="{A815D141-1E72-4338-9B36-1876803C9914}"/>
    <cellStyle name="Millares [0] 6 2 2 2 3 5" xfId="43811" xr:uid="{E9F8C62F-0DAA-41C2-925D-D591A2DB7EA0}"/>
    <cellStyle name="Millares [0] 6 2 2 2 3 6" xfId="48704" xr:uid="{B0726E8B-F720-43C9-A726-E136DD726CB4}"/>
    <cellStyle name="Millares [0] 6 2 2 2 4" xfId="3320" xr:uid="{74B0EF48-1ED3-4626-9EE9-A0872256CB33}"/>
    <cellStyle name="Millares [0] 6 2 2 2 4 2" xfId="11591" xr:uid="{08BA360F-14D5-416B-9F06-739BFDD68E9C}"/>
    <cellStyle name="Millares [0] 6 2 2 2 4 2 2" xfId="46751" xr:uid="{DDAC203C-0345-4ED0-8C6C-EA6CD8E94FBF}"/>
    <cellStyle name="Millares [0] 6 2 2 2 4 3" xfId="14431" xr:uid="{C70032A7-4951-49D8-B104-85365C629E59}"/>
    <cellStyle name="Millares [0] 6 2 2 2 4 4" xfId="25726" xr:uid="{5A6D5F13-A42E-4AF2-A2A9-3F5133423A80}"/>
    <cellStyle name="Millares [0] 6 2 2 2 4 5" xfId="44355" xr:uid="{EED2B977-C93B-43B1-A1BB-C2BB948358FE}"/>
    <cellStyle name="Millares [0] 6 2 2 2 4 6" xfId="49248" xr:uid="{16EA1F1C-91EE-4F04-AD9E-576E0D37317E}"/>
    <cellStyle name="Millares [0] 6 2 2 2 5" xfId="3822" xr:uid="{66013AA9-022D-4CA3-BCAD-D7168A98A47F}"/>
    <cellStyle name="Millares [0] 6 2 2 2 5 2" xfId="12063" xr:uid="{32085F5C-0D99-4086-BF11-0D35172257F2}"/>
    <cellStyle name="Millares [0] 6 2 2 2 5 3" xfId="14903" xr:uid="{80CDF4E1-96BC-427F-8AFE-E224B8E73797}"/>
    <cellStyle name="Millares [0] 6 2 2 2 5 4" xfId="31600" xr:uid="{A8780430-32A4-459E-AE08-333E648164E1}"/>
    <cellStyle name="Millares [0] 6 2 2 2 5 5" xfId="44827" xr:uid="{02A4133A-52C8-4F76-B9BC-049860DC6C07}"/>
    <cellStyle name="Millares [0] 6 2 2 2 5 6" xfId="49720" xr:uid="{C2BB60EC-778E-4B83-A01D-4EE9C6E5BBA7}"/>
    <cellStyle name="Millares [0] 6 2 2 2 6" xfId="5475" xr:uid="{F8CF64D9-B3A6-4F01-ABDC-301A285AB9FE}"/>
    <cellStyle name="Millares [0] 6 2 2 2 6 2" xfId="12209" xr:uid="{5D092A35-F05B-452E-B71B-7D0EDA2BB6DE}"/>
    <cellStyle name="Millares [0] 6 2 2 2 6 3" xfId="15050" xr:uid="{7EEDDD5F-F6DB-4F21-AA4A-E0C840D7E38E}"/>
    <cellStyle name="Millares [0] 6 2 2 2 6 4" xfId="37470" xr:uid="{B784FC3F-068D-4697-9E6E-584E8DDF54FD}"/>
    <cellStyle name="Millares [0] 6 2 2 2 6 5" xfId="45245" xr:uid="{6E6EFC91-8094-4779-8AF5-47AAB8C599A7}"/>
    <cellStyle name="Millares [0] 6 2 2 2 6 6" xfId="49866" xr:uid="{3BB80393-CFE6-4C69-A3AD-D99E54F0EEE9}"/>
    <cellStyle name="Millares [0] 6 2 2 2 7" xfId="10085" xr:uid="{A568FB39-772D-419F-977F-E4FFF8B7C459}"/>
    <cellStyle name="Millares [0] 6 2 2 2 8" xfId="12925" xr:uid="{78593E24-94DF-420E-9273-DBAC0315557E}"/>
    <cellStyle name="Millares [0] 6 2 2 2 9" xfId="15497" xr:uid="{CB073D14-4317-4F98-A288-21AF3EEDFAC5}"/>
    <cellStyle name="Millares [0] 6 2 2 3" xfId="2146" xr:uid="{3932A72B-2966-400A-BFCA-19AE989BDF34}"/>
    <cellStyle name="Millares [0] 6 2 2 3 2" xfId="7370" xr:uid="{E6A62BE9-2C2C-426C-9D60-F97133C14BC2}"/>
    <cellStyle name="Millares [0] 6 2 2 3 2 2" xfId="12324" xr:uid="{70520FCE-7E57-4869-BF76-B40A8BDB2424}"/>
    <cellStyle name="Millares [0] 6 2 2 3 2 2 2" xfId="41901" xr:uid="{C8EF5E14-199D-403B-A8E0-1A801AB46019}"/>
    <cellStyle name="Millares [0] 6 2 2 3 2 3" xfId="15165" xr:uid="{53F9679D-F493-45BB-BFEE-57BDE28B5085}"/>
    <cellStyle name="Millares [0] 6 2 2 3 2 4" xfId="21772" xr:uid="{4484F32A-7409-49C7-8B91-478857CE0A4F}"/>
    <cellStyle name="Millares [0] 6 2 2 3 2 5" xfId="45577" xr:uid="{3DEB9181-966F-4323-A59D-2C559C1D4A91}"/>
    <cellStyle name="Millares [0] 6 2 2 3 2 6" xfId="49981" xr:uid="{6B0DF15A-B53D-4857-8898-AE7679953E85}"/>
    <cellStyle name="Millares [0] 6 2 2 3 3" xfId="10417" xr:uid="{B212E6D9-EC10-49A8-9749-A9610B36D6D3}"/>
    <cellStyle name="Millares [0] 6 2 2 3 3 2" xfId="27604" xr:uid="{ADAB87C6-2B0F-4FC2-9A1E-B5D73633B6F4}"/>
    <cellStyle name="Millares [0] 6 2 2 3 4" xfId="13257" xr:uid="{CC53E398-63C6-435E-93DA-2EDB0C801631}"/>
    <cellStyle name="Millares [0] 6 2 2 3 4 2" xfId="33486" xr:uid="{E2451D85-71E6-407C-842F-957680964AED}"/>
    <cellStyle name="Millares [0] 6 2 2 3 5" xfId="15612" xr:uid="{97362842-D183-48AA-B8EA-C70A8B36E119}"/>
    <cellStyle name="Millares [0] 6 2 2 3 5 2" xfId="39350" xr:uid="{83AECC31-FC22-4BC4-8E50-E4113BBE5FA1}"/>
    <cellStyle name="Millares [0] 6 2 2 3 6" xfId="17981" xr:uid="{77FC223A-147C-4098-A9A7-3E94EB926315}"/>
    <cellStyle name="Millares [0] 6 2 2 3 7" xfId="43181" xr:uid="{C36A07B6-53D1-4167-89F8-4F1EF6C62BD5}"/>
    <cellStyle name="Millares [0] 6 2 2 3 8" xfId="48074" xr:uid="{C7CEBA0E-7CCF-41B6-B9A9-2249A579D77C}"/>
    <cellStyle name="Millares [0] 6 2 2 4" xfId="2564" xr:uid="{F1B02538-EDF9-4865-B031-26525121D43E}"/>
    <cellStyle name="Millares [0] 6 2 2 4 2" xfId="10835" xr:uid="{878BAC78-A8CD-4A58-A986-5466466EB8EB}"/>
    <cellStyle name="Millares [0] 6 2 2 4 2 2" xfId="41714" xr:uid="{71AB83EF-DB46-4EDB-9218-77E66B5C0B66}"/>
    <cellStyle name="Millares [0] 6 2 2 4 2 3" xfId="45995" xr:uid="{4337A3BC-D051-41ED-8AA9-5670E3A36E77}"/>
    <cellStyle name="Millares [0] 6 2 2 4 3" xfId="13675" xr:uid="{3175B5D4-35B0-43C3-9FA7-45A04A3368A2}"/>
    <cellStyle name="Millares [0] 6 2 2 4 4" xfId="19006" xr:uid="{61FB9AE0-21C1-49DA-92B9-F48653A5D845}"/>
    <cellStyle name="Millares [0] 6 2 2 4 5" xfId="43599" xr:uid="{92095139-9753-459E-B801-9675CF600EBA}"/>
    <cellStyle name="Millares [0] 6 2 2 4 6" xfId="48492" xr:uid="{684EC8E7-7FCD-44CF-944D-BB5DD7AAD164}"/>
    <cellStyle name="Millares [0] 6 2 2 5" xfId="3108" xr:uid="{6FC59C5D-CB8C-440F-A555-EE9D586D56AC}"/>
    <cellStyle name="Millares [0] 6 2 2 5 2" xfId="11379" xr:uid="{25328D78-1057-476A-8DBD-6FA90CAC9990}"/>
    <cellStyle name="Millares [0] 6 2 2 5 2 2" xfId="46539" xr:uid="{83136D20-BFBA-4734-BDF7-889C3F2D8348}"/>
    <cellStyle name="Millares [0] 6 2 2 5 3" xfId="14219" xr:uid="{066460D4-3BEF-4229-9CB9-FDBE9F3AC933}"/>
    <cellStyle name="Millares [0] 6 2 2 5 4" xfId="24755" xr:uid="{EDBEB804-CFB3-4CBC-8027-D959192E8800}"/>
    <cellStyle name="Millares [0] 6 2 2 5 5" xfId="44143" xr:uid="{58026C91-DD1C-4EAE-BAC1-18D9374D7173}"/>
    <cellStyle name="Millares [0] 6 2 2 5 6" xfId="49036" xr:uid="{7CFD7530-A8B0-49E9-955E-809A6762C348}"/>
    <cellStyle name="Millares [0] 6 2 2 6" xfId="3610" xr:uid="{89EF2657-6D59-4368-927B-8C2EA289FF5B}"/>
    <cellStyle name="Millares [0] 6 2 2 6 2" xfId="11851" xr:uid="{6A267EE5-F6DD-4F5C-8D80-0C520EF37C9F}"/>
    <cellStyle name="Millares [0] 6 2 2 6 3" xfId="14691" xr:uid="{028079B1-93E0-4EA9-A8F9-ADE1ACFF6486}"/>
    <cellStyle name="Millares [0] 6 2 2 6 4" xfId="30632" xr:uid="{5085070C-7D7F-4ED1-9314-A8168959F65D}"/>
    <cellStyle name="Millares [0] 6 2 2 6 5" xfId="44615" xr:uid="{3731B77A-EF5E-4A28-9A48-43D3444D168E}"/>
    <cellStyle name="Millares [0] 6 2 2 6 6" xfId="49508" xr:uid="{470EF1F8-CC2E-4E4D-AA0B-1EAC069773CF}"/>
    <cellStyle name="Millares [0] 6 2 2 7" xfId="4507" xr:uid="{757128F8-C751-4C8D-99A5-C5A193A7B987}"/>
    <cellStyle name="Millares [0] 6 2 2 7 2" xfId="12137" xr:uid="{17FE3371-830E-481B-8981-68934FD519B4}"/>
    <cellStyle name="Millares [0] 6 2 2 7 3" xfId="14978" xr:uid="{9CDAE993-906A-4FAD-B853-5B3E3A8ED630}"/>
    <cellStyle name="Millares [0] 6 2 2 7 4" xfId="36513" xr:uid="{325FD8B8-327C-43AB-9C03-7A6EF703DB78}"/>
    <cellStyle name="Millares [0] 6 2 2 7 5" xfId="45033" xr:uid="{FE1C9665-9694-41E8-8778-8EC0F24D7C20}"/>
    <cellStyle name="Millares [0] 6 2 2 7 6" xfId="49794" xr:uid="{62483C46-F6DD-4F17-ABA4-30CD547B5A32}"/>
    <cellStyle name="Millares [0] 6 2 2 8" xfId="9873" xr:uid="{0412D190-D933-400B-A998-2C7E0EC816DC}"/>
    <cellStyle name="Millares [0] 6 2 2 9" xfId="12713" xr:uid="{72A84E1E-D8ED-4BF7-8B05-6A78071BA057}"/>
    <cellStyle name="Millares [0] 6 2 20" xfId="50239" xr:uid="{2D12EE27-A55D-41B9-B744-09AE9DCAA086}"/>
    <cellStyle name="Millares [0] 6 2 21" xfId="50313" xr:uid="{AEDF60C3-8902-43EF-90C6-0E067E80C2BF}"/>
    <cellStyle name="Millares [0] 6 2 3" xfId="441" xr:uid="{00000000-0005-0000-0000-000078010000}"/>
    <cellStyle name="Millares [0] 6 2 3 10" xfId="16168" xr:uid="{A5F3C5B6-FE9E-4259-BF28-9EFBFF9E79BC}"/>
    <cellStyle name="Millares [0] 6 2 3 11" xfId="16711" xr:uid="{1C656AB7-676B-4C59-8B1E-C508DDE6490B}"/>
    <cellStyle name="Millares [0] 6 2 3 12" xfId="17255" xr:uid="{2FE10983-2F92-4467-B9DE-B748762A59FC}"/>
    <cellStyle name="Millares [0] 6 2 3 13" xfId="17669" xr:uid="{9F409335-1334-406F-BE43-B0B0F3A490C3}"/>
    <cellStyle name="Millares [0] 6 2 3 14" xfId="42749" xr:uid="{79779451-E72F-4EAE-A565-62246588E349}"/>
    <cellStyle name="Millares [0] 6 2 3 15" xfId="47642" xr:uid="{386D8067-6C21-4465-B7D0-394BEC86C24C}"/>
    <cellStyle name="Millares [0] 6 2 3 2" xfId="2258" xr:uid="{6399FEF2-1762-4FFD-BE73-5B42E8F1E1CE}"/>
    <cellStyle name="Millares [0] 6 2 3 2 2" xfId="7857" xr:uid="{77142A4A-FAD3-4E74-9D96-E90AC5AA35FF}"/>
    <cellStyle name="Millares [0] 6 2 3 2 2 2" xfId="12360" xr:uid="{4A3103D6-3CC3-4007-864C-AAD94F9A7C80}"/>
    <cellStyle name="Millares [0] 6 2 3 2 2 2 2" xfId="41937" xr:uid="{1E1DE8E4-A708-4DB0-A634-7366FA922F1D}"/>
    <cellStyle name="Millares [0] 6 2 3 2 2 3" xfId="15201" xr:uid="{5118CCE7-E331-462F-9F53-CCF1007A1D69}"/>
    <cellStyle name="Millares [0] 6 2 3 2 2 4" xfId="22242" xr:uid="{FC1D7DDC-621D-4D5F-9E12-9AD243B0853C}"/>
    <cellStyle name="Millares [0] 6 2 3 2 2 5" xfId="45689" xr:uid="{10B3F72F-5E57-4049-BCFB-D6479C8DED8D}"/>
    <cellStyle name="Millares [0] 6 2 3 2 2 6" xfId="50017" xr:uid="{BD62ED89-7A88-48B6-A07B-814FB85DEB28}"/>
    <cellStyle name="Millares [0] 6 2 3 2 3" xfId="10529" xr:uid="{EB2FE4F4-3CB2-4B42-B38D-8BA5056F191A}"/>
    <cellStyle name="Millares [0] 6 2 3 2 3 2" xfId="28090" xr:uid="{7451E6E5-181B-4C62-8797-D00C379764A3}"/>
    <cellStyle name="Millares [0] 6 2 3 2 4" xfId="13369" xr:uid="{E54D4BB2-ED15-4BBA-8FF6-CF6D74BDC32F}"/>
    <cellStyle name="Millares [0] 6 2 3 2 4 2" xfId="33972" xr:uid="{0C411BDC-6723-477C-8F1C-396E802C33DC}"/>
    <cellStyle name="Millares [0] 6 2 3 2 5" xfId="15648" xr:uid="{8961116A-BBAE-4DC3-87C7-76C0BAF4399B}"/>
    <cellStyle name="Millares [0] 6 2 3 2 5 2" xfId="39836" xr:uid="{C152E74A-1DA1-4549-9163-8FFEA02369B2}"/>
    <cellStyle name="Millares [0] 6 2 3 2 6" xfId="18050" xr:uid="{69D4AB15-A337-47E5-8C80-8EAD1083DDCE}"/>
    <cellStyle name="Millares [0] 6 2 3 2 7" xfId="43293" xr:uid="{2D143B66-CE78-4856-9671-ABA2B339BC61}"/>
    <cellStyle name="Millares [0] 6 2 3 2 8" xfId="48186" xr:uid="{B27F799F-C02C-41FA-BC1D-0AA47A83FB1A}"/>
    <cellStyle name="Millares [0] 6 2 3 3" xfId="2676" xr:uid="{2D8C559A-F8DF-4291-B817-DAFAAC6E8435}"/>
    <cellStyle name="Millares [0] 6 2 3 3 2" xfId="10947" xr:uid="{0416F401-845E-42D3-B0AD-3F97934085EF}"/>
    <cellStyle name="Millares [0] 6 2 3 3 2 2" xfId="41750" xr:uid="{B09E7319-A5D6-4E8C-9084-DA6FE3CA5F43}"/>
    <cellStyle name="Millares [0] 6 2 3 3 2 3" xfId="46107" xr:uid="{97EF94F9-0797-447A-84E3-CD3514D628E1}"/>
    <cellStyle name="Millares [0] 6 2 3 3 3" xfId="13787" xr:uid="{CF412210-46C2-4259-B565-478FCC6916AE}"/>
    <cellStyle name="Millares [0] 6 2 3 3 4" xfId="19469" xr:uid="{58C257B2-EC56-415B-9F8D-E03BE7E9F2F0}"/>
    <cellStyle name="Millares [0] 6 2 3 3 5" xfId="43711" xr:uid="{7FAAF4CD-2B60-4B94-89CB-E8E7F20855A0}"/>
    <cellStyle name="Millares [0] 6 2 3 3 6" xfId="48604" xr:uid="{CB180AB4-65C9-4820-8FF1-D9A8946CCF6C}"/>
    <cellStyle name="Millares [0] 6 2 3 4" xfId="3220" xr:uid="{24C7990F-DA21-468B-B618-E280137264D3}"/>
    <cellStyle name="Millares [0] 6 2 3 4 2" xfId="11491" xr:uid="{BC26973E-8743-408F-98D9-FC71AE8BB83C}"/>
    <cellStyle name="Millares [0] 6 2 3 4 2 2" xfId="46651" xr:uid="{A2789308-3639-416E-B05D-FC0801D83EA8}"/>
    <cellStyle name="Millares [0] 6 2 3 4 3" xfId="14331" xr:uid="{8E47BB01-EC30-441F-91ED-8A7F9B8DDB7E}"/>
    <cellStyle name="Millares [0] 6 2 3 4 4" xfId="25241" xr:uid="{A0FD809A-2917-462E-978D-C52C54761CE2}"/>
    <cellStyle name="Millares [0] 6 2 3 4 5" xfId="44255" xr:uid="{C17045D6-3845-4866-B668-520E2313E2FF}"/>
    <cellStyle name="Millares [0] 6 2 3 4 6" xfId="49148" xr:uid="{167B3915-57BB-4270-9464-392A9226D500}"/>
    <cellStyle name="Millares [0] 6 2 3 5" xfId="3722" xr:uid="{4DF837DD-B840-4309-98F9-05A3492237C5}"/>
    <cellStyle name="Millares [0] 6 2 3 5 2" xfId="11963" xr:uid="{4081BA13-4E47-466F-9CD5-233EA658D4B1}"/>
    <cellStyle name="Millares [0] 6 2 3 5 3" xfId="14803" xr:uid="{2FD41302-E143-4432-ABE6-D84B7E13A855}"/>
    <cellStyle name="Millares [0] 6 2 3 5 4" xfId="31115" xr:uid="{5FDD6413-4C48-4CDD-A61C-8BB013C3AEBD}"/>
    <cellStyle name="Millares [0] 6 2 3 5 5" xfId="44727" xr:uid="{61AE912A-3D70-442B-8F26-57881A7740B4}"/>
    <cellStyle name="Millares [0] 6 2 3 5 6" xfId="49620" xr:uid="{C73FF1F8-F2CC-4D07-8527-316BB1E8B7C0}"/>
    <cellStyle name="Millares [0] 6 2 3 6" xfId="4990" xr:uid="{72EE50E6-A820-4AE0-8DC3-462F5EB47078}"/>
    <cellStyle name="Millares [0] 6 2 3 6 2" xfId="12173" xr:uid="{88F107B6-057D-4536-9D8F-92F462874260}"/>
    <cellStyle name="Millares [0] 6 2 3 6 3" xfId="15014" xr:uid="{88574D28-BB12-4A36-A269-CE3FD91BC639}"/>
    <cellStyle name="Millares [0] 6 2 3 6 4" xfId="36993" xr:uid="{5F837553-AD5D-431F-8714-8C516195F9EA}"/>
    <cellStyle name="Millares [0] 6 2 3 6 5" xfId="45145" xr:uid="{05A70DEE-68AB-4787-87FC-6B136BD06B14}"/>
    <cellStyle name="Millares [0] 6 2 3 6 6" xfId="49830" xr:uid="{11FDE5F1-7F01-4A78-9A35-CA0383C46723}"/>
    <cellStyle name="Millares [0] 6 2 3 7" xfId="9985" xr:uid="{38F27B2A-51C5-4A7F-9442-C37A43A147B0}"/>
    <cellStyle name="Millares [0] 6 2 3 8" xfId="12825" xr:uid="{15E04256-2EB8-49FF-A1EE-CD1390201AD9}"/>
    <cellStyle name="Millares [0] 6 2 3 9" xfId="15460" xr:uid="{82F0641B-8BCA-4E30-A095-80D23B8B0A74}"/>
    <cellStyle name="Millares [0] 6 2 4" xfId="644" xr:uid="{00000000-0005-0000-0000-000079010000}"/>
    <cellStyle name="Millares [0] 6 2 4 10" xfId="17913" xr:uid="{04B48319-043A-4EA7-85F5-B91D56D30F82}"/>
    <cellStyle name="Millares [0] 6 2 4 11" xfId="42951" xr:uid="{575F0896-EADF-459E-BF43-FEDA7644DF0E}"/>
    <cellStyle name="Millares [0] 6 2 4 12" xfId="47844" xr:uid="{D4B5DAED-737A-4658-8546-E610D27EDF39}"/>
    <cellStyle name="Millares [0] 6 2 4 2" xfId="2878" xr:uid="{AF690B81-9971-4FC9-AF9E-5EAB6AECD1D6}"/>
    <cellStyle name="Millares [0] 6 2 4 2 2" xfId="11149" xr:uid="{0DFBB69C-16AB-4BB8-BAD2-D7D556FBAABF}"/>
    <cellStyle name="Millares [0] 6 2 4 2 2 2" xfId="41865" xr:uid="{CE893DE7-FC75-4274-AE8F-4F14951E3E45}"/>
    <cellStyle name="Millares [0] 6 2 4 2 2 3" xfId="46309" xr:uid="{2B2C2D22-9068-4656-8B61-A02BC03DDFDD}"/>
    <cellStyle name="Millares [0] 6 2 4 2 3" xfId="13989" xr:uid="{2373A44F-E989-4F18-8439-A61FBE7E7DA6}"/>
    <cellStyle name="Millares [0] 6 2 4 2 4" xfId="21306" xr:uid="{CF5F2F48-FCED-4AB8-9FEC-BE221951CE6A}"/>
    <cellStyle name="Millares [0] 6 2 4 2 5" xfId="43913" xr:uid="{D4393976-5F64-4B11-81CF-1B32EC32FF80}"/>
    <cellStyle name="Millares [0] 6 2 4 2 6" xfId="48806" xr:uid="{33BADB11-6420-481D-BF8D-AD6E5241BB4F}"/>
    <cellStyle name="Millares [0] 6 2 4 3" xfId="6885" xr:uid="{9E326507-A587-4E4A-A988-2673B1B9DDF2}"/>
    <cellStyle name="Millares [0] 6 2 4 3 2" xfId="12288" xr:uid="{C32B5849-6480-4BF5-BBE7-309A7F336F40}"/>
    <cellStyle name="Millares [0] 6 2 4 3 3" xfId="15129" xr:uid="{EDDD0590-4AC3-4D2F-A4FC-C8C15C93062F}"/>
    <cellStyle name="Millares [0] 6 2 4 3 4" xfId="27123" xr:uid="{182EE94F-F04A-4735-BCCC-03011074D163}"/>
    <cellStyle name="Millares [0] 6 2 4 3 5" xfId="45347" xr:uid="{ED277255-E9DC-443A-BFA3-567111AA674B}"/>
    <cellStyle name="Millares [0] 6 2 4 3 6" xfId="49945" xr:uid="{5BEABF43-6A9D-46A0-9BE4-BE6528393E33}"/>
    <cellStyle name="Millares [0] 6 2 4 4" xfId="10187" xr:uid="{ED3DEE95-3914-42BB-9DF0-78344CAD0F59}"/>
    <cellStyle name="Millares [0] 6 2 4 4 2" xfId="33001" xr:uid="{5A07804A-EDEC-4012-9DF7-525126B158E4}"/>
    <cellStyle name="Millares [0] 6 2 4 5" xfId="13027" xr:uid="{3ED7BD5E-D90D-40D9-AEB1-CA67CEC8FA74}"/>
    <cellStyle name="Millares [0] 6 2 4 5 2" xfId="38865" xr:uid="{D1A7D5FE-BC1E-4ECB-B02F-5DD9E6CCC228}"/>
    <cellStyle name="Millares [0] 6 2 4 6" xfId="15576" xr:uid="{314564EE-600D-48B9-8479-3DF969583718}"/>
    <cellStyle name="Millares [0] 6 2 4 7" xfId="16370" xr:uid="{BED36ED6-0EDF-4AE5-AD1A-AC35E750CA96}"/>
    <cellStyle name="Millares [0] 6 2 4 8" xfId="16913" xr:uid="{C913101B-0935-4D67-943C-7FE8A8A75B26}"/>
    <cellStyle name="Millares [0] 6 2 4 9" xfId="17457" xr:uid="{EE444B68-649C-4C2E-BA55-6989F6D95927}"/>
    <cellStyle name="Millares [0] 6 2 5" xfId="2042" xr:uid="{3E854B4B-1812-444F-9902-3C961C17EB16}"/>
    <cellStyle name="Millares [0] 6 2 5 2" xfId="10313" xr:uid="{34A49A25-9EFB-4008-B710-4C726C25E90D}"/>
    <cellStyle name="Millares [0] 6 2 5 2 2" xfId="41677" xr:uid="{51DD9115-0679-425E-9724-6E67DB168F7B}"/>
    <cellStyle name="Millares [0] 6 2 5 2 3" xfId="45473" xr:uid="{16529DA5-5C5B-4FF5-AF5E-8A23CF864CC2}"/>
    <cellStyle name="Millares [0] 6 2 5 3" xfId="13153" xr:uid="{2DC25320-7DF1-4C44-956F-655DF9961C79}"/>
    <cellStyle name="Millares [0] 6 2 5 4" xfId="18560" xr:uid="{3DD09818-5392-44ED-8C77-7C225628ECB5}"/>
    <cellStyle name="Millares [0] 6 2 5 5" xfId="43077" xr:uid="{5BB9DB2A-D294-485F-BB06-5DE36E26281E}"/>
    <cellStyle name="Millares [0] 6 2 5 6" xfId="47970" xr:uid="{1C52F70D-3EB8-4687-BAF6-98C7D8A68EC6}"/>
    <cellStyle name="Millares [0] 6 2 6" xfId="2460" xr:uid="{6DD88C5B-71F4-4525-9047-C5195C3AC645}"/>
    <cellStyle name="Millares [0] 6 2 6 2" xfId="10731" xr:uid="{B5F4FB8F-E4FD-49E0-91A3-94ECEFA4A923}"/>
    <cellStyle name="Millares [0] 6 2 6 2 2" xfId="45891" xr:uid="{481A5A33-BC38-4F97-9A79-F4BA6C0013E4}"/>
    <cellStyle name="Millares [0] 6 2 6 3" xfId="13571" xr:uid="{DEC7CBDC-4DAD-48E7-850A-0AAE17F52446}"/>
    <cellStyle name="Millares [0] 6 2 6 4" xfId="24272" xr:uid="{98B19C33-5D78-4FCF-B0B0-9F36B97187B1}"/>
    <cellStyle name="Millares [0] 6 2 6 5" xfId="43495" xr:uid="{CB80D032-A33F-4A8C-96A0-7F1FF4EC97AD}"/>
    <cellStyle name="Millares [0] 6 2 6 6" xfId="48388" xr:uid="{8C0EAA32-2D16-4245-82BE-20688642F328}"/>
    <cellStyle name="Millares [0] 6 2 7" xfId="3004" xr:uid="{B45F1134-89F5-457C-8C35-4C63CE8D3889}"/>
    <cellStyle name="Millares [0] 6 2 7 2" xfId="11275" xr:uid="{54EB5820-5649-4171-8AC6-DEAD040C8E33}"/>
    <cellStyle name="Millares [0] 6 2 7 2 2" xfId="46435" xr:uid="{3BCB3243-490B-498A-AE94-FB498ACD60E3}"/>
    <cellStyle name="Millares [0] 6 2 7 3" xfId="14115" xr:uid="{1EE4D719-064E-441E-8EE4-403DFABF2FBD}"/>
    <cellStyle name="Millares [0] 6 2 7 4" xfId="30150" xr:uid="{3BE89CD8-5036-4E13-AF29-363537B5EC29}"/>
    <cellStyle name="Millares [0] 6 2 7 5" xfId="44039" xr:uid="{A11C1FC3-AC3B-4AD3-8DF6-82A004E5DBD6}"/>
    <cellStyle name="Millares [0] 6 2 7 6" xfId="48932" xr:uid="{D40F023F-4506-41E3-A2A7-FFB1C868565D}"/>
    <cellStyle name="Millares [0] 6 2 8" xfId="3506" xr:uid="{FA533840-3035-4701-921A-D0924D85B8CF}"/>
    <cellStyle name="Millares [0] 6 2 8 2" xfId="11747" xr:uid="{5CCD3D88-17A4-49B5-BC57-D98129228173}"/>
    <cellStyle name="Millares [0] 6 2 8 3" xfId="14587" xr:uid="{6B50DFE9-3D72-4496-B8C8-5DE78C5AD917}"/>
    <cellStyle name="Millares [0] 6 2 8 4" xfId="36029" xr:uid="{28E7A130-6ADE-4F5E-B609-8FADB90202FD}"/>
    <cellStyle name="Millares [0] 6 2 8 5" xfId="44511" xr:uid="{D1A4B1C9-BA24-422C-9EE3-FE08895AB1C5}"/>
    <cellStyle name="Millares [0] 6 2 8 6" xfId="49404" xr:uid="{DCD91EEF-CA43-43FE-94D2-3B722204814C}"/>
    <cellStyle name="Millares [0] 6 2 9" xfId="4033" xr:uid="{3F7522B1-889A-4C83-8855-CEE7433E99B7}"/>
    <cellStyle name="Millares [0] 6 2 9 2" xfId="12100" xr:uid="{62D7181F-6836-46A6-9235-17F8DCC84987}"/>
    <cellStyle name="Millares [0] 6 2 9 3" xfId="14941" xr:uid="{4E1BBAAE-F8E2-4369-B016-C5A189C2A893}"/>
    <cellStyle name="Millares [0] 6 2 9 4" xfId="44929" xr:uid="{DDCACE3F-6DDD-48E4-ACA3-7628E9C90921}"/>
    <cellStyle name="Millares [0] 6 2 9 5" xfId="49757" xr:uid="{1B072FC8-A671-4CDD-998E-5013CCFB2A73}"/>
    <cellStyle name="Millares [0] 6 20" xfId="16970" xr:uid="{B6DAC763-AD40-4B22-8A6C-6560722634E4}"/>
    <cellStyle name="Millares [0] 6 21" xfId="17494" xr:uid="{8A4D772F-B85D-4630-A7EE-A40E12895666}"/>
    <cellStyle name="Millares [0] 6 22" xfId="42090" xr:uid="{C28F58D0-634C-4BD4-87FB-81193AFD44D6}"/>
    <cellStyle name="Millares [0] 6 23" xfId="42140" xr:uid="{A66317DF-37A4-4341-8198-3A5DC1138D9B}"/>
    <cellStyle name="Millares [0] 6 24" xfId="42464" xr:uid="{9AAC58EF-D2DD-4992-9C28-B6C9372E5E4F}"/>
    <cellStyle name="Millares [0] 6 25" xfId="47357" xr:uid="{02E830D7-CC11-40C9-B47A-216E18524680}"/>
    <cellStyle name="Millares [0] 6 26" xfId="50201" xr:uid="{E8065773-BB2C-49B2-BF7B-F37D5E7F00D2}"/>
    <cellStyle name="Millares [0] 6 27" xfId="50275" xr:uid="{CB06C08D-5E02-4B4D-A90C-2C1C19FABCDE}"/>
    <cellStyle name="Millares [0] 6 3" xfId="176" xr:uid="{00000000-0005-0000-0000-00007A010000}"/>
    <cellStyle name="Millares [0] 6 3 10" xfId="9743" xr:uid="{A7BB1E90-780D-40C5-8EFD-12F07DC889FA}"/>
    <cellStyle name="Millares [0] 6 3 11" xfId="12583" xr:uid="{D1B2C81A-A9A9-49A5-9E4A-03F727C288A4}"/>
    <cellStyle name="Millares [0] 6 3 12" xfId="15411" xr:uid="{B62A481E-FCE8-4DD9-BB87-3ECDDC40422F}"/>
    <cellStyle name="Millares [0] 6 3 13" xfId="15926" xr:uid="{D39DADB7-E735-4714-B60D-6D365686B7FD}"/>
    <cellStyle name="Millares [0] 6 3 14" xfId="16469" xr:uid="{AE2FC414-0EDF-4793-A54C-181846D2139A}"/>
    <cellStyle name="Millares [0] 6 3 15" xfId="17013" xr:uid="{835BBC58-3566-4A77-AF5F-AE34051EBF80}"/>
    <cellStyle name="Millares [0] 6 3 16" xfId="17581" xr:uid="{6189142D-067F-469C-B054-A5F23DDE42DC}"/>
    <cellStyle name="Millares [0] 6 3 17" xfId="42507" xr:uid="{11EF1EF7-E1C8-40A3-BB1A-01B8E1B6E569}"/>
    <cellStyle name="Millares [0] 6 3 18" xfId="47400" xr:uid="{F5539427-D7DB-4DAD-B4E4-1B906C12BC61}"/>
    <cellStyle name="Millares [0] 6 3 19" xfId="50347" xr:uid="{4AA63785-388B-490B-9E71-66835D38F30C}"/>
    <cellStyle name="Millares [0] 6 3 2" xfId="289" xr:uid="{00000000-0005-0000-0000-00007B010000}"/>
    <cellStyle name="Millares [0] 6 3 2 10" xfId="15484" xr:uid="{4877BCAA-7349-4F02-8B9C-812B6FCC8CA8}"/>
    <cellStyle name="Millares [0] 6 3 2 11" xfId="16030" xr:uid="{D65BB98B-8B01-4D2B-8BEE-9286BA6A98E5}"/>
    <cellStyle name="Millares [0] 6 3 2 12" xfId="16573" xr:uid="{98BF2200-FCD4-48B9-8429-C0F140318803}"/>
    <cellStyle name="Millares [0] 6 3 2 13" xfId="17117" xr:uid="{97EE6DAE-A5C5-4EA5-AB5E-206BE9C16BBC}"/>
    <cellStyle name="Millares [0] 6 3 2 14" xfId="17713" xr:uid="{DD3D692D-7CC6-4475-94EE-7BCE79470008}"/>
    <cellStyle name="Millares [0] 6 3 2 15" xfId="42611" xr:uid="{55BC8ED4-56E1-4B4A-A69A-C728EC638354}"/>
    <cellStyle name="Millares [0] 6 3 2 16" xfId="47504" xr:uid="{12E23F05-44B3-461A-AE77-A137CA6B65C9}"/>
    <cellStyle name="Millares [0] 6 3 2 2" xfId="516" xr:uid="{00000000-0005-0000-0000-00007C010000}"/>
    <cellStyle name="Millares [0] 6 3 2 2 10" xfId="16242" xr:uid="{3CD15698-4CA5-420A-833F-B198F3D96924}"/>
    <cellStyle name="Millares [0] 6 3 2 2 11" xfId="16785" xr:uid="{D2440B12-463B-45C2-BE6C-83728B871E8F}"/>
    <cellStyle name="Millares [0] 6 3 2 2 12" xfId="17329" xr:uid="{B3A6F726-0787-4205-A86D-6AB0D994C923}"/>
    <cellStyle name="Millares [0] 6 3 2 2 13" xfId="18095" xr:uid="{CD95FA78-67AA-445B-A16A-86A37876CAA1}"/>
    <cellStyle name="Millares [0] 6 3 2 2 14" xfId="42823" xr:uid="{7C660AE2-5340-4955-9273-FFF15A491081}"/>
    <cellStyle name="Millares [0] 6 3 2 2 15" xfId="47716" xr:uid="{656D29AF-DA46-46D2-A038-04429024978F}"/>
    <cellStyle name="Millares [0] 6 3 2 2 2" xfId="2332" xr:uid="{FAFB93AB-3233-4D0A-BB27-AF94EBB3E1A0}"/>
    <cellStyle name="Millares [0] 6 3 2 2 2 2" xfId="10603" xr:uid="{3649EA4C-011E-4114-B41E-C9E2AE0FFA05}"/>
    <cellStyle name="Millares [0] 6 3 2 2 2 2 2" xfId="41961" xr:uid="{D624ED6D-7AD1-461D-A1F3-2A26518F40AC}"/>
    <cellStyle name="Millares [0] 6 3 2 2 2 2 3" xfId="45763" xr:uid="{512AB19A-7C4D-4E5F-9AFB-6B9B7AE30315}"/>
    <cellStyle name="Millares [0] 6 3 2 2 2 3" xfId="13443" xr:uid="{0BDFFDFE-CC86-4CEE-BF59-96343A3CFDF6}"/>
    <cellStyle name="Millares [0] 6 3 2 2 2 4" xfId="22522" xr:uid="{A94AFA22-CAFD-4B79-8836-72D0E3D7A32C}"/>
    <cellStyle name="Millares [0] 6 3 2 2 2 5" xfId="43367" xr:uid="{7F67851E-F0F8-4CE1-ADBC-5EB18ED62A5A}"/>
    <cellStyle name="Millares [0] 6 3 2 2 2 6" xfId="48260" xr:uid="{6AC0A0A9-069C-4FB7-912F-1313FFFBD4DF}"/>
    <cellStyle name="Millares [0] 6 3 2 2 3" xfId="2750" xr:uid="{A00A65DC-DF8F-455D-BC55-23F7E6E53B57}"/>
    <cellStyle name="Millares [0] 6 3 2 2 3 2" xfId="11021" xr:uid="{9A171209-E6F1-4DCA-A9B9-9E0D266CDEFB}"/>
    <cellStyle name="Millares [0] 6 3 2 2 3 2 2" xfId="46181" xr:uid="{7E0B1B62-9D49-48F5-AF92-BA85BAB83909}"/>
    <cellStyle name="Millares [0] 6 3 2 2 3 3" xfId="13861" xr:uid="{12568675-98D1-419F-B25B-9435062D3624}"/>
    <cellStyle name="Millares [0] 6 3 2 2 3 4" xfId="28379" xr:uid="{F20CC1DF-1698-4119-9793-57EC94A3E038}"/>
    <cellStyle name="Millares [0] 6 3 2 2 3 5" xfId="43785" xr:uid="{7CD5840C-EC43-46A8-80AB-220EC393EF02}"/>
    <cellStyle name="Millares [0] 6 3 2 2 3 6" xfId="48678" xr:uid="{BCF966A8-F6BE-4B4C-AAA7-BDABED614D16}"/>
    <cellStyle name="Millares [0] 6 3 2 2 4" xfId="3294" xr:uid="{635949F6-E8F3-4155-8298-A79CF40FBE6A}"/>
    <cellStyle name="Millares [0] 6 3 2 2 4 2" xfId="11565" xr:uid="{CC735288-9F38-4A40-B6EA-69D762CA257A}"/>
    <cellStyle name="Millares [0] 6 3 2 2 4 2 2" xfId="46725" xr:uid="{F956D6D8-A986-4E07-AD73-4B6CD4566E7B}"/>
    <cellStyle name="Millares [0] 6 3 2 2 4 3" xfId="14405" xr:uid="{AD2CC807-151D-4E4B-8084-40D76CE822AA}"/>
    <cellStyle name="Millares [0] 6 3 2 2 4 4" xfId="34261" xr:uid="{A6500419-87BE-4D36-A3C2-DBE51544A0E4}"/>
    <cellStyle name="Millares [0] 6 3 2 2 4 5" xfId="44329" xr:uid="{9723AFDD-8669-4C59-A30A-A171E3793560}"/>
    <cellStyle name="Millares [0] 6 3 2 2 4 6" xfId="49222" xr:uid="{6F349411-60EE-49F4-A962-0D9E0DE17C41}"/>
    <cellStyle name="Millares [0] 6 3 2 2 5" xfId="3796" xr:uid="{284E9E54-C35E-428C-A59A-AAEED798BA05}"/>
    <cellStyle name="Millares [0] 6 3 2 2 5 2" xfId="12037" xr:uid="{F0ACD4CE-832C-441A-8151-BE315BC9E7AA}"/>
    <cellStyle name="Millares [0] 6 3 2 2 5 3" xfId="14877" xr:uid="{0E701D52-D4EA-41EA-A5F6-EB30A9F2A59B}"/>
    <cellStyle name="Millares [0] 6 3 2 2 5 4" xfId="40125" xr:uid="{11048DEB-B2C7-4BE5-AEDE-B1F9E5B9B01E}"/>
    <cellStyle name="Millares [0] 6 3 2 2 5 5" xfId="44801" xr:uid="{FC85E78D-61AA-484C-8D93-059EDBDD2F1F}"/>
    <cellStyle name="Millares [0] 6 3 2 2 5 6" xfId="49694" xr:uid="{E893C3E6-A0C3-4D4A-A18A-716DBC2C71E1}"/>
    <cellStyle name="Millares [0] 6 3 2 2 6" xfId="8146" xr:uid="{CEF7E69F-4795-4762-A0AF-B12F6B887162}"/>
    <cellStyle name="Millares [0] 6 3 2 2 6 2" xfId="12384" xr:uid="{07C2D7AF-E1F5-4CF1-84DE-9F7F1044AC3A}"/>
    <cellStyle name="Millares [0] 6 3 2 2 6 3" xfId="15225" xr:uid="{AAD7BD33-3B37-47E8-B57D-41522A2C9FD6}"/>
    <cellStyle name="Millares [0] 6 3 2 2 6 4" xfId="45219" xr:uid="{9D3FE0F8-0488-49EA-82C7-F73AB6A501FD}"/>
    <cellStyle name="Millares [0] 6 3 2 2 6 5" xfId="50041" xr:uid="{0BEB2227-7612-46E9-A178-58279F452A59}"/>
    <cellStyle name="Millares [0] 6 3 2 2 7" xfId="10059" xr:uid="{F8EBEF33-C409-4CE8-817E-90BFCF8F4FA6}"/>
    <cellStyle name="Millares [0] 6 3 2 2 8" xfId="12899" xr:uid="{2BBB22FC-650F-4FAB-8033-680F468FDAEC}"/>
    <cellStyle name="Millares [0] 6 3 2 2 9" xfId="15672" xr:uid="{84247EFB-B96F-453C-A872-7FDB7F905A94}"/>
    <cellStyle name="Millares [0] 6 3 2 3" xfId="2120" xr:uid="{15D9AF97-C3AA-4AB4-ABBF-7E68AE0746BE}"/>
    <cellStyle name="Millares [0] 6 3 2 3 2" xfId="10391" xr:uid="{616CB012-E627-4EB0-9999-E2D74A2382A0}"/>
    <cellStyle name="Millares [0] 6 3 2 3 2 2" xfId="41774" xr:uid="{720E541F-2C13-42D0-A3AE-AE7CC6689E47}"/>
    <cellStyle name="Millares [0] 6 3 2 3 2 3" xfId="45551" xr:uid="{2D632995-2642-4B2C-9584-A3EFCB781846}"/>
    <cellStyle name="Millares [0] 6 3 2 3 3" xfId="13231" xr:uid="{29C4D4D1-C5AB-4E15-8C21-57872A99B68C}"/>
    <cellStyle name="Millares [0] 6 3 2 3 4" xfId="19747" xr:uid="{D6BF3C8B-D223-4150-AC65-B97A0FF93A2A}"/>
    <cellStyle name="Millares [0] 6 3 2 3 5" xfId="43155" xr:uid="{8FE6959C-B9BC-4923-A171-D7EED95F79FD}"/>
    <cellStyle name="Millares [0] 6 3 2 3 6" xfId="48048" xr:uid="{DFBD562D-3784-4AA2-8D2C-B55254B5CDD7}"/>
    <cellStyle name="Millares [0] 6 3 2 4" xfId="2538" xr:uid="{58D89BEE-048F-4A24-A1EE-6CCD53A44F9F}"/>
    <cellStyle name="Millares [0] 6 3 2 4 2" xfId="10809" xr:uid="{495F3F2F-9864-4583-A1C5-8C4647532D2B}"/>
    <cellStyle name="Millares [0] 6 3 2 4 2 2" xfId="45969" xr:uid="{84C6F7B8-C41D-4727-89E7-58E3A43D1932}"/>
    <cellStyle name="Millares [0] 6 3 2 4 3" xfId="13649" xr:uid="{36AFBF42-3D87-4ED0-9296-B51F924CCD4C}"/>
    <cellStyle name="Millares [0] 6 3 2 4 4" xfId="25530" xr:uid="{BBB5A70D-F538-4E00-B203-36007E5ACB98}"/>
    <cellStyle name="Millares [0] 6 3 2 4 5" xfId="43573" xr:uid="{1DEAC260-43D9-4F7F-84C2-CDE787B335C3}"/>
    <cellStyle name="Millares [0] 6 3 2 4 6" xfId="48466" xr:uid="{BC6AB798-6522-44BF-A81D-0431FEA541AA}"/>
    <cellStyle name="Millares [0] 6 3 2 5" xfId="3082" xr:uid="{F5EB54D4-4F49-4322-B1C1-940B30A8545E}"/>
    <cellStyle name="Millares [0] 6 3 2 5 2" xfId="11353" xr:uid="{5E0DF4E3-24A6-4809-88DE-BE735FB6ADFF}"/>
    <cellStyle name="Millares [0] 6 3 2 5 2 2" xfId="46513" xr:uid="{86537811-EDB0-46EB-B1DF-FCF141A76A39}"/>
    <cellStyle name="Millares [0] 6 3 2 5 3" xfId="14193" xr:uid="{6AF7103A-3A9A-4396-8308-0D9CD0802350}"/>
    <cellStyle name="Millares [0] 6 3 2 5 4" xfId="31404" xr:uid="{36074C20-CBC5-413C-BDBA-0660EBC3146B}"/>
    <cellStyle name="Millares [0] 6 3 2 5 5" xfId="44117" xr:uid="{BD97D917-74FF-4D84-9BF3-A64FA6874908}"/>
    <cellStyle name="Millares [0] 6 3 2 5 6" xfId="49010" xr:uid="{E22FA565-FFFD-418E-B71A-7F3594B5CF3E}"/>
    <cellStyle name="Millares [0] 6 3 2 6" xfId="3584" xr:uid="{BD1B5E35-DF0A-4A9F-A662-16207E0404AC}"/>
    <cellStyle name="Millares [0] 6 3 2 6 2" xfId="11825" xr:uid="{E5C05596-6385-4397-82DD-BCFF6D065801}"/>
    <cellStyle name="Millares [0] 6 3 2 6 3" xfId="14665" xr:uid="{44663B47-EECC-4F8A-8D39-4185ADE3E71F}"/>
    <cellStyle name="Millares [0] 6 3 2 6 4" xfId="37275" xr:uid="{852808D6-2C28-4C64-8D8D-C2AFD2979188}"/>
    <cellStyle name="Millares [0] 6 3 2 6 5" xfId="44589" xr:uid="{BBE0C577-8395-4916-BC81-1A9EBC2E84CE}"/>
    <cellStyle name="Millares [0] 6 3 2 6 6" xfId="49482" xr:uid="{EB1D6DCC-5FC5-4EF6-B3F1-E764DEAE7289}"/>
    <cellStyle name="Millares [0] 6 3 2 7" xfId="5279" xr:uid="{6A90E0D5-709F-4C71-A69B-0B3A3625D9DA}"/>
    <cellStyle name="Millares [0] 6 3 2 7 2" xfId="12197" xr:uid="{3ECA72F0-FFD2-4298-92D6-6249B2F7F2C4}"/>
    <cellStyle name="Millares [0] 6 3 2 7 3" xfId="15038" xr:uid="{7E214414-557A-4A49-A233-A038A3D4ABB6}"/>
    <cellStyle name="Millares [0] 6 3 2 7 4" xfId="45007" xr:uid="{77D88395-789A-4F88-84B9-DC8C1179389F}"/>
    <cellStyle name="Millares [0] 6 3 2 7 5" xfId="49854" xr:uid="{8A8C0F01-AFF0-448F-B180-27BB483D9624}"/>
    <cellStyle name="Millares [0] 6 3 2 8" xfId="9847" xr:uid="{5B55655A-89B8-43E8-A791-B48E73DCBAF8}"/>
    <cellStyle name="Millares [0] 6 3 2 9" xfId="12687" xr:uid="{517B6175-0604-4C2F-BFDE-65DA27C8A954}"/>
    <cellStyle name="Millares [0] 6 3 3" xfId="415" xr:uid="{00000000-0005-0000-0000-00007D010000}"/>
    <cellStyle name="Millares [0] 6 3 3 10" xfId="16142" xr:uid="{26F3FAF2-D1A9-45C4-BDA0-F3CECBC7E404}"/>
    <cellStyle name="Millares [0] 6 3 3 11" xfId="16685" xr:uid="{4D3DB7E2-2BDF-4875-94FC-A94780EFFC6C}"/>
    <cellStyle name="Millares [0] 6 3 3 12" xfId="17229" xr:uid="{6002C685-F409-4B7F-B002-DE76174182B2}"/>
    <cellStyle name="Millares [0] 6 3 3 13" xfId="17956" xr:uid="{3A15F309-2120-42BE-913D-5813D03D7A97}"/>
    <cellStyle name="Millares [0] 6 3 3 14" xfId="42723" xr:uid="{8E933341-0DB3-4EB5-8C12-86B1E0DE95DA}"/>
    <cellStyle name="Millares [0] 6 3 3 15" xfId="47616" xr:uid="{5DDEBD00-3B43-406A-963B-C8B453F73624}"/>
    <cellStyle name="Millares [0] 6 3 3 2" xfId="2232" xr:uid="{46AA91D9-8468-400F-9A0D-BF71BAB0D4BD}"/>
    <cellStyle name="Millares [0] 6 3 3 2 2" xfId="10503" xr:uid="{C2B7E24B-105F-40CF-A41B-0E0E20C81427}"/>
    <cellStyle name="Millares [0] 6 3 3 2 2 2" xfId="41889" xr:uid="{C65ADF5D-D751-4FC8-8FF6-90D56D3C7547}"/>
    <cellStyle name="Millares [0] 6 3 3 2 2 3" xfId="45663" xr:uid="{5A331476-3361-4873-B2A6-7FD0D6ADFDE4}"/>
    <cellStyle name="Millares [0] 6 3 3 2 3" xfId="13343" xr:uid="{2F87E5F3-FBDE-415D-AD14-21EF248A9933}"/>
    <cellStyle name="Millares [0] 6 3 3 2 4" xfId="21581" xr:uid="{F9C2F0A7-A7E7-4296-B420-F5F971C35F5F}"/>
    <cellStyle name="Millares [0] 6 3 3 2 5" xfId="43267" xr:uid="{CBBCF34E-8DB0-444A-8A8C-B5E82613C702}"/>
    <cellStyle name="Millares [0] 6 3 3 2 6" xfId="48160" xr:uid="{CB2BF90A-F69C-4439-81B3-8B870B2604FE}"/>
    <cellStyle name="Millares [0] 6 3 3 3" xfId="2650" xr:uid="{AE4E5715-F6B4-43C2-80A2-846141FFF7F8}"/>
    <cellStyle name="Millares [0] 6 3 3 3 2" xfId="10921" xr:uid="{32BC7111-AC6F-483C-84DD-8CC168866AAB}"/>
    <cellStyle name="Millares [0] 6 3 3 3 2 2" xfId="46081" xr:uid="{601AB25F-BB69-474E-86DB-C83C85F3F79C}"/>
    <cellStyle name="Millares [0] 6 3 3 3 3" xfId="13761" xr:uid="{CB749161-7CDC-421E-9693-F323FBAD1D47}"/>
    <cellStyle name="Millares [0] 6 3 3 3 4" xfId="27408" xr:uid="{5CF664DB-06B2-4062-B285-153CE05B8C75}"/>
    <cellStyle name="Millares [0] 6 3 3 3 5" xfId="43685" xr:uid="{CC278F42-DFD4-43BC-BFDD-B39F65DFC0F2}"/>
    <cellStyle name="Millares [0] 6 3 3 3 6" xfId="48578" xr:uid="{F8773952-3DF7-471C-A907-A0FF9032F8A9}"/>
    <cellStyle name="Millares [0] 6 3 3 4" xfId="3194" xr:uid="{2C65160F-17F5-428E-BE81-996AFFF4CBEF}"/>
    <cellStyle name="Millares [0] 6 3 3 4 2" xfId="11465" xr:uid="{7665F2A0-633E-47A5-BD56-62EBA73D8501}"/>
    <cellStyle name="Millares [0] 6 3 3 4 2 2" xfId="46625" xr:uid="{E3940C16-B444-4EFE-B041-69B0532F92A9}"/>
    <cellStyle name="Millares [0] 6 3 3 4 3" xfId="14305" xr:uid="{63406DF2-5337-40FA-8C43-3BBFC2DBE47F}"/>
    <cellStyle name="Millares [0] 6 3 3 4 4" xfId="33290" xr:uid="{56EAF654-6019-4EAD-99E8-49FA6FA169A7}"/>
    <cellStyle name="Millares [0] 6 3 3 4 5" xfId="44229" xr:uid="{C37461C7-7B05-45E0-87F5-EF26B7EBC601}"/>
    <cellStyle name="Millares [0] 6 3 3 4 6" xfId="49122" xr:uid="{CD31501D-EA4B-41D8-9B27-D4101174384A}"/>
    <cellStyle name="Millares [0] 6 3 3 5" xfId="3696" xr:uid="{BC93CA10-8AC8-4E0C-ACC1-741023747A5A}"/>
    <cellStyle name="Millares [0] 6 3 3 5 2" xfId="11937" xr:uid="{15C31197-E212-4AF4-9CC9-40F610A4E377}"/>
    <cellStyle name="Millares [0] 6 3 3 5 3" xfId="14777" xr:uid="{8F5B6C88-B689-4719-BA7D-FCC85ABFB25F}"/>
    <cellStyle name="Millares [0] 6 3 3 5 4" xfId="39154" xr:uid="{EBC8E473-AA8A-4A3D-8E0B-B571F566A06F}"/>
    <cellStyle name="Millares [0] 6 3 3 5 5" xfId="44701" xr:uid="{689D5E0D-2023-4196-8FF8-A1F3E872BA45}"/>
    <cellStyle name="Millares [0] 6 3 3 5 6" xfId="49594" xr:uid="{747E5FA7-5140-4D40-97C8-2AFC45FA140C}"/>
    <cellStyle name="Millares [0] 6 3 3 6" xfId="7174" xr:uid="{D6175CA2-28B1-437D-89DC-B2B79232F924}"/>
    <cellStyle name="Millares [0] 6 3 3 6 2" xfId="12312" xr:uid="{AE28E317-E50A-4331-962D-B623DDB6FD02}"/>
    <cellStyle name="Millares [0] 6 3 3 6 3" xfId="15153" xr:uid="{F49A3C8A-1A44-4D6E-A16C-22DCAC583B16}"/>
    <cellStyle name="Millares [0] 6 3 3 6 4" xfId="45119" xr:uid="{6C2201BC-D2B9-4CCF-B5C0-DD6A3688EA14}"/>
    <cellStyle name="Millares [0] 6 3 3 6 5" xfId="49969" xr:uid="{58397928-642B-4076-B903-7881EF10B71B}"/>
    <cellStyle name="Millares [0] 6 3 3 7" xfId="9959" xr:uid="{62D7C2BD-9987-4FA5-BEA0-788304EEF6E6}"/>
    <cellStyle name="Millares [0] 6 3 3 8" xfId="12799" xr:uid="{F932986E-130C-4D11-9099-EF482EFCA79E}"/>
    <cellStyle name="Millares [0] 6 3 3 9" xfId="15600" xr:uid="{FF50F440-493E-4F0F-9B9E-654F24125FF3}"/>
    <cellStyle name="Millares [0] 6 3 4" xfId="618" xr:uid="{00000000-0005-0000-0000-00007E010000}"/>
    <cellStyle name="Millares [0] 6 3 4 10" xfId="47818" xr:uid="{7FD44123-76F3-4315-B500-3539E98F87BF}"/>
    <cellStyle name="Millares [0] 6 3 4 2" xfId="2852" xr:uid="{2DAC8386-2E13-4804-A74E-CB8EE57131D7}"/>
    <cellStyle name="Millares [0] 6 3 4 2 2" xfId="11123" xr:uid="{93D9A1FD-0966-4DD0-AF23-F9A1C7ECCDF3}"/>
    <cellStyle name="Millares [0] 6 3 4 2 2 2" xfId="46283" xr:uid="{C4819181-9993-44AC-9384-1315B64872A4}"/>
    <cellStyle name="Millares [0] 6 3 4 2 3" xfId="13963" xr:uid="{FF6A0F2A-627F-4BC6-8E03-F29D64E7C567}"/>
    <cellStyle name="Millares [0] 6 3 4 2 4" xfId="41702" xr:uid="{D45FD7CE-6218-46DE-98A4-5E4D20962B9F}"/>
    <cellStyle name="Millares [0] 6 3 4 2 5" xfId="43887" xr:uid="{A7955F64-62D1-4AA6-A2CB-BEC7F432EB20}"/>
    <cellStyle name="Millares [0] 6 3 4 2 6" xfId="48780" xr:uid="{B6EB4DD2-45CD-48BF-AF5D-68CE321D7BC3}"/>
    <cellStyle name="Millares [0] 6 3 4 3" xfId="10161" xr:uid="{CDA968B7-F969-41F5-9078-B3064CCD2F6F}"/>
    <cellStyle name="Millares [0] 6 3 4 3 2" xfId="45321" xr:uid="{C2D52C75-2053-4A5E-9291-3DCA3EC7D3A1}"/>
    <cellStyle name="Millares [0] 6 3 4 4" xfId="13001" xr:uid="{D2499540-D768-45B0-AA17-7AD7A548DF50}"/>
    <cellStyle name="Millares [0] 6 3 4 5" xfId="16344" xr:uid="{F6776B15-9CDB-4860-9271-186A3BC7AE17}"/>
    <cellStyle name="Millares [0] 6 3 4 6" xfId="16887" xr:uid="{7A7F6E12-44B3-417E-93F1-48CF00D20A24}"/>
    <cellStyle name="Millares [0] 6 3 4 7" xfId="17431" xr:uid="{EEC4DE10-821D-4859-B1E5-613CA0DA5329}"/>
    <cellStyle name="Millares [0] 6 3 4 8" xfId="18818" xr:uid="{60A3C250-78B3-4ADA-96E2-703ECF41649A}"/>
    <cellStyle name="Millares [0] 6 3 4 9" xfId="42925" xr:uid="{CA84B8FE-EE4D-4A4C-AC9D-377949B02952}"/>
    <cellStyle name="Millares [0] 6 3 5" xfId="2016" xr:uid="{CD7215DD-4D6B-4080-9909-160111DB6EE2}"/>
    <cellStyle name="Millares [0] 6 3 5 2" xfId="10287" xr:uid="{8E94E74E-DF00-4AA1-9C3C-542343B22DBE}"/>
    <cellStyle name="Millares [0] 6 3 5 2 2" xfId="45447" xr:uid="{D95790E6-02C1-4DEF-8295-7F007228547F}"/>
    <cellStyle name="Millares [0] 6 3 5 3" xfId="13127" xr:uid="{9AEBAFDE-3E55-4859-ABA2-EE2FDD879A00}"/>
    <cellStyle name="Millares [0] 6 3 5 4" xfId="24559" xr:uid="{0D2261D0-A51B-46DF-A1F1-A4312192C47C}"/>
    <cellStyle name="Millares [0] 6 3 5 5" xfId="43051" xr:uid="{0DB0B8FB-D3F0-4CEE-88F4-06AC7E883DC7}"/>
    <cellStyle name="Millares [0] 6 3 5 6" xfId="47944" xr:uid="{77B0BF54-2015-427F-9F60-A0671D6A5432}"/>
    <cellStyle name="Millares [0] 6 3 6" xfId="2434" xr:uid="{5BA9C6E4-8672-4FCA-BBB1-66C2E63EAB4F}"/>
    <cellStyle name="Millares [0] 6 3 6 2" xfId="10705" xr:uid="{1AFAA2A1-0F2B-4B6F-9819-9DF386CAA4B0}"/>
    <cellStyle name="Millares [0] 6 3 6 2 2" xfId="45865" xr:uid="{1614A899-3243-46EB-9F66-523D5FD07DB7}"/>
    <cellStyle name="Millares [0] 6 3 6 3" xfId="13545" xr:uid="{E2C036AF-C1C5-467F-92BC-289AD23EB543}"/>
    <cellStyle name="Millares [0] 6 3 6 4" xfId="30438" xr:uid="{9BBF69CE-7DDA-4724-BC71-F6BD28518CAB}"/>
    <cellStyle name="Millares [0] 6 3 6 5" xfId="43469" xr:uid="{8F3624D1-5F99-48EF-853C-E29CD279D080}"/>
    <cellStyle name="Millares [0] 6 3 6 6" xfId="48362" xr:uid="{557DC7E3-A06F-4159-9191-DD0506269D79}"/>
    <cellStyle name="Millares [0] 6 3 7" xfId="2978" xr:uid="{52089EC0-4E5E-4D20-8170-58D1FC76487B}"/>
    <cellStyle name="Millares [0] 6 3 7 2" xfId="11249" xr:uid="{275ADAF3-493F-45B7-898D-A9DEDA63A8F8}"/>
    <cellStyle name="Millares [0] 6 3 7 2 2" xfId="46409" xr:uid="{E5CC41A4-D078-47E8-AF64-F7C13B27D57F}"/>
    <cellStyle name="Millares [0] 6 3 7 3" xfId="14089" xr:uid="{9840D267-55DD-4A75-B530-EC6C908344AF}"/>
    <cellStyle name="Millares [0] 6 3 7 4" xfId="36318" xr:uid="{5927E256-E5AD-4CC1-9352-BC57D2AF99C0}"/>
    <cellStyle name="Millares [0] 6 3 7 5" xfId="44013" xr:uid="{88134491-2B4A-4A05-A871-DD2BD88F11C5}"/>
    <cellStyle name="Millares [0] 6 3 7 6" xfId="48906" xr:uid="{066B252B-A321-441A-93BC-665E40A34A6E}"/>
    <cellStyle name="Millares [0] 6 3 8" xfId="3480" xr:uid="{53F68AD8-3671-4DA0-ACA5-FAC1E63E6D03}"/>
    <cellStyle name="Millares [0] 6 3 8 2" xfId="11721" xr:uid="{D5EFE5CA-FDCA-4850-B4B8-5DDBCC8A185C}"/>
    <cellStyle name="Millares [0] 6 3 8 3" xfId="14561" xr:uid="{71E6CF8C-B52F-436F-A38C-2C60FF34EFB7}"/>
    <cellStyle name="Millares [0] 6 3 8 4" xfId="44485" xr:uid="{83D7076A-C1E0-4153-9543-FFBA7EE840D6}"/>
    <cellStyle name="Millares [0] 6 3 8 5" xfId="49378" xr:uid="{3AA32696-2E2E-4DD5-8D6A-DD84978019F8}"/>
    <cellStyle name="Millares [0] 6 3 9" xfId="4313" xr:uid="{B528EE43-84A3-46AC-A38B-52C04E9C035C}"/>
    <cellStyle name="Millares [0] 6 3 9 2" xfId="12125" xr:uid="{BD677C67-8B9D-4A6C-822B-9E397B6C72F2}"/>
    <cellStyle name="Millares [0] 6 3 9 3" xfId="14966" xr:uid="{5AA563BD-9EE5-426B-9F36-EE5377541064}"/>
    <cellStyle name="Millares [0] 6 3 9 4" xfId="44903" xr:uid="{A1CB3CDD-C560-4A0A-95D1-4EDAE8C5C524}"/>
    <cellStyle name="Millares [0] 6 3 9 5" xfId="49782" xr:uid="{385FD1FC-84CF-4018-A9B0-0D3D996219F3}"/>
    <cellStyle name="Millares [0] 6 4" xfId="160" xr:uid="{00000000-0005-0000-0000-00007F010000}"/>
    <cellStyle name="Millares [0] 6 4 10" xfId="9728" xr:uid="{8D393EA5-3002-4A05-833D-20C544A41637}"/>
    <cellStyle name="Millares [0] 6 4 11" xfId="12568" xr:uid="{8768B3A2-5FBE-438C-B6A7-86141ADE2DA9}"/>
    <cellStyle name="Millares [0] 6 4 12" xfId="15448" xr:uid="{720EB1FC-DB23-4E1B-875A-787407966EF5}"/>
    <cellStyle name="Millares [0] 6 4 13" xfId="15911" xr:uid="{65CC014D-6C59-46E0-9DC0-09ED3A1E685F}"/>
    <cellStyle name="Millares [0] 6 4 14" xfId="16454" xr:uid="{6B320D92-A4E3-4199-AE1C-BB50B4D6CB84}"/>
    <cellStyle name="Millares [0] 6 4 15" xfId="16998" xr:uid="{053E4074-E2ED-45F0-90A4-07CB21902485}"/>
    <cellStyle name="Millares [0] 6 4 16" xfId="17645" xr:uid="{A6112A24-6F6A-4932-B6CD-9AE7F5BA417E}"/>
    <cellStyle name="Millares [0] 6 4 17" xfId="42492" xr:uid="{222E266C-2AF8-4700-BDA9-05303862B6F3}"/>
    <cellStyle name="Millares [0] 6 4 18" xfId="47385" xr:uid="{5187D6B2-9B2C-417A-8DA1-DF9717EF1EB0}"/>
    <cellStyle name="Millares [0] 6 4 2" xfId="274" xr:uid="{00000000-0005-0000-0000-000080010000}"/>
    <cellStyle name="Millares [0] 6 4 2 10" xfId="15636" xr:uid="{805FA39B-3F93-4542-AF85-A2357C4C554F}"/>
    <cellStyle name="Millares [0] 6 4 2 11" xfId="16015" xr:uid="{65C94847-0C0C-4C77-AD56-CC0B9F865BC6}"/>
    <cellStyle name="Millares [0] 6 4 2 12" xfId="16558" xr:uid="{5A6B2D5C-EF6F-44D9-9922-C84FE63DBDCF}"/>
    <cellStyle name="Millares [0] 6 4 2 13" xfId="17102" xr:uid="{608BE833-B4EC-43AC-80CD-A34B6D3EDDAB}"/>
    <cellStyle name="Millares [0] 6 4 2 14" xfId="18027" xr:uid="{FCF6A16D-1AF5-4FB6-BFF5-CA3E0BE8F673}"/>
    <cellStyle name="Millares [0] 6 4 2 15" xfId="42596" xr:uid="{1C37180B-66BE-4B97-B3B8-2A9DD5CC3664}"/>
    <cellStyle name="Millares [0] 6 4 2 16" xfId="47489" xr:uid="{61D1AD3A-61FC-48FF-B491-F7A789659BFA}"/>
    <cellStyle name="Millares [0] 6 4 2 2" xfId="501" xr:uid="{00000000-0005-0000-0000-000081010000}"/>
    <cellStyle name="Millares [0] 6 4 2 2 10" xfId="17314" xr:uid="{B14AD4C0-F844-4042-85E0-5C86AEF0067E}"/>
    <cellStyle name="Millares [0] 6 4 2 2 11" xfId="22052" xr:uid="{8DE4122F-A7CF-43CF-A2BD-3D5F6DA20599}"/>
    <cellStyle name="Millares [0] 6 4 2 2 12" xfId="42808" xr:uid="{027A8C54-DFBB-42DD-81B7-218F45080F4B}"/>
    <cellStyle name="Millares [0] 6 4 2 2 13" xfId="47701" xr:uid="{A640140D-7707-4ADF-9381-7E93EAEE4FB7}"/>
    <cellStyle name="Millares [0] 6 4 2 2 2" xfId="2317" xr:uid="{7358B11E-63CC-407B-88D9-74537234D9FF}"/>
    <cellStyle name="Millares [0] 6 4 2 2 2 2" xfId="10588" xr:uid="{AB446B3B-4BE6-4D41-9F89-2D7F117A56CB}"/>
    <cellStyle name="Millares [0] 6 4 2 2 2 2 2" xfId="45748" xr:uid="{D5D2A4A2-F0AB-4FFC-9378-7AB8F4794040}"/>
    <cellStyle name="Millares [0] 6 4 2 2 2 3" xfId="13428" xr:uid="{CB85C93B-B69B-4A62-B7EC-03C6E6D05DCA}"/>
    <cellStyle name="Millares [0] 6 4 2 2 2 4" xfId="41925" xr:uid="{FE8323A6-48F6-405C-8D88-6E13C69640E7}"/>
    <cellStyle name="Millares [0] 6 4 2 2 2 5" xfId="43352" xr:uid="{2CF1CEE7-AE39-4212-90A5-43212AC09D5C}"/>
    <cellStyle name="Millares [0] 6 4 2 2 2 6" xfId="48245" xr:uid="{27E8360D-1696-447C-A9EE-931C97524339}"/>
    <cellStyle name="Millares [0] 6 4 2 2 3" xfId="2735" xr:uid="{29651A47-9761-471C-9C1B-F07D3270A1E6}"/>
    <cellStyle name="Millares [0] 6 4 2 2 3 2" xfId="11006" xr:uid="{64CDCD99-DC4D-4652-A835-84162FAE0619}"/>
    <cellStyle name="Millares [0] 6 4 2 2 3 2 2" xfId="46166" xr:uid="{D65E162A-0F6A-46B6-A2C7-0EC97CC98006}"/>
    <cellStyle name="Millares [0] 6 4 2 2 3 3" xfId="13846" xr:uid="{AC55CED8-35A5-4A80-8D9A-042D984CC825}"/>
    <cellStyle name="Millares [0] 6 4 2 2 3 4" xfId="43770" xr:uid="{C04F61C8-4D33-49C4-9322-A6623B3DB568}"/>
    <cellStyle name="Millares [0] 6 4 2 2 3 5" xfId="48663" xr:uid="{111A5E6C-8189-42FE-88E8-8FD34A4F2ABD}"/>
    <cellStyle name="Millares [0] 6 4 2 2 4" xfId="3279" xr:uid="{53E7F41F-7BF1-4D17-912F-551ED6BD4842}"/>
    <cellStyle name="Millares [0] 6 4 2 2 4 2" xfId="11550" xr:uid="{0088D6F6-6ECA-4171-BA16-1E84BD111F8B}"/>
    <cellStyle name="Millares [0] 6 4 2 2 4 2 2" xfId="46710" xr:uid="{FB51171D-4C79-4967-B732-07A92B4071C3}"/>
    <cellStyle name="Millares [0] 6 4 2 2 4 3" xfId="14390" xr:uid="{B4FE7527-B286-4EA1-B903-E1A5481DF0CF}"/>
    <cellStyle name="Millares [0] 6 4 2 2 4 4" xfId="44314" xr:uid="{9B48F44F-4D4A-47A6-846B-0805115F3226}"/>
    <cellStyle name="Millares [0] 6 4 2 2 4 5" xfId="49207" xr:uid="{79DC5D4D-BAE2-476C-8721-870D6D14B503}"/>
    <cellStyle name="Millares [0] 6 4 2 2 5" xfId="3781" xr:uid="{33FB308B-0799-4351-A729-E2D860F7C183}"/>
    <cellStyle name="Millares [0] 6 4 2 2 5 2" xfId="12022" xr:uid="{D3E35546-B6F0-4A5D-B576-8D8E5F6AA5F1}"/>
    <cellStyle name="Millares [0] 6 4 2 2 5 3" xfId="14862" xr:uid="{ACEF6F8F-0103-410F-A993-62CFB8676C74}"/>
    <cellStyle name="Millares [0] 6 4 2 2 5 4" xfId="44786" xr:uid="{4144BADC-E538-4BB2-A181-F66EC24E36BB}"/>
    <cellStyle name="Millares [0] 6 4 2 2 5 5" xfId="49679" xr:uid="{A48BBA26-CE81-4F32-9E75-875AF65A67A7}"/>
    <cellStyle name="Millares [0] 6 4 2 2 6" xfId="10044" xr:uid="{D69B9664-EFF7-4F11-9956-8CDE37A215EC}"/>
    <cellStyle name="Millares [0] 6 4 2 2 6 2" xfId="45204" xr:uid="{64A98B5C-49BB-46C7-BEFC-BE43B68B8679}"/>
    <cellStyle name="Millares [0] 6 4 2 2 7" xfId="12884" xr:uid="{754F1544-55AE-4C48-A131-22524BEC5EC9}"/>
    <cellStyle name="Millares [0] 6 4 2 2 8" xfId="16227" xr:uid="{D94EB117-4248-41AE-ADE3-84F7A115F977}"/>
    <cellStyle name="Millares [0] 6 4 2 2 9" xfId="16770" xr:uid="{9EF6CAAB-77DA-4221-8EE1-0611653D72BD}"/>
    <cellStyle name="Millares [0] 6 4 2 3" xfId="2105" xr:uid="{D9E59429-9F46-4DC2-8495-0CDD7EC08915}"/>
    <cellStyle name="Millares [0] 6 4 2 3 2" xfId="10376" xr:uid="{6AE3E5C4-FFC4-4446-B3CD-0C225E4EA3AB}"/>
    <cellStyle name="Millares [0] 6 4 2 3 2 2" xfId="45536" xr:uid="{76F3CE20-7143-435B-92F4-FD3BF6779917}"/>
    <cellStyle name="Millares [0] 6 4 2 3 3" xfId="13216" xr:uid="{6E1527F2-19B4-4840-9613-DDFC6E41B7F6}"/>
    <cellStyle name="Millares [0] 6 4 2 3 4" xfId="27894" xr:uid="{A5FD6CD0-542B-4B72-BB15-C39522CC8A2F}"/>
    <cellStyle name="Millares [0] 6 4 2 3 5" xfId="43140" xr:uid="{D84299EF-D8B4-4354-8324-DB3FBD7DC208}"/>
    <cellStyle name="Millares [0] 6 4 2 3 6" xfId="48033" xr:uid="{4A82E9EA-B8A4-49B7-9AB2-E537236A71F5}"/>
    <cellStyle name="Millares [0] 6 4 2 4" xfId="2523" xr:uid="{D3A9C8A2-9896-4B17-B68D-5ADCF192A418}"/>
    <cellStyle name="Millares [0] 6 4 2 4 2" xfId="10794" xr:uid="{A8C8D077-2A79-43AA-B3CB-05155B57E1FF}"/>
    <cellStyle name="Millares [0] 6 4 2 4 2 2" xfId="45954" xr:uid="{BBA5A152-F5AE-49BF-A897-664895FE28DA}"/>
    <cellStyle name="Millares [0] 6 4 2 4 3" xfId="13634" xr:uid="{2BA90CD1-CED7-49A5-BD8A-20C7F5E1D426}"/>
    <cellStyle name="Millares [0] 6 4 2 4 4" xfId="33776" xr:uid="{16F8ED97-E682-4864-98F9-855BABD02A9A}"/>
    <cellStyle name="Millares [0] 6 4 2 4 5" xfId="43558" xr:uid="{9861DD37-C0FA-451A-A77A-D0F3F9359073}"/>
    <cellStyle name="Millares [0] 6 4 2 4 6" xfId="48451" xr:uid="{2360FFC1-3C3E-4FD2-B899-D0EF7A5A31A7}"/>
    <cellStyle name="Millares [0] 6 4 2 5" xfId="3067" xr:uid="{329AAFE6-EDE2-4BCA-8351-4A09C1F6DD82}"/>
    <cellStyle name="Millares [0] 6 4 2 5 2" xfId="11338" xr:uid="{00117ACE-E5D6-4B80-A47B-8C954E671E4E}"/>
    <cellStyle name="Millares [0] 6 4 2 5 2 2" xfId="46498" xr:uid="{4EBCC165-511D-4CF4-9BBE-96C9DF0FE222}"/>
    <cellStyle name="Millares [0] 6 4 2 5 3" xfId="14178" xr:uid="{0DC49109-C200-4495-9458-C9968BAD78DC}"/>
    <cellStyle name="Millares [0] 6 4 2 5 4" xfId="39640" xr:uid="{DE6286BE-1C32-493A-A5B3-90402E7C4A4D}"/>
    <cellStyle name="Millares [0] 6 4 2 5 5" xfId="44102" xr:uid="{17866F94-CAD2-4755-9B04-8F48501AA118}"/>
    <cellStyle name="Millares [0] 6 4 2 5 6" xfId="48995" xr:uid="{8486153A-EAFB-4C9D-9336-D2D3C634E558}"/>
    <cellStyle name="Millares [0] 6 4 2 6" xfId="3569" xr:uid="{FB1FC318-39D5-41E2-8390-A6E415B3AC27}"/>
    <cellStyle name="Millares [0] 6 4 2 6 2" xfId="11810" xr:uid="{8AD08D5A-9DE4-4F25-9011-918B3AC3A556}"/>
    <cellStyle name="Millares [0] 6 4 2 6 3" xfId="14650" xr:uid="{BFB40C80-8A0E-4499-8FD4-0B40EECAF0ED}"/>
    <cellStyle name="Millares [0] 6 4 2 6 4" xfId="44574" xr:uid="{653B3F78-6C21-494A-97B3-3ACBD94D1E98}"/>
    <cellStyle name="Millares [0] 6 4 2 6 5" xfId="49467" xr:uid="{80D3D4BC-037C-4D4E-A199-83A1F7F323AA}"/>
    <cellStyle name="Millares [0] 6 4 2 7" xfId="7661" xr:uid="{65AE637B-F1C5-4CCB-9C4A-956AD626982D}"/>
    <cellStyle name="Millares [0] 6 4 2 7 2" xfId="12348" xr:uid="{657C051C-0A39-4249-B8DF-35BFD6A97E48}"/>
    <cellStyle name="Millares [0] 6 4 2 7 3" xfId="15189" xr:uid="{F1B7DCF1-7E46-4594-9DDB-B2CD91F71C8D}"/>
    <cellStyle name="Millares [0] 6 4 2 7 4" xfId="44992" xr:uid="{81B10965-BE39-41F5-A8F4-E893E01A5DEC}"/>
    <cellStyle name="Millares [0] 6 4 2 7 5" xfId="50005" xr:uid="{16A2543C-5856-484A-9F16-B35158E8B360}"/>
    <cellStyle name="Millares [0] 6 4 2 8" xfId="9832" xr:uid="{B556F2A9-0F40-4ABE-BF30-70212B136A7F}"/>
    <cellStyle name="Millares [0] 6 4 2 9" xfId="12672" xr:uid="{D3C3FD12-9942-4D07-8013-91B4B851C389}"/>
    <cellStyle name="Millares [0] 6 4 3" xfId="400" xr:uid="{00000000-0005-0000-0000-000082010000}"/>
    <cellStyle name="Millares [0] 6 4 3 10" xfId="17214" xr:uid="{C7CAAE07-AD89-4577-A7EF-22051DB5F8FD}"/>
    <cellStyle name="Millares [0] 6 4 3 11" xfId="19277" xr:uid="{54704BD7-A536-418F-BD1E-B4B42BE87858}"/>
    <cellStyle name="Millares [0] 6 4 3 12" xfId="42708" xr:uid="{349B30E7-69D7-42CC-8C99-723B5BCDC5C4}"/>
    <cellStyle name="Millares [0] 6 4 3 13" xfId="47601" xr:uid="{6E90D226-45DF-49F1-BAB8-993675A50865}"/>
    <cellStyle name="Millares [0] 6 4 3 2" xfId="2217" xr:uid="{EDEBEE52-67BA-4A2A-A26C-8D6370769D1A}"/>
    <cellStyle name="Millares [0] 6 4 3 2 2" xfId="10488" xr:uid="{358233D7-182A-45E4-B8C8-9C47A477FF22}"/>
    <cellStyle name="Millares [0] 6 4 3 2 2 2" xfId="45648" xr:uid="{4A9BF3C9-5418-4C71-9C67-F23EB58F5F9F}"/>
    <cellStyle name="Millares [0] 6 4 3 2 3" xfId="13328" xr:uid="{988A6CF1-6918-4F43-8AC2-4597B2044285}"/>
    <cellStyle name="Millares [0] 6 4 3 2 4" xfId="41738" xr:uid="{965FE5DB-F406-4657-A6D9-68801A3F3B8A}"/>
    <cellStyle name="Millares [0] 6 4 3 2 5" xfId="43252" xr:uid="{E9818EB5-8213-4751-A724-790B451242C5}"/>
    <cellStyle name="Millares [0] 6 4 3 2 6" xfId="48145" xr:uid="{7A88A423-63C6-489A-B8B3-E939A353501E}"/>
    <cellStyle name="Millares [0] 6 4 3 3" xfId="2635" xr:uid="{7F90D114-D523-4A93-B3C0-0D0625715DF7}"/>
    <cellStyle name="Millares [0] 6 4 3 3 2" xfId="10906" xr:uid="{B9BB2498-1A7F-49AD-9BE6-4E0CC049EF89}"/>
    <cellStyle name="Millares [0] 6 4 3 3 2 2" xfId="46066" xr:uid="{78270F1E-C9BE-4C2C-9AD2-D268AE3ECE1B}"/>
    <cellStyle name="Millares [0] 6 4 3 3 3" xfId="13746" xr:uid="{C3D56C2E-5BC3-4B00-ABD7-38CC05BFEA3F}"/>
    <cellStyle name="Millares [0] 6 4 3 3 4" xfId="43670" xr:uid="{F21C242C-29B6-4BCB-96FB-B723649A761D}"/>
    <cellStyle name="Millares [0] 6 4 3 3 5" xfId="48563" xr:uid="{17DA40F3-5F55-45B3-B965-0951C52FBBF8}"/>
    <cellStyle name="Millares [0] 6 4 3 4" xfId="3179" xr:uid="{FBFF5910-A985-4F6E-B07D-EA54C8C96032}"/>
    <cellStyle name="Millares [0] 6 4 3 4 2" xfId="11450" xr:uid="{AA5BA6D1-58C3-4F40-84A9-434760C7D05E}"/>
    <cellStyle name="Millares [0] 6 4 3 4 2 2" xfId="46610" xr:uid="{1AD19659-735B-4AFE-B93C-2A06A558634B}"/>
    <cellStyle name="Millares [0] 6 4 3 4 3" xfId="14290" xr:uid="{EC4E65DB-D9EB-442A-B0FA-181A4946626C}"/>
    <cellStyle name="Millares [0] 6 4 3 4 4" xfId="44214" xr:uid="{909B1D35-55D1-41FA-8A6C-357EFB12DE1B}"/>
    <cellStyle name="Millares [0] 6 4 3 4 5" xfId="49107" xr:uid="{22667C84-7A20-4485-938A-253C23C9001A}"/>
    <cellStyle name="Millares [0] 6 4 3 5" xfId="3681" xr:uid="{AA6C1998-D4AB-4C5B-8953-E450615D0CDD}"/>
    <cellStyle name="Millares [0] 6 4 3 5 2" xfId="11922" xr:uid="{FBE3B991-E9F2-4858-9FF7-A4EAD6174521}"/>
    <cellStyle name="Millares [0] 6 4 3 5 3" xfId="14762" xr:uid="{F853B593-7B78-4B80-9A59-9E64A731C9EE}"/>
    <cellStyle name="Millares [0] 6 4 3 5 4" xfId="44686" xr:uid="{FACA9540-D509-4208-9497-141E53509CFC}"/>
    <cellStyle name="Millares [0] 6 4 3 5 5" xfId="49579" xr:uid="{CAD02161-5565-4036-A204-0F95B5060D68}"/>
    <cellStyle name="Millares [0] 6 4 3 6" xfId="9944" xr:uid="{313F0030-CF20-4C02-9852-B6A193169399}"/>
    <cellStyle name="Millares [0] 6 4 3 6 2" xfId="45104" xr:uid="{0E7DD534-736E-462B-97EB-8F15B6D3C8F4}"/>
    <cellStyle name="Millares [0] 6 4 3 7" xfId="12784" xr:uid="{A4F66B83-8AA3-4209-AE22-60D3336D222F}"/>
    <cellStyle name="Millares [0] 6 4 3 8" xfId="16127" xr:uid="{9C651DD3-0D5B-4391-9DC6-D19FC79F96E2}"/>
    <cellStyle name="Millares [0] 6 4 3 9" xfId="16670" xr:uid="{B3DF6AA5-6DBE-4372-8251-FFB2E45FB944}"/>
    <cellStyle name="Millares [0] 6 4 4" xfId="603" xr:uid="{00000000-0005-0000-0000-000083010000}"/>
    <cellStyle name="Millares [0] 6 4 4 10" xfId="47803" xr:uid="{5E299AEB-98C3-4220-B750-D177E284385C}"/>
    <cellStyle name="Millares [0] 6 4 4 2" xfId="2837" xr:uid="{9EB5E753-D20B-4C5D-9144-FC258023D286}"/>
    <cellStyle name="Millares [0] 6 4 4 2 2" xfId="11108" xr:uid="{E19F0E1D-D276-41F3-85E0-857232C55A14}"/>
    <cellStyle name="Millares [0] 6 4 4 2 2 2" xfId="46268" xr:uid="{07B1D4F3-75EF-4C09-8F91-34065C439393}"/>
    <cellStyle name="Millares [0] 6 4 4 2 3" xfId="13948" xr:uid="{C0A0F39E-E32C-4A42-B207-511F2BF5926B}"/>
    <cellStyle name="Millares [0] 6 4 4 2 4" xfId="43872" xr:uid="{DA45EF8A-BD27-4E12-80E9-BE1D60A25B4A}"/>
    <cellStyle name="Millares [0] 6 4 4 2 5" xfId="48765" xr:uid="{4E5ADA69-C87A-44B7-B6EB-7B5B24FC80CE}"/>
    <cellStyle name="Millares [0] 6 4 4 3" xfId="10146" xr:uid="{83E50499-5515-4849-8181-68752290643B}"/>
    <cellStyle name="Millares [0] 6 4 4 3 2" xfId="45306" xr:uid="{A05DD5D6-72B9-4D40-88AD-2CF18E3FAAF0}"/>
    <cellStyle name="Millares [0] 6 4 4 4" xfId="12986" xr:uid="{0C35C517-2DA3-4B45-8242-1B6CB2A77710}"/>
    <cellStyle name="Millares [0] 6 4 4 5" xfId="16329" xr:uid="{D899469E-9FD1-4718-A530-09B831091A3C}"/>
    <cellStyle name="Millares [0] 6 4 4 6" xfId="16872" xr:uid="{18EB9BC0-C9F2-4742-80B5-43EFD229EFC4}"/>
    <cellStyle name="Millares [0] 6 4 4 7" xfId="17416" xr:uid="{8D9C2E22-5EED-4618-B659-C9B1D9E873B7}"/>
    <cellStyle name="Millares [0] 6 4 4 8" xfId="25045" xr:uid="{12057702-1BAD-49FD-8477-365E6A78A627}"/>
    <cellStyle name="Millares [0] 6 4 4 9" xfId="42910" xr:uid="{FD9ED997-ED90-4B61-843C-58A19EB8D7AF}"/>
    <cellStyle name="Millares [0] 6 4 5" xfId="2001" xr:uid="{6A8ECCF4-4674-4AC5-AE28-576C11A0D49C}"/>
    <cellStyle name="Millares [0] 6 4 5 2" xfId="10272" xr:uid="{03978A35-1596-4237-B54C-9B1DDA49E1D3}"/>
    <cellStyle name="Millares [0] 6 4 5 2 2" xfId="45432" xr:uid="{F9F02CA4-2F31-4792-A655-A91BE704C965}"/>
    <cellStyle name="Millares [0] 6 4 5 3" xfId="13112" xr:uid="{814AB772-FD75-489A-90D7-FD6ED85F62C6}"/>
    <cellStyle name="Millares [0] 6 4 5 4" xfId="30919" xr:uid="{4AA70F54-9FF2-437B-B156-B79941585389}"/>
    <cellStyle name="Millares [0] 6 4 5 5" xfId="43036" xr:uid="{76883438-8935-4265-934B-5B69F177F6D0}"/>
    <cellStyle name="Millares [0] 6 4 5 6" xfId="47929" xr:uid="{CC0EF25B-F2A8-41BD-BE18-D443FCDD8C92}"/>
    <cellStyle name="Millares [0] 6 4 6" xfId="2419" xr:uid="{29360C10-7DE8-4FE3-AC90-0F69F8C38484}"/>
    <cellStyle name="Millares [0] 6 4 6 2" xfId="10690" xr:uid="{902080E5-3684-483F-937B-723F92F2342B}"/>
    <cellStyle name="Millares [0] 6 4 6 2 2" xfId="45850" xr:uid="{7B30DAFA-C41A-49DA-9D35-7641F0197FBC}"/>
    <cellStyle name="Millares [0] 6 4 6 3" xfId="13530" xr:uid="{A04BCB57-974B-43AA-9836-11ADDB55AAFF}"/>
    <cellStyle name="Millares [0] 6 4 6 4" xfId="36798" xr:uid="{DF62D5C8-22A0-4593-B97E-EC7CBA60653C}"/>
    <cellStyle name="Millares [0] 6 4 6 5" xfId="43454" xr:uid="{B0FEF843-B53D-4048-9D04-41200EE3D59F}"/>
    <cellStyle name="Millares [0] 6 4 6 6" xfId="48347" xr:uid="{B2681C0B-06EB-4140-9F6C-38B165ADFE01}"/>
    <cellStyle name="Millares [0] 6 4 7" xfId="2963" xr:uid="{A2B18749-FBF5-4AC2-A417-85FBA802C846}"/>
    <cellStyle name="Millares [0] 6 4 7 2" xfId="11234" xr:uid="{E3661C10-37CE-4244-8E20-76C5D7C63E81}"/>
    <cellStyle name="Millares [0] 6 4 7 2 2" xfId="46394" xr:uid="{9FB7E017-2AB6-4219-9EC3-C3AB5CA6F98D}"/>
    <cellStyle name="Millares [0] 6 4 7 3" xfId="14074" xr:uid="{34A28063-4BB8-416D-9BBD-AD5C76C239FC}"/>
    <cellStyle name="Millares [0] 6 4 7 4" xfId="43998" xr:uid="{79328C47-DBC4-4F78-AF7A-D7C823ACD152}"/>
    <cellStyle name="Millares [0] 6 4 7 5" xfId="48891" xr:uid="{F297E0AA-F151-4C53-B86F-47E9C9DD11DE}"/>
    <cellStyle name="Millares [0] 6 4 8" xfId="3465" xr:uid="{09B41C13-F36E-4B69-B282-93160419B395}"/>
    <cellStyle name="Millares [0] 6 4 8 2" xfId="11706" xr:uid="{9A2BCB88-B5D9-48E2-B65B-608984345676}"/>
    <cellStyle name="Millares [0] 6 4 8 3" xfId="14546" xr:uid="{4B8DA407-8B1A-4E8D-93C8-70CA701CB690}"/>
    <cellStyle name="Millares [0] 6 4 8 4" xfId="44470" xr:uid="{47BDDA89-A573-4BB4-9C91-3FFCD07F843F}"/>
    <cellStyle name="Millares [0] 6 4 8 5" xfId="49363" xr:uid="{FCF67EBD-22FA-404A-8818-175539D5A01A}"/>
    <cellStyle name="Millares [0] 6 4 9" xfId="4798" xr:uid="{A3C8BBDA-C696-4787-9D5E-357E7A84C61A}"/>
    <cellStyle name="Millares [0] 6 4 9 2" xfId="12161" xr:uid="{0FCDB40A-637E-473A-A891-A87DE2675549}"/>
    <cellStyle name="Millares [0] 6 4 9 3" xfId="15002" xr:uid="{CC7A0BF3-BFD9-4268-8308-EC8A9AC5A522}"/>
    <cellStyle name="Millares [0] 6 4 9 4" xfId="44888" xr:uid="{25410350-7A56-47A4-873C-086031600A59}"/>
    <cellStyle name="Millares [0] 6 4 9 5" xfId="49818" xr:uid="{9CB0F057-645E-4D4B-B329-C4715B997CC3}"/>
    <cellStyle name="Millares [0] 6 5" xfId="246" xr:uid="{00000000-0005-0000-0000-000084010000}"/>
    <cellStyle name="Millares [0] 6 5 10" xfId="15521" xr:uid="{33BFECCC-AE52-4D74-842B-31F7378814A7}"/>
    <cellStyle name="Millares [0] 6 5 11" xfId="15987" xr:uid="{ECC305F4-BF6D-4DD6-9884-90C127FBB161}"/>
    <cellStyle name="Millares [0] 6 5 12" xfId="16530" xr:uid="{2EB96DD7-EFAA-4073-8875-CC87C8A9EF04}"/>
    <cellStyle name="Millares [0] 6 5 13" xfId="17074" xr:uid="{74ED7875-B0C7-47CD-BF7B-A15441BD1642}"/>
    <cellStyle name="Millares [0] 6 5 14" xfId="17782" xr:uid="{829F982F-EE1C-4F01-9296-007F25F8E94F}"/>
    <cellStyle name="Millares [0] 6 5 15" xfId="42568" xr:uid="{EEF1DB98-2EBC-4BBD-8E91-217C8632DBF3}"/>
    <cellStyle name="Millares [0] 6 5 16" xfId="47461" xr:uid="{D02E4695-A36D-432C-A2B0-72F0F79433CE}"/>
    <cellStyle name="Millares [0] 6 5 2" xfId="473" xr:uid="{00000000-0005-0000-0000-000085010000}"/>
    <cellStyle name="Millares [0] 6 5 2 10" xfId="16199" xr:uid="{A6E5416A-D207-4485-8318-30FAC70F111B}"/>
    <cellStyle name="Millares [0] 6 5 2 11" xfId="16742" xr:uid="{10355078-3405-496D-A17B-F7CA721BA567}"/>
    <cellStyle name="Millares [0] 6 5 2 12" xfId="17286" xr:uid="{779DE97B-2EF7-43A0-A5A6-6668B0249C50}"/>
    <cellStyle name="Millares [0] 6 5 2 13" xfId="18164" xr:uid="{6F5B534E-260B-4672-BD4E-A9E3B273EC33}"/>
    <cellStyle name="Millares [0] 6 5 2 14" xfId="42780" xr:uid="{468A568C-39CC-40F9-AAAD-4DE39FB5A6D2}"/>
    <cellStyle name="Millares [0] 6 5 2 15" xfId="47673" xr:uid="{E666ED80-69D5-495C-8FB5-F7659C93B5C3}"/>
    <cellStyle name="Millares [0] 6 5 2 2" xfId="2289" xr:uid="{5DCF5909-1490-4DF4-88D5-F79BB311143A}"/>
    <cellStyle name="Millares [0] 6 5 2 2 2" xfId="10560" xr:uid="{20CBCCAC-316C-44D1-95F2-6C691D57CB0D}"/>
    <cellStyle name="Millares [0] 6 5 2 2 2 2" xfId="41997" xr:uid="{A5EEF77B-1F81-47F3-BA22-585CE59BEDFB}"/>
    <cellStyle name="Millares [0] 6 5 2 2 2 3" xfId="45720" xr:uid="{3EDA8F45-E308-4F79-A719-49C529A3E97F}"/>
    <cellStyle name="Millares [0] 6 5 2 2 3" xfId="13400" xr:uid="{38E244C1-D74B-467E-8139-57AEB884E55D}"/>
    <cellStyle name="Millares [0] 6 5 2 2 4" xfId="23041" xr:uid="{A31B0E87-E565-4128-A74F-75E4B61B8031}"/>
    <cellStyle name="Millares [0] 6 5 2 2 5" xfId="43324" xr:uid="{5679F839-DCF0-4455-9C42-9CF3E4DFE19A}"/>
    <cellStyle name="Millares [0] 6 5 2 2 6" xfId="48217" xr:uid="{81265103-0951-4335-AF43-B239F81C6F7B}"/>
    <cellStyle name="Millares [0] 6 5 2 3" xfId="2707" xr:uid="{86F344F8-95D2-4EE6-BE27-A41EA64AB8B2}"/>
    <cellStyle name="Millares [0] 6 5 2 3 2" xfId="10978" xr:uid="{A2F68080-F6D0-419D-BEFE-8999864DA1E7}"/>
    <cellStyle name="Millares [0] 6 5 2 3 2 2" xfId="46138" xr:uid="{E7540F4D-9244-448D-89D5-B1309EEBC271}"/>
    <cellStyle name="Millares [0] 6 5 2 3 3" xfId="13818" xr:uid="{15E6D928-6AD7-430F-AFDE-D31BEDCFDDC4}"/>
    <cellStyle name="Millares [0] 6 5 2 3 4" xfId="28905" xr:uid="{92FF5E94-CBD7-407B-9B56-330B31711047}"/>
    <cellStyle name="Millares [0] 6 5 2 3 5" xfId="43742" xr:uid="{0D4A7062-BCB0-4416-A1D4-2AD85913BBF6}"/>
    <cellStyle name="Millares [0] 6 5 2 3 6" xfId="48635" xr:uid="{3DA7F2D2-5537-406C-A48A-68FDA2E85881}"/>
    <cellStyle name="Millares [0] 6 5 2 4" xfId="3251" xr:uid="{9501C16F-F1C3-447A-BC24-8A0E35500E16}"/>
    <cellStyle name="Millares [0] 6 5 2 4 2" xfId="11522" xr:uid="{E104E224-DF70-4B71-BF9D-D01C88E336F0}"/>
    <cellStyle name="Millares [0] 6 5 2 4 2 2" xfId="46682" xr:uid="{155AA0FD-40D7-40E0-9451-848FCB793852}"/>
    <cellStyle name="Millares [0] 6 5 2 4 3" xfId="14362" xr:uid="{71B3DF5F-EFC2-4529-B705-5C6F260EBBF0}"/>
    <cellStyle name="Millares [0] 6 5 2 4 4" xfId="34787" xr:uid="{A1178CFA-D90B-4558-BB6E-52D8B710B35A}"/>
    <cellStyle name="Millares [0] 6 5 2 4 5" xfId="44286" xr:uid="{12689A80-08B6-4395-AB77-4F7321D8A9E6}"/>
    <cellStyle name="Millares [0] 6 5 2 4 6" xfId="49179" xr:uid="{70B9DA35-CCCD-4E39-A092-CE22134AF595}"/>
    <cellStyle name="Millares [0] 6 5 2 5" xfId="3753" xr:uid="{82C193D6-2E61-4E25-B5D8-032BC5B7FDE3}"/>
    <cellStyle name="Millares [0] 6 5 2 5 2" xfId="11994" xr:uid="{4828FB75-62F9-4373-8278-7C58211C703D}"/>
    <cellStyle name="Millares [0] 6 5 2 5 3" xfId="14834" xr:uid="{10DD6967-0410-42BC-8701-8122740E5CA8}"/>
    <cellStyle name="Millares [0] 6 5 2 5 4" xfId="40651" xr:uid="{C1DBBA23-5535-4BDE-B7F9-40B0E3BE55C9}"/>
    <cellStyle name="Millares [0] 6 5 2 5 5" xfId="44758" xr:uid="{1822F6E3-54BB-47CB-8EC8-329D7DA4733C}"/>
    <cellStyle name="Millares [0] 6 5 2 5 6" xfId="49651" xr:uid="{1905F9EB-6E7D-49EF-9E43-EE2CB19C2A3E}"/>
    <cellStyle name="Millares [0] 6 5 2 6" xfId="8673" xr:uid="{3213C03E-B13A-41F4-A6C0-6CA68ABF5180}"/>
    <cellStyle name="Millares [0] 6 5 2 6 2" xfId="12420" xr:uid="{5CA05E14-1BE3-47C9-B4C5-E7768541A78F}"/>
    <cellStyle name="Millares [0] 6 5 2 6 3" xfId="15261" xr:uid="{460FEBF8-4594-4C49-BEEE-4412373C207D}"/>
    <cellStyle name="Millares [0] 6 5 2 6 4" xfId="45176" xr:uid="{7B128762-BECD-451B-8B46-9D7F41DE966F}"/>
    <cellStyle name="Millares [0] 6 5 2 6 5" xfId="50077" xr:uid="{DBCE75BE-96A1-4D23-9293-429DA794B1EF}"/>
    <cellStyle name="Millares [0] 6 5 2 7" xfId="10016" xr:uid="{1BADEB0A-D00A-4342-85AF-2076EA379372}"/>
    <cellStyle name="Millares [0] 6 5 2 8" xfId="12856" xr:uid="{EC2427FC-3136-4352-9027-EFE34F3D0366}"/>
    <cellStyle name="Millares [0] 6 5 2 9" xfId="15710" xr:uid="{421B9E4A-3388-4516-8C75-671AFECC94E6}"/>
    <cellStyle name="Millares [0] 6 5 3" xfId="2077" xr:uid="{247B26DC-BFC8-4DAC-9D0A-52CC3D9BE764}"/>
    <cellStyle name="Millares [0] 6 5 3 2" xfId="10348" xr:uid="{E15565F6-B7CA-4C28-A510-7D9992B995C2}"/>
    <cellStyle name="Millares [0] 6 5 3 2 2" xfId="41810" xr:uid="{DDA4FD4B-2097-4B07-9FCC-33DB4DF3090B}"/>
    <cellStyle name="Millares [0] 6 5 3 2 3" xfId="45508" xr:uid="{BB4BBEB5-1049-4558-ACFE-F69E2E5842BB}"/>
    <cellStyle name="Millares [0] 6 5 3 3" xfId="13188" xr:uid="{AB01DFAE-2445-4C03-894D-D375F2A3E8BB}"/>
    <cellStyle name="Millares [0] 6 5 3 4" xfId="20256" xr:uid="{DADB9ED2-1B31-4CB6-8E16-A07EB7034F82}"/>
    <cellStyle name="Millares [0] 6 5 3 5" xfId="43112" xr:uid="{EE6DD6E0-DB54-43AB-8B42-CEEBCFFD7483}"/>
    <cellStyle name="Millares [0] 6 5 3 6" xfId="48005" xr:uid="{26CE4332-9A96-4067-8CE1-C611BD8ED747}"/>
    <cellStyle name="Millares [0] 6 5 4" xfId="2495" xr:uid="{3AB5E2F9-1241-426A-926B-FAC2E5A58230}"/>
    <cellStyle name="Millares [0] 6 5 4 2" xfId="10766" xr:uid="{AB172082-6796-4F15-9BC9-6C3BBDA27CB0}"/>
    <cellStyle name="Millares [0] 6 5 4 2 2" xfId="45926" xr:uid="{8778B77B-D164-452B-A154-23EAAB21701C}"/>
    <cellStyle name="Millares [0] 6 5 4 3" xfId="13606" xr:uid="{E36E1B23-3DE7-46B9-A674-478E59F4E564}"/>
    <cellStyle name="Millares [0] 6 5 4 4" xfId="26055" xr:uid="{1B552164-9521-462A-84D9-E67F8B6F43D5}"/>
    <cellStyle name="Millares [0] 6 5 4 5" xfId="43530" xr:uid="{86F85622-8E52-424D-9F64-D32919B7628D}"/>
    <cellStyle name="Millares [0] 6 5 4 6" xfId="48423" xr:uid="{1721E735-D4BD-445A-9CFF-C108819CD232}"/>
    <cellStyle name="Millares [0] 6 5 5" xfId="3039" xr:uid="{FF1C669A-6D55-469B-9B42-9903FB76A8D4}"/>
    <cellStyle name="Millares [0] 6 5 5 2" xfId="11310" xr:uid="{C9FEC90D-492A-437C-B173-660131FE600D}"/>
    <cellStyle name="Millares [0] 6 5 5 2 2" xfId="46470" xr:uid="{2F1F33EC-4943-4661-A76D-8F56006E7C3C}"/>
    <cellStyle name="Millares [0] 6 5 5 3" xfId="14150" xr:uid="{E1E6B017-C3CB-49CF-A6DB-60A54D15FA16}"/>
    <cellStyle name="Millares [0] 6 5 5 4" xfId="31930" xr:uid="{146CAC01-CD58-4F44-9AE9-1956F922C5ED}"/>
    <cellStyle name="Millares [0] 6 5 5 5" xfId="44074" xr:uid="{6CADD2C5-532A-41BB-BA17-7DA825CF1F3D}"/>
    <cellStyle name="Millares [0] 6 5 5 6" xfId="48967" xr:uid="{C4BF984D-B2AD-4DE6-9823-25216E95CA73}"/>
    <cellStyle name="Millares [0] 6 5 6" xfId="3541" xr:uid="{38780D67-FD03-43BF-93CF-C207058A1305}"/>
    <cellStyle name="Millares [0] 6 5 6 2" xfId="11782" xr:uid="{5B25FCC2-1DD6-4DB9-BED7-BB807D7BD3F6}"/>
    <cellStyle name="Millares [0] 6 5 6 3" xfId="14622" xr:uid="{7BDA93E2-92B9-4EE1-8B1E-2E7A0F3FC9F5}"/>
    <cellStyle name="Millares [0] 6 5 6 4" xfId="37796" xr:uid="{FD461986-0D3D-4592-99A8-677067C93ACF}"/>
    <cellStyle name="Millares [0] 6 5 6 5" xfId="44546" xr:uid="{CEE3A571-A1AD-4BED-9D08-0D1BF7CD89A3}"/>
    <cellStyle name="Millares [0] 6 5 6 6" xfId="49439" xr:uid="{6836F0CD-BB84-4FA3-B95F-8BDBBBA912B3}"/>
    <cellStyle name="Millares [0] 6 5 7" xfId="5804" xr:uid="{22224F7E-D734-4796-8DFC-92AF01FC80E0}"/>
    <cellStyle name="Millares [0] 6 5 7 2" xfId="12233" xr:uid="{B6FCA9E7-A452-4C6E-9695-756763B3B679}"/>
    <cellStyle name="Millares [0] 6 5 7 3" xfId="15074" xr:uid="{57DD8115-A1D0-4A4B-A3BF-E16526837B98}"/>
    <cellStyle name="Millares [0] 6 5 7 4" xfId="44964" xr:uid="{4F62B38B-6355-42D4-A771-A0E231B63A30}"/>
    <cellStyle name="Millares [0] 6 5 7 5" xfId="49890" xr:uid="{6C7D45A6-6258-48F9-B49A-D35C75AA1D8D}"/>
    <cellStyle name="Millares [0] 6 5 8" xfId="9804" xr:uid="{446CB5DA-D939-4000-A108-5D72DFAD6B86}"/>
    <cellStyle name="Millares [0] 6 5 9" xfId="12644" xr:uid="{6E631ECA-0CAB-41D1-91E1-968A2E95A976}"/>
    <cellStyle name="Millares [0] 6 6" xfId="372" xr:uid="{00000000-0005-0000-0000-000086010000}"/>
    <cellStyle name="Millares [0] 6 6 10" xfId="16099" xr:uid="{B81E4BF6-B97E-48DA-B887-52506C2AB41E}"/>
    <cellStyle name="Millares [0] 6 6 11" xfId="16642" xr:uid="{C846DCC4-D2AD-48B8-AE96-4858B57D56E6}"/>
    <cellStyle name="Millares [0] 6 6 12" xfId="17186" xr:uid="{EBF82A66-6CDD-4FE0-A794-19ECB6BA5768}"/>
    <cellStyle name="Millares [0] 6 6 13" xfId="17888" xr:uid="{DC81C176-1284-43B3-8510-8AFA517EA1F7}"/>
    <cellStyle name="Millares [0] 6 6 14" xfId="42680" xr:uid="{4D8CC21B-1C63-42E2-8002-DDB85E6E40E6}"/>
    <cellStyle name="Millares [0] 6 6 15" xfId="47573" xr:uid="{1C7BDE47-E9B3-43F9-9200-6412BF3C294B}"/>
    <cellStyle name="Millares [0] 6 6 2" xfId="2189" xr:uid="{53266100-9B88-4341-8D10-BB264E86142B}"/>
    <cellStyle name="Millares [0] 6 6 2 2" xfId="10460" xr:uid="{DA256785-A90E-4BF2-8819-D07957075777}"/>
    <cellStyle name="Millares [0] 6 6 2 2 2" xfId="41853" xr:uid="{B4B46AE1-BA11-441E-92E0-4FCF6FCEF5CD}"/>
    <cellStyle name="Millares [0] 6 6 2 2 3" xfId="45620" xr:uid="{0ED46751-0F16-49C7-8B70-25938939B8E9}"/>
    <cellStyle name="Millares [0] 6 6 2 3" xfId="13300" xr:uid="{8601F4C3-23ED-429A-A7D1-FA65E3C4FC3B}"/>
    <cellStyle name="Millares [0] 6 6 2 4" xfId="21117" xr:uid="{C8D0A7C3-E73C-4503-8271-A52C48B78556}"/>
    <cellStyle name="Millares [0] 6 6 2 5" xfId="43224" xr:uid="{7FF9CF14-06C4-422A-B9ED-786FB6A23C50}"/>
    <cellStyle name="Millares [0] 6 6 2 6" xfId="48117" xr:uid="{878D79BC-870D-40F6-AF94-E5EAEE16C187}"/>
    <cellStyle name="Millares [0] 6 6 3" xfId="2607" xr:uid="{1D14850E-BCAD-4D42-8526-6FB6F9C04521}"/>
    <cellStyle name="Millares [0] 6 6 3 2" xfId="10878" xr:uid="{ABE94693-F881-4982-8FC1-99AAD9F8C10D}"/>
    <cellStyle name="Millares [0] 6 6 3 2 2" xfId="46038" xr:uid="{EC203C19-5B68-4A83-9F77-7AF0E2ADA6A7}"/>
    <cellStyle name="Millares [0] 6 6 3 3" xfId="13718" xr:uid="{E6E5ABAD-EA83-4813-877E-E9C2E9B3AD1D}"/>
    <cellStyle name="Millares [0] 6 6 3 4" xfId="26929" xr:uid="{92AAB72F-1D9B-4817-9B33-779E657DA9D7}"/>
    <cellStyle name="Millares [0] 6 6 3 5" xfId="43642" xr:uid="{E5E0B00E-22BF-400D-B5E8-5F9DD0D38AF0}"/>
    <cellStyle name="Millares [0] 6 6 3 6" xfId="48535" xr:uid="{0829066D-0DA4-49A7-9709-59AE09C9D73C}"/>
    <cellStyle name="Millares [0] 6 6 4" xfId="3151" xr:uid="{F7824BF3-B0BC-4B93-9D29-73C532855670}"/>
    <cellStyle name="Millares [0] 6 6 4 2" xfId="11422" xr:uid="{10659846-5A0D-4B73-BB50-205700B7E593}"/>
    <cellStyle name="Millares [0] 6 6 4 2 2" xfId="46582" xr:uid="{FC3C1036-9467-4441-808E-A3C2BA22EC1E}"/>
    <cellStyle name="Millares [0] 6 6 4 3" xfId="14262" xr:uid="{25A36D91-857B-4897-A61C-DD30ED8746B9}"/>
    <cellStyle name="Millares [0] 6 6 4 4" xfId="32805" xr:uid="{81E0B274-DB9D-4001-B800-920984B6FCD2}"/>
    <cellStyle name="Millares [0] 6 6 4 5" xfId="44186" xr:uid="{1E43C96E-5A70-4653-9260-A63B64A2A139}"/>
    <cellStyle name="Millares [0] 6 6 4 6" xfId="49079" xr:uid="{33214AEC-A87E-4F4F-B63D-33D7BD7B6A08}"/>
    <cellStyle name="Millares [0] 6 6 5" xfId="3653" xr:uid="{75FB50D2-B270-4EC1-830D-CF1E48DB2AF1}"/>
    <cellStyle name="Millares [0] 6 6 5 2" xfId="11894" xr:uid="{0669C701-4E09-47C1-96BB-D63CE67E07F9}"/>
    <cellStyle name="Millares [0] 6 6 5 3" xfId="14734" xr:uid="{2A0348CE-43E4-4356-B95D-86F8A5123F86}"/>
    <cellStyle name="Millares [0] 6 6 5 4" xfId="38669" xr:uid="{8C2564B4-412B-4642-90F8-5C93E90D1212}"/>
    <cellStyle name="Millares [0] 6 6 5 5" xfId="44658" xr:uid="{9822C6E5-17AF-4DB1-925F-2B4FB2AE8E3D}"/>
    <cellStyle name="Millares [0] 6 6 5 6" xfId="49551" xr:uid="{0BD0C126-FC19-4BA4-A8B5-BC3D8B896BAC}"/>
    <cellStyle name="Millares [0] 6 6 6" xfId="6690" xr:uid="{C9FA23C4-D3AF-4449-B912-A9E2AF1339EF}"/>
    <cellStyle name="Millares [0] 6 6 6 2" xfId="12276" xr:uid="{824E5DAD-26E5-4A8C-AB1E-33F11E1B1FA3}"/>
    <cellStyle name="Millares [0] 6 6 6 3" xfId="15117" xr:uid="{490B9871-4CF9-4489-BE87-855C38992835}"/>
    <cellStyle name="Millares [0] 6 6 6 4" xfId="45076" xr:uid="{EE4A9988-A12C-4D3C-8B85-517DA74EE8AA}"/>
    <cellStyle name="Millares [0] 6 6 6 5" xfId="49933" xr:uid="{BDC6AF12-F0EA-4884-99A8-83457249F7A3}"/>
    <cellStyle name="Millares [0] 6 6 7" xfId="9916" xr:uid="{1F23ACA9-F7A8-4B00-A3E1-5CEDF3B2B1CD}"/>
    <cellStyle name="Millares [0] 6 6 8" xfId="12756" xr:uid="{503B82AD-B715-42D8-BC1B-2B13CF786A8D}"/>
    <cellStyle name="Millares [0] 6 6 9" xfId="15564" xr:uid="{F628A17D-0843-4DB8-A725-9CD47DEBBCD9}"/>
    <cellStyle name="Millares [0] 6 7" xfId="575" xr:uid="{00000000-0005-0000-0000-000087010000}"/>
    <cellStyle name="Millares [0] 6 7 10" xfId="47775" xr:uid="{8669FB97-14E6-4871-8269-5D19E9FB8BD2}"/>
    <cellStyle name="Millares [0] 6 7 2" xfId="2809" xr:uid="{EF3DEA3B-DA90-42EC-918E-9ACD4297EEA5}"/>
    <cellStyle name="Millares [0] 6 7 2 2" xfId="11080" xr:uid="{9DE1CA5B-3DF7-4078-BCFF-791FD40790AC}"/>
    <cellStyle name="Millares [0] 6 7 2 2 2" xfId="46240" xr:uid="{F277E36E-9572-40DD-A410-04DA637DBD24}"/>
    <cellStyle name="Millares [0] 6 7 2 3" xfId="13920" xr:uid="{00E63823-A17B-4610-8917-6EF2BEBB34B4}"/>
    <cellStyle name="Millares [0] 6 7 2 4" xfId="41647" xr:uid="{66EE5DF0-2F62-4972-A72D-7512A9CDCA7F}"/>
    <cellStyle name="Millares [0] 6 7 2 5" xfId="43844" xr:uid="{A2E7BAB9-6C5B-4526-8AA5-1D67DAFBDAD0}"/>
    <cellStyle name="Millares [0] 6 7 2 6" xfId="48737" xr:uid="{E426098B-F5C6-4FE3-8CFD-311D121196A2}"/>
    <cellStyle name="Millares [0] 6 7 3" xfId="10118" xr:uid="{3BAC3008-63BA-4325-9D71-2C420C345B4D}"/>
    <cellStyle name="Millares [0] 6 7 3 2" xfId="45278" xr:uid="{A9C75CBB-D926-4A65-AAD9-097584313929}"/>
    <cellStyle name="Millares [0] 6 7 4" xfId="12958" xr:uid="{4C7B9934-8C75-49B6-A192-485A3A2C7A40}"/>
    <cellStyle name="Millares [0] 6 7 5" xfId="16301" xr:uid="{2952CA7D-6EB6-4213-8A73-1A4F49E8C299}"/>
    <cellStyle name="Millares [0] 6 7 6" xfId="16844" xr:uid="{AA1DC167-24B7-4CB3-A239-AD2D1D356878}"/>
    <cellStyle name="Millares [0] 6 7 7" xfId="17388" xr:uid="{DB0D5D54-AE18-443B-8BC8-8C52355392E9}"/>
    <cellStyle name="Millares [0] 6 7 8" xfId="18350" xr:uid="{D7DFE728-AD39-49F7-A7DD-8DEF8310CB8B}"/>
    <cellStyle name="Millares [0] 6 7 9" xfId="42882" xr:uid="{5BDBE4B3-AA5B-4442-84DA-37CC8DC01344}"/>
    <cellStyle name="Millares [0] 6 8" xfId="1973" xr:uid="{EAAD8C4C-6922-44C0-9126-F0ED8B4C362C}"/>
    <cellStyle name="Millares [0] 6 8 2" xfId="10244" xr:uid="{7E289547-8B2E-4180-AB39-3FEDAF1EBDDD}"/>
    <cellStyle name="Millares [0] 6 8 2 2" xfId="45404" xr:uid="{A6F8B1DE-E306-4FA4-8C0C-D21E350BFFF9}"/>
    <cellStyle name="Millares [0] 6 8 3" xfId="13084" xr:uid="{448C369B-8CE4-4466-B8BD-5C346F86F997}"/>
    <cellStyle name="Millares [0] 6 8 4" xfId="24058" xr:uid="{B5460DC2-8B8E-4907-A140-6737B0A959AD}"/>
    <cellStyle name="Millares [0] 6 8 5" xfId="43008" xr:uid="{40113577-F039-4FF2-A5D3-808014B9911C}"/>
    <cellStyle name="Millares [0] 6 8 6" xfId="47901" xr:uid="{46DCE4E4-6184-4D0D-9DA8-EE832C758E9B}"/>
    <cellStyle name="Millares [0] 6 9" xfId="2391" xr:uid="{0AD279D8-45D6-40ED-B0D4-57BA6F024A9A}"/>
    <cellStyle name="Millares [0] 6 9 2" xfId="10662" xr:uid="{8E709F12-5C2C-4761-A4F4-9B245F416802}"/>
    <cellStyle name="Millares [0] 6 9 2 2" xfId="45822" xr:uid="{7B41AF0D-118A-4745-BC62-5797DDE7944D}"/>
    <cellStyle name="Millares [0] 6 9 3" xfId="13502" xr:uid="{74690907-7EC0-46DB-8FA1-3213FDBEBF94}"/>
    <cellStyle name="Millares [0] 6 9 4" xfId="29936" xr:uid="{9141DF80-E5D9-4D16-BDD3-0C597FB6F1BC}"/>
    <cellStyle name="Millares [0] 6 9 5" xfId="43426" xr:uid="{535A36F1-F97E-4786-B258-B7FBEC49EFBB}"/>
    <cellStyle name="Millares [0] 6 9 6" xfId="48319" xr:uid="{546A13A5-5011-491E-83C1-20BDDE52C813}"/>
    <cellStyle name="Millares [0] 7" xfId="110" xr:uid="{00000000-0005-0000-0000-000088010000}"/>
    <cellStyle name="Millares [0] 7 10" xfId="35841" xr:uid="{A94D1C09-FDBB-49B4-9963-67D494A4CB2C}"/>
    <cellStyle name="Millares [0] 7 11" xfId="17500" xr:uid="{6880C019-6700-462D-A587-89DAD8451290}"/>
    <cellStyle name="Millares [0] 7 12" xfId="42091" xr:uid="{2C63EC2D-FC4B-4095-9CB3-8CC8FD3DA799}"/>
    <cellStyle name="Millares [0] 7 13" xfId="42141" xr:uid="{C820A35F-349D-4F12-BD25-6184336B62DA}"/>
    <cellStyle name="Millares [0] 7 14" xfId="50208" xr:uid="{C8A788C3-9BF2-4C9C-9E20-E5EC7AB2504C}"/>
    <cellStyle name="Millares [0] 7 15" xfId="50282" xr:uid="{F797788E-24AB-4536-A1F1-1B653C228B7E}"/>
    <cellStyle name="Millares [0] 7 2" xfId="4054" xr:uid="{0649933C-DC23-41E2-B338-22BC59AC13FF}"/>
    <cellStyle name="Millares [0] 7 2 10" xfId="49758" xr:uid="{08A1F1B9-AC06-49E1-9512-BC0652038A1B}"/>
    <cellStyle name="Millares [0] 7 2 11" xfId="50354" xr:uid="{09EF6EFE-6DE4-476E-92B0-9EFB15987DA5}"/>
    <cellStyle name="Millares [0] 7 2 2" xfId="4529" xr:uid="{D055FEE6-1BD0-4C79-B7F0-BFDCDAE85A37}"/>
    <cellStyle name="Millares [0] 7 2 2 2" xfId="5497" xr:uid="{8D01AACF-50D4-4FA3-90B3-4A1FFF79F33A}"/>
    <cellStyle name="Millares [0] 7 2 2 2 2" xfId="8364" xr:uid="{8ED2A968-B7C1-4722-979D-62D09B1764C7}"/>
    <cellStyle name="Millares [0] 7 2 2 2 2 2" xfId="12397" xr:uid="{D7154013-E356-4849-90C8-454A4FC571C5}"/>
    <cellStyle name="Millares [0] 7 2 2 2 2 2 2" xfId="41974" xr:uid="{837ED800-D166-4417-B82A-1CBAAF870FC6}"/>
    <cellStyle name="Millares [0] 7 2 2 2 2 2 3" xfId="22739" xr:uid="{1FB23A53-486C-4488-B304-FE7DA2338BCB}"/>
    <cellStyle name="Millares [0] 7 2 2 2 2 3" xfId="15238" xr:uid="{BCCEC8A5-D915-4975-84D8-A6DE6ED4A2C7}"/>
    <cellStyle name="Millares [0] 7 2 2 2 2 3 2" xfId="28597" xr:uid="{75A0DDED-AEFE-4935-9FC6-A89F318AFE3D}"/>
    <cellStyle name="Millares [0] 7 2 2 2 2 4" xfId="15685" xr:uid="{342A2FBB-20D1-475B-A4C6-09B6E42746F8}"/>
    <cellStyle name="Millares [0] 7 2 2 2 2 4 2" xfId="34479" xr:uid="{EE7563B0-BEB7-479F-842E-7FAF58F20F69}"/>
    <cellStyle name="Millares [0] 7 2 2 2 2 5" xfId="40343" xr:uid="{9EB6941F-7FA1-402D-8A5D-F377E6B11C62}"/>
    <cellStyle name="Millares [0] 7 2 2 2 2 6" xfId="18124" xr:uid="{8BE1047C-EBB4-4CDB-82F9-2CDED5C3158B}"/>
    <cellStyle name="Millares [0] 7 2 2 2 2 7" xfId="50054" xr:uid="{440653DE-FBB8-4E0A-8533-02B8555F389A}"/>
    <cellStyle name="Millares [0] 7 2 2 2 3" xfId="12210" xr:uid="{BC714B80-99CB-4E7F-AA0D-B8433A512B7E}"/>
    <cellStyle name="Millares [0] 7 2 2 2 3 2" xfId="41787" xr:uid="{D1601159-B6F2-4278-AF1D-F7451DB4149E}"/>
    <cellStyle name="Millares [0] 7 2 2 2 3 3" xfId="19958" xr:uid="{9C419D2D-6453-4B19-A1E0-9E2870C289DE}"/>
    <cellStyle name="Millares [0] 7 2 2 2 4" xfId="15051" xr:uid="{BB5A365F-6AF9-4FA6-A107-CFC2B25D36EA}"/>
    <cellStyle name="Millares [0] 7 2 2 2 4 2" xfId="25748" xr:uid="{D83F1D86-92DA-4817-9A4D-83055B1B4A1A}"/>
    <cellStyle name="Millares [0] 7 2 2 2 5" xfId="15498" xr:uid="{4F16F255-B1D0-41FF-A7AB-E3C8BBBE7DDF}"/>
    <cellStyle name="Millares [0] 7 2 2 2 5 2" xfId="31622" xr:uid="{AC246215-9445-4FE1-915E-3378B566BBE0}"/>
    <cellStyle name="Millares [0] 7 2 2 2 6" xfId="37492" xr:uid="{A8313DD8-E36F-4E6E-BAD5-CCEC2DE627FA}"/>
    <cellStyle name="Millares [0] 7 2 2 2 7" xfId="17739" xr:uid="{0054A9FE-BC46-4972-9EA9-129A79584882}"/>
    <cellStyle name="Millares [0] 7 2 2 2 8" xfId="49867" xr:uid="{1AC15F2C-9C62-4961-A960-31F91899F539}"/>
    <cellStyle name="Millares [0] 7 2 2 3" xfId="7392" xr:uid="{84E7B106-F57F-4961-9B7E-B5963F5FA492}"/>
    <cellStyle name="Millares [0] 7 2 2 3 2" xfId="12325" xr:uid="{2E9B9C81-8D92-4032-ADF5-87E9BCCB08CC}"/>
    <cellStyle name="Millares [0] 7 2 2 3 2 2" xfId="41902" xr:uid="{10A819A6-E1CB-43C2-AA79-1D5A695D40DA}"/>
    <cellStyle name="Millares [0] 7 2 2 3 2 3" xfId="21794" xr:uid="{C4F1BAB6-31F6-4CDF-B0C7-A50DB2D1F3A1}"/>
    <cellStyle name="Millares [0] 7 2 2 3 3" xfId="15166" xr:uid="{4B912D55-9878-4428-9063-F30537359E87}"/>
    <cellStyle name="Millares [0] 7 2 2 3 3 2" xfId="27626" xr:uid="{9EBEED93-993B-4E17-BFBB-27419C868752}"/>
    <cellStyle name="Millares [0] 7 2 2 3 4" xfId="15613" xr:uid="{59D3401A-D994-439F-857E-4D15DE4D6877}"/>
    <cellStyle name="Millares [0] 7 2 2 3 4 2" xfId="33508" xr:uid="{99A96373-32C5-40AD-BE25-01140BE42283}"/>
    <cellStyle name="Millares [0] 7 2 2 3 5" xfId="39372" xr:uid="{059456E6-5A35-4E64-8BF5-CA25FCE012DD}"/>
    <cellStyle name="Millares [0] 7 2 2 3 6" xfId="17984" xr:uid="{F3BB5A56-6872-4649-BA9B-3C3F23AB8A26}"/>
    <cellStyle name="Millares [0] 7 2 2 3 7" xfId="49982" xr:uid="{C3DBD143-3C0D-48D3-914F-80B98648AD1A}"/>
    <cellStyle name="Millares [0] 7 2 2 4" xfId="12138" xr:uid="{681D7931-5F9A-4A0A-B221-AA5A5C3F6EC0}"/>
    <cellStyle name="Millares [0] 7 2 2 4 2" xfId="41715" xr:uid="{9400FF40-8056-4550-A379-2E3D8609B89F}"/>
    <cellStyle name="Millares [0] 7 2 2 4 3" xfId="19028" xr:uid="{CED44A99-DADE-422E-B037-ED391D35381A}"/>
    <cellStyle name="Millares [0] 7 2 2 5" xfId="14979" xr:uid="{784C90E7-FBB4-438C-8341-0FCA8B05C896}"/>
    <cellStyle name="Millares [0] 7 2 2 5 2" xfId="24777" xr:uid="{9F61727A-7508-47B5-A0BD-58B841EEC699}"/>
    <cellStyle name="Millares [0] 7 2 2 6" xfId="15424" xr:uid="{D6361F24-3396-43D0-9A90-001BEB537079}"/>
    <cellStyle name="Millares [0] 7 2 2 6 2" xfId="30654" xr:uid="{3EA608FE-B93E-4208-903A-4D5D5C60ADA1}"/>
    <cellStyle name="Millares [0] 7 2 2 7" xfId="36535" xr:uid="{E380E234-1AAD-499F-8109-6674CC40037E}"/>
    <cellStyle name="Millares [0] 7 2 2 8" xfId="17606" xr:uid="{4A82AB4D-E404-47AE-8AD1-50481883E6C3}"/>
    <cellStyle name="Millares [0] 7 2 2 9" xfId="49795" xr:uid="{6501A3E6-4BCA-498F-B588-3EE415F63E1B}"/>
    <cellStyle name="Millares [0] 7 2 3" xfId="5012" xr:uid="{3B414441-11CD-459C-837D-941CC24BCB8E}"/>
    <cellStyle name="Millares [0] 7 2 3 2" xfId="7879" xr:uid="{E644F43C-7700-4DC1-8798-5CA1B8227906}"/>
    <cellStyle name="Millares [0] 7 2 3 2 2" xfId="12361" xr:uid="{8754AD3C-7BA4-4D6E-86C6-5FCA09D64816}"/>
    <cellStyle name="Millares [0] 7 2 3 2 2 2" xfId="41938" xr:uid="{4615E80C-C7D2-4972-AB6E-200C6BBF7432}"/>
    <cellStyle name="Millares [0] 7 2 3 2 2 3" xfId="22264" xr:uid="{BE7CBE9F-7695-4555-B2F7-74416CD3B962}"/>
    <cellStyle name="Millares [0] 7 2 3 2 3" xfId="15202" xr:uid="{E32CF5AB-1D03-452E-AC51-15A8FB6CB9EC}"/>
    <cellStyle name="Millares [0] 7 2 3 2 3 2" xfId="28112" xr:uid="{30FD8BF6-2197-48BE-A46F-1392B8598D58}"/>
    <cellStyle name="Millares [0] 7 2 3 2 4" xfId="15649" xr:uid="{8DE7291E-3BF7-48CF-95D9-D25276A599CD}"/>
    <cellStyle name="Millares [0] 7 2 3 2 4 2" xfId="33994" xr:uid="{2B0E2E6E-5BB5-4DEE-A4C1-B6718D5151C2}"/>
    <cellStyle name="Millares [0] 7 2 3 2 5" xfId="39858" xr:uid="{9577E8F5-66D8-4666-A7D8-4591B55E03C2}"/>
    <cellStyle name="Millares [0] 7 2 3 2 6" xfId="18053" xr:uid="{F4C44780-5D72-47C9-A060-62491AF1DFC2}"/>
    <cellStyle name="Millares [0] 7 2 3 2 7" xfId="50018" xr:uid="{5B07D3C1-5C40-40A2-BF41-A63E1488B03E}"/>
    <cellStyle name="Millares [0] 7 2 3 3" xfId="12174" xr:uid="{75B6FF28-E557-4329-B8C2-613D6E2C7E4B}"/>
    <cellStyle name="Millares [0] 7 2 3 3 2" xfId="41751" xr:uid="{5ABB1C7F-10F0-4C68-BA25-A6650C83DE19}"/>
    <cellStyle name="Millares [0] 7 2 3 3 3" xfId="19491" xr:uid="{69665D63-44A2-4A6F-B211-F42A904087DA}"/>
    <cellStyle name="Millares [0] 7 2 3 4" xfId="15015" xr:uid="{8B6FBBE7-EDE4-43CF-89FE-CA26FB7DFF64}"/>
    <cellStyle name="Millares [0] 7 2 3 4 2" xfId="25263" xr:uid="{EE47BB22-2062-4425-AFE7-06E10C304818}"/>
    <cellStyle name="Millares [0] 7 2 3 5" xfId="15461" xr:uid="{3EE15412-02DC-4610-9D73-DDA6D62AD230}"/>
    <cellStyle name="Millares [0] 7 2 3 5 2" xfId="31137" xr:uid="{2EAC9DBE-F09B-43FD-8941-2DD2C22D96DC}"/>
    <cellStyle name="Millares [0] 7 2 3 6" xfId="37015" xr:uid="{98F009FB-0834-45D8-9A8A-1FFCAA3AEBF5}"/>
    <cellStyle name="Millares [0] 7 2 3 7" xfId="17671" xr:uid="{02B74181-EB90-4AA7-B0B0-E2B33BADDD35}"/>
    <cellStyle name="Millares [0] 7 2 3 8" xfId="49831" xr:uid="{09B7B6D6-1FC4-4125-A9FB-3D5FE16CD107}"/>
    <cellStyle name="Millares [0] 7 2 4" xfId="6907" xr:uid="{94B5A0B6-C740-4E3B-960A-B754091C2797}"/>
    <cellStyle name="Millares [0] 7 2 4 2" xfId="12289" xr:uid="{78C9CF24-6B17-4511-BA1C-2D93C54B6784}"/>
    <cellStyle name="Millares [0] 7 2 4 2 2" xfId="41866" xr:uid="{42631CCB-46CD-410E-99BE-9ACADBD0753A}"/>
    <cellStyle name="Millares [0] 7 2 4 2 3" xfId="21327" xr:uid="{5389FEC1-5BE8-4ECC-9FD0-458B9A145F1A}"/>
    <cellStyle name="Millares [0] 7 2 4 3" xfId="15130" xr:uid="{555C87C2-B6DE-48DB-9A2C-CD26790C3D48}"/>
    <cellStyle name="Millares [0] 7 2 4 3 2" xfId="27145" xr:uid="{412CB0AF-1061-4024-AC6E-B35C4AA02034}"/>
    <cellStyle name="Millares [0] 7 2 4 4" xfId="15577" xr:uid="{8573A464-9B40-4F47-9FFC-5ED8730F6ECC}"/>
    <cellStyle name="Millares [0] 7 2 4 4 2" xfId="33023" xr:uid="{CD5F9CD8-982F-417C-8304-0C40B06B2289}"/>
    <cellStyle name="Millares [0] 7 2 4 5" xfId="38887" xr:uid="{B8AA3584-8720-4C7E-BA27-9E15B8241B29}"/>
    <cellStyle name="Millares [0] 7 2 4 6" xfId="17915" xr:uid="{C217E299-D23B-4F49-A4F7-A89653CF5B4C}"/>
    <cellStyle name="Millares [0] 7 2 4 7" xfId="49946" xr:uid="{7E22A925-9566-4901-BE7C-153967FF7593}"/>
    <cellStyle name="Millares [0] 7 2 5" xfId="12101" xr:uid="{386A27BD-2CBD-4F5E-8E6B-7FBCD82C0F21}"/>
    <cellStyle name="Millares [0] 7 2 5 2" xfId="41678" xr:uid="{36BA4EE8-38AE-4462-B353-75E2B73F62EF}"/>
    <cellStyle name="Millares [0] 7 2 5 3" xfId="18582" xr:uid="{2D47F360-8EFE-4AFC-A884-0B7CC2EC0219}"/>
    <cellStyle name="Millares [0] 7 2 6" xfId="14942" xr:uid="{A7D03DF7-8B47-4AC9-A091-00BCF49C2EFC}"/>
    <cellStyle name="Millares [0] 7 2 6 2" xfId="24294" xr:uid="{72C991CA-07A2-4A5C-A9DF-475C6901366A}"/>
    <cellStyle name="Millares [0] 7 2 7" xfId="15387" xr:uid="{5A76989A-2A81-4262-A425-560F7E7343DA}"/>
    <cellStyle name="Millares [0] 7 2 7 2" xfId="30172" xr:uid="{A057734B-E437-4115-877A-25DF55348DD1}"/>
    <cellStyle name="Millares [0] 7 2 8" xfId="36051" xr:uid="{431CE62E-F731-465F-BCC8-567ED481184C}"/>
    <cellStyle name="Millares [0] 7 2 9" xfId="17543" xr:uid="{EE5B12AD-0516-4DF3-B0D1-6722089E4E7A}"/>
    <cellStyle name="Millares [0] 7 3" xfId="4335" xr:uid="{474369D0-C3B1-42A9-A5E5-76DFCCB4357F}"/>
    <cellStyle name="Millares [0] 7 3 10" xfId="49783" xr:uid="{65002E07-555E-4619-8A9D-4D4F0C2A92D5}"/>
    <cellStyle name="Millares [0] 7 3 2" xfId="5301" xr:uid="{7E89BF03-A9A7-4896-BC6F-A83C2B55E665}"/>
    <cellStyle name="Millares [0] 7 3 2 2" xfId="8168" xr:uid="{169EE5C6-B186-4A9D-AEA2-A2D2CF4D5166}"/>
    <cellStyle name="Millares [0] 7 3 2 2 2" xfId="12385" xr:uid="{C9324922-ABE7-4B7C-8556-C9D3646C1F49}"/>
    <cellStyle name="Millares [0] 7 3 2 2 2 2" xfId="41962" xr:uid="{3950DD5E-F05C-436B-B73A-2D5B8EDF3AAD}"/>
    <cellStyle name="Millares [0] 7 3 2 2 2 3" xfId="22544" xr:uid="{3CC08CF5-1046-4C4F-833C-F1BAA7A69DBA}"/>
    <cellStyle name="Millares [0] 7 3 2 2 3" xfId="15226" xr:uid="{BF273BF0-6112-4BEE-A103-5C03CE502E98}"/>
    <cellStyle name="Millares [0] 7 3 2 2 3 2" xfId="28401" xr:uid="{408577A1-0B61-427E-A734-481BE8B7E9FC}"/>
    <cellStyle name="Millares [0] 7 3 2 2 4" xfId="15673" xr:uid="{638F498A-ECC0-485A-B34F-004B0CC80A3A}"/>
    <cellStyle name="Millares [0] 7 3 2 2 4 2" xfId="34283" xr:uid="{77BF2BAB-6169-41BF-8178-5497A2BD2227}"/>
    <cellStyle name="Millares [0] 7 3 2 2 5" xfId="40147" xr:uid="{F50C6F2F-7212-4A64-815D-C186B35C2862}"/>
    <cellStyle name="Millares [0] 7 3 2 2 6" xfId="18097" xr:uid="{CCC2BE42-443C-44A0-94CB-B2460E85BB3A}"/>
    <cellStyle name="Millares [0] 7 3 2 2 7" xfId="50042" xr:uid="{583DCCDE-3C54-44AD-85C9-8207D6147FC2}"/>
    <cellStyle name="Millares [0] 7 3 2 3" xfId="12198" xr:uid="{307431E2-58DD-41F7-95FE-DEB328952684}"/>
    <cellStyle name="Millares [0] 7 3 2 3 2" xfId="41775" xr:uid="{0F779366-FC50-4437-8CC1-BFADAB1668DE}"/>
    <cellStyle name="Millares [0] 7 3 2 3 3" xfId="19769" xr:uid="{1F36A7AB-D2B0-4F84-97B2-ED231814D2BC}"/>
    <cellStyle name="Millares [0] 7 3 2 4" xfId="15039" xr:uid="{67F568C2-B92C-49D0-80E9-23998DC95952}"/>
    <cellStyle name="Millares [0] 7 3 2 4 2" xfId="25552" xr:uid="{5B42A020-4B82-4E86-A643-F9096A60EF50}"/>
    <cellStyle name="Millares [0] 7 3 2 5" xfId="15485" xr:uid="{27AF152B-1FF1-4327-B142-70C02737F59F}"/>
    <cellStyle name="Millares [0] 7 3 2 5 2" xfId="31426" xr:uid="{498BB159-6CE6-4E4C-BBAF-540324E02A5B}"/>
    <cellStyle name="Millares [0] 7 3 2 6" xfId="37297" xr:uid="{DD453FBB-4720-47AA-ADB8-DE3B36612D90}"/>
    <cellStyle name="Millares [0] 7 3 2 7" xfId="17714" xr:uid="{2902BC9D-B150-4B24-B861-143367E41285}"/>
    <cellStyle name="Millares [0] 7 3 2 8" xfId="49855" xr:uid="{1F3A71F2-276A-4D62-AAB5-172D077A07CD}"/>
    <cellStyle name="Millares [0] 7 3 3" xfId="7196" xr:uid="{B46D3126-DCC0-41B8-ADC0-B461A60A7B74}"/>
    <cellStyle name="Millares [0] 7 3 3 2" xfId="12313" xr:uid="{FD2FB581-7F5B-4AE0-8C4B-908AEA670C7A}"/>
    <cellStyle name="Millares [0] 7 3 3 2 2" xfId="41890" xr:uid="{04A31A30-63F5-4E40-B0DC-6CD05ABD5A0E}"/>
    <cellStyle name="Millares [0] 7 3 3 2 3" xfId="21603" xr:uid="{5E294CFA-9B85-4A9D-8C32-C1EEE25D2ABF}"/>
    <cellStyle name="Millares [0] 7 3 3 3" xfId="15154" xr:uid="{CCA1EAB6-3BF7-43A4-BFA7-3A6F996E182B}"/>
    <cellStyle name="Millares [0] 7 3 3 3 2" xfId="27430" xr:uid="{93EBA1AF-4E21-4DCC-9D2E-C8455C6D171F}"/>
    <cellStyle name="Millares [0] 7 3 3 4" xfId="15601" xr:uid="{55E66CE4-038E-4A4A-9441-BF16A48F4D91}"/>
    <cellStyle name="Millares [0] 7 3 3 4 2" xfId="33312" xr:uid="{D8C78A94-46C3-4152-9187-884A4EA188FD}"/>
    <cellStyle name="Millares [0] 7 3 3 5" xfId="39176" xr:uid="{87059F8A-A934-49CE-8081-02AB3CAD2555}"/>
    <cellStyle name="Millares [0] 7 3 3 6" xfId="17959" xr:uid="{26EEEE7C-615B-487B-A3DA-A5D501109DB7}"/>
    <cellStyle name="Millares [0] 7 3 3 7" xfId="49970" xr:uid="{A2910CA0-E3A1-4F19-BDBD-878B7D2EB356}"/>
    <cellStyle name="Millares [0] 7 3 4" xfId="12126" xr:uid="{EE628589-E194-4602-BECD-04E3D2AE2F21}"/>
    <cellStyle name="Millares [0] 7 3 4 2" xfId="41703" xr:uid="{2D5ABBDF-A3C1-48F1-A117-D0F15712E86E}"/>
    <cellStyle name="Millares [0] 7 3 4 3" xfId="18840" xr:uid="{16E79C52-FB20-4051-8C22-07BF48F5CD97}"/>
    <cellStyle name="Millares [0] 7 3 5" xfId="14967" xr:uid="{8A4BDEDC-4CD7-4D49-B16B-B79E82D994E1}"/>
    <cellStyle name="Millares [0] 7 3 5 2" xfId="24581" xr:uid="{2794345C-7A0E-492F-AEE8-05E0A27519C6}"/>
    <cellStyle name="Millares [0] 7 3 6" xfId="15412" xr:uid="{BEF0CCEB-0259-40E7-9F29-A4F3518F831D}"/>
    <cellStyle name="Millares [0] 7 3 6 2" xfId="30460" xr:uid="{56767A62-AC43-439C-8721-232D3DBD000B}"/>
    <cellStyle name="Millares [0] 7 3 7" xfId="36340" xr:uid="{C02C566E-E1F0-4722-920E-7ECD21782FBC}"/>
    <cellStyle name="Millares [0] 7 3 8" xfId="17583" xr:uid="{D6F7E730-0E35-4AB8-B959-AC9B2340C8F1}"/>
    <cellStyle name="Millares [0] 7 3 9" xfId="46852" xr:uid="{633A4C47-8BFA-4882-8384-64D7D9F10FAA}"/>
    <cellStyle name="Millares [0] 7 4" xfId="4820" xr:uid="{E773D68E-BA0B-4B8F-90BD-3DDEE97B06EE}"/>
    <cellStyle name="Millares [0] 7 4 2" xfId="7683" xr:uid="{040D82BE-FB24-46A6-B35D-0032FFA37BDE}"/>
    <cellStyle name="Millares [0] 7 4 2 2" xfId="12349" xr:uid="{73142FF8-B215-4D92-9E78-C0D2AD68AE83}"/>
    <cellStyle name="Millares [0] 7 4 2 2 2" xfId="41926" xr:uid="{DA793595-495D-4F6A-8990-6F47CE71EAD1}"/>
    <cellStyle name="Millares [0] 7 4 2 2 3" xfId="22073" xr:uid="{1F8F4494-FC14-4A27-AF0A-111003A98CB6}"/>
    <cellStyle name="Millares [0] 7 4 2 3" xfId="15190" xr:uid="{D9F9DCD7-2F5A-48C2-B912-8D62E915C7A4}"/>
    <cellStyle name="Millares [0] 7 4 2 3 2" xfId="27916" xr:uid="{81A18907-559C-4FEB-8C9C-5E99304DF382}"/>
    <cellStyle name="Millares [0] 7 4 2 4" xfId="15637" xr:uid="{62F54CDC-0B6C-48FD-B92E-8A92D2AEAA0F}"/>
    <cellStyle name="Millares [0] 7 4 2 4 2" xfId="33798" xr:uid="{2C24A34F-FCF3-4F90-9CC8-571BA83D9C49}"/>
    <cellStyle name="Millares [0] 7 4 2 5" xfId="39662" xr:uid="{AA4B63B1-8775-4F32-8E4B-E31AAD29E178}"/>
    <cellStyle name="Millares [0] 7 4 2 6" xfId="18029" xr:uid="{A486DD0E-8DD3-4D98-971D-2E9D55CB03B7}"/>
    <cellStyle name="Millares [0] 7 4 2 7" xfId="50006" xr:uid="{CD1B231B-960D-4D6D-BE71-1FD9C90DA87A}"/>
    <cellStyle name="Millares [0] 7 4 3" xfId="12162" xr:uid="{58AC62E4-7227-44EC-ADA9-47B64FA4061E}"/>
    <cellStyle name="Millares [0] 7 4 3 2" xfId="41739" xr:uid="{02EC1C2C-0E2F-4B8E-9C47-4E9C325F64FB}"/>
    <cellStyle name="Millares [0] 7 4 3 3" xfId="19299" xr:uid="{C828DC0D-6752-452C-A523-24EAFADFB82A}"/>
    <cellStyle name="Millares [0] 7 4 4" xfId="15003" xr:uid="{FD8CDF38-D82A-47CC-A476-ADF8318ED705}"/>
    <cellStyle name="Millares [0] 7 4 4 2" xfId="25067" xr:uid="{717C5530-189B-4EA1-B141-F75983300E9D}"/>
    <cellStyle name="Millares [0] 7 4 5" xfId="15449" xr:uid="{2BA8A05C-3633-4DAF-833A-8FCBE50020E9}"/>
    <cellStyle name="Millares [0] 7 4 5 2" xfId="30941" xr:uid="{5AFE41A9-FC53-4D7A-828D-585274C69BA3}"/>
    <cellStyle name="Millares [0] 7 4 6" xfId="36820" xr:uid="{CD9B2F99-B4E6-4E6C-BD51-C07E507A76CD}"/>
    <cellStyle name="Millares [0] 7 4 7" xfId="17647" xr:uid="{48C74FF9-177F-4694-BC7A-254272B06A63}"/>
    <cellStyle name="Millares [0] 7 4 8" xfId="49819" xr:uid="{D69AB1B9-ED93-4FA6-8A33-9F2A6563FF89}"/>
    <cellStyle name="Millares [0] 7 5" xfId="5826" xr:uid="{277B6F6B-3A81-4262-96D8-7B9DA629C7C0}"/>
    <cellStyle name="Millares [0] 7 5 2" xfId="8695" xr:uid="{48CDDDBE-993C-42C0-BAC5-39AD4A062C75}"/>
    <cellStyle name="Millares [0] 7 5 2 2" xfId="12421" xr:uid="{A2364F56-8A73-4EF2-B75C-8F7180462899}"/>
    <cellStyle name="Millares [0] 7 5 2 2 2" xfId="41998" xr:uid="{6BF4F1F9-28E6-4550-B9A8-A85DE8232A45}"/>
    <cellStyle name="Millares [0] 7 5 2 2 3" xfId="23063" xr:uid="{1D190EB9-75FC-4CB7-AB0A-9802EC7AA286}"/>
    <cellStyle name="Millares [0] 7 5 2 3" xfId="15262" xr:uid="{4005EC70-7189-405B-9B12-DF2C3EF0BFA4}"/>
    <cellStyle name="Millares [0] 7 5 2 3 2" xfId="28927" xr:uid="{1FCCD727-F9CF-4CE9-AA1C-132EEE08521F}"/>
    <cellStyle name="Millares [0] 7 5 2 4" xfId="15711" xr:uid="{EF0A416F-AD8B-4B7B-81E3-99A3F09EBD83}"/>
    <cellStyle name="Millares [0] 7 5 2 4 2" xfId="34809" xr:uid="{F4F09FA2-5AB0-4391-AB10-42D89F9E2373}"/>
    <cellStyle name="Millares [0] 7 5 2 5" xfId="40673" xr:uid="{B423E549-7300-4FFD-9CD5-3D522B3578BD}"/>
    <cellStyle name="Millares [0] 7 5 2 6" xfId="18166" xr:uid="{4F41B27C-BE36-4B4A-802A-22043FF2FEFA}"/>
    <cellStyle name="Millares [0] 7 5 2 7" xfId="50078" xr:uid="{9AF3911E-958F-4B35-B436-7C490A40946D}"/>
    <cellStyle name="Millares [0] 7 5 3" xfId="12234" xr:uid="{2507F6BD-84BD-4B16-BE26-AF6E94575BC4}"/>
    <cellStyle name="Millares [0] 7 5 3 2" xfId="41811" xr:uid="{C9170DF9-F364-4665-B977-7948ED01FE18}"/>
    <cellStyle name="Millares [0] 7 5 3 3" xfId="20278" xr:uid="{6392AA56-6C88-4B24-8F08-AB41DF5496B3}"/>
    <cellStyle name="Millares [0] 7 5 4" xfId="15075" xr:uid="{4FC8DB2A-98E9-4680-91B8-89E0D3B8ACD3}"/>
    <cellStyle name="Millares [0] 7 5 4 2" xfId="26077" xr:uid="{73168592-862F-4491-A066-0AC2C92C62F8}"/>
    <cellStyle name="Millares [0] 7 5 5" xfId="15522" xr:uid="{618A63A2-DB9A-4BA0-93A7-4D579C4B5678}"/>
    <cellStyle name="Millares [0] 7 5 5 2" xfId="31952" xr:uid="{347D18A5-CDF2-40AB-8C31-889BB9B5BD50}"/>
    <cellStyle name="Millares [0] 7 5 6" xfId="37818" xr:uid="{3D8DE3AF-1195-490F-BEA6-69E86BCEAA3F}"/>
    <cellStyle name="Millares [0] 7 5 7" xfId="17785" xr:uid="{B239386D-5900-4E2D-B7EC-DC85B6A16DAA}"/>
    <cellStyle name="Millares [0] 7 5 8" xfId="49891" xr:uid="{3CBB7831-ABB4-449B-ACDE-C922A8AA19A6}"/>
    <cellStyle name="Millares [0] 7 6" xfId="6712" xr:uid="{1EAC24DF-BCAA-4DAB-8BD1-1EECD60BA769}"/>
    <cellStyle name="Millares [0] 7 6 2" xfId="12277" xr:uid="{EAF391B7-D3CF-4B82-B0D0-8F096CB81F4A}"/>
    <cellStyle name="Millares [0] 7 6 2 2" xfId="41854" xr:uid="{57BF2FC6-21DB-42E0-9F55-604F382911FF}"/>
    <cellStyle name="Millares [0] 7 6 2 3" xfId="21139" xr:uid="{58A16A58-6372-4200-9F35-964A4708C9BD}"/>
    <cellStyle name="Millares [0] 7 6 3" xfId="15118" xr:uid="{75DB88AA-CB98-4ECA-A477-FD89074602DD}"/>
    <cellStyle name="Millares [0] 7 6 3 2" xfId="26951" xr:uid="{7D01C3E5-F931-49F4-88A9-1FB26EC434D6}"/>
    <cellStyle name="Millares [0] 7 6 4" xfId="15565" xr:uid="{99C8B213-DBAD-4841-9663-74ACD60C918E}"/>
    <cellStyle name="Millares [0] 7 6 4 2" xfId="32827" xr:uid="{21B43732-3D9C-4B4A-8C90-0607D5076392}"/>
    <cellStyle name="Millares [0] 7 6 5" xfId="38691" xr:uid="{B17A34D0-D7F4-4839-B5EB-9C290824F17C}"/>
    <cellStyle name="Millares [0] 7 6 6" xfId="17890" xr:uid="{B20BB0BD-CBC8-4B43-A7EA-5DEDB99A26F9}"/>
    <cellStyle name="Millares [0] 7 6 7" xfId="49934" xr:uid="{938160DF-DE5F-4C8B-9E3F-53B521F07B6B}"/>
    <cellStyle name="Millares [0] 7 7" xfId="3854" xr:uid="{515441A7-2052-4384-80DF-A51F7F4F01BF}"/>
    <cellStyle name="Millares [0] 7 7 2" xfId="12073" xr:uid="{54C4B145-C8C5-4CA0-8957-6DF7782DD0C6}"/>
    <cellStyle name="Millares [0] 7 7 2 2" xfId="41650" xr:uid="{FB922E02-1B07-450E-8FA2-1FA489ED8F43}"/>
    <cellStyle name="Millares [0] 7 7 3" xfId="14914" xr:uid="{DDF2C1D4-511C-42D6-A72E-EABE90C17807}"/>
    <cellStyle name="Millares [0] 7 7 4" xfId="18373" xr:uid="{0BD6082C-1BFF-4249-A37A-1DBEE04D1595}"/>
    <cellStyle name="Millares [0] 7 7 5" xfId="49730" xr:uid="{D4C82FA2-75F3-4479-9939-4EFE31C0D78F}"/>
    <cellStyle name="Millares [0] 7 8" xfId="15359" xr:uid="{82DAFA50-B155-4CEE-B63C-BEB6FD62AFC9}"/>
    <cellStyle name="Millares [0] 7 8 2" xfId="24082" xr:uid="{71328013-AEAE-4534-AD03-E2B6E6C2603C}"/>
    <cellStyle name="Millares [0] 7 9" xfId="29960" xr:uid="{9B6610E2-7438-4F75-AD51-07881C585E66}"/>
    <cellStyle name="Millares [0] 8" xfId="182" xr:uid="{00000000-0005-0000-0000-000089010000}"/>
    <cellStyle name="Millares [0] 8 10" xfId="3485" xr:uid="{00947DF2-4794-4E53-B6D3-2986A52F25A5}"/>
    <cellStyle name="Millares [0] 8 10 2" xfId="11726" xr:uid="{292898D4-9B3E-435A-8A29-4578A7EDC7CF}"/>
    <cellStyle name="Millares [0] 8 10 3" xfId="14566" xr:uid="{64F5AF62-02DE-4F8E-A0BD-D01C62FA1355}"/>
    <cellStyle name="Millares [0] 8 10 4" xfId="35872" xr:uid="{38A03EED-6DDC-4001-98DA-5B5CDF3302C5}"/>
    <cellStyle name="Millares [0] 8 10 5" xfId="44490" xr:uid="{33C3F30C-4C2B-44E9-9318-B43D9F7138E0}"/>
    <cellStyle name="Millares [0] 8 10 6" xfId="49383" xr:uid="{5A46641E-7C71-4D3C-AD38-766A276D17FC}"/>
    <cellStyle name="Millares [0] 8 11" xfId="3881" xr:uid="{AA3F33A8-C989-4A5D-BED2-83430A3B124B}"/>
    <cellStyle name="Millares [0] 8 11 2" xfId="12079" xr:uid="{7718CA09-4FB4-4A77-8F07-3C975B2FF2F3}"/>
    <cellStyle name="Millares [0] 8 11 3" xfId="14920" xr:uid="{E36D51CD-EC37-47A8-97DD-698E28BE2F32}"/>
    <cellStyle name="Millares [0] 8 11 4" xfId="44908" xr:uid="{68154BE7-E93F-4D7E-A460-ABA10E7E791C}"/>
    <cellStyle name="Millares [0] 8 11 5" xfId="49736" xr:uid="{BBEB7744-1DB4-4247-84E7-E9279389433F}"/>
    <cellStyle name="Millares [0] 8 12" xfId="9637" xr:uid="{066DA57D-A1A1-41FF-BDF8-1AF531B666CC}"/>
    <cellStyle name="Millares [0] 8 12 2" xfId="12477" xr:uid="{00CF2E27-BCDB-4761-8381-3CE332CAACEA}"/>
    <cellStyle name="Millares [0] 8 12 3" xfId="15318" xr:uid="{D1A605E8-B74E-48C0-BE0F-72A14E9EF302}"/>
    <cellStyle name="Millares [0] 8 12 4" xfId="50134" xr:uid="{886DB0BC-A919-427F-9C4D-17C0397F7F1B}"/>
    <cellStyle name="Millares [0] 8 13" xfId="9748" xr:uid="{81C7A2F4-A5E4-421E-B9FB-4F640F18FC9A}"/>
    <cellStyle name="Millares [0] 8 14" xfId="12588" xr:uid="{F6596FDE-36C7-45CA-B799-1E4E2391BEF1}"/>
    <cellStyle name="Millares [0] 8 15" xfId="15365" xr:uid="{4600EBF7-F7ED-4856-8E35-788D40274C0C}"/>
    <cellStyle name="Millares [0] 8 16" xfId="15931" xr:uid="{11A8259F-F0CE-4172-96CD-C6D8C1561407}"/>
    <cellStyle name="Millares [0] 8 17" xfId="16474" xr:uid="{3CA3E8FE-FB14-4AF1-8E2A-7FE444AADE0E}"/>
    <cellStyle name="Millares [0] 8 18" xfId="17018" xr:uid="{779F8696-5081-49AE-B700-41B7054AA1D9}"/>
    <cellStyle name="Millares [0] 8 19" xfId="17508" xr:uid="{DBBAB4A7-CEF9-468B-948B-D438D6FE6FFA}"/>
    <cellStyle name="Millares [0] 8 2" xfId="294" xr:uid="{00000000-0005-0000-0000-00008A010000}"/>
    <cellStyle name="Millares [0] 8 2 10" xfId="15389" xr:uid="{10A8126A-5B22-4163-8E0E-428CC7BC9DD1}"/>
    <cellStyle name="Millares [0] 8 2 11" xfId="16035" xr:uid="{48694344-9D93-45E4-A032-A5E444320148}"/>
    <cellStyle name="Millares [0] 8 2 12" xfId="16578" xr:uid="{3E230006-E9C1-4EF9-A83B-CA8E34B352CD}"/>
    <cellStyle name="Millares [0] 8 2 13" xfId="17122" xr:uid="{330E7897-8994-4933-9EF1-EABB4EA9CFB1}"/>
    <cellStyle name="Millares [0] 8 2 14" xfId="17547" xr:uid="{2235C941-8375-4569-A891-F9CFB7B9B437}"/>
    <cellStyle name="Millares [0] 8 2 15" xfId="42616" xr:uid="{B57B0328-E77A-4A2D-A3D3-F56F0CCACA36}"/>
    <cellStyle name="Millares [0] 8 2 16" xfId="47509" xr:uid="{0FD08E81-46F4-43D1-BCAC-4D107BC45160}"/>
    <cellStyle name="Millares [0] 8 2 2" xfId="521" xr:uid="{00000000-0005-0000-0000-00008B010000}"/>
    <cellStyle name="Millares [0] 8 2 2 10" xfId="16247" xr:uid="{0D32FF94-AB0A-4A12-9492-ED8F4CA6E07E}"/>
    <cellStyle name="Millares [0] 8 2 2 11" xfId="16790" xr:uid="{549F8BE0-F20D-4F3C-A37E-3B7F2F333EC0}"/>
    <cellStyle name="Millares [0] 8 2 2 12" xfId="17334" xr:uid="{A424C6CB-9D73-4EFD-B3B9-5F451AF2CF83}"/>
    <cellStyle name="Millares [0] 8 2 2 13" xfId="17610" xr:uid="{74A54EFB-9E3C-41DE-BB5D-CFD5FFB04CEA}"/>
    <cellStyle name="Millares [0] 8 2 2 14" xfId="42828" xr:uid="{5856B1F4-E0FD-49B2-9830-69BE5067067A}"/>
    <cellStyle name="Millares [0] 8 2 2 15" xfId="47721" xr:uid="{0C800073-1D93-4A3D-BE1B-92CEB58371A5}"/>
    <cellStyle name="Millares [0] 8 2 2 2" xfId="2337" xr:uid="{20BD5E9F-4E94-4BDB-AEA7-DB25FDC6ABC3}"/>
    <cellStyle name="Millares [0] 8 2 2 2 2" xfId="8391" xr:uid="{F71EE1F1-6F97-4CD8-865F-E91FFDB1FE11}"/>
    <cellStyle name="Millares [0] 8 2 2 2 2 2" xfId="12399" xr:uid="{5583DA4D-4AF1-4F26-8B24-0EE85B9E4D23}"/>
    <cellStyle name="Millares [0] 8 2 2 2 2 2 2" xfId="41976" xr:uid="{D23C6386-59FA-4F2B-9FE4-733C34E4263A}"/>
    <cellStyle name="Millares [0] 8 2 2 2 2 2 3" xfId="22766" xr:uid="{A9212F4E-DFF3-435F-80E3-48997D15F9A2}"/>
    <cellStyle name="Millares [0] 8 2 2 2 2 3" xfId="15240" xr:uid="{E1CE12D5-06CF-4725-BE4B-2EC1335B6AC2}"/>
    <cellStyle name="Millares [0] 8 2 2 2 2 3 2" xfId="28624" xr:uid="{2E8CBB21-B11E-4442-A640-BE4BF244F562}"/>
    <cellStyle name="Millares [0] 8 2 2 2 2 4" xfId="15687" xr:uid="{A1C3C8EB-77FB-4DC5-A5B1-7B498D3EC3A2}"/>
    <cellStyle name="Millares [0] 8 2 2 2 2 4 2" xfId="34506" xr:uid="{B40881A4-D350-44E9-958F-3C96438299A1}"/>
    <cellStyle name="Millares [0] 8 2 2 2 2 5" xfId="40370" xr:uid="{4DC8030A-A2CF-4902-90C4-897B4BFA7D4D}"/>
    <cellStyle name="Millares [0] 8 2 2 2 2 6" xfId="18128" xr:uid="{A6DFD1B4-36EA-4A33-A6D1-65B2A4EFCA7E}"/>
    <cellStyle name="Millares [0] 8 2 2 2 2 7" xfId="45768" xr:uid="{CF833D00-1018-4D3E-BDC6-4779CF9F832A}"/>
    <cellStyle name="Millares [0] 8 2 2 2 2 8" xfId="50056" xr:uid="{A5279445-989E-4D06-893B-C4D94C309CB7}"/>
    <cellStyle name="Millares [0] 8 2 2 2 3" xfId="5524" xr:uid="{1E5B97A7-2B45-430D-905E-3278A22E351B}"/>
    <cellStyle name="Millares [0] 8 2 2 2 3 2" xfId="12212" xr:uid="{B355A294-3F03-4BB5-8FC8-E94B133F4A50}"/>
    <cellStyle name="Millares [0] 8 2 2 2 3 2 2" xfId="41789" xr:uid="{92C84509-12C0-4F9C-BB6C-D4A96C44DBB6}"/>
    <cellStyle name="Millares [0] 8 2 2 2 3 3" xfId="15053" xr:uid="{1041B0E2-4FD3-4773-9011-4847EC5B7FB9}"/>
    <cellStyle name="Millares [0] 8 2 2 2 3 4" xfId="19984" xr:uid="{63492373-5D1A-42C1-AF3E-992B0E2DC560}"/>
    <cellStyle name="Millares [0] 8 2 2 2 3 5" xfId="49869" xr:uid="{80F1D913-A7D6-46AF-8314-D5747550FFC6}"/>
    <cellStyle name="Millares [0] 8 2 2 2 4" xfId="10608" xr:uid="{7E3F3A67-3548-4B1B-B7E5-BAE0A0DB33D5}"/>
    <cellStyle name="Millares [0] 8 2 2 2 4 2" xfId="25775" xr:uid="{404A3029-82E3-473C-B057-74E4861D7C02}"/>
    <cellStyle name="Millares [0] 8 2 2 2 5" xfId="13448" xr:uid="{2FBF9554-11AB-4F18-A473-7E4042306724}"/>
    <cellStyle name="Millares [0] 8 2 2 2 5 2" xfId="31649" xr:uid="{8DE8B742-C039-468C-B1E0-6E97DA8C3223}"/>
    <cellStyle name="Millares [0] 8 2 2 2 6" xfId="15500" xr:uid="{9DF1D1C3-35D1-42C3-9C09-EE8864BF5DA6}"/>
    <cellStyle name="Millares [0] 8 2 2 2 6 2" xfId="37519" xr:uid="{278466CD-8C8F-44F8-8246-6192AD7E3247}"/>
    <cellStyle name="Millares [0] 8 2 2 2 7" xfId="17742" xr:uid="{F46749F4-6205-4816-9083-02887DB7FA6E}"/>
    <cellStyle name="Millares [0] 8 2 2 2 8" xfId="43372" xr:uid="{CDB25243-0A76-4A7E-A4DE-779DB6FCF8AF}"/>
    <cellStyle name="Millares [0] 8 2 2 2 9" xfId="48265" xr:uid="{2049B4C2-D905-42FD-90A2-827986FBA5B2}"/>
    <cellStyle name="Millares [0] 8 2 2 3" xfId="2755" xr:uid="{CBDB0E97-62D3-4024-8DBF-6963847FB8AF}"/>
    <cellStyle name="Millares [0] 8 2 2 3 2" xfId="7419" xr:uid="{752235BB-D511-4E81-A9CC-246C340CE995}"/>
    <cellStyle name="Millares [0] 8 2 2 3 2 2" xfId="12327" xr:uid="{E40AE73F-3C74-4293-A6D8-DA2B2B709EB4}"/>
    <cellStyle name="Millares [0] 8 2 2 3 2 2 2" xfId="41904" xr:uid="{9A930F4F-AAAF-47CD-8A57-4B1BDCEACB36}"/>
    <cellStyle name="Millares [0] 8 2 2 3 2 3" xfId="15168" xr:uid="{5231275E-CF1A-444C-9EB4-8EE0D75A1FA8}"/>
    <cellStyle name="Millares [0] 8 2 2 3 2 4" xfId="21821" xr:uid="{A591E200-77BD-47FD-8D83-764DB1956E84}"/>
    <cellStyle name="Millares [0] 8 2 2 3 2 5" xfId="46186" xr:uid="{5A388CD7-F3BE-4F56-8AC2-B2232D57E0C1}"/>
    <cellStyle name="Millares [0] 8 2 2 3 2 6" xfId="49984" xr:uid="{F206C8AE-E608-4B4A-A39E-8BFEDBE072C6}"/>
    <cellStyle name="Millares [0] 8 2 2 3 3" xfId="11026" xr:uid="{1D2F5B04-B6D7-4CBB-9CA6-42BA277633DF}"/>
    <cellStyle name="Millares [0] 8 2 2 3 3 2" xfId="27653" xr:uid="{52EE444E-93F1-4183-B825-0F6E32AF9035}"/>
    <cellStyle name="Millares [0] 8 2 2 3 4" xfId="13866" xr:uid="{6D709BCB-5F81-4BEA-99F0-1986E1760193}"/>
    <cellStyle name="Millares [0] 8 2 2 3 4 2" xfId="33535" xr:uid="{AFA43CA6-91EF-426C-AC83-2C45667EE9B0}"/>
    <cellStyle name="Millares [0] 8 2 2 3 5" xfId="15615" xr:uid="{7444CE77-38F6-4B44-AD6F-D7B87C866A1A}"/>
    <cellStyle name="Millares [0] 8 2 2 3 5 2" xfId="39399" xr:uid="{E93B589A-2BF6-4213-AF1B-96866BFBCE6E}"/>
    <cellStyle name="Millares [0] 8 2 2 3 6" xfId="17988" xr:uid="{42BE24BC-3C0B-4CB4-89EE-C03835223745}"/>
    <cellStyle name="Millares [0] 8 2 2 3 7" xfId="43790" xr:uid="{F2A86839-C536-4D3D-AF99-51373F642877}"/>
    <cellStyle name="Millares [0] 8 2 2 3 8" xfId="48683" xr:uid="{F8616258-0500-442F-B512-6B206D79ACA9}"/>
    <cellStyle name="Millares [0] 8 2 2 4" xfId="3299" xr:uid="{6FA40F75-C78A-4260-AD8F-E36771591843}"/>
    <cellStyle name="Millares [0] 8 2 2 4 2" xfId="11570" xr:uid="{9783043C-5EFD-4D43-BF00-B4B050BA32F5}"/>
    <cellStyle name="Millares [0] 8 2 2 4 2 2" xfId="41717" xr:uid="{08BB3F53-4C2D-4908-A8C8-971B4487D907}"/>
    <cellStyle name="Millares [0] 8 2 2 4 2 3" xfId="46730" xr:uid="{6870F2EB-1E01-4C11-9074-47495FEEB9C6}"/>
    <cellStyle name="Millares [0] 8 2 2 4 3" xfId="14410" xr:uid="{8168E6F3-96AC-40FB-9684-72CAF63423EE}"/>
    <cellStyle name="Millares [0] 8 2 2 4 4" xfId="19052" xr:uid="{C4DD0C4A-09FB-49BC-B677-52FE1A6E5747}"/>
    <cellStyle name="Millares [0] 8 2 2 4 5" xfId="44334" xr:uid="{1DBB39A7-BB6C-4DFB-83E9-670163F9F558}"/>
    <cellStyle name="Millares [0] 8 2 2 4 6" xfId="49227" xr:uid="{2188EC1D-D85A-4948-BA49-CF618215EC04}"/>
    <cellStyle name="Millares [0] 8 2 2 5" xfId="3801" xr:uid="{005579F9-90B7-422A-8310-D9014D4611DB}"/>
    <cellStyle name="Millares [0] 8 2 2 5 2" xfId="12042" xr:uid="{67197983-FAA6-49E1-A84C-277920B5DB3A}"/>
    <cellStyle name="Millares [0] 8 2 2 5 3" xfId="14882" xr:uid="{85C2138B-769B-437F-9CA8-10B2B87555D3}"/>
    <cellStyle name="Millares [0] 8 2 2 5 4" xfId="24804" xr:uid="{40FC754B-9790-4440-BA6A-E056CCC137EF}"/>
    <cellStyle name="Millares [0] 8 2 2 5 5" xfId="44806" xr:uid="{3909E2A8-D60B-4A66-9A0E-7EA29D149F6C}"/>
    <cellStyle name="Millares [0] 8 2 2 5 6" xfId="49699" xr:uid="{FB1EB099-705B-454C-8D7D-ACD42108913E}"/>
    <cellStyle name="Millares [0] 8 2 2 6" xfId="4556" xr:uid="{689D789B-4ED0-40A9-A204-388FC1934B5D}"/>
    <cellStyle name="Millares [0] 8 2 2 6 2" xfId="12140" xr:uid="{E71712D3-643B-4624-A65D-9CB3EEFEA805}"/>
    <cellStyle name="Millares [0] 8 2 2 6 3" xfId="14981" xr:uid="{8C7249A9-D178-4671-8652-6662F901007E}"/>
    <cellStyle name="Millares [0] 8 2 2 6 4" xfId="30681" xr:uid="{64413B3A-9D35-46F9-A58D-6978AE4427EB}"/>
    <cellStyle name="Millares [0] 8 2 2 6 5" xfId="45224" xr:uid="{EB2DB106-E326-4703-8083-1022F0529562}"/>
    <cellStyle name="Millares [0] 8 2 2 6 6" xfId="49797" xr:uid="{6D831CAE-8628-4E07-9ABD-DCE25FE9C352}"/>
    <cellStyle name="Millares [0] 8 2 2 7" xfId="10064" xr:uid="{61DF6085-91E5-4A96-B6F5-4BBA92CFB96F}"/>
    <cellStyle name="Millares [0] 8 2 2 7 2" xfId="36562" xr:uid="{C0CE07F9-89DD-4D39-945A-5466DA027832}"/>
    <cellStyle name="Millares [0] 8 2 2 8" xfId="12904" xr:uid="{53F95A63-EB84-4E97-B7DA-B3D535DF752F}"/>
    <cellStyle name="Millares [0] 8 2 2 9" xfId="15426" xr:uid="{34E0305A-0AA2-45C5-B253-291F291CF800}"/>
    <cellStyle name="Millares [0] 8 2 3" xfId="2125" xr:uid="{7BDE18EE-D81B-4435-AE40-4EEA50A395AC}"/>
    <cellStyle name="Millares [0] 8 2 3 2" xfId="7906" xr:uid="{45744681-1DBB-4431-82AC-DAED7403990D}"/>
    <cellStyle name="Millares [0] 8 2 3 2 2" xfId="12363" xr:uid="{B2D153D8-5E48-46E9-9239-2B6992B54933}"/>
    <cellStyle name="Millares [0] 8 2 3 2 2 2" xfId="41940" xr:uid="{CC56F0E3-5DAE-4FED-9313-AF108C0DDA44}"/>
    <cellStyle name="Millares [0] 8 2 3 2 2 3" xfId="22291" xr:uid="{22D7FBED-DB83-4E82-9B3B-4512B2971BBB}"/>
    <cellStyle name="Millares [0] 8 2 3 2 3" xfId="15204" xr:uid="{E891D0A0-4F9B-4B2E-AFD3-A13703CD14D0}"/>
    <cellStyle name="Millares [0] 8 2 3 2 3 2" xfId="28139" xr:uid="{0D8E4F2A-3FF5-463C-B563-34E040F9D897}"/>
    <cellStyle name="Millares [0] 8 2 3 2 4" xfId="15651" xr:uid="{05C6CB5B-609B-4AFB-96F0-18C4B34C6B31}"/>
    <cellStyle name="Millares [0] 8 2 3 2 4 2" xfId="34021" xr:uid="{33552A63-FD82-4699-A259-12D5AE8EBED1}"/>
    <cellStyle name="Millares [0] 8 2 3 2 5" xfId="39885" xr:uid="{E607D9DA-A4FF-4520-A5CB-CF3F8B7FDE46}"/>
    <cellStyle name="Millares [0] 8 2 3 2 6" xfId="18057" xr:uid="{5AB689CB-7F14-4FBB-AE5F-63EC93FA8A9D}"/>
    <cellStyle name="Millares [0] 8 2 3 2 7" xfId="45556" xr:uid="{327C8D0A-FBF5-4617-8A69-13F2E83ECBBE}"/>
    <cellStyle name="Millares [0] 8 2 3 2 8" xfId="50020" xr:uid="{3B0F5FEB-8DAB-49F1-85E0-3633605BB54D}"/>
    <cellStyle name="Millares [0] 8 2 3 3" xfId="5039" xr:uid="{72BD983E-8ADF-48E7-8BAC-8D8E758F311A}"/>
    <cellStyle name="Millares [0] 8 2 3 3 2" xfId="12176" xr:uid="{9DC0F0C3-BD2A-4C7F-BB4E-4F95C4990036}"/>
    <cellStyle name="Millares [0] 8 2 3 3 2 2" xfId="41753" xr:uid="{87E5C23B-B8C9-4479-863B-552B4029C4A3}"/>
    <cellStyle name="Millares [0] 8 2 3 3 3" xfId="15017" xr:uid="{8C92F6F0-D7A7-436B-94F4-882E7F136BB9}"/>
    <cellStyle name="Millares [0] 8 2 3 3 4" xfId="19516" xr:uid="{D8487847-FCC5-4134-A737-949F58B94EDB}"/>
    <cellStyle name="Millares [0] 8 2 3 3 5" xfId="49833" xr:uid="{FF69F4F9-9614-47FF-8089-883C05539AAE}"/>
    <cellStyle name="Millares [0] 8 2 3 4" xfId="10396" xr:uid="{7D950736-3378-4968-A358-EAD9BB9652AC}"/>
    <cellStyle name="Millares [0] 8 2 3 4 2" xfId="25290" xr:uid="{78F5EA30-BAC1-4A6A-A134-C5FAA0C92BCF}"/>
    <cellStyle name="Millares [0] 8 2 3 5" xfId="13236" xr:uid="{BA31AAAE-78AD-4DAA-8343-27D2F80BBB3B}"/>
    <cellStyle name="Millares [0] 8 2 3 5 2" xfId="31164" xr:uid="{4B3CB2DF-849D-43D8-AD6C-F90B851FAFFA}"/>
    <cellStyle name="Millares [0] 8 2 3 6" xfId="15463" xr:uid="{1F3EBA94-8B6A-4ACC-9975-24AB1FE5C62D}"/>
    <cellStyle name="Millares [0] 8 2 3 6 2" xfId="37042" xr:uid="{6A53438C-A6EF-4184-8458-8E2ABF7A0876}"/>
    <cellStyle name="Millares [0] 8 2 3 7" xfId="17674" xr:uid="{561E2936-E0D1-4E6C-8436-C40A8A6E6290}"/>
    <cellStyle name="Millares [0] 8 2 3 8" xfId="43160" xr:uid="{2B574643-646E-4A65-AE11-E98B2CBCC9EC}"/>
    <cellStyle name="Millares [0] 8 2 3 9" xfId="48053" xr:uid="{D9FCBB72-E3EB-47F7-B461-D14B7244DE16}"/>
    <cellStyle name="Millares [0] 8 2 4" xfId="2543" xr:uid="{F949B9A5-9D93-4691-AEEF-673F6C44FAFB}"/>
    <cellStyle name="Millares [0] 8 2 4 2" xfId="6934" xr:uid="{6BF194B8-BDEA-478D-AB1A-9A84F2F8D86F}"/>
    <cellStyle name="Millares [0] 8 2 4 2 2" xfId="12291" xr:uid="{FF567C9E-4838-43FA-AC2F-ABCCD5F3DB0D}"/>
    <cellStyle name="Millares [0] 8 2 4 2 2 2" xfId="41868" xr:uid="{7AB36288-7CED-4F3B-AF44-054677DD9610}"/>
    <cellStyle name="Millares [0] 8 2 4 2 3" xfId="15132" xr:uid="{598D5E5B-DE47-4C0A-BE4D-5DDC46941397}"/>
    <cellStyle name="Millares [0] 8 2 4 2 4" xfId="21354" xr:uid="{C8A3E8D2-20A5-4627-9109-32FFF30EE4DF}"/>
    <cellStyle name="Millares [0] 8 2 4 2 5" xfId="45974" xr:uid="{286FC809-D5D9-4BFE-BECF-5AF28CB10A78}"/>
    <cellStyle name="Millares [0] 8 2 4 2 6" xfId="49948" xr:uid="{D76E4E34-25C3-4A9B-A719-EC22CC230423}"/>
    <cellStyle name="Millares [0] 8 2 4 3" xfId="10814" xr:uid="{E1AB605A-57C0-4E2F-B67B-5FE784CCD9AA}"/>
    <cellStyle name="Millares [0] 8 2 4 3 2" xfId="27172" xr:uid="{230B2E9E-2E61-45C8-8CDC-753938078A57}"/>
    <cellStyle name="Millares [0] 8 2 4 4" xfId="13654" xr:uid="{DD9EB818-411D-41BC-A028-AC8FF4CF0991}"/>
    <cellStyle name="Millares [0] 8 2 4 4 2" xfId="33050" xr:uid="{3EFB61D0-8CA3-46A5-ACF2-F93F7E0485A4}"/>
    <cellStyle name="Millares [0] 8 2 4 5" xfId="15579" xr:uid="{D45EDD66-71B3-4BAF-AB82-0DAF048F8ABB}"/>
    <cellStyle name="Millares [0] 8 2 4 5 2" xfId="38914" xr:uid="{04F06420-FC73-4170-A105-87C10EAEBA73}"/>
    <cellStyle name="Millares [0] 8 2 4 6" xfId="17920" xr:uid="{9F99C1A8-EFE6-4294-B364-A587BA403904}"/>
    <cellStyle name="Millares [0] 8 2 4 7" xfId="43578" xr:uid="{A9E46E20-DAAC-4DB7-8624-5F62C4B99C8B}"/>
    <cellStyle name="Millares [0] 8 2 4 8" xfId="48471" xr:uid="{06B12059-FAA7-46BA-8A34-1047E923B0DD}"/>
    <cellStyle name="Millares [0] 8 2 5" xfId="3087" xr:uid="{9D9F458E-3EE4-42F2-A119-AB85379458BC}"/>
    <cellStyle name="Millares [0] 8 2 5 2" xfId="11358" xr:uid="{47467715-D82E-4B10-BD5D-29570000DAAA}"/>
    <cellStyle name="Millares [0] 8 2 5 2 2" xfId="41680" xr:uid="{3E49B40C-52D2-4C34-B101-1369DA580534}"/>
    <cellStyle name="Millares [0] 8 2 5 2 3" xfId="46518" xr:uid="{608FC56A-DB43-4B08-A10C-4CAD8D86F51A}"/>
    <cellStyle name="Millares [0] 8 2 5 3" xfId="14198" xr:uid="{9C6E7412-135A-484A-9ED1-29C527DD11C1}"/>
    <cellStyle name="Millares [0] 8 2 5 4" xfId="18609" xr:uid="{7BBE0021-A3D7-4C74-B1B2-E9EB2B671F66}"/>
    <cellStyle name="Millares [0] 8 2 5 5" xfId="44122" xr:uid="{564D2423-34F0-4D08-BD9D-987B32F11884}"/>
    <cellStyle name="Millares [0] 8 2 5 6" xfId="49015" xr:uid="{52E0C4C2-BA03-464C-88BE-A87B8C7FB942}"/>
    <cellStyle name="Millares [0] 8 2 6" xfId="3589" xr:uid="{89E57E82-6EC0-4B10-8225-FA2CED0DB37F}"/>
    <cellStyle name="Millares [0] 8 2 6 2" xfId="11830" xr:uid="{9D32BD0F-DF66-414C-B088-689788A43693}"/>
    <cellStyle name="Millares [0] 8 2 6 3" xfId="14670" xr:uid="{FB9CAB74-C758-4A83-9BAB-172B7C256C51}"/>
    <cellStyle name="Millares [0] 8 2 6 4" xfId="24321" xr:uid="{AB11405B-893D-4990-9687-9C35EBC20F87}"/>
    <cellStyle name="Millares [0] 8 2 6 5" xfId="44594" xr:uid="{67DD3A15-6F0F-45EC-832B-A084EA434603}"/>
    <cellStyle name="Millares [0] 8 2 6 6" xfId="49487" xr:uid="{54B34F83-1304-40B3-BA34-BBF369F35560}"/>
    <cellStyle name="Millares [0] 8 2 7" xfId="4078" xr:uid="{2C56AE23-EF35-4C56-A0EA-85D698265498}"/>
    <cellStyle name="Millares [0] 8 2 7 2" xfId="12103" xr:uid="{5106D8C0-D71D-4531-90C3-B54F6A19856C}"/>
    <cellStyle name="Millares [0] 8 2 7 3" xfId="14944" xr:uid="{7345077D-08BD-44B4-98AC-992853D652E5}"/>
    <cellStyle name="Millares [0] 8 2 7 4" xfId="30199" xr:uid="{76306E06-8D66-486B-BD61-B11ACE6A90D0}"/>
    <cellStyle name="Millares [0] 8 2 7 5" xfId="45012" xr:uid="{D8C6993A-631E-45C1-A9B5-E89A9F22AC7F}"/>
    <cellStyle name="Millares [0] 8 2 7 6" xfId="49760" xr:uid="{BA125150-8CB9-4AD6-9E8F-104A4F78ED6A}"/>
    <cellStyle name="Millares [0] 8 2 8" xfId="9852" xr:uid="{88D66C80-A4D2-4CCA-8E7A-15E2F73DBE3D}"/>
    <cellStyle name="Millares [0] 8 2 8 2" xfId="36078" xr:uid="{8C23D3F3-1451-4DD8-9D21-CAAE2EA2F453}"/>
    <cellStyle name="Millares [0] 8 2 9" xfId="12692" xr:uid="{E831F40E-3924-4A2F-9E09-DB2B939692C3}"/>
    <cellStyle name="Millares [0] 8 20" xfId="42142" xr:uid="{0CBA24DD-CE81-486C-8B27-612A5BBF2950}"/>
    <cellStyle name="Millares [0] 8 21" xfId="42512" xr:uid="{E47EEF61-E733-4432-ADBB-D94DC03459EF}"/>
    <cellStyle name="Millares [0] 8 22" xfId="47405" xr:uid="{BE807CBF-CA4B-40AA-B61F-43D050749B46}"/>
    <cellStyle name="Millares [0] 8 23" xfId="50319" xr:uid="{61FF85B6-DE7A-4BD5-9D24-6A1A0F019F02}"/>
    <cellStyle name="Millares [0] 8 3" xfId="420" xr:uid="{00000000-0005-0000-0000-00008C010000}"/>
    <cellStyle name="Millares [0] 8 3 10" xfId="16147" xr:uid="{A86E0309-15AC-45AF-ACA3-F509724C46BF}"/>
    <cellStyle name="Millares [0] 8 3 11" xfId="16690" xr:uid="{B25E3DEC-55B8-4BC5-A066-710C6ABDD638}"/>
    <cellStyle name="Millares [0] 8 3 12" xfId="17234" xr:uid="{8836E353-3358-4324-A769-12D42AFEC7DD}"/>
    <cellStyle name="Millares [0] 8 3 13" xfId="17587" xr:uid="{822F0C13-4A58-4BEA-AE17-460DD5F105D2}"/>
    <cellStyle name="Millares [0] 8 3 14" xfId="42728" xr:uid="{69434C92-0E6C-4F9A-BF32-8A8B26445315}"/>
    <cellStyle name="Millares [0] 8 3 15" xfId="47621" xr:uid="{8C9030AF-F2BD-439C-8094-127DEA73E1B3}"/>
    <cellStyle name="Millares [0] 8 3 2" xfId="2237" xr:uid="{46E4C095-2B1B-4A13-A45D-B10E18187BCF}"/>
    <cellStyle name="Millares [0] 8 3 2 2" xfId="8195" xr:uid="{1AA6C111-8582-4C6D-9FE8-E97451BA4051}"/>
    <cellStyle name="Millares [0] 8 3 2 2 2" xfId="12387" xr:uid="{EB1AA13E-AB82-44B7-9C33-71C38F27552C}"/>
    <cellStyle name="Millares [0] 8 3 2 2 2 2" xfId="41964" xr:uid="{3967367D-D9F9-4F33-8495-616EB76A8869}"/>
    <cellStyle name="Millares [0] 8 3 2 2 2 3" xfId="22571" xr:uid="{85672F05-5DE1-4C09-86C7-82C6995297C6}"/>
    <cellStyle name="Millares [0] 8 3 2 2 3" xfId="15228" xr:uid="{688C38A6-A9A3-4E7A-8B01-8784426FAB22}"/>
    <cellStyle name="Millares [0] 8 3 2 2 3 2" xfId="28428" xr:uid="{673EADAB-2A32-4CD9-B6FE-424BEC136EF1}"/>
    <cellStyle name="Millares [0] 8 3 2 2 4" xfId="15675" xr:uid="{8624366C-18AD-4D46-A368-4530BF860FB5}"/>
    <cellStyle name="Millares [0] 8 3 2 2 4 2" xfId="34310" xr:uid="{A68D70FA-5F99-45EC-8350-F5A305838B7C}"/>
    <cellStyle name="Millares [0] 8 3 2 2 5" xfId="40174" xr:uid="{58B0A28D-7DDF-48F3-A230-73ECBB29886E}"/>
    <cellStyle name="Millares [0] 8 3 2 2 6" xfId="18101" xr:uid="{10D7ED5B-8D3F-4E57-B2BA-A0F6FCF1CA3A}"/>
    <cellStyle name="Millares [0] 8 3 2 2 7" xfId="45668" xr:uid="{D394A977-3C77-4AE7-B83D-5105FDEA83B3}"/>
    <cellStyle name="Millares [0] 8 3 2 2 8" xfId="50044" xr:uid="{EF51F2CC-E18C-4BE0-A351-6183EE78AE46}"/>
    <cellStyle name="Millares [0] 8 3 2 3" xfId="5328" xr:uid="{019A600C-9E7C-4C38-B03C-E30AB762C1D2}"/>
    <cellStyle name="Millares [0] 8 3 2 3 2" xfId="12200" xr:uid="{859AF590-04F0-46A1-8D21-5EC79B7B42D7}"/>
    <cellStyle name="Millares [0] 8 3 2 3 2 2" xfId="41777" xr:uid="{75EA529C-7831-4637-80ED-439F9FFCBFB0}"/>
    <cellStyle name="Millares [0] 8 3 2 3 3" xfId="15041" xr:uid="{4EA88A4E-23B4-4215-9664-C3A431CF0DC8}"/>
    <cellStyle name="Millares [0] 8 3 2 3 4" xfId="19795" xr:uid="{81976446-559E-48C9-97EF-71A45D24D267}"/>
    <cellStyle name="Millares [0] 8 3 2 3 5" xfId="49857" xr:uid="{8D83E9CF-8865-4196-8703-26D91D9BBF22}"/>
    <cellStyle name="Millares [0] 8 3 2 4" xfId="10508" xr:uid="{EDF3AF07-6938-4019-8E3E-49F090F30BD6}"/>
    <cellStyle name="Millares [0] 8 3 2 4 2" xfId="25579" xr:uid="{253D2E6F-C008-4A9A-AAA3-9E3C348E6CC5}"/>
    <cellStyle name="Millares [0] 8 3 2 5" xfId="13348" xr:uid="{C9DDFB86-6AD5-4DA4-A2BB-5017A579373D}"/>
    <cellStyle name="Millares [0] 8 3 2 5 2" xfId="31453" xr:uid="{A908F6E7-EE03-4384-BBCC-F70316FE5432}"/>
    <cellStyle name="Millares [0] 8 3 2 6" xfId="15487" xr:uid="{0461F6E8-BAB7-4E5C-AE6D-CA0D5925E481}"/>
    <cellStyle name="Millares [0] 8 3 2 6 2" xfId="37324" xr:uid="{A4DDDC62-B56E-44E4-AAE6-C545835BB075}"/>
    <cellStyle name="Millares [0] 8 3 2 7" xfId="17719" xr:uid="{8BDCA616-792A-4295-9F16-770CEA5D66AB}"/>
    <cellStyle name="Millares [0] 8 3 2 8" xfId="43272" xr:uid="{F309A066-8469-481A-AE4D-E6D2FBAD3F7B}"/>
    <cellStyle name="Millares [0] 8 3 2 9" xfId="48165" xr:uid="{829AC24C-57BE-4EFB-9539-984A4AA8A778}"/>
    <cellStyle name="Millares [0] 8 3 3" xfId="2655" xr:uid="{9408168A-5BAA-4FAC-B854-88308A3C0729}"/>
    <cellStyle name="Millares [0] 8 3 3 2" xfId="7223" xr:uid="{3A431BD2-76CE-4166-9E30-4656112297F4}"/>
    <cellStyle name="Millares [0] 8 3 3 2 2" xfId="12315" xr:uid="{E8C40969-D03C-457B-B6C0-1D87B9BA5ED2}"/>
    <cellStyle name="Millares [0] 8 3 3 2 2 2" xfId="41892" xr:uid="{6B6A05E9-70C7-4335-926B-C4C6A02556BB}"/>
    <cellStyle name="Millares [0] 8 3 3 2 3" xfId="15156" xr:uid="{68AB2542-207B-42E5-A1A7-C13B9767A31C}"/>
    <cellStyle name="Millares [0] 8 3 3 2 4" xfId="21630" xr:uid="{92227289-6C58-481C-896E-C9BABB7FC1D5}"/>
    <cellStyle name="Millares [0] 8 3 3 2 5" xfId="46086" xr:uid="{9B99117B-4ACC-47BF-B4FF-D4C2E130B660}"/>
    <cellStyle name="Millares [0] 8 3 3 2 6" xfId="49972" xr:uid="{C97D3EF4-2A6F-42DB-9448-728D2CDFDC53}"/>
    <cellStyle name="Millares [0] 8 3 3 3" xfId="10926" xr:uid="{53833AE2-791B-4D3F-BEBC-5856FEB23563}"/>
    <cellStyle name="Millares [0] 8 3 3 3 2" xfId="27457" xr:uid="{72BBC880-BCB2-44E3-A7E4-6E0D9630627D}"/>
    <cellStyle name="Millares [0] 8 3 3 4" xfId="13766" xr:uid="{499E5FA8-5BB1-41F1-B06A-D2A70A8F0B4F}"/>
    <cellStyle name="Millares [0] 8 3 3 4 2" xfId="33339" xr:uid="{270CF509-7891-42DF-BA15-76FE42A6A7AA}"/>
    <cellStyle name="Millares [0] 8 3 3 5" xfId="15603" xr:uid="{AFCFABAF-8062-4920-9914-A6806B56132C}"/>
    <cellStyle name="Millares [0] 8 3 3 5 2" xfId="39203" xr:uid="{A47EE9DB-1176-471D-B2E7-097E4D58A1FE}"/>
    <cellStyle name="Millares [0] 8 3 3 6" xfId="17962" xr:uid="{22AF5790-891A-4355-8381-9C8036330062}"/>
    <cellStyle name="Millares [0] 8 3 3 7" xfId="43690" xr:uid="{B9461901-6B10-43EA-B68A-68D78E00CA8F}"/>
    <cellStyle name="Millares [0] 8 3 3 8" xfId="48583" xr:uid="{0F15579F-2106-4354-803B-1B1DED3554AF}"/>
    <cellStyle name="Millares [0] 8 3 4" xfId="3199" xr:uid="{D72940AE-EA7F-4979-AFFF-3177701C6151}"/>
    <cellStyle name="Millares [0] 8 3 4 2" xfId="11470" xr:uid="{22C3E480-871D-4FBA-B2B3-16A91CCD8D16}"/>
    <cellStyle name="Millares [0] 8 3 4 2 2" xfId="41705" xr:uid="{8217C1E3-88B2-4155-9246-11273662BEC1}"/>
    <cellStyle name="Millares [0] 8 3 4 2 3" xfId="46630" xr:uid="{45055F0F-CA65-46B1-BBAB-238B4012B502}"/>
    <cellStyle name="Millares [0] 8 3 4 3" xfId="14310" xr:uid="{B1E7D47A-00DD-4C6A-B0C5-44720BBA3AB2}"/>
    <cellStyle name="Millares [0] 8 3 4 4" xfId="18866" xr:uid="{B495104B-F856-415F-A74B-A174D9BF1647}"/>
    <cellStyle name="Millares [0] 8 3 4 5" xfId="44234" xr:uid="{478137FA-7C38-42C5-A6D0-7AEE9FFFFD37}"/>
    <cellStyle name="Millares [0] 8 3 4 6" xfId="49127" xr:uid="{B69FE452-9554-4FDB-8EBF-237CECFA3D79}"/>
    <cellStyle name="Millares [0] 8 3 5" xfId="3701" xr:uid="{E672AE87-B7E7-47DF-9F6F-B84D47EC64B2}"/>
    <cellStyle name="Millares [0] 8 3 5 2" xfId="11942" xr:uid="{5BFB9212-0CE3-45CF-AADA-6CE4B553E3A4}"/>
    <cellStyle name="Millares [0] 8 3 5 3" xfId="14782" xr:uid="{2DF4E5D2-65B7-4E52-AAC4-B5CF4D5EAC14}"/>
    <cellStyle name="Millares [0] 8 3 5 4" xfId="24608" xr:uid="{C6BB44BE-B603-4BA1-8CD7-F51ACE5B7477}"/>
    <cellStyle name="Millares [0] 8 3 5 5" xfId="44706" xr:uid="{8E916B9B-60CA-4482-8476-0513E9A69D64}"/>
    <cellStyle name="Millares [0] 8 3 5 6" xfId="49599" xr:uid="{B4C3778B-D14D-4738-9987-6EBAEC444088}"/>
    <cellStyle name="Millares [0] 8 3 6" xfId="4362" xr:uid="{510F8BF4-3991-44B4-9F79-49B81BDAF96D}"/>
    <cellStyle name="Millares [0] 8 3 6 2" xfId="12128" xr:uid="{1A8B147F-A3E4-4612-B70C-81C6B4AAF2C1}"/>
    <cellStyle name="Millares [0] 8 3 6 3" xfId="14969" xr:uid="{D4EA9ED1-BBBB-4F8F-BD14-067C7D8CE77F}"/>
    <cellStyle name="Millares [0] 8 3 6 4" xfId="30487" xr:uid="{1BD67CDE-810A-4B8B-A6E0-4F242E397F2B}"/>
    <cellStyle name="Millares [0] 8 3 6 5" xfId="45124" xr:uid="{7314B7CD-A5A0-4B83-8706-11B83032F8DF}"/>
    <cellStyle name="Millares [0] 8 3 6 6" xfId="49785" xr:uid="{B6BDD4F3-EE69-4648-AD8A-14708FE3F41B}"/>
    <cellStyle name="Millares [0] 8 3 7" xfId="9964" xr:uid="{F88AA81E-1B64-4DBD-A2D7-E83F7D0038C6}"/>
    <cellStyle name="Millares [0] 8 3 7 2" xfId="36367" xr:uid="{729414AF-FE3E-445E-87BC-559CB441A10F}"/>
    <cellStyle name="Millares [0] 8 3 8" xfId="12804" xr:uid="{BFB30839-2881-4E41-A215-F6814DB336C6}"/>
    <cellStyle name="Millares [0] 8 3 9" xfId="15414" xr:uid="{2F2CDC4A-C04D-40A6-8BB1-B1C23B4D4B2D}"/>
    <cellStyle name="Millares [0] 8 4" xfId="623" xr:uid="{00000000-0005-0000-0000-00008D010000}"/>
    <cellStyle name="Millares [0] 8 4 10" xfId="17652" xr:uid="{EC1B38FB-12B7-4807-AA21-FBD8EE3D25A1}"/>
    <cellStyle name="Millares [0] 8 4 11" xfId="42930" xr:uid="{263B28E1-F716-4340-9A23-D74F6942F00A}"/>
    <cellStyle name="Millares [0] 8 4 12" xfId="47823" xr:uid="{28DA0AF1-9767-489D-A44C-4E9EF031D3CE}"/>
    <cellStyle name="Millares [0] 8 4 2" xfId="2857" xr:uid="{EF8EB1FC-C9C5-4741-811E-4CDA83392BF1}"/>
    <cellStyle name="Millares [0] 8 4 2 2" xfId="7710" xr:uid="{C46CA538-6E96-4ADF-9FA4-EE4F8E237A4A}"/>
    <cellStyle name="Millares [0] 8 4 2 2 2" xfId="12351" xr:uid="{A44DBF9D-33D8-457D-9C69-CB5D6EDC131B}"/>
    <cellStyle name="Millares [0] 8 4 2 2 2 2" xfId="41928" xr:uid="{5E21FCF4-770C-479E-9267-D88EB593AC52}"/>
    <cellStyle name="Millares [0] 8 4 2 2 3" xfId="15192" xr:uid="{A317968F-86D2-4F51-AEAA-9988EFF7E44E}"/>
    <cellStyle name="Millares [0] 8 4 2 2 4" xfId="22100" xr:uid="{B8A14632-16C9-4FCC-8990-972038EEADB9}"/>
    <cellStyle name="Millares [0] 8 4 2 2 5" xfId="46288" xr:uid="{48EECE9B-9A0C-4BA1-B7BD-B10D739528F5}"/>
    <cellStyle name="Millares [0] 8 4 2 2 6" xfId="50008" xr:uid="{61F3512D-FA30-41E8-BC51-12240EFFC5D3}"/>
    <cellStyle name="Millares [0] 8 4 2 3" xfId="11128" xr:uid="{9E34CAF1-E03A-4662-BAD5-FAD3B771CDE6}"/>
    <cellStyle name="Millares [0] 8 4 2 3 2" xfId="27943" xr:uid="{11949686-1396-468B-A423-EC3BD1526C36}"/>
    <cellStyle name="Millares [0] 8 4 2 4" xfId="13968" xr:uid="{6F8A8310-5242-4CE6-A274-34489C370774}"/>
    <cellStyle name="Millares [0] 8 4 2 4 2" xfId="33825" xr:uid="{E8466B39-A9DA-491C-87A5-F0DB7EA912E6}"/>
    <cellStyle name="Millares [0] 8 4 2 5" xfId="15639" xr:uid="{FEB26BD7-53A1-4B05-83AF-1012D428C5A2}"/>
    <cellStyle name="Millares [0] 8 4 2 5 2" xfId="39689" xr:uid="{16B1559B-4E33-4EA4-8550-82A0963F0319}"/>
    <cellStyle name="Millares [0] 8 4 2 6" xfId="18034" xr:uid="{AD23A28E-56FF-4493-AA34-D2550B5938B4}"/>
    <cellStyle name="Millares [0] 8 4 2 7" xfId="43892" xr:uid="{5A232D6F-73C0-4929-92DA-2BEEC3E15A6A}"/>
    <cellStyle name="Millares [0] 8 4 2 8" xfId="48785" xr:uid="{850414AB-66FA-4CBD-B0EF-D277A85DD826}"/>
    <cellStyle name="Millares [0] 8 4 3" xfId="4844" xr:uid="{21FB285A-396A-4C5B-9F56-1A6277460BD9}"/>
    <cellStyle name="Millares [0] 8 4 3 2" xfId="12164" xr:uid="{E578C23E-87B4-4635-8097-AAAB68DB0EE5}"/>
    <cellStyle name="Millares [0] 8 4 3 2 2" xfId="41741" xr:uid="{3A1E4EEC-8E52-4B48-AE42-10587A4C8307}"/>
    <cellStyle name="Millares [0] 8 4 3 3" xfId="15005" xr:uid="{41FBAC5C-5F2F-4B64-A572-DAAB6ED34088}"/>
    <cellStyle name="Millares [0] 8 4 3 4" xfId="19326" xr:uid="{AC6732A5-D8FE-4072-A2CC-C91811775730}"/>
    <cellStyle name="Millares [0] 8 4 3 5" xfId="45326" xr:uid="{F318EC6C-8140-4A4E-A465-D5DCD5EB5369}"/>
    <cellStyle name="Millares [0] 8 4 3 6" xfId="49821" xr:uid="{C539C309-1234-4887-A1D9-49E423B1DC2D}"/>
    <cellStyle name="Millares [0] 8 4 4" xfId="10166" xr:uid="{87C42824-ABF4-47D9-BAEF-B0890C5C7FBB}"/>
    <cellStyle name="Millares [0] 8 4 4 2" xfId="25094" xr:uid="{3E50EA34-D53F-4087-8577-357C6C845497}"/>
    <cellStyle name="Millares [0] 8 4 5" xfId="13006" xr:uid="{02E84090-9CDE-49DA-9058-B5A31E64BFD7}"/>
    <cellStyle name="Millares [0] 8 4 5 2" xfId="30968" xr:uid="{F033A1B0-8317-490C-A0AA-20DAF6DAAF4A}"/>
    <cellStyle name="Millares [0] 8 4 6" xfId="15451" xr:uid="{C7A48B04-5E3F-4303-8241-488925F7F52E}"/>
    <cellStyle name="Millares [0] 8 4 6 2" xfId="36847" xr:uid="{F495AF2A-3F01-4D88-8B2E-43DA347B0AFA}"/>
    <cellStyle name="Millares [0] 8 4 7" xfId="16349" xr:uid="{5D3AB67A-2EE6-4226-BB7A-6D5E8D3EB974}"/>
    <cellStyle name="Millares [0] 8 4 8" xfId="16892" xr:uid="{59F25999-31DE-4ABD-AE62-500CB4C61C59}"/>
    <cellStyle name="Millares [0] 8 4 9" xfId="17436" xr:uid="{E8D5FAE9-3BE6-410B-A8C2-80EF1AEA9332}"/>
    <cellStyle name="Millares [0] 8 5" xfId="1913" xr:uid="{00000000-0005-0000-0000-00008E010000}"/>
    <cellStyle name="Millares [0] 8 5 10" xfId="17789" xr:uid="{EFEEA54D-FDBE-412D-B8DE-CA8A9CDC08FC}"/>
    <cellStyle name="Millares [0] 8 5 11" xfId="18073" xr:uid="{9F7D871A-EF5F-4544-8C69-74537644400E}"/>
    <cellStyle name="Millares [0] 8 5 12" xfId="42969" xr:uid="{ACF6B2EE-7CB2-4EAF-998B-3A5AC9B05A94}"/>
    <cellStyle name="Millares [0] 8 5 13" xfId="47862" xr:uid="{2B17B85B-5E39-48C9-A277-F603B7FC273A}"/>
    <cellStyle name="Millares [0] 8 5 2" xfId="2896" xr:uid="{A00732E0-56A6-4941-99CC-633527DAC75B}"/>
    <cellStyle name="Millares [0] 8 5 2 2" xfId="8722" xr:uid="{A4564D18-B89A-4679-87D1-B40C9E834F2A}"/>
    <cellStyle name="Millares [0] 8 5 2 2 2" xfId="12423" xr:uid="{F8FFCCD4-AE82-4FE3-A0D7-F7A294EF88F0}"/>
    <cellStyle name="Millares [0] 8 5 2 2 2 2" xfId="42000" xr:uid="{8441ED0E-E0E9-4E9B-B548-57672AB3E54B}"/>
    <cellStyle name="Millares [0] 8 5 2 2 3" xfId="15264" xr:uid="{CD4F2A3E-6CE9-42ED-8432-E5917AEE6429}"/>
    <cellStyle name="Millares [0] 8 5 2 2 4" xfId="23090" xr:uid="{073D329A-A8C8-41EE-AF53-9D1AF4B0FD2F}"/>
    <cellStyle name="Millares [0] 8 5 2 2 5" xfId="46327" xr:uid="{54DF6B4B-8CBC-480F-8363-5AB889D11609}"/>
    <cellStyle name="Millares [0] 8 5 2 2 6" xfId="50080" xr:uid="{16B5CF1E-DCCE-4422-9DDF-B58EAD60328B}"/>
    <cellStyle name="Millares [0] 8 5 2 3" xfId="11167" xr:uid="{5406CF77-1086-4B26-BD3D-488C5412772F}"/>
    <cellStyle name="Millares [0] 8 5 2 3 2" xfId="28954" xr:uid="{94E8A541-1C0B-422F-9805-1D40C4DF4DDD}"/>
    <cellStyle name="Millares [0] 8 5 2 4" xfId="14007" xr:uid="{BDCE08B9-1FD1-4C7C-A6B2-517DED18922E}"/>
    <cellStyle name="Millares [0] 8 5 2 4 2" xfId="34836" xr:uid="{CFE18D14-6695-4C19-9C5D-01C4810B4F3A}"/>
    <cellStyle name="Millares [0] 8 5 2 5" xfId="15713" xr:uid="{19A3CC97-D069-4BE5-8067-87E4EC8E6A2A}"/>
    <cellStyle name="Millares [0] 8 5 2 5 2" xfId="40700" xr:uid="{EF4E91CD-A70C-4A8B-8330-4B2740F09ED2}"/>
    <cellStyle name="Millares [0] 8 5 2 6" xfId="18170" xr:uid="{4EA231C0-167B-4559-AF7B-C6E6F0AF17B4}"/>
    <cellStyle name="Millares [0] 8 5 2 7" xfId="43931" xr:uid="{1FB70265-0B71-476E-BE8C-3C82367FAE3E}"/>
    <cellStyle name="Millares [0] 8 5 2 8" xfId="48824" xr:uid="{FF05EBFD-6B2D-4F33-83E2-9CDBA842839A}"/>
    <cellStyle name="Millares [0] 8 5 3" xfId="5853" xr:uid="{C8404A4F-6F9E-4EA6-9B8F-7457E966A483}"/>
    <cellStyle name="Millares [0] 8 5 3 2" xfId="12236" xr:uid="{6A17AE8E-DDE5-44E1-82D2-8EE88FCF7AB4}"/>
    <cellStyle name="Millares [0] 8 5 3 2 2" xfId="41813" xr:uid="{16AE2157-E95C-42F8-A94D-9160294CF644}"/>
    <cellStyle name="Millares [0] 8 5 3 3" xfId="15077" xr:uid="{EF0B428E-0DAE-493E-BCC9-A8D7865FB1EC}"/>
    <cellStyle name="Millares [0] 8 5 3 4" xfId="20305" xr:uid="{229E14B8-C87F-4BE7-A0D4-61F4DBA4759D}"/>
    <cellStyle name="Millares [0] 8 5 3 5" xfId="45365" xr:uid="{3A1033AD-6236-41E4-836C-1CE820CB232F}"/>
    <cellStyle name="Millares [0] 8 5 3 6" xfId="49893" xr:uid="{10421C15-7B76-46DD-85EF-8D60BD7EA06A}"/>
    <cellStyle name="Millares [0] 8 5 4" xfId="10205" xr:uid="{019804BD-FC38-41E5-8E16-09920C945722}"/>
    <cellStyle name="Millares [0] 8 5 4 2" xfId="26104" xr:uid="{F5C4A38F-30CD-41F8-AEC0-03AB83E7BD75}"/>
    <cellStyle name="Millares [0] 8 5 5" xfId="13045" xr:uid="{B7F61566-1C3E-42F7-9DFB-ACA88F950802}"/>
    <cellStyle name="Millares [0] 8 5 5 2" xfId="31979" xr:uid="{4A04258A-5CFA-4BCE-AAEF-0E1C73CD3AD9}"/>
    <cellStyle name="Millares [0] 8 5 6" xfId="15524" xr:uid="{5298C851-52A8-47B5-B3AD-69B260F0E1FC}"/>
    <cellStyle name="Millares [0] 8 5 6 2" xfId="37845" xr:uid="{48347A7C-4352-4836-9A68-6E1102E35EA5}"/>
    <cellStyle name="Millares [0] 8 5 7" xfId="16387" xr:uid="{E4F43CF4-CB9E-4749-8AE8-8EC7EEE1E13C}"/>
    <cellStyle name="Millares [0] 8 5 8" xfId="16931" xr:uid="{B96509F6-6C3E-4852-AAD1-122FC9442245}"/>
    <cellStyle name="Millares [0] 8 5 9" xfId="17475" xr:uid="{6C69BCA6-4952-4D1D-ABA1-D182EEB22A96}"/>
    <cellStyle name="Millares [0] 8 6" xfId="2021" xr:uid="{AAE61E00-9B35-4226-897A-B8EBBD392DFB}"/>
    <cellStyle name="Millares [0] 8 6 2" xfId="6739" xr:uid="{3A8650FD-6F4E-4F9F-A557-FB7BBD368FDB}"/>
    <cellStyle name="Millares [0] 8 6 2 2" xfId="12279" xr:uid="{913B63FE-7995-438E-9CD5-B87872EED10D}"/>
    <cellStyle name="Millares [0] 8 6 2 2 2" xfId="41856" xr:uid="{D220D0C3-FDF1-4A9E-AD9D-088BA5746527}"/>
    <cellStyle name="Millares [0] 8 6 2 3" xfId="15120" xr:uid="{7B4510FB-17C3-4BC5-926C-FE19E11C76DB}"/>
    <cellStyle name="Millares [0] 8 6 2 4" xfId="21163" xr:uid="{2C616035-A803-4788-9BE9-7EC6AEAA3120}"/>
    <cellStyle name="Millares [0] 8 6 2 5" xfId="45452" xr:uid="{AA74DF92-B4D1-4B21-905E-28C2332CF3DE}"/>
    <cellStyle name="Millares [0] 8 6 2 6" xfId="49936" xr:uid="{5C8BE174-C044-49FD-8B71-CB179B9F385D}"/>
    <cellStyle name="Millares [0] 8 6 3" xfId="10292" xr:uid="{70FCBEF5-CBA5-46C3-85D9-0D4581F42702}"/>
    <cellStyle name="Millares [0] 8 6 3 2" xfId="26978" xr:uid="{99A460B0-7853-45E9-B0C6-1389F63C212F}"/>
    <cellStyle name="Millares [0] 8 6 4" xfId="13132" xr:uid="{222B3F66-4407-452A-9AA2-87076E617857}"/>
    <cellStyle name="Millares [0] 8 6 4 2" xfId="32854" xr:uid="{97FC08C7-128A-4601-91B2-F44C802568B7}"/>
    <cellStyle name="Millares [0] 8 6 5" xfId="15567" xr:uid="{A12B9A39-E92B-41E8-AC9B-1018FB508513}"/>
    <cellStyle name="Millares [0] 8 6 5 2" xfId="38718" xr:uid="{7A61B5DC-10CC-4A05-96BE-772039381A19}"/>
    <cellStyle name="Millares [0] 8 6 6" xfId="17893" xr:uid="{E86BBEC6-E5F0-4B04-9BC7-81D65798CFE1}"/>
    <cellStyle name="Millares [0] 8 6 7" xfId="43056" xr:uid="{85E708BA-A9E4-4401-B689-FBE5D03F4228}"/>
    <cellStyle name="Millares [0] 8 6 8" xfId="47949" xr:uid="{8499340C-B041-4D34-B023-4E801DF182AF}"/>
    <cellStyle name="Millares [0] 8 7" xfId="2439" xr:uid="{5C54F67C-3C7A-4540-A605-80254FDABD66}"/>
    <cellStyle name="Millares [0] 8 7 2" xfId="10710" xr:uid="{E8719989-24A3-45EF-A7A6-B02DDAB9B3A1}"/>
    <cellStyle name="Millares [0] 8 7 2 2" xfId="41656" xr:uid="{8C72F5FD-DC70-4239-83D8-6D16AB437200}"/>
    <cellStyle name="Millares [0] 8 7 2 3" xfId="45870" xr:uid="{40B86059-B2D4-4536-A0B3-6788659A44DE}"/>
    <cellStyle name="Millares [0] 8 7 3" xfId="13550" xr:uid="{1614148B-160A-4BF6-82A3-D2C85C8A90AB}"/>
    <cellStyle name="Millares [0] 8 7 4" xfId="18404" xr:uid="{200F8507-A90E-4AED-ABDF-881A8BF8F401}"/>
    <cellStyle name="Millares [0] 8 7 5" xfId="43474" xr:uid="{05EB4646-823C-40BB-A19F-CF539FEEA2E4}"/>
    <cellStyle name="Millares [0] 8 7 6" xfId="48367" xr:uid="{7CC9CEFB-1350-4C78-86C0-F5C72BB6EECD}"/>
    <cellStyle name="Millares [0] 8 8" xfId="2983" xr:uid="{FA58A185-D30A-4D53-A45C-86BD989E8DC9}"/>
    <cellStyle name="Millares [0] 8 8 2" xfId="11254" xr:uid="{8CB4BF9A-6220-47BA-B8D1-BCFEEA2B2F6C}"/>
    <cellStyle name="Millares [0] 8 8 2 2" xfId="46414" xr:uid="{DA029F3A-90EB-4FAD-A8F7-76328149268D}"/>
    <cellStyle name="Millares [0] 8 8 3" xfId="14094" xr:uid="{71749691-CA61-4701-A8E9-AB5ABBC5F9D9}"/>
    <cellStyle name="Millares [0] 8 8 4" xfId="24113" xr:uid="{F8B88015-1DC8-42F5-9D5F-6CEB6B01810D}"/>
    <cellStyle name="Millares [0] 8 8 5" xfId="44018" xr:uid="{55870169-F1C4-42E3-8AEC-4C01C811040E}"/>
    <cellStyle name="Millares [0] 8 8 6" xfId="48911" xr:uid="{20878653-9241-4BBC-92D0-93F473DB455D}"/>
    <cellStyle name="Millares [0] 8 9" xfId="3400" xr:uid="{B679850E-3BB0-4C48-9D0D-9E25C2E0AFDC}"/>
    <cellStyle name="Millares [0] 8 9 2" xfId="11641" xr:uid="{9A5D20B3-85E1-416D-857A-6E40A38825FF}"/>
    <cellStyle name="Millares [0] 8 9 2 2" xfId="46801" xr:uid="{D4EEF2C6-69BF-467F-874E-1EAE2DE80256}"/>
    <cellStyle name="Millares [0] 8 9 3" xfId="14481" xr:uid="{B14E8C38-9263-45F7-B8AE-92DB4994E9A0}"/>
    <cellStyle name="Millares [0] 8 9 4" xfId="29991" xr:uid="{28B1B03F-26CB-449B-9994-BE19D50E104C}"/>
    <cellStyle name="Millares [0] 8 9 5" xfId="44405" xr:uid="{3D0CAD54-809D-4077-A15E-58641586E753}"/>
    <cellStyle name="Millares [0] 8 9 6" xfId="49298" xr:uid="{1D05C177-FCCE-4124-829D-09B9005DFB08}"/>
    <cellStyle name="Millares [0] 9" xfId="138" xr:uid="{00000000-0005-0000-0000-00008F010000}"/>
    <cellStyle name="Millares [0] 9 10" xfId="9706" xr:uid="{4FE54CD4-D3CB-4FC8-ADCE-492767B04F92}"/>
    <cellStyle name="Millares [0] 9 10 2" xfId="35900" xr:uid="{D66056E1-570B-47E0-BE2E-231E96BFE806}"/>
    <cellStyle name="Millares [0] 9 11" xfId="12546" xr:uid="{0DE16928-2943-453A-BCCA-FB44C4B7D1E3}"/>
    <cellStyle name="Millares [0] 9 12" xfId="15371" xr:uid="{40C3CC66-AE1B-4434-AA73-AC5C762BA11E}"/>
    <cellStyle name="Millares [0] 9 13" xfId="15889" xr:uid="{DA489782-1738-4883-8943-B7022DE0127F}"/>
    <cellStyle name="Millares [0] 9 14" xfId="16432" xr:uid="{7F0B7E1F-F5E2-403F-A801-B9F17AE82B19}"/>
    <cellStyle name="Millares [0] 9 15" xfId="16976" xr:uid="{44A65C0B-F506-4009-B257-F47DFB27A61A}"/>
    <cellStyle name="Millares [0] 9 16" xfId="17515" xr:uid="{A13AC96F-A2D2-48BE-9342-DEAF921CB2E8}"/>
    <cellStyle name="Millares [0] 9 17" xfId="42470" xr:uid="{17C6A8C8-A14F-4B63-BD86-35A8BB2621CC}"/>
    <cellStyle name="Millares [0] 9 18" xfId="47363" xr:uid="{852A608B-85A9-49C7-967D-4E6107FB0246}"/>
    <cellStyle name="Millares [0] 9 2" xfId="252" xr:uid="{00000000-0005-0000-0000-000090010000}"/>
    <cellStyle name="Millares [0] 9 2 10" xfId="15391" xr:uid="{49E90745-61D3-4563-82EF-9C147EFCD7AE}"/>
    <cellStyle name="Millares [0] 9 2 11" xfId="15993" xr:uid="{05FB54D1-A403-4E28-BA37-D5D157C7A37F}"/>
    <cellStyle name="Millares [0] 9 2 12" xfId="16536" xr:uid="{25C6C7F6-45DB-4F2B-A628-10772D079B61}"/>
    <cellStyle name="Millares [0] 9 2 13" xfId="17080" xr:uid="{0FB9391F-7E70-46D6-A1BA-016E0661FAB4}"/>
    <cellStyle name="Millares [0] 9 2 14" xfId="17551" xr:uid="{03E43C13-C673-4E34-A93E-8236682F6677}"/>
    <cellStyle name="Millares [0] 9 2 15" xfId="42574" xr:uid="{8DA81503-1E58-4084-9C5A-B36187233C77}"/>
    <cellStyle name="Millares [0] 9 2 16" xfId="47467" xr:uid="{B000DEBF-54B5-4CC4-AB34-145ED0DCCBF3}"/>
    <cellStyle name="Millares [0] 9 2 2" xfId="479" xr:uid="{00000000-0005-0000-0000-000091010000}"/>
    <cellStyle name="Millares [0] 9 2 2 10" xfId="16205" xr:uid="{B0F58D58-866A-4706-9FA1-DE27CE550ACE}"/>
    <cellStyle name="Millares [0] 9 2 2 11" xfId="16748" xr:uid="{D764A9AB-A42A-41E0-BCF3-F2C1520939F6}"/>
    <cellStyle name="Millares [0] 9 2 2 12" xfId="17292" xr:uid="{2CA2634A-B6A5-4BAC-9A26-030E9F9E6E68}"/>
    <cellStyle name="Millares [0] 9 2 2 13" xfId="17613" xr:uid="{EFCE9775-571F-4625-B1AF-8A7A83A2EF0F}"/>
    <cellStyle name="Millares [0] 9 2 2 14" xfId="42786" xr:uid="{CFD03C62-89F6-4E1E-A211-8763396B5991}"/>
    <cellStyle name="Millares [0] 9 2 2 15" xfId="47679" xr:uid="{549808DB-BBCF-47B4-8F27-4247C6ED0E8C}"/>
    <cellStyle name="Millares [0] 9 2 2 2" xfId="2295" xr:uid="{F105D1E6-21E4-402A-A203-A623722E9D4B}"/>
    <cellStyle name="Millares [0] 9 2 2 2 2" xfId="8415" xr:uid="{57104760-65D9-4798-A632-6C9126073149}"/>
    <cellStyle name="Millares [0] 9 2 2 2 2 2" xfId="12401" xr:uid="{1B095087-EFA1-4EDA-A888-7D5876F3C895}"/>
    <cellStyle name="Millares [0] 9 2 2 2 2 2 2" xfId="41978" xr:uid="{C9B12CD7-9CF3-4A70-A11F-99963F905CF0}"/>
    <cellStyle name="Millares [0] 9 2 2 2 2 2 3" xfId="22790" xr:uid="{80DD5BB3-0E14-4AD2-813B-385A11AE8B0C}"/>
    <cellStyle name="Millares [0] 9 2 2 2 2 3" xfId="15242" xr:uid="{9FE1A3D1-A1FB-41D9-B2E0-5F554D262869}"/>
    <cellStyle name="Millares [0] 9 2 2 2 2 3 2" xfId="28648" xr:uid="{1B5ACC06-B2A3-4BEC-AB9F-9C3FD5553454}"/>
    <cellStyle name="Millares [0] 9 2 2 2 2 4" xfId="15689" xr:uid="{84F5A896-15A7-4D10-8480-DAB4FCBBE1EF}"/>
    <cellStyle name="Millares [0] 9 2 2 2 2 4 2" xfId="34530" xr:uid="{8E67EF88-DCEA-48E0-8A3C-0A0D54F00349}"/>
    <cellStyle name="Millares [0] 9 2 2 2 2 5" xfId="40394" xr:uid="{90B3D72D-3731-48D2-BC6F-B03533708499}"/>
    <cellStyle name="Millares [0] 9 2 2 2 2 6" xfId="18132" xr:uid="{21584672-218D-4CF6-A5E2-20919D6D9604}"/>
    <cellStyle name="Millares [0] 9 2 2 2 2 7" xfId="45726" xr:uid="{C4AB679B-EAC9-4E38-906E-B0644FF768FB}"/>
    <cellStyle name="Millares [0] 9 2 2 2 2 8" xfId="50058" xr:uid="{40317A84-1409-4EEA-B18A-9D105E0E8939}"/>
    <cellStyle name="Millares [0] 9 2 2 2 3" xfId="5548" xr:uid="{3A946F45-3C6C-4140-BA32-2C77B17D6042}"/>
    <cellStyle name="Millares [0] 9 2 2 2 3 2" xfId="12214" xr:uid="{68174FA2-ABD1-47CE-A7AF-60D3DDC3D52A}"/>
    <cellStyle name="Millares [0] 9 2 2 2 3 2 2" xfId="41791" xr:uid="{102B3EAE-4A3B-4331-A93E-9D4540DE3C63}"/>
    <cellStyle name="Millares [0] 9 2 2 2 3 3" xfId="15055" xr:uid="{7947B42D-15F5-4E3C-8C4B-2B4A138B8D6C}"/>
    <cellStyle name="Millares [0] 9 2 2 2 3 4" xfId="20008" xr:uid="{CFE04733-FB9F-43FB-BF7D-0873B77117EC}"/>
    <cellStyle name="Millares [0] 9 2 2 2 3 5" xfId="49871" xr:uid="{0CC5153B-D544-4910-AAE8-C5DC50EC9009}"/>
    <cellStyle name="Millares [0] 9 2 2 2 4" xfId="10566" xr:uid="{01EEB511-465A-4C74-85A0-C6DDCE7D4676}"/>
    <cellStyle name="Millares [0] 9 2 2 2 4 2" xfId="25799" xr:uid="{403593B3-8434-4371-8344-53CB085B7BE4}"/>
    <cellStyle name="Millares [0] 9 2 2 2 5" xfId="13406" xr:uid="{E7E6D737-46F1-42D6-AD44-71FC082042D2}"/>
    <cellStyle name="Millares [0] 9 2 2 2 5 2" xfId="31673" xr:uid="{F6380A64-B595-4DF9-AE93-324DD5C4A624}"/>
    <cellStyle name="Millares [0] 9 2 2 2 6" xfId="15502" xr:uid="{D671D43D-4F42-477D-8181-0F0870404E8B}"/>
    <cellStyle name="Millares [0] 9 2 2 2 6 2" xfId="37543" xr:uid="{280EE870-BDE8-413C-B457-A5DCE82545F2}"/>
    <cellStyle name="Millares [0] 9 2 2 2 7" xfId="17746" xr:uid="{82DFA93C-4A48-4E76-A7C4-78668BCC5BC8}"/>
    <cellStyle name="Millares [0] 9 2 2 2 8" xfId="43330" xr:uid="{FC8C8B31-7363-4CEA-AFC4-59A030D6B4AF}"/>
    <cellStyle name="Millares [0] 9 2 2 2 9" xfId="48223" xr:uid="{F6F86263-4418-4FA0-9346-0C125851E359}"/>
    <cellStyle name="Millares [0] 9 2 2 3" xfId="2713" xr:uid="{E37289D9-F74D-4484-A698-360D2C4E8F3B}"/>
    <cellStyle name="Millares [0] 9 2 2 3 2" xfId="7443" xr:uid="{94583909-A070-4233-971D-BA3AF7C27AC8}"/>
    <cellStyle name="Millares [0] 9 2 2 3 2 2" xfId="12329" xr:uid="{C0C77E2B-79EF-4662-9161-6C9A63359AAC}"/>
    <cellStyle name="Millares [0] 9 2 2 3 2 2 2" xfId="41906" xr:uid="{EAC05FB7-7E64-45C0-A847-7E8BF554EAD9}"/>
    <cellStyle name="Millares [0] 9 2 2 3 2 3" xfId="15170" xr:uid="{638D7829-C6D3-45DA-AE07-0727569188EA}"/>
    <cellStyle name="Millares [0] 9 2 2 3 2 4" xfId="21845" xr:uid="{CEC598B4-8F0C-465C-9321-E9F456376CD5}"/>
    <cellStyle name="Millares [0] 9 2 2 3 2 5" xfId="46144" xr:uid="{AA4157A3-2ED1-414A-BB52-024A66C10A67}"/>
    <cellStyle name="Millares [0] 9 2 2 3 2 6" xfId="49986" xr:uid="{232DC248-2153-4081-B76C-76ED62BCD97C}"/>
    <cellStyle name="Millares [0] 9 2 2 3 3" xfId="10984" xr:uid="{93E5624E-15E4-4164-89FC-DA91AAA0B8A4}"/>
    <cellStyle name="Millares [0] 9 2 2 3 3 2" xfId="27677" xr:uid="{C55AC992-2C81-4AAD-837A-C5C8F2B15F18}"/>
    <cellStyle name="Millares [0] 9 2 2 3 4" xfId="13824" xr:uid="{CECA1CDF-08AA-4C5A-8E43-AB4C335C624B}"/>
    <cellStyle name="Millares [0] 9 2 2 3 4 2" xfId="33559" xr:uid="{AF731F7D-F276-4E8B-AE66-A4658E47FE83}"/>
    <cellStyle name="Millares [0] 9 2 2 3 5" xfId="15617" xr:uid="{3A3C6B66-4066-443A-B0B9-E4FAE6070C54}"/>
    <cellStyle name="Millares [0] 9 2 2 3 5 2" xfId="39423" xr:uid="{C84B8C61-CF76-463E-B7C0-7288C43CDBCB}"/>
    <cellStyle name="Millares [0] 9 2 2 3 6" xfId="17992" xr:uid="{37499D80-4A01-436B-9BFB-AE3EE2F1D0C9}"/>
    <cellStyle name="Millares [0] 9 2 2 3 7" xfId="43748" xr:uid="{91785A32-764C-43E5-96C0-F870FE3A4E47}"/>
    <cellStyle name="Millares [0] 9 2 2 3 8" xfId="48641" xr:uid="{3DB40651-3509-4EC8-8A6C-BD953C4BF8D1}"/>
    <cellStyle name="Millares [0] 9 2 2 4" xfId="3257" xr:uid="{CA86224F-8F64-4292-8FFF-FCC47B77B622}"/>
    <cellStyle name="Millares [0] 9 2 2 4 2" xfId="11528" xr:uid="{9F8C1F0F-ACF8-4CC8-B97C-5AEE7D53B5AF}"/>
    <cellStyle name="Millares [0] 9 2 2 4 2 2" xfId="41719" xr:uid="{7C27C7A6-A345-4183-9992-50F8BEDD9283}"/>
    <cellStyle name="Millares [0] 9 2 2 4 2 3" xfId="46688" xr:uid="{A0A5F927-2942-41A9-B7F5-2D9F557BA1A1}"/>
    <cellStyle name="Millares [0] 9 2 2 4 3" xfId="14368" xr:uid="{77611EF4-2195-4591-A803-7079148D35A2}"/>
    <cellStyle name="Millares [0] 9 2 2 4 4" xfId="19075" xr:uid="{6E46E1D9-AC38-4976-8622-E1F22A06A189}"/>
    <cellStyle name="Millares [0] 9 2 2 4 5" xfId="44292" xr:uid="{2DFFC05F-D0D3-4332-9062-B48040993146}"/>
    <cellStyle name="Millares [0] 9 2 2 4 6" xfId="49185" xr:uid="{1854EFDC-878B-4EE8-9373-2AFA05C15F61}"/>
    <cellStyle name="Millares [0] 9 2 2 5" xfId="3759" xr:uid="{9E3EDA28-8A6D-4140-9BDA-E9333CA9B2E8}"/>
    <cellStyle name="Millares [0] 9 2 2 5 2" xfId="12000" xr:uid="{85B7F5AD-D85B-4F3B-8225-3573DF1AF181}"/>
    <cellStyle name="Millares [0] 9 2 2 5 3" xfId="14840" xr:uid="{BBB91790-4FEC-4630-82C6-4A94AAEA2E03}"/>
    <cellStyle name="Millares [0] 9 2 2 5 4" xfId="24828" xr:uid="{8820B094-E8BB-4117-98DD-6B4A29401BD0}"/>
    <cellStyle name="Millares [0] 9 2 2 5 5" xfId="44764" xr:uid="{1BF37E90-42D4-41A5-806B-0B6424495DFB}"/>
    <cellStyle name="Millares [0] 9 2 2 5 6" xfId="49657" xr:uid="{35A38106-643D-4D25-801F-C4BD9F2812CF}"/>
    <cellStyle name="Millares [0] 9 2 2 6" xfId="4580" xr:uid="{2ADB0476-F715-4FFD-A002-6F3BEB2B7891}"/>
    <cellStyle name="Millares [0] 9 2 2 6 2" xfId="12142" xr:uid="{ACC327A5-49D2-44B5-B82B-D514F1466E20}"/>
    <cellStyle name="Millares [0] 9 2 2 6 3" xfId="14983" xr:uid="{CF82870B-203F-4AAC-ADBF-F26BB3C3938A}"/>
    <cellStyle name="Millares [0] 9 2 2 6 4" xfId="30705" xr:uid="{D9765509-C23F-42F7-8553-E9D3551DF0BF}"/>
    <cellStyle name="Millares [0] 9 2 2 6 5" xfId="45182" xr:uid="{63A2DC0F-F79A-4B19-954C-DBBB6C1AA139}"/>
    <cellStyle name="Millares [0] 9 2 2 6 6" xfId="49799" xr:uid="{4F4DF237-1ED2-4D58-811B-21C0A0C2B9B5}"/>
    <cellStyle name="Millares [0] 9 2 2 7" xfId="10022" xr:uid="{7A382715-27AF-4223-B614-29C2A3DE18E2}"/>
    <cellStyle name="Millares [0] 9 2 2 7 2" xfId="36586" xr:uid="{BDD3BBB4-A61D-4665-99E4-DD0DA8A4328C}"/>
    <cellStyle name="Millares [0] 9 2 2 8" xfId="12862" xr:uid="{B01E1F67-A43D-473F-91F2-82A290959628}"/>
    <cellStyle name="Millares [0] 9 2 2 9" xfId="15428" xr:uid="{1F9CECB9-99CF-44BF-85E5-B233A4E210BB}"/>
    <cellStyle name="Millares [0] 9 2 3" xfId="2083" xr:uid="{73089152-9C59-4950-994C-F14113EB03BA}"/>
    <cellStyle name="Millares [0] 9 2 3 2" xfId="7930" xr:uid="{776A485B-6F4E-45A4-B281-0ECF8216E90D}"/>
    <cellStyle name="Millares [0] 9 2 3 2 2" xfId="12365" xr:uid="{8DC989F8-D810-4195-8D21-5FEF3AE475AF}"/>
    <cellStyle name="Millares [0] 9 2 3 2 2 2" xfId="41942" xr:uid="{3BA13359-6267-4041-A08E-21882B4EEFA2}"/>
    <cellStyle name="Millares [0] 9 2 3 2 2 3" xfId="22315" xr:uid="{4C08781B-A67B-4D48-92A8-0D2F4A5C2B30}"/>
    <cellStyle name="Millares [0] 9 2 3 2 3" xfId="15206" xr:uid="{C4D5A61F-090C-4B79-ACF5-C1C04155FA21}"/>
    <cellStyle name="Millares [0] 9 2 3 2 3 2" xfId="28163" xr:uid="{2DF26B7F-16FE-4F33-817A-6810A1275DC4}"/>
    <cellStyle name="Millares [0] 9 2 3 2 4" xfId="15653" xr:uid="{5A5FA43D-523D-4CA9-B3F4-37D7C346A44B}"/>
    <cellStyle name="Millares [0] 9 2 3 2 4 2" xfId="34045" xr:uid="{9ABCF749-159D-442F-BF79-294D0B8434F0}"/>
    <cellStyle name="Millares [0] 9 2 3 2 5" xfId="39909" xr:uid="{89F97FE2-C355-44AE-AFE7-B461C53038B4}"/>
    <cellStyle name="Millares [0] 9 2 3 2 6" xfId="18061" xr:uid="{3CFEDE6E-27B9-492E-AC07-1F7CA1CA551A}"/>
    <cellStyle name="Millares [0] 9 2 3 2 7" xfId="45514" xr:uid="{73EEDBD6-8AC0-45AE-8C00-C9E545101959}"/>
    <cellStyle name="Millares [0] 9 2 3 2 8" xfId="50022" xr:uid="{B736CE85-4198-4B12-ADA4-864F18256CD1}"/>
    <cellStyle name="Millares [0] 9 2 3 3" xfId="5063" xr:uid="{84D65519-3078-4609-A695-85AC19766DED}"/>
    <cellStyle name="Millares [0] 9 2 3 3 2" xfId="12178" xr:uid="{567C7388-7678-46C0-B477-29D716723CB8}"/>
    <cellStyle name="Millares [0] 9 2 3 3 2 2" xfId="41755" xr:uid="{A25D4963-4C4D-4A69-9388-8E9D1CDEBA4A}"/>
    <cellStyle name="Millares [0] 9 2 3 3 3" xfId="15019" xr:uid="{2CC7C811-C362-4869-A3F3-A07F5C758F8A}"/>
    <cellStyle name="Millares [0] 9 2 3 3 4" xfId="19540" xr:uid="{0D1D17ED-9ACE-4192-80DE-4B7E3ABA1AD6}"/>
    <cellStyle name="Millares [0] 9 2 3 3 5" xfId="49835" xr:uid="{E962195B-DE22-49A5-AEFF-5D6D6C46BBEF}"/>
    <cellStyle name="Millares [0] 9 2 3 4" xfId="10354" xr:uid="{3B710509-5B9C-4ED1-9995-87BA334C4E12}"/>
    <cellStyle name="Millares [0] 9 2 3 4 2" xfId="25314" xr:uid="{E2B74359-ECF6-49C1-8728-DB356C9BFFD8}"/>
    <cellStyle name="Millares [0] 9 2 3 5" xfId="13194" xr:uid="{65D78B5A-F642-44C3-B288-0F8E3592DA10}"/>
    <cellStyle name="Millares [0] 9 2 3 5 2" xfId="31188" xr:uid="{86120DFC-47B2-484F-BA88-D6513EA848F4}"/>
    <cellStyle name="Millares [0] 9 2 3 6" xfId="15465" xr:uid="{57D23C3E-11BD-4B89-A981-D0D00C5819BF}"/>
    <cellStyle name="Millares [0] 9 2 3 6 2" xfId="37066" xr:uid="{97B9E39E-CC06-4221-A0D4-D7307380E3A7}"/>
    <cellStyle name="Millares [0] 9 2 3 7" xfId="17677" xr:uid="{BDB473BC-068E-4ECB-9058-D80DF41A8226}"/>
    <cellStyle name="Millares [0] 9 2 3 8" xfId="43118" xr:uid="{F35774BD-F322-4230-BFDB-2A01A164B518}"/>
    <cellStyle name="Millares [0] 9 2 3 9" xfId="48011" xr:uid="{21760D5F-114B-4E36-9C6B-CE62FCD7BD54}"/>
    <cellStyle name="Millares [0] 9 2 4" xfId="2501" xr:uid="{524EDAFF-4BDB-413B-80C2-2CA54F1F4B6A}"/>
    <cellStyle name="Millares [0] 9 2 4 2" xfId="6958" xr:uid="{F2AFBCBC-85B2-4020-A65F-1CBDB7B00551}"/>
    <cellStyle name="Millares [0] 9 2 4 2 2" xfId="12293" xr:uid="{ADE43199-F0D5-4AB6-B84F-1DB88B457E9F}"/>
    <cellStyle name="Millares [0] 9 2 4 2 2 2" xfId="41870" xr:uid="{A3286C46-BAC5-44B1-927E-2F33F1131D9D}"/>
    <cellStyle name="Millares [0] 9 2 4 2 3" xfId="15134" xr:uid="{A8F24A45-CCC5-4E02-A3FA-8AA10C9427F2}"/>
    <cellStyle name="Millares [0] 9 2 4 2 4" xfId="21377" xr:uid="{D7CA2E20-BBFB-4781-A6AC-2B9D869AEBB5}"/>
    <cellStyle name="Millares [0] 9 2 4 2 5" xfId="45932" xr:uid="{B43B0B2A-423A-4492-BD9E-A1EDECF6CE56}"/>
    <cellStyle name="Millares [0] 9 2 4 2 6" xfId="49950" xr:uid="{52795F36-8F9A-49DE-855C-07F3D53CFC0D}"/>
    <cellStyle name="Millares [0] 9 2 4 3" xfId="10772" xr:uid="{0B612D8E-F9F3-4823-90F0-A4CBC0C862FD}"/>
    <cellStyle name="Millares [0] 9 2 4 3 2" xfId="27196" xr:uid="{5686AE2F-40DC-42A4-A897-22BC396D4C1B}"/>
    <cellStyle name="Millares [0] 9 2 4 4" xfId="13612" xr:uid="{945DC2AB-C4B1-4F59-9A62-67C53C26130E}"/>
    <cellStyle name="Millares [0] 9 2 4 4 2" xfId="33074" xr:uid="{7BDF5227-720B-47C5-A923-5D64A2C59E95}"/>
    <cellStyle name="Millares [0] 9 2 4 5" xfId="15581" xr:uid="{71968CDE-B0F8-4713-A27D-C598446C1B8F}"/>
    <cellStyle name="Millares [0] 9 2 4 5 2" xfId="38938" xr:uid="{9DA2E181-FB0A-401E-A882-CAC73E52C575}"/>
    <cellStyle name="Millares [0] 9 2 4 6" xfId="17924" xr:uid="{1E91FB10-A4D4-4380-85F7-253F112BF503}"/>
    <cellStyle name="Millares [0] 9 2 4 7" xfId="43536" xr:uid="{906E7FA9-6D44-4B9A-8685-D593AACB188D}"/>
    <cellStyle name="Millares [0] 9 2 4 8" xfId="48429" xr:uid="{649A5464-DCB7-4E96-A1D4-5126FD2242B4}"/>
    <cellStyle name="Millares [0] 9 2 5" xfId="3045" xr:uid="{E237ED5F-3082-4CAF-A078-977111333D93}"/>
    <cellStyle name="Millares [0] 9 2 5 2" xfId="11316" xr:uid="{8CD1CDE8-91FA-4EE0-A6AC-823519EFDBE6}"/>
    <cellStyle name="Millares [0] 9 2 5 2 2" xfId="41682" xr:uid="{938087E6-7EAB-4235-95C8-CFE44A0727E8}"/>
    <cellStyle name="Millares [0] 9 2 5 2 3" xfId="46476" xr:uid="{CDA6E0E2-5D38-4A9F-B3D8-91BBBB943960}"/>
    <cellStyle name="Millares [0] 9 2 5 3" xfId="14156" xr:uid="{84453B68-8AED-463C-A9D3-E8ADA2FF9ED1}"/>
    <cellStyle name="Millares [0] 9 2 5 4" xfId="18631" xr:uid="{7C7A04C1-99A6-44A7-AEA0-C4E8C223C0FB}"/>
    <cellStyle name="Millares [0] 9 2 5 5" xfId="44080" xr:uid="{E0AF2C32-7A28-46D7-A9CC-06C8EAB6122C}"/>
    <cellStyle name="Millares [0] 9 2 5 6" xfId="48973" xr:uid="{2971277D-11FB-482C-8E13-02FC4F39A61C}"/>
    <cellStyle name="Millares [0] 9 2 6" xfId="3547" xr:uid="{384B32E1-6307-470F-9A25-C60AD11761BE}"/>
    <cellStyle name="Millares [0] 9 2 6 2" xfId="11788" xr:uid="{DB779BB0-4B8D-42C8-BEBE-9D80DAA93D67}"/>
    <cellStyle name="Millares [0] 9 2 6 3" xfId="14628" xr:uid="{DB7B2D32-9FAD-4485-BF62-C364DEEECBE7}"/>
    <cellStyle name="Millares [0] 9 2 6 4" xfId="24345" xr:uid="{160312C4-E876-4872-B0C0-8A9A6A8D441F}"/>
    <cellStyle name="Millares [0] 9 2 6 5" xfId="44552" xr:uid="{D463EF76-EC23-444E-932A-E5B4E8D611C3}"/>
    <cellStyle name="Millares [0] 9 2 6 6" xfId="49445" xr:uid="{53D005A9-0F2B-4CC3-9337-24DD093E856C}"/>
    <cellStyle name="Millares [0] 9 2 7" xfId="4102" xr:uid="{6E67753E-0A61-44B5-ADE2-48E84C8F959D}"/>
    <cellStyle name="Millares [0] 9 2 7 2" xfId="12105" xr:uid="{EF94F5CE-AC51-4E36-B764-3C501382C49D}"/>
    <cellStyle name="Millares [0] 9 2 7 3" xfId="14946" xr:uid="{EA6573AE-400F-4C95-B1EC-C13FEAF22D9D}"/>
    <cellStyle name="Millares [0] 9 2 7 4" xfId="30223" xr:uid="{BD35B46A-1A58-4688-844B-03D1387997BE}"/>
    <cellStyle name="Millares [0] 9 2 7 5" xfId="44970" xr:uid="{3474D6E9-9D55-46D5-9DBB-09E1E0F372AB}"/>
    <cellStyle name="Millares [0] 9 2 7 6" xfId="49762" xr:uid="{A45720A0-ECFC-4CC5-B210-E56512EA837F}"/>
    <cellStyle name="Millares [0] 9 2 8" xfId="9810" xr:uid="{A1A61C95-62F5-416E-A32D-D5449A5FFF8F}"/>
    <cellStyle name="Millares [0] 9 2 8 2" xfId="36102" xr:uid="{F7A9FAA9-A55B-4C8C-9F5E-573DA098346A}"/>
    <cellStyle name="Millares [0] 9 2 9" xfId="12650" xr:uid="{77E87059-9A43-4F83-B2F3-C70092B51427}"/>
    <cellStyle name="Millares [0] 9 3" xfId="378" xr:uid="{00000000-0005-0000-0000-000092010000}"/>
    <cellStyle name="Millares [0] 9 3 10" xfId="16105" xr:uid="{F70E1585-1123-476B-B1DF-34FA160F5C16}"/>
    <cellStyle name="Millares [0] 9 3 11" xfId="16648" xr:uid="{5E5201BA-5285-47AB-A57E-85FAD673A74A}"/>
    <cellStyle name="Millares [0] 9 3 12" xfId="17192" xr:uid="{49E8CEF4-CC2C-420E-AA5D-F89CFF9AF43D}"/>
    <cellStyle name="Millares [0] 9 3 13" xfId="17591" xr:uid="{F48B5627-1E8D-445A-8941-6EE3EE171880}"/>
    <cellStyle name="Millares [0] 9 3 14" xfId="42686" xr:uid="{58C721E8-6F76-44A6-BDFC-E4CB8F2AA91A}"/>
    <cellStyle name="Millares [0] 9 3 15" xfId="47579" xr:uid="{90279EF0-B21B-4317-8D64-EAEA03C15BCA}"/>
    <cellStyle name="Millares [0] 9 3 2" xfId="2195" xr:uid="{CA7F747C-4600-4DBE-ACA1-9B3C9A9502CA}"/>
    <cellStyle name="Millares [0] 9 3 2 2" xfId="8219" xr:uid="{A1B0A674-C80D-499A-A086-8FC7FFD493C7}"/>
    <cellStyle name="Millares [0] 9 3 2 2 2" xfId="12389" xr:uid="{99366A8B-BF98-44BA-817F-A3822D73083F}"/>
    <cellStyle name="Millares [0] 9 3 2 2 2 2" xfId="41966" xr:uid="{EF5EA368-6E19-4820-AAFB-4FF348017C3D}"/>
    <cellStyle name="Millares [0] 9 3 2 2 2 3" xfId="22595" xr:uid="{D241D9B0-93C2-4913-B825-BA290BC39D2C}"/>
    <cellStyle name="Millares [0] 9 3 2 2 3" xfId="15230" xr:uid="{626BA69A-A67F-4BC6-82B1-8D6DC4A92FD6}"/>
    <cellStyle name="Millares [0] 9 3 2 2 3 2" xfId="28452" xr:uid="{CF0BC175-5F5F-45FF-A6DC-96F33197DF17}"/>
    <cellStyle name="Millares [0] 9 3 2 2 4" xfId="15677" xr:uid="{5F1B3727-4E27-4C7B-A782-BD9C2F63AFA7}"/>
    <cellStyle name="Millares [0] 9 3 2 2 4 2" xfId="34334" xr:uid="{51D54FFD-CBED-412A-B023-401A35ED59A6}"/>
    <cellStyle name="Millares [0] 9 3 2 2 5" xfId="40198" xr:uid="{BCAAE17A-435B-4291-A32F-AA59E4A5B049}"/>
    <cellStyle name="Millares [0] 9 3 2 2 6" xfId="18105" xr:uid="{DEC09FC6-D12B-441B-9DD6-4C38372E4315}"/>
    <cellStyle name="Millares [0] 9 3 2 2 7" xfId="45626" xr:uid="{5E203928-957B-455E-9601-EB91448CEB26}"/>
    <cellStyle name="Millares [0] 9 3 2 2 8" xfId="50046" xr:uid="{2EE6CCD1-F60D-4AAD-A6B0-01D71B99C71E}"/>
    <cellStyle name="Millares [0] 9 3 2 3" xfId="5352" xr:uid="{E95C9604-6B5A-41B7-B9BA-AAA09EA65D46}"/>
    <cellStyle name="Millares [0] 9 3 2 3 2" xfId="12202" xr:uid="{54F426F1-8439-40B2-AE79-BB7B41988447}"/>
    <cellStyle name="Millares [0] 9 3 2 3 2 2" xfId="41779" xr:uid="{0D2CDF67-35AE-4344-982B-AED0CFC3A97D}"/>
    <cellStyle name="Millares [0] 9 3 2 3 3" xfId="15043" xr:uid="{865C8FB1-3324-49C9-868C-3B9BFDC99E40}"/>
    <cellStyle name="Millares [0] 9 3 2 3 4" xfId="19819" xr:uid="{446D357B-0B5D-4E2C-A78A-56D310326D1F}"/>
    <cellStyle name="Millares [0] 9 3 2 3 5" xfId="49859" xr:uid="{D9496F18-F076-4D31-8BF5-584B4B643A83}"/>
    <cellStyle name="Millares [0] 9 3 2 4" xfId="10466" xr:uid="{225EDE56-394E-4468-AA88-7B95EE63A9FF}"/>
    <cellStyle name="Millares [0] 9 3 2 4 2" xfId="25603" xr:uid="{F5ABB6A4-CEE2-4CC0-AD79-B99C0644834B}"/>
    <cellStyle name="Millares [0] 9 3 2 5" xfId="13306" xr:uid="{45FD5ADC-8FF1-47B8-A8A9-5AC17A78944C}"/>
    <cellStyle name="Millares [0] 9 3 2 5 2" xfId="31477" xr:uid="{89843A16-A2BD-4C46-ACD5-EA81EFE7BC00}"/>
    <cellStyle name="Millares [0] 9 3 2 6" xfId="15489" xr:uid="{591C00F5-85DC-4585-8BE7-2BF577FC92FD}"/>
    <cellStyle name="Millares [0] 9 3 2 6 2" xfId="37348" xr:uid="{7C0FC4BE-4217-42E9-8B98-A85CAFB2CCFC}"/>
    <cellStyle name="Millares [0] 9 3 2 7" xfId="17723" xr:uid="{932CE364-7C67-4691-9053-A59AB7C5A34A}"/>
    <cellStyle name="Millares [0] 9 3 2 8" xfId="43230" xr:uid="{0F2D108C-1603-4BFC-B8E6-8516DEAC6E5A}"/>
    <cellStyle name="Millares [0] 9 3 2 9" xfId="48123" xr:uid="{AB6D0426-9473-43CC-9B9F-D88B58A95BEE}"/>
    <cellStyle name="Millares [0] 9 3 3" xfId="2613" xr:uid="{8C3F87B6-B305-41CA-A585-001ADC456B18}"/>
    <cellStyle name="Millares [0] 9 3 3 2" xfId="7247" xr:uid="{E6E45BD5-3C91-4568-B14E-EBBC95CF04D0}"/>
    <cellStyle name="Millares [0] 9 3 3 2 2" xfId="12317" xr:uid="{6371CFEE-0CD7-411B-8972-B50F5589C52B}"/>
    <cellStyle name="Millares [0] 9 3 3 2 2 2" xfId="41894" xr:uid="{15DDC539-7F32-4130-A12B-D7DB971D7EA5}"/>
    <cellStyle name="Millares [0] 9 3 3 2 3" xfId="15158" xr:uid="{29CD92B5-81EC-447B-8103-F0B18A15B253}"/>
    <cellStyle name="Millares [0] 9 3 3 2 4" xfId="21654" xr:uid="{08E10B78-ED6A-4A12-B48B-0333BC638D74}"/>
    <cellStyle name="Millares [0] 9 3 3 2 5" xfId="46044" xr:uid="{B7C8E936-6A61-4299-947E-1D4FA27CD245}"/>
    <cellStyle name="Millares [0] 9 3 3 2 6" xfId="49974" xr:uid="{7A39B9D3-66F4-42B2-9A6E-906C187103C8}"/>
    <cellStyle name="Millares [0] 9 3 3 3" xfId="10884" xr:uid="{F2AA809F-029B-4458-ACBD-6E33F1E410F2}"/>
    <cellStyle name="Millares [0] 9 3 3 3 2" xfId="27481" xr:uid="{81F1BF14-55F4-4B18-BC87-5F076353F008}"/>
    <cellStyle name="Millares [0] 9 3 3 4" xfId="13724" xr:uid="{8B119A63-C0E7-442A-93B4-000C2636A911}"/>
    <cellStyle name="Millares [0] 9 3 3 4 2" xfId="33363" xr:uid="{65CFE880-C5D1-486D-9E28-1AB87F4659FE}"/>
    <cellStyle name="Millares [0] 9 3 3 5" xfId="15605" xr:uid="{050394D6-88F0-4FC5-989E-44583C4D48E4}"/>
    <cellStyle name="Millares [0] 9 3 3 5 2" xfId="39227" xr:uid="{DEAA3137-299D-4EA9-989F-414B9B7DA51F}"/>
    <cellStyle name="Millares [0] 9 3 3 6" xfId="17966" xr:uid="{D0130849-D1CC-41DC-8121-D31B85DBAEF0}"/>
    <cellStyle name="Millares [0] 9 3 3 7" xfId="43648" xr:uid="{C38178FE-6A0B-478F-81BC-09AD72DB05B2}"/>
    <cellStyle name="Millares [0] 9 3 3 8" xfId="48541" xr:uid="{6EFBA78E-537A-4F22-A507-5AFA12F5FCCA}"/>
    <cellStyle name="Millares [0] 9 3 4" xfId="3157" xr:uid="{4EB880A9-678D-4D01-A184-C615EF7BA863}"/>
    <cellStyle name="Millares [0] 9 3 4 2" xfId="11428" xr:uid="{A7C4742E-7F74-4A8D-A922-13F193ADEECB}"/>
    <cellStyle name="Millares [0] 9 3 4 2 2" xfId="41707" xr:uid="{07C493FF-B70A-495F-81E6-CF48618E097A}"/>
    <cellStyle name="Millares [0] 9 3 4 2 3" xfId="46588" xr:uid="{45F31307-BE76-4161-9C94-7980875A322F}"/>
    <cellStyle name="Millares [0] 9 3 4 3" xfId="14268" xr:uid="{6A06D6BC-4196-4110-A8FC-F5A6B6DDF75A}"/>
    <cellStyle name="Millares [0] 9 3 4 4" xfId="18888" xr:uid="{24C733F4-DDEB-477F-9468-E1AE341029EF}"/>
    <cellStyle name="Millares [0] 9 3 4 5" xfId="44192" xr:uid="{14303CD6-6C4B-4C1C-B809-021C3D0D1EFB}"/>
    <cellStyle name="Millares [0] 9 3 4 6" xfId="49085" xr:uid="{384C92FE-CA26-4D7A-BE64-CD9EF6F39283}"/>
    <cellStyle name="Millares [0] 9 3 5" xfId="3659" xr:uid="{B5ECC38A-7E24-4294-8251-9903D35DB3B9}"/>
    <cellStyle name="Millares [0] 9 3 5 2" xfId="11900" xr:uid="{4BC02799-BA5E-48F9-9B47-FB089B7AAC46}"/>
    <cellStyle name="Millares [0] 9 3 5 3" xfId="14740" xr:uid="{EDE22706-B6D1-44ED-A2C9-2447606FC14B}"/>
    <cellStyle name="Millares [0] 9 3 5 4" xfId="24632" xr:uid="{52B9B883-B56D-493D-B45F-A0442F4B20AC}"/>
    <cellStyle name="Millares [0] 9 3 5 5" xfId="44664" xr:uid="{534EFF31-829C-4593-8547-ECAC8344A3D1}"/>
    <cellStyle name="Millares [0] 9 3 5 6" xfId="49557" xr:uid="{6F13D481-2699-4C14-AB78-04AD35D44C05}"/>
    <cellStyle name="Millares [0] 9 3 6" xfId="4386" xr:uid="{B34E14B6-33D9-4B05-B828-2AB252CF9DB9}"/>
    <cellStyle name="Millares [0] 9 3 6 2" xfId="12130" xr:uid="{607B8695-6441-40B9-B44B-BD8207731314}"/>
    <cellStyle name="Millares [0] 9 3 6 3" xfId="14971" xr:uid="{2E55D17A-31F0-44CE-B4E6-97BA6A3C3344}"/>
    <cellStyle name="Millares [0] 9 3 6 4" xfId="30511" xr:uid="{23497C60-07C8-4F09-9AE7-42AE709876F0}"/>
    <cellStyle name="Millares [0] 9 3 6 5" xfId="45082" xr:uid="{CEA77BE0-8688-4E3C-AE13-2927AA048F46}"/>
    <cellStyle name="Millares [0] 9 3 6 6" xfId="49787" xr:uid="{9C8501BA-0F7F-4309-838F-183352ADC480}"/>
    <cellStyle name="Millares [0] 9 3 7" xfId="9922" xr:uid="{315FF94B-4205-4669-AA80-6C92274663FF}"/>
    <cellStyle name="Millares [0] 9 3 7 2" xfId="36391" xr:uid="{A5EDE504-EA12-4D15-A9BE-677087DF0FE7}"/>
    <cellStyle name="Millares [0] 9 3 8" xfId="12762" xr:uid="{4354243E-ED9C-4748-A118-210FE1C82547}"/>
    <cellStyle name="Millares [0] 9 3 9" xfId="15416" xr:uid="{49C9B7E2-3873-465A-9623-974C989E9EAF}"/>
    <cellStyle name="Millares [0] 9 4" xfId="581" xr:uid="{00000000-0005-0000-0000-000093010000}"/>
    <cellStyle name="Millares [0] 9 4 10" xfId="17655" xr:uid="{F4DB83F6-76FF-423C-951D-FFD4E406F51B}"/>
    <cellStyle name="Millares [0] 9 4 11" xfId="42888" xr:uid="{A237BCE9-F28E-4824-AADA-8F56E5904826}"/>
    <cellStyle name="Millares [0] 9 4 12" xfId="47781" xr:uid="{D4B87AA6-BBD2-4209-AAC2-284D28C056A4}"/>
    <cellStyle name="Millares [0] 9 4 2" xfId="2815" xr:uid="{669E5ED3-5C62-44A2-B793-FE61A152A977}"/>
    <cellStyle name="Millares [0] 9 4 2 2" xfId="7734" xr:uid="{7A2EC3CD-0311-4CFD-80B1-5176F17B03FF}"/>
    <cellStyle name="Millares [0] 9 4 2 2 2" xfId="12353" xr:uid="{0055680E-FE92-4FB1-8B80-3F1E8923CDB2}"/>
    <cellStyle name="Millares [0] 9 4 2 2 2 2" xfId="41930" xr:uid="{6762EEB9-2C28-43B6-B4A0-9B844E5EAF71}"/>
    <cellStyle name="Millares [0] 9 4 2 2 3" xfId="15194" xr:uid="{4B6F621F-A715-4648-8316-E54DF6F2ACF6}"/>
    <cellStyle name="Millares [0] 9 4 2 2 4" xfId="22124" xr:uid="{85FC60CD-CC5E-47F5-A264-838D27172415}"/>
    <cellStyle name="Millares [0] 9 4 2 2 5" xfId="46246" xr:uid="{C271724A-8859-46F9-B09B-73A44011C7AD}"/>
    <cellStyle name="Millares [0] 9 4 2 2 6" xfId="50010" xr:uid="{0D6EDCC5-882A-4B21-B843-D0E156A40E3C}"/>
    <cellStyle name="Millares [0] 9 4 2 3" xfId="11086" xr:uid="{37D2126C-56E0-43D9-951A-6B830C7B95AF}"/>
    <cellStyle name="Millares [0] 9 4 2 3 2" xfId="27967" xr:uid="{50CAE694-01AD-4291-A81B-A05C36C44606}"/>
    <cellStyle name="Millares [0] 9 4 2 4" xfId="13926" xr:uid="{8A44D975-5407-4B99-B4E2-D88A00B4B639}"/>
    <cellStyle name="Millares [0] 9 4 2 4 2" xfId="33849" xr:uid="{6961E859-AA74-4A2C-A5A6-9F5381CE00DE}"/>
    <cellStyle name="Millares [0] 9 4 2 5" xfId="15641" xr:uid="{F9959ED7-DEBB-4A81-8421-00B4C169E5C9}"/>
    <cellStyle name="Millares [0] 9 4 2 5 2" xfId="39713" xr:uid="{803F35A3-9F35-41FA-950C-74512E66478F}"/>
    <cellStyle name="Millares [0] 9 4 2 6" xfId="18037" xr:uid="{9102796A-AB23-4B57-8EC4-737BBCF1BCBF}"/>
    <cellStyle name="Millares [0] 9 4 2 7" xfId="43850" xr:uid="{C4CBD2B0-35A3-476D-ACC0-3D54F3564C54}"/>
    <cellStyle name="Millares [0] 9 4 2 8" xfId="48743" xr:uid="{D19A86D4-3E30-4228-BF0B-D2C0DCD3BF17}"/>
    <cellStyle name="Millares [0] 9 4 3" xfId="4867" xr:uid="{3FA75F02-3740-4525-95A5-F91E3B1EC10F}"/>
    <cellStyle name="Millares [0] 9 4 3 2" xfId="12166" xr:uid="{D25F1370-823F-445F-A544-CB0457AB13CD}"/>
    <cellStyle name="Millares [0] 9 4 3 2 2" xfId="41743" xr:uid="{8F466EFB-2527-4208-BEBB-CD7941B7C6BE}"/>
    <cellStyle name="Millares [0] 9 4 3 3" xfId="15007" xr:uid="{3F08B78F-13FB-46FE-9056-00FE1BB4D4C6}"/>
    <cellStyle name="Millares [0] 9 4 3 4" xfId="19350" xr:uid="{58DE2EF9-86A9-4557-9018-3D3DCFD6FEF6}"/>
    <cellStyle name="Millares [0] 9 4 3 5" xfId="45284" xr:uid="{CFD75F79-6C10-4F5B-AFDC-E57C4F03722A}"/>
    <cellStyle name="Millares [0] 9 4 3 6" xfId="49823" xr:uid="{9968A5CB-3570-42AE-A855-CE41C5C257D4}"/>
    <cellStyle name="Millares [0] 9 4 4" xfId="10124" xr:uid="{7F3724C5-A919-4909-A50C-F87386D70028}"/>
    <cellStyle name="Millares [0] 9 4 4 2" xfId="25118" xr:uid="{8ECCF185-FA79-4EFC-8EA2-BA3D26708883}"/>
    <cellStyle name="Millares [0] 9 4 5" xfId="12964" xr:uid="{E20F63B8-7C08-4D16-9AA8-49D2E998388A}"/>
    <cellStyle name="Millares [0] 9 4 5 2" xfId="30992" xr:uid="{3674F9BB-7251-4771-BDB1-019404DBDACC}"/>
    <cellStyle name="Millares [0] 9 4 6" xfId="15453" xr:uid="{FCF10CB6-C4DF-4E26-ADD3-300A5296300B}"/>
    <cellStyle name="Millares [0] 9 4 6 2" xfId="36871" xr:uid="{5CBCADB9-0FE9-4671-A268-4F60686866EF}"/>
    <cellStyle name="Millares [0] 9 4 7" xfId="16307" xr:uid="{B8318B61-44B9-45C7-8CB1-F3C9FA34CBD6}"/>
    <cellStyle name="Millares [0] 9 4 8" xfId="16850" xr:uid="{27D13C2D-6429-42AF-ACDD-847475BCF131}"/>
    <cellStyle name="Millares [0] 9 4 9" xfId="17394" xr:uid="{246B405D-1F21-4BC9-8640-F4303AE04EF8}"/>
    <cellStyle name="Millares [0] 9 5" xfId="1979" xr:uid="{A5339B24-9740-4338-871C-8CC2EF62581D}"/>
    <cellStyle name="Millares [0] 9 5 2" xfId="8746" xr:uid="{CED72B51-EBE3-4429-99F8-5A3650F16095}"/>
    <cellStyle name="Millares [0] 9 5 2 2" xfId="12425" xr:uid="{13E66FFB-553E-4EBB-88DE-C096B0841749}"/>
    <cellStyle name="Millares [0] 9 5 2 2 2" xfId="42002" xr:uid="{07B9405F-5B49-4CD0-88F0-5FBC1A6BB0A1}"/>
    <cellStyle name="Millares [0] 9 5 2 2 3" xfId="23114" xr:uid="{DCB7FC64-6BB0-46E7-B8CE-F86B7CA4444B}"/>
    <cellStyle name="Millares [0] 9 5 2 3" xfId="15266" xr:uid="{C9F6D2F4-882C-476B-BAF5-2FA9839A3E34}"/>
    <cellStyle name="Millares [0] 9 5 2 3 2" xfId="28978" xr:uid="{07051A81-1B65-4E05-ADB2-28BB98C062E7}"/>
    <cellStyle name="Millares [0] 9 5 2 4" xfId="15715" xr:uid="{4C78EDF6-9CA6-4FCE-8062-DBC0DFE9C346}"/>
    <cellStyle name="Millares [0] 9 5 2 4 2" xfId="34860" xr:uid="{4C8EEC8D-E396-431F-AEC2-17B4886FF4A9}"/>
    <cellStyle name="Millares [0] 9 5 2 5" xfId="40724" xr:uid="{BB856A1A-E2C0-4005-9427-29C338F375AA}"/>
    <cellStyle name="Millares [0] 9 5 2 6" xfId="18174" xr:uid="{16BB4975-1C7A-4327-950F-B394EF6F3111}"/>
    <cellStyle name="Millares [0] 9 5 2 7" xfId="45410" xr:uid="{A5337F91-7D1A-4EB3-856C-AA4678C8DC77}"/>
    <cellStyle name="Millares [0] 9 5 2 8" xfId="50082" xr:uid="{A75A3BF7-CCDE-4A32-BD96-C7EFE8A12B0D}"/>
    <cellStyle name="Millares [0] 9 5 3" xfId="5877" xr:uid="{369CB43D-641F-4B35-B193-957F9B122A09}"/>
    <cellStyle name="Millares [0] 9 5 3 2" xfId="12238" xr:uid="{23491F1A-59EF-4DE2-A9B5-399E3147CDB6}"/>
    <cellStyle name="Millares [0] 9 5 3 2 2" xfId="41815" xr:uid="{7350EF08-D6B6-40B1-960B-236C104473F1}"/>
    <cellStyle name="Millares [0] 9 5 3 3" xfId="15079" xr:uid="{9A624B41-F29A-44D1-9A81-402773F4262C}"/>
    <cellStyle name="Millares [0] 9 5 3 4" xfId="20328" xr:uid="{CB2F6806-E5E6-405E-8623-0F0220B74B60}"/>
    <cellStyle name="Millares [0] 9 5 3 5" xfId="49895" xr:uid="{D3005809-09BA-4E39-A522-C2004D64406C}"/>
    <cellStyle name="Millares [0] 9 5 4" xfId="10250" xr:uid="{398C4A6E-B761-486A-A12D-7A8A0632BE7B}"/>
    <cellStyle name="Millares [0] 9 5 4 2" xfId="26128" xr:uid="{7E9C5C2F-B446-4047-AAD7-9E180D1221C8}"/>
    <cellStyle name="Millares [0] 9 5 5" xfId="13090" xr:uid="{BA0F2955-61FA-435C-849B-E9F12472C30C}"/>
    <cellStyle name="Millares [0] 9 5 5 2" xfId="32003" xr:uid="{106406B2-C058-46B6-8060-59DCE9695A82}"/>
    <cellStyle name="Millares [0] 9 5 6" xfId="15526" xr:uid="{98DA6D55-D2A8-46C5-A3A7-950654DD6769}"/>
    <cellStyle name="Millares [0] 9 5 6 2" xfId="37869" xr:uid="{5F196266-3C52-4689-B9D8-B0AEBF31CD11}"/>
    <cellStyle name="Millares [0] 9 5 7" xfId="17792" xr:uid="{438A24DD-E426-4A3A-B4F4-03FA2ADC280C}"/>
    <cellStyle name="Millares [0] 9 5 8" xfId="43014" xr:uid="{F07C4095-E7B8-456B-BBDE-0A47196DC321}"/>
    <cellStyle name="Millares [0] 9 5 9" xfId="47907" xr:uid="{A95681D5-F452-4D3E-8E16-2DB31BE32BF7}"/>
    <cellStyle name="Millares [0] 9 6" xfId="2397" xr:uid="{7DE51660-6AE2-4D83-BCB8-7861BA0AB401}"/>
    <cellStyle name="Millares [0] 9 6 2" xfId="6763" xr:uid="{B13DC693-ECB6-4CEA-B6BE-A2DBC0490659}"/>
    <cellStyle name="Millares [0] 9 6 2 2" xfId="12281" xr:uid="{93508662-E090-4BA5-ACAB-B2BF4F8C54B9}"/>
    <cellStyle name="Millares [0] 9 6 2 2 2" xfId="41858" xr:uid="{A3164073-E2BE-418E-B356-75198A9B0A9D}"/>
    <cellStyle name="Millares [0] 9 6 2 3" xfId="15122" xr:uid="{FC3D97DE-7CE9-4C97-846B-F644E89330DA}"/>
    <cellStyle name="Millares [0] 9 6 2 4" xfId="21187" xr:uid="{ABDCF57B-1F8F-436E-A405-5D630B74582E}"/>
    <cellStyle name="Millares [0] 9 6 2 5" xfId="45828" xr:uid="{96FE13EC-7FC0-46DA-8D0A-C8039426F5E5}"/>
    <cellStyle name="Millares [0] 9 6 2 6" xfId="49938" xr:uid="{E3A9AD5F-F9B5-4520-935E-91DD10D20CCC}"/>
    <cellStyle name="Millares [0] 9 6 3" xfId="10668" xr:uid="{A36F17E0-426A-4B6D-ABB0-43F33678BAA6}"/>
    <cellStyle name="Millares [0] 9 6 3 2" xfId="27002" xr:uid="{5E6AB615-10D4-4A0F-A8FE-A7FB7615420B}"/>
    <cellStyle name="Millares [0] 9 6 4" xfId="13508" xr:uid="{BFF2C414-8138-4177-A2A1-F906FFE45D6E}"/>
    <cellStyle name="Millares [0] 9 6 4 2" xfId="32878" xr:uid="{456F0AA9-62BE-4EC1-B036-629A399CB993}"/>
    <cellStyle name="Millares [0] 9 6 5" xfId="15569" xr:uid="{C1550031-9ECE-49C7-A7A2-8B199D7B0FEB}"/>
    <cellStyle name="Millares [0] 9 6 5 2" xfId="38742" xr:uid="{0C7B6800-CF97-4EF1-8569-7657A434D25B}"/>
    <cellStyle name="Millares [0] 9 6 6" xfId="17896" xr:uid="{0DAA67EE-1F15-4081-BA17-F8796E2DCC66}"/>
    <cellStyle name="Millares [0] 9 6 7" xfId="43432" xr:uid="{8E45BFAB-F1E0-4C48-8A4F-08519F4ABB0F}"/>
    <cellStyle name="Millares [0] 9 6 8" xfId="48325" xr:uid="{E4D1D3AF-7A2C-4099-95F2-15C8D0BBB007}"/>
    <cellStyle name="Millares [0] 9 7" xfId="2941" xr:uid="{7566033A-0F93-490B-BA01-45FE311BAB7F}"/>
    <cellStyle name="Millares [0] 9 7 2" xfId="11212" xr:uid="{BE82E759-9F9E-414F-A088-6A895C1F8562}"/>
    <cellStyle name="Millares [0] 9 7 2 2" xfId="41662" xr:uid="{89049452-7193-4351-AFB5-AF1D01E68F42}"/>
    <cellStyle name="Millares [0] 9 7 2 3" xfId="46372" xr:uid="{211BCCD7-92DA-4803-A4E5-B0E28CE00492}"/>
    <cellStyle name="Millares [0] 9 7 3" xfId="14052" xr:uid="{9FDD227A-0B40-4462-ACA2-2B4C41AFAF06}"/>
    <cellStyle name="Millares [0] 9 7 4" xfId="18432" xr:uid="{7BFA4D73-A1C7-4742-BF64-5DE7B4154F46}"/>
    <cellStyle name="Millares [0] 9 7 5" xfId="43976" xr:uid="{774C49A1-697A-4D60-A759-17B8977FD656}"/>
    <cellStyle name="Millares [0] 9 7 6" xfId="48869" xr:uid="{FBE15A57-A325-4475-B99B-836455570FE2}"/>
    <cellStyle name="Millares [0] 9 8" xfId="3443" xr:uid="{902BA873-25E0-4DD1-8F7D-9BAE3A55D01B}"/>
    <cellStyle name="Millares [0] 9 8 2" xfId="11684" xr:uid="{981B1D5B-D3B6-4EB4-866B-3686220DE797}"/>
    <cellStyle name="Millares [0] 9 8 3" xfId="14524" xr:uid="{E867457F-6A62-4596-AF88-CE479F21E3E8}"/>
    <cellStyle name="Millares [0] 9 8 4" xfId="24141" xr:uid="{CE38B269-FA00-42CA-90F5-73E7FDA0281A}"/>
    <cellStyle name="Millares [0] 9 8 5" xfId="44448" xr:uid="{0C1CBA2E-067F-4618-B1F8-1AC14A2EA83F}"/>
    <cellStyle name="Millares [0] 9 8 6" xfId="49341" xr:uid="{F7573509-B692-4DA4-9A83-90B10D9E747C}"/>
    <cellStyle name="Millares [0] 9 9" xfId="3907" xr:uid="{28090D74-4557-4339-96C5-D09D32E6BC7B}"/>
    <cellStyle name="Millares [0] 9 9 2" xfId="12085" xr:uid="{E0F8587F-B6AE-40AB-BB25-AA387E3D7351}"/>
    <cellStyle name="Millares [0] 9 9 3" xfId="14926" xr:uid="{E9EDC49C-F817-4FC5-8F1E-71998FC2CEA2}"/>
    <cellStyle name="Millares [0] 9 9 4" xfId="30019" xr:uid="{433186F3-7BFE-4465-AB75-DA86D974B515}"/>
    <cellStyle name="Millares [0] 9 9 5" xfId="44866" xr:uid="{35323953-CC15-47F4-9518-CF20D471D973}"/>
    <cellStyle name="Millares [0] 9 9 6" xfId="49742" xr:uid="{9CB66C84-1A8D-4E29-8E65-342FD1BB08EC}"/>
    <cellStyle name="Millares 10" xfId="107" xr:uid="{00000000-0005-0000-0000-000094010000}"/>
    <cellStyle name="Millares 10 10" xfId="35944" xr:uid="{C0F9F3F5-1CFA-4780-B1F7-C75FC06F9A62}"/>
    <cellStyle name="Millares 10 11" xfId="42092" xr:uid="{42FFEA40-CF86-42E5-9008-5B3DB6A23EC6}"/>
    <cellStyle name="Millares 10 12" xfId="42143" xr:uid="{01DC6A35-F106-445E-ACC3-583F0FF97394}"/>
    <cellStyle name="Millares 10 13" xfId="50207" xr:uid="{CD698B9A-E9C5-43CB-91B8-8C4EC6688375}"/>
    <cellStyle name="Millares 10 14" xfId="50281" xr:uid="{9AA2CF25-9861-423E-ADE9-439BFCAFD31E}"/>
    <cellStyle name="Millares 10 2" xfId="127" xr:uid="{00000000-0005-0000-0000-000095010000}"/>
    <cellStyle name="Millares 10 2 10" xfId="50353" xr:uid="{7D253B5D-D229-4D6E-B014-F2592496E89B}"/>
    <cellStyle name="Millares 10 2 2" xfId="4622" xr:uid="{A95531AB-8F20-40DC-AAF2-094264177DF9}"/>
    <cellStyle name="Millares 10 2 2 2" xfId="5590" xr:uid="{607FDBE4-6852-419A-8FAB-B4EDE56D0578}"/>
    <cellStyle name="Millares 10 2 2 2 2" xfId="8457" xr:uid="{8EA7D3D2-AD7A-4578-BAAB-879DB9E81F4B}"/>
    <cellStyle name="Millares 10 2 2 2 2 2" xfId="22832" xr:uid="{3A035B3B-9A51-4268-A6AF-358838A86526}"/>
    <cellStyle name="Millares 10 2 2 2 2 3" xfId="28690" xr:uid="{E1FB36DF-EAF5-451C-8779-D27D35E6D38B}"/>
    <cellStyle name="Millares 10 2 2 2 2 4" xfId="34572" xr:uid="{19AB4AE6-2D9F-4E9C-8603-8990615EB4A7}"/>
    <cellStyle name="Millares 10 2 2 2 2 5" xfId="40436" xr:uid="{4CAD6C0B-FD8A-4398-98FF-333313B69600}"/>
    <cellStyle name="Millares 10 2 2 2 3" xfId="20050" xr:uid="{11EFBE65-6116-47DA-8D8F-627BFC763509}"/>
    <cellStyle name="Millares 10 2 2 2 4" xfId="25841" xr:uid="{4516B3DC-223C-4716-AFEF-EA1EC49A43E6}"/>
    <cellStyle name="Millares 10 2 2 2 5" xfId="31715" xr:uid="{C82F64F1-85A8-4AE0-A5FD-D75984B1815A}"/>
    <cellStyle name="Millares 10 2 2 2 6" xfId="37585" xr:uid="{543BE9E8-5B8D-452D-9325-9EFD8257EA30}"/>
    <cellStyle name="Millares 10 2 2 2 7" xfId="47315" xr:uid="{944CBF32-AB8D-4C48-B9DE-D14AC666DC55}"/>
    <cellStyle name="Millares 10 2 2 3" xfId="7485" xr:uid="{0E9F10DE-EEB6-4ED2-9768-4108C15D9537}"/>
    <cellStyle name="Millares 10 2 2 3 2" xfId="21887" xr:uid="{20C03418-B65D-48D8-A49F-107B2DD00F5C}"/>
    <cellStyle name="Millares 10 2 2 3 3" xfId="27719" xr:uid="{870CE071-F7BB-4628-B798-2FF3D3C3C844}"/>
    <cellStyle name="Millares 10 2 2 3 4" xfId="33601" xr:uid="{5DD75762-2DA5-48D0-8EAD-B866139E6BB2}"/>
    <cellStyle name="Millares 10 2 2 3 5" xfId="39465" xr:uid="{97F66D79-C205-48E1-AD5C-445AEFCF242F}"/>
    <cellStyle name="Millares 10 2 2 3 6" xfId="47227" xr:uid="{F03EC33B-F6DD-4BC8-9A95-44446FE7EE3F}"/>
    <cellStyle name="Millares 10 2 2 4" xfId="19117" xr:uid="{3B7C4BE1-1519-40F5-A915-7214B6AD8963}"/>
    <cellStyle name="Millares 10 2 2 5" xfId="24870" xr:uid="{76129C72-2D1F-4D53-BF50-D371978165DE}"/>
    <cellStyle name="Millares 10 2 2 6" xfId="30747" xr:uid="{D0CFB369-BDC1-4CDE-AE90-9680A3881BE9}"/>
    <cellStyle name="Millares 10 2 2 7" xfId="36628" xr:uid="{F4F6A3B6-064F-4F82-A412-68B22D58BCF4}"/>
    <cellStyle name="Millares 10 2 2 8" xfId="46853" xr:uid="{70AFDD23-380B-47C8-9A93-61782A4F5DE4}"/>
    <cellStyle name="Millares 10 2 3" xfId="5105" xr:uid="{EA308CDD-3758-40FF-93CA-C3BD590CC763}"/>
    <cellStyle name="Millares 10 2 3 2" xfId="7972" xr:uid="{2AB98785-CCBB-4070-8D44-0C50D4F2CB1D}"/>
    <cellStyle name="Millares 10 2 3 2 2" xfId="22357" xr:uid="{901B8B39-6D8A-4CB3-9B35-CC4C4C9EAC6A}"/>
    <cellStyle name="Millares 10 2 3 2 3" xfId="28205" xr:uid="{1793865E-7769-4C65-9EF6-5E045E669895}"/>
    <cellStyle name="Millares 10 2 3 2 4" xfId="34087" xr:uid="{83E7B4E8-87DA-48D1-89AD-B929CBDA6B03}"/>
    <cellStyle name="Millares 10 2 3 2 5" xfId="39951" xr:uid="{A83C25C5-6402-4BB2-B443-823F11956E2B}"/>
    <cellStyle name="Millares 10 2 3 3" xfId="19582" xr:uid="{0402B0D4-4F4E-4C2E-9973-5C0EDA366011}"/>
    <cellStyle name="Millares 10 2 3 4" xfId="25356" xr:uid="{D8A7A924-1DA3-4BF5-AE6C-C12D88760147}"/>
    <cellStyle name="Millares 10 2 3 5" xfId="31230" xr:uid="{ED6595AF-9AE8-46FC-8150-71AD57DF4CA5}"/>
    <cellStyle name="Millares 10 2 3 6" xfId="37108" xr:uid="{BD756655-35E5-4674-A6A1-4E345A220C70}"/>
    <cellStyle name="Millares 10 2 3 7" xfId="46854" xr:uid="{F1F39BE9-FF77-44BB-AD5B-603C2FF3814D}"/>
    <cellStyle name="Millares 10 2 4" xfId="7000" xr:uid="{0C611A1F-22A8-4247-9B01-E0F9CF3BC975}"/>
    <cellStyle name="Millares 10 2 4 2" xfId="21419" xr:uid="{B14B0CDB-03FA-4A31-B22E-05451F7F15AA}"/>
    <cellStyle name="Millares 10 2 4 3" xfId="27238" xr:uid="{78870867-FC3B-4DE4-8D98-FE31C2532C85}"/>
    <cellStyle name="Millares 10 2 4 4" xfId="33116" xr:uid="{D2F4176D-C8E7-4579-80A5-3708A3B4C527}"/>
    <cellStyle name="Millares 10 2 4 5" xfId="38980" xr:uid="{5D4F86C0-00D8-4776-BA76-C3A9FB26F9F7}"/>
    <cellStyle name="Millares 10 2 4 6" xfId="47270" xr:uid="{EABF6B36-0DC5-452F-A7ED-EA9AA89E0147}"/>
    <cellStyle name="Millares 10 2 5" xfId="4144" xr:uid="{7594CDBF-FB42-48CF-828E-96379D727689}"/>
    <cellStyle name="Millares 10 2 5 2" xfId="47131" xr:uid="{BE2E8369-4B6B-485D-A31E-02E23A8E3A3B}"/>
    <cellStyle name="Millares 10 2 6" xfId="24387" xr:uid="{288DFD1F-9747-4427-B6BF-62986E85DD3E}"/>
    <cellStyle name="Millares 10 2 7" xfId="30265" xr:uid="{B6D41EA0-951D-4A04-8229-B902C8F5B607}"/>
    <cellStyle name="Millares 10 2 8" xfId="36144" xr:uid="{96E2905B-124B-46F7-8E7B-3BBA84579D5A}"/>
    <cellStyle name="Millares 10 2 9" xfId="46855" xr:uid="{596FA964-0B62-4E68-BFAD-41DA0451D2B3}"/>
    <cellStyle name="Millares 10 3" xfId="3335" xr:uid="{4C60DA25-6D6E-492C-8C32-A3D69CAA737D}"/>
    <cellStyle name="Millares 10 3 2" xfId="5394" xr:uid="{5E7AEC49-A866-4485-B272-D3A6E3272F63}"/>
    <cellStyle name="Millares 10 3 2 2" xfId="8261" xr:uid="{ADB50D54-3BE3-461A-8003-BA04CF431A05}"/>
    <cellStyle name="Millares 10 3 2 2 2" xfId="22637" xr:uid="{81CC434D-4EA6-41E4-A77C-9AB227264CD4}"/>
    <cellStyle name="Millares 10 3 2 2 3" xfId="28494" xr:uid="{078C7940-2D90-4B81-9216-686A84D91D43}"/>
    <cellStyle name="Millares 10 3 2 2 4" xfId="34376" xr:uid="{79184553-A6F6-432D-AB74-2669ACEE6457}"/>
    <cellStyle name="Millares 10 3 2 2 5" xfId="40240" xr:uid="{4AD00DBA-CC91-4420-99C5-3AFE07158DC4}"/>
    <cellStyle name="Millares 10 3 2 2 6" xfId="47299" xr:uid="{38F46FB1-C479-45F2-A352-51777C337F84}"/>
    <cellStyle name="Millares 10 3 2 3" xfId="19861" xr:uid="{77EEAD3E-1624-457D-9C9A-9E22444613F6}"/>
    <cellStyle name="Millares 10 3 2 3 2" xfId="47211" xr:uid="{0752C8AA-3F3A-43D1-BBE8-E2E15D6633B3}"/>
    <cellStyle name="Millares 10 3 2 4" xfId="25645" xr:uid="{F1C1C95F-F142-4A3A-ADDD-533ADC58A254}"/>
    <cellStyle name="Millares 10 3 2 5" xfId="31519" xr:uid="{D416D507-2928-4FBB-BAA6-3910BC1BA15A}"/>
    <cellStyle name="Millares 10 3 2 6" xfId="37390" xr:uid="{E8BAA029-D0AE-434E-A63C-BEFE6E1A02D8}"/>
    <cellStyle name="Millares 10 3 2 7" xfId="46856" xr:uid="{5E253543-AF69-43FA-8C05-501C6F33AACA}"/>
    <cellStyle name="Millares 10 3 3" xfId="7289" xr:uid="{672122D5-1A34-4160-B1EE-8654BA23F4B4}"/>
    <cellStyle name="Millares 10 3 3 2" xfId="21696" xr:uid="{92016D4E-D806-4AE9-9195-90D6C343FC15}"/>
    <cellStyle name="Millares 10 3 3 3" xfId="27523" xr:uid="{A24F86D3-38F5-412A-A0F7-070FA989C9E7}"/>
    <cellStyle name="Millares 10 3 3 4" xfId="33405" xr:uid="{03A3ACF7-8359-411F-9109-1EF5BFE64315}"/>
    <cellStyle name="Millares 10 3 3 5" xfId="39269" xr:uid="{D1160D7F-D81A-45A7-883C-E1F67525673E}"/>
    <cellStyle name="Millares 10 3 4" xfId="18930" xr:uid="{436036DF-C874-4366-9FA9-4D3B23515AA3}"/>
    <cellStyle name="Millares 10 3 5" xfId="24674" xr:uid="{8D945F16-8338-4EC5-9040-D606835FC0ED}"/>
    <cellStyle name="Millares 10 3 6" xfId="30553" xr:uid="{3CD472F5-A5E3-4949-BAD2-3EED08FB9AF6}"/>
    <cellStyle name="Millares 10 3 7" xfId="36433" xr:uid="{BE6B245F-5575-409E-B301-02E1FD611A9D}"/>
    <cellStyle name="Millares 10 3 8" xfId="46857" xr:uid="{3330467A-1927-4B15-ABEA-400EE2363947}"/>
    <cellStyle name="Millares 10 3 9" xfId="47058" xr:uid="{DA0E934B-5F7D-465F-B0DF-3475F89362B2}"/>
    <cellStyle name="Millares 10 4" xfId="4909" xr:uid="{D9AB55F5-093F-4E2B-8040-12886CCE04A9}"/>
    <cellStyle name="Millares 10 4 2" xfId="7776" xr:uid="{6F66D396-1F3E-466D-83B5-CFEFB549527D}"/>
    <cellStyle name="Millares 10 4 2 2" xfId="22166" xr:uid="{0E1A5640-2E94-46BE-A6B6-854D51BFE216}"/>
    <cellStyle name="Millares 10 4 2 3" xfId="28009" xr:uid="{A639749F-D93E-4222-B6EA-AE54CE70A13F}"/>
    <cellStyle name="Millares 10 4 2 4" xfId="33891" xr:uid="{99F9421B-0542-4C72-B378-BC2EE64CA617}"/>
    <cellStyle name="Millares 10 4 2 5" xfId="39755" xr:uid="{26B3A573-6DBE-49E4-B8DE-25665976C505}"/>
    <cellStyle name="Millares 10 4 3" xfId="19392" xr:uid="{418CE1A8-024B-41BA-9C93-1574C72FAC7A}"/>
    <cellStyle name="Millares 10 4 4" xfId="25160" xr:uid="{C68A024D-D7E4-4CFE-B107-82D4E611C9E3}"/>
    <cellStyle name="Millares 10 4 5" xfId="31034" xr:uid="{02D87B67-4E50-4389-BB62-7730E601B71D}"/>
    <cellStyle name="Millares 10 4 6" xfId="36913" xr:uid="{27A950FB-52D3-46E9-8940-DF545751AFF7}"/>
    <cellStyle name="Millares 10 4 7" xfId="46858" xr:uid="{D135921E-889D-4454-8F1A-5CE40E3303EF}"/>
    <cellStyle name="Millares 10 5" xfId="5919" xr:uid="{313C9991-3D62-4531-9B3C-7B1CC3233FEF}"/>
    <cellStyle name="Millares 10 5 2" xfId="8788" xr:uid="{DE521FC3-D1F1-453A-A7C5-247FD69DF4F2}"/>
    <cellStyle name="Millares 10 5 2 2" xfId="23156" xr:uid="{D2D2A594-2EF5-4830-84DD-891B517A2263}"/>
    <cellStyle name="Millares 10 5 2 3" xfId="29020" xr:uid="{9CF22552-C153-43CA-B684-A68CA97AF700}"/>
    <cellStyle name="Millares 10 5 2 4" xfId="34902" xr:uid="{2FFA5136-20C6-499E-A181-EED5EBACB84C}"/>
    <cellStyle name="Millares 10 5 2 5" xfId="40766" xr:uid="{8B3A1846-9B1D-4AB8-838E-86290477FC92}"/>
    <cellStyle name="Millares 10 5 3" xfId="20370" xr:uid="{18DFC933-E4BD-47A9-9EEB-2D32D0E1E856}"/>
    <cellStyle name="Millares 10 5 4" xfId="26170" xr:uid="{A9428D4E-47FC-4B95-B8F8-27E93A94E146}"/>
    <cellStyle name="Millares 10 5 5" xfId="32045" xr:uid="{3B2C9D59-4F60-4D93-9E56-89E8A7D3BAFB}"/>
    <cellStyle name="Millares 10 5 6" xfId="37911" xr:uid="{9EB05C89-8809-4CD9-A5D4-47DFBA717510}"/>
    <cellStyle name="Millares 10 5 7" xfId="47247" xr:uid="{8250FB55-33CF-4E71-9D42-7BDD6834AE03}"/>
    <cellStyle name="Millares 10 6" xfId="6805" xr:uid="{E733399B-9B2F-4A79-86FD-8431F611D9D5}"/>
    <cellStyle name="Millares 10 6 2" xfId="21229" xr:uid="{6D339845-469C-42CB-B2F5-03C094B83EF0}"/>
    <cellStyle name="Millares 10 6 3" xfId="27044" xr:uid="{D9F05987-7D31-4AD7-A8EA-8A50951C1267}"/>
    <cellStyle name="Millares 10 6 4" xfId="32920" xr:uid="{9D2B2602-2B5E-4E99-B4FB-F84E7545DF8F}"/>
    <cellStyle name="Millares 10 6 5" xfId="38784" xr:uid="{FC725F0B-53B6-4C8B-B416-0BB8A086A991}"/>
    <cellStyle name="Millares 10 6 6" xfId="47108" xr:uid="{4352579C-EB5E-4AD6-B3FB-69143B418BF4}"/>
    <cellStyle name="Millares 10 7" xfId="18477" xr:uid="{A38FEF5C-69A9-40CA-AEC4-7DC5B0D53170}"/>
    <cellStyle name="Millares 10 8" xfId="24185" xr:uid="{EB9C51CF-C3EA-46F6-868E-E4A183DBBE28}"/>
    <cellStyle name="Millares 10 9" xfId="30063" xr:uid="{01EEA4C3-7096-47AF-99D2-A3D9B67E23A9}"/>
    <cellStyle name="Millares 100" xfId="9601" xr:uid="{5527F909-3A77-44D0-8707-6567CFF218EF}"/>
    <cellStyle name="Millares 100 11" xfId="1810" xr:uid="{00000000-0005-0000-0000-000096010000}"/>
    <cellStyle name="Millares 100 11 2" xfId="1914" xr:uid="{00000000-0005-0000-0000-000097010000}"/>
    <cellStyle name="Millares 100 11 2 10" xfId="17690" xr:uid="{FAEC22D6-C6F7-4495-AF14-C87FA02F1327}"/>
    <cellStyle name="Millares 100 11 2 11" xfId="42093" xr:uid="{564855DE-9875-4ACF-8A43-3A95A6FF652B}"/>
    <cellStyle name="Millares 100 11 2 12" xfId="42970" xr:uid="{32211C33-0A5A-498C-8191-55F8CD60318B}"/>
    <cellStyle name="Millares 100 11 2 13" xfId="47863" xr:uid="{CFC8A6FC-1F91-42B1-A3D1-29AD18B71A4F}"/>
    <cellStyle name="Millares 100 11 2 14" xfId="50183" xr:uid="{27F71136-5CAE-4704-9AB1-04B205E78D65}"/>
    <cellStyle name="Millares 100 11 2 15" xfId="50257" xr:uid="{F9935F1D-F52F-4F7B-A450-7573B22E1009}"/>
    <cellStyle name="Millares 100 11 2 2" xfId="2897" xr:uid="{DEE40FD8-8686-4A91-8712-2FF90F70645F}"/>
    <cellStyle name="Millares 100 11 2 2 2" xfId="11168" xr:uid="{0F85658C-4161-4D74-9A9D-CDEC94AEB871}"/>
    <cellStyle name="Millares 100 11 2 2 2 2" xfId="46328" xr:uid="{A1D85773-8BBB-40B8-9D21-3855C8BC41AA}"/>
    <cellStyle name="Millares 100 11 2 2 2 3" xfId="47137" xr:uid="{8794A793-4A8C-499E-8357-989337E9B128}"/>
    <cellStyle name="Millares 100 11 2 2 2 4" xfId="50367" xr:uid="{F8B0894D-3ED8-423B-A2C2-939948C49BC4}"/>
    <cellStyle name="Millares 100 11 2 2 3" xfId="14008" xr:uid="{43AD3593-CA8D-4DFE-BB1E-FD83C63B2EC7}"/>
    <cellStyle name="Millares 100 11 2 2 4" xfId="42094" xr:uid="{C5559ADF-9124-487C-A330-E51A81656450}"/>
    <cellStyle name="Millares 100 11 2 2 5" xfId="43932" xr:uid="{C34A6BA3-051A-4ADC-AC49-584FBA671D4C}"/>
    <cellStyle name="Millares 100 11 2 2 6" xfId="48825" xr:uid="{7C4178A6-1CD3-4000-9C28-D8A678455BED}"/>
    <cellStyle name="Millares 100 11 2 2 7" xfId="50221" xr:uid="{450D3C46-5FD8-4B07-A8A5-4F81BF5E7D1C}"/>
    <cellStyle name="Millares 100 11 2 2 8" xfId="50295" xr:uid="{2C64E817-A392-4162-AEA6-BAC3C860D326}"/>
    <cellStyle name="Millares 100 11 2 3" xfId="3366" xr:uid="{3E4945DF-142E-4582-90A0-11E9F6C8E1E0}"/>
    <cellStyle name="Millares 100 11 2 3 2" xfId="11616" xr:uid="{59F5D9EA-7E30-4D2C-8BE4-7D235337E625}"/>
    <cellStyle name="Millares 100 11 2 3 2 2" xfId="46776" xr:uid="{80909B77-6169-4C40-90E2-75D88B828CE1}"/>
    <cellStyle name="Millares 100 11 2 3 3" xfId="14456" xr:uid="{D6A173EE-80B0-4A4F-83CE-B2D005037828}"/>
    <cellStyle name="Millares 100 11 2 3 4" xfId="44380" xr:uid="{D68149D8-0CDD-4AB4-8CA3-691D6E524254}"/>
    <cellStyle name="Millares 100 11 2 3 5" xfId="49273" xr:uid="{AEA18A5E-1C22-4778-97A6-E6B97612AAA8}"/>
    <cellStyle name="Millares 100 11 2 3 6" xfId="50329" xr:uid="{5AF176B9-1A35-4BD7-8612-315AE9CA1984}"/>
    <cellStyle name="Millares 100 11 2 4" xfId="9638" xr:uid="{6AF716F5-FDC5-4D78-B909-8E2F9904AFD2}"/>
    <cellStyle name="Millares 100 11 2 4 2" xfId="12478" xr:uid="{9ED5269A-AB2F-415B-89E8-A0A56C315849}"/>
    <cellStyle name="Millares 100 11 2 4 3" xfId="15319" xr:uid="{A949515F-F350-4C9D-BBAB-D5A9396F5A43}"/>
    <cellStyle name="Millares 100 11 2 4 4" xfId="45366" xr:uid="{DB474B36-3603-40B4-99CD-D05F7B275DF3}"/>
    <cellStyle name="Millares 100 11 2 4 5" xfId="50135" xr:uid="{68FD0902-0A53-4D86-9ECE-451DA07B9656}"/>
    <cellStyle name="Millares 100 11 2 5" xfId="10206" xr:uid="{98EE147A-57C3-4EF2-89AA-AB3BE37815B4}"/>
    <cellStyle name="Millares 100 11 2 6" xfId="13046" xr:uid="{D3140F01-40AB-4261-AA40-B594358ABBE4}"/>
    <cellStyle name="Millares 100 11 2 7" xfId="16388" xr:uid="{A614B4C7-6AD1-40C5-B255-875504B9927C}"/>
    <cellStyle name="Millares 100 11 2 8" xfId="16932" xr:uid="{0595DFCE-8E53-4670-96E0-574DA8D20A8E}"/>
    <cellStyle name="Millares 100 11 2 9" xfId="17476" xr:uid="{5023C457-997A-4AA0-8D45-33AF99F27877}"/>
    <cellStyle name="Millares 100 11 3" xfId="46859" xr:uid="{BE073EA3-FF35-4B97-A6C9-3A3DB334153F}"/>
    <cellStyle name="Millares 100 11 3 2" xfId="47007" xr:uid="{106F9337-E6F3-4F91-9631-4CB97A54376D}"/>
    <cellStyle name="Millares 100 11 4" xfId="46860" xr:uid="{98638E54-0AEF-401A-A773-B6AD815C6ED0}"/>
    <cellStyle name="Millares 100 11 4 2" xfId="47045" xr:uid="{993C073F-ADAB-4DE1-8E04-7799508E1ADF}"/>
    <cellStyle name="Millares 100 2" xfId="23961" xr:uid="{ED682507-6FB8-4680-BE5E-7F6AF21DE82E}"/>
    <cellStyle name="Millares 100 3" xfId="29831" xr:uid="{3B8B2EFB-27CD-4BF0-AAA4-01F6E88DD972}"/>
    <cellStyle name="Millares 100 4" xfId="35713" xr:uid="{C4A6639D-9626-435D-980F-A68EA52CA735}"/>
    <cellStyle name="Millares 100 5" xfId="41572" xr:uid="{B472179D-9D07-4783-98BD-CE0358014747}"/>
    <cellStyle name="Millares 101" xfId="9602" xr:uid="{57976AED-E054-4F04-8CEE-4AB62CA4FAB6}"/>
    <cellStyle name="Millares 101 2" xfId="23962" xr:uid="{9D4971B4-66CC-4F8D-AF9E-5D691B5444C5}"/>
    <cellStyle name="Millares 101 3" xfId="29832" xr:uid="{A708D945-A794-4461-BAB0-C6615011F63A}"/>
    <cellStyle name="Millares 101 4" xfId="35714" xr:uid="{46ABFD70-4C65-4D5C-8D30-98AA2F03760B}"/>
    <cellStyle name="Millares 101 5" xfId="41573" xr:uid="{000EF8A7-3B95-4098-B31C-90528A8B7E27}"/>
    <cellStyle name="Millares 102" xfId="9603" xr:uid="{328FC9DA-6077-4A07-BDD4-95F43D9507F8}"/>
    <cellStyle name="Millares 102 2" xfId="23963" xr:uid="{DAC75177-41F6-4495-99B6-2137B9F63958}"/>
    <cellStyle name="Millares 102 3" xfId="29833" xr:uid="{38A76966-F880-4465-8D9C-F18731CD9A8D}"/>
    <cellStyle name="Millares 102 4" xfId="35715" xr:uid="{1C68C4A3-CFC2-4A12-AFAE-A1DA5EB78763}"/>
    <cellStyle name="Millares 102 5" xfId="41574" xr:uid="{3BADC12C-92CA-4040-971C-BB46B398B8F4}"/>
    <cellStyle name="Millares 103" xfId="9604" xr:uid="{EC78AE35-7793-439D-9A86-E0BE5C582557}"/>
    <cellStyle name="Millares 103 2" xfId="23964" xr:uid="{D6E49BB9-F9DB-4974-BF36-87898B171F73}"/>
    <cellStyle name="Millares 103 3" xfId="29834" xr:uid="{4019C876-CD74-4361-AF19-B022B312B903}"/>
    <cellStyle name="Millares 103 4" xfId="35716" xr:uid="{4B94594A-0ED6-4A7B-83B1-CDCF7F85B0D3}"/>
    <cellStyle name="Millares 103 5" xfId="41575" xr:uid="{DAE140B5-B269-4A1A-8683-43BED9500D38}"/>
    <cellStyle name="Millares 103 6" xfId="46861" xr:uid="{20D914AC-93F6-494D-8A02-8FA644424C5D}"/>
    <cellStyle name="Millares 104" xfId="9605" xr:uid="{B40141C4-96FD-45CF-A8BA-5D02A58E56CF}"/>
    <cellStyle name="Millares 104 2" xfId="23965" xr:uid="{8DE37987-B1B4-411C-A1F7-071EC401CD57}"/>
    <cellStyle name="Millares 104 3" xfId="29835" xr:uid="{B689A53E-524F-4192-9766-064446DEBDB5}"/>
    <cellStyle name="Millares 104 4" xfId="35717" xr:uid="{093D1296-F333-43F1-B66E-B07206F6F981}"/>
    <cellStyle name="Millares 104 5" xfId="41576" xr:uid="{BE218263-0795-41AC-84EF-81D4A65B778D}"/>
    <cellStyle name="Millares 105" xfId="9606" xr:uid="{77C4CEEA-8314-4DB2-971D-5E04AE7E6AEF}"/>
    <cellStyle name="Millares 105 2" xfId="23966" xr:uid="{1EF5EFE8-785B-4D4A-8D3E-9FF620DDCA46}"/>
    <cellStyle name="Millares 105 3" xfId="29836" xr:uid="{142933A4-292E-42D7-9758-4A41599B608F}"/>
    <cellStyle name="Millares 105 4" xfId="35718" xr:uid="{58DF8A07-851F-4CE6-A5DD-E48AB1EA0ED2}"/>
    <cellStyle name="Millares 105 5" xfId="41577" xr:uid="{47EF4C54-42EB-4174-A35E-FCB7FEDD06CC}"/>
    <cellStyle name="Millares 105 6" xfId="46862" xr:uid="{F8EA0B42-5E61-404B-8B28-D42091F25E3B}"/>
    <cellStyle name="Millares 106" xfId="9607" xr:uid="{EECDA23F-3E19-4B7A-9357-D375B0C8DC22}"/>
    <cellStyle name="Millares 106 2" xfId="23967" xr:uid="{95CF4F68-7625-4B13-843A-682FFA0BC838}"/>
    <cellStyle name="Millares 106 3" xfId="29837" xr:uid="{FC877A1C-B05F-4662-9ABB-EDAF52CB12E5}"/>
    <cellStyle name="Millares 106 4" xfId="35719" xr:uid="{B6DB5F29-976C-4D3F-BD0E-BDD28A94FF9B}"/>
    <cellStyle name="Millares 106 5" xfId="41578" xr:uid="{CF3D5016-86FE-4A99-90E5-A05170BF0B3D}"/>
    <cellStyle name="Millares 107" xfId="9608" xr:uid="{95555D61-DFEA-4C48-80E0-3C496BE0ADB8}"/>
    <cellStyle name="Millares 107 2" xfId="23968" xr:uid="{11943261-08ED-4A78-B865-52FA8D3F25DF}"/>
    <cellStyle name="Millares 107 3" xfId="29838" xr:uid="{A881D5BD-6F8E-4BE2-BAB7-FD8BF2643C98}"/>
    <cellStyle name="Millares 107 4" xfId="35720" xr:uid="{94616F8C-BB49-44D4-865F-101799ECEC70}"/>
    <cellStyle name="Millares 107 5" xfId="41579" xr:uid="{27EAAAEC-B3B4-4696-8314-0A27886FAC84}"/>
    <cellStyle name="Millares 107 6" xfId="46863" xr:uid="{C4617047-3BCE-4A60-B507-17837BF2EE37}"/>
    <cellStyle name="Millares 108" xfId="9609" xr:uid="{247DB2ED-AE5A-4997-AB55-4F0346D1A7C7}"/>
    <cellStyle name="Millares 108 2" xfId="23969" xr:uid="{43D7C533-AAA9-467C-8A65-D6AD26A3E629}"/>
    <cellStyle name="Millares 108 3" xfId="29839" xr:uid="{40588C35-F9B2-4CAC-A0D1-CB7BB8053A55}"/>
    <cellStyle name="Millares 108 4" xfId="35721" xr:uid="{F6985FAB-9ED3-42BA-B776-78B0547E7509}"/>
    <cellStyle name="Millares 108 5" xfId="41580" xr:uid="{462F97A4-784E-496A-9C91-925D73A97A38}"/>
    <cellStyle name="Millares 109" xfId="9610" xr:uid="{B1C70C9E-B725-4BB4-89A5-903C2173613C}"/>
    <cellStyle name="Millares 109 2" xfId="23970" xr:uid="{59BDE89D-20A2-435F-9A12-F36090530E5F}"/>
    <cellStyle name="Millares 109 3" xfId="29840" xr:uid="{43B3B2FA-BF95-46A8-AB93-BECFBB2F9F1D}"/>
    <cellStyle name="Millares 109 4" xfId="35722" xr:uid="{CE766DC7-5B80-4D7C-958B-D7B376E786A4}"/>
    <cellStyle name="Millares 109 5" xfId="41581" xr:uid="{BA3C25C0-38D4-4695-9F21-A1E250C71498}"/>
    <cellStyle name="Millares 109 6" xfId="46864" xr:uid="{3C3F3D9C-2F04-4832-986F-BCFA0355060C}"/>
    <cellStyle name="Millares 11" xfId="133" xr:uid="{00000000-0005-0000-0000-000098010000}"/>
    <cellStyle name="Millares 11 10" xfId="2936" xr:uid="{5A0A1EE4-04A7-4323-BDDF-3BFDDDAC6E75}"/>
    <cellStyle name="Millares 11 10 2" xfId="11207" xr:uid="{44C8F569-C1E0-41E1-AFE5-EE5D36D72EF8}"/>
    <cellStyle name="Millares 11 10 2 2" xfId="46367" xr:uid="{C772E530-9112-4072-A448-7E3BAE783FDF}"/>
    <cellStyle name="Millares 11 10 3" xfId="14047" xr:uid="{7DB485BD-49DB-42DF-B289-CB79A772EC64}"/>
    <cellStyle name="Millares 11 10 4" xfId="35969" xr:uid="{F10C5512-D719-4455-898F-027744D1B42C}"/>
    <cellStyle name="Millares 11 10 5" xfId="43971" xr:uid="{A47BB0C6-7ED7-4DBC-96CC-A62EA623E1CA}"/>
    <cellStyle name="Millares 11 10 6" xfId="48864" xr:uid="{30AFDC7A-4E65-48B4-897C-9BCB903188E5}"/>
    <cellStyle name="Millares 11 11" xfId="3396" xr:uid="{71A9D541-42DD-4B92-A618-9185B070473E}"/>
    <cellStyle name="Millares 11 11 2" xfId="46865" xr:uid="{B62A3332-A59A-42BA-A62E-8D4D86766657}"/>
    <cellStyle name="Millares 11 11 3" xfId="47061" xr:uid="{794EABF9-FECB-40A8-B012-707710451EB9}"/>
    <cellStyle name="Millares 11 12" xfId="3438" xr:uid="{8CBA7309-6691-4BCD-B820-11B15B740A30}"/>
    <cellStyle name="Millares 11 12 2" xfId="11679" xr:uid="{EB153212-5337-4E75-9B85-2683DAFA23F3}"/>
    <cellStyle name="Millares 11 12 3" xfId="14519" xr:uid="{9C029A0A-A7B4-473D-A566-B8E1E78C83B3}"/>
    <cellStyle name="Millares 11 12 4" xfId="44443" xr:uid="{FF44E7B2-6700-4A83-AFE8-76937543480F}"/>
    <cellStyle name="Millares 11 12 5" xfId="49336" xr:uid="{0D8E9B26-FD7E-4903-BF1D-DD4FFA6F75FC}"/>
    <cellStyle name="Millares 11 13" xfId="9701" xr:uid="{7BE6CE84-6E80-457C-AAC3-2009EFF98F75}"/>
    <cellStyle name="Millares 11 13 2" xfId="44861" xr:uid="{1A838E27-94D8-4756-9FAA-0524FD460ECE}"/>
    <cellStyle name="Millares 11 14" xfId="12541" xr:uid="{23A65657-B449-40B5-8480-0E7DE5DB26E1}"/>
    <cellStyle name="Millares 11 15" xfId="15884" xr:uid="{64E1C5DE-0159-48FC-87F7-DD985C80E6C9}"/>
    <cellStyle name="Millares 11 16" xfId="16427" xr:uid="{D0D1AC3C-D63D-4AA6-B40E-E8F38542D475}"/>
    <cellStyle name="Millares 11 17" xfId="16971" xr:uid="{AD4543F5-387A-4E5F-8DEE-CCDC5B649276}"/>
    <cellStyle name="Millares 11 18" xfId="18022" xr:uid="{20B46713-DDE6-444F-BFDE-F164A81ED7E0}"/>
    <cellStyle name="Millares 11 19" xfId="42144" xr:uid="{1FDE5514-E94C-4086-A90B-A081CAF26FAA}"/>
    <cellStyle name="Millares 11 2" xfId="207" xr:uid="{00000000-0005-0000-0000-000099010000}"/>
    <cellStyle name="Millares 11 2 10" xfId="9770" xr:uid="{DFB03CDE-580D-4EA6-A4FB-343FF2E1D445}"/>
    <cellStyle name="Millares 11 2 11" xfId="12610" xr:uid="{8A8582CA-CAA8-457A-9FB0-196CC575B0FA}"/>
    <cellStyle name="Millares 11 2 12" xfId="15953" xr:uid="{558F496E-A1B9-4C41-911C-4B69E3729561}"/>
    <cellStyle name="Millares 11 2 13" xfId="16496" xr:uid="{37EFFF0E-653B-4E40-BC45-AA983C8D1D61}"/>
    <cellStyle name="Millares 11 2 14" xfId="17040" xr:uid="{C23413AF-E740-4A51-BE18-0DE4526ECCDF}"/>
    <cellStyle name="Millares 11 2 15" xfId="18067" xr:uid="{2FFFC8D4-7B76-4511-B641-86A531089DC7}"/>
    <cellStyle name="Millares 11 2 16" xfId="42534" xr:uid="{7D01D94C-52DD-40F2-8C5C-4A7D51ABBC46}"/>
    <cellStyle name="Millares 11 2 17" xfId="47427" xr:uid="{536E33A1-15D6-4BF7-B4BF-B42BBB6B4EF5}"/>
    <cellStyle name="Millares 11 2 2" xfId="316" xr:uid="{00000000-0005-0000-0000-00009A010000}"/>
    <cellStyle name="Millares 11 2 2 10" xfId="16057" xr:uid="{259B012B-3708-4EF3-A467-FAEF7C052017}"/>
    <cellStyle name="Millares 11 2 2 11" xfId="16600" xr:uid="{EB5BB301-D62D-4779-A939-A24615E2273E}"/>
    <cellStyle name="Millares 11 2 2 12" xfId="17144" xr:uid="{5218C4AC-3658-4131-BC24-06BE4A0511BF}"/>
    <cellStyle name="Millares 11 2 2 13" xfId="17845" xr:uid="{066C26B3-D409-4F66-9924-E935108E6056}"/>
    <cellStyle name="Millares 11 2 2 14" xfId="42638" xr:uid="{33CE8D7F-E45B-480F-AE12-9A7F9D9CC281}"/>
    <cellStyle name="Millares 11 2 2 15" xfId="47531" xr:uid="{211682D1-ACE5-412A-BE46-BB762DD41542}"/>
    <cellStyle name="Millares 11 2 2 2" xfId="543" xr:uid="{00000000-0005-0000-0000-00009B010000}"/>
    <cellStyle name="Millares 11 2 2 2 10" xfId="16812" xr:uid="{FEC4BA0F-CBD9-4705-BEA8-0C338D3B3F57}"/>
    <cellStyle name="Millares 11 2 2 2 11" xfId="17356" xr:uid="{05F36E0C-6A57-4DCB-81D6-F82A6DBD596F}"/>
    <cellStyle name="Millares 11 2 2 2 12" xfId="17979" xr:uid="{2F090ED3-876D-466C-BF8E-97F2E422EEA3}"/>
    <cellStyle name="Millares 11 2 2 2 13" xfId="42850" xr:uid="{52CD4108-90C5-49CE-A6EA-89B6BFD38C91}"/>
    <cellStyle name="Millares 11 2 2 2 14" xfId="47743" xr:uid="{BDBA1CDE-8316-4379-85FE-8A3F06EB39F7}"/>
    <cellStyle name="Millares 11 2 2 2 2" xfId="2359" xr:uid="{3841A814-2035-465E-85EE-181D84EA9945}"/>
    <cellStyle name="Millares 11 2 2 2 2 2" xfId="8481" xr:uid="{EA062C44-C0FC-4DA6-B4F2-FA3F713E6A5B}"/>
    <cellStyle name="Millares 11 2 2 2 2 2 2" xfId="45790" xr:uid="{8717436F-37E2-4DCA-AE2D-387B2DB82E00}"/>
    <cellStyle name="Millares 11 2 2 2 2 3" xfId="10630" xr:uid="{8D6EC7B4-A5F1-4363-9E88-853EEFDC0B38}"/>
    <cellStyle name="Millares 11 2 2 2 2 3 2" xfId="28714" xr:uid="{42DF01BD-A49B-4C49-8316-DD441FC8B17E}"/>
    <cellStyle name="Millares 11 2 2 2 2 4" xfId="13470" xr:uid="{6204C1FD-748F-4CDA-ABCD-F2D80AED8A7A}"/>
    <cellStyle name="Millares 11 2 2 2 2 4 2" xfId="34596" xr:uid="{534BD15A-8023-4892-B41C-E32D40096F22}"/>
    <cellStyle name="Millares 11 2 2 2 2 5" xfId="40460" xr:uid="{615A3113-43DC-4A4A-A5D1-BB3FB51CF5D3}"/>
    <cellStyle name="Millares 11 2 2 2 2 6" xfId="43394" xr:uid="{CA48D8EA-C009-4878-A8F9-6DC0168361D1}"/>
    <cellStyle name="Millares 11 2 2 2 2 7" xfId="48287" xr:uid="{72183514-A441-44CA-A827-58C101322B12}"/>
    <cellStyle name="Millares 11 2 2 2 3" xfId="2777" xr:uid="{6678CBFF-604F-4EC9-A9D3-170D29118C39}"/>
    <cellStyle name="Millares 11 2 2 2 3 2" xfId="11048" xr:uid="{D215A71B-9028-4C07-8D0E-BE949FAE8F08}"/>
    <cellStyle name="Millares 11 2 2 2 3 2 2" xfId="46208" xr:uid="{FFED8972-F8AB-4293-AB7F-92CBD2EA202F}"/>
    <cellStyle name="Millares 11 2 2 2 3 3" xfId="13888" xr:uid="{96D91A6C-8A44-4C54-B29A-0C6EAA6AA30C}"/>
    <cellStyle name="Millares 11 2 2 2 3 4" xfId="20073" xr:uid="{09AB3F5D-92DC-47EC-A31E-D7FA963F04E5}"/>
    <cellStyle name="Millares 11 2 2 2 3 5" xfId="43812" xr:uid="{244DFCE1-6D35-4DA6-980D-545041A8E51C}"/>
    <cellStyle name="Millares 11 2 2 2 3 6" xfId="48705" xr:uid="{C7D15644-DFC5-430A-8274-095C093F2E9E}"/>
    <cellStyle name="Millares 11 2 2 2 4" xfId="3321" xr:uid="{CD32B488-1B2F-4103-B63E-285A2F71994E}"/>
    <cellStyle name="Millares 11 2 2 2 4 2" xfId="11592" xr:uid="{8E78AACD-8147-4C8A-80A0-101D95954230}"/>
    <cellStyle name="Millares 11 2 2 2 4 2 2" xfId="46752" xr:uid="{259AF20C-52AF-4172-94B5-867945772383}"/>
    <cellStyle name="Millares 11 2 2 2 4 3" xfId="14432" xr:uid="{54BC2F5D-3DC6-4174-8C6B-C79CD8E760CC}"/>
    <cellStyle name="Millares 11 2 2 2 4 4" xfId="25865" xr:uid="{594F269A-E359-48BE-9CA0-1D604C215F79}"/>
    <cellStyle name="Millares 11 2 2 2 4 5" xfId="44356" xr:uid="{F85D01AD-06F4-4625-BD4C-96D8478E4AA2}"/>
    <cellStyle name="Millares 11 2 2 2 4 6" xfId="49249" xr:uid="{B2E0E81E-AD94-4D91-9B21-F470AE08F9A0}"/>
    <cellStyle name="Millares 11 2 2 2 5" xfId="3823" xr:uid="{F54A2971-B4F7-467B-B6E8-AE205A0B8700}"/>
    <cellStyle name="Millares 11 2 2 2 5 2" xfId="12064" xr:uid="{645D6569-B599-4322-8908-0F8255A81951}"/>
    <cellStyle name="Millares 11 2 2 2 5 3" xfId="14904" xr:uid="{68B86E76-A239-4A23-9B13-4781FEA8E898}"/>
    <cellStyle name="Millares 11 2 2 2 5 4" xfId="31739" xr:uid="{4A84590D-A5DE-40B7-8EFD-6DDB739AB1B9}"/>
    <cellStyle name="Millares 11 2 2 2 5 5" xfId="44828" xr:uid="{C95DBF6F-5ABE-45DB-9474-CF700136FFE0}"/>
    <cellStyle name="Millares 11 2 2 2 5 6" xfId="49721" xr:uid="{0C968D28-4263-480C-893F-F70D7A8BA839}"/>
    <cellStyle name="Millares 11 2 2 2 6" xfId="5614" xr:uid="{042785E2-1CCE-42FD-84CE-8DDDD4615A7A}"/>
    <cellStyle name="Millares 11 2 2 2 6 2" xfId="45246" xr:uid="{515A063D-2875-4519-B345-280C734A85C9}"/>
    <cellStyle name="Millares 11 2 2 2 7" xfId="10086" xr:uid="{7EC6A018-2AF3-4E61-8616-F132572AF756}"/>
    <cellStyle name="Millares 11 2 2 2 8" xfId="12926" xr:uid="{76AE3FF4-7D27-4BAC-BF47-465B3573C8F2}"/>
    <cellStyle name="Millares 11 2 2 2 9" xfId="16269" xr:uid="{17BA1B95-B9A3-4E4E-9A13-6E5F5BF0C8A1}"/>
    <cellStyle name="Millares 11 2 2 3" xfId="2147" xr:uid="{3AE384AC-71B3-4821-9C3B-6958A6A4B892}"/>
    <cellStyle name="Millares 11 2 2 3 2" xfId="7509" xr:uid="{7C21E480-9312-4ECF-B3C9-4106FFF96501}"/>
    <cellStyle name="Millares 11 2 2 3 2 2" xfId="45578" xr:uid="{0D5447E9-E585-4CF5-B17F-6065BA49F4D3}"/>
    <cellStyle name="Millares 11 2 2 3 3" xfId="10418" xr:uid="{3C9ED530-6DF6-4669-B915-81C907C96658}"/>
    <cellStyle name="Millares 11 2 2 3 3 2" xfId="27743" xr:uid="{0EEFACBA-15EC-49CC-BA2F-F53329AD5A1A}"/>
    <cellStyle name="Millares 11 2 2 3 4" xfId="13258" xr:uid="{5CB3E34E-81A5-4610-AF9B-2C6333C2F10E}"/>
    <cellStyle name="Millares 11 2 2 3 4 2" xfId="33625" xr:uid="{969B7BEC-CD17-4B5F-88D2-8550A950BD91}"/>
    <cellStyle name="Millares 11 2 2 3 5" xfId="39489" xr:uid="{EDDF003A-661D-442C-BEED-FAD43D6E117F}"/>
    <cellStyle name="Millares 11 2 2 3 6" xfId="43182" xr:uid="{B4CD30F2-43C7-4F6C-A101-11B243A98502}"/>
    <cellStyle name="Millares 11 2 2 3 7" xfId="48075" xr:uid="{E0F12ED1-DE63-4C94-B398-AF8181028B21}"/>
    <cellStyle name="Millares 11 2 2 4" xfId="2565" xr:uid="{152AC88C-7949-427E-99D3-194F71904851}"/>
    <cellStyle name="Millares 11 2 2 4 2" xfId="10836" xr:uid="{578B4EED-81EC-4ECF-B4C2-A487014E3A0A}"/>
    <cellStyle name="Millares 11 2 2 4 2 2" xfId="45996" xr:uid="{951BEC16-B107-4250-A2E8-DD5BE7E168FF}"/>
    <cellStyle name="Millares 11 2 2 4 3" xfId="13676" xr:uid="{2C3EDA3D-D343-4B0B-B018-A51782D45562}"/>
    <cellStyle name="Millares 11 2 2 4 4" xfId="19140" xr:uid="{E7C53624-8912-4CD1-9ED7-9928B77A6A72}"/>
    <cellStyle name="Millares 11 2 2 4 5" xfId="43600" xr:uid="{4DE8E184-D709-437A-904A-9C4EE390A794}"/>
    <cellStyle name="Millares 11 2 2 4 6" xfId="48493" xr:uid="{8E734590-EE49-48C8-822E-AF30141E57E3}"/>
    <cellStyle name="Millares 11 2 2 5" xfId="3109" xr:uid="{997921A3-7FFD-43B7-ABDB-3D6CA29E9652}"/>
    <cellStyle name="Millares 11 2 2 5 2" xfId="11380" xr:uid="{F711B058-3A48-4364-BF1B-125564727137}"/>
    <cellStyle name="Millares 11 2 2 5 2 2" xfId="46540" xr:uid="{F2DA317E-FD02-43C6-95AA-1D00F993350D}"/>
    <cellStyle name="Millares 11 2 2 5 3" xfId="14220" xr:uid="{C1E80A1A-D634-4B80-8A33-B6271DC33CF8}"/>
    <cellStyle name="Millares 11 2 2 5 4" xfId="24894" xr:uid="{DDE0F5ED-2202-47D3-8083-6F080C8EB96E}"/>
    <cellStyle name="Millares 11 2 2 5 5" xfId="44144" xr:uid="{4C058FE0-5892-4672-9CC1-F1445099386D}"/>
    <cellStyle name="Millares 11 2 2 5 6" xfId="49037" xr:uid="{FFB94043-32D3-4CEB-AA02-A662FD6B4578}"/>
    <cellStyle name="Millares 11 2 2 6" xfId="3611" xr:uid="{876BF9AC-0C54-4E90-BD6B-9D8B289A8B01}"/>
    <cellStyle name="Millares 11 2 2 6 2" xfId="11852" xr:uid="{9A2FEF3B-5D47-49C8-AF49-2BED91F79FA3}"/>
    <cellStyle name="Millares 11 2 2 6 3" xfId="14692" xr:uid="{CF7209EB-60C7-4DCC-BF93-88382F636947}"/>
    <cellStyle name="Millares 11 2 2 6 4" xfId="30770" xr:uid="{4987FE56-96DE-413B-9462-2C3FF30F1DC2}"/>
    <cellStyle name="Millares 11 2 2 6 5" xfId="44616" xr:uid="{D37B53DD-A67E-421B-915A-6BB2E1B6D617}"/>
    <cellStyle name="Millares 11 2 2 6 6" xfId="49509" xr:uid="{B606F7B8-CBE4-4B6D-82B8-BA6CB3CCB6DF}"/>
    <cellStyle name="Millares 11 2 2 7" xfId="4646" xr:uid="{A356379C-4CF0-4ADB-9BC7-09AF356E3FF2}"/>
    <cellStyle name="Millares 11 2 2 7 2" xfId="45034" xr:uid="{011EE064-FE9A-4500-BCA2-5ED9342741F4}"/>
    <cellStyle name="Millares 11 2 2 8" xfId="9874" xr:uid="{C53F5F53-D7D1-470C-9DB1-3EA58B921224}"/>
    <cellStyle name="Millares 11 2 2 9" xfId="12714" xr:uid="{9EFC0D0E-FA03-4916-A116-5F5627D3B403}"/>
    <cellStyle name="Millares 11 2 3" xfId="442" xr:uid="{00000000-0005-0000-0000-00009C010000}"/>
    <cellStyle name="Millares 11 2 3 10" xfId="16712" xr:uid="{9C540404-0DF6-410E-B298-B349D6E79BD5}"/>
    <cellStyle name="Millares 11 2 3 11" xfId="17256" xr:uid="{AD6B1A79-E3F5-48F7-8E79-B33B4C596806}"/>
    <cellStyle name="Millares 11 2 3 12" xfId="22122" xr:uid="{D0E940C5-09A3-4211-ACB6-C41D4EA85EAE}"/>
    <cellStyle name="Millares 11 2 3 13" xfId="42750" xr:uid="{4D9848D7-6027-4E22-9322-9F650DF50A0D}"/>
    <cellStyle name="Millares 11 2 3 14" xfId="47643" xr:uid="{42CB9B14-3DA1-4BCE-B714-7F58802B6297}"/>
    <cellStyle name="Millares 11 2 3 2" xfId="2259" xr:uid="{EEC6EB63-F931-4D37-951D-8BA253A7E223}"/>
    <cellStyle name="Millares 11 2 3 2 2" xfId="7996" xr:uid="{0D19D041-9990-4CB0-B53A-AE25AC7D3DC2}"/>
    <cellStyle name="Millares 11 2 3 2 2 2" xfId="45690" xr:uid="{612F3F77-F1C8-44EB-A754-5162456F62D4}"/>
    <cellStyle name="Millares 11 2 3 2 3" xfId="10530" xr:uid="{B6E021DC-32CD-4430-A116-DE66119E79E1}"/>
    <cellStyle name="Millares 11 2 3 2 3 2" xfId="28229" xr:uid="{AB18B3B1-E3F8-45D3-959B-573284B496BC}"/>
    <cellStyle name="Millares 11 2 3 2 4" xfId="13370" xr:uid="{6A7C4E61-A89A-483B-8625-AAB47278A914}"/>
    <cellStyle name="Millares 11 2 3 2 4 2" xfId="34111" xr:uid="{4602F655-8A62-432E-8E02-5FFBBBDFAD8D}"/>
    <cellStyle name="Millares 11 2 3 2 5" xfId="39975" xr:uid="{51184774-C409-4CEF-8151-E20223BC2040}"/>
    <cellStyle name="Millares 11 2 3 2 6" xfId="43294" xr:uid="{B0B1FE27-06DA-49D8-83AA-51CA65AC5A50}"/>
    <cellStyle name="Millares 11 2 3 2 7" xfId="48187" xr:uid="{433A3BB1-0F41-4F39-9226-FEF8DF80BF59}"/>
    <cellStyle name="Millares 11 2 3 3" xfId="2677" xr:uid="{CC5F0E98-E300-4CD4-9D2E-ED7448AE3D48}"/>
    <cellStyle name="Millares 11 2 3 3 2" xfId="10948" xr:uid="{2FDB8D87-9075-4081-8D5B-8DE8C0895862}"/>
    <cellStyle name="Millares 11 2 3 3 2 2" xfId="46108" xr:uid="{C87D05D5-4A27-43C9-808B-BB56878925CA}"/>
    <cellStyle name="Millares 11 2 3 3 3" xfId="13788" xr:uid="{76FBF212-59BD-416E-ACD5-66538E82754D}"/>
    <cellStyle name="Millares 11 2 3 3 4" xfId="19604" xr:uid="{1FB2ECC7-BC24-4D90-BE1B-DAB487E7997C}"/>
    <cellStyle name="Millares 11 2 3 3 5" xfId="43712" xr:uid="{5D87B926-F53F-4BC6-AD80-BAB96EBC2C91}"/>
    <cellStyle name="Millares 11 2 3 3 6" xfId="48605" xr:uid="{885648B6-CF69-491C-A522-F2094D09648B}"/>
    <cellStyle name="Millares 11 2 3 4" xfId="3221" xr:uid="{FC5EBABE-2B70-49A3-BCFA-41FC084C58E7}"/>
    <cellStyle name="Millares 11 2 3 4 2" xfId="11492" xr:uid="{41679AD2-8949-41C8-A5F3-DDD9B0EBAFDF}"/>
    <cellStyle name="Millares 11 2 3 4 2 2" xfId="46652" xr:uid="{DADA1062-0AED-4DC8-9690-9D59C00C9FE4}"/>
    <cellStyle name="Millares 11 2 3 4 3" xfId="14332" xr:uid="{38F054ED-A086-4FCA-B953-BD814ED1571E}"/>
    <cellStyle name="Millares 11 2 3 4 4" xfId="25380" xr:uid="{F0109C16-EA45-4070-AB37-0FFE9DAC9D91}"/>
    <cellStyle name="Millares 11 2 3 4 5" xfId="44256" xr:uid="{89DDB093-AA2D-4168-9A71-F9D8FFD9A975}"/>
    <cellStyle name="Millares 11 2 3 4 6" xfId="49149" xr:uid="{C6AE6DD4-59EC-4880-A4FA-7615449F50C8}"/>
    <cellStyle name="Millares 11 2 3 5" xfId="3723" xr:uid="{298EE3F6-AA3B-43A8-8B83-49D969CCEF0E}"/>
    <cellStyle name="Millares 11 2 3 5 2" xfId="11964" xr:uid="{3C2ACF9C-E8AC-4719-8A09-EEAC405D40D5}"/>
    <cellStyle name="Millares 11 2 3 5 3" xfId="14804" xr:uid="{72B60375-AA42-40AB-ADE0-4AEBF50A2FB1}"/>
    <cellStyle name="Millares 11 2 3 5 4" xfId="31254" xr:uid="{6794D867-FA44-4C0E-ADA9-5C79730F0150}"/>
    <cellStyle name="Millares 11 2 3 5 5" xfId="44728" xr:uid="{C1C74023-20B1-4AE9-AC91-EDE991A77E2D}"/>
    <cellStyle name="Millares 11 2 3 5 6" xfId="49621" xr:uid="{869FF6F3-85C0-462B-BF4F-4706CD7785EC}"/>
    <cellStyle name="Millares 11 2 3 6" xfId="5129" xr:uid="{EA0087C1-C0D2-4B19-AB50-356409969A11}"/>
    <cellStyle name="Millares 11 2 3 6 2" xfId="45146" xr:uid="{0F58F4D4-154D-4C78-9CB5-BFB8E7B82776}"/>
    <cellStyle name="Millares 11 2 3 7" xfId="9986" xr:uid="{8EBB5B97-B903-4E1D-A642-C04E835F5277}"/>
    <cellStyle name="Millares 11 2 3 8" xfId="12826" xr:uid="{B473324E-27C9-4239-AB50-60914BE88FB8}"/>
    <cellStyle name="Millares 11 2 3 9" xfId="16169" xr:uid="{150F51E1-3CB1-4F22-90F4-F3E1D9E468FB}"/>
    <cellStyle name="Millares 11 2 4" xfId="645" xr:uid="{00000000-0005-0000-0000-00009D010000}"/>
    <cellStyle name="Millares 11 2 4 10" xfId="42952" xr:uid="{A6E096BF-01DD-45A9-963A-E1E4BE28EDAE}"/>
    <cellStyle name="Millares 11 2 4 11" xfId="47845" xr:uid="{46BC0FFC-BC70-4DCD-BF78-60287DBFADEC}"/>
    <cellStyle name="Millares 11 2 4 2" xfId="2879" xr:uid="{00468126-4C94-4E87-B6D4-7DE801971B93}"/>
    <cellStyle name="Millares 11 2 4 2 2" xfId="11150" xr:uid="{72459BDB-BD65-4912-AAAE-7A3080B17D0C}"/>
    <cellStyle name="Millares 11 2 4 2 2 2" xfId="46310" xr:uid="{D365B977-381E-4DB4-BF9D-ED44A87D270B}"/>
    <cellStyle name="Millares 11 2 4 2 3" xfId="13990" xr:uid="{796FE8EC-E89A-4120-9163-9834361732E8}"/>
    <cellStyle name="Millares 11 2 4 2 4" xfId="21441" xr:uid="{C548C27D-42FD-46D7-9871-4F46361F2507}"/>
    <cellStyle name="Millares 11 2 4 2 5" xfId="43914" xr:uid="{C3FB302D-A02C-4A1E-A1CD-04942E9D7D55}"/>
    <cellStyle name="Millares 11 2 4 2 6" xfId="48807" xr:uid="{A7A5DDC8-AC9C-4978-B348-AA7E8743BB85}"/>
    <cellStyle name="Millares 11 2 4 3" xfId="7024" xr:uid="{958C7032-5A68-43CE-B6B1-FE97F1157104}"/>
    <cellStyle name="Millares 11 2 4 3 2" xfId="45348" xr:uid="{5F1257DA-D106-4A27-B75A-41FD94CF9376}"/>
    <cellStyle name="Millares 11 2 4 4" xfId="10188" xr:uid="{61EE48F3-6EC1-42D7-9B2F-9383697C831A}"/>
    <cellStyle name="Millares 11 2 4 4 2" xfId="33140" xr:uid="{4A0295A3-5513-4A15-B9DF-7619678164A3}"/>
    <cellStyle name="Millares 11 2 4 5" xfId="13028" xr:uid="{3AF61748-FB24-40B3-A60A-8A2DF806AA27}"/>
    <cellStyle name="Millares 11 2 4 5 2" xfId="39004" xr:uid="{28462258-FC5C-4513-9A0D-FE4507086058}"/>
    <cellStyle name="Millares 11 2 4 6" xfId="16371" xr:uid="{A0ECA22B-521A-4D11-8485-EB08208928A7}"/>
    <cellStyle name="Millares 11 2 4 7" xfId="16914" xr:uid="{89D05863-8C83-49CE-B10E-BB7F66CA3205}"/>
    <cellStyle name="Millares 11 2 4 8" xfId="17458" xr:uid="{B0253EFF-5F8C-466F-8DE8-88EF48F4E59E}"/>
    <cellStyle name="Millares 11 2 4 9" xfId="17762" xr:uid="{A6C8BEA9-CE76-489C-81E6-F1E882A5F471}"/>
    <cellStyle name="Millares 11 2 5" xfId="2043" xr:uid="{4E7ED54A-D425-4E9B-A1DD-CDDF268F6675}"/>
    <cellStyle name="Millares 11 2 5 2" xfId="10314" xr:uid="{E0CA4164-AF05-43DC-805F-B13366608186}"/>
    <cellStyle name="Millares 11 2 5 2 2" xfId="45474" xr:uid="{87D4B41B-83F4-4B8B-8B72-F8034EA9556B}"/>
    <cellStyle name="Millares 11 2 5 3" xfId="13154" xr:uid="{99A8A4A5-E51F-4EBA-ADC8-A919F253876D}"/>
    <cellStyle name="Millares 11 2 5 4" xfId="18696" xr:uid="{5C9492CE-0388-4FD2-A81D-361A8AB9265B}"/>
    <cellStyle name="Millares 11 2 5 5" xfId="43078" xr:uid="{68AC4A27-2286-4D2A-9A0A-49AFA66F1232}"/>
    <cellStyle name="Millares 11 2 5 6" xfId="47971" xr:uid="{B28AA467-05FA-46E4-A8B2-3A60DE2BF3E5}"/>
    <cellStyle name="Millares 11 2 6" xfId="2461" xr:uid="{D49A9027-F565-4E6C-98FF-16B0DA0F7172}"/>
    <cellStyle name="Millares 11 2 6 2" xfId="10732" xr:uid="{915535DC-E131-47F9-8DB7-6317FB102647}"/>
    <cellStyle name="Millares 11 2 6 2 2" xfId="45892" xr:uid="{878A466D-6A00-4907-A83F-3AAD438220A6}"/>
    <cellStyle name="Millares 11 2 6 3" xfId="13572" xr:uid="{5274A034-4629-44C0-9829-8B3C829FDA05}"/>
    <cellStyle name="Millares 11 2 6 4" xfId="24411" xr:uid="{84C27260-D1E2-4F49-A18A-E8FA76742774}"/>
    <cellStyle name="Millares 11 2 6 5" xfId="43496" xr:uid="{72A5D416-832A-4758-A848-C668AF16905A}"/>
    <cellStyle name="Millares 11 2 6 6" xfId="48389" xr:uid="{0A9F4AA6-E1C2-4434-B6F8-EF0AC5BA1E8F}"/>
    <cellStyle name="Millares 11 2 7" xfId="3005" xr:uid="{349D6F16-C87D-483E-9B97-509E776F30C2}"/>
    <cellStyle name="Millares 11 2 7 2" xfId="11276" xr:uid="{EA09D135-710D-48B8-8870-2F9A4C65C7DD}"/>
    <cellStyle name="Millares 11 2 7 2 2" xfId="46436" xr:uid="{60D7B12F-FDFE-494B-9B93-961FB4808FBA}"/>
    <cellStyle name="Millares 11 2 7 3" xfId="14116" xr:uid="{6B1A0C8E-AEA6-4979-8247-C9A88614D21B}"/>
    <cellStyle name="Millares 11 2 7 4" xfId="30288" xr:uid="{3DB9C249-94F8-4621-BA68-527F57C29F88}"/>
    <cellStyle name="Millares 11 2 7 5" xfId="44040" xr:uid="{049CC020-B9B3-4173-88B4-7468F4519738}"/>
    <cellStyle name="Millares 11 2 7 6" xfId="48933" xr:uid="{79A76FC2-E81A-4B2F-88C1-9DE2C1B33BF4}"/>
    <cellStyle name="Millares 11 2 8" xfId="3507" xr:uid="{6FE4D3CE-F5CA-42AF-8F9D-B4A9B4811CD0}"/>
    <cellStyle name="Millares 11 2 8 2" xfId="11748" xr:uid="{949BB34F-6AAB-4ECE-A74C-AD73DAB59EF2}"/>
    <cellStyle name="Millares 11 2 8 3" xfId="14588" xr:uid="{ACAF2E98-138F-4929-AF19-D49875BF855F}"/>
    <cellStyle name="Millares 11 2 8 4" xfId="36168" xr:uid="{B4AA509B-23C3-401E-8431-ED03877400F9}"/>
    <cellStyle name="Millares 11 2 8 5" xfId="44512" xr:uid="{A637F1EE-083A-4CF6-9670-07FFB1D35BAF}"/>
    <cellStyle name="Millares 11 2 8 6" xfId="49405" xr:uid="{1C3E56B5-DD1B-490E-8595-7ED64EFAACE1}"/>
    <cellStyle name="Millares 11 2 9" xfId="4168" xr:uid="{720FB5D6-5CC9-4A47-9007-C54ACBF6A1C1}"/>
    <cellStyle name="Millares 11 2 9 2" xfId="44930" xr:uid="{954C2479-8823-4DC7-A39F-DF2541BE0E45}"/>
    <cellStyle name="Millares 11 20" xfId="42465" xr:uid="{172958B0-7803-4BB3-9ECF-017A0E639BBD}"/>
    <cellStyle name="Millares 11 21" xfId="47358" xr:uid="{D778187E-4E8E-4578-8A91-6703431B23D8}"/>
    <cellStyle name="Millares 11 22" xfId="50318" xr:uid="{213DEB7F-FEAA-4339-9C77-18290AC89C9D}"/>
    <cellStyle name="Millares 11 3" xfId="161" xr:uid="{00000000-0005-0000-0000-00009E010000}"/>
    <cellStyle name="Millares 11 3 10" xfId="9729" xr:uid="{337844EE-9762-4DFE-8E05-4A0CC57B6C01}"/>
    <cellStyle name="Millares 11 3 11" xfId="12569" xr:uid="{31FEA969-37C0-4ED9-90EA-C728FD2CA47D}"/>
    <cellStyle name="Millares 11 3 12" xfId="15912" xr:uid="{743AF6C2-8B99-490B-9AB5-F3193FE08D84}"/>
    <cellStyle name="Millares 11 3 13" xfId="16455" xr:uid="{52482A57-C3C6-4A1F-8BF2-6B54697B712D}"/>
    <cellStyle name="Millares 11 3 14" xfId="16999" xr:uid="{64CD94EA-76AE-4777-A3A7-EB2ED2F5CFE4}"/>
    <cellStyle name="Millares 11 3 15" xfId="18227" xr:uid="{725BE6B9-09A7-4C86-A6C8-B1B7C7271490}"/>
    <cellStyle name="Millares 11 3 16" xfId="42493" xr:uid="{11AA34C0-B025-4386-988E-CA3E8ED6523D}"/>
    <cellStyle name="Millares 11 3 17" xfId="47386" xr:uid="{BFAC2CB8-A835-4C20-94F1-88F85C800128}"/>
    <cellStyle name="Millares 11 3 2" xfId="275" xr:uid="{00000000-0005-0000-0000-00009F010000}"/>
    <cellStyle name="Millares 11 3 2 10" xfId="16016" xr:uid="{D03BEB47-EC0D-439B-AECC-D78E4B7CCF33}"/>
    <cellStyle name="Millares 11 3 2 11" xfId="16559" xr:uid="{C56301D5-6BCF-4560-8052-C8E3ACA487CB}"/>
    <cellStyle name="Millares 11 3 2 12" xfId="17103" xr:uid="{959A2B75-9898-4D5D-87C6-D305A746225E}"/>
    <cellStyle name="Millares 11 3 2 13" xfId="18251" xr:uid="{FDFFF832-B76F-4FC8-9E34-B16BAC858FAE}"/>
    <cellStyle name="Millares 11 3 2 14" xfId="42597" xr:uid="{99F3D9B0-B099-43F7-8E62-D7D2667237CB}"/>
    <cellStyle name="Millares 11 3 2 15" xfId="47490" xr:uid="{344B187E-1E6A-487A-84DA-215FD5B1B808}"/>
    <cellStyle name="Millares 11 3 2 2" xfId="502" xr:uid="{00000000-0005-0000-0000-0000A0010000}"/>
    <cellStyle name="Millares 11 3 2 2 10" xfId="16771" xr:uid="{B521E01C-1541-4756-A651-E46E3177CFDD}"/>
    <cellStyle name="Millares 11 3 2 2 11" xfId="17315" xr:uid="{76303D1D-44D8-46D7-BA30-A4381CA5DB59}"/>
    <cellStyle name="Millares 11 3 2 2 12" xfId="17582" xr:uid="{E2D5A3EE-F417-4312-93DA-830F349BC9D6}"/>
    <cellStyle name="Millares 11 3 2 2 13" xfId="42809" xr:uid="{58D5DF35-22C1-4D7F-8A37-39BD7C015862}"/>
    <cellStyle name="Millares 11 3 2 2 14" xfId="47702" xr:uid="{6A4018E6-2F47-40A1-8ACC-7EDC5801CB83}"/>
    <cellStyle name="Millares 11 3 2 2 2" xfId="2318" xr:uid="{61B4FAB9-23CF-42AC-B202-A76F135C4D66}"/>
    <cellStyle name="Millares 11 3 2 2 2 2" xfId="10589" xr:uid="{D800AC0A-73DE-423E-87AC-229EBE632F3E}"/>
    <cellStyle name="Millares 11 3 2 2 2 2 2" xfId="45749" xr:uid="{C9CA92BB-F2B7-4532-AEB3-29ECB432DCAC}"/>
    <cellStyle name="Millares 11 3 2 2 2 3" xfId="13429" xr:uid="{50010FBF-1465-4210-91B0-CBD281EA3C76}"/>
    <cellStyle name="Millares 11 3 2 2 2 4" xfId="22661" xr:uid="{F2DBA028-6825-4FF9-AA89-C9C3AC9E9538}"/>
    <cellStyle name="Millares 11 3 2 2 2 5" xfId="43353" xr:uid="{BCB8C694-2522-4F10-8B61-EAA4D6327B82}"/>
    <cellStyle name="Millares 11 3 2 2 2 6" xfId="48246" xr:uid="{F9E862EE-178F-404C-994C-0B648B0A2E75}"/>
    <cellStyle name="Millares 11 3 2 2 3" xfId="2736" xr:uid="{60898F64-ECA4-4A79-8539-0DE0C6BFAE81}"/>
    <cellStyle name="Millares 11 3 2 2 3 2" xfId="11007" xr:uid="{A54CC7C5-64FB-48D7-9354-81344D8BF12E}"/>
    <cellStyle name="Millares 11 3 2 2 3 2 2" xfId="46167" xr:uid="{A99ECC04-7247-4E3F-A3B6-5F6F65AA7911}"/>
    <cellStyle name="Millares 11 3 2 2 3 3" xfId="13847" xr:uid="{7FF0F269-6085-417C-93E9-DE83D25C0C29}"/>
    <cellStyle name="Millares 11 3 2 2 3 4" xfId="28518" xr:uid="{D9195FD5-CEF9-4776-BB24-4458F33DE3B7}"/>
    <cellStyle name="Millares 11 3 2 2 3 5" xfId="43771" xr:uid="{D5E2DA30-9DA5-4A1F-9E0C-5CBFEB425620}"/>
    <cellStyle name="Millares 11 3 2 2 3 6" xfId="48664" xr:uid="{67D29751-7590-4C86-97F7-898FA66DD885}"/>
    <cellStyle name="Millares 11 3 2 2 4" xfId="3280" xr:uid="{B0015169-A49C-4948-8ECF-9DC3AF208197}"/>
    <cellStyle name="Millares 11 3 2 2 4 2" xfId="11551" xr:uid="{4977439C-CCDF-4F9F-8BD4-9043D2473266}"/>
    <cellStyle name="Millares 11 3 2 2 4 2 2" xfId="46711" xr:uid="{44A2D167-66A3-4CF1-839F-7430AB27E696}"/>
    <cellStyle name="Millares 11 3 2 2 4 3" xfId="14391" xr:uid="{7236F9A4-9D37-473B-BE2D-18400696F8AC}"/>
    <cellStyle name="Millares 11 3 2 2 4 4" xfId="34400" xr:uid="{52D68DC5-6691-4118-928D-44F1A8BBCDF0}"/>
    <cellStyle name="Millares 11 3 2 2 4 5" xfId="44315" xr:uid="{348F4BBE-FCFF-4307-9698-834FEB6DE4A0}"/>
    <cellStyle name="Millares 11 3 2 2 4 6" xfId="49208" xr:uid="{9C1939E4-8938-42AD-B57F-A19AC5C70419}"/>
    <cellStyle name="Millares 11 3 2 2 5" xfId="3782" xr:uid="{43927CE0-44F7-40D1-8610-56E715F75E43}"/>
    <cellStyle name="Millares 11 3 2 2 5 2" xfId="12023" xr:uid="{EAA9ACEF-DB7D-415D-9C6B-10231B97E1B0}"/>
    <cellStyle name="Millares 11 3 2 2 5 3" xfId="14863" xr:uid="{30272B41-B690-4D44-8EA2-BE2601D11717}"/>
    <cellStyle name="Millares 11 3 2 2 5 4" xfId="40264" xr:uid="{C50F6F49-4434-48D1-ACEE-E69909638298}"/>
    <cellStyle name="Millares 11 3 2 2 5 5" xfId="44787" xr:uid="{DEE2E7FF-D48F-4F50-926D-A17250914BE2}"/>
    <cellStyle name="Millares 11 3 2 2 5 6" xfId="49680" xr:uid="{D9F7DBF0-FBE8-4606-8268-A13A69937A41}"/>
    <cellStyle name="Millares 11 3 2 2 6" xfId="8285" xr:uid="{658561FB-43CF-446A-A7A1-FD446CF41357}"/>
    <cellStyle name="Millares 11 3 2 2 6 2" xfId="45205" xr:uid="{63AAE0AC-B491-41C0-98E7-DC9C4BE39F85}"/>
    <cellStyle name="Millares 11 3 2 2 7" xfId="10045" xr:uid="{38FF3CB7-B451-4792-8479-107F0C015F8A}"/>
    <cellStyle name="Millares 11 3 2 2 8" xfId="12885" xr:uid="{4CCFF6DC-8995-4F32-9347-8AF399CBF1E2}"/>
    <cellStyle name="Millares 11 3 2 2 9" xfId="16228" xr:uid="{16870D02-A8C7-46FA-BB88-36CE37A8EC10}"/>
    <cellStyle name="Millares 11 3 2 3" xfId="2106" xr:uid="{D96EA804-5A5E-471C-875D-D3AC4D086419}"/>
    <cellStyle name="Millares 11 3 2 3 2" xfId="10377" xr:uid="{1DD2E409-E7CD-4D42-BEB5-2B81097EAE3B}"/>
    <cellStyle name="Millares 11 3 2 3 2 2" xfId="45537" xr:uid="{1D8A9FCB-CFFF-4B0F-B542-396A92F414A4}"/>
    <cellStyle name="Millares 11 3 2 3 3" xfId="13217" xr:uid="{8109EE64-1C6C-41BB-80CE-4D6E770A9A9C}"/>
    <cellStyle name="Millares 11 3 2 3 4" xfId="19883" xr:uid="{C4B609CC-E186-4D94-A38F-3EF4B42CAC8C}"/>
    <cellStyle name="Millares 11 3 2 3 5" xfId="43141" xr:uid="{A8C58003-B456-4020-9E50-78497F4C99C1}"/>
    <cellStyle name="Millares 11 3 2 3 6" xfId="48034" xr:uid="{70D7AA36-87C0-4B13-9966-B1C5CF6D0E1E}"/>
    <cellStyle name="Millares 11 3 2 4" xfId="2524" xr:uid="{43528216-DEC7-4E5F-8198-540D5359A8C0}"/>
    <cellStyle name="Millares 11 3 2 4 2" xfId="10795" xr:uid="{42C1B217-7F96-4EF4-A854-572E4313A182}"/>
    <cellStyle name="Millares 11 3 2 4 2 2" xfId="45955" xr:uid="{4BD04FE7-ADA0-4EAF-AB00-83ECE5AE61D5}"/>
    <cellStyle name="Millares 11 3 2 4 3" xfId="13635" xr:uid="{F5527B20-2727-4CC4-9D1A-8FAA141A4E28}"/>
    <cellStyle name="Millares 11 3 2 4 4" xfId="25669" xr:uid="{719AF183-E675-41AC-AF3F-EDE6088D8AA2}"/>
    <cellStyle name="Millares 11 3 2 4 5" xfId="43559" xr:uid="{9B6C8D9D-CE2E-474D-8461-283F8BF8C55F}"/>
    <cellStyle name="Millares 11 3 2 4 6" xfId="48452" xr:uid="{D2F309D7-0AEF-4112-BDC8-5A8D1BB7E576}"/>
    <cellStyle name="Millares 11 3 2 5" xfId="3068" xr:uid="{2D7705EC-752C-4FEA-9C8A-2E5982EC0DBE}"/>
    <cellStyle name="Millares 11 3 2 5 2" xfId="11339" xr:uid="{DEF7850D-D226-4275-9B32-FAFF7B0A5550}"/>
    <cellStyle name="Millares 11 3 2 5 2 2" xfId="46499" xr:uid="{983D1F4D-A065-406F-819A-347A2905B373}"/>
    <cellStyle name="Millares 11 3 2 5 3" xfId="14179" xr:uid="{61D79CD7-AB3E-4961-B5F6-51537B0E30AD}"/>
    <cellStyle name="Millares 11 3 2 5 4" xfId="31543" xr:uid="{107DCBA1-F1E2-4646-AB3B-A56E7B3252FB}"/>
    <cellStyle name="Millares 11 3 2 5 5" xfId="44103" xr:uid="{EF02E701-2E88-4C93-89F2-E4454B173F5D}"/>
    <cellStyle name="Millares 11 3 2 5 6" xfId="48996" xr:uid="{A1C2A39C-B18B-4C6D-ABD0-EE4418096CD2}"/>
    <cellStyle name="Millares 11 3 2 6" xfId="3570" xr:uid="{98334096-15BC-4EAE-A6AF-9C48BC1CB0BC}"/>
    <cellStyle name="Millares 11 3 2 6 2" xfId="11811" xr:uid="{FC2CC62F-7A64-4888-8E5A-9624B8121209}"/>
    <cellStyle name="Millares 11 3 2 6 3" xfId="14651" xr:uid="{A063612A-B8C9-4D24-8EB3-D23520526B44}"/>
    <cellStyle name="Millares 11 3 2 6 4" xfId="37414" xr:uid="{2514C0D6-1BB6-4DF0-A0D9-4E0FC3F83EE6}"/>
    <cellStyle name="Millares 11 3 2 6 5" xfId="44575" xr:uid="{D32D09CA-A7D1-48BF-B304-3C3DFC40B46C}"/>
    <cellStyle name="Millares 11 3 2 6 6" xfId="49468" xr:uid="{1F18ECC2-32F6-41B4-8FCA-FE4E41A4EDA6}"/>
    <cellStyle name="Millares 11 3 2 7" xfId="5418" xr:uid="{D0BB33DB-2D88-4C9A-ACB4-2B43F6B04388}"/>
    <cellStyle name="Millares 11 3 2 7 2" xfId="44993" xr:uid="{F768A456-A14C-496C-BC73-EB9BD8E67585}"/>
    <cellStyle name="Millares 11 3 2 8" xfId="9833" xr:uid="{DBC06A89-6E22-4832-A974-8CDA79CF101B}"/>
    <cellStyle name="Millares 11 3 2 9" xfId="12673" xr:uid="{9033E773-705C-4DC7-AE74-99C56E5CF78E}"/>
    <cellStyle name="Millares 11 3 3" xfId="401" xr:uid="{00000000-0005-0000-0000-0000A1010000}"/>
    <cellStyle name="Millares 11 3 3 10" xfId="16671" xr:uid="{A6DCD0F6-C6E0-452D-801C-177D2A5CDB8E}"/>
    <cellStyle name="Millares 11 3 3 11" xfId="17215" xr:uid="{BCBAFC3E-B6C1-45B2-B865-187644243A6B}"/>
    <cellStyle name="Millares 11 3 3 12" xfId="17629" xr:uid="{EE5E73D0-A88F-4A43-86EC-A0E452913196}"/>
    <cellStyle name="Millares 11 3 3 13" xfId="42709" xr:uid="{6C163A9F-B291-4B04-99C3-D3E2191DB1BC}"/>
    <cellStyle name="Millares 11 3 3 14" xfId="47602" xr:uid="{6BF0D7EB-FF75-45AE-8E04-04B4017AD668}"/>
    <cellStyle name="Millares 11 3 3 2" xfId="2218" xr:uid="{0EBE4B94-4539-409E-A677-F0849FF942AB}"/>
    <cellStyle name="Millares 11 3 3 2 2" xfId="10489" xr:uid="{AB9F646D-1190-445A-94C0-844633A91870}"/>
    <cellStyle name="Millares 11 3 3 2 2 2" xfId="45649" xr:uid="{7582B4E3-AB62-4D73-8D04-869F94C0649E}"/>
    <cellStyle name="Millares 11 3 3 2 3" xfId="13329" xr:uid="{9D4176C6-49EB-4C3A-ADAD-03D21FE14173}"/>
    <cellStyle name="Millares 11 3 3 2 4" xfId="21718" xr:uid="{679E8E91-E764-4198-A7C9-52169B33F636}"/>
    <cellStyle name="Millares 11 3 3 2 5" xfId="43253" xr:uid="{9A830473-27DA-4353-BD91-E598CD602A2A}"/>
    <cellStyle name="Millares 11 3 3 2 6" xfId="48146" xr:uid="{2E7CDB45-8931-402B-BC4A-0824CCC97D69}"/>
    <cellStyle name="Millares 11 3 3 3" xfId="2636" xr:uid="{641857E3-EBEC-412F-9D66-8EBDF1508C2C}"/>
    <cellStyle name="Millares 11 3 3 3 2" xfId="10907" xr:uid="{E8A5768E-C70F-4849-9609-85CF819AD4B5}"/>
    <cellStyle name="Millares 11 3 3 3 2 2" xfId="46067" xr:uid="{E84A3F28-B4E2-428C-A24C-9ABBACBD69D2}"/>
    <cellStyle name="Millares 11 3 3 3 3" xfId="13747" xr:uid="{726DE630-D5DF-49C3-B36B-E239FA2B61F6}"/>
    <cellStyle name="Millares 11 3 3 3 4" xfId="27547" xr:uid="{56F499CE-772C-4BEA-9D8F-8998F9432275}"/>
    <cellStyle name="Millares 11 3 3 3 5" xfId="43671" xr:uid="{1F26A318-C6A8-45EC-8790-5A47A7FE1414}"/>
    <cellStyle name="Millares 11 3 3 3 6" xfId="48564" xr:uid="{C2DADB3A-D7E5-407A-903B-AC9AE21A65C1}"/>
    <cellStyle name="Millares 11 3 3 4" xfId="3180" xr:uid="{ADBFE188-8281-40A1-9B49-1D393FDE1921}"/>
    <cellStyle name="Millares 11 3 3 4 2" xfId="11451" xr:uid="{18CAB1B1-EB9B-421A-9D19-32DADFD063C4}"/>
    <cellStyle name="Millares 11 3 3 4 2 2" xfId="46611" xr:uid="{ED84B67E-AD26-4F6A-8A30-4E6950DE5307}"/>
    <cellStyle name="Millares 11 3 3 4 3" xfId="14291" xr:uid="{6CA976AB-123C-4595-A5FA-1BF212422CC0}"/>
    <cellStyle name="Millares 11 3 3 4 4" xfId="33429" xr:uid="{8D6BA294-5774-4D89-BE25-A5BE1A5B0F2A}"/>
    <cellStyle name="Millares 11 3 3 4 5" xfId="44215" xr:uid="{207B0BDE-2B0E-4492-812A-AA8BFBA14AB0}"/>
    <cellStyle name="Millares 11 3 3 4 6" xfId="49108" xr:uid="{945323A0-0C6D-4D04-B371-152AFECBC6BF}"/>
    <cellStyle name="Millares 11 3 3 5" xfId="3682" xr:uid="{7E38B7DA-EE92-4A3D-8EF5-36C41E3C4E23}"/>
    <cellStyle name="Millares 11 3 3 5 2" xfId="11923" xr:uid="{CAB1BFD5-5AB6-4DFC-ABC2-A4F9A393BEC5}"/>
    <cellStyle name="Millares 11 3 3 5 3" xfId="14763" xr:uid="{749DE459-6DE7-4C92-8D11-AA92571841B4}"/>
    <cellStyle name="Millares 11 3 3 5 4" xfId="39293" xr:uid="{3AE5D32C-2707-4691-AE3E-52CAEF796F12}"/>
    <cellStyle name="Millares 11 3 3 5 5" xfId="44687" xr:uid="{26AE8536-4AE8-4587-BC30-5D3CABC356B0}"/>
    <cellStyle name="Millares 11 3 3 5 6" xfId="49580" xr:uid="{E3159205-1EBF-4A24-B83F-A365B09F46AB}"/>
    <cellStyle name="Millares 11 3 3 6" xfId="7313" xr:uid="{CFF46D73-AE17-4897-B5FF-532B802A6A61}"/>
    <cellStyle name="Millares 11 3 3 6 2" xfId="45105" xr:uid="{ACDCAE0B-60DF-45B1-9043-4F19FD3DCDC4}"/>
    <cellStyle name="Millares 11 3 3 7" xfId="9945" xr:uid="{8EDEED87-C003-4457-BF0F-17D0D33D4854}"/>
    <cellStyle name="Millares 11 3 3 8" xfId="12785" xr:uid="{A5D4C305-F237-46FC-A46F-8C6A8ABD5CEB}"/>
    <cellStyle name="Millares 11 3 3 9" xfId="16128" xr:uid="{3129DE6E-3F12-46E4-B895-4026EF58829A}"/>
    <cellStyle name="Millares 11 3 4" xfId="604" xr:uid="{00000000-0005-0000-0000-0000A2010000}"/>
    <cellStyle name="Millares 11 3 4 10" xfId="42911" xr:uid="{74F6DF71-359F-4A98-A0F1-11D83F4C220A}"/>
    <cellStyle name="Millares 11 3 4 11" xfId="47804" xr:uid="{2650FB32-30CA-4F62-B11E-3208907A89DF}"/>
    <cellStyle name="Millares 11 3 4 2" xfId="2838" xr:uid="{78AB9B3B-5624-414C-AD07-023BA6C84A61}"/>
    <cellStyle name="Millares 11 3 4 2 2" xfId="11109" xr:uid="{205632E7-F419-4971-8CE9-6B1BBCF4A418}"/>
    <cellStyle name="Millares 11 3 4 2 2 2" xfId="46269" xr:uid="{2D95BD5F-221F-47BA-BAA2-5CF410B44652}"/>
    <cellStyle name="Millares 11 3 4 2 3" xfId="13949" xr:uid="{74E6FC64-2A79-4D59-9F17-B7A5009DC3F5}"/>
    <cellStyle name="Millares 11 3 4 2 4" xfId="43873" xr:uid="{E889E8E4-AF46-42E0-9E44-7D7E77F6A238}"/>
    <cellStyle name="Millares 11 3 4 2 5" xfId="48766" xr:uid="{7321D39A-1F36-48A1-AF06-64DB147218B1}"/>
    <cellStyle name="Millares 11 3 4 3" xfId="10147" xr:uid="{5E43831A-9D65-40DD-A06A-C38FE770C153}"/>
    <cellStyle name="Millares 11 3 4 3 2" xfId="45307" xr:uid="{ED5AB6EE-CBE5-4EAB-BD0E-01470191C3F0}"/>
    <cellStyle name="Millares 11 3 4 4" xfId="12987" xr:uid="{335B6CD5-A4DA-461A-B7FE-C151FABEE32E}"/>
    <cellStyle name="Millares 11 3 4 5" xfId="16330" xr:uid="{DF92F872-4932-4C49-A39C-1A20AD5F4800}"/>
    <cellStyle name="Millares 11 3 4 6" xfId="16873" xr:uid="{3E35759B-8317-416B-8BD4-BEC53B537B29}"/>
    <cellStyle name="Millares 11 3 4 7" xfId="17417" xr:uid="{3768BB91-FA49-4F40-BCEA-834EA8C49ED2}"/>
    <cellStyle name="Millares 11 3 4 8" xfId="18954" xr:uid="{76BE217B-FA53-4E47-82A8-275382E9D2EC}"/>
    <cellStyle name="Millares 11 3 4 9" xfId="17975" xr:uid="{0A152D0B-8356-401B-9686-AA21D2D7F3F9}"/>
    <cellStyle name="Millares 11 3 5" xfId="2002" xr:uid="{1547D1F8-1DB8-4144-B344-89F485DC0B77}"/>
    <cellStyle name="Millares 11 3 5 2" xfId="10273" xr:uid="{47252815-4DEC-4B1E-BA51-D26D2765292C}"/>
    <cellStyle name="Millares 11 3 5 2 2" xfId="45433" xr:uid="{D1817A7D-0BF6-4947-A08C-0B2BF02B5A4D}"/>
    <cellStyle name="Millares 11 3 5 3" xfId="13113" xr:uid="{375C43E5-32BE-4E4E-8840-81CBB3D5A3E6}"/>
    <cellStyle name="Millares 11 3 5 4" xfId="24698" xr:uid="{84BC4ECC-7803-4D29-8268-929E4EC5538A}"/>
    <cellStyle name="Millares 11 3 5 5" xfId="43037" xr:uid="{6E0EC4B4-2B72-450D-942A-D87DCBEE07FA}"/>
    <cellStyle name="Millares 11 3 5 6" xfId="47930" xr:uid="{F0215F5C-97F9-4145-A9BE-128D4407FF5B}"/>
    <cellStyle name="Millares 11 3 6" xfId="2420" xr:uid="{959D8123-73BC-402B-847C-B9A87A62EF98}"/>
    <cellStyle name="Millares 11 3 6 2" xfId="10691" xr:uid="{E10037A4-30FE-44E6-883A-295921BBDC69}"/>
    <cellStyle name="Millares 11 3 6 2 2" xfId="45851" xr:uid="{19CB65C4-A3BE-4A47-B8D7-E658650F6A8C}"/>
    <cellStyle name="Millares 11 3 6 3" xfId="13531" xr:uid="{EE1BC7AC-7440-4F9C-B04F-F6BDDB591B53}"/>
    <cellStyle name="Millares 11 3 6 4" xfId="30576" xr:uid="{6384723F-144B-48AE-AFC9-3995691B9DF8}"/>
    <cellStyle name="Millares 11 3 6 5" xfId="43455" xr:uid="{24C24344-2288-40D6-94A1-96643A11A1A8}"/>
    <cellStyle name="Millares 11 3 6 6" xfId="48348" xr:uid="{66F8E972-8F3B-4DFB-B4D7-1BEF829D277F}"/>
    <cellStyle name="Millares 11 3 7" xfId="2964" xr:uid="{73C60D28-066E-4A2D-8781-4C07BEED9A69}"/>
    <cellStyle name="Millares 11 3 7 2" xfId="11235" xr:uid="{09296CA6-8FBD-4378-B943-07502C4E9A00}"/>
    <cellStyle name="Millares 11 3 7 2 2" xfId="46395" xr:uid="{B6C0C757-21AB-4D3C-BDF4-7A6852F9F5C3}"/>
    <cellStyle name="Millares 11 3 7 3" xfId="14075" xr:uid="{528F0E1F-2A1F-4D18-89E2-62BCE676F1C3}"/>
    <cellStyle name="Millares 11 3 7 4" xfId="36457" xr:uid="{D554F7E8-EED9-4E57-AFB5-356C25B90056}"/>
    <cellStyle name="Millares 11 3 7 5" xfId="43999" xr:uid="{6361EB44-6EDE-4E21-8B65-D9238D8D6A04}"/>
    <cellStyle name="Millares 11 3 7 6" xfId="48892" xr:uid="{AB2B3823-8136-434C-A084-2F872154555E}"/>
    <cellStyle name="Millares 11 3 8" xfId="3466" xr:uid="{462D2180-65AB-4BF2-8B44-9E7CD9A389EC}"/>
    <cellStyle name="Millares 11 3 8 2" xfId="11707" xr:uid="{8FA47D97-FE47-4FC2-BD55-87B34CFE40B2}"/>
    <cellStyle name="Millares 11 3 8 3" xfId="14547" xr:uid="{73E67300-8C49-4AED-94A9-05A9001D6DC3}"/>
    <cellStyle name="Millares 11 3 8 4" xfId="44471" xr:uid="{228FA5C1-C8CC-40EF-8647-CE704839F46E}"/>
    <cellStyle name="Millares 11 3 8 5" xfId="49364" xr:uid="{B343CAA6-8E1C-4B47-AE46-F7DD693987D2}"/>
    <cellStyle name="Millares 11 3 9" xfId="4451" xr:uid="{69FF0EA7-495D-450A-9A26-34B1F81B4EDB}"/>
    <cellStyle name="Millares 11 3 9 2" xfId="44889" xr:uid="{FBE54F69-9B73-4DF9-ACAF-5BD56F475EF4}"/>
    <cellStyle name="Millares 11 4" xfId="247" xr:uid="{00000000-0005-0000-0000-0000A3010000}"/>
    <cellStyle name="Millares 11 4 10" xfId="15988" xr:uid="{1AE2BA54-B42D-486F-9DF4-4F691408B8BE}"/>
    <cellStyle name="Millares 11 4 11" xfId="16531" xr:uid="{ACF2EE3C-30C4-45E8-B282-2ED61566F42B}"/>
    <cellStyle name="Millares 11 4 12" xfId="17075" xr:uid="{1BCC57DF-A1EB-4026-AF1C-234D1CD9F131}"/>
    <cellStyle name="Millares 11 4 13" xfId="17747" xr:uid="{5E43FE69-EA01-45EF-A705-C065AA0B29E2}"/>
    <cellStyle name="Millares 11 4 14" xfId="42569" xr:uid="{334B1CC4-46F9-4877-A04C-CD2FE822C4E3}"/>
    <cellStyle name="Millares 11 4 15" xfId="47462" xr:uid="{C47742EB-4D40-4BF2-9BE6-1B8CC9049A64}"/>
    <cellStyle name="Millares 11 4 2" xfId="474" xr:uid="{00000000-0005-0000-0000-0000A4010000}"/>
    <cellStyle name="Millares 11 4 2 10" xfId="16743" xr:uid="{40DAAAA0-1776-4B2E-810F-AF3AF3788FB8}"/>
    <cellStyle name="Millares 11 4 2 11" xfId="17287" xr:uid="{8918959F-4AA1-4D02-9AF4-B2F6EB571905}"/>
    <cellStyle name="Millares 11 4 2 12" xfId="18099" xr:uid="{C9E4472F-AEDC-425E-824A-5EB13E9E9824}"/>
    <cellStyle name="Millares 11 4 2 13" xfId="42781" xr:uid="{8BE8E357-E290-427E-BC71-50152A5403E3}"/>
    <cellStyle name="Millares 11 4 2 14" xfId="47674" xr:uid="{243E6B86-58DB-4E7D-AFC1-E0B5AD891800}"/>
    <cellStyle name="Millares 11 4 2 2" xfId="2290" xr:uid="{26D01D01-0F6E-463A-9B4B-AF66BFA4846F}"/>
    <cellStyle name="Millares 11 4 2 2 2" xfId="10561" xr:uid="{8D1CF78D-43BE-44F8-9F06-8C63396F5FE7}"/>
    <cellStyle name="Millares 11 4 2 2 2 2" xfId="45721" xr:uid="{5614BED8-7DB3-493C-83A1-DB742C5AA1D3}"/>
    <cellStyle name="Millares 11 4 2 2 3" xfId="13401" xr:uid="{A51B7C8C-29BA-4317-8877-D9DF26919A7B}"/>
    <cellStyle name="Millares 11 4 2 2 4" xfId="22188" xr:uid="{D6779C3C-BA61-49FA-97AB-F78E48FFB62E}"/>
    <cellStyle name="Millares 11 4 2 2 5" xfId="43325" xr:uid="{347CFB0F-7AC1-44C7-AF17-5129DAC56942}"/>
    <cellStyle name="Millares 11 4 2 2 6" xfId="48218" xr:uid="{B341E070-30CD-4027-96D4-9832FE90A301}"/>
    <cellStyle name="Millares 11 4 2 3" xfId="2708" xr:uid="{72A37CA7-0573-4543-9CEC-F7B117A35CA3}"/>
    <cellStyle name="Millares 11 4 2 3 2" xfId="10979" xr:uid="{83EABAB0-4B3F-4E79-A02F-0C9972AA62B4}"/>
    <cellStyle name="Millares 11 4 2 3 2 2" xfId="46139" xr:uid="{B78AA47A-C35E-4717-B74A-99EE16A14829}"/>
    <cellStyle name="Millares 11 4 2 3 3" xfId="13819" xr:uid="{B3A530DB-4690-42D9-AF8A-9F308DFA8AD8}"/>
    <cellStyle name="Millares 11 4 2 3 4" xfId="28033" xr:uid="{2BE6E14D-0DE7-4E10-9B19-91CD01EFCE11}"/>
    <cellStyle name="Millares 11 4 2 3 5" xfId="43743" xr:uid="{4E720738-9FA2-4B95-86B8-CE1F23B26BD9}"/>
    <cellStyle name="Millares 11 4 2 3 6" xfId="48636" xr:uid="{8D43621A-49BF-4802-8C6C-E5850E0AD763}"/>
    <cellStyle name="Millares 11 4 2 4" xfId="3252" xr:uid="{187745A0-8281-4534-BCA7-E0AE823405B8}"/>
    <cellStyle name="Millares 11 4 2 4 2" xfId="11523" xr:uid="{5E8BEA09-58CF-45EB-BCAE-5EBEFEF7167F}"/>
    <cellStyle name="Millares 11 4 2 4 2 2" xfId="46683" xr:uid="{F03ACC7B-7A83-4B75-8F59-C8EB41BB09E7}"/>
    <cellStyle name="Millares 11 4 2 4 3" xfId="14363" xr:uid="{9DD4BC76-D100-4FD2-B6BD-24AD015CACE1}"/>
    <cellStyle name="Millares 11 4 2 4 4" xfId="33915" xr:uid="{CFFF8E87-DAA3-4772-AD7B-149A22F99B4E}"/>
    <cellStyle name="Millares 11 4 2 4 5" xfId="44287" xr:uid="{6CC2CC8E-5A71-468C-9BFD-11D185065745}"/>
    <cellStyle name="Millares 11 4 2 4 6" xfId="49180" xr:uid="{EB6FD9C2-9087-4B8C-A059-2982726A40D9}"/>
    <cellStyle name="Millares 11 4 2 5" xfId="3754" xr:uid="{0DDC16B3-1047-4115-842A-59B237DED6AE}"/>
    <cellStyle name="Millares 11 4 2 5 2" xfId="11995" xr:uid="{DC3AA166-5B58-4948-A530-9C38331FD8B5}"/>
    <cellStyle name="Millares 11 4 2 5 3" xfId="14835" xr:uid="{5D45DD8B-72E7-4410-9DE1-DF6BADCFF23A}"/>
    <cellStyle name="Millares 11 4 2 5 4" xfId="39779" xr:uid="{0E825EDF-20B9-41B5-8EC2-15B35CF64719}"/>
    <cellStyle name="Millares 11 4 2 5 5" xfId="44759" xr:uid="{818D0A1B-3754-43A2-B4D9-B0A477128BFA}"/>
    <cellStyle name="Millares 11 4 2 5 6" xfId="49652" xr:uid="{B9942D80-3FF7-4220-B721-9FDAA8308C54}"/>
    <cellStyle name="Millares 11 4 2 6" xfId="7800" xr:uid="{49D362E8-DD18-4214-AE58-4201F176F9DA}"/>
    <cellStyle name="Millares 11 4 2 6 2" xfId="45177" xr:uid="{F9894629-1D9F-41CD-8ACD-7F1046827B39}"/>
    <cellStyle name="Millares 11 4 2 7" xfId="10017" xr:uid="{6871D6EC-F414-4D6D-9E91-B6BBC4CF11B2}"/>
    <cellStyle name="Millares 11 4 2 8" xfId="12857" xr:uid="{83CD5B35-83BF-47AB-A347-AEDAE9525F2B}"/>
    <cellStyle name="Millares 11 4 2 9" xfId="16200" xr:uid="{4BF6088F-FE77-4F0C-B6B9-193042658898}"/>
    <cellStyle name="Millares 11 4 3" xfId="2078" xr:uid="{71D5E668-7623-4E95-B766-67763166F913}"/>
    <cellStyle name="Millares 11 4 3 2" xfId="10349" xr:uid="{406F2253-DBE5-46AB-A439-8B5DF0FB82A8}"/>
    <cellStyle name="Millares 11 4 3 2 2" xfId="45509" xr:uid="{E266A3BB-25BC-4621-A361-29A56712298C}"/>
    <cellStyle name="Millares 11 4 3 3" xfId="13189" xr:uid="{6F5079DA-65D6-4F0A-99C5-993E9CC08556}"/>
    <cellStyle name="Millares 11 4 3 4" xfId="19415" xr:uid="{F5D05917-F4FD-4DEF-88FA-5A49CD0F64C3}"/>
    <cellStyle name="Millares 11 4 3 5" xfId="43113" xr:uid="{AA807CCF-4484-43FA-BEFE-46DBBCDA9514}"/>
    <cellStyle name="Millares 11 4 3 6" xfId="48006" xr:uid="{B804F9B3-590C-4DFF-8C73-9CE9F85B29CE}"/>
    <cellStyle name="Millares 11 4 4" xfId="2496" xr:uid="{4782ECBD-1C2B-4366-AE8C-40DB6CA989F7}"/>
    <cellStyle name="Millares 11 4 4 2" xfId="10767" xr:uid="{FE25E82C-905C-4FEB-9C77-AA7BA8E861F1}"/>
    <cellStyle name="Millares 11 4 4 2 2" xfId="45927" xr:uid="{D0D35893-9BE2-4B22-85B8-C8114AAE4243}"/>
    <cellStyle name="Millares 11 4 4 3" xfId="13607" xr:uid="{08A3F6DA-A503-4F54-87A4-89049E939624}"/>
    <cellStyle name="Millares 11 4 4 4" xfId="25184" xr:uid="{26770649-120D-4CF7-812A-5D6625A2A307}"/>
    <cellStyle name="Millares 11 4 4 5" xfId="43531" xr:uid="{16BFA1DD-2584-49E2-8E9A-0F0D36E86C70}"/>
    <cellStyle name="Millares 11 4 4 6" xfId="48424" xr:uid="{8CEDBAB3-BFE9-498C-9732-C068E8C73D45}"/>
    <cellStyle name="Millares 11 4 5" xfId="3040" xr:uid="{956555D8-8128-46EA-9DAC-0167CB86DC11}"/>
    <cellStyle name="Millares 11 4 5 2" xfId="11311" xr:uid="{25E1F83B-AC8E-43A6-A0F8-0B8E8370010F}"/>
    <cellStyle name="Millares 11 4 5 2 2" xfId="46471" xr:uid="{8050C788-C150-4940-A982-82780B26FC47}"/>
    <cellStyle name="Millares 11 4 5 3" xfId="14151" xr:uid="{785F4C6A-4015-497B-8761-8B8C1BE279E3}"/>
    <cellStyle name="Millares 11 4 5 4" xfId="31058" xr:uid="{B4C5EDE6-FA06-45B8-937E-D9B0F7DE723F}"/>
    <cellStyle name="Millares 11 4 5 5" xfId="44075" xr:uid="{6C86DC46-8CF6-4A14-81F7-94548F5D228C}"/>
    <cellStyle name="Millares 11 4 5 6" xfId="48968" xr:uid="{136963D6-2737-480A-9782-A83CA94A9801}"/>
    <cellStyle name="Millares 11 4 6" xfId="3542" xr:uid="{19700D75-EE72-4E0C-8456-2013C0D06BFB}"/>
    <cellStyle name="Millares 11 4 6 2" xfId="11783" xr:uid="{1D8444F8-E463-46B8-BDDF-C18FFF7D8B0F}"/>
    <cellStyle name="Millares 11 4 6 3" xfId="14623" xr:uid="{51595C6B-7EEB-4ADD-964B-5638EFD6D47B}"/>
    <cellStyle name="Millares 11 4 6 4" xfId="36937" xr:uid="{6367C66C-EEBF-44CF-BB1A-7E9165649C00}"/>
    <cellStyle name="Millares 11 4 6 5" xfId="44547" xr:uid="{BB8E3E20-C095-4DF4-9A19-0A459EFB4FA1}"/>
    <cellStyle name="Millares 11 4 6 6" xfId="49440" xr:uid="{EE6A826C-01B7-449B-AE62-491950E7B5C3}"/>
    <cellStyle name="Millares 11 4 7" xfId="4933" xr:uid="{C1D59AEE-4D35-4173-94B9-D342658E2F75}"/>
    <cellStyle name="Millares 11 4 7 2" xfId="44965" xr:uid="{5CC89E95-15F5-4132-9C2C-C0A768A45A6A}"/>
    <cellStyle name="Millares 11 4 8" xfId="9805" xr:uid="{00BA0D36-972F-48C5-A7B5-395D08815D78}"/>
    <cellStyle name="Millares 11 4 9" xfId="12645" xr:uid="{23241FB2-DBF4-40AA-9F4A-2F6FFB34110C}"/>
    <cellStyle name="Millares 11 5" xfId="373" xr:uid="{00000000-0005-0000-0000-0000A5010000}"/>
    <cellStyle name="Millares 11 5 10" xfId="16643" xr:uid="{37498EBE-2E1F-4EE6-8281-7A4B94F3DB34}"/>
    <cellStyle name="Millares 11 5 11" xfId="17187" xr:uid="{D0CEE7E6-4D5A-4FBC-8CA8-225E590224B2}"/>
    <cellStyle name="Millares 11 5 12" xfId="17978" xr:uid="{AC5E7C04-97F1-435A-9157-16031BE8D3E2}"/>
    <cellStyle name="Millares 11 5 13" xfId="42681" xr:uid="{EBA2873A-75AB-4FE1-87FC-0760F7CBFE5C}"/>
    <cellStyle name="Millares 11 5 14" xfId="47574" xr:uid="{0E5BCDAE-70F8-4CFE-AA3A-AD5FBFA65AC7}"/>
    <cellStyle name="Millares 11 5 2" xfId="2190" xr:uid="{4B6CA3D4-4A38-4335-87D6-70A249745478}"/>
    <cellStyle name="Millares 11 5 2 2" xfId="8812" xr:uid="{00836142-2026-47C0-867C-239670FBE363}"/>
    <cellStyle name="Millares 11 5 2 2 2" xfId="45621" xr:uid="{B9621171-7229-4A33-BF7C-6040CBB142FF}"/>
    <cellStyle name="Millares 11 5 2 3" xfId="10461" xr:uid="{939B0613-7026-438A-BA1D-7D5E79439A19}"/>
    <cellStyle name="Millares 11 5 2 3 2" xfId="29044" xr:uid="{9C28062A-737C-4BD7-9181-E2B09F1C741A}"/>
    <cellStyle name="Millares 11 5 2 4" xfId="13301" xr:uid="{58872B6A-B49D-4F39-B844-BB685D058B8B}"/>
    <cellStyle name="Millares 11 5 2 4 2" xfId="34926" xr:uid="{968D06C1-E82A-4ADE-BC37-DCA2433468F1}"/>
    <cellStyle name="Millares 11 5 2 5" xfId="40790" xr:uid="{F00B4035-F68D-464E-A4F4-F6F72DBFFE22}"/>
    <cellStyle name="Millares 11 5 2 6" xfId="43225" xr:uid="{C7CC7B85-11E8-4910-B843-0E39B9913246}"/>
    <cellStyle name="Millares 11 5 2 7" xfId="48118" xr:uid="{57A6475E-91E9-4AD7-934C-08D0236AB5DF}"/>
    <cellStyle name="Millares 11 5 3" xfId="2608" xr:uid="{EAE491CB-04B6-423F-80FF-783CE7ED7676}"/>
    <cellStyle name="Millares 11 5 3 2" xfId="10879" xr:uid="{20F1758E-51A4-4152-972E-193CE14F32F1}"/>
    <cellStyle name="Millares 11 5 3 2 2" xfId="46039" xr:uid="{EA1B3D36-1FA5-4CC2-B364-F77488FCC355}"/>
    <cellStyle name="Millares 11 5 3 3" xfId="13719" xr:uid="{F254516B-3564-431B-B2A0-68D51D4F9E0A}"/>
    <cellStyle name="Millares 11 5 3 4" xfId="20393" xr:uid="{BC78CBD8-EABD-4447-9EA0-35CBF816E283}"/>
    <cellStyle name="Millares 11 5 3 5" xfId="43643" xr:uid="{2543DC8C-3874-4925-A06F-FFFAA656E979}"/>
    <cellStyle name="Millares 11 5 3 6" xfId="48536" xr:uid="{3E546C0E-977B-455D-B7BD-7C1FA48BBA9C}"/>
    <cellStyle name="Millares 11 5 4" xfId="3152" xr:uid="{570C9FE5-C265-4DAF-B9DB-FA54B8F2B8E5}"/>
    <cellStyle name="Millares 11 5 4 2" xfId="11423" xr:uid="{6098D8AD-CFFD-4065-BE49-AC2F269F2E90}"/>
    <cellStyle name="Millares 11 5 4 2 2" xfId="46583" xr:uid="{9B0E9016-FBFE-42D5-AB6C-2EC9F59864A8}"/>
    <cellStyle name="Millares 11 5 4 3" xfId="14263" xr:uid="{8F8F0C61-92A7-47E9-9033-0978D988CAA4}"/>
    <cellStyle name="Millares 11 5 4 4" xfId="26194" xr:uid="{01AF4D59-2C46-408B-9B2B-8EF1DB7D3B2A}"/>
    <cellStyle name="Millares 11 5 4 5" xfId="44187" xr:uid="{3AB0DB06-B1B2-4BC0-91F0-088478F74D22}"/>
    <cellStyle name="Millares 11 5 4 6" xfId="49080" xr:uid="{DDF2B56F-18A3-49FE-9889-7B9A79495E6C}"/>
    <cellStyle name="Millares 11 5 5" xfId="3654" xr:uid="{FDA293C5-0984-4010-8E8B-D4205B0FC3DA}"/>
    <cellStyle name="Millares 11 5 5 2" xfId="11895" xr:uid="{988A7B8D-8E5F-4961-9732-39826B2D9043}"/>
    <cellStyle name="Millares 11 5 5 3" xfId="14735" xr:uid="{0BA1A15E-7BF4-47DD-B10B-3270F3F3C97A}"/>
    <cellStyle name="Millares 11 5 5 4" xfId="32069" xr:uid="{E2FD3EFB-0062-4F4C-B51C-5F190AB41CD9}"/>
    <cellStyle name="Millares 11 5 5 5" xfId="44659" xr:uid="{708FA42D-E0C8-4CD2-9075-A49C8AF54341}"/>
    <cellStyle name="Millares 11 5 5 6" xfId="49552" xr:uid="{D00C7C11-20BC-41D3-9FDA-93724611FE3C}"/>
    <cellStyle name="Millares 11 5 6" xfId="5943" xr:uid="{328D044E-5A72-4CB8-AEBA-47AC4CD46D8D}"/>
    <cellStyle name="Millares 11 5 6 2" xfId="45077" xr:uid="{BA8BB890-9431-471C-BB0A-92DEBF57BA2E}"/>
    <cellStyle name="Millares 11 5 7" xfId="9917" xr:uid="{3A4A2557-E0E4-4769-BBD4-5BF73C42FA76}"/>
    <cellStyle name="Millares 11 5 8" xfId="12757" xr:uid="{6319A030-8477-4435-9B17-9C814396F698}"/>
    <cellStyle name="Millares 11 5 9" xfId="16100" xr:uid="{02721280-53F3-4D8B-A618-FA63953A38B4}"/>
    <cellStyle name="Millares 11 6" xfId="576" xr:uid="{00000000-0005-0000-0000-0000A6010000}"/>
    <cellStyle name="Millares 11 6 10" xfId="42883" xr:uid="{404B315F-655C-42A8-91BA-1CD6D0FD8AEF}"/>
    <cellStyle name="Millares 11 6 11" xfId="47776" xr:uid="{F3826D1D-A5EE-4B51-9346-ACAF518E70B5}"/>
    <cellStyle name="Millares 11 6 2" xfId="2810" xr:uid="{27571FB3-EB4E-4774-AFC0-AEB323C0F43E}"/>
    <cellStyle name="Millares 11 6 2 2" xfId="11081" xr:uid="{EBC1360F-2D88-44D2-A48D-30645D41703A}"/>
    <cellStyle name="Millares 11 6 2 2 2" xfId="46241" xr:uid="{FA8F0A7D-16A5-48EB-9507-7A5EDD398EA8}"/>
    <cellStyle name="Millares 11 6 2 3" xfId="13921" xr:uid="{C05E21E5-9244-4924-A4F5-D1BF29319A83}"/>
    <cellStyle name="Millares 11 6 2 4" xfId="21252" xr:uid="{719AD243-93B3-4BD6-8003-FC17BC364E56}"/>
    <cellStyle name="Millares 11 6 2 5" xfId="43845" xr:uid="{4488DA55-E303-4E2B-9E8B-899E858CE37C}"/>
    <cellStyle name="Millares 11 6 2 6" xfId="48738" xr:uid="{D828C6CC-0F7B-48BD-9FF0-9250C04AD489}"/>
    <cellStyle name="Millares 11 6 3" xfId="6829" xr:uid="{7D870BD9-896C-4C2E-A6C3-E4192909599E}"/>
    <cellStyle name="Millares 11 6 3 2" xfId="45279" xr:uid="{101728B8-F603-4E69-A8B5-3391BE7B783B}"/>
    <cellStyle name="Millares 11 6 4" xfId="10119" xr:uid="{1464B7B5-DC0F-4151-86D8-BC2CF0389C9E}"/>
    <cellStyle name="Millares 11 6 4 2" xfId="32944" xr:uid="{F028F2AE-042F-441C-BD6A-B5A97D7CCD35}"/>
    <cellStyle name="Millares 11 6 5" xfId="12959" xr:uid="{1D8EB3BA-F845-445A-B6F0-3C7E9F86254D}"/>
    <cellStyle name="Millares 11 6 5 2" xfId="38808" xr:uid="{EA402B47-93DC-428E-AD57-2DA56F6F0453}"/>
    <cellStyle name="Millares 11 6 6" xfId="16302" xr:uid="{3F81E8C2-570D-409F-890B-E9AFBBE4688C}"/>
    <cellStyle name="Millares 11 6 7" xfId="16845" xr:uid="{09CCAAD8-4B02-4C44-BA66-5CA49934CB69}"/>
    <cellStyle name="Millares 11 6 8" xfId="17389" xr:uid="{9E1EC5D2-B61F-4281-904E-9140F6D6F4FF}"/>
    <cellStyle name="Millares 11 6 9" xfId="18160" xr:uid="{837544FA-5950-4438-BA9E-3837436C613D}"/>
    <cellStyle name="Millares 11 7" xfId="1907" xr:uid="{00000000-0005-0000-0000-0000A7010000}"/>
    <cellStyle name="Millares 11 7 2" xfId="18503" xr:uid="{9BF84CD8-9137-4075-AACB-FB472B960F3A}"/>
    <cellStyle name="Millares 11 8" xfId="1974" xr:uid="{AB0FA976-0116-4A14-AC2B-D1ECDBE41ABD}"/>
    <cellStyle name="Millares 11 8 2" xfId="10245" xr:uid="{3468C766-75BE-4B50-BCAE-9C885AB4A57A}"/>
    <cellStyle name="Millares 11 8 2 2" xfId="45405" xr:uid="{5879357C-3D9B-4214-B1A7-A72905DA7AC9}"/>
    <cellStyle name="Millares 11 8 3" xfId="13085" xr:uid="{894683CD-53BD-4243-8307-F8BE45239440}"/>
    <cellStyle name="Millares 11 8 4" xfId="24211" xr:uid="{E670B6AF-75C8-47E4-80E3-4DB72A1265C9}"/>
    <cellStyle name="Millares 11 8 5" xfId="43009" xr:uid="{C1A939B3-C978-4E7B-B27C-61DD03BC893A}"/>
    <cellStyle name="Millares 11 8 6" xfId="47902" xr:uid="{41BF54F7-0AD7-4D5D-B02A-0A4AC0A22D18}"/>
    <cellStyle name="Millares 11 9" xfId="2392" xr:uid="{51CE1133-C068-4F00-B801-85518BEB2128}"/>
    <cellStyle name="Millares 11 9 2" xfId="10663" xr:uid="{B58C70A4-8A90-41AE-929D-8526CEA1DE15}"/>
    <cellStyle name="Millares 11 9 2 2" xfId="45823" xr:uid="{14FB995F-9C4D-434E-8372-76AB66800C39}"/>
    <cellStyle name="Millares 11 9 3" xfId="13503" xr:uid="{DB6AABB7-DBCF-4660-A38F-3BDD0A424A45}"/>
    <cellStyle name="Millares 11 9 4" xfId="30089" xr:uid="{C3642A6C-F9E3-406B-9531-C12AF346235D}"/>
    <cellStyle name="Millares 11 9 5" xfId="43427" xr:uid="{EB75B046-1F43-4747-AE56-4F4EDD4A56D2}"/>
    <cellStyle name="Millares 11 9 6" xfId="48320" xr:uid="{76361964-EAB7-4B05-A66A-60F87D35A133}"/>
    <cellStyle name="Millares 110" xfId="9611" xr:uid="{2DFBBAFA-3B15-4F31-A6E4-30855C08F76E}"/>
    <cellStyle name="Millares 110 2" xfId="23971" xr:uid="{63827C8E-C4F3-4B61-B898-1060761BFA34}"/>
    <cellStyle name="Millares 110 3" xfId="29841" xr:uid="{53939AF4-E721-4D1E-BDD2-0706F9B5E576}"/>
    <cellStyle name="Millares 110 4" xfId="35723" xr:uid="{6CCF91CF-6AC8-47DF-B9AF-11D7D00B8CAA}"/>
    <cellStyle name="Millares 110 5" xfId="41582" xr:uid="{9A7EDA32-C1BC-441C-BC30-BFA50016FF29}"/>
    <cellStyle name="Millares 111" xfId="9612" xr:uid="{F44D6862-2977-45C3-9B83-E15ADE29E3EC}"/>
    <cellStyle name="Millares 111 2" xfId="23972" xr:uid="{8FCCC69D-289C-4807-8837-627F58BEDAED}"/>
    <cellStyle name="Millares 111 3" xfId="29842" xr:uid="{C1345FD6-F741-4D9A-A553-F2237CB6C40F}"/>
    <cellStyle name="Millares 111 4" xfId="35724" xr:uid="{9A5EF8D4-0393-4F74-96C2-93ECEDEEE4D2}"/>
    <cellStyle name="Millares 111 5" xfId="41583" xr:uid="{D63B32A1-D000-42D2-BD8B-EAC2D40DC344}"/>
    <cellStyle name="Millares 111 6" xfId="46866" xr:uid="{20CFEFDC-7A1F-4580-8259-529FBFB1E262}"/>
    <cellStyle name="Millares 112" xfId="9613" xr:uid="{2C1A2105-41F0-47A1-ADDB-BDF3B0D9FA43}"/>
    <cellStyle name="Millares 112 2" xfId="23973" xr:uid="{C089AC5F-174D-4613-920B-BBD58B3D7063}"/>
    <cellStyle name="Millares 112 3" xfId="29843" xr:uid="{8484A01C-4E30-4ADA-BBF9-4432969CE6E6}"/>
    <cellStyle name="Millares 112 4" xfId="35725" xr:uid="{54A7EC90-1617-4130-8090-CC490076A82F}"/>
    <cellStyle name="Millares 112 5" xfId="41584" xr:uid="{953B0F7A-6847-4489-AC85-33FD5A357546}"/>
    <cellStyle name="Millares 113" xfId="9614" xr:uid="{F14CBF11-1B00-4760-8F99-37B8830F6691}"/>
    <cellStyle name="Millares 113 2" xfId="23974" xr:uid="{CC20C170-C082-4A2A-B983-DD96BE2F4586}"/>
    <cellStyle name="Millares 113 3" xfId="29844" xr:uid="{7B191CBF-A594-46D9-8AF9-EA147D907976}"/>
    <cellStyle name="Millares 113 4" xfId="35726" xr:uid="{BB6BD2C1-A9B9-4CF9-AD59-4FB2900BE289}"/>
    <cellStyle name="Millares 113 5" xfId="41585" xr:uid="{4E298FC3-9C35-4F32-B4CB-03A719690E45}"/>
    <cellStyle name="Millares 113 6" xfId="46867" xr:uid="{DD5A45F8-007C-4533-881C-CBDA1F632C86}"/>
    <cellStyle name="Millares 114" xfId="3835" xr:uid="{D2BC3B60-C429-4DF9-87AA-D6336322637B}"/>
    <cellStyle name="Millares 114 2" xfId="15754" xr:uid="{BA7A5080-E469-4F82-B5D8-3DAFF56E71A3}"/>
    <cellStyle name="Millares 114 3" xfId="29846" xr:uid="{F6B7A776-70E7-4B4F-859A-76A6444FEF22}"/>
    <cellStyle name="Millares 114 4" xfId="35728" xr:uid="{631EBF58-9011-466B-96AE-701AD32C2789}"/>
    <cellStyle name="Millares 114 5" xfId="41587" xr:uid="{A697B642-7C23-4D96-9896-5524EA6AAC95}"/>
    <cellStyle name="Millares 115" xfId="3827" xr:uid="{60649A17-3277-4BFE-8AB5-46DC4B8A64F5}"/>
    <cellStyle name="Millares 115 2" xfId="15756" xr:uid="{44E0A9BB-0AA4-4656-AFD4-B9CB0FB73701}"/>
    <cellStyle name="Millares 115 3" xfId="29848" xr:uid="{3264E168-63FA-4734-9014-176DD4369A47}"/>
    <cellStyle name="Millares 115 4" xfId="35730" xr:uid="{B48AEF4A-C28D-48F5-B0B1-46665F47717E}"/>
    <cellStyle name="Millares 115 5" xfId="41589" xr:uid="{DAE6C3B1-E486-410E-845A-AF5451D2055B}"/>
    <cellStyle name="Millares 115 6" xfId="46868" xr:uid="{F29880CB-858A-4B7E-AA6B-83E30DC33A93}"/>
    <cellStyle name="Millares 116" xfId="9616" xr:uid="{6F945146-29D0-4E3C-AB2E-30223A17A5C7}"/>
    <cellStyle name="Millares 116 2" xfId="15778" xr:uid="{7CE09A58-0E1F-465D-833A-AF577C5CF476}"/>
    <cellStyle name="Millares 116 3" xfId="29870" xr:uid="{98D4DBE2-E91C-46D7-9EC6-5BA281027245}"/>
    <cellStyle name="Millares 116 4" xfId="35752" xr:uid="{DABB6FD0-A967-4645-AB01-CC66984B736C}"/>
    <cellStyle name="Millares 116 5" xfId="41611" xr:uid="{16E0A69E-E00C-47E8-B784-80E22E301653}"/>
    <cellStyle name="Millares 117" xfId="9619" xr:uid="{B7E8BBBC-851F-4EE9-B8C9-9364A343799A}"/>
    <cellStyle name="Millares 117 2" xfId="15780" xr:uid="{14004AB6-7988-4D03-AC73-3516CDC00A9D}"/>
    <cellStyle name="Millares 117 3" xfId="29872" xr:uid="{592D73D0-8AAB-403A-9AB1-392831A29871}"/>
    <cellStyle name="Millares 117 4" xfId="35754" xr:uid="{DE5D89E7-1FAC-4490-9110-6E11DCBB92C3}"/>
    <cellStyle name="Millares 117 5" xfId="41613" xr:uid="{778737C8-83A1-4BD8-B96C-BF6E60EDCBD6}"/>
    <cellStyle name="Millares 118" xfId="9618" xr:uid="{602D39B6-19E5-40ED-92FA-FE151DEBFA8F}"/>
    <cellStyle name="Millares 118 2" xfId="15802" xr:uid="{18BEF992-CC9E-40F7-9F7F-39374B04C59E}"/>
    <cellStyle name="Millares 118 3" xfId="29894" xr:uid="{3B199FA6-D613-4745-958D-F787D9191A45}"/>
    <cellStyle name="Millares 118 4" xfId="35775" xr:uid="{3ACCB86F-25C6-4EC7-8C8A-18BCA36FF686}"/>
    <cellStyle name="Millares 118 5" xfId="41635" xr:uid="{C4B84185-29B7-4268-B4FF-00F029E2BFE4}"/>
    <cellStyle name="Millares 119" xfId="9620" xr:uid="{1BBE3C69-7F5D-4480-B88C-B4A53729C507}"/>
    <cellStyle name="Millares 119 2" xfId="15806" xr:uid="{4A5EDF78-E5D6-44BC-8131-3BCD98EF8B85}"/>
    <cellStyle name="Millares 119 3" xfId="29898" xr:uid="{55E51423-B558-45BD-8900-A7C653A1162E}"/>
    <cellStyle name="Millares 119 4" xfId="35779" xr:uid="{0ED5D360-BEDF-41EA-A104-4B95BA8718CB}"/>
    <cellStyle name="Millares 119 5" xfId="41639" xr:uid="{D1FD5140-BF5D-47F6-9B6E-D11C763FAB53}"/>
    <cellStyle name="Millares 12" xfId="108" xr:uid="{00000000-0005-0000-0000-0000A8010000}"/>
    <cellStyle name="Millares 12 10" xfId="35972" xr:uid="{16736620-8270-41FB-9E9C-0DD48EDF3ED2}"/>
    <cellStyle name="Millares 12 11" xfId="42145" xr:uid="{76F73A90-C5DC-4972-9254-F1CBA84FBE30}"/>
    <cellStyle name="Millares 12 2" xfId="661" xr:uid="{00000000-0005-0000-0000-0000A9010000}"/>
    <cellStyle name="Millares 12 2 10" xfId="17466" xr:uid="{47EFBDAC-ED5A-4BB7-BCA7-607B968EE452}"/>
    <cellStyle name="Millares 12 2 11" xfId="17811" xr:uid="{6A148ECF-825A-4785-A872-17EE314CF8E4}"/>
    <cellStyle name="Millares 12 2 12" xfId="42146" xr:uid="{5C7782CB-6D87-459E-BF5B-8A80BB376472}"/>
    <cellStyle name="Millares 12 2 13" xfId="42960" xr:uid="{40A6580A-8CF9-48A5-9896-AA7CA43E9D58}"/>
    <cellStyle name="Millares 12 2 14" xfId="47853" xr:uid="{76CC7CC8-E31B-4B7B-9F60-6BFA53DC2FE5}"/>
    <cellStyle name="Millares 12 2 2" xfId="2887" xr:uid="{A6A59203-2D25-45EF-820D-497CE2545FD0}"/>
    <cellStyle name="Millares 12 2 2 2" xfId="5617" xr:uid="{31BB7ED8-05BC-47E0-964F-5AD63BA1F041}"/>
    <cellStyle name="Millares 12 2 2 2 2" xfId="8484" xr:uid="{4A48C203-456C-4217-89B5-DA5CFA69E781}"/>
    <cellStyle name="Millares 12 2 2 2 2 2" xfId="22858" xr:uid="{C9B080BB-0917-4442-86F9-F0603B1F4236}"/>
    <cellStyle name="Millares 12 2 2 2 2 3" xfId="28717" xr:uid="{478CAA08-089C-4AAA-AF92-6BB462257D0F}"/>
    <cellStyle name="Millares 12 2 2 2 2 4" xfId="34599" xr:uid="{74633F48-170E-4318-A3DB-4C8A3B1E1994}"/>
    <cellStyle name="Millares 12 2 2 2 2 5" xfId="40463" xr:uid="{6CF1EAFC-5EE4-4396-9829-A7F1AE710EDC}"/>
    <cellStyle name="Millares 12 2 2 2 3" xfId="20076" xr:uid="{4A04E357-4039-44A1-9F3B-1DD04D79E895}"/>
    <cellStyle name="Millares 12 2 2 2 4" xfId="25868" xr:uid="{50579F42-D816-46FB-A8B6-E4261C5CC31B}"/>
    <cellStyle name="Millares 12 2 2 2 5" xfId="31742" xr:uid="{16AD915A-477D-4C4C-9231-99D5CAA0EEF9}"/>
    <cellStyle name="Millares 12 2 2 2 6" xfId="37611" xr:uid="{54D3B146-4E6B-4C07-B404-361124E46F36}"/>
    <cellStyle name="Millares 12 2 2 2 7" xfId="46318" xr:uid="{7F1BE279-C640-42D6-BD74-09994F5CE0D5}"/>
    <cellStyle name="Millares 12 2 2 3" xfId="7512" xr:uid="{40BEA11C-E017-4728-B255-A09C29032ECC}"/>
    <cellStyle name="Millares 12 2 2 3 2" xfId="21912" xr:uid="{622AF69A-A520-44FE-AD9C-FC347C3F7BCD}"/>
    <cellStyle name="Millares 12 2 2 3 3" xfId="27746" xr:uid="{3E9861DA-6E1F-4193-A43D-0CCC68521155}"/>
    <cellStyle name="Millares 12 2 2 3 4" xfId="33628" xr:uid="{D4604200-2850-4C2A-8BF2-3210C2694EAB}"/>
    <cellStyle name="Millares 12 2 2 3 5" xfId="39492" xr:uid="{C948179B-6F01-4915-857E-AFF5DEC4668C}"/>
    <cellStyle name="Millares 12 2 2 3 6" xfId="47177" xr:uid="{C70C67BB-3D7F-40C2-AF24-743DC60E5DF8}"/>
    <cellStyle name="Millares 12 2 2 4" xfId="4649" xr:uid="{0924646E-5A15-4275-92FA-F70E248D205C}"/>
    <cellStyle name="Millares 12 2 2 5" xfId="11158" xr:uid="{D799918A-A3BE-4DB5-9C86-98F9DC2E544A}"/>
    <cellStyle name="Millares 12 2 2 5 2" xfId="24897" xr:uid="{FDC0C996-21EC-437A-8FB8-A7F13F844C5D}"/>
    <cellStyle name="Millares 12 2 2 6" xfId="13998" xr:uid="{57D360DE-C066-479B-9A07-FD07A5538566}"/>
    <cellStyle name="Millares 12 2 2 6 2" xfId="30773" xr:uid="{6A469EB8-2416-4E01-981D-A27DDF1042F1}"/>
    <cellStyle name="Millares 12 2 2 7" xfId="36654" xr:uid="{8F307DBD-F1F7-44E9-8E26-8B65127B0EBB}"/>
    <cellStyle name="Millares 12 2 2 8" xfId="43922" xr:uid="{1C829898-9F93-4C16-967F-F0BD4F617D42}"/>
    <cellStyle name="Millares 12 2 2 9" xfId="48815" xr:uid="{58FB7BEE-ED55-4ED4-AED3-05BC80B1C67D}"/>
    <cellStyle name="Millares 12 2 3" xfId="5132" xr:uid="{23819588-4841-4165-95E8-262394DE864F}"/>
    <cellStyle name="Millares 12 2 3 2" xfId="7999" xr:uid="{0AFF0C5A-1064-4F8E-A21D-4C47CF2A82A1}"/>
    <cellStyle name="Millares 12 2 3 2 2" xfId="22383" xr:uid="{12920FE8-9AAB-4F67-8371-A4D85F0FD5A7}"/>
    <cellStyle name="Millares 12 2 3 2 3" xfId="28232" xr:uid="{295FB1D6-DF3C-465F-9673-89D85F779EC8}"/>
    <cellStyle name="Millares 12 2 3 2 4" xfId="34114" xr:uid="{EDDD1D28-6C75-4997-8E95-052624E336D7}"/>
    <cellStyle name="Millares 12 2 3 2 5" xfId="39978" xr:uid="{9F45EBEA-C400-4941-85A7-5E126BAE97EE}"/>
    <cellStyle name="Millares 12 2 3 3" xfId="19607" xr:uid="{C7D2E332-4597-4706-806C-A43ACDFB3D05}"/>
    <cellStyle name="Millares 12 2 3 4" xfId="25383" xr:uid="{D01622E9-9CAE-405D-A010-70B4BF5CC016}"/>
    <cellStyle name="Millares 12 2 3 5" xfId="31257" xr:uid="{BAD15C1B-52C2-4CA6-A33A-68B12C7082FF}"/>
    <cellStyle name="Millares 12 2 3 6" xfId="37134" xr:uid="{2B321DF7-0CC8-495E-875A-F981441A0D24}"/>
    <cellStyle name="Millares 12 2 3 7" xfId="45356" xr:uid="{C0D18508-4FFB-4C93-AF68-136EB3CA8AED}"/>
    <cellStyle name="Millares 12 2 4" xfId="7027" xr:uid="{A575AC27-7575-4530-9358-3C0297CA812C}"/>
    <cellStyle name="Millares 12 2 4 2" xfId="21444" xr:uid="{C84DBE45-4338-4639-8C84-EF1AA6614E13}"/>
    <cellStyle name="Millares 12 2 4 3" xfId="27264" xr:uid="{84325840-C5EC-43D3-8773-2FCEB57099DB}"/>
    <cellStyle name="Millares 12 2 4 4" xfId="33143" xr:uid="{485A9001-2CD9-4FA8-B3F5-4915A928205E}"/>
    <cellStyle name="Millares 12 2 4 5" xfId="39007" xr:uid="{66ABFA87-747D-44A0-9473-965D1FCD88CE}"/>
    <cellStyle name="Millares 12 2 4 6" xfId="47156" xr:uid="{EF08948F-F7E1-403A-A5B9-4032F51A23B6}"/>
    <cellStyle name="Millares 12 2 5" xfId="4171" xr:uid="{CEC8C53F-06DE-4403-A119-DDE86D1A0673}"/>
    <cellStyle name="Millares 12 2 6" xfId="10196" xr:uid="{D5604EEC-FA2C-4CC1-BEA2-B0B01EE2CB5A}"/>
    <cellStyle name="Millares 12 2 6 2" xfId="24414" xr:uid="{BD5AADB7-4B22-4145-8BF6-A99D17AC6EA0}"/>
    <cellStyle name="Millares 12 2 7" xfId="13036" xr:uid="{D5238C55-F00C-4ADF-8A99-F59AE5487FD1}"/>
    <cellStyle name="Millares 12 2 7 2" xfId="30291" xr:uid="{BE452B74-55AA-4223-A2BE-E4B1C3B25D9B}"/>
    <cellStyle name="Millares 12 2 8" xfId="16379" xr:uid="{CA358993-8358-4F7F-BBFD-46662BAC7FDE}"/>
    <cellStyle name="Millares 12 2 8 2" xfId="36171" xr:uid="{0EA75EA9-0AA2-4669-B5AA-BDBCAC33151E}"/>
    <cellStyle name="Millares 12 2 9" xfId="16922" xr:uid="{92372D94-CADA-4D9A-84E2-5051E13709E5}"/>
    <cellStyle name="Millares 12 3" xfId="660" xr:uid="{00000000-0005-0000-0000-0000AA010000}"/>
    <cellStyle name="Millares 12 3 10" xfId="47040" xr:uid="{6D1D7821-71AF-4BCD-8657-FF127CA35954}"/>
    <cellStyle name="Millares 12 3 2" xfId="5421" xr:uid="{217866DC-5E4D-4CED-B559-3C079AE20B1C}"/>
    <cellStyle name="Millares 12 3 2 2" xfId="8288" xr:uid="{311FAA9A-0B46-48AE-A080-CD5C8A6360D4}"/>
    <cellStyle name="Millares 12 3 2 2 2" xfId="22664" xr:uid="{550C131A-C983-4641-A4A4-B9B0D67A5844}"/>
    <cellStyle name="Millares 12 3 2 2 3" xfId="28521" xr:uid="{CFABC84B-6340-49F0-8D93-070C6A29D05C}"/>
    <cellStyle name="Millares 12 3 2 2 4" xfId="34403" xr:uid="{77EA96D1-509B-4637-B1EE-57FD9D3F2DB4}"/>
    <cellStyle name="Millares 12 3 2 2 5" xfId="40267" xr:uid="{778172AA-C8B4-4B24-AD08-BCFB4F3DB24F}"/>
    <cellStyle name="Millares 12 3 2 2 6" xfId="47300" xr:uid="{8DBA98B6-8714-4267-B06F-B912D711930B}"/>
    <cellStyle name="Millares 12 3 2 3" xfId="19886" xr:uid="{FCC72EA6-E5F5-427E-9100-0632D39B21EB}"/>
    <cellStyle name="Millares 12 3 2 3 2" xfId="47212" xr:uid="{14391B1F-13A0-4ECB-92DD-ED96F9C2C43F}"/>
    <cellStyle name="Millares 12 3 2 4" xfId="25672" xr:uid="{2672D1D5-BBE9-4BC6-A20E-7CD3FC6A8084}"/>
    <cellStyle name="Millares 12 3 2 5" xfId="31546" xr:uid="{14280AAF-40B0-45A3-8EE0-478FE9902069}"/>
    <cellStyle name="Millares 12 3 2 6" xfId="37417" xr:uid="{451E2FFD-8686-4E3A-8B73-E22B0997A31D}"/>
    <cellStyle name="Millares 12 3 2 7" xfId="46869" xr:uid="{32354D36-27C6-4E6E-A368-43CC0A96C100}"/>
    <cellStyle name="Millares 12 3 3" xfId="7316" xr:uid="{8BA2F5B4-C220-42A8-86AA-D42AB877C481}"/>
    <cellStyle name="Millares 12 3 3 2" xfId="21721" xr:uid="{53C9B7CB-641A-4411-A0BD-633B71E3F006}"/>
    <cellStyle name="Millares 12 3 3 3" xfId="27550" xr:uid="{EE84190C-6DDA-452A-A874-FA19EC3B403E}"/>
    <cellStyle name="Millares 12 3 3 4" xfId="33432" xr:uid="{FC79EA3D-F212-420D-AEF5-9CAD4A23E59C}"/>
    <cellStyle name="Millares 12 3 3 5" xfId="39296" xr:uid="{AC76E9AA-9DC4-4265-8474-E4EBCDDAC63F}"/>
    <cellStyle name="Millares 12 3 4" xfId="18957" xr:uid="{2E167EDC-A2D8-4725-BBA7-556601E1DA6B}"/>
    <cellStyle name="Millares 12 3 5" xfId="24701" xr:uid="{F8CCFFFE-C26A-46A1-AE40-069BC9933CE9}"/>
    <cellStyle name="Millares 12 3 6" xfId="30579" xr:uid="{C43FE564-C5C1-47A2-9A7B-F850AC68F1F1}"/>
    <cellStyle name="Millares 12 3 7" xfId="36460" xr:uid="{60B6074F-34E8-4AFD-97DF-C542591F0091}"/>
    <cellStyle name="Millares 12 3 8" xfId="42147" xr:uid="{911D42ED-28A8-49B0-83DD-FC787BBEB99E}"/>
    <cellStyle name="Millares 12 3 9" xfId="46870" xr:uid="{61797BE8-43B4-4F5F-B4D9-F071110856D1}"/>
    <cellStyle name="Millares 12 4" xfId="4936" xr:uid="{2919B6D0-8DFC-4E93-A862-52ACCD2788B5}"/>
    <cellStyle name="Millares 12 4 2" xfId="7803" xr:uid="{78C6A25D-78EA-4BEE-B0C8-83B0BC9D79FD}"/>
    <cellStyle name="Millares 12 4 2 2" xfId="22191" xr:uid="{8E9BA76D-E2C1-4D5B-8551-C84FFE4C589B}"/>
    <cellStyle name="Millares 12 4 2 3" xfId="28036" xr:uid="{667D3F77-AC54-4DDD-8614-6CBCF41DE32D}"/>
    <cellStyle name="Millares 12 4 2 4" xfId="33918" xr:uid="{47B4DD71-0855-4F67-A76A-41B5F6599C93}"/>
    <cellStyle name="Millares 12 4 2 5" xfId="39782" xr:uid="{7B2D4B66-E724-48E6-B65C-412EB58F0C24}"/>
    <cellStyle name="Millares 12 4 3" xfId="19418" xr:uid="{2CB1C74D-100B-4C1F-99F6-994A27D2658D}"/>
    <cellStyle name="Millares 12 4 4" xfId="25187" xr:uid="{2FCC27AC-E043-4129-972B-0C43CCCB1F13}"/>
    <cellStyle name="Millares 12 4 5" xfId="31061" xr:uid="{4B5F03F5-A100-44E4-89DF-5B4ECB9C610F}"/>
    <cellStyle name="Millares 12 4 6" xfId="36940" xr:uid="{234EDAD7-EB41-49BD-89B9-F4DFDCB8A634}"/>
    <cellStyle name="Millares 12 4 7" xfId="42148" xr:uid="{9B64A336-DEF8-4D80-8CA3-434C51EF0167}"/>
    <cellStyle name="Millares 12 4 8" xfId="46871" xr:uid="{C0D59F67-1FCE-4125-8E09-B9EAAE8B1E88}"/>
    <cellStyle name="Millares 12 5" xfId="5946" xr:uid="{6ACA4D79-2928-4B39-ADA9-957AC27D1A2D}"/>
    <cellStyle name="Millares 12 5 2" xfId="8815" xr:uid="{17BF7EAE-4B3D-4ECE-8D95-6B7857AC783D}"/>
    <cellStyle name="Millares 12 5 2 2" xfId="23181" xr:uid="{A0FFD23D-1B36-45C8-9A44-9145BFA6FBB7}"/>
    <cellStyle name="Millares 12 5 2 3" xfId="29047" xr:uid="{74D9D2F7-783A-45F7-A1F9-23FB3A0BFEC5}"/>
    <cellStyle name="Millares 12 5 2 4" xfId="34929" xr:uid="{311D9EC7-3F90-49E6-B3F4-184A452A1A37}"/>
    <cellStyle name="Millares 12 5 2 5" xfId="40793" xr:uid="{D1FE275D-387A-4A02-BB85-42F25873568E}"/>
    <cellStyle name="Millares 12 5 3" xfId="20396" xr:uid="{5480CD53-9869-48F0-994C-A25D9137FE9D}"/>
    <cellStyle name="Millares 12 5 4" xfId="26197" xr:uid="{872C3204-650A-4BD3-A382-E6BBDBC006D0}"/>
    <cellStyle name="Millares 12 5 5" xfId="32072" xr:uid="{A42F3032-4275-4810-9D7E-313849D249E6}"/>
    <cellStyle name="Millares 12 5 6" xfId="37937" xr:uid="{024389B9-157D-4CDE-9FBC-0BF9651205EC}"/>
    <cellStyle name="Millares 12 5 7" xfId="42149" xr:uid="{7D11AD8C-21A7-4FB5-8961-A67A929C7A34}"/>
    <cellStyle name="Millares 12 5 8" xfId="47260" xr:uid="{2DBF2398-B5FD-4DA6-852F-0D665469C063}"/>
    <cellStyle name="Millares 12 6" xfId="6832" xr:uid="{5950D9A0-5CBB-401B-80A1-5CE3693F820B}"/>
    <cellStyle name="Millares 12 6 2" xfId="21255" xr:uid="{7264B972-37B1-4B48-BE2D-4A736E5282FD}"/>
    <cellStyle name="Millares 12 6 3" xfId="27070" xr:uid="{1CE98397-590F-4DD3-9539-9A3297A1687B}"/>
    <cellStyle name="Millares 12 6 4" xfId="32947" xr:uid="{54152B2C-442B-4B97-8B6D-16EB5BD5C5FE}"/>
    <cellStyle name="Millares 12 6 5" xfId="38811" xr:uid="{9A1C5791-30A1-4566-9F56-4B2B16C7918B}"/>
    <cellStyle name="Millares 12 6 6" xfId="47121" xr:uid="{AA2930EC-B96B-4828-BF9D-5C321C4AF2CD}"/>
    <cellStyle name="Millares 12 7" xfId="18505" xr:uid="{CC38A52A-1DF0-40A9-9217-96EE55456285}"/>
    <cellStyle name="Millares 12 8" xfId="24214" xr:uid="{DE9A3827-C8E3-43FB-B959-D3D19FB82BB8}"/>
    <cellStyle name="Millares 12 9" xfId="30092" xr:uid="{48FB3C5A-A895-473C-B85B-0E9B95088C4A}"/>
    <cellStyle name="Millares 120" xfId="9615" xr:uid="{27DEACEC-9C85-430F-A6F0-781CF7827732}"/>
    <cellStyle name="Millares 120 2" xfId="15803" xr:uid="{345998E6-2B5C-4EFD-B5E1-E570C4FEA312}"/>
    <cellStyle name="Millares 120 3" xfId="29895" xr:uid="{4CA945AC-E67E-4B01-935B-700D95A5FC77}"/>
    <cellStyle name="Millares 120 4" xfId="35776" xr:uid="{A143D336-EB77-4A80-B09A-3075BDA83FE5}"/>
    <cellStyle name="Millares 120 5" xfId="41636" xr:uid="{4E6E008A-B8AB-4A99-B101-1730E2D0FE6B}"/>
    <cellStyle name="Millares 121" xfId="9621" xr:uid="{5CEFFDD9-4903-4EDB-97DB-D3E28717D5B0}"/>
    <cellStyle name="Millares 121 2" xfId="15805" xr:uid="{18610A89-0363-46A9-806B-4B32407D4EC4}"/>
    <cellStyle name="Millares 121 3" xfId="29897" xr:uid="{C2FD653C-6E1A-4A89-8904-F06BCB29FC21}"/>
    <cellStyle name="Millares 121 4" xfId="35778" xr:uid="{2762497E-C6F4-452A-8BBE-8618C2642DF8}"/>
    <cellStyle name="Millares 121 5" xfId="41638" xr:uid="{8389A0F7-54B5-4F83-9D5A-D1FAA5741F53}"/>
    <cellStyle name="Millares 122" xfId="9617" xr:uid="{D590AA53-3D87-429E-AAF7-E375D2B85CEE}"/>
    <cellStyle name="Millares 122 2" xfId="15804" xr:uid="{4CA23C75-0D88-46B2-BC0C-947966334BA0}"/>
    <cellStyle name="Millares 122 3" xfId="29896" xr:uid="{8EF31B9A-EA8C-463C-882C-7264CF85C07B}"/>
    <cellStyle name="Millares 122 4" xfId="35777" xr:uid="{1A484387-21E1-4122-9A62-31C3C2E0E472}"/>
    <cellStyle name="Millares 122 5" xfId="41637" xr:uid="{97424181-D130-44BE-A769-DF6711A57205}"/>
    <cellStyle name="Millares 123" xfId="9622" xr:uid="{D82841B2-CEF1-41A4-97D5-D76A53DE0EEF}"/>
    <cellStyle name="Millares 123 2" xfId="12462" xr:uid="{D26A5690-F486-42AA-89D1-1F8625FF51AE}"/>
    <cellStyle name="Millares 123 2 2" xfId="24008" xr:uid="{E4EBEEC9-4697-47A6-84A4-1AF03C082A5E}"/>
    <cellStyle name="Millares 123 3" xfId="15303" xr:uid="{BEA0EBFE-2615-4570-BBAB-9EC84A589A5C}"/>
    <cellStyle name="Millares 123 3 2" xfId="29883" xr:uid="{836541D9-A6F1-4969-9049-073D84A88556}"/>
    <cellStyle name="Millares 123 4" xfId="15791" xr:uid="{2C52C6B2-86F7-412E-955A-1806DA4506A4}"/>
    <cellStyle name="Millares 123 5" xfId="41624" xr:uid="{E9294D6A-1C99-4F23-82C1-CEC791334954}"/>
    <cellStyle name="Millares 123 6" xfId="50119" xr:uid="{BE44902D-1CEA-42D7-954C-6D8BC4481496}"/>
    <cellStyle name="Millares 124" xfId="9647" xr:uid="{1E50D497-FE62-484E-AECF-AF0CA8299977}"/>
    <cellStyle name="Millares 124 2" xfId="12487" xr:uid="{F4F268B7-815C-43BC-A7E9-1D759C8E25D1}"/>
    <cellStyle name="Millares 124 2 2" xfId="18347" xr:uid="{6DEC7CF1-83A2-4AB8-8A0E-C2AA5BC77DB0}"/>
    <cellStyle name="Millares 124 3" xfId="15328" xr:uid="{5741743D-43E1-4927-98C5-33ABE379AD38}"/>
    <cellStyle name="Millares 124 4" xfId="15811" xr:uid="{BD4474E0-CFD6-46E6-BFAE-09B643397809}"/>
    <cellStyle name="Millares 124 5" xfId="50144" xr:uid="{1B71957C-3705-431D-8599-A1D60560CA25}"/>
    <cellStyle name="Millares 125" xfId="9626" xr:uid="{45B85E5D-D058-4B00-A3D4-444D2FC4A0A9}"/>
    <cellStyle name="Millares 125 2" xfId="12466" xr:uid="{BCBF3EDD-9B59-4C46-A6F4-FAA98850A9D4}"/>
    <cellStyle name="Millares 125 2 2" xfId="41640" xr:uid="{25544027-6BC4-4AF7-8051-EF9089871268}"/>
    <cellStyle name="Millares 125 3" xfId="15307" xr:uid="{274AA4D1-B4D4-434F-BB05-083A6E48BC7D}"/>
    <cellStyle name="Millares 125 4" xfId="15816" xr:uid="{FF2F30D0-A01E-4C6E-8F32-A68D97A4FCCE}"/>
    <cellStyle name="Millares 125 5" xfId="50123" xr:uid="{E3F50E08-749C-427E-8971-DFD8859E57D4}"/>
    <cellStyle name="Millares 126" xfId="9632" xr:uid="{ADC51F80-EE2E-44E7-8B24-EDC3500E385D}"/>
    <cellStyle name="Millares 126 2" xfId="12472" xr:uid="{49E2B1FB-2512-4A9B-B254-51247776B4A4}"/>
    <cellStyle name="Millares 126 3" xfId="15313" xr:uid="{6B9C1DEA-4924-4169-ABF3-B142C0D710CD}"/>
    <cellStyle name="Millares 126 4" xfId="15814" xr:uid="{6AC40964-6B81-4B5A-8459-C17465D08261}"/>
    <cellStyle name="Millares 126 5" xfId="50129" xr:uid="{0C562522-D354-4BCD-B333-04DC1632A545}"/>
    <cellStyle name="Millares 127" xfId="9631" xr:uid="{672EF087-69D3-4B86-9A19-6DFB06630CD9}"/>
    <cellStyle name="Millares 127 2" xfId="12471" xr:uid="{75C6E998-FCCC-4AC7-9186-A8E526B6FD21}"/>
    <cellStyle name="Millares 127 3" xfId="15312" xr:uid="{9C5043F6-5505-4BD4-A2E5-1F7EFDA87BD9}"/>
    <cellStyle name="Millares 127 4" xfId="15848" xr:uid="{C8126306-D022-45E8-828E-E58F34A15DF2}"/>
    <cellStyle name="Millares 127 5" xfId="50128" xr:uid="{05EE8DD3-AB15-4EAD-AD30-1E79056FBBFA}"/>
    <cellStyle name="Millares 128" xfId="9630" xr:uid="{797B685C-7313-4322-90F3-EA8B28563652}"/>
    <cellStyle name="Millares 128 2" xfId="12470" xr:uid="{3040B806-7EC1-49FE-8FD9-1C37AB94DB74}"/>
    <cellStyle name="Millares 128 3" xfId="15311" xr:uid="{EEA5CF41-4409-4DE1-951D-CB29A369B1B3}"/>
    <cellStyle name="Millares 128 4" xfId="15813" xr:uid="{1B1F7D3E-947F-459D-B9D4-D57A746B6A9D}"/>
    <cellStyle name="Millares 128 5" xfId="50127" xr:uid="{FC4AB5B1-5A58-45A5-96DF-FDE68BCCAB28}"/>
    <cellStyle name="Millares 129" xfId="9627" xr:uid="{7B5F63EC-C850-48A2-B5B6-7FECCFC5C64A}"/>
    <cellStyle name="Millares 129 2" xfId="12467" xr:uid="{8F97CE83-8536-45C7-8A32-2AD70991EE99}"/>
    <cellStyle name="Millares 129 3" xfId="15308" xr:uid="{65410995-ABA9-4E39-891D-A09B1B1BEB60}"/>
    <cellStyle name="Millares 129 4" xfId="15847" xr:uid="{5893D77B-4A46-4397-9C48-7B0562678F25}"/>
    <cellStyle name="Millares 129 5" xfId="50124" xr:uid="{67E8007C-A1D8-4935-9ADC-209AD52BD67E}"/>
    <cellStyle name="Millares 13" xfId="178" xr:uid="{00000000-0005-0000-0000-0000AB010000}"/>
    <cellStyle name="Millares 13 10" xfId="3956" xr:uid="{C261CC7B-753C-4BCD-B4E0-A30CBBA1D3BD}"/>
    <cellStyle name="Millares 13 10 2" xfId="44904" xr:uid="{A1453624-03A0-4FDB-949B-4B19D425D9AA}"/>
    <cellStyle name="Millares 13 11" xfId="9744" xr:uid="{5750090D-3851-4A00-9A14-807DF2FCAFEE}"/>
    <cellStyle name="Millares 13 12" xfId="12584" xr:uid="{D1EF0259-10E4-49B8-A151-C236E262AEBB}"/>
    <cellStyle name="Millares 13 13" xfId="15927" xr:uid="{18BC8DC5-C229-4983-9312-EB45D1B49AA0}"/>
    <cellStyle name="Millares 13 14" xfId="16470" xr:uid="{2541C69E-673E-430D-BFF0-8A7DBA90AE79}"/>
    <cellStyle name="Millares 13 15" xfId="17014" xr:uid="{5FB20940-A3EA-4689-8295-973DAC424BCC}"/>
    <cellStyle name="Millares 13 16" xfId="17485" xr:uid="{7A93BFA3-ACE7-497D-B4EC-46138DD21EB3}"/>
    <cellStyle name="Millares 13 17" xfId="42150" xr:uid="{C977F1C6-3686-40B6-A06B-2BEE6C3BD3A0}"/>
    <cellStyle name="Millares 13 18" xfId="42508" xr:uid="{606D831E-7AE7-47B7-9CF6-49053B70EC9D}"/>
    <cellStyle name="Millares 13 19" xfId="47401" xr:uid="{3CF722EF-1E09-41A7-A35C-AD977F20F992}"/>
    <cellStyle name="Millares 13 2" xfId="290" xr:uid="{00000000-0005-0000-0000-0000AC010000}"/>
    <cellStyle name="Millares 13 2 10" xfId="16031" xr:uid="{5DC28134-2742-4295-A044-C92D3F6EB855}"/>
    <cellStyle name="Millares 13 2 11" xfId="16574" xr:uid="{AC7A2365-21E2-4A5D-86BD-8BB61BCFCDDA}"/>
    <cellStyle name="Millares 13 2 12" xfId="17118" xr:uid="{C8119DD3-0AB8-45E2-91AA-70D25DEAB02D}"/>
    <cellStyle name="Millares 13 2 13" xfId="17715" xr:uid="{B2F5F30B-6AA4-4DF7-A0CD-F62DA15D6D36}"/>
    <cellStyle name="Millares 13 2 14" xfId="42612" xr:uid="{19D7B63D-737C-4003-85E3-A302215D2235}"/>
    <cellStyle name="Millares 13 2 15" xfId="47505" xr:uid="{EBD89F21-D1A0-432F-9081-5EBC9599D3D0}"/>
    <cellStyle name="Millares 13 2 2" xfId="517" xr:uid="{00000000-0005-0000-0000-0000AD010000}"/>
    <cellStyle name="Millares 13 2 2 10" xfId="16786" xr:uid="{51B241CB-623B-4906-BFAA-7321481EC624}"/>
    <cellStyle name="Millares 13 2 2 11" xfId="17330" xr:uid="{914918A6-85E4-47C0-A28F-FB226536112F}"/>
    <cellStyle name="Millares 13 2 2 12" xfId="18271" xr:uid="{BD97AC73-1FF8-43A5-9DCB-E8FCF7B2C3AB}"/>
    <cellStyle name="Millares 13 2 2 13" xfId="42824" xr:uid="{3306E03B-0E34-4984-9EBD-4239EEE844E0}"/>
    <cellStyle name="Millares 13 2 2 14" xfId="47717" xr:uid="{82E70627-F29E-4590-8391-BF07FE2668F2}"/>
    <cellStyle name="Millares 13 2 2 2" xfId="2333" xr:uid="{71400007-3533-404B-ABD9-0F42CE37A64E}"/>
    <cellStyle name="Millares 13 2 2 2 2" xfId="8461" xr:uid="{9EAF8122-64DC-4AE3-B4FF-098522D1153F}"/>
    <cellStyle name="Millares 13 2 2 2 2 2" xfId="22836" xr:uid="{C2286AD8-B375-4B02-9D28-51B693DA6895}"/>
    <cellStyle name="Millares 13 2 2 2 2 3" xfId="28694" xr:uid="{461C16AD-9597-4640-8551-8BFDB78BC53A}"/>
    <cellStyle name="Millares 13 2 2 2 2 4" xfId="34576" xr:uid="{C95260E0-658C-425B-8D5E-47A2D7DA303C}"/>
    <cellStyle name="Millares 13 2 2 2 2 5" xfId="40440" xr:uid="{86BC13A0-DF98-48F0-846E-7BA34AE04533}"/>
    <cellStyle name="Millares 13 2 2 2 2 6" xfId="45764" xr:uid="{91F0AF17-FB74-42CF-B791-166F9FC01331}"/>
    <cellStyle name="Millares 13 2 2 2 3" xfId="5594" xr:uid="{E41FF34E-AAF8-41D6-BD0E-9CAC3D1FF74A}"/>
    <cellStyle name="Millares 13 2 2 2 3 2" xfId="47172" xr:uid="{6E86321B-53F3-41D6-BA3B-4324110D27D5}"/>
    <cellStyle name="Millares 13 2 2 2 4" xfId="10604" xr:uid="{1B1BF557-4463-40E9-BF69-74912B3981F2}"/>
    <cellStyle name="Millares 13 2 2 2 4 2" xfId="25845" xr:uid="{4179021C-C572-4CBD-A92F-A47703E7B915}"/>
    <cellStyle name="Millares 13 2 2 2 5" xfId="13444" xr:uid="{98DAE96A-5CD2-4474-AB60-A18DD8E5DFD7}"/>
    <cellStyle name="Millares 13 2 2 2 5 2" xfId="31719" xr:uid="{CDC908E2-9B3B-4315-8824-0E3C91911A38}"/>
    <cellStyle name="Millares 13 2 2 2 6" xfId="37589" xr:uid="{6A7EA4B3-295D-4BB2-98B4-2628F99AC1E9}"/>
    <cellStyle name="Millares 13 2 2 2 7" xfId="43368" xr:uid="{65F9F28F-4CAE-41D4-9757-0638829F0BFC}"/>
    <cellStyle name="Millares 13 2 2 2 8" xfId="48261" xr:uid="{AD24233C-4CBB-425E-A42B-3633B1ED33BD}"/>
    <cellStyle name="Millares 13 2 2 3" xfId="2751" xr:uid="{A2DC91A3-7D5D-44CD-B0E9-7D401CB246ED}"/>
    <cellStyle name="Millares 13 2 2 3 2" xfId="7489" xr:uid="{7B3FD8B9-8247-46E2-81FE-68308B505E0C}"/>
    <cellStyle name="Millares 13 2 2 3 2 2" xfId="46182" xr:uid="{FEDF65BC-D615-487C-A5D7-3D277A450260}"/>
    <cellStyle name="Millares 13 2 2 3 3" xfId="11022" xr:uid="{776243EB-79C6-40CA-9F08-1C79CFC4114A}"/>
    <cellStyle name="Millares 13 2 2 3 3 2" xfId="27723" xr:uid="{C7951A1A-D507-49BF-84D5-801025CEF15A}"/>
    <cellStyle name="Millares 13 2 2 3 4" xfId="13862" xr:uid="{DAE5D005-8DED-4899-A5A5-D30EAF75C674}"/>
    <cellStyle name="Millares 13 2 2 3 4 2" xfId="33605" xr:uid="{60BCC3FD-70D8-4A3B-9F30-F1EA9983D9E5}"/>
    <cellStyle name="Millares 13 2 2 3 5" xfId="39469" xr:uid="{A6DEF5DE-483D-4928-911F-DE444B82CC72}"/>
    <cellStyle name="Millares 13 2 2 3 6" xfId="43786" xr:uid="{561292CE-2121-44C0-8251-C395B55EF2E0}"/>
    <cellStyle name="Millares 13 2 2 3 7" xfId="48679" xr:uid="{6EA31E77-6A9E-4B94-A3A7-B04F691D8F06}"/>
    <cellStyle name="Millares 13 2 2 4" xfId="3295" xr:uid="{EC5791C1-22BA-4468-BF77-DB6926EBE06C}"/>
    <cellStyle name="Millares 13 2 2 4 2" xfId="11566" xr:uid="{E24AB6ED-464E-418E-AAE6-8B9E4DE67405}"/>
    <cellStyle name="Millares 13 2 2 4 2 2" xfId="46726" xr:uid="{A44CF3E6-7F09-4648-8BAF-8ED752D17DC8}"/>
    <cellStyle name="Millares 13 2 2 4 3" xfId="14406" xr:uid="{2BC4AE90-8311-4DB9-9AA9-D9D23100BA64}"/>
    <cellStyle name="Millares 13 2 2 4 4" xfId="19120" xr:uid="{E4EC7467-04F8-4010-8DB9-A439BEEB494F}"/>
    <cellStyle name="Millares 13 2 2 4 5" xfId="44330" xr:uid="{3900A179-B71D-414C-A46A-F064E1B4E93F}"/>
    <cellStyle name="Millares 13 2 2 4 6" xfId="49223" xr:uid="{A73F665A-329D-4B00-B358-4205D3BBF529}"/>
    <cellStyle name="Millares 13 2 2 5" xfId="3797" xr:uid="{E5C11786-E7D6-49E9-B366-2827E33F7AC7}"/>
    <cellStyle name="Millares 13 2 2 5 2" xfId="12038" xr:uid="{FB500177-EE3D-481E-B566-886F59CCA13A}"/>
    <cellStyle name="Millares 13 2 2 5 3" xfId="14878" xr:uid="{AACDA004-DBA2-4D85-805F-0F9E6161F80E}"/>
    <cellStyle name="Millares 13 2 2 5 4" xfId="24874" xr:uid="{AB7AA7D6-6DAD-4305-87F8-0D4019047E4E}"/>
    <cellStyle name="Millares 13 2 2 5 5" xfId="44802" xr:uid="{6ECCA174-2AA3-40DC-A3F2-B9BFE3ED3632}"/>
    <cellStyle name="Millares 13 2 2 5 6" xfId="49695" xr:uid="{26D69047-22E3-4EC1-8601-F896202F07CE}"/>
    <cellStyle name="Millares 13 2 2 6" xfId="4626" xr:uid="{0DD5E4EC-E5AB-4415-A9C7-D5D1BAE69D35}"/>
    <cellStyle name="Millares 13 2 2 6 2" xfId="45220" xr:uid="{95394682-0542-436A-91E0-695D7392CD70}"/>
    <cellStyle name="Millares 13 2 2 7" xfId="10060" xr:uid="{C875A38F-9F7F-4E36-AB10-0E090F5E3CA4}"/>
    <cellStyle name="Millares 13 2 2 7 2" xfId="36632" xr:uid="{3D706FB3-E479-41BD-AEDE-3EDC722796CC}"/>
    <cellStyle name="Millares 13 2 2 8" xfId="12900" xr:uid="{D84BC497-AD3B-496E-BA25-A2E0FCD90B50}"/>
    <cellStyle name="Millares 13 2 2 9" xfId="16243" xr:uid="{9F204749-6B88-4D34-85C2-4F512C55B16E}"/>
    <cellStyle name="Millares 13 2 3" xfId="2121" xr:uid="{7D6AFB8C-79B7-4DB3-BF15-54F599E712E5}"/>
    <cellStyle name="Millares 13 2 3 2" xfId="7976" xr:uid="{055CE190-8522-4FB0-8996-D210CAC292B7}"/>
    <cellStyle name="Millares 13 2 3 2 2" xfId="22361" xr:uid="{224DD902-0CDD-4102-8B08-FEA7C95FD418}"/>
    <cellStyle name="Millares 13 2 3 2 3" xfId="28209" xr:uid="{05905178-B199-4266-B18D-55B121C5AA31}"/>
    <cellStyle name="Millares 13 2 3 2 4" xfId="34091" xr:uid="{13C9BFA0-C448-466D-B180-8058A016DB31}"/>
    <cellStyle name="Millares 13 2 3 2 5" xfId="39955" xr:uid="{5A24DB08-EEBA-4E14-BEAA-8CA4F1D92D27}"/>
    <cellStyle name="Millares 13 2 3 2 6" xfId="45552" xr:uid="{2FF4C6AE-E29B-4380-98C0-2CDBFB47CE63}"/>
    <cellStyle name="Millares 13 2 3 3" xfId="5109" xr:uid="{A607A15F-6888-4D53-B4EF-B048FD3A65A9}"/>
    <cellStyle name="Millares 13 2 3 3 2" xfId="47166" xr:uid="{6D3D16BD-7027-4361-B829-6291BCE5CBAD}"/>
    <cellStyle name="Millares 13 2 3 4" xfId="10392" xr:uid="{E346ACC3-E606-4FBF-9B94-37C6B1467F09}"/>
    <cellStyle name="Millares 13 2 3 4 2" xfId="25360" xr:uid="{E0421737-B411-4C3B-8287-396CA2304015}"/>
    <cellStyle name="Millares 13 2 3 5" xfId="13232" xr:uid="{1F799987-C9A1-4D96-A561-121E32E10DD2}"/>
    <cellStyle name="Millares 13 2 3 5 2" xfId="31234" xr:uid="{91248692-0A79-489D-9FB5-549FC6E19AB2}"/>
    <cellStyle name="Millares 13 2 3 6" xfId="37112" xr:uid="{8BCF287D-08A1-40C2-B138-42C812F8C2C2}"/>
    <cellStyle name="Millares 13 2 3 7" xfId="43156" xr:uid="{84BDC9B6-1502-46BB-B4A9-01B2B5AC8257}"/>
    <cellStyle name="Millares 13 2 3 8" xfId="48049" xr:uid="{796C558F-67D2-4C96-903E-45350B00C9A6}"/>
    <cellStyle name="Millares 13 2 4" xfId="2539" xr:uid="{8DAA58A1-3CF6-48EF-9725-B2DE782CA48F}"/>
    <cellStyle name="Millares 13 2 4 2" xfId="7004" xr:uid="{84A01E7F-F1F5-4A48-902E-D27CC88BA43F}"/>
    <cellStyle name="Millares 13 2 4 2 2" xfId="45970" xr:uid="{18FD2832-A7DF-4AD1-8D92-D36EEAB1D085}"/>
    <cellStyle name="Millares 13 2 4 3" xfId="10810" xr:uid="{BD6C9BBA-BEEB-46CF-B08D-B9E12E2C95F6}"/>
    <cellStyle name="Millares 13 2 4 3 2" xfId="27242" xr:uid="{03FECAFC-90F8-455C-A0B4-BCA6387046C5}"/>
    <cellStyle name="Millares 13 2 4 4" xfId="13650" xr:uid="{66DEE447-6F17-47D3-B5A5-6DAF42372852}"/>
    <cellStyle name="Millares 13 2 4 4 2" xfId="33120" xr:uid="{179B2F04-4E2E-4430-898D-0B30D3D7811E}"/>
    <cellStyle name="Millares 13 2 4 5" xfId="38984" xr:uid="{7B90AD1D-36F6-45CB-AA25-7FAB1CC14F1C}"/>
    <cellStyle name="Millares 13 2 4 6" xfId="43574" xr:uid="{83CBA953-11C1-459D-995C-729BA0AB6AE8}"/>
    <cellStyle name="Millares 13 2 4 7" xfId="48467" xr:uid="{9009CD7D-7700-4A66-B777-F9AE7D067808}"/>
    <cellStyle name="Millares 13 2 5" xfId="3083" xr:uid="{D8885D4B-A5A0-48BC-905A-B554FFB8A4FB}"/>
    <cellStyle name="Millares 13 2 5 2" xfId="11354" xr:uid="{6BF0ADF3-1FB4-48D5-801A-6283ABC14003}"/>
    <cellStyle name="Millares 13 2 5 2 2" xfId="46514" xr:uid="{BF4AFD91-DBB5-41D4-9516-653BEAD3A9DA}"/>
    <cellStyle name="Millares 13 2 5 3" xfId="14194" xr:uid="{E91A3678-9340-428F-8FD9-98EB1D9C522F}"/>
    <cellStyle name="Millares 13 2 5 4" xfId="18676" xr:uid="{896AEF51-B4F8-4F4A-AF04-A4275FE65F1E}"/>
    <cellStyle name="Millares 13 2 5 5" xfId="44118" xr:uid="{5A9565C0-1F39-4AF2-B34E-842E09EE88FD}"/>
    <cellStyle name="Millares 13 2 5 6" xfId="49011" xr:uid="{7183AA8C-BCA1-40F8-80B0-29F8BAB398B6}"/>
    <cellStyle name="Millares 13 2 6" xfId="3585" xr:uid="{274AE04A-1F7E-497F-AACC-495189D776B1}"/>
    <cellStyle name="Millares 13 2 6 2" xfId="11826" xr:uid="{46560AC1-3B8F-4A20-9692-07329D97C1A2}"/>
    <cellStyle name="Millares 13 2 6 3" xfId="14666" xr:uid="{052365B1-7D2B-4EB3-B7F0-F31D6D9FC2AE}"/>
    <cellStyle name="Millares 13 2 6 4" xfId="24391" xr:uid="{E42E5B5D-12F8-4054-B272-B7CEBE341063}"/>
    <cellStyle name="Millares 13 2 6 5" xfId="44590" xr:uid="{AE84BC68-66E7-46B0-8003-81A4ACD22F9A}"/>
    <cellStyle name="Millares 13 2 6 6" xfId="49483" xr:uid="{047C5BA2-2E45-451D-929E-83F05B005F96}"/>
    <cellStyle name="Millares 13 2 7" xfId="4148" xr:uid="{25C37AA4-2C5A-477D-BC92-EE2661E5C04B}"/>
    <cellStyle name="Millares 13 2 7 2" xfId="45008" xr:uid="{91D2C60F-D3FF-4BB6-AA43-1233BB10FFED}"/>
    <cellStyle name="Millares 13 2 8" xfId="9848" xr:uid="{30303822-A2D9-488D-994D-07E9D3779E55}"/>
    <cellStyle name="Millares 13 2 8 2" xfId="36148" xr:uid="{F9D53A01-EEC0-45C2-8B79-D969E6C5AD38}"/>
    <cellStyle name="Millares 13 2 9" xfId="12688" xr:uid="{A687DBD9-A739-4142-B16D-56C09203716E}"/>
    <cellStyle name="Millares 13 3" xfId="416" xr:uid="{00000000-0005-0000-0000-0000AE010000}"/>
    <cellStyle name="Millares 13 3 10" xfId="16686" xr:uid="{12659572-8DA6-45BE-B45B-30553250B53B}"/>
    <cellStyle name="Millares 13 3 11" xfId="17230" xr:uid="{5D97B149-CB9D-4E40-B4A5-DD5B1E1AE833}"/>
    <cellStyle name="Millares 13 3 12" xfId="22144" xr:uid="{B325FF6F-FA17-4CDF-A52A-5AFA758D8A30}"/>
    <cellStyle name="Millares 13 3 13" xfId="42724" xr:uid="{EB8AA7FD-BEEC-4096-942A-C54E99E17778}"/>
    <cellStyle name="Millares 13 3 14" xfId="47617" xr:uid="{EDE5959B-D2BE-4AC5-83AB-4B76E8B146A5}"/>
    <cellStyle name="Millares 13 3 2" xfId="2233" xr:uid="{06353113-908C-457E-9EF7-02058185039E}"/>
    <cellStyle name="Millares 13 3 2 2" xfId="8265" xr:uid="{1BAA933D-3790-451C-A9C6-51C4F5A43C9D}"/>
    <cellStyle name="Millares 13 3 2 2 2" xfId="22641" xr:uid="{54B46DE3-2E11-484E-AB7A-C7B0AEC4AED5}"/>
    <cellStyle name="Millares 13 3 2 2 3" xfId="28498" xr:uid="{2B91691B-1A10-4DA7-8877-AC1DF672306E}"/>
    <cellStyle name="Millares 13 3 2 2 4" xfId="34380" xr:uid="{F5D99FD1-6D86-4E95-BB01-1298B2492E64}"/>
    <cellStyle name="Millares 13 3 2 2 5" xfId="40244" xr:uid="{FBC5AEC3-FCA7-4947-8B6D-1BCB0112D1E1}"/>
    <cellStyle name="Millares 13 3 2 2 6" xfId="45664" xr:uid="{157FA0C8-419B-4618-AEEA-3992F1BC5ECE}"/>
    <cellStyle name="Millares 13 3 2 3" xfId="5398" xr:uid="{ABC62912-0DC8-4DD6-9669-D19DAB7CCB99}"/>
    <cellStyle name="Millares 13 3 2 3 2" xfId="47170" xr:uid="{16AF77C3-A875-41AE-A71E-3C39B9818597}"/>
    <cellStyle name="Millares 13 3 2 4" xfId="10504" xr:uid="{216AC7FB-9570-4773-8DFE-EE5904AC1C5C}"/>
    <cellStyle name="Millares 13 3 2 4 2" xfId="25649" xr:uid="{329A0912-033E-469E-BB6B-6600F536A1C7}"/>
    <cellStyle name="Millares 13 3 2 5" xfId="13344" xr:uid="{857188D9-9DF0-441B-AF27-C30C1FB9674C}"/>
    <cellStyle name="Millares 13 3 2 5 2" xfId="31523" xr:uid="{D0047167-B297-4227-ABF7-AD9F2D780CCE}"/>
    <cellStyle name="Millares 13 3 2 6" xfId="37394" xr:uid="{A1B43388-1718-4F62-9424-4A498E8774F8}"/>
    <cellStyle name="Millares 13 3 2 7" xfId="43268" xr:uid="{4283C2EB-4E6D-49AF-AFC8-C5F59C5170D0}"/>
    <cellStyle name="Millares 13 3 2 8" xfId="48161" xr:uid="{28AFC02D-7382-46A9-AA9A-D865A30BB9C7}"/>
    <cellStyle name="Millares 13 3 3" xfId="2651" xr:uid="{2E3B2604-9017-4360-A857-A38DD8FBA0B4}"/>
    <cellStyle name="Millares 13 3 3 2" xfId="7293" xr:uid="{E011E0EB-03B8-440A-932C-31B8397469CC}"/>
    <cellStyle name="Millares 13 3 3 2 2" xfId="46082" xr:uid="{7F248BC9-1BCA-4F33-AEC5-802A7E876C1D}"/>
    <cellStyle name="Millares 13 3 3 3" xfId="10922" xr:uid="{194DE57A-852E-4C8B-B40E-14B3CC1906E4}"/>
    <cellStyle name="Millares 13 3 3 3 2" xfId="27527" xr:uid="{08A5C1B8-09BE-47CA-B7C2-7228BC5AB0C8}"/>
    <cellStyle name="Millares 13 3 3 4" xfId="13762" xr:uid="{9A71E429-E9E4-4974-A2B2-CCE45655B3F1}"/>
    <cellStyle name="Millares 13 3 3 4 2" xfId="33409" xr:uid="{613EB0DA-6251-4021-841A-B0FF64A740CA}"/>
    <cellStyle name="Millares 13 3 3 5" xfId="39273" xr:uid="{44D2D497-BB02-4D41-9070-4386C89B528F}"/>
    <cellStyle name="Millares 13 3 3 6" xfId="43686" xr:uid="{1D6EA309-90D3-4D53-843F-F18E2FF87EA1}"/>
    <cellStyle name="Millares 13 3 3 7" xfId="48579" xr:uid="{6AD1A812-A1A5-4957-881F-388D4BF53F45}"/>
    <cellStyle name="Millares 13 3 4" xfId="3195" xr:uid="{76319AD1-919F-4547-AAEF-EB09FB4B4B8D}"/>
    <cellStyle name="Millares 13 3 4 2" xfId="11466" xr:uid="{BDFB1CEA-4C3B-40D3-953B-EAB2730ED073}"/>
    <cellStyle name="Millares 13 3 4 2 2" xfId="46626" xr:uid="{A34DF9B3-0410-42E8-9863-3DA732B955E9}"/>
    <cellStyle name="Millares 13 3 4 3" xfId="14306" xr:uid="{8B0DC558-7259-4445-9400-D48D7FAFE462}"/>
    <cellStyle name="Millares 13 3 4 4" xfId="18934" xr:uid="{B25D73E1-3949-42BB-A59C-235325E66617}"/>
    <cellStyle name="Millares 13 3 4 5" xfId="44230" xr:uid="{3B6EBC16-020C-4609-947B-AB8C30A0EC8F}"/>
    <cellStyle name="Millares 13 3 4 6" xfId="49123" xr:uid="{C9CA634F-3B87-4015-A099-4847C0A1F2C8}"/>
    <cellStyle name="Millares 13 3 5" xfId="3697" xr:uid="{056533D9-286C-4CA9-BDE4-C1ACA91F0576}"/>
    <cellStyle name="Millares 13 3 5 2" xfId="11938" xr:uid="{7DB9CCD2-846A-4C23-B89F-1AAA32AE5D22}"/>
    <cellStyle name="Millares 13 3 5 3" xfId="14778" xr:uid="{11EE5D9B-C0D9-4508-9657-C9C50C0820C8}"/>
    <cellStyle name="Millares 13 3 5 4" xfId="24678" xr:uid="{725E1D90-AA2E-4E41-A0B4-F221DAA9B26B}"/>
    <cellStyle name="Millares 13 3 5 5" xfId="44702" xr:uid="{9CEF0128-1312-46D7-B1F3-A553AC8A17E4}"/>
    <cellStyle name="Millares 13 3 5 6" xfId="49595" xr:uid="{8BB44E3C-9F90-4E5C-BD8D-5D1B330D16C7}"/>
    <cellStyle name="Millares 13 3 6" xfId="4431" xr:uid="{F7C35FEE-3E85-42A3-A5AC-F3DA7D18B486}"/>
    <cellStyle name="Millares 13 3 6 2" xfId="45120" xr:uid="{8334659E-566F-4CF7-8AD1-25564A05FC8E}"/>
    <cellStyle name="Millares 13 3 7" xfId="9960" xr:uid="{D720DFD9-02D0-48EB-9066-A6561AA128FA}"/>
    <cellStyle name="Millares 13 3 7 2" xfId="36437" xr:uid="{7A0154D1-9E5F-4D98-9D5D-FEB6FB0A16E6}"/>
    <cellStyle name="Millares 13 3 8" xfId="12800" xr:uid="{45793C71-7084-4D59-BC72-D7FE5BB06CDC}"/>
    <cellStyle name="Millares 13 3 9" xfId="16143" xr:uid="{3A90A164-02AB-49EE-B4FD-8774EE817B00}"/>
    <cellStyle name="Millares 13 4" xfId="619" xr:uid="{00000000-0005-0000-0000-0000AF010000}"/>
    <cellStyle name="Millares 13 4 10" xfId="42926" xr:uid="{F42C1185-618A-4FFE-8768-04EFCB2C8EFF}"/>
    <cellStyle name="Millares 13 4 11" xfId="47819" xr:uid="{8110E0FA-4145-4671-B83B-FA75EBBD2BB4}"/>
    <cellStyle name="Millares 13 4 2" xfId="2853" xr:uid="{8B6B4183-4DDB-4B79-BAD1-D0180FEEA85C}"/>
    <cellStyle name="Millares 13 4 2 2" xfId="7780" xr:uid="{B91A49F1-EC30-4735-857D-B80081C9FFDB}"/>
    <cellStyle name="Millares 13 4 2 2 2" xfId="46284" xr:uid="{ED2354B8-B050-4EAC-8BA9-937DE19607E7}"/>
    <cellStyle name="Millares 13 4 2 3" xfId="11124" xr:uid="{16B7089B-9556-4A20-9F12-445F434361BE}"/>
    <cellStyle name="Millares 13 4 2 3 2" xfId="28013" xr:uid="{229BC919-2573-4F25-B8F4-A6C62BFECE10}"/>
    <cellStyle name="Millares 13 4 2 4" xfId="13964" xr:uid="{640DFCAE-3846-429D-96C6-0389D53BE633}"/>
    <cellStyle name="Millares 13 4 2 4 2" xfId="33895" xr:uid="{71C2352E-0B20-4207-89A6-CBD7E0835F78}"/>
    <cellStyle name="Millares 13 4 2 5" xfId="39759" xr:uid="{7897376F-C257-46C1-9972-BA7F62D2BC8B}"/>
    <cellStyle name="Millares 13 4 2 6" xfId="43888" xr:uid="{AD26B857-EF23-4BA1-9BEC-5F030A9DFDC1}"/>
    <cellStyle name="Millares 13 4 2 7" xfId="48781" xr:uid="{D2DB927D-0A6C-4CD0-83BC-B2E1F16474FB}"/>
    <cellStyle name="Millares 13 4 3" xfId="4913" xr:uid="{2B3CC2E0-3FBF-4C18-BBA2-412FE861B358}"/>
    <cellStyle name="Millares 13 4 3 2" xfId="45322" xr:uid="{5836D6CA-C587-491C-89C4-2D549BFE0D1D}"/>
    <cellStyle name="Millares 13 4 4" xfId="10162" xr:uid="{7F492F91-EB10-4463-95F7-4BAAB914531A}"/>
    <cellStyle name="Millares 13 4 4 2" xfId="25164" xr:uid="{16E7CEBD-EFBC-4934-9D23-1081E6DC2EB6}"/>
    <cellStyle name="Millares 13 4 5" xfId="13002" xr:uid="{2FBA2B24-9A0D-4204-BF36-E48B12317EAE}"/>
    <cellStyle name="Millares 13 4 5 2" xfId="31038" xr:uid="{28C96B42-6AAF-45B6-AEE5-E3562053B9F1}"/>
    <cellStyle name="Millares 13 4 6" xfId="16345" xr:uid="{2E98F916-10E8-4D73-9040-BB2CCB3524BD}"/>
    <cellStyle name="Millares 13 4 6 2" xfId="36917" xr:uid="{8550A211-B297-481C-A094-C3F2853F415C}"/>
    <cellStyle name="Millares 13 4 7" xfId="16888" xr:uid="{FEBE353D-8D29-4F8D-AAB3-A522FB89DE0A}"/>
    <cellStyle name="Millares 13 4 8" xfId="17432" xr:uid="{273FEEDD-00E3-409F-8048-44FEB0423233}"/>
    <cellStyle name="Millares 13 4 9" xfId="18223" xr:uid="{2C47BB09-9112-4E51-B33E-FE8FEAE30B45}"/>
    <cellStyle name="Millares 13 5" xfId="1908" xr:uid="{00000000-0005-0000-0000-0000B0010000}"/>
    <cellStyle name="Millares 13 5 2" xfId="8792" xr:uid="{79EB7A07-E560-4148-A0A3-85EBD8D7148D}"/>
    <cellStyle name="Millares 13 5 2 2" xfId="23159" xr:uid="{CF7C2239-D14E-4DE4-9DFA-B24240FFCC06}"/>
    <cellStyle name="Millares 13 5 2 3" xfId="29024" xr:uid="{A0EDC57A-EABF-4791-90CF-B0C67D6DE673}"/>
    <cellStyle name="Millares 13 5 2 4" xfId="34906" xr:uid="{07E09D2C-6131-448D-ADD2-B13D3301BE53}"/>
    <cellStyle name="Millares 13 5 2 5" xfId="40770" xr:uid="{FD886FB6-6847-45EC-A1D2-AE234DA2BAC2}"/>
    <cellStyle name="Millares 13 5 3" xfId="5923" xr:uid="{254C7BC7-D527-4190-91F8-472412C8CC7F}"/>
    <cellStyle name="Millares 13 5 4" xfId="26174" xr:uid="{C5A9D6EA-B930-4F0E-9665-000BD9A864DC}"/>
    <cellStyle name="Millares 13 5 5" xfId="32049" xr:uid="{0DC344D0-29A5-4C1B-85D3-2C4BCCED7111}"/>
    <cellStyle name="Millares 13 5 6" xfId="37915" xr:uid="{0AF42DB8-C9D7-4AE3-9FAB-B4CDED0489D9}"/>
    <cellStyle name="Millares 13 6" xfId="2017" xr:uid="{8AFBC6A5-4D78-46E7-8C10-4A4773870892}"/>
    <cellStyle name="Millares 13 6 2" xfId="6809" xr:uid="{32808787-E7BD-44F8-BC15-7008B5CBFFF0}"/>
    <cellStyle name="Millares 13 6 2 2" xfId="45448" xr:uid="{8E1A3E82-C79E-48C0-AE06-AE5618D776FE}"/>
    <cellStyle name="Millares 13 6 3" xfId="10288" xr:uid="{39518B97-61BD-4569-9364-5E8118634B80}"/>
    <cellStyle name="Millares 13 6 3 2" xfId="27048" xr:uid="{0F022679-0A9A-4791-8E9B-E3F1BB3FD8BD}"/>
    <cellStyle name="Millares 13 6 4" xfId="13128" xr:uid="{3DC65A05-8CD8-45B5-BCB2-32090301FA89}"/>
    <cellStyle name="Millares 13 6 4 2" xfId="32924" xr:uid="{BE40FF38-D8FD-4974-94B5-9FC70F752F8C}"/>
    <cellStyle name="Millares 13 6 5" xfId="38788" xr:uid="{5CA61307-A0E7-482F-9B19-0142DE1AE0CA}"/>
    <cellStyle name="Millares 13 6 6" xfId="43052" xr:uid="{40EE441E-4008-4C1A-8668-2B3F159C011E}"/>
    <cellStyle name="Millares 13 6 7" xfId="47945" xr:uid="{E68D14C0-08F5-4098-BF8F-53A33375F98D}"/>
    <cellStyle name="Millares 13 7" xfId="2435" xr:uid="{5D71FEDE-0E4D-4F59-A307-44FA54D0617B}"/>
    <cellStyle name="Millares 13 7 2" xfId="10706" xr:uid="{83E52701-059A-4A3F-BAFF-371F6C7CA746}"/>
    <cellStyle name="Millares 13 7 2 2" xfId="45866" xr:uid="{E7EBC829-BB0F-4171-963D-05223AF6D957}"/>
    <cellStyle name="Millares 13 7 3" xfId="13546" xr:uid="{306A01FE-81A7-4DBF-9101-804A7BBF887F}"/>
    <cellStyle name="Millares 13 7 4" xfId="18482" xr:uid="{081048FD-0C00-44F4-9828-212122B5B107}"/>
    <cellStyle name="Millares 13 7 5" xfId="43470" xr:uid="{CE8EDE9D-1C23-4DD1-B5EF-958E14E5BB07}"/>
    <cellStyle name="Millares 13 7 6" xfId="48363" xr:uid="{974B706A-F476-49AF-8AAE-82F85AD33A23}"/>
    <cellStyle name="Millares 13 8" xfId="2979" xr:uid="{2A9E82D2-087F-45E2-92DC-6690D55CC4A8}"/>
    <cellStyle name="Millares 13 8 2" xfId="11250" xr:uid="{D744C8A6-262E-40E8-A7AB-2A17607F20A1}"/>
    <cellStyle name="Millares 13 8 2 2" xfId="46410" xr:uid="{20C3F3CE-E797-41A1-8EB3-ACD141125939}"/>
    <cellStyle name="Millares 13 8 3" xfId="14090" xr:uid="{734A4CF9-43D5-4510-A5F6-60A5F6601E17}"/>
    <cellStyle name="Millares 13 8 4" xfId="24190" xr:uid="{592F6A53-EFB5-45D6-8EC5-E696EAA44C89}"/>
    <cellStyle name="Millares 13 8 5" xfId="44014" xr:uid="{875CA62B-8E69-416D-84B7-4E27F821D8CA}"/>
    <cellStyle name="Millares 13 8 6" xfId="48907" xr:uid="{1AA7133D-9E66-497E-B04C-AEE021941231}"/>
    <cellStyle name="Millares 13 9" xfId="3481" xr:uid="{C2250B17-11C5-4293-9DE4-C472D1A12145}"/>
    <cellStyle name="Millares 13 9 2" xfId="11722" xr:uid="{6C09E8B0-010A-4F57-903C-4F3F5DDACD39}"/>
    <cellStyle name="Millares 13 9 3" xfId="14562" xr:uid="{4F7FA5D3-EECA-4A00-84FE-06EDEB9DBF4D}"/>
    <cellStyle name="Millares 13 9 4" xfId="30068" xr:uid="{0330EF28-2403-4378-A649-A6A23E29E42A}"/>
    <cellStyle name="Millares 13 9 5" xfId="44486" xr:uid="{92C2C5A1-3F3E-43D5-8B42-80C53DBA4FC7}"/>
    <cellStyle name="Millares 13 9 6" xfId="49379" xr:uid="{0243FF7F-1502-413F-81A5-B818BCC057FD}"/>
    <cellStyle name="Millares 130" xfId="9649" xr:uid="{C1F25866-5E08-4CF2-B210-F38A1E29147A}"/>
    <cellStyle name="Millares 130 2" xfId="12489" xr:uid="{41B115D4-BAB8-4469-A50E-5F1DFDF5492E}"/>
    <cellStyle name="Millares 130 3" xfId="15330" xr:uid="{0D109093-5B01-4E54-8223-5C159EA32467}"/>
    <cellStyle name="Millares 130 4" xfId="18311" xr:uid="{3CE8960D-2E83-4CAA-A173-D198330C0B1C}"/>
    <cellStyle name="Millares 130 5" xfId="50146" xr:uid="{8B6E3395-3A61-448E-A6E1-8458C507DC3B}"/>
    <cellStyle name="Millares 131" xfId="9648" xr:uid="{147B7FDF-583F-477D-9273-BEB3080AB30E}"/>
    <cellStyle name="Millares 131 2" xfId="12488" xr:uid="{58183B3A-972A-4FF8-84B2-8ED61F1C768D}"/>
    <cellStyle name="Millares 131 3" xfId="15329" xr:uid="{83072F1D-15CF-4DFF-A651-5C232D5BB220}"/>
    <cellStyle name="Millares 131 4" xfId="18313" xr:uid="{D20D056A-7577-43EC-B341-2FDD2B5342A0}"/>
    <cellStyle name="Millares 131 5" xfId="50145" xr:uid="{16759E11-B5D9-45D1-9A19-D7F89C1C7722}"/>
    <cellStyle name="Millares 132" xfId="9628" xr:uid="{8474B776-9AE2-428D-8EC5-1A0EF947BE04}"/>
    <cellStyle name="Millares 132 2" xfId="12468" xr:uid="{80223CB6-4FFE-4CB6-B7F8-3BD5D2B0E15C}"/>
    <cellStyle name="Millares 132 3" xfId="15309" xr:uid="{0C8DF62E-7600-47B1-9F07-00FC30886B54}"/>
    <cellStyle name="Millares 132 4" xfId="18433" xr:uid="{D2C01163-FB83-47AE-A818-AD8E83B087C6}"/>
    <cellStyle name="Millares 132 5" xfId="50125" xr:uid="{BC272A67-AEE7-4AEC-BC98-522638816ED3}"/>
    <cellStyle name="Millares 133" xfId="9623" xr:uid="{0AB2D036-7161-4401-9CF8-CF215CF95BA5}"/>
    <cellStyle name="Millares 133 2" xfId="12463" xr:uid="{CA5C0829-5F58-440F-851C-5905D2C28399}"/>
    <cellStyle name="Millares 133 3" xfId="15304" xr:uid="{3A9EF035-B53E-49C5-BE4A-62F0E633C1FA}"/>
    <cellStyle name="Millares 133 4" xfId="24023" xr:uid="{617E960E-2247-4B51-94A1-B50E4431CB2E}"/>
    <cellStyle name="Millares 133 5" xfId="50120" xr:uid="{77C01B29-876D-42D5-B289-20D2C6A2677F}"/>
    <cellStyle name="Millares 134" xfId="9629" xr:uid="{13E48F29-DF3C-44FA-AE01-0710D5C39EA8}"/>
    <cellStyle name="Millares 134 2" xfId="12469" xr:uid="{C251E592-10DF-4037-AEAC-6A2BF8E1D59C}"/>
    <cellStyle name="Millares 134 3" xfId="15310" xr:uid="{B0241F69-F6A6-492A-A5FF-5FC8CD8CE574}"/>
    <cellStyle name="Millares 134 4" xfId="24025" xr:uid="{17CE7CF4-8B4F-423E-889A-05B3538716A2}"/>
    <cellStyle name="Millares 134 5" xfId="50126" xr:uid="{FCA61403-877A-4179-A8BF-1886A6637551}"/>
    <cellStyle name="Millares 135" xfId="15355" xr:uid="{16B4A898-9CAA-4323-B63B-8D95C74A8936}"/>
    <cellStyle name="Millares 135 2" xfId="26900" xr:uid="{8BBEBCCB-F090-42E5-B05E-A7CECEA295A3}"/>
    <cellStyle name="Millares 136" xfId="15490" xr:uid="{C529287D-BBEF-4339-A86C-A82447DE1391}"/>
    <cellStyle name="Millares 136 2" xfId="29901" xr:uid="{D27A70D2-BC86-4A1D-B0E1-B0EAC7802CB5}"/>
    <cellStyle name="Millares 137" xfId="15433" xr:uid="{93FA878E-9E04-4BFC-BFC1-25E0EBADD804}"/>
    <cellStyle name="Millares 137 2" xfId="29903" xr:uid="{798D97A2-8E40-457F-A9B5-A6DE0A105DBF}"/>
    <cellStyle name="Millares 138" xfId="15708" xr:uid="{EA57F489-F901-4EA7-8D38-709D0F217E0E}"/>
    <cellStyle name="Millares 138 2" xfId="32775" xr:uid="{59BF319A-6CA5-4E7D-BA3A-0B55B3F4E6A8}"/>
    <cellStyle name="Millares 139" xfId="15738" xr:uid="{42BDDB64-5F15-49B3-8882-BC879D03EF8B}"/>
    <cellStyle name="Millares 139 2" xfId="35780" xr:uid="{D0E5709B-4ED4-4678-BF35-380AD8ACEB2F}"/>
    <cellStyle name="Millares 14" xfId="177" xr:uid="{00000000-0005-0000-0000-0000B1010000}"/>
    <cellStyle name="Millares 14 10" xfId="35971" xr:uid="{A44F2BED-5BBA-4643-B8A2-C6AEF5F0459D}"/>
    <cellStyle name="Millares 14 11" xfId="42151" xr:uid="{B2F0D1A5-68DF-42B3-9858-B33345952576}"/>
    <cellStyle name="Millares 14 2" xfId="4170" xr:uid="{CB6A75BF-F039-4944-AF57-FDA75537DCEF}"/>
    <cellStyle name="Millares 14 2 10" xfId="46872" xr:uid="{A46E14B1-6A39-4DBA-8FF3-9B0B42EBB560}"/>
    <cellStyle name="Millares 14 2 2" xfId="4648" xr:uid="{EACA3AC4-9F86-40B2-9C54-91F51908F5E2}"/>
    <cellStyle name="Millares 14 2 2 2" xfId="5616" xr:uid="{ADCB0930-6A1B-43EB-B457-164A2B2E4840}"/>
    <cellStyle name="Millares 14 2 2 2 2" xfId="8483" xr:uid="{21B6A633-D0E6-4AEF-AE9B-CCC8F34D89F4}"/>
    <cellStyle name="Millares 14 2 2 2 2 2" xfId="22857" xr:uid="{18B6F445-ED84-4F4B-AC79-A1767DE0563B}"/>
    <cellStyle name="Millares 14 2 2 2 2 3" xfId="28716" xr:uid="{53F811D6-24FD-4CDB-A48B-FF2F3AA36627}"/>
    <cellStyle name="Millares 14 2 2 2 2 4" xfId="34598" xr:uid="{7333C2C9-4B15-47C8-B1B7-ADA956970EBC}"/>
    <cellStyle name="Millares 14 2 2 2 2 5" xfId="40462" xr:uid="{9C0BB661-7B5F-42D3-A13E-EB5BD0AA2061}"/>
    <cellStyle name="Millares 14 2 2 2 3" xfId="20075" xr:uid="{688E5151-F7FC-452D-B7AB-AA85C97D6162}"/>
    <cellStyle name="Millares 14 2 2 2 4" xfId="25867" xr:uid="{A11163AE-049C-491C-BDD5-9FA30CF19C1B}"/>
    <cellStyle name="Millares 14 2 2 2 5" xfId="31741" xr:uid="{E76B68CF-AAAF-481A-96CD-D19C1AD3D73A}"/>
    <cellStyle name="Millares 14 2 2 2 6" xfId="37610" xr:uid="{DD6B84A3-CC23-44D0-B6C5-0BFE788B5A44}"/>
    <cellStyle name="Millares 14 2 2 3" xfId="7511" xr:uid="{E8BDE258-46F8-4506-B196-D21B559FE523}"/>
    <cellStyle name="Millares 14 2 2 3 2" xfId="21911" xr:uid="{1ADDA49C-E1D9-42A7-8A1A-8BB3DF5DC8DE}"/>
    <cellStyle name="Millares 14 2 2 3 3" xfId="27745" xr:uid="{2D780153-3782-4A1E-A095-E1A653507A6D}"/>
    <cellStyle name="Millares 14 2 2 3 4" xfId="33627" xr:uid="{C587067F-F828-43C2-9115-064A55C50F81}"/>
    <cellStyle name="Millares 14 2 2 3 5" xfId="39491" xr:uid="{50AE5738-2C05-48FA-A275-74783B055120}"/>
    <cellStyle name="Millares 14 2 2 4" xfId="19142" xr:uid="{760C1CC1-CA88-4B44-A05A-BDEDCE74870E}"/>
    <cellStyle name="Millares 14 2 2 5" xfId="24896" xr:uid="{89A23438-33DD-406D-81FD-D958FED51553}"/>
    <cellStyle name="Millares 14 2 2 6" xfId="30772" xr:uid="{2E3979AA-C804-49A4-948F-50288C1D9A9D}"/>
    <cellStyle name="Millares 14 2 2 7" xfId="36653" xr:uid="{AEDD17A9-0392-40D4-BC7B-AA74977DCDBC}"/>
    <cellStyle name="Millares 14 2 2 8" xfId="42152" xr:uid="{54773EE7-12B5-404D-9892-AA6C6288EF52}"/>
    <cellStyle name="Millares 14 2 2 9" xfId="47316" xr:uid="{CBAED89F-B3E4-4B51-92B2-93E4D1AACCDE}"/>
    <cellStyle name="Millares 14 2 3" xfId="5131" xr:uid="{EBC332B0-8B6B-4500-A68C-80CCB5C57895}"/>
    <cellStyle name="Millares 14 2 3 2" xfId="7998" xr:uid="{A117C9AD-D675-427B-97DA-10A10D2E0289}"/>
    <cellStyle name="Millares 14 2 3 2 2" xfId="22382" xr:uid="{A28BB3B1-AF19-46C0-B1AE-34118C31A08D}"/>
    <cellStyle name="Millares 14 2 3 2 3" xfId="28231" xr:uid="{1DE777BB-FB16-45D2-9A39-620960B1D4B9}"/>
    <cellStyle name="Millares 14 2 3 2 4" xfId="34113" xr:uid="{60EAC3AD-0690-4D84-9111-F3B0FF0E1360}"/>
    <cellStyle name="Millares 14 2 3 2 5" xfId="39977" xr:uid="{40797E72-599E-499D-A29B-7D478C455EA5}"/>
    <cellStyle name="Millares 14 2 3 3" xfId="19606" xr:uid="{CCBD6E28-F6D8-40AD-9727-8A9632E651E3}"/>
    <cellStyle name="Millares 14 2 3 4" xfId="25382" xr:uid="{69C5AEFA-D560-4382-9446-5516F414FD3E}"/>
    <cellStyle name="Millares 14 2 3 5" xfId="31256" xr:uid="{330806C5-16E5-46EF-BFB4-4426ECA8198E}"/>
    <cellStyle name="Millares 14 2 3 6" xfId="37133" xr:uid="{B5F48D44-300B-4D2B-8695-996152F55D26}"/>
    <cellStyle name="Millares 14 2 3 7" xfId="47228" xr:uid="{3BC6D728-7420-4284-BE8A-9F067A0F8757}"/>
    <cellStyle name="Millares 14 2 4" xfId="7026" xr:uid="{508C051D-C608-4172-A8FB-B13B2E095A78}"/>
    <cellStyle name="Millares 14 2 4 2" xfId="21443" xr:uid="{008E1EFD-3F1B-4AD5-AEC2-B069E7CCD739}"/>
    <cellStyle name="Millares 14 2 4 3" xfId="27263" xr:uid="{59D4CFBB-2FBD-4A8D-A467-51607B89A8F2}"/>
    <cellStyle name="Millares 14 2 4 4" xfId="33142" xr:uid="{B949ED34-693D-41F9-B12D-07DC475A74DC}"/>
    <cellStyle name="Millares 14 2 4 5" xfId="39006" xr:uid="{CC93E8B8-8C4B-4BFD-8D5C-BFD5B2AF834F}"/>
    <cellStyle name="Millares 14 2 5" xfId="18698" xr:uid="{354F201C-0A04-4C64-95B7-210236882D7C}"/>
    <cellStyle name="Millares 14 2 6" xfId="24413" xr:uid="{5E58F96F-43B9-4529-9FB1-D35BF2B8E7A9}"/>
    <cellStyle name="Millares 14 2 7" xfId="30290" xr:uid="{01E8566B-FD2A-42A2-A10B-064D6D5BD72E}"/>
    <cellStyle name="Millares 14 2 8" xfId="36170" xr:uid="{F1BF8ED0-FCC8-448B-A22F-E9EAED3B8063}"/>
    <cellStyle name="Millares 14 2 9" xfId="42153" xr:uid="{5C91C162-8ADD-4E71-B949-C4BAE948FBB8}"/>
    <cellStyle name="Millares 14 3" xfId="4453" xr:uid="{9470DC39-460B-4201-A31D-87E5FA644FDB}"/>
    <cellStyle name="Millares 14 3 2" xfId="5420" xr:uid="{196A3684-7A88-4768-AB9B-4FC7DEBB9875}"/>
    <cellStyle name="Millares 14 3 2 2" xfId="8287" xr:uid="{1216E4FA-4F7E-41AE-AC35-AD6018263CC8}"/>
    <cellStyle name="Millares 14 3 2 2 2" xfId="22663" xr:uid="{7B2A7B28-FF8C-4B39-AF92-37068CB31934}"/>
    <cellStyle name="Millares 14 3 2 2 3" xfId="28520" xr:uid="{08C55BFD-9590-458E-80BD-00725E9BAFE2}"/>
    <cellStyle name="Millares 14 3 2 2 4" xfId="34402" xr:uid="{37C8F994-6DC2-4241-BF25-89810ABC9910}"/>
    <cellStyle name="Millares 14 3 2 2 5" xfId="40266" xr:uid="{E17343E4-E8FB-4B89-B81D-C2D701CF31A0}"/>
    <cellStyle name="Millares 14 3 2 3" xfId="19885" xr:uid="{3266C7C3-EDCB-422C-B773-C70C51092F4A}"/>
    <cellStyle name="Millares 14 3 2 4" xfId="25671" xr:uid="{E69F1D97-76CD-4061-A952-D476C4902A28}"/>
    <cellStyle name="Millares 14 3 2 5" xfId="31545" xr:uid="{C480C8FE-AFC1-48B9-BAA0-2D5A1777578C}"/>
    <cellStyle name="Millares 14 3 2 6" xfId="37416" xr:uid="{58FEDACF-8A21-4662-93E8-B61CDB6D3CA1}"/>
    <cellStyle name="Millares 14 3 2 7" xfId="47301" xr:uid="{0BA65BA8-0A0D-4AB4-8A74-08260FD0B234}"/>
    <cellStyle name="Millares 14 3 3" xfId="7315" xr:uid="{7476EB71-7ED7-466E-AF56-5919ED6B4AFD}"/>
    <cellStyle name="Millares 14 3 3 2" xfId="21720" xr:uid="{6C5141CD-908F-40CC-B88B-5968FB294FE7}"/>
    <cellStyle name="Millares 14 3 3 3" xfId="27549" xr:uid="{C69C53FD-1496-4817-9F3D-38A874E3CA57}"/>
    <cellStyle name="Millares 14 3 3 4" xfId="33431" xr:uid="{2C08D5EE-D3DD-4FDA-A8A8-104620808962}"/>
    <cellStyle name="Millares 14 3 3 5" xfId="39295" xr:uid="{29B85B49-7952-442E-9F46-7CD22B35AB11}"/>
    <cellStyle name="Millares 14 3 3 6" xfId="47213" xr:uid="{0122BD82-E15C-4F70-A734-F011CEA9A710}"/>
    <cellStyle name="Millares 14 3 4" xfId="18956" xr:uid="{9F3D1990-EAA7-4769-B97A-D8EB9DF8A6C0}"/>
    <cellStyle name="Millares 14 3 5" xfId="24700" xr:uid="{26A80DE6-114C-4B3D-9871-B9A74B058C87}"/>
    <cellStyle name="Millares 14 3 6" xfId="30578" xr:uid="{17EF9333-957E-473A-9B4E-6CA14DBFF246}"/>
    <cellStyle name="Millares 14 3 7" xfId="36459" xr:uid="{2DEF19C0-DB0D-4C95-A7B0-E75DB673B690}"/>
    <cellStyle name="Millares 14 3 8" xfId="46873" xr:uid="{C923B93C-5B5C-4F67-AE7D-06408B99F23A}"/>
    <cellStyle name="Millares 14 4" xfId="4935" xr:uid="{3A3E6D91-EA10-4054-A23C-7B567614F90C}"/>
    <cellStyle name="Millares 14 4 2" xfId="7802" xr:uid="{B7E67937-5440-4819-9AAB-3DF256524D65}"/>
    <cellStyle name="Millares 14 4 2 2" xfId="22190" xr:uid="{3D2D5BAE-5F15-4C5C-AABA-BAFFA6931956}"/>
    <cellStyle name="Millares 14 4 2 3" xfId="28035" xr:uid="{DA700BB8-3B02-4870-A53B-2CEC1B540519}"/>
    <cellStyle name="Millares 14 4 2 4" xfId="33917" xr:uid="{7BB80407-A235-469D-B25B-22B97FDF3DC3}"/>
    <cellStyle name="Millares 14 4 2 5" xfId="39781" xr:uid="{4750340F-7F92-4E35-B9AF-C13BF7E37673}"/>
    <cellStyle name="Millares 14 4 3" xfId="19417" xr:uid="{9FE6AB10-76CE-4A32-8430-7657F12CAFE1}"/>
    <cellStyle name="Millares 14 4 4" xfId="25186" xr:uid="{0200B703-8287-4AA0-8918-9E13CBC252FF}"/>
    <cellStyle name="Millares 14 4 5" xfId="31060" xr:uid="{E27C9B3C-CC69-4615-A884-9C9253AFAA82}"/>
    <cellStyle name="Millares 14 4 6" xfId="36939" xr:uid="{1E15EC33-2728-450E-9B1D-1CC5279170DF}"/>
    <cellStyle name="Millares 14 5" xfId="5945" xr:uid="{9FDC5D6F-E756-45E2-B9FC-4AA4EE32237B}"/>
    <cellStyle name="Millares 14 5 2" xfId="8814" xr:uid="{6F8D4EB1-7C06-4D48-99E3-5ADAB57F1E7F}"/>
    <cellStyle name="Millares 14 5 2 2" xfId="23180" xr:uid="{1FCD2766-BC51-475F-9987-1A88E85CE9E7}"/>
    <cellStyle name="Millares 14 5 2 3" xfId="29046" xr:uid="{B54AFA92-E569-4EAF-8571-4604226954B5}"/>
    <cellStyle name="Millares 14 5 2 4" xfId="34928" xr:uid="{A85BC0AD-74FC-4B57-BA49-0BAF4274B46B}"/>
    <cellStyle name="Millares 14 5 2 5" xfId="40792" xr:uid="{52626C56-8390-48F9-992E-5B43D39123C1}"/>
    <cellStyle name="Millares 14 5 3" xfId="20395" xr:uid="{38AE7846-FC3C-4B21-AA75-01AC72E34B0F}"/>
    <cellStyle name="Millares 14 5 4" xfId="26196" xr:uid="{99C77A71-5D09-43AE-B9E1-C7BC10B37B0A}"/>
    <cellStyle name="Millares 14 5 5" xfId="32071" xr:uid="{9F5A3DE7-E592-4449-B2A5-C1719DCB6A79}"/>
    <cellStyle name="Millares 14 5 6" xfId="37936" xr:uid="{8F6A379B-3876-4BF0-B207-CFFB31E77D5D}"/>
    <cellStyle name="Millares 14 6" xfId="6831" xr:uid="{4DCEFDD3-5373-4D23-9A9F-966D105B4CF1}"/>
    <cellStyle name="Millares 14 6 2" xfId="21254" xr:uid="{8C674ECB-1EBD-4D07-A24D-21A2384D9443}"/>
    <cellStyle name="Millares 14 6 3" xfId="27069" xr:uid="{F8FD27A0-771E-412A-96D3-F47F83E8FDD8}"/>
    <cellStyle name="Millares 14 6 4" xfId="32946" xr:uid="{D3506C09-3284-44A9-8BAB-87C93B8A3302}"/>
    <cellStyle name="Millares 14 6 5" xfId="38810" xr:uid="{D3499EE1-A3AC-4735-BE63-BD97D5ABB7EE}"/>
    <cellStyle name="Millares 14 7" xfId="3978" xr:uid="{52EF53F5-94D2-491F-9A58-167821C1DC80}"/>
    <cellStyle name="Millares 14 8" xfId="24213" xr:uid="{986930F9-40FC-470B-8427-D2955C1EA847}"/>
    <cellStyle name="Millares 14 9" xfId="30091" xr:uid="{BFC38449-8C96-45CA-B475-9F496D1855A6}"/>
    <cellStyle name="Millares 140" xfId="15690" xr:uid="{CB8B8972-9C45-46F4-B9E7-9D112E54E4AE}"/>
    <cellStyle name="Millares 140 2" xfId="35782" xr:uid="{561F3BD1-675A-4A92-80DA-BD6BE07C3FDE}"/>
    <cellStyle name="Millares 141" xfId="15849" xr:uid="{317195EC-E7AA-4E9D-9514-2473965FB01A}"/>
    <cellStyle name="Millares 141 2" xfId="35784" xr:uid="{7056AAEB-7653-4B84-AEB0-03E03CE1750D}"/>
    <cellStyle name="Millares 142" xfId="15853" xr:uid="{05E400AA-9B33-428C-B2A9-FECAEDF82332}"/>
    <cellStyle name="Millares 142 2" xfId="38639" xr:uid="{F6B35E67-1359-4998-8A06-08BFB75250D6}"/>
    <cellStyle name="Millares 143" xfId="15854" xr:uid="{617A52AA-9AD4-48CF-95E8-90AC098958AC}"/>
    <cellStyle name="Millares 143 2" xfId="42043" xr:uid="{17CA21E6-A0DE-479B-87BA-F0CF557F4997}"/>
    <cellStyle name="Millares 144" xfId="15856" xr:uid="{970BC298-F1CD-4A8C-92EB-7A906A061836}"/>
    <cellStyle name="Millares 144 2" xfId="42047" xr:uid="{A9B2AD5D-302A-4322-8632-11421430112D}"/>
    <cellStyle name="Millares 145" xfId="42046" xr:uid="{5F054DAB-F3F7-459A-BBE5-D6418DCF2A32}"/>
    <cellStyle name="Millares 146" xfId="42044" xr:uid="{3E856010-C806-4BE1-AF91-85B2BC0CBAC2}"/>
    <cellStyle name="Millares 147" xfId="42045" xr:uid="{8F771379-2264-41AF-ADE4-4150743145D8}"/>
    <cellStyle name="Millares 148" xfId="42049" xr:uid="{B91A52F8-D2A4-49D2-9D72-0CFFED22CD8E}"/>
    <cellStyle name="Millares 149" xfId="42054" xr:uid="{AF8C25C0-B4C5-4FFF-8406-92A3C372D05A}"/>
    <cellStyle name="Millares 15" xfId="164" xr:uid="{00000000-0005-0000-0000-0000B2010000}"/>
    <cellStyle name="Millares 15 10" xfId="35997" xr:uid="{DA21C4D0-C98E-4A77-AED4-E916FCC23EE9}"/>
    <cellStyle name="Millares 15 11" xfId="42154" xr:uid="{5D6D8C79-DB83-4690-AF7F-FCB7290BABD6}"/>
    <cellStyle name="Millares 15 2" xfId="4194" xr:uid="{5F31D7E4-B848-4FF9-957A-91B7E779149C}"/>
    <cellStyle name="Millares 15 2 2" xfId="4672" xr:uid="{FC37721C-1BA3-41C9-98CF-D07E131852E2}"/>
    <cellStyle name="Millares 15 2 2 2" xfId="5640" xr:uid="{692364AF-770E-4936-9336-ED965561AF57}"/>
    <cellStyle name="Millares 15 2 2 2 2" xfId="8507" xr:uid="{6CE4C5AC-EA81-4F14-83EE-8D269507CC55}"/>
    <cellStyle name="Millares 15 2 2 2 2 2" xfId="22881" xr:uid="{4BA8B373-3B21-403A-BC2E-B1C6A11B2D7A}"/>
    <cellStyle name="Millares 15 2 2 2 2 3" xfId="28740" xr:uid="{44D27B7D-E598-4063-8D0E-A46D458B5697}"/>
    <cellStyle name="Millares 15 2 2 2 2 4" xfId="34622" xr:uid="{83AA748F-6B99-42F1-9236-C81F972C6B21}"/>
    <cellStyle name="Millares 15 2 2 2 2 5" xfId="40486" xr:uid="{3B433F7F-6798-40F1-9F53-AC0F6EE35F5C}"/>
    <cellStyle name="Millares 15 2 2 2 3" xfId="20099" xr:uid="{BCAF73F7-35DD-4D53-8912-A336832AD960}"/>
    <cellStyle name="Millares 15 2 2 2 4" xfId="25891" xr:uid="{D9EBE755-1D76-4EC2-83AB-8461C490CBDE}"/>
    <cellStyle name="Millares 15 2 2 2 5" xfId="31765" xr:uid="{6834AA15-6A79-46B5-B0AD-32488E7E0504}"/>
    <cellStyle name="Millares 15 2 2 2 6" xfId="37634" xr:uid="{348CEF13-D36D-43D8-A357-FB1FD47BCE8C}"/>
    <cellStyle name="Millares 15 2 2 3" xfId="7535" xr:uid="{3D81D8AA-33E6-4748-9B76-62F399AEBD25}"/>
    <cellStyle name="Millares 15 2 2 3 2" xfId="21935" xr:uid="{9A325CBF-A64A-4836-8CD9-1F10679DAB46}"/>
    <cellStyle name="Millares 15 2 2 3 3" xfId="27769" xr:uid="{B84AB961-014F-4D93-A3F2-7E429FE81C07}"/>
    <cellStyle name="Millares 15 2 2 3 4" xfId="33651" xr:uid="{89001F07-91C0-4207-9AAE-2295E9A2F162}"/>
    <cellStyle name="Millares 15 2 2 3 5" xfId="39515" xr:uid="{BB09A8EF-BA5D-4A2A-8861-59000CC532F9}"/>
    <cellStyle name="Millares 15 2 2 4" xfId="19164" xr:uid="{5465E1F6-E589-4A4C-B596-F8EDAD1187DB}"/>
    <cellStyle name="Millares 15 2 2 5" xfId="24920" xr:uid="{807B9ED3-18BC-4F27-A3C2-47EDD0F87497}"/>
    <cellStyle name="Millares 15 2 2 6" xfId="30796" xr:uid="{D4D085B3-AB11-4E6A-B5EC-2FFE2E46950A}"/>
    <cellStyle name="Millares 15 2 2 7" xfId="36677" xr:uid="{11282B9F-F836-4345-AFB3-2925056A71E2}"/>
    <cellStyle name="Millares 15 2 2 8" xfId="47313" xr:uid="{1B69F2CA-CFF9-49C7-B0E3-B0E00E30F6D6}"/>
    <cellStyle name="Millares 15 2 3" xfId="5155" xr:uid="{93517A79-78E3-41B8-8B8D-CCCCC0661B7F}"/>
    <cellStyle name="Millares 15 2 3 2" xfId="8022" xr:uid="{0E79FB3B-DEB8-42FB-A4F7-DE965F8E3C4A}"/>
    <cellStyle name="Millares 15 2 3 2 2" xfId="22406" xr:uid="{A0919C64-4079-4751-8D4B-C4537122DACD}"/>
    <cellStyle name="Millares 15 2 3 2 3" xfId="28255" xr:uid="{44851954-09C3-4A2A-A8FC-F3363542FB6C}"/>
    <cellStyle name="Millares 15 2 3 2 4" xfId="34137" xr:uid="{DA5ECD2D-10CF-4C51-94BF-A1F43A67EA1C}"/>
    <cellStyle name="Millares 15 2 3 2 5" xfId="40001" xr:uid="{2E92CA54-1AEB-473A-8A21-CB6938AE4EEA}"/>
    <cellStyle name="Millares 15 2 3 3" xfId="19629" xr:uid="{15FC0F8D-F756-44ED-B0F5-4975E4ADC2DF}"/>
    <cellStyle name="Millares 15 2 3 4" xfId="25406" xr:uid="{B98FE2A9-E9A9-43C3-A0A7-A9893B9E532F}"/>
    <cellStyle name="Millares 15 2 3 5" xfId="31280" xr:uid="{E584D175-453E-4DA1-86D4-2EA52BA04BEA}"/>
    <cellStyle name="Millares 15 2 3 6" xfId="37157" xr:uid="{F77DA00B-1ECE-4E63-8814-0AA9A687AB58}"/>
    <cellStyle name="Millares 15 2 3 7" xfId="47225" xr:uid="{033238CF-0402-4E68-905D-D8FB9F912DE5}"/>
    <cellStyle name="Millares 15 2 4" xfId="7050" xr:uid="{4AD8C003-4680-453D-8E9E-BFF1A6E98BEF}"/>
    <cellStyle name="Millares 15 2 4 2" xfId="21466" xr:uid="{4ECD8710-CB83-4957-9FD9-DE700EEBB371}"/>
    <cellStyle name="Millares 15 2 4 3" xfId="27287" xr:uid="{E9B37414-9685-41CA-A328-04C4B7CF6A6B}"/>
    <cellStyle name="Millares 15 2 4 4" xfId="33166" xr:uid="{279CF745-D241-441B-8B5B-071762B35AAF}"/>
    <cellStyle name="Millares 15 2 4 5" xfId="39030" xr:uid="{0D9517FB-FD9D-475D-B324-82E8F050F957}"/>
    <cellStyle name="Millares 15 2 5" xfId="18721" xr:uid="{F92FDD43-0951-4978-A48A-6CFC0E472889}"/>
    <cellStyle name="Millares 15 2 6" xfId="24437" xr:uid="{8AFF97E6-2D98-45B0-A539-62B3E7B44983}"/>
    <cellStyle name="Millares 15 2 7" xfId="30314" xr:uid="{A66E6E4D-149C-4A45-9983-27946258424C}"/>
    <cellStyle name="Millares 15 2 8" xfId="36194" xr:uid="{E98D4D23-744C-4DE4-972F-226816F05FC9}"/>
    <cellStyle name="Millares 15 2 9" xfId="46874" xr:uid="{908187B8-1060-4DF8-A234-ED3E4FEADADD}"/>
    <cellStyle name="Millares 15 3" xfId="4476" xr:uid="{2431AB8D-B51A-413F-A7F3-CAB0F04FF0FB}"/>
    <cellStyle name="Millares 15 3 2" xfId="5444" xr:uid="{94B05B5A-4232-439C-A3CF-7F333C11762B}"/>
    <cellStyle name="Millares 15 3 2 2" xfId="8311" xr:uid="{203E84AA-C010-485B-8EE5-5797E2AD85AA}"/>
    <cellStyle name="Millares 15 3 2 2 2" xfId="22687" xr:uid="{D285B52E-A628-45D5-AE65-B58B7A0BFB6A}"/>
    <cellStyle name="Millares 15 3 2 2 3" xfId="28544" xr:uid="{B5AA9878-EC58-4065-9DB5-641289D9B157}"/>
    <cellStyle name="Millares 15 3 2 2 4" xfId="34426" xr:uid="{900FB846-1259-4BA5-876D-40B9BDC319FD}"/>
    <cellStyle name="Millares 15 3 2 2 5" xfId="40290" xr:uid="{5101A6A6-00B8-491C-8AC4-EBFC059ADDBF}"/>
    <cellStyle name="Millares 15 3 2 3" xfId="19908" xr:uid="{877E4A18-0D7D-4629-B99F-CA6F9A1FA690}"/>
    <cellStyle name="Millares 15 3 2 4" xfId="25695" xr:uid="{8593642D-072D-40D9-A07D-982BB5B28954}"/>
    <cellStyle name="Millares 15 3 2 5" xfId="31569" xr:uid="{24CD6C56-BBB0-4398-968E-85E7454F0CA2}"/>
    <cellStyle name="Millares 15 3 2 6" xfId="37440" xr:uid="{D2C5E273-0FE0-4DAB-9876-212B515D23C2}"/>
    <cellStyle name="Millares 15 3 2 7" xfId="47297" xr:uid="{0E30F566-DF57-4DEB-88FA-A845A5C82E03}"/>
    <cellStyle name="Millares 15 3 3" xfId="7339" xr:uid="{B1B31D02-C7B7-4567-8CDB-876E95E52CE0}"/>
    <cellStyle name="Millares 15 3 3 2" xfId="21743" xr:uid="{C8AD577C-17F2-436D-B505-B387EAA76C54}"/>
    <cellStyle name="Millares 15 3 3 3" xfId="27573" xr:uid="{4F9EE62C-57C3-49AA-A751-5F3C7EED1AEA}"/>
    <cellStyle name="Millares 15 3 3 4" xfId="33455" xr:uid="{DB1D54DF-EF9F-4B9B-ADFA-5A56F0C9DA4F}"/>
    <cellStyle name="Millares 15 3 3 5" xfId="39319" xr:uid="{20B6A5EB-D6C4-4271-8098-F07A7A9AE57D}"/>
    <cellStyle name="Millares 15 3 3 6" xfId="47209" xr:uid="{D030D774-18B1-4B39-A881-07DBC3A76FF5}"/>
    <cellStyle name="Millares 15 3 4" xfId="18980" xr:uid="{EEB187B6-FC1C-44BD-B272-DD1E707BDB5F}"/>
    <cellStyle name="Millares 15 3 5" xfId="24724" xr:uid="{B00DB770-2C3E-4BAF-BC02-DBADB625F3C7}"/>
    <cellStyle name="Millares 15 3 6" xfId="30602" xr:uid="{29CF9D96-395A-43D7-96DB-0C31AA6FC40C}"/>
    <cellStyle name="Millares 15 3 7" xfId="36483" xr:uid="{3B0F20A0-F821-4F37-8FDD-33A002DD4A3E}"/>
    <cellStyle name="Millares 15 3 8" xfId="46875" xr:uid="{DAF5513D-9237-433B-A6A4-F720E9DE84DB}"/>
    <cellStyle name="Millares 15 4" xfId="4959" xr:uid="{893DA0C7-486C-499A-A13E-ACFA6D3E3AF2}"/>
    <cellStyle name="Millares 15 4 2" xfId="7826" xr:uid="{954FD814-7057-4E85-9CE8-950AF4A50091}"/>
    <cellStyle name="Millares 15 4 2 2" xfId="22213" xr:uid="{349378CA-9A90-416C-A2F0-B7645A3666A1}"/>
    <cellStyle name="Millares 15 4 2 3" xfId="28059" xr:uid="{B34101A9-9C21-418F-B051-68D984A25FB9}"/>
    <cellStyle name="Millares 15 4 2 4" xfId="33941" xr:uid="{2B25C19E-5512-4715-9F47-E71DC5ED7826}"/>
    <cellStyle name="Millares 15 4 2 5" xfId="39805" xr:uid="{C189BDEC-227C-4B6C-94EE-D3B679CD8771}"/>
    <cellStyle name="Millares 15 4 3" xfId="19441" xr:uid="{F01CE953-4ADC-4482-893A-BDD34007E2C9}"/>
    <cellStyle name="Millares 15 4 4" xfId="25210" xr:uid="{76828946-CF98-4ADD-9ECB-2266853C5A2E}"/>
    <cellStyle name="Millares 15 4 5" xfId="31084" xr:uid="{32CD1669-B614-4FA5-8CA8-05226732AC53}"/>
    <cellStyle name="Millares 15 4 6" xfId="36963" xr:uid="{F6A51257-A5BC-4A7F-9317-C37C3B6E849F}"/>
    <cellStyle name="Millares 15 5" xfId="5969" xr:uid="{1AEB9C2C-6AFA-47E6-8976-D02078D0A07A}"/>
    <cellStyle name="Millares 15 5 2" xfId="8838" xr:uid="{6A355BE4-C073-41FB-97BD-857D945DF41F}"/>
    <cellStyle name="Millares 15 5 2 2" xfId="23203" xr:uid="{071EFF1D-38AA-440C-8BAA-527B7E895657}"/>
    <cellStyle name="Millares 15 5 2 3" xfId="29070" xr:uid="{A88917F4-CD82-4297-9354-6D10EB86BE71}"/>
    <cellStyle name="Millares 15 5 2 4" xfId="34952" xr:uid="{B7110390-5750-4191-8186-3566295AB010}"/>
    <cellStyle name="Millares 15 5 2 5" xfId="40816" xr:uid="{5332569A-3F6F-415E-9181-CFD2EFABC485}"/>
    <cellStyle name="Millares 15 5 3" xfId="20419" xr:uid="{756617A2-F199-4C83-BFEB-F45335C590B0}"/>
    <cellStyle name="Millares 15 5 4" xfId="26220" xr:uid="{1AE10182-EADA-4368-9F5A-3CD3C51A51AC}"/>
    <cellStyle name="Millares 15 5 5" xfId="32095" xr:uid="{22DAF21A-87DE-4B4B-B427-F3C34C57EA85}"/>
    <cellStyle name="Millares 15 5 6" xfId="37960" xr:uid="{A85D6873-DE0B-488A-BBD2-D3F1D7353F79}"/>
    <cellStyle name="Millares 15 6" xfId="6855" xr:uid="{D7335CB5-7062-4500-B7FD-64ED763888BE}"/>
    <cellStyle name="Millares 15 6 2" xfId="21278" xr:uid="{09895E22-71C1-43D9-AB1E-DF8F439347EF}"/>
    <cellStyle name="Millares 15 6 3" xfId="27093" xr:uid="{49BF027C-3105-4064-B109-2640EBC473A4}"/>
    <cellStyle name="Millares 15 6 4" xfId="32970" xr:uid="{F54B06FB-3CED-4B79-83E7-7E2538453216}"/>
    <cellStyle name="Millares 15 6 5" xfId="38834" xr:uid="{F0AD381C-267D-4FF4-AD60-939DD302CDF5}"/>
    <cellStyle name="Millares 15 7" xfId="4003" xr:uid="{68563CDD-9F5B-4E19-B02D-BCAB006B6F17}"/>
    <cellStyle name="Millares 15 8" xfId="24239" xr:uid="{A9E2DAF6-78DE-44F0-9801-457D2B9E8961}"/>
    <cellStyle name="Millares 15 9" xfId="30117" xr:uid="{60B5EA35-E5E3-4241-B292-9A275F0D1C3C}"/>
    <cellStyle name="Millares 150" xfId="17492" xr:uid="{326FE371-34AC-467F-AFA3-D2889F39F311}"/>
    <cellStyle name="Millares 151" xfId="42095" xr:uid="{90DF441D-736A-458E-843C-6A62B8099A0F}"/>
    <cellStyle name="Millares 152" xfId="46876" xr:uid="{4E0797FB-70D0-4159-B089-C25DDDF0BC3A}"/>
    <cellStyle name="Millares 153" xfId="46997" xr:uid="{A122AAAF-3A25-48D0-9ED5-CAED09B6F791}"/>
    <cellStyle name="Millares 154" xfId="46998" xr:uid="{6DC6CD3D-543F-4C64-AFD9-677C22A61E0E}"/>
    <cellStyle name="Millares 155" xfId="46999" xr:uid="{AB5BB565-D9F8-442B-B868-26FDEC2C14BE}"/>
    <cellStyle name="Millares 156" xfId="47001" xr:uid="{7F6D2049-4ECD-4672-9887-99568AE4E413}"/>
    <cellStyle name="Millares 157" xfId="47002" xr:uid="{31A4C358-F197-4F3B-BF36-820947AD12A4}"/>
    <cellStyle name="Millares 158" xfId="47000" xr:uid="{ED319DD8-F1E9-4A47-9F95-721FC43A4648}"/>
    <cellStyle name="Millares 159" xfId="47005" xr:uid="{54039E88-EABB-4B08-B950-AAE6F901F386}"/>
    <cellStyle name="Millares 16" xfId="134" xr:uid="{00000000-0005-0000-0000-0000B3010000}"/>
    <cellStyle name="Millares 16 10" xfId="4007" xr:uid="{680D0008-46D9-45E3-AE94-34B14FF59229}"/>
    <cellStyle name="Millares 16 10 2" xfId="44862" xr:uid="{B6343D23-E779-4C1A-8691-30F4D808D321}"/>
    <cellStyle name="Millares 16 11" xfId="9702" xr:uid="{6CF111BF-8831-4BF3-A1D1-EB3FB66579F2}"/>
    <cellStyle name="Millares 16 12" xfId="12542" xr:uid="{82FDB2B1-87D5-4AF9-B563-DB0411FD3677}"/>
    <cellStyle name="Millares 16 13" xfId="15885" xr:uid="{A80B2602-5BD4-41A0-B396-9EC0C0448EB9}"/>
    <cellStyle name="Millares 16 14" xfId="16428" xr:uid="{25583F37-56F8-4B3A-B7EB-174E2ED86860}"/>
    <cellStyle name="Millares 16 15" xfId="16972" xr:uid="{92DDDA05-3117-439E-9B20-724F3F760FDF}"/>
    <cellStyle name="Millares 16 16" xfId="17641" xr:uid="{35AA98EA-18DB-4405-91FC-6CC6FEBAF978}"/>
    <cellStyle name="Millares 16 17" xfId="42155" xr:uid="{0D93FD79-B621-43B5-82C9-675A0B63B45C}"/>
    <cellStyle name="Millares 16 18" xfId="42466" xr:uid="{848D9269-EE77-4F73-9A96-48ABA30EF37A}"/>
    <cellStyle name="Millares 16 19" xfId="47359" xr:uid="{02011C59-203A-4633-A0EA-E105FE43A0A6}"/>
    <cellStyle name="Millares 16 2" xfId="248" xr:uid="{00000000-0005-0000-0000-0000B4010000}"/>
    <cellStyle name="Millares 16 2 10" xfId="15989" xr:uid="{5602FB42-EDE6-4451-A677-513D86B7E4A0}"/>
    <cellStyle name="Millares 16 2 11" xfId="16532" xr:uid="{F0FE9CF3-D4AF-4E09-8943-337C3F895B0A}"/>
    <cellStyle name="Millares 16 2 12" xfId="17076" xr:uid="{56B10AAC-65CA-43FE-A4DE-CD9AFB122948}"/>
    <cellStyle name="Millares 16 2 13" xfId="17614" xr:uid="{B199D952-6638-46D3-ADB5-B83B057AD9C5}"/>
    <cellStyle name="Millares 16 2 14" xfId="42570" xr:uid="{9ED8B0D9-D8BB-4C2D-BBF1-CB314AB84867}"/>
    <cellStyle name="Millares 16 2 15" xfId="47463" xr:uid="{046747BA-9D17-4D17-8118-71BA0933B5AD}"/>
    <cellStyle name="Millares 16 2 2" xfId="475" xr:uid="{00000000-0005-0000-0000-0000B5010000}"/>
    <cellStyle name="Millares 16 2 2 10" xfId="16744" xr:uid="{5AADADBF-5336-4374-89A7-58E8962872CD}"/>
    <cellStyle name="Millares 16 2 2 11" xfId="17288" xr:uid="{661F19F2-3D20-4532-B5DF-25A548D0C936}"/>
    <cellStyle name="Millares 16 2 2 12" xfId="17717" xr:uid="{CE092BBB-C149-479F-858B-76EEC29BD962}"/>
    <cellStyle name="Millares 16 2 2 13" xfId="42782" xr:uid="{7E356630-900D-416F-BF93-81F1E2653054}"/>
    <cellStyle name="Millares 16 2 2 14" xfId="47675" xr:uid="{A8377DE6-0E89-415F-AD28-71F985BE03DC}"/>
    <cellStyle name="Millares 16 2 2 2" xfId="2291" xr:uid="{38FB1C4E-3A4F-442C-9C62-EC5882F96895}"/>
    <cellStyle name="Millares 16 2 2 2 2" xfId="8509" xr:uid="{B22FF418-D006-406D-B28C-11C7A7605251}"/>
    <cellStyle name="Millares 16 2 2 2 2 2" xfId="22883" xr:uid="{5D4CCCAA-81D4-4752-8A89-B4B1B0A7A5C8}"/>
    <cellStyle name="Millares 16 2 2 2 2 3" xfId="28742" xr:uid="{B5F8A16E-2416-4405-AAA7-CAEA4CF90407}"/>
    <cellStyle name="Millares 16 2 2 2 2 4" xfId="34624" xr:uid="{ECC3D08F-0EA1-4690-B24B-9AA88E4CC867}"/>
    <cellStyle name="Millares 16 2 2 2 2 5" xfId="40488" xr:uid="{045E7C1C-33E2-49A9-B0CA-AD3EB5FEE2D8}"/>
    <cellStyle name="Millares 16 2 2 2 2 6" xfId="45722" xr:uid="{D0F95723-6AE3-4DAC-8185-BBFA80150A82}"/>
    <cellStyle name="Millares 16 2 2 2 3" xfId="5642" xr:uid="{FA4BFA46-7679-4D56-962A-F598A52401C9}"/>
    <cellStyle name="Millares 16 2 2 2 3 2" xfId="47171" xr:uid="{14CED7EF-1B9C-47CE-B233-4B71C1CBEAF1}"/>
    <cellStyle name="Millares 16 2 2 2 4" xfId="10562" xr:uid="{158EA45E-2857-4D42-9877-8A676C1D1182}"/>
    <cellStyle name="Millares 16 2 2 2 4 2" xfId="25893" xr:uid="{EA46286E-4E1C-496B-AA7C-BA7768A8132D}"/>
    <cellStyle name="Millares 16 2 2 2 5" xfId="13402" xr:uid="{7F5529A5-C641-4A1A-8C74-F24BEB55CB3B}"/>
    <cellStyle name="Millares 16 2 2 2 5 2" xfId="31767" xr:uid="{B3E72E4D-9D47-4663-9306-1B16AF2C5CB0}"/>
    <cellStyle name="Millares 16 2 2 2 6" xfId="37636" xr:uid="{D15F347E-9F0C-4CFD-B5C8-F8FCECDD53A2}"/>
    <cellStyle name="Millares 16 2 2 2 7" xfId="43326" xr:uid="{BE4FCEAD-3FD2-4DE9-AF27-42F3CFD714BB}"/>
    <cellStyle name="Millares 16 2 2 2 8" xfId="48219" xr:uid="{977AFF6C-3184-447B-8CE3-698C5E55E5F4}"/>
    <cellStyle name="Millares 16 2 2 3" xfId="2709" xr:uid="{944AD950-F941-4812-99D4-9687A1E231C9}"/>
    <cellStyle name="Millares 16 2 2 3 2" xfId="7537" xr:uid="{43731316-EF46-4A4D-92CA-B06E4E74030E}"/>
    <cellStyle name="Millares 16 2 2 3 2 2" xfId="46140" xr:uid="{B2E5954B-1C90-4B84-86B0-B507B3F1DE29}"/>
    <cellStyle name="Millares 16 2 2 3 3" xfId="10980" xr:uid="{76A522F9-FFFA-475E-B2A8-E6FA4146174E}"/>
    <cellStyle name="Millares 16 2 2 3 3 2" xfId="27771" xr:uid="{6DEBCF03-CA6D-406B-9CC2-BAE03406049B}"/>
    <cellStyle name="Millares 16 2 2 3 4" xfId="13820" xr:uid="{541702BD-3E80-467A-A750-1E06341C4A1C}"/>
    <cellStyle name="Millares 16 2 2 3 4 2" xfId="33653" xr:uid="{1034C3B4-7C9A-4711-85A1-5AA991F30C05}"/>
    <cellStyle name="Millares 16 2 2 3 5" xfId="39517" xr:uid="{40740542-E354-4BAA-8DEB-BA9A53D681A3}"/>
    <cellStyle name="Millares 16 2 2 3 6" xfId="43744" xr:uid="{ADD4B52C-A383-4515-80E9-A6380C81F262}"/>
    <cellStyle name="Millares 16 2 2 3 7" xfId="48637" xr:uid="{867CA74F-4BC6-4F9F-B60E-9E94E711C0C6}"/>
    <cellStyle name="Millares 16 2 2 4" xfId="3253" xr:uid="{4B66B1F9-C21D-44D1-806D-5FE67ACF5F55}"/>
    <cellStyle name="Millares 16 2 2 4 2" xfId="11524" xr:uid="{B3933F19-641A-4AEB-A518-A034D96F9077}"/>
    <cellStyle name="Millares 16 2 2 4 2 2" xfId="46684" xr:uid="{B3EF06A4-FE41-4272-B4CD-A205DB1E9C15}"/>
    <cellStyle name="Millares 16 2 2 4 3" xfId="14364" xr:uid="{28B32AE8-A740-4BA6-9DA9-9128727750AC}"/>
    <cellStyle name="Millares 16 2 2 4 4" xfId="19166" xr:uid="{AE9CA1CE-5979-440C-A01E-234FE1E4A229}"/>
    <cellStyle name="Millares 16 2 2 4 5" xfId="44288" xr:uid="{5537B687-006E-4626-87B9-614D3B96A0E0}"/>
    <cellStyle name="Millares 16 2 2 4 6" xfId="49181" xr:uid="{0CB4666F-8A3B-4C03-83E2-6C3B300C9ABD}"/>
    <cellStyle name="Millares 16 2 2 5" xfId="3755" xr:uid="{DF520769-6147-4DB7-9FFF-20B9A31BBB1E}"/>
    <cellStyle name="Millares 16 2 2 5 2" xfId="11996" xr:uid="{40A8ED22-D8F1-49CE-8A87-6648F3A2E4D9}"/>
    <cellStyle name="Millares 16 2 2 5 3" xfId="14836" xr:uid="{AAF31A31-1B7E-496C-9C01-4B550F7B5A14}"/>
    <cellStyle name="Millares 16 2 2 5 4" xfId="24922" xr:uid="{0F6EBA3A-B719-46E6-8346-BF84B424EE96}"/>
    <cellStyle name="Millares 16 2 2 5 5" xfId="44760" xr:uid="{508FF651-BC6F-4E3A-B8A5-4CCA92A4EB6C}"/>
    <cellStyle name="Millares 16 2 2 5 6" xfId="49653" xr:uid="{97E8564B-CE8B-47CE-9E36-D0386AB5A7F7}"/>
    <cellStyle name="Millares 16 2 2 6" xfId="4674" xr:uid="{5ABE84CA-5A1E-45E1-94D1-0CC77D968135}"/>
    <cellStyle name="Millares 16 2 2 6 2" xfId="45178" xr:uid="{8836396C-CDBE-49CA-861D-6DCA45F9AD4D}"/>
    <cellStyle name="Millares 16 2 2 7" xfId="10018" xr:uid="{496CCE49-A282-40BA-BF0B-EFBC3334C4CC}"/>
    <cellStyle name="Millares 16 2 2 7 2" xfId="36679" xr:uid="{D70B23AF-5E91-4298-9A7C-34754751537D}"/>
    <cellStyle name="Millares 16 2 2 8" xfId="12858" xr:uid="{22A859E1-DCDC-425F-A24D-BDBE1372BF33}"/>
    <cellStyle name="Millares 16 2 2 9" xfId="16201" xr:uid="{8020F19B-DFB2-4854-A80C-29ABF4039F1B}"/>
    <cellStyle name="Millares 16 2 3" xfId="2079" xr:uid="{3933EA07-8DE6-4179-AB64-BC19ECB17461}"/>
    <cellStyle name="Millares 16 2 3 2" xfId="8024" xr:uid="{B95C0F29-DAF2-40A1-8A03-55AD3FD4FAA9}"/>
    <cellStyle name="Millares 16 2 3 2 2" xfId="22408" xr:uid="{C2091EE5-ED61-40A2-AF20-4B2D01F071C1}"/>
    <cellStyle name="Millares 16 2 3 2 3" xfId="28257" xr:uid="{2E4AE47A-C163-4F8B-957C-5B3BFE2EDCB4}"/>
    <cellStyle name="Millares 16 2 3 2 4" xfId="34139" xr:uid="{7F487D92-318C-47C1-B735-51770D0A2753}"/>
    <cellStyle name="Millares 16 2 3 2 5" xfId="40003" xr:uid="{EB3974B8-353B-45AE-B4AF-BC9B56CB1908}"/>
    <cellStyle name="Millares 16 2 3 2 6" xfId="45510" xr:uid="{67678C72-BC77-4F07-B823-CEA6F448AB2E}"/>
    <cellStyle name="Millares 16 2 3 3" xfId="5157" xr:uid="{CACB2765-AC4A-476A-95AC-23A776A8B1D4}"/>
    <cellStyle name="Millares 16 2 3 3 2" xfId="47165" xr:uid="{EEB4039D-13A6-4F3E-A8FA-CD6828BA8DB5}"/>
    <cellStyle name="Millares 16 2 3 4" xfId="10350" xr:uid="{9C398BF6-C485-4D57-805C-131180CE6EAD}"/>
    <cellStyle name="Millares 16 2 3 4 2" xfId="25408" xr:uid="{285C9F7D-1FE6-4575-9E88-4EFFACABB319}"/>
    <cellStyle name="Millares 16 2 3 5" xfId="13190" xr:uid="{8E363C45-34C9-4EDC-B5C7-253CF2ED2124}"/>
    <cellStyle name="Millares 16 2 3 5 2" xfId="31282" xr:uid="{CA5EE0B0-8588-41DB-8959-F50145244072}"/>
    <cellStyle name="Millares 16 2 3 6" xfId="37159" xr:uid="{8C15BBE4-178C-464B-9A49-5377D66A0635}"/>
    <cellStyle name="Millares 16 2 3 7" xfId="43114" xr:uid="{A52D36ED-7695-49D7-82D3-2EF5B313CF18}"/>
    <cellStyle name="Millares 16 2 3 8" xfId="48007" xr:uid="{2151E36B-4256-4826-9AC2-2B91D4078EEA}"/>
    <cellStyle name="Millares 16 2 4" xfId="2497" xr:uid="{83C02546-8F1D-4FDC-8568-DF0C4DFB0065}"/>
    <cellStyle name="Millares 16 2 4 2" xfId="7052" xr:uid="{7D28C24C-2A66-41DC-8AA7-07CCED439980}"/>
    <cellStyle name="Millares 16 2 4 2 2" xfId="45928" xr:uid="{4118103F-B6C6-453F-9431-C22B097B4B40}"/>
    <cellStyle name="Millares 16 2 4 3" xfId="10768" xr:uid="{21C4EC6B-D442-43DD-A06C-F726B13C4156}"/>
    <cellStyle name="Millares 16 2 4 3 2" xfId="27289" xr:uid="{7447D430-0C11-49B1-85A5-E846C18A15E8}"/>
    <cellStyle name="Millares 16 2 4 4" xfId="13608" xr:uid="{8972146F-B8A3-4FF0-B300-4F58D8002D6B}"/>
    <cellStyle name="Millares 16 2 4 4 2" xfId="33168" xr:uid="{A6D3F8AD-B238-44C9-9071-DA8E92DBAF5C}"/>
    <cellStyle name="Millares 16 2 4 5" xfId="39032" xr:uid="{EDF5E695-7EB0-4B18-89A3-0C2CD10753BA}"/>
    <cellStyle name="Millares 16 2 4 6" xfId="43532" xr:uid="{80B7A2C0-4441-4B95-8450-3A3245CE372B}"/>
    <cellStyle name="Millares 16 2 4 7" xfId="48425" xr:uid="{2A6015DA-C584-482C-97B9-217A21C7A5EB}"/>
    <cellStyle name="Millares 16 2 5" xfId="3041" xr:uid="{C03FA98A-1809-498B-9FD9-493F801AC24B}"/>
    <cellStyle name="Millares 16 2 5 2" xfId="11312" xr:uid="{B7EFA363-C6DD-463E-BA2A-71941CB4BA5E}"/>
    <cellStyle name="Millares 16 2 5 2 2" xfId="46472" xr:uid="{A464E4C5-AA78-4BA7-85FF-D1F522359487}"/>
    <cellStyle name="Millares 16 2 5 3" xfId="14152" xr:uid="{B5D04175-DCB5-4583-9C5B-5730F226DDB9}"/>
    <cellStyle name="Millares 16 2 5 4" xfId="18723" xr:uid="{559630E6-5686-4EB2-A3DA-68C04CC7F375}"/>
    <cellStyle name="Millares 16 2 5 5" xfId="44076" xr:uid="{26EEB165-1DD9-4FF6-B0B9-A9BA260F7FCB}"/>
    <cellStyle name="Millares 16 2 5 6" xfId="48969" xr:uid="{5CFA16E3-61E1-4830-9D7B-D5027507F7A3}"/>
    <cellStyle name="Millares 16 2 6" xfId="3543" xr:uid="{B9558DCD-7D1E-4D0D-B240-09440E93EBC1}"/>
    <cellStyle name="Millares 16 2 6 2" xfId="11784" xr:uid="{32BCEF6F-B3A3-4516-8BDA-98A2BD6DE6FE}"/>
    <cellStyle name="Millares 16 2 6 3" xfId="14624" xr:uid="{C3842865-F188-49B7-BB27-F261F3CC72DF}"/>
    <cellStyle name="Millares 16 2 6 4" xfId="24439" xr:uid="{CE42BAAA-A11F-4068-A187-6B8F5E0FF2F2}"/>
    <cellStyle name="Millares 16 2 6 5" xfId="44548" xr:uid="{5AFF0F37-E142-4145-B5A7-244210711DCB}"/>
    <cellStyle name="Millares 16 2 6 6" xfId="49441" xr:uid="{E2DAE962-D395-49A0-B956-E3BC73592075}"/>
    <cellStyle name="Millares 16 2 7" xfId="4196" xr:uid="{1D3FE96F-32F0-4FF7-B383-DBBA629B0599}"/>
    <cellStyle name="Millares 16 2 7 2" xfId="44966" xr:uid="{B8764BFF-9325-4C42-8BFD-7008467595EE}"/>
    <cellStyle name="Millares 16 2 8" xfId="9806" xr:uid="{B85F0BCA-CF2D-4A9F-9923-C7D611C764AB}"/>
    <cellStyle name="Millares 16 2 8 2" xfId="36196" xr:uid="{05190FD6-4DD3-498A-8812-6C540A30953B}"/>
    <cellStyle name="Millares 16 2 9" xfId="12646" xr:uid="{A275D0DF-7484-48EB-B8ED-E19CA545B868}"/>
    <cellStyle name="Millares 16 3" xfId="374" xr:uid="{00000000-0005-0000-0000-0000B6010000}"/>
    <cellStyle name="Millares 16 3 10" xfId="16644" xr:uid="{2A82628F-2F2E-4090-A138-037569C6C151}"/>
    <cellStyle name="Millares 16 3 11" xfId="17188" xr:uid="{2D94BC15-C744-4DBB-AB09-F22C0E211EB1}"/>
    <cellStyle name="Millares 16 3 12" xfId="18117" xr:uid="{F5C088A4-A111-444A-B1E3-9ACDB5E94411}"/>
    <cellStyle name="Millares 16 3 13" xfId="42682" xr:uid="{C418C6E9-CCC1-41D8-A31C-53A7491AECE8}"/>
    <cellStyle name="Millares 16 3 14" xfId="47575" xr:uid="{3F525CB7-D9FD-4116-ABBF-A42B3CAF77BB}"/>
    <cellStyle name="Millares 16 3 2" xfId="2191" xr:uid="{9169D383-73CF-432C-8CBE-F3C3091759DA}"/>
    <cellStyle name="Millares 16 3 2 2" xfId="8313" xr:uid="{DB134771-DD4B-49BE-803C-3CFAAFAEE7C5}"/>
    <cellStyle name="Millares 16 3 2 2 2" xfId="22689" xr:uid="{B5585747-1FEB-4190-B8EF-8567996B619F}"/>
    <cellStyle name="Millares 16 3 2 2 3" xfId="28546" xr:uid="{4A47969A-A8AF-48D4-8091-ED9368BB57A9}"/>
    <cellStyle name="Millares 16 3 2 2 4" xfId="34428" xr:uid="{0E633D5C-4AA0-45AE-A938-5183FD5AF608}"/>
    <cellStyle name="Millares 16 3 2 2 5" xfId="40292" xr:uid="{C760FD2C-2F49-41C1-BF56-384849A28F33}"/>
    <cellStyle name="Millares 16 3 2 2 6" xfId="45622" xr:uid="{B9F7308E-04C9-49EC-82D5-D9F980D5D126}"/>
    <cellStyle name="Millares 16 3 2 3" xfId="5446" xr:uid="{43268DD7-52A2-4DF4-ADBF-B96CD336425B}"/>
    <cellStyle name="Millares 16 3 2 3 2" xfId="47169" xr:uid="{C176E3E5-C5FC-4BC0-9485-2343C1A28144}"/>
    <cellStyle name="Millares 16 3 2 4" xfId="10462" xr:uid="{D862D633-A508-4176-A497-AD380954F2F2}"/>
    <cellStyle name="Millares 16 3 2 4 2" xfId="25697" xr:uid="{F1631710-6A09-4DBE-999F-D5415050568F}"/>
    <cellStyle name="Millares 16 3 2 5" xfId="13302" xr:uid="{2919E9F2-0135-4B67-A01B-65026475E561}"/>
    <cellStyle name="Millares 16 3 2 5 2" xfId="31571" xr:uid="{A84CF2CC-E759-4CAB-85E6-ABA3B00F4E2D}"/>
    <cellStyle name="Millares 16 3 2 6" xfId="37442" xr:uid="{451AF937-D554-4074-8404-DD14830C31CB}"/>
    <cellStyle name="Millares 16 3 2 7" xfId="43226" xr:uid="{98DFABF0-C6CE-4E29-91AD-0A830D67A4AD}"/>
    <cellStyle name="Millares 16 3 2 8" xfId="48119" xr:uid="{45DABD25-B476-476F-948E-B60D301ABAF2}"/>
    <cellStyle name="Millares 16 3 3" xfId="2609" xr:uid="{CE4C6516-9E72-49D5-8F89-9B840803BAA0}"/>
    <cellStyle name="Millares 16 3 3 2" xfId="7341" xr:uid="{98F80DEC-CF0C-467C-88B2-08ECAB06B1DB}"/>
    <cellStyle name="Millares 16 3 3 2 2" xfId="46040" xr:uid="{B017FD53-6FAF-4340-B94B-5B95B74BD489}"/>
    <cellStyle name="Millares 16 3 3 3" xfId="10880" xr:uid="{131110CB-0030-4249-9111-42BEF9EBFDE3}"/>
    <cellStyle name="Millares 16 3 3 3 2" xfId="27575" xr:uid="{A6E3890E-D12A-403D-A940-B3F2ED94900E}"/>
    <cellStyle name="Millares 16 3 3 4" xfId="13720" xr:uid="{080BAAF9-BABA-40B0-9959-038D18BA069F}"/>
    <cellStyle name="Millares 16 3 3 4 2" xfId="33457" xr:uid="{51DEB791-79F6-492A-B5FE-45A4FECEBF66}"/>
    <cellStyle name="Millares 16 3 3 5" xfId="39321" xr:uid="{1A27A97D-0737-4545-9784-4848C83788AF}"/>
    <cellStyle name="Millares 16 3 3 6" xfId="43644" xr:uid="{F20B4F78-436F-4C7A-AA9E-024E4CF05C33}"/>
    <cellStyle name="Millares 16 3 3 7" xfId="48537" xr:uid="{3C70E74E-9E9B-4B7B-9913-E9F013790AA0}"/>
    <cellStyle name="Millares 16 3 4" xfId="3153" xr:uid="{55F7E4E7-ECC4-42EF-ABC7-0AF51C8671C5}"/>
    <cellStyle name="Millares 16 3 4 2" xfId="11424" xr:uid="{E0BBB4FF-F82B-4300-9FC6-CE7B9CDBBF4C}"/>
    <cellStyle name="Millares 16 3 4 2 2" xfId="46584" xr:uid="{729C3474-91E7-4622-8B90-7EA33124E8FF}"/>
    <cellStyle name="Millares 16 3 4 3" xfId="14264" xr:uid="{47F0F554-DB3A-4BAC-AF20-AA215EEF733E}"/>
    <cellStyle name="Millares 16 3 4 4" xfId="18982" xr:uid="{BF3FA45A-FE9C-4038-B8B3-B7F4C0DE335A}"/>
    <cellStyle name="Millares 16 3 4 5" xfId="44188" xr:uid="{5290D541-8F80-4E68-B663-CC175DCB9A07}"/>
    <cellStyle name="Millares 16 3 4 6" xfId="49081" xr:uid="{2889037D-F29C-4808-A8F1-D5F47B524A03}"/>
    <cellStyle name="Millares 16 3 5" xfId="3655" xr:uid="{9547AFDD-F3EC-44FD-828A-C42B6F9FBC2E}"/>
    <cellStyle name="Millares 16 3 5 2" xfId="11896" xr:uid="{42B3D4A6-55A9-4A82-97D1-2FA5816B698B}"/>
    <cellStyle name="Millares 16 3 5 3" xfId="14736" xr:uid="{BE1FC237-2D36-4D41-93C5-DC7765132786}"/>
    <cellStyle name="Millares 16 3 5 4" xfId="24726" xr:uid="{3910B2A3-31D0-415A-984D-06289D9818E9}"/>
    <cellStyle name="Millares 16 3 5 5" xfId="44660" xr:uid="{0CB9ED48-8D17-4E35-9263-6607B264EAD2}"/>
    <cellStyle name="Millares 16 3 5 6" xfId="49553" xr:uid="{9ED2E7D9-6DCE-46FF-AFF7-9DAA72B40C57}"/>
    <cellStyle name="Millares 16 3 6" xfId="4478" xr:uid="{6DAA73B9-417A-414C-B747-9399B3B8245A}"/>
    <cellStyle name="Millares 16 3 6 2" xfId="45078" xr:uid="{2BBF1FC9-AE15-49E9-8C9D-3DEDF275B933}"/>
    <cellStyle name="Millares 16 3 7" xfId="9918" xr:uid="{5A3BEF7A-5BF0-4FEB-8D7D-CB5BFE6D5BCF}"/>
    <cellStyle name="Millares 16 3 7 2" xfId="36485" xr:uid="{068188BB-60EF-4874-AA85-2E1CA6AFB2A1}"/>
    <cellStyle name="Millares 16 3 8" xfId="12758" xr:uid="{03BD6A8B-02BE-4B06-8920-01E9047D8521}"/>
    <cellStyle name="Millares 16 3 9" xfId="16101" xr:uid="{F58DC91A-EB60-46C4-9155-03A165A0760B}"/>
    <cellStyle name="Millares 16 4" xfId="577" xr:uid="{00000000-0005-0000-0000-0000B7010000}"/>
    <cellStyle name="Millares 16 4 10" xfId="42884" xr:uid="{8954213B-8F8B-4A35-A4E7-F5A4C51A46D7}"/>
    <cellStyle name="Millares 16 4 11" xfId="47777" xr:uid="{850C9411-6A93-41C8-A513-F39AA22584A1}"/>
    <cellStyle name="Millares 16 4 2" xfId="2811" xr:uid="{F187A96A-F5A8-4A90-AA4C-9D59E5755D07}"/>
    <cellStyle name="Millares 16 4 2 2" xfId="7828" xr:uid="{4D9D1B8C-6D49-47E5-8833-76E334625DA2}"/>
    <cellStyle name="Millares 16 4 2 2 2" xfId="46242" xr:uid="{3BD57A22-60A1-47B8-96E9-6A1CC6FDEFD9}"/>
    <cellStyle name="Millares 16 4 2 3" xfId="11082" xr:uid="{CC0D5016-AF92-4024-A4BB-93940EFC31E8}"/>
    <cellStyle name="Millares 16 4 2 3 2" xfId="28061" xr:uid="{1635B496-1134-4CD9-A7E6-201DBEE870A2}"/>
    <cellStyle name="Millares 16 4 2 4" xfId="13922" xr:uid="{F0617F26-13CD-40CD-BF9B-6A6907FBEA55}"/>
    <cellStyle name="Millares 16 4 2 4 2" xfId="33943" xr:uid="{777F7DB7-A6F4-45DF-94D3-7FBD29D52183}"/>
    <cellStyle name="Millares 16 4 2 5" xfId="39807" xr:uid="{0A797905-2EDC-43C2-A10E-A906B8F2B177}"/>
    <cellStyle name="Millares 16 4 2 6" xfId="43846" xr:uid="{885AC15C-E826-46FC-8410-7B529768D9FD}"/>
    <cellStyle name="Millares 16 4 2 7" xfId="48739" xr:uid="{7D4E9E89-1DC8-4A42-8B24-72CB9711E637}"/>
    <cellStyle name="Millares 16 4 3" xfId="4961" xr:uid="{A4611345-7AC3-4722-A176-B24A76241B0F}"/>
    <cellStyle name="Millares 16 4 3 2" xfId="45280" xr:uid="{EDB41143-C087-4F63-86EF-C9D84D95D7AA}"/>
    <cellStyle name="Millares 16 4 4" xfId="10120" xr:uid="{AC21CE86-87E5-41B3-9A8E-EB76EB9406CA}"/>
    <cellStyle name="Millares 16 4 4 2" xfId="25212" xr:uid="{28329752-E11A-433F-9BF9-4EC4D84CE3CF}"/>
    <cellStyle name="Millares 16 4 5" xfId="12960" xr:uid="{EAE9753B-59B8-4763-B86C-5DD8FDFD4E3D}"/>
    <cellStyle name="Millares 16 4 5 2" xfId="31086" xr:uid="{38EC4907-379A-49FB-B298-B46B95FDB320}"/>
    <cellStyle name="Millares 16 4 6" xfId="16303" xr:uid="{20898B8A-6FF2-4EAF-BBA6-0A13598BC631}"/>
    <cellStyle name="Millares 16 4 6 2" xfId="36965" xr:uid="{2467A458-9DD5-4A5F-9E03-85EF5BC5DA8E}"/>
    <cellStyle name="Millares 16 4 7" xfId="16846" xr:uid="{0C907372-9C68-4D31-BC88-C2008664749D}"/>
    <cellStyle name="Millares 16 4 8" xfId="17390" xr:uid="{273E186E-6E38-4CD0-A277-BA3AD5887D49}"/>
    <cellStyle name="Millares 16 4 9" xfId="17777" xr:uid="{86E7708D-41CD-442E-9AA2-3C9ABD35ABB3}"/>
    <cellStyle name="Millares 16 5" xfId="1975" xr:uid="{0D36C5D5-123D-4F40-AE9E-AD718718781E}"/>
    <cellStyle name="Millares 16 5 2" xfId="8840" xr:uid="{C932DFE1-65D0-4703-ACCC-4149A50FA85F}"/>
    <cellStyle name="Millares 16 5 2 2" xfId="23205" xr:uid="{84860EAC-AC32-4C8B-8607-F430A224074E}"/>
    <cellStyle name="Millares 16 5 2 3" xfId="29072" xr:uid="{A60CE6F8-142C-4C44-9D3A-20582DA93205}"/>
    <cellStyle name="Millares 16 5 2 4" xfId="34954" xr:uid="{7D77333C-F57D-4706-B8A6-1626808EA091}"/>
    <cellStyle name="Millares 16 5 2 5" xfId="40818" xr:uid="{160A9B05-898D-4A51-846B-58D7C837A663}"/>
    <cellStyle name="Millares 16 5 2 6" xfId="45406" xr:uid="{4432BF47-AD5A-4C5C-B0B5-9560F005C5B2}"/>
    <cellStyle name="Millares 16 5 3" xfId="5971" xr:uid="{796DF6AE-7931-4DA5-A7B7-E96AC1912132}"/>
    <cellStyle name="Millares 16 5 3 2" xfId="47161" xr:uid="{2671759B-7C25-4054-9E86-917228A593C1}"/>
    <cellStyle name="Millares 16 5 4" xfId="10246" xr:uid="{7A216759-D7A9-49B3-90F7-C1097B18B6B1}"/>
    <cellStyle name="Millares 16 5 4 2" xfId="26222" xr:uid="{3652503C-991B-4AA9-996C-CA395AF42728}"/>
    <cellStyle name="Millares 16 5 5" xfId="13086" xr:uid="{F0A6153A-56B6-4AB1-A125-C0E999AAD9A8}"/>
    <cellStyle name="Millares 16 5 5 2" xfId="32097" xr:uid="{0DD2C69B-E21C-4420-AC7D-FD08928A06FB}"/>
    <cellStyle name="Millares 16 5 6" xfId="37962" xr:uid="{E3E1F520-64B3-4534-BAE1-31544F9E2EB6}"/>
    <cellStyle name="Millares 16 5 7" xfId="43010" xr:uid="{B48690A9-FC89-4591-BE75-F7F061E727A8}"/>
    <cellStyle name="Millares 16 5 8" xfId="47903" xr:uid="{023C983B-17BC-4659-A362-FBBF85DFCA0C}"/>
    <cellStyle name="Millares 16 6" xfId="2393" xr:uid="{8582F64C-E879-44BA-A5DE-008E9BCA2EEB}"/>
    <cellStyle name="Millares 16 6 2" xfId="6857" xr:uid="{BECDF3E9-8375-46BA-8E6E-2CA26D2BB18E}"/>
    <cellStyle name="Millares 16 6 2 2" xfId="45824" xr:uid="{A0BFB506-E0F0-471C-A784-CEC4074A39B9}"/>
    <cellStyle name="Millares 16 6 3" xfId="10664" xr:uid="{30B5DC06-A8E5-4202-A878-04BABB9D4877}"/>
    <cellStyle name="Millares 16 6 3 2" xfId="27095" xr:uid="{ED2F4A8D-5484-4815-B691-446F63CEF6BF}"/>
    <cellStyle name="Millares 16 6 4" xfId="13504" xr:uid="{81902048-E6D0-4DCF-99A1-65C3A4E94B8B}"/>
    <cellStyle name="Millares 16 6 4 2" xfId="32972" xr:uid="{C11E6828-D439-47D0-A64E-4B628CCB22F0}"/>
    <cellStyle name="Millares 16 6 5" xfId="38836" xr:uid="{0C540318-AE79-465D-BA59-8E8B72EA6470}"/>
    <cellStyle name="Millares 16 6 6" xfId="43428" xr:uid="{2C313F7F-6A54-4366-8768-56A7399387A7}"/>
    <cellStyle name="Millares 16 6 7" xfId="48321" xr:uid="{BB1C57D3-3FA2-4D55-8E02-2381B279848F}"/>
    <cellStyle name="Millares 16 7" xfId="2937" xr:uid="{41B07AEC-1304-4165-B7C4-6C0CD3A22064}"/>
    <cellStyle name="Millares 16 7 2" xfId="11208" xr:uid="{8010E81B-AF79-42C9-92E3-749C6D132EDF}"/>
    <cellStyle name="Millares 16 7 2 2" xfId="46368" xr:uid="{C8B95C18-C6B5-45FC-BB1F-6E9F47690D9A}"/>
    <cellStyle name="Millares 16 7 3" xfId="14048" xr:uid="{5C428993-3610-473E-8393-892BE3460875}"/>
    <cellStyle name="Millares 16 7 4" xfId="18533" xr:uid="{C1A75B58-548E-4598-9B5B-13DF31B947AD}"/>
    <cellStyle name="Millares 16 7 5" xfId="43972" xr:uid="{33A8BCB3-CBB0-47B1-BDB3-C8EF33E09039}"/>
    <cellStyle name="Millares 16 7 6" xfId="48865" xr:uid="{29C6ACB6-6EBF-48A5-AD57-53CC4F5DF3F6}"/>
    <cellStyle name="Millares 16 8" xfId="3395" xr:uid="{E77C1B4C-CD0B-4D30-9C9F-68D13E8D2C0D}"/>
    <cellStyle name="Millares 16 8 2" xfId="24243" xr:uid="{DED2283E-BF1C-41C3-BE9E-457025EAC324}"/>
    <cellStyle name="Millares 16 9" xfId="3439" xr:uid="{70152DCC-D5DA-484D-8887-4926761F4748}"/>
    <cellStyle name="Millares 16 9 2" xfId="11680" xr:uid="{D2EC9F56-1416-419C-AC59-C7C42A19B880}"/>
    <cellStyle name="Millares 16 9 3" xfId="14520" xr:uid="{A85E21E7-293B-4CFA-9B1B-32EDF3928BC8}"/>
    <cellStyle name="Millares 16 9 4" xfId="30121" xr:uid="{8C1267BC-68F3-413E-A3AE-16A2D63CE67B}"/>
    <cellStyle name="Millares 16 9 5" xfId="44444" xr:uid="{A717D890-35D0-47AE-B766-9FD66F3A2ECF}"/>
    <cellStyle name="Millares 16 9 6" xfId="49337" xr:uid="{67468E7B-3CD1-433E-B658-EBABC9F8F687}"/>
    <cellStyle name="Millares 160" xfId="47041" xr:uid="{25EC4737-AA44-4E8B-8E22-09EFF9D678FB}"/>
    <cellStyle name="Millares 161" xfId="47326" xr:uid="{19FCCB32-D86E-49D2-912E-FDAD72CD0505}"/>
    <cellStyle name="Millares 162" xfId="47327" xr:uid="{B5E00B14-3442-4F18-890E-2507039DBD2A}"/>
    <cellStyle name="Millares 163" xfId="47324" xr:uid="{94CF76FF-660D-4671-BF6D-94E975AC6262}"/>
    <cellStyle name="Millares 164" xfId="50171" xr:uid="{A77726A8-579E-4844-9014-753E42640875}"/>
    <cellStyle name="Millares 165" xfId="50174" xr:uid="{3532599F-4D61-4113-8929-0E1BAA8B7BF6}"/>
    <cellStyle name="Millares 166" xfId="50244" xr:uid="{2C3F9C8A-A3DC-41EA-B944-DB95FCE3F1AF}"/>
    <cellStyle name="Millares 167" xfId="50248" xr:uid="{5EBF2F61-AA8B-454E-8D86-4964F85AB51F}"/>
    <cellStyle name="Millares 168" xfId="50247" xr:uid="{13F38C67-562D-4049-B677-129B8B51B723}"/>
    <cellStyle name="Millares 17" xfId="154" xr:uid="{00000000-0005-0000-0000-0000B8010000}"/>
    <cellStyle name="Millares 17 10" xfId="3401" xr:uid="{B194950C-E1F0-4CCE-9622-8571B7A905D1}"/>
    <cellStyle name="Millares 17 10 2" xfId="11642" xr:uid="{010E8AAA-DB1F-48B6-975D-D4014FB78DFE}"/>
    <cellStyle name="Millares 17 10 2 2" xfId="46802" xr:uid="{25D00DD8-E5D8-4F65-B669-960DC3C72B8E}"/>
    <cellStyle name="Millares 17 10 3" xfId="14482" xr:uid="{3E38EDE3-CF76-4684-92DB-EFC61610F3DD}"/>
    <cellStyle name="Millares 17 10 4" xfId="44406" xr:uid="{5D03C800-B9B8-4E0E-93AE-C484264088C1}"/>
    <cellStyle name="Millares 17 10 5" xfId="49299" xr:uid="{2658672E-423D-41D8-AF53-E0DD0E777469}"/>
    <cellStyle name="Millares 17 11" xfId="3459" xr:uid="{A9BBAACE-D4E1-4F3D-9CB9-152C6AD5D688}"/>
    <cellStyle name="Millares 17 11 2" xfId="11700" xr:uid="{0C6BA6DF-C183-48FF-87CB-1489692A7CBF}"/>
    <cellStyle name="Millares 17 11 3" xfId="14540" xr:uid="{C96096A8-55EA-4C3A-BDA4-D0C8F37B58D0}"/>
    <cellStyle name="Millares 17 11 4" xfId="44464" xr:uid="{9ED4C333-A9E1-48F6-A95C-4CF1D250CB29}"/>
    <cellStyle name="Millares 17 11 5" xfId="49357" xr:uid="{55BF1C29-8042-440E-BDF5-49A7AF70713E}"/>
    <cellStyle name="Millares 17 12" xfId="4218" xr:uid="{D51ECA7B-FB4A-4B7C-90A5-C1D29F33210D}"/>
    <cellStyle name="Millares 17 12 2" xfId="44882" xr:uid="{10D11947-7258-4BE1-A3D8-9EFE662B4B43}"/>
    <cellStyle name="Millares 17 13" xfId="9639" xr:uid="{027E5421-67E8-44F5-88E8-6393F1A62884}"/>
    <cellStyle name="Millares 17 13 2" xfId="12479" xr:uid="{5F7033A8-E032-4471-BC5D-FFB601B313C6}"/>
    <cellStyle name="Millares 17 13 3" xfId="15320" xr:uid="{D431B410-4CF6-44C3-B44C-14A0E0E794AA}"/>
    <cellStyle name="Millares 17 13 4" xfId="50136" xr:uid="{D7BBC58D-1488-4847-AB6D-B54E76F6999B}"/>
    <cellStyle name="Millares 17 14" xfId="9722" xr:uid="{45BEBD22-6556-4088-97C9-DB08724DDFAA}"/>
    <cellStyle name="Millares 17 15" xfId="12562" xr:uid="{7F2A9B67-D74B-4A35-A754-0F3D5D3BDD71}"/>
    <cellStyle name="Millares 17 16" xfId="15905" xr:uid="{B0E0D744-A64E-4B9D-B69D-FE73C9F02E84}"/>
    <cellStyle name="Millares 17 17" xfId="16448" xr:uid="{759930B2-A5FA-494B-8AA5-D207732CBE95}"/>
    <cellStyle name="Millares 17 18" xfId="16992" xr:uid="{0FCC76B3-009F-46E0-829A-888CFC66BA79}"/>
    <cellStyle name="Millares 17 19" xfId="17535" xr:uid="{7C0BC5D5-6543-4F72-9B42-954C78B7E684}"/>
    <cellStyle name="Millares 17 2" xfId="268" xr:uid="{00000000-0005-0000-0000-0000B9010000}"/>
    <cellStyle name="Millares 17 2 10" xfId="16009" xr:uid="{8A3A5C58-EE63-42D4-B559-1C28D47846D7}"/>
    <cellStyle name="Millares 17 2 11" xfId="16552" xr:uid="{9BB4BECD-59BC-4B5F-9DE3-3F7B626263A7}"/>
    <cellStyle name="Millares 17 2 12" xfId="17096" xr:uid="{D8843AF1-EE66-4821-B881-D0909033616F}"/>
    <cellStyle name="Millares 17 2 13" xfId="17548" xr:uid="{4A55BA0F-BA5D-4846-8A20-DD8E407EAAD4}"/>
    <cellStyle name="Millares 17 2 14" xfId="42590" xr:uid="{CBA79BBD-3248-4682-89B7-DAB5D925294D}"/>
    <cellStyle name="Millares 17 2 15" xfId="47483" xr:uid="{233EC4D7-BD9B-426B-9512-1EAE211CD56F}"/>
    <cellStyle name="Millares 17 2 2" xfId="495" xr:uid="{00000000-0005-0000-0000-0000BA010000}"/>
    <cellStyle name="Millares 17 2 2 10" xfId="16764" xr:uid="{0677FCC6-0DCC-4DAB-8A6F-6B59C25EFCC8}"/>
    <cellStyle name="Millares 17 2 2 11" xfId="17308" xr:uid="{BBA86F2B-A2B3-4667-9DDE-158EBD76AD8B}"/>
    <cellStyle name="Millares 17 2 2 12" xfId="18028" xr:uid="{378F0E18-ABA4-4999-A73D-DBF545A9C37D}"/>
    <cellStyle name="Millares 17 2 2 13" xfId="42802" xr:uid="{10149079-8623-4285-979E-629EB685E46A}"/>
    <cellStyle name="Millares 17 2 2 14" xfId="47695" xr:uid="{30E62A6B-EEBE-4E1B-9669-4A28CD045DE5}"/>
    <cellStyle name="Millares 17 2 2 2" xfId="2311" xr:uid="{A3EC8C3A-B098-4FAE-A4E4-492B21C97982}"/>
    <cellStyle name="Millares 17 2 2 2 2" xfId="8532" xr:uid="{79AF1C00-CC59-4009-892F-4880ACF6F6BF}"/>
    <cellStyle name="Millares 17 2 2 2 2 2" xfId="45742" xr:uid="{C259F447-0305-4051-9DB0-58A1E76E0961}"/>
    <cellStyle name="Millares 17 2 2 2 3" xfId="10582" xr:uid="{B7D5EFAC-504F-4DAD-A31B-50E86C95F608}"/>
    <cellStyle name="Millares 17 2 2 2 3 2" xfId="28765" xr:uid="{5318D49F-9347-429E-93FC-F96D0EB97AC1}"/>
    <cellStyle name="Millares 17 2 2 2 4" xfId="13422" xr:uid="{948BFC4A-7FAA-47F5-8B8E-5DA2D009BE6A}"/>
    <cellStyle name="Millares 17 2 2 2 4 2" xfId="34647" xr:uid="{7FF345D1-43DE-4294-BA28-EFA81380934C}"/>
    <cellStyle name="Millares 17 2 2 2 5" xfId="40511" xr:uid="{2A77A3B2-43E6-46F3-8A89-3F61B60D6A48}"/>
    <cellStyle name="Millares 17 2 2 2 6" xfId="43346" xr:uid="{587F7E08-8B53-40A9-8389-E8A85D846EC9}"/>
    <cellStyle name="Millares 17 2 2 2 7" xfId="48239" xr:uid="{09C5E345-D02D-40A2-9A0E-2998C260B168}"/>
    <cellStyle name="Millares 17 2 2 3" xfId="2729" xr:uid="{A6BEE274-DAAF-4151-B3F1-0B64A98C5C15}"/>
    <cellStyle name="Millares 17 2 2 3 2" xfId="11000" xr:uid="{1E9AB456-317C-42E3-8A04-E4F12D1C4E91}"/>
    <cellStyle name="Millares 17 2 2 3 2 2" xfId="46160" xr:uid="{327A4093-D409-45DF-8F07-B7DCDBE88065}"/>
    <cellStyle name="Millares 17 2 2 3 3" xfId="13840" xr:uid="{1E4C6A05-74A9-4BFB-AB73-EC41EFD1702C}"/>
    <cellStyle name="Millares 17 2 2 3 4" xfId="20123" xr:uid="{A22DFF50-4602-4699-A1F2-DD2A20E4E346}"/>
    <cellStyle name="Millares 17 2 2 3 5" xfId="43764" xr:uid="{FB9207BC-6E83-4AD8-B7E1-DF3C8281C1DD}"/>
    <cellStyle name="Millares 17 2 2 3 6" xfId="48657" xr:uid="{DBAE4F0F-91FD-4924-B55C-B13BD5D423CB}"/>
    <cellStyle name="Millares 17 2 2 4" xfId="3273" xr:uid="{0DAC4F99-8B48-45DA-83AD-7DC4625ECC73}"/>
    <cellStyle name="Millares 17 2 2 4 2" xfId="11544" xr:uid="{A3BBEAE4-F413-47B4-858F-00BB6DE2541E}"/>
    <cellStyle name="Millares 17 2 2 4 2 2" xfId="46704" xr:uid="{5621153C-5BEC-4CA9-9CDD-702C0FA81EDE}"/>
    <cellStyle name="Millares 17 2 2 4 3" xfId="14384" xr:uid="{A7501242-E803-4BF4-85DB-826F13A29374}"/>
    <cellStyle name="Millares 17 2 2 4 4" xfId="25915" xr:uid="{4F6D466C-DAC0-4A6B-8A88-D9BCC0ED6FA4}"/>
    <cellStyle name="Millares 17 2 2 4 5" xfId="44308" xr:uid="{6811237C-EC86-4C45-A400-FBF0D5D4907A}"/>
    <cellStyle name="Millares 17 2 2 4 6" xfId="49201" xr:uid="{7B059818-1E38-49D7-99BE-44AE83529BB7}"/>
    <cellStyle name="Millares 17 2 2 5" xfId="3775" xr:uid="{D97B7B44-597C-444C-93F4-5C1115A8A2EB}"/>
    <cellStyle name="Millares 17 2 2 5 2" xfId="12016" xr:uid="{E8F24973-3A16-4890-9BF8-BF1C2156AA0C}"/>
    <cellStyle name="Millares 17 2 2 5 3" xfId="14856" xr:uid="{18FA19F1-2EEB-4247-9F91-AB7BDA629B10}"/>
    <cellStyle name="Millares 17 2 2 5 4" xfId="31790" xr:uid="{BCF21302-17CD-4EAD-809A-01BCF33047D7}"/>
    <cellStyle name="Millares 17 2 2 5 5" xfId="44780" xr:uid="{B43D3650-D341-44CD-956C-F4DB7F032B1A}"/>
    <cellStyle name="Millares 17 2 2 5 6" xfId="49673" xr:uid="{9A152ED8-89CE-44AC-9CF9-73CBC30F55FE}"/>
    <cellStyle name="Millares 17 2 2 6" xfId="5664" xr:uid="{667D7ED3-A0A6-43B7-9E00-D74AF160DAAA}"/>
    <cellStyle name="Millares 17 2 2 6 2" xfId="45198" xr:uid="{63C54F15-E500-4C2F-95BC-062B58DFCC35}"/>
    <cellStyle name="Millares 17 2 2 7" xfId="10038" xr:uid="{08DA5D60-80D4-4FAD-9241-10F109845EB6}"/>
    <cellStyle name="Millares 17 2 2 8" xfId="12878" xr:uid="{8A649ECF-2385-478C-8189-2B73CF2C52D6}"/>
    <cellStyle name="Millares 17 2 2 9" xfId="16221" xr:uid="{3F269906-C63D-4754-9414-F2656ABFF3F6}"/>
    <cellStyle name="Millares 17 2 3" xfId="2099" xr:uid="{CB86B249-56B4-478A-B848-5463A8C5AAB8}"/>
    <cellStyle name="Millares 17 2 3 2" xfId="7560" xr:uid="{03DB80DD-2DED-4AD6-B881-8F97BBB964B2}"/>
    <cellStyle name="Millares 17 2 3 2 2" xfId="45530" xr:uid="{97CEBD84-C86A-43EC-81F5-822FBE4D6B14}"/>
    <cellStyle name="Millares 17 2 3 3" xfId="10370" xr:uid="{8B444541-944D-4A7E-9B75-B677A902F798}"/>
    <cellStyle name="Millares 17 2 3 3 2" xfId="27794" xr:uid="{A72749C2-C294-4AF0-B545-8165DA351821}"/>
    <cellStyle name="Millares 17 2 3 4" xfId="13210" xr:uid="{8D4A6AA5-A196-499B-AB3F-430F62AD1B38}"/>
    <cellStyle name="Millares 17 2 3 4 2" xfId="33676" xr:uid="{33196C48-3BB2-4C50-B9B5-8BBEE767537F}"/>
    <cellStyle name="Millares 17 2 3 5" xfId="39540" xr:uid="{875B29AB-9355-4FA5-BDC5-DAEF2DDEE517}"/>
    <cellStyle name="Millares 17 2 3 6" xfId="43134" xr:uid="{80DD9D68-9B93-49FE-B830-5D24A91A275B}"/>
    <cellStyle name="Millares 17 2 3 7" xfId="48027" xr:uid="{F1B30756-9751-4693-91C9-D1CCFC5D7A22}"/>
    <cellStyle name="Millares 17 2 4" xfId="2517" xr:uid="{C06DD777-8893-4830-9602-7EA43DEFB9B6}"/>
    <cellStyle name="Millares 17 2 4 2" xfId="10788" xr:uid="{C6759C4B-7367-4DEE-8620-DD57E7CED4B7}"/>
    <cellStyle name="Millares 17 2 4 2 2" xfId="45948" xr:uid="{484F9E68-3F33-4F8B-975B-FA2D5DDAF9DB}"/>
    <cellStyle name="Millares 17 2 4 3" xfId="13628" xr:uid="{889F37A6-028B-43CD-B3B1-48C4244A9AF2}"/>
    <cellStyle name="Millares 17 2 4 4" xfId="19189" xr:uid="{0D42CEB9-C68B-48FA-97C5-28A239B92667}"/>
    <cellStyle name="Millares 17 2 4 5" xfId="43552" xr:uid="{7F9AD9CD-2EE3-4258-8570-3E45F4B01876}"/>
    <cellStyle name="Millares 17 2 4 6" xfId="48445" xr:uid="{63C3C4A9-8AAF-4ECA-8145-FF315908DFA2}"/>
    <cellStyle name="Millares 17 2 5" xfId="3061" xr:uid="{888DC39D-3F1B-45C2-999E-D1CD58157230}"/>
    <cellStyle name="Millares 17 2 5 2" xfId="11332" xr:uid="{FBEC4434-E554-4C28-83DC-6AE96B68317E}"/>
    <cellStyle name="Millares 17 2 5 2 2" xfId="46492" xr:uid="{CC50EEEA-5EE6-4AEF-AE29-651E1C7D3714}"/>
    <cellStyle name="Millares 17 2 5 3" xfId="14172" xr:uid="{9952354D-12F0-44C5-B6C7-173DA180F1A5}"/>
    <cellStyle name="Millares 17 2 5 4" xfId="24945" xr:uid="{68AA89A0-8300-4A0B-9A73-176AA658D74C}"/>
    <cellStyle name="Millares 17 2 5 5" xfId="44096" xr:uid="{82D6477B-7FE3-49F7-95B6-DF00F623AEA5}"/>
    <cellStyle name="Millares 17 2 5 6" xfId="48989" xr:uid="{595E193A-E7A6-472A-B979-52B5B4E410DB}"/>
    <cellStyle name="Millares 17 2 6" xfId="3563" xr:uid="{56804C16-8174-4DBC-95D1-AE6C60A3F164}"/>
    <cellStyle name="Millares 17 2 6 2" xfId="11804" xr:uid="{2CE063EE-96C9-40C0-92AE-D52DC824CB66}"/>
    <cellStyle name="Millares 17 2 6 3" xfId="14644" xr:uid="{B4211BF1-0088-4513-8B43-B8884EA7F0E4}"/>
    <cellStyle name="Millares 17 2 6 4" xfId="30820" xr:uid="{7A400041-358E-401E-83B5-EAD8889AFD99}"/>
    <cellStyle name="Millares 17 2 6 5" xfId="44568" xr:uid="{A079590D-B38A-4A19-A2AC-27F54C759DA8}"/>
    <cellStyle name="Millares 17 2 6 6" xfId="49461" xr:uid="{2ACD9C76-CA58-4489-929B-1CD0E40D36A8}"/>
    <cellStyle name="Millares 17 2 7" xfId="4696" xr:uid="{603130EA-3B30-46CF-849D-6BB6A39A21CD}"/>
    <cellStyle name="Millares 17 2 7 2" xfId="44986" xr:uid="{25843202-54E2-402B-9ACA-6EA3D20DC418}"/>
    <cellStyle name="Millares 17 2 8" xfId="9826" xr:uid="{CED198E3-160D-46AE-8273-E4C0CC910D2E}"/>
    <cellStyle name="Millares 17 2 9" xfId="12666" xr:uid="{3F226154-1801-4446-AEF2-9935C502B066}"/>
    <cellStyle name="Millares 17 20" xfId="42156" xr:uid="{4384CEDE-CDFE-4CD9-90A8-803DBE37CC42}"/>
    <cellStyle name="Millares 17 21" xfId="42486" xr:uid="{09BB3CDB-3A8C-48CD-B630-B14E64E84738}"/>
    <cellStyle name="Millares 17 22" xfId="47379" xr:uid="{69FAABD0-6E60-4DF1-BCE6-F36A26DB11EB}"/>
    <cellStyle name="Millares 17 3" xfId="394" xr:uid="{00000000-0005-0000-0000-0000BB010000}"/>
    <cellStyle name="Millares 17 3 10" xfId="16664" xr:uid="{B8AF93E7-3772-427D-BE6E-413911DA9AF1}"/>
    <cellStyle name="Millares 17 3 11" xfId="17208" xr:uid="{D6EF7EDD-7738-4B84-A221-C7503381A408}"/>
    <cellStyle name="Millares 17 3 12" xfId="17774" xr:uid="{263F627F-A87D-4C33-94D2-9F75A4BE13BF}"/>
    <cellStyle name="Millares 17 3 13" xfId="42702" xr:uid="{E6FDB38E-8886-4942-ABD1-9B02276D14C9}"/>
    <cellStyle name="Millares 17 3 14" xfId="47595" xr:uid="{21485960-3DB3-4C85-BB33-CB5187BD7B65}"/>
    <cellStyle name="Millares 17 3 2" xfId="2211" xr:uid="{3D01AEAD-E0DD-4E30-8AEE-9971AFCF6718}"/>
    <cellStyle name="Millares 17 3 2 2" xfId="8047" xr:uid="{71380530-2897-4154-AB0E-841CE6459991}"/>
    <cellStyle name="Millares 17 3 2 2 2" xfId="45642" xr:uid="{6CA9543A-D2EF-4846-8F91-0510F9080DD7}"/>
    <cellStyle name="Millares 17 3 2 3" xfId="10482" xr:uid="{706AE4F6-A533-4BF4-93DF-98F73963FA06}"/>
    <cellStyle name="Millares 17 3 2 3 2" xfId="28280" xr:uid="{96194FE8-76C3-43E3-A16B-4A28A6C48EF8}"/>
    <cellStyle name="Millares 17 3 2 4" xfId="13322" xr:uid="{2D56C4EB-C36B-42DB-8571-6A3182E5801D}"/>
    <cellStyle name="Millares 17 3 2 4 2" xfId="34162" xr:uid="{C762E416-3090-4A9C-A5BF-DA5A09D7FC80}"/>
    <cellStyle name="Millares 17 3 2 5" xfId="40026" xr:uid="{AF4241A7-E08F-4A10-88CE-9482D9A76467}"/>
    <cellStyle name="Millares 17 3 2 6" xfId="43246" xr:uid="{92443094-0736-4B26-80A0-0E4CCB4D4F81}"/>
    <cellStyle name="Millares 17 3 2 7" xfId="48139" xr:uid="{D090EB01-AD2C-447A-85C9-8213DB75B7E5}"/>
    <cellStyle name="Millares 17 3 3" xfId="2629" xr:uid="{E25AA068-3243-4CA3-96B2-0AC7DA7FABB2}"/>
    <cellStyle name="Millares 17 3 3 2" xfId="10900" xr:uid="{351FC8EE-D082-4C12-A432-CC633821C5DB}"/>
    <cellStyle name="Millares 17 3 3 2 2" xfId="46060" xr:uid="{7D7250FB-2938-440E-928E-27CA422800A1}"/>
    <cellStyle name="Millares 17 3 3 3" xfId="13740" xr:uid="{084CEA30-8139-499A-BCE5-FE7886B8DFB3}"/>
    <cellStyle name="Millares 17 3 3 4" xfId="19653" xr:uid="{59D1CEB6-3653-4B7A-A5CC-2AA331827DCD}"/>
    <cellStyle name="Millares 17 3 3 5" xfId="43664" xr:uid="{29F87033-A677-4182-952A-5FD7712401D7}"/>
    <cellStyle name="Millares 17 3 3 6" xfId="48557" xr:uid="{E37A7AEB-9829-4393-92F3-FDCD4112F0F9}"/>
    <cellStyle name="Millares 17 3 4" xfId="3173" xr:uid="{699A8E5A-246D-4EBC-B547-80979CCDD097}"/>
    <cellStyle name="Millares 17 3 4 2" xfId="11444" xr:uid="{0927EB51-F610-4DD8-9E53-D979A57A43AF}"/>
    <cellStyle name="Millares 17 3 4 2 2" xfId="46604" xr:uid="{84AC086B-0178-443E-BB61-D5658609455D}"/>
    <cellStyle name="Millares 17 3 4 3" xfId="14284" xr:uid="{5684BAF1-C8AC-4014-A162-A94E992275C4}"/>
    <cellStyle name="Millares 17 3 4 4" xfId="25431" xr:uid="{B879C0E2-D20A-415F-8D2E-EA7F2F27B2DA}"/>
    <cellStyle name="Millares 17 3 4 5" xfId="44208" xr:uid="{1ECE2B59-7E83-4AEC-8A61-ACFE3AF7279B}"/>
    <cellStyle name="Millares 17 3 4 6" xfId="49101" xr:uid="{1BD0AF4D-2BD3-4C0C-AC7E-7722B5E0066F}"/>
    <cellStyle name="Millares 17 3 5" xfId="3675" xr:uid="{8EB7F3A6-24BC-4137-97BD-E169526B4C93}"/>
    <cellStyle name="Millares 17 3 5 2" xfId="11916" xr:uid="{B631300A-B036-4905-BD98-CC4F264AD227}"/>
    <cellStyle name="Millares 17 3 5 3" xfId="14756" xr:uid="{C70E5871-18E0-48EE-8806-FF209701A2E0}"/>
    <cellStyle name="Millares 17 3 5 4" xfId="31305" xr:uid="{5B1EF02F-28C6-4370-954B-CCC79253A653}"/>
    <cellStyle name="Millares 17 3 5 5" xfId="44680" xr:uid="{FFB5430F-5AEE-4A92-A1A5-A7EA6233016F}"/>
    <cellStyle name="Millares 17 3 5 6" xfId="49573" xr:uid="{88CC3760-FD35-49AA-AAAF-8107A03C1B41}"/>
    <cellStyle name="Millares 17 3 6" xfId="5180" xr:uid="{FF491FB7-CDF9-4C56-A97F-797BEE0D4704}"/>
    <cellStyle name="Millares 17 3 6 2" xfId="45098" xr:uid="{77E4024E-0B56-4C5F-95AE-25317B3D5DFD}"/>
    <cellStyle name="Millares 17 3 7" xfId="9938" xr:uid="{90521530-DB4E-4696-BBFC-6B6340E22C2C}"/>
    <cellStyle name="Millares 17 3 8" xfId="12778" xr:uid="{4238BDBB-3254-451C-8E64-380AE8D59A31}"/>
    <cellStyle name="Millares 17 3 9" xfId="16121" xr:uid="{83C6E9F4-CB8D-453B-B3B4-F7888E845DB8}"/>
    <cellStyle name="Millares 17 4" xfId="597" xr:uid="{00000000-0005-0000-0000-0000BC010000}"/>
    <cellStyle name="Millares 17 4 10" xfId="42904" xr:uid="{177A5AA4-D27E-4DA0-87E5-ABB74F0BFC75}"/>
    <cellStyle name="Millares 17 4 11" xfId="47797" xr:uid="{AF643A0B-C0FB-4924-A3A1-007E6F100F51}"/>
    <cellStyle name="Millares 17 4 2" xfId="2831" xr:uid="{49364B52-596B-4E71-8EE5-F4B5DB914F21}"/>
    <cellStyle name="Millares 17 4 2 2" xfId="11102" xr:uid="{47C004C9-44A9-471F-9DEC-B62B8E78AB8B}"/>
    <cellStyle name="Millares 17 4 2 2 2" xfId="46262" xr:uid="{9321C7C1-E619-4FFF-852E-3C830A63FAA3}"/>
    <cellStyle name="Millares 17 4 2 3" xfId="13942" xr:uid="{E48E9632-2FEC-449C-9FF5-A53782DBDD44}"/>
    <cellStyle name="Millares 17 4 2 4" xfId="21490" xr:uid="{881641D0-CFC0-4E48-B66E-F2DE6136B441}"/>
    <cellStyle name="Millares 17 4 2 5" xfId="43866" xr:uid="{04C3C6C1-7CC8-4DA1-8D94-ACE96DC001F2}"/>
    <cellStyle name="Millares 17 4 2 6" xfId="48759" xr:uid="{D5277165-4031-4EB3-9D7A-BEBE7486885C}"/>
    <cellStyle name="Millares 17 4 3" xfId="7075" xr:uid="{A483C0CE-3223-4713-BDBE-EB8C1F070143}"/>
    <cellStyle name="Millares 17 4 3 2" xfId="45300" xr:uid="{B04950C2-0300-41D4-A811-AE94E2DEA7F8}"/>
    <cellStyle name="Millares 17 4 4" xfId="10140" xr:uid="{069A12ED-8CCA-4EAC-A112-46147E06B18D}"/>
    <cellStyle name="Millares 17 4 4 2" xfId="33191" xr:uid="{21DCEE32-9C81-4B1A-9618-0A22E4B041CC}"/>
    <cellStyle name="Millares 17 4 5" xfId="12980" xr:uid="{90ED1479-0222-4F63-BE81-AD38BE18A324}"/>
    <cellStyle name="Millares 17 4 5 2" xfId="39055" xr:uid="{5A8C4EBA-3E30-481F-8571-3A16922B6931}"/>
    <cellStyle name="Millares 17 4 6" xfId="16323" xr:uid="{A186FEE4-0FD5-4C0E-ABE9-88BC7F20980F}"/>
    <cellStyle name="Millares 17 4 7" xfId="16866" xr:uid="{E543DCE1-73F9-40D3-B0DD-DDEC10682928}"/>
    <cellStyle name="Millares 17 4 8" xfId="17410" xr:uid="{F9C4278A-DF8C-429F-855B-1F446E1C9120}"/>
    <cellStyle name="Millares 17 4 9" xfId="17571" xr:uid="{306F0751-C338-4B22-B054-78805DD83284}"/>
    <cellStyle name="Millares 17 5" xfId="1915" xr:uid="{00000000-0005-0000-0000-0000BD010000}"/>
    <cellStyle name="Millares 17 5 10" xfId="42971" xr:uid="{88B391EF-6C5E-43EC-A6E7-1BCA904B83EF}"/>
    <cellStyle name="Millares 17 5 11" xfId="47864" xr:uid="{89C50D38-B379-4BC8-9622-0828DEFD655C}"/>
    <cellStyle name="Millares 17 5 2" xfId="2898" xr:uid="{B7095435-1AAA-4E4D-9CE0-DC78D502ECA2}"/>
    <cellStyle name="Millares 17 5 2 2" xfId="11169" xr:uid="{29869593-2917-441E-9410-5FE64B4F11BF}"/>
    <cellStyle name="Millares 17 5 2 2 2" xfId="46329" xr:uid="{91EA7B44-5496-4F61-A77D-1AD7F5125D6E}"/>
    <cellStyle name="Millares 17 5 2 3" xfId="14009" xr:uid="{96E88591-D049-444E-94D3-3BC442408B7D}"/>
    <cellStyle name="Millares 17 5 2 4" xfId="43933" xr:uid="{84EEC8C0-18D4-4775-82F3-FE3FA2DFF97A}"/>
    <cellStyle name="Millares 17 5 2 5" xfId="48826" xr:uid="{3D420B94-C083-4C27-A9E0-6613EA84D8B3}"/>
    <cellStyle name="Millares 17 5 3" xfId="10207" xr:uid="{CA5D2200-600E-4F6F-B2BE-A98946735931}"/>
    <cellStyle name="Millares 17 5 3 2" xfId="45367" xr:uid="{231CA5B1-6C68-4305-9B61-29D72AE42CC1}"/>
    <cellStyle name="Millares 17 5 4" xfId="13047" xr:uid="{77027D8F-176B-4C4A-A105-0E3010030412}"/>
    <cellStyle name="Millares 17 5 5" xfId="16389" xr:uid="{3A23F7A9-EB32-4D0E-9EE7-93FC2899FCA1}"/>
    <cellStyle name="Millares 17 5 6" xfId="16933" xr:uid="{5B6BB138-179A-4AC6-B6D7-2F334BFCB3B0}"/>
    <cellStyle name="Millares 17 5 7" xfId="17477" xr:uid="{09662781-7E14-477F-A4C0-F79784EBD975}"/>
    <cellStyle name="Millares 17 5 8" xfId="18746" xr:uid="{A69193DC-60FE-4221-AF7D-F9683AAB93B7}"/>
    <cellStyle name="Millares 17 5 9" xfId="18003" xr:uid="{627FEA2C-ADB3-486F-8228-CF9FBA1B5AF1}"/>
    <cellStyle name="Millares 17 6" xfId="1995" xr:uid="{86D4165B-9E25-49AB-8249-FBA1DEC629B4}"/>
    <cellStyle name="Millares 17 6 2" xfId="10266" xr:uid="{E93C83F7-50E6-42DE-A8B9-27D27B78A3F7}"/>
    <cellStyle name="Millares 17 6 2 2" xfId="45426" xr:uid="{53A1E22D-D208-4542-BD15-FCDFDD7291AD}"/>
    <cellStyle name="Millares 17 6 3" xfId="13106" xr:uid="{667B53B5-AA64-483B-852A-CA2F5047C5FF}"/>
    <cellStyle name="Millares 17 6 4" xfId="24462" xr:uid="{89A766C5-9E7F-40E9-A5D0-8CC3685A95D3}"/>
    <cellStyle name="Millares 17 6 5" xfId="43030" xr:uid="{C4BFBE36-03F3-4F08-B37D-55DD4D8B46E0}"/>
    <cellStyle name="Millares 17 6 6" xfId="47923" xr:uid="{7C310EC2-6761-423A-B9CD-33CE478B655D}"/>
    <cellStyle name="Millares 17 7" xfId="2413" xr:uid="{0F3B3BF1-1208-4ACA-B1E1-43715FDB0981}"/>
    <cellStyle name="Millares 17 7 2" xfId="10684" xr:uid="{4F913CD9-8082-4D1B-9558-6AAC92F71654}"/>
    <cellStyle name="Millares 17 7 2 2" xfId="45844" xr:uid="{4C08C5BE-830B-43A1-B5E1-107C60896892}"/>
    <cellStyle name="Millares 17 7 3" xfId="13524" xr:uid="{70C0A5E1-83BA-4976-8908-2B22863213A1}"/>
    <cellStyle name="Millares 17 7 4" xfId="30338" xr:uid="{3FC4AD34-60F3-45FF-A355-0B64CBB915FF}"/>
    <cellStyle name="Millares 17 7 5" xfId="43448" xr:uid="{BCCC92E6-05EC-4A06-A9B5-04319BF6434D}"/>
    <cellStyle name="Millares 17 7 6" xfId="48341" xr:uid="{8536D89D-838D-463E-8993-07D5C7DC1252}"/>
    <cellStyle name="Millares 17 8" xfId="2957" xr:uid="{B4ABC910-FECB-4A8F-8C67-B53E15055CBF}"/>
    <cellStyle name="Millares 17 8 2" xfId="11228" xr:uid="{24C967DC-B9D5-4573-A745-D61529196918}"/>
    <cellStyle name="Millares 17 8 2 2" xfId="46388" xr:uid="{0B259CD0-B4F6-407B-A813-A29F3777E8F8}"/>
    <cellStyle name="Millares 17 8 3" xfId="14068" xr:uid="{82E68C2C-A61E-48CF-9790-5B660C5FD12B}"/>
    <cellStyle name="Millares 17 8 4" xfId="36219" xr:uid="{1318253E-8A4F-400E-AA3D-AE84FB7EB45E}"/>
    <cellStyle name="Millares 17 8 5" xfId="43992" xr:uid="{3E167999-7CA3-41EE-BE7E-C94661B25E2D}"/>
    <cellStyle name="Millares 17 8 6" xfId="48885" xr:uid="{5937EB03-A120-48C7-96B7-4BFF52B4E9E7}"/>
    <cellStyle name="Millares 17 9" xfId="3346" xr:uid="{3AEA8DAB-D92C-4DA5-BDA9-E581B722138A}"/>
    <cellStyle name="Millares 174 2" xfId="1884" xr:uid="{00000000-0005-0000-0000-0000BE010000}"/>
    <cellStyle name="Millares 174 2 2" xfId="1916" xr:uid="{00000000-0005-0000-0000-0000BF010000}"/>
    <cellStyle name="Millares 174 2 2 10" xfId="18143" xr:uid="{11DCEAE2-0ED3-4503-A9A4-72FAD4938483}"/>
    <cellStyle name="Millares 174 2 2 11" xfId="42096" xr:uid="{FA31053D-4C87-4BA4-9FAE-DAD9ED5556D6}"/>
    <cellStyle name="Millares 174 2 2 12" xfId="42972" xr:uid="{5EBBA46B-099E-4638-9A58-432DF006D7A9}"/>
    <cellStyle name="Millares 174 2 2 13" xfId="47865" xr:uid="{C24DD7B9-9513-4B34-8B46-3F157363A551}"/>
    <cellStyle name="Millares 174 2 2 14" xfId="50186" xr:uid="{E894D7C0-4165-453A-83E8-0B81B0E20A2C}"/>
    <cellStyle name="Millares 174 2 2 15" xfId="50260" xr:uid="{FC0BE29F-C9CF-427E-9C9D-6C30DADA1AF1}"/>
    <cellStyle name="Millares 174 2 2 2" xfId="2899" xr:uid="{10D3D366-3C59-403E-9E5E-FA489DD4356D}"/>
    <cellStyle name="Millares 174 2 2 2 2" xfId="11170" xr:uid="{D6B81FCA-FDB7-44A4-A666-BB7033669B2A}"/>
    <cellStyle name="Millares 174 2 2 2 2 2" xfId="46330" xr:uid="{33137AEB-7BFA-4640-8B3C-67E80325EE46}"/>
    <cellStyle name="Millares 174 2 2 2 2 3" xfId="47140" xr:uid="{A2F540C6-20C3-4B82-A280-D384E4C731A8}"/>
    <cellStyle name="Millares 174 2 2 2 2 4" xfId="50370" xr:uid="{1A9B84AA-E428-44AF-9975-7D6F3BF67E5E}"/>
    <cellStyle name="Millares 174 2 2 2 3" xfId="14010" xr:uid="{DD743F79-23FC-48CA-8B6C-76661A67BF2D}"/>
    <cellStyle name="Millares 174 2 2 2 4" xfId="42097" xr:uid="{5636C759-AAE7-4EF3-908D-142078183B03}"/>
    <cellStyle name="Millares 174 2 2 2 5" xfId="43934" xr:uid="{A12D8322-8B70-41C4-B4D8-8EE228453331}"/>
    <cellStyle name="Millares 174 2 2 2 6" xfId="48827" xr:uid="{D3992D04-BA3D-4E75-880C-FB92AE3CC149}"/>
    <cellStyle name="Millares 174 2 2 2 7" xfId="50224" xr:uid="{6C63F444-467A-48CC-8B68-CF7128712F19}"/>
    <cellStyle name="Millares 174 2 2 2 8" xfId="50298" xr:uid="{CE2B4573-02EF-4C63-8847-7D030F507263}"/>
    <cellStyle name="Millares 174 2 2 3" xfId="3369" xr:uid="{A7C4437C-EB29-4EEA-911F-4C7D66D29198}"/>
    <cellStyle name="Millares 174 2 2 3 2" xfId="11619" xr:uid="{D673F063-7EDD-4816-8F19-5E4E543C7F79}"/>
    <cellStyle name="Millares 174 2 2 3 2 2" xfId="46779" xr:uid="{41D3A81C-91D0-457F-A985-7AF4AFE7EE07}"/>
    <cellStyle name="Millares 174 2 2 3 3" xfId="14459" xr:uid="{B97657F9-144B-495F-AC0A-E6A7255EF47B}"/>
    <cellStyle name="Millares 174 2 2 3 4" xfId="44383" xr:uid="{BF1DC449-47FB-4187-A703-90C2BD4C4287}"/>
    <cellStyle name="Millares 174 2 2 3 5" xfId="49276" xr:uid="{200EA32E-F706-42DA-A5B6-386348062093}"/>
    <cellStyle name="Millares 174 2 2 3 6" xfId="50332" xr:uid="{FD4C606D-6B8D-4D71-B6F8-FAC4CE26A33C}"/>
    <cellStyle name="Millares 174 2 2 4" xfId="9640" xr:uid="{DF16216C-AB65-4B71-8AD1-D9ABFCAEF55C}"/>
    <cellStyle name="Millares 174 2 2 4 2" xfId="12480" xr:uid="{A161F57F-E286-41B0-8C06-376C9541B2E6}"/>
    <cellStyle name="Millares 174 2 2 4 3" xfId="15321" xr:uid="{20CCFA89-C314-4D7C-9051-56A9D3BFA804}"/>
    <cellStyle name="Millares 174 2 2 4 4" xfId="45368" xr:uid="{07E785F5-EED5-48D4-BA98-02F072F8FFF3}"/>
    <cellStyle name="Millares 174 2 2 4 5" xfId="50137" xr:uid="{FD5F94F4-E717-49E2-B92C-5055B37CDD55}"/>
    <cellStyle name="Millares 174 2 2 5" xfId="10208" xr:uid="{42EE10D4-124E-4ED1-9910-4523958D9B33}"/>
    <cellStyle name="Millares 174 2 2 6" xfId="13048" xr:uid="{3D6789C3-0272-4AE2-8B48-47C8BBBBB32C}"/>
    <cellStyle name="Millares 174 2 2 7" xfId="16390" xr:uid="{F52D33D2-B33D-44AE-803E-53038CCA1C45}"/>
    <cellStyle name="Millares 174 2 2 8" xfId="16934" xr:uid="{AC5EB4BF-BFFE-43C9-B897-51CEE5626F6D}"/>
    <cellStyle name="Millares 174 2 2 9" xfId="17478" xr:uid="{BD472EA2-A7FF-49CB-AAA9-820874D2EFB8}"/>
    <cellStyle name="Millares 174 2 3" xfId="46877" xr:uid="{3BE013B6-218F-4A38-BCE2-59BB850A9F0A}"/>
    <cellStyle name="Millares 174 2 3 2" xfId="47014" xr:uid="{7AC37EDF-F4F7-4B5A-B87D-C7A6044B6539}"/>
    <cellStyle name="Millares 174 2 4" xfId="46878" xr:uid="{B19C7D0A-BC03-4BF5-968E-B1081022F418}"/>
    <cellStyle name="Millares 174 2 4 2" xfId="47052" xr:uid="{1B7CA101-0A3D-4182-860C-E644AF634CCB}"/>
    <cellStyle name="Millares 18" xfId="63" xr:uid="{00000000-0005-0000-0000-0000C0010000}"/>
    <cellStyle name="Millares 18 10" xfId="3409" xr:uid="{098867D4-5037-4A19-85C7-7C295BA53F58}"/>
    <cellStyle name="Millares 18 10 2" xfId="11650" xr:uid="{3976498A-A3A6-45A9-89E4-C06537D8F142}"/>
    <cellStyle name="Millares 18 10 3" xfId="14490" xr:uid="{BDCD16FC-86A4-401C-82D8-22FE0421B6B5}"/>
    <cellStyle name="Millares 18 10 4" xfId="44414" xr:uid="{04C3AF8B-D1EA-478F-BDB6-46B67E452A0D}"/>
    <cellStyle name="Millares 18 10 5" xfId="49307" xr:uid="{CBB68E04-7195-4A31-8850-43C125453EAD}"/>
    <cellStyle name="Millares 18 11" xfId="4219" xr:uid="{00B726A8-E9EF-46B8-9DE5-BA1A30E9E909}"/>
    <cellStyle name="Millares 18 11 2" xfId="44832" xr:uid="{F777A651-9CFE-41EC-AF4F-693822E81FED}"/>
    <cellStyle name="Millares 18 12" xfId="9641" xr:uid="{D1B26309-CED3-4308-8D3B-700E37075768}"/>
    <cellStyle name="Millares 18 12 2" xfId="12481" xr:uid="{68072800-8459-423D-8A4F-F4DC86E48E05}"/>
    <cellStyle name="Millares 18 12 3" xfId="15322" xr:uid="{496916CD-154C-45F8-BCF1-D4C79A0C6643}"/>
    <cellStyle name="Millares 18 12 4" xfId="50138" xr:uid="{0353AD8E-7977-41C6-A8B6-C8F3D8976588}"/>
    <cellStyle name="Millares 18 13" xfId="9672" xr:uid="{835F4EC8-9E21-4A6D-A5B7-03943D2406F6}"/>
    <cellStyle name="Millares 18 14" xfId="12512" xr:uid="{39DDB58F-FC9F-405D-8B31-57CED7398128}"/>
    <cellStyle name="Millares 18 15" xfId="15860" xr:uid="{75CFAD3D-26D5-49A6-90DD-1CD675FBD62B}"/>
    <cellStyle name="Millares 18 16" xfId="16398" xr:uid="{25EE032E-7BAF-485B-9388-D7805662BB38}"/>
    <cellStyle name="Millares 18 17" xfId="16942" xr:uid="{CDCEDCDF-96D0-4DBC-A46D-3DD44B18E458}"/>
    <cellStyle name="Millares 18 18" xfId="18033" xr:uid="{E24D08A7-1524-4985-B7E9-3C6AF531C247}"/>
    <cellStyle name="Millares 18 19" xfId="42157" xr:uid="{74AB4393-4816-40E2-88F7-44BF4F0F7256}"/>
    <cellStyle name="Millares 18 2" xfId="218" xr:uid="{00000000-0005-0000-0000-0000C1010000}"/>
    <cellStyle name="Millares 18 2 10" xfId="15959" xr:uid="{BECB9B66-B8CE-4E20-AC88-FDFF01D433B3}"/>
    <cellStyle name="Millares 18 2 11" xfId="16502" xr:uid="{55BE604D-AC4B-4FD5-8422-C1E455CD6945}"/>
    <cellStyle name="Millares 18 2 12" xfId="17046" xr:uid="{003823F5-43A2-431D-8421-304D2F9DA4A0}"/>
    <cellStyle name="Millares 18 2 13" xfId="18040" xr:uid="{D91C90D2-7CEB-4858-82A0-AD5FD525551C}"/>
    <cellStyle name="Millares 18 2 14" xfId="42158" xr:uid="{32A478C0-F560-4778-A500-F209F5281AB2}"/>
    <cellStyle name="Millares 18 2 15" xfId="42540" xr:uid="{367D3209-52CF-4D79-9616-A513DD850204}"/>
    <cellStyle name="Millares 18 2 16" xfId="47433" xr:uid="{25C19CBB-F86C-4B87-A02E-ACAB4898666B}"/>
    <cellStyle name="Millares 18 2 2" xfId="445" xr:uid="{00000000-0005-0000-0000-0000C2010000}"/>
    <cellStyle name="Millares 18 2 2 10" xfId="16714" xr:uid="{651999B8-7095-44A9-9A76-52B9170B2A18}"/>
    <cellStyle name="Millares 18 2 2 11" xfId="17258" xr:uid="{B466D5B2-1E9A-400E-9F6C-A9704429083E}"/>
    <cellStyle name="Millares 18 2 2 12" xfId="21652" xr:uid="{1340CD05-0663-4234-AB46-57699233B5A6}"/>
    <cellStyle name="Millares 18 2 2 13" xfId="42159" xr:uid="{252649D9-6799-4BFF-98D7-1F746227A27D}"/>
    <cellStyle name="Millares 18 2 2 14" xfId="42752" xr:uid="{A8596A57-B167-4612-9507-CA9A48F9A678}"/>
    <cellStyle name="Millares 18 2 2 15" xfId="47645" xr:uid="{4EF542D7-564A-41AD-A38A-4AD36513B05A}"/>
    <cellStyle name="Millares 18 2 2 2" xfId="2261" xr:uid="{C1A88AFD-8021-46CA-BF78-E635ED05C7FE}"/>
    <cellStyle name="Millares 18 2 2 2 2" xfId="8533" xr:uid="{6B338D77-89F5-4A87-A2A4-C8943693359A}"/>
    <cellStyle name="Millares 18 2 2 2 2 2" xfId="45692" xr:uid="{E314FA69-0D8D-43C4-B20C-3C3BC34E8293}"/>
    <cellStyle name="Millares 18 2 2 2 3" xfId="10532" xr:uid="{2AF0194A-5EFE-48CB-9ECD-B5C248035282}"/>
    <cellStyle name="Millares 18 2 2 2 3 2" xfId="28766" xr:uid="{36BB7E84-2BCF-4DB3-B70E-93A5C10AFCC4}"/>
    <cellStyle name="Millares 18 2 2 2 4" xfId="13372" xr:uid="{EB8F4378-6CE0-4845-BCE8-BFB6124DCCB0}"/>
    <cellStyle name="Millares 18 2 2 2 4 2" xfId="34648" xr:uid="{C985A136-9759-4FE5-9200-D5AC99769583}"/>
    <cellStyle name="Millares 18 2 2 2 5" xfId="40512" xr:uid="{D90840AF-3089-4A83-B7CE-51B6891618EF}"/>
    <cellStyle name="Millares 18 2 2 2 6" xfId="43296" xr:uid="{45F19C33-90C1-4B2A-BCD3-E3BDB4AF45AC}"/>
    <cellStyle name="Millares 18 2 2 2 7" xfId="48189" xr:uid="{E6D48725-4148-41F4-BFB4-4A8504D1EE50}"/>
    <cellStyle name="Millares 18 2 2 3" xfId="2679" xr:uid="{128DEC52-5D6A-49EE-A2B7-E28FFE198001}"/>
    <cellStyle name="Millares 18 2 2 3 2" xfId="10950" xr:uid="{1F7C2FF1-582A-467C-AE52-C79BDE255D9F}"/>
    <cellStyle name="Millares 18 2 2 3 2 2" xfId="46110" xr:uid="{3BC6D8BE-6A42-4203-A999-4F543E1155C3}"/>
    <cellStyle name="Millares 18 2 2 3 3" xfId="13790" xr:uid="{13A223F4-B5C9-4DC1-9B5A-19603CD9258C}"/>
    <cellStyle name="Millares 18 2 2 3 4" xfId="20124" xr:uid="{24D2EB21-7D85-4C4E-ACFB-970A8D9EF725}"/>
    <cellStyle name="Millares 18 2 2 3 5" xfId="43714" xr:uid="{B09AE9D6-99E3-4789-B45E-3409CBE9CEFF}"/>
    <cellStyle name="Millares 18 2 2 3 6" xfId="48607" xr:uid="{6263204A-DC21-47C9-AE99-1322D8A75D5A}"/>
    <cellStyle name="Millares 18 2 2 4" xfId="3223" xr:uid="{4BDB60E9-D9C3-45E3-92E0-90F4A4C7DED8}"/>
    <cellStyle name="Millares 18 2 2 4 2" xfId="11494" xr:uid="{8D95923E-AC12-45E7-BADA-69D08170646C}"/>
    <cellStyle name="Millares 18 2 2 4 2 2" xfId="46654" xr:uid="{4A9E0BF0-C413-4894-9B39-DFF5F7D7DEC1}"/>
    <cellStyle name="Millares 18 2 2 4 3" xfId="14334" xr:uid="{503E5B6E-A836-4E81-8CE5-73BFF7074633}"/>
    <cellStyle name="Millares 18 2 2 4 4" xfId="25916" xr:uid="{1E920A19-940B-4EFD-99ED-352DDA41171E}"/>
    <cellStyle name="Millares 18 2 2 4 5" xfId="44258" xr:uid="{CB0D635A-E151-4BC9-96DF-BAC5EC2A58C8}"/>
    <cellStyle name="Millares 18 2 2 4 6" xfId="49151" xr:uid="{A82B831E-7A95-47B1-A8CC-0554DC1225F8}"/>
    <cellStyle name="Millares 18 2 2 5" xfId="3725" xr:uid="{55B3625F-15B0-41BF-AA28-11A3EE0646D8}"/>
    <cellStyle name="Millares 18 2 2 5 2" xfId="11966" xr:uid="{8162E01F-004F-4806-8BE6-EB9941CE32DE}"/>
    <cellStyle name="Millares 18 2 2 5 3" xfId="14806" xr:uid="{91FCD62D-E758-4EC2-9EB8-C87D9F9CAFE1}"/>
    <cellStyle name="Millares 18 2 2 5 4" xfId="31791" xr:uid="{491799BA-A057-43ED-AEE0-A9C224151BE5}"/>
    <cellStyle name="Millares 18 2 2 5 5" xfId="44730" xr:uid="{66A987ED-B03F-4AF2-B27F-D738C9882DC2}"/>
    <cellStyle name="Millares 18 2 2 5 6" xfId="49623" xr:uid="{53ECCACD-CD92-4E41-BF36-B6A07628028F}"/>
    <cellStyle name="Millares 18 2 2 6" xfId="5665" xr:uid="{88750483-04FA-4BFC-954C-FF27E9A4CCF8}"/>
    <cellStyle name="Millares 18 2 2 6 2" xfId="45148" xr:uid="{925E91FE-14A6-43A0-888D-402B0949F0BE}"/>
    <cellStyle name="Millares 18 2 2 7" xfId="9988" xr:uid="{FB8E787D-C37B-42F5-97E7-71E3618CBF74}"/>
    <cellStyle name="Millares 18 2 2 8" xfId="12828" xr:uid="{FE2B4B30-3993-47C3-94BC-CA78FB8A44FB}"/>
    <cellStyle name="Millares 18 2 2 9" xfId="16171" xr:uid="{5C0E03FE-6E3E-4212-A5DB-2CFE772E5C9D}"/>
    <cellStyle name="Millares 18 2 3" xfId="2049" xr:uid="{AA199B31-ED30-41C2-98DB-69EE4BC7E93C}"/>
    <cellStyle name="Millares 18 2 3 2" xfId="7561" xr:uid="{271B5903-B6BB-4D50-899A-38674E3E948B}"/>
    <cellStyle name="Millares 18 2 3 2 2" xfId="45480" xr:uid="{F7F8315C-BF5C-40B2-91B7-2410D20DA596}"/>
    <cellStyle name="Millares 18 2 3 3" xfId="10320" xr:uid="{BD8B6690-B38B-47B9-9677-7726EBF00582}"/>
    <cellStyle name="Millares 18 2 3 3 2" xfId="27795" xr:uid="{362AD7F8-F3F5-47A6-B556-1C7BEDC1036B}"/>
    <cellStyle name="Millares 18 2 3 4" xfId="13160" xr:uid="{8EBF99EB-7BF5-4AE5-B09F-35A54031D88C}"/>
    <cellStyle name="Millares 18 2 3 4 2" xfId="33677" xr:uid="{20617142-27C3-4BF6-A560-6A0F97D6FF22}"/>
    <cellStyle name="Millares 18 2 3 5" xfId="39541" xr:uid="{029E31A8-B886-4C49-950C-469227E65C19}"/>
    <cellStyle name="Millares 18 2 3 6" xfId="43084" xr:uid="{91AF2AB5-46CD-441C-BC69-87B99B969407}"/>
    <cellStyle name="Millares 18 2 3 7" xfId="47977" xr:uid="{5764FA30-DB7F-4366-A6BE-347CF7D56011}"/>
    <cellStyle name="Millares 18 2 4" xfId="2467" xr:uid="{D38FBFF4-D048-4C03-89EB-A385F16EAA5E}"/>
    <cellStyle name="Millares 18 2 4 2" xfId="10738" xr:uid="{B9760BCB-7FF2-4E6A-A10A-7077A238B73B}"/>
    <cellStyle name="Millares 18 2 4 2 2" xfId="45898" xr:uid="{579D71DE-D5B1-47E8-A698-1C0DFAFCD122}"/>
    <cellStyle name="Millares 18 2 4 3" xfId="13578" xr:uid="{7FDF878E-B512-44A7-A178-D7DCE680EDB8}"/>
    <cellStyle name="Millares 18 2 4 4" xfId="19190" xr:uid="{F11D2EEE-9DF5-4E97-85ED-439CB44CC1A5}"/>
    <cellStyle name="Millares 18 2 4 5" xfId="43502" xr:uid="{1D664CB2-D2E7-4E56-B978-4ED501D5B71D}"/>
    <cellStyle name="Millares 18 2 4 6" xfId="48395" xr:uid="{B06263A7-FC1D-405E-B6C2-E49E4D267533}"/>
    <cellStyle name="Millares 18 2 5" xfId="3011" xr:uid="{F4AFE0E7-C682-495C-9F45-B204D61B861E}"/>
    <cellStyle name="Millares 18 2 5 2" xfId="11282" xr:uid="{F5C7AE18-1C16-4236-AB9C-FA4106966B0B}"/>
    <cellStyle name="Millares 18 2 5 2 2" xfId="46442" xr:uid="{B1907C3A-AF02-44CA-8D91-CE5485DD9021}"/>
    <cellStyle name="Millares 18 2 5 3" xfId="14122" xr:uid="{90218F47-742A-40DF-A188-9FC60C304789}"/>
    <cellStyle name="Millares 18 2 5 4" xfId="24946" xr:uid="{7243A112-10DA-4D67-8DC9-106295F372EB}"/>
    <cellStyle name="Millares 18 2 5 5" xfId="44046" xr:uid="{5F2AA99E-7925-4A8E-9B41-2D565714FB54}"/>
    <cellStyle name="Millares 18 2 5 6" xfId="48939" xr:uid="{4E3A5F37-275F-4FED-9455-E4AE8F7CD813}"/>
    <cellStyle name="Millares 18 2 6" xfId="3513" xr:uid="{448E977A-736E-49DB-A11A-81D8113303A2}"/>
    <cellStyle name="Millares 18 2 6 2" xfId="11754" xr:uid="{F8EA3B2E-4768-4458-9BDD-B0FF89BDAC4C}"/>
    <cellStyle name="Millares 18 2 6 3" xfId="14594" xr:uid="{923C9C87-8AC8-4AD1-825A-76ACF4567E8C}"/>
    <cellStyle name="Millares 18 2 6 4" xfId="30821" xr:uid="{C9C689FD-A847-49AF-AFD5-5B4796FB8B07}"/>
    <cellStyle name="Millares 18 2 6 5" xfId="44518" xr:uid="{52AF3C6D-38DE-4157-ADE4-B0749B2A518D}"/>
    <cellStyle name="Millares 18 2 6 6" xfId="49411" xr:uid="{BB9ED242-4996-4A0D-AEC5-1AE28D6717FB}"/>
    <cellStyle name="Millares 18 2 7" xfId="4697" xr:uid="{5334B018-752A-4B94-9FB4-37C960AE3162}"/>
    <cellStyle name="Millares 18 2 7 2" xfId="44936" xr:uid="{D0519E5D-13AC-4384-8E21-7D3BBE0C2598}"/>
    <cellStyle name="Millares 18 2 8" xfId="9776" xr:uid="{398EE0A3-5A02-47F6-AB57-546F7348F45E}"/>
    <cellStyle name="Millares 18 2 9" xfId="12616" xr:uid="{6EC43B1B-5D5D-46B5-81C2-DB791F7C559E}"/>
    <cellStyle name="Millares 18 20" xfId="42436" xr:uid="{FA94C99A-FD47-416E-9908-26CBEA0247E2}"/>
    <cellStyle name="Millares 18 21" xfId="47329" xr:uid="{8E3FFAFD-D9A1-4B42-A59A-1B97CED06ECD}"/>
    <cellStyle name="Millares 18 3" xfId="343" xr:uid="{00000000-0005-0000-0000-0000C3010000}"/>
    <cellStyle name="Millares 18 3 10" xfId="16614" xr:uid="{4DE090E0-94EA-43BE-8472-AE85408961C1}"/>
    <cellStyle name="Millares 18 3 11" xfId="17158" xr:uid="{B2188959-2248-413E-80E5-A5CC611E4C09}"/>
    <cellStyle name="Millares 18 3 12" xfId="18207" xr:uid="{D558B393-4ACA-4241-B962-EA8F3CF6500F}"/>
    <cellStyle name="Millares 18 3 13" xfId="42160" xr:uid="{1CEB055E-AE81-4AAC-913B-7E343CD29E7C}"/>
    <cellStyle name="Millares 18 3 14" xfId="42652" xr:uid="{46AFC814-5A5C-4581-9E1D-2B4D58617DC5}"/>
    <cellStyle name="Millares 18 3 15" xfId="47545" xr:uid="{8286FFFB-D620-4C24-AA69-CB59CC22C73B}"/>
    <cellStyle name="Millares 18 3 2" xfId="2161" xr:uid="{21BDFC4D-838B-43B0-9379-584FA6E47580}"/>
    <cellStyle name="Millares 18 3 2 2" xfId="8048" xr:uid="{9511FC02-A20D-40C8-8FBD-ED2C8D78E134}"/>
    <cellStyle name="Millares 18 3 2 2 2" xfId="45592" xr:uid="{781CC5C9-23B5-4D73-9D1D-C1DE3B0F8BFE}"/>
    <cellStyle name="Millares 18 3 2 3" xfId="10432" xr:uid="{266CCAF1-3212-4361-BE21-A761FEE93FCD}"/>
    <cellStyle name="Millares 18 3 2 3 2" xfId="28281" xr:uid="{698E55E2-2392-4141-B2E9-560011805C95}"/>
    <cellStyle name="Millares 18 3 2 4" xfId="13272" xr:uid="{74D93F2A-A11E-46A6-AEF4-A1C29A860900}"/>
    <cellStyle name="Millares 18 3 2 4 2" xfId="34163" xr:uid="{D8C4B74D-5A3E-4CCB-99AD-3F485A6116F6}"/>
    <cellStyle name="Millares 18 3 2 5" xfId="40027" xr:uid="{3293E69B-F588-4F23-85ED-446AD83218B7}"/>
    <cellStyle name="Millares 18 3 2 6" xfId="43196" xr:uid="{726E8E8D-F010-4DF9-8100-138F3435CA94}"/>
    <cellStyle name="Millares 18 3 2 7" xfId="48089" xr:uid="{7CA1D008-931C-4E48-BC42-134B1842AA68}"/>
    <cellStyle name="Millares 18 3 3" xfId="2579" xr:uid="{18F8FCB5-521F-4374-8C6B-233D5581C54C}"/>
    <cellStyle name="Millares 18 3 3 2" xfId="10850" xr:uid="{7A2C6056-FE60-4AC1-AE9B-CD8E9917CCB7}"/>
    <cellStyle name="Millares 18 3 3 2 2" xfId="46010" xr:uid="{AFFB5A9D-212B-4722-B60D-9967EF6A9842}"/>
    <cellStyle name="Millares 18 3 3 3" xfId="13690" xr:uid="{35934F18-77C7-4CFC-94B5-EC256ADAE7C0}"/>
    <cellStyle name="Millares 18 3 3 4" xfId="19654" xr:uid="{6A37E1DD-EEE5-458C-AD72-A0FE276FDF60}"/>
    <cellStyle name="Millares 18 3 3 5" xfId="43614" xr:uid="{8ECB007A-01E7-4FA8-81E3-0E3641A76E64}"/>
    <cellStyle name="Millares 18 3 3 6" xfId="48507" xr:uid="{90E97109-6044-4944-927E-44872ADAB6F4}"/>
    <cellStyle name="Millares 18 3 4" xfId="3123" xr:uid="{A255B2C8-A8C9-4C13-B839-57037804D77F}"/>
    <cellStyle name="Millares 18 3 4 2" xfId="11394" xr:uid="{B81E378D-8E71-4E59-8D1C-C2B2C43A2D49}"/>
    <cellStyle name="Millares 18 3 4 2 2" xfId="46554" xr:uid="{7C78B088-D36D-403B-B8FF-877935B4B7D1}"/>
    <cellStyle name="Millares 18 3 4 3" xfId="14234" xr:uid="{041BE6CB-69EB-44FC-BACC-7110416E3936}"/>
    <cellStyle name="Millares 18 3 4 4" xfId="25432" xr:uid="{E55956CA-E590-4C60-8378-43C750090055}"/>
    <cellStyle name="Millares 18 3 4 5" xfId="44158" xr:uid="{001660A5-62B6-442A-AC13-47C8D6E227D2}"/>
    <cellStyle name="Millares 18 3 4 6" xfId="49051" xr:uid="{D342773C-AFA7-4D77-9A81-35B4EE56E0A3}"/>
    <cellStyle name="Millares 18 3 5" xfId="3625" xr:uid="{47204174-FDCB-49B7-A219-DC7A9795F203}"/>
    <cellStyle name="Millares 18 3 5 2" xfId="11866" xr:uid="{F151D482-F24B-42ED-8751-771CA59E93EA}"/>
    <cellStyle name="Millares 18 3 5 3" xfId="14706" xr:uid="{A149A288-DD8E-4282-9188-23AD4021EBAB}"/>
    <cellStyle name="Millares 18 3 5 4" xfId="31306" xr:uid="{DD3064B8-ED07-41E2-877D-4F509C343FF8}"/>
    <cellStyle name="Millares 18 3 5 5" xfId="44630" xr:uid="{F031FA39-3D7E-403A-9E4B-C853A2565882}"/>
    <cellStyle name="Millares 18 3 5 6" xfId="49523" xr:uid="{73248BD1-5769-46CC-9A53-F0DFC2168A23}"/>
    <cellStyle name="Millares 18 3 6" xfId="5181" xr:uid="{04061F9A-338D-4B5C-8456-1B1CC0D2848C}"/>
    <cellStyle name="Millares 18 3 6 2" xfId="45048" xr:uid="{410D7FF1-43E4-48D3-8BE3-5C058F5F28F2}"/>
    <cellStyle name="Millares 18 3 7" xfId="9888" xr:uid="{DDADC1BA-FA27-4ACC-BDDF-682AB33D4B04}"/>
    <cellStyle name="Millares 18 3 8" xfId="12728" xr:uid="{97A8D040-E16D-4C47-ABE4-C395122DAA40}"/>
    <cellStyle name="Millares 18 3 9" xfId="16071" xr:uid="{B5177C1C-7A6D-4A4A-B70B-6FAA43F452E1}"/>
    <cellStyle name="Millares 18 4" xfId="547" xr:uid="{00000000-0005-0000-0000-0000C4010000}"/>
    <cellStyle name="Millares 18 4 10" xfId="42161" xr:uid="{ACC35984-A97B-47ED-943B-D14E18E82CE2}"/>
    <cellStyle name="Millares 18 4 11" xfId="42854" xr:uid="{877F67E2-A622-40EB-A6A6-9406BB3F8E21}"/>
    <cellStyle name="Millares 18 4 12" xfId="47747" xr:uid="{6DA6DC3E-0A77-4B9F-89CA-E8884968A7A4}"/>
    <cellStyle name="Millares 18 4 2" xfId="2781" xr:uid="{F35FEFCE-13EB-4EAB-88F0-6B8B4D450FAA}"/>
    <cellStyle name="Millares 18 4 2 2" xfId="11052" xr:uid="{D99A3223-BADF-4962-9607-00CC584DCB78}"/>
    <cellStyle name="Millares 18 4 2 2 2" xfId="46212" xr:uid="{3F2219B4-767A-4606-B7D2-C5AFE99A6094}"/>
    <cellStyle name="Millares 18 4 2 3" xfId="13892" xr:uid="{66E3DA9A-AAA7-4386-99B8-E5BA776AE139}"/>
    <cellStyle name="Millares 18 4 2 4" xfId="21491" xr:uid="{74E1C785-215D-4820-8BF3-AE312CF36A09}"/>
    <cellStyle name="Millares 18 4 2 5" xfId="43816" xr:uid="{DA439065-AC22-412D-A63F-0E3031C75238}"/>
    <cellStyle name="Millares 18 4 2 6" xfId="48709" xr:uid="{10E30180-D766-4733-86C6-10678404B119}"/>
    <cellStyle name="Millares 18 4 3" xfId="7076" xr:uid="{E6E44221-5A9E-4FEB-9C9F-2CCE5E05DBBB}"/>
    <cellStyle name="Millares 18 4 3 2" xfId="45250" xr:uid="{267140F7-EC30-4E23-8095-222641659F38}"/>
    <cellStyle name="Millares 18 4 4" xfId="10090" xr:uid="{F8E62E9D-A77A-4E51-9A41-7C84703CD188}"/>
    <cellStyle name="Millares 18 4 4 2" xfId="33192" xr:uid="{46364487-0114-438D-8DB6-DC9B261E133F}"/>
    <cellStyle name="Millares 18 4 5" xfId="12930" xr:uid="{12A21D52-D3D6-460E-86A9-6ABA53AE4F36}"/>
    <cellStyle name="Millares 18 4 5 2" xfId="39056" xr:uid="{B21B4989-7A4B-4349-9C39-FE5C67B2648E}"/>
    <cellStyle name="Millares 18 4 6" xfId="16273" xr:uid="{7A8BD47E-C784-4945-B5D1-BCF5201E374A}"/>
    <cellStyle name="Millares 18 4 7" xfId="16816" xr:uid="{5DC16F5A-489A-41E7-A181-CB0EF619B134}"/>
    <cellStyle name="Millares 18 4 8" xfId="17360" xr:uid="{725C3E6F-D692-4238-AE7E-A218AD2067B8}"/>
    <cellStyle name="Millares 18 4 9" xfId="17538" xr:uid="{F32C4E9A-2AD0-46F6-AD1D-00F582DE9A2F}"/>
    <cellStyle name="Millares 18 5" xfId="1945" xr:uid="{182485E7-51C0-45B8-96A1-16F327F0840E}"/>
    <cellStyle name="Millares 18 5 2" xfId="10216" xr:uid="{1D5A030B-454A-4FC2-90E7-9A6615EF78CD}"/>
    <cellStyle name="Millares 18 5 2 2" xfId="45376" xr:uid="{7E87750E-C26A-496A-8D5C-510A35A2210F}"/>
    <cellStyle name="Millares 18 5 3" xfId="13056" xr:uid="{C552E18B-FB9D-4229-82D9-3B076239ADC6}"/>
    <cellStyle name="Millares 18 5 4" xfId="18747" xr:uid="{4B7FC6A1-24A6-4160-9E2C-6C9537F83762}"/>
    <cellStyle name="Millares 18 5 5" xfId="42980" xr:uid="{A754A64B-B517-4C8B-9C4E-9DFCBE039992}"/>
    <cellStyle name="Millares 18 5 6" xfId="47873" xr:uid="{F2964C67-1B19-425F-AD78-DAD348C9653D}"/>
    <cellStyle name="Millares 18 6" xfId="2363" xr:uid="{28DB6AC3-66E1-4C6A-8AAF-CA43D6C27020}"/>
    <cellStyle name="Millares 18 6 2" xfId="10634" xr:uid="{27737DAB-5779-4F3F-85DC-4A4677B0AFEC}"/>
    <cellStyle name="Millares 18 6 2 2" xfId="45794" xr:uid="{7C7E7F0F-5810-4C66-9836-6124215A8F7A}"/>
    <cellStyle name="Millares 18 6 3" xfId="13474" xr:uid="{51A3BB70-6C27-4FE8-8D4A-319CCFDD8C71}"/>
    <cellStyle name="Millares 18 6 4" xfId="24463" xr:uid="{BA9FF01E-69CC-4D75-8239-DDBB9246B06C}"/>
    <cellStyle name="Millares 18 6 5" xfId="43398" xr:uid="{2D1AC6C0-8E2F-4EB6-89F4-A8742404B4BE}"/>
    <cellStyle name="Millares 18 6 6" xfId="48291" xr:uid="{1340A770-A538-4712-9F16-6BCDCF885C01}"/>
    <cellStyle name="Millares 18 7" xfId="2907" xr:uid="{58EF2042-D3B2-4D31-9AA9-CD74F490A57A}"/>
    <cellStyle name="Millares 18 7 2" xfId="11178" xr:uid="{A6006D06-8048-4B8D-862E-2769EFFDC472}"/>
    <cellStyle name="Millares 18 7 2 2" xfId="46338" xr:uid="{65EA5997-50D3-461B-B7E6-4A57A92CAF96}"/>
    <cellStyle name="Millares 18 7 3" xfId="14018" xr:uid="{780563D9-E555-4502-BF20-0ADCDC679C5E}"/>
    <cellStyle name="Millares 18 7 4" xfId="30339" xr:uid="{E4FF0442-F2E5-4E41-9782-662E8E4637D4}"/>
    <cellStyle name="Millares 18 7 5" xfId="43942" xr:uid="{AAFE64B1-8848-4195-B975-E099707E8858}"/>
    <cellStyle name="Millares 18 7 6" xfId="48835" xr:uid="{21E79CC5-F519-463B-9F41-ABB1328B066F}"/>
    <cellStyle name="Millares 18 8" xfId="3342" xr:uid="{7A4E14A0-A40C-430C-B81F-A30E691FD4D9}"/>
    <cellStyle name="Millares 18 8 2" xfId="36220" xr:uid="{209D83C3-E7F5-467D-BA0A-928803526BA0}"/>
    <cellStyle name="Millares 18 9" xfId="3402" xr:uid="{9D6D5292-A3DA-49A5-A24F-33B137AD7A45}"/>
    <cellStyle name="Millares 18 9 2" xfId="11643" xr:uid="{6E97116B-A26A-4ED7-ADE4-9211291F393C}"/>
    <cellStyle name="Millares 18 9 2 2" xfId="46803" xr:uid="{BA1DD6AE-FFD1-47AE-912B-BCBCA3C9C253}"/>
    <cellStyle name="Millares 18 9 3" xfId="14483" xr:uid="{A7750A54-D102-406D-8900-F5D29C3A4A6D}"/>
    <cellStyle name="Millares 18 9 4" xfId="44407" xr:uid="{824A0810-7B9E-41F6-8EEF-FCD38A883DD2}"/>
    <cellStyle name="Millares 18 9 5" xfId="49300" xr:uid="{41CE4753-FE84-4CB5-9AEF-E2B42F73DFBA}"/>
    <cellStyle name="Millares 19" xfId="208" xr:uid="{00000000-0005-0000-0000-0000C5010000}"/>
    <cellStyle name="Millares 19 10" xfId="4220" xr:uid="{45304203-7833-4FA8-ACC2-9BF7B25BFD56}"/>
    <cellStyle name="Millares 19 10 2" xfId="44931" xr:uid="{E054D72A-C02D-4B3F-B3C5-DBB8482596CE}"/>
    <cellStyle name="Millares 19 11" xfId="9771" xr:uid="{716D546F-276C-453B-92BF-5654CF9D3C88}"/>
    <cellStyle name="Millares 19 12" xfId="12611" xr:uid="{F2711174-117B-47C4-8F3D-A13B217DF11B}"/>
    <cellStyle name="Millares 19 13" xfId="15954" xr:uid="{5F600DD8-3F88-468E-A26D-A2929F643B64}"/>
    <cellStyle name="Millares 19 14" xfId="16497" xr:uid="{64EDF734-F760-4C49-A4D4-E9080C27CAE7}"/>
    <cellStyle name="Millares 19 15" xfId="17041" xr:uid="{4B2E427E-8004-48DF-8B4D-82548D64FC1B}"/>
    <cellStyle name="Millares 19 16" xfId="17683" xr:uid="{19189601-5391-4B01-8EAB-E5FF7D80072F}"/>
    <cellStyle name="Millares 19 17" xfId="42162" xr:uid="{4DD721FD-F932-4BAE-924D-D7409AB9D548}"/>
    <cellStyle name="Millares 19 18" xfId="42535" xr:uid="{CFC96F6F-15CE-4513-822F-42868FD57F4C}"/>
    <cellStyle name="Millares 19 19" xfId="47428" xr:uid="{115AE7AE-CA7F-4EDE-9236-589DA2E3D3D4}"/>
    <cellStyle name="Millares 19 2" xfId="89" xr:uid="{00000000-0005-0000-0000-0000C6010000}"/>
    <cellStyle name="Millares 19 2 10" xfId="2916" xr:uid="{AC1F1E97-7E96-4852-8160-4DC133140F0F}"/>
    <cellStyle name="Millares 19 2 10 2" xfId="11187" xr:uid="{EFAD5A92-87AC-4500-A02C-29273920B621}"/>
    <cellStyle name="Millares 19 2 10 2 2" xfId="46347" xr:uid="{20A1AB5E-D7DB-4942-86D7-48E37ACCFFE7}"/>
    <cellStyle name="Millares 19 2 10 3" xfId="14027" xr:uid="{4DF44847-C6F0-48B3-82D6-3E8FADD58348}"/>
    <cellStyle name="Millares 19 2 10 4" xfId="43951" xr:uid="{9B8F3F99-9744-4056-8356-0844ED02E570}"/>
    <cellStyle name="Millares 19 2 10 5" xfId="48844" xr:uid="{50AF804F-FBF7-4C11-AFFF-8E22C808A851}"/>
    <cellStyle name="Millares 19 2 11" xfId="3418" xr:uid="{8A4B6009-1798-4B37-9E33-70C34001B0A4}"/>
    <cellStyle name="Millares 19 2 11 2" xfId="11659" xr:uid="{D806247B-5BBE-44FD-8743-51F4B0060D64}"/>
    <cellStyle name="Millares 19 2 11 3" xfId="14499" xr:uid="{CAC22919-F960-497D-A51E-BE3563BC28A6}"/>
    <cellStyle name="Millares 19 2 11 4" xfId="44423" xr:uid="{CCE340E9-1478-4B2C-B173-48A60B23FCA8}"/>
    <cellStyle name="Millares 19 2 11 5" xfId="49316" xr:uid="{5E5004D7-3136-463B-8823-BCD04407C144}"/>
    <cellStyle name="Millares 19 2 12" xfId="4698" xr:uid="{6D3E7F19-99EA-4FB0-8281-A9A806051957}"/>
    <cellStyle name="Millares 19 2 12 2" xfId="44841" xr:uid="{73BABD3A-AED9-4C90-9159-6F03B90245B7}"/>
    <cellStyle name="Millares 19 2 13" xfId="9681" xr:uid="{C6D4AAAC-1FD2-4830-9175-549EBA98BAFB}"/>
    <cellStyle name="Millares 19 2 14" xfId="12521" xr:uid="{8E64F0CA-5B12-4E2D-B73B-9667B0FDBEA7}"/>
    <cellStyle name="Millares 19 2 15" xfId="15864" xr:uid="{5F510417-E5FD-4AAD-856D-6A5653818215}"/>
    <cellStyle name="Millares 19 2 16" xfId="16407" xr:uid="{E2904359-9444-4F2D-8C14-4830050343D0}"/>
    <cellStyle name="Millares 19 2 17" xfId="16951" xr:uid="{5DE2D857-278B-416F-AAAC-EC93C08353BE}"/>
    <cellStyle name="Millares 19 2 18" xfId="18052" xr:uid="{24178EAF-6499-42F0-94DB-9C40712222A8}"/>
    <cellStyle name="Millares 19 2 19" xfId="42445" xr:uid="{262082A6-28D8-43C6-A470-B2082D4CC499}"/>
    <cellStyle name="Millares 19 2 2" xfId="103" xr:uid="{00000000-0005-0000-0000-0000C7010000}"/>
    <cellStyle name="Millares 19 2 2 10" xfId="3429" xr:uid="{595BF697-5954-45D7-AEA8-F82F73AEFE2D}"/>
    <cellStyle name="Millares 19 2 2 10 2" xfId="11670" xr:uid="{94D34456-0549-4D33-B2D5-DDE99EDD01F1}"/>
    <cellStyle name="Millares 19 2 2 10 3" xfId="14510" xr:uid="{7BBA61A5-694C-4EB3-9440-C234ABC1B584}"/>
    <cellStyle name="Millares 19 2 2 10 4" xfId="44434" xr:uid="{0C0D0191-160A-4D46-86F9-41FE77AB2DAE}"/>
    <cellStyle name="Millares 19 2 2 10 5" xfId="49327" xr:uid="{F464F8D0-A47B-479D-8AFC-876FFE621172}"/>
    <cellStyle name="Millares 19 2 2 11" xfId="5666" xr:uid="{2468F451-AD8C-46E2-8117-0419DE824AF1}"/>
    <cellStyle name="Millares 19 2 2 11 2" xfId="44852" xr:uid="{E86A0F73-3F3F-4CF0-AF62-176E2E8A8269}"/>
    <cellStyle name="Millares 19 2 2 12" xfId="9692" xr:uid="{C3860CE6-75AC-4925-B80F-C6E7D4EE624F}"/>
    <cellStyle name="Millares 19 2 2 13" xfId="12532" xr:uid="{C8206BE0-FB08-4C3A-B489-F2176AB1189A}"/>
    <cellStyle name="Millares 19 2 2 14" xfId="15875" xr:uid="{B8BF4E23-0288-4A6F-9CF2-76FE4C90A3A5}"/>
    <cellStyle name="Millares 19 2 2 15" xfId="16418" xr:uid="{90470C42-9467-4179-A7FE-DEB9F9A9F6FE}"/>
    <cellStyle name="Millares 19 2 2 16" xfId="16962" xr:uid="{CD579D9B-1BB8-4A5F-AC8C-B13F3B5C9D5F}"/>
    <cellStyle name="Millares 19 2 2 17" xfId="18026" xr:uid="{BE97F365-FF69-4B8E-9487-9C40AC6E8BE2}"/>
    <cellStyle name="Millares 19 2 2 18" xfId="42456" xr:uid="{4E6ADA34-EC01-4DA1-9482-AC61B07E6A02}"/>
    <cellStyle name="Millares 19 2 2 19" xfId="47349" xr:uid="{473C69D9-A032-4435-B75C-173A3B910611}"/>
    <cellStyle name="Millares 19 2 2 2" xfId="198" xr:uid="{00000000-0005-0000-0000-0000C8010000}"/>
    <cellStyle name="Millares 19 2 2 2 10" xfId="9761" xr:uid="{944BA1C9-5D9E-4524-B4DA-278F27B836D4}"/>
    <cellStyle name="Millares 19 2 2 2 11" xfId="12601" xr:uid="{DCCE5212-5BEA-478F-8DD9-EB297127D2ED}"/>
    <cellStyle name="Millares 19 2 2 2 12" xfId="15944" xr:uid="{D7294DFC-9FB2-428F-84CA-946AA60DF8B3}"/>
    <cellStyle name="Millares 19 2 2 2 13" xfId="16487" xr:uid="{4F280BDD-8B7A-4A09-87C7-5BD18B5EE2DB}"/>
    <cellStyle name="Millares 19 2 2 2 14" xfId="17031" xr:uid="{44C00BDE-F22A-4AB2-A60D-780FC16E763C}"/>
    <cellStyle name="Millares 19 2 2 2 15" xfId="18178" xr:uid="{232AA672-C69D-4D04-904A-FD87D650576C}"/>
    <cellStyle name="Millares 19 2 2 2 16" xfId="42525" xr:uid="{D5B1084E-0029-4751-ACD9-90DEA46F3852}"/>
    <cellStyle name="Millares 19 2 2 2 17" xfId="47418" xr:uid="{80833569-CB4E-49E8-B1A5-2C9277BC3E9A}"/>
    <cellStyle name="Millares 19 2 2 2 2" xfId="307" xr:uid="{00000000-0005-0000-0000-0000C9010000}"/>
    <cellStyle name="Millares 19 2 2 2 2 10" xfId="16591" xr:uid="{2A152980-A80D-48A3-840C-C9A1A39DDCBC}"/>
    <cellStyle name="Millares 19 2 2 2 2 11" xfId="17135" xr:uid="{392D6570-39D5-4ED0-B50F-A0EA855822D2}"/>
    <cellStyle name="Millares 19 2 2 2 2 12" xfId="22906" xr:uid="{BE2EC24B-B085-4FF6-8AF1-3AEB9B92B65A}"/>
    <cellStyle name="Millares 19 2 2 2 2 13" xfId="18234" xr:uid="{51264445-BF34-401A-AF0E-32DD69A41B45}"/>
    <cellStyle name="Millares 19 2 2 2 2 14" xfId="42629" xr:uid="{C45B0471-0204-4BB4-8B53-F3BFB2E79106}"/>
    <cellStyle name="Millares 19 2 2 2 2 15" xfId="47522" xr:uid="{B7AC5ED6-2BCF-4212-AAE7-6594CD1B9A21}"/>
    <cellStyle name="Millares 19 2 2 2 2 2" xfId="534" xr:uid="{00000000-0005-0000-0000-0000CA010000}"/>
    <cellStyle name="Millares 19 2 2 2 2 2 10" xfId="17347" xr:uid="{86EFED78-9EBA-45A9-B074-77CC259B84C3}"/>
    <cellStyle name="Millares 19 2 2 2 2 2 11" xfId="18094" xr:uid="{4B84C856-87D2-4364-9E10-6DF54518C841}"/>
    <cellStyle name="Millares 19 2 2 2 2 2 12" xfId="42841" xr:uid="{97BC27C4-D79C-40E3-A534-6CD7899BD347}"/>
    <cellStyle name="Millares 19 2 2 2 2 2 13" xfId="47734" xr:uid="{DA232976-41C9-42E8-9B2E-7A85E77D5077}"/>
    <cellStyle name="Millares 19 2 2 2 2 2 2" xfId="2350" xr:uid="{2C76C8BE-302E-4BC5-ACC6-A07C482C3684}"/>
    <cellStyle name="Millares 19 2 2 2 2 2 2 2" xfId="10621" xr:uid="{09F01E56-3A0F-4FFD-8FDA-DDE6E111B445}"/>
    <cellStyle name="Millares 19 2 2 2 2 2 2 2 2" xfId="45781" xr:uid="{2D6FF929-C502-44C5-B686-85AF922DB3BC}"/>
    <cellStyle name="Millares 19 2 2 2 2 2 2 3" xfId="13461" xr:uid="{77A9EF14-DB95-43D5-B538-25E53A82D636}"/>
    <cellStyle name="Millares 19 2 2 2 2 2 2 4" xfId="43385" xr:uid="{39E4CD9C-42A3-4821-A1BF-6FF2D3483CE3}"/>
    <cellStyle name="Millares 19 2 2 2 2 2 2 5" xfId="48278" xr:uid="{011D5907-37B5-460A-BBA7-F9B3CFB6354A}"/>
    <cellStyle name="Millares 19 2 2 2 2 2 3" xfId="2768" xr:uid="{956BCBAF-E776-4DB5-8BD8-FADCF30D90D2}"/>
    <cellStyle name="Millares 19 2 2 2 2 2 3 2" xfId="11039" xr:uid="{FA667E84-05B5-48BC-913C-319631FF10C8}"/>
    <cellStyle name="Millares 19 2 2 2 2 2 3 2 2" xfId="46199" xr:uid="{EBFA641F-C6D0-4103-9147-E8F85B0E24CD}"/>
    <cellStyle name="Millares 19 2 2 2 2 2 3 3" xfId="13879" xr:uid="{6EAAE5AF-1803-42EF-BDF2-B4771F7A7DFC}"/>
    <cellStyle name="Millares 19 2 2 2 2 2 3 4" xfId="43803" xr:uid="{6A509CD6-C5B6-492E-A564-C8067C61453F}"/>
    <cellStyle name="Millares 19 2 2 2 2 2 3 5" xfId="48696" xr:uid="{B77E9FCB-D250-45F9-830E-6E0B366BE9F0}"/>
    <cellStyle name="Millares 19 2 2 2 2 2 4" xfId="3312" xr:uid="{594C3F1E-1327-40C8-8DA2-96592D82850F}"/>
    <cellStyle name="Millares 19 2 2 2 2 2 4 2" xfId="11583" xr:uid="{166682CD-55E3-4B89-B9D0-4D4924B8CE21}"/>
    <cellStyle name="Millares 19 2 2 2 2 2 4 2 2" xfId="46743" xr:uid="{3C262CB4-C9C0-482E-BE7C-2DA984526F6F}"/>
    <cellStyle name="Millares 19 2 2 2 2 2 4 3" xfId="14423" xr:uid="{5EE4B656-80AB-46DA-ACC2-BB9E27A04DD6}"/>
    <cellStyle name="Millares 19 2 2 2 2 2 4 4" xfId="44347" xr:uid="{14560C1E-B877-4B76-9054-0082498C321E}"/>
    <cellStyle name="Millares 19 2 2 2 2 2 4 5" xfId="49240" xr:uid="{52AEFAAA-7D45-430A-9E74-DC1950D69982}"/>
    <cellStyle name="Millares 19 2 2 2 2 2 5" xfId="3814" xr:uid="{8FED2615-0205-4AB5-9FC3-497319CEC322}"/>
    <cellStyle name="Millares 19 2 2 2 2 2 5 2" xfId="12055" xr:uid="{B9FBB0C3-A797-40AD-9C23-9AAEF86D0535}"/>
    <cellStyle name="Millares 19 2 2 2 2 2 5 3" xfId="14895" xr:uid="{29E3BBC9-6A7D-470E-85E5-41CA87CA77A9}"/>
    <cellStyle name="Millares 19 2 2 2 2 2 5 4" xfId="44819" xr:uid="{8C4E16A7-84FB-42CD-B016-883582A87341}"/>
    <cellStyle name="Millares 19 2 2 2 2 2 5 5" xfId="49712" xr:uid="{326872B0-AA39-4616-B87D-47D7691B6662}"/>
    <cellStyle name="Millares 19 2 2 2 2 2 6" xfId="10077" xr:uid="{197B3B32-E12C-4C18-989C-2D70950D87A2}"/>
    <cellStyle name="Millares 19 2 2 2 2 2 6 2" xfId="45237" xr:uid="{CF9E5C04-6329-401D-B209-84B738206338}"/>
    <cellStyle name="Millares 19 2 2 2 2 2 7" xfId="12917" xr:uid="{9E69FEEB-6391-4C15-91F9-12806E5310B0}"/>
    <cellStyle name="Millares 19 2 2 2 2 2 8" xfId="16260" xr:uid="{47540806-25A0-4E79-BFBB-92B742CC3350}"/>
    <cellStyle name="Millares 19 2 2 2 2 2 9" xfId="16803" xr:uid="{7CBE659E-4BB7-41D2-AF8B-EDF0AAC19EB6}"/>
    <cellStyle name="Millares 19 2 2 2 2 3" xfId="2138" xr:uid="{15C2B6A4-EA4C-4A57-8242-9D6B31C9CB1E}"/>
    <cellStyle name="Millares 19 2 2 2 2 3 2" xfId="10409" xr:uid="{15865FEF-4C0D-42AC-BF38-72BCD3B5511C}"/>
    <cellStyle name="Millares 19 2 2 2 2 3 2 2" xfId="45569" xr:uid="{D94C676B-263A-4AB4-A12D-D225EF4CC84E}"/>
    <cellStyle name="Millares 19 2 2 2 2 3 3" xfId="13249" xr:uid="{F8B5CE21-F998-45B4-81C1-C9059E440BE6}"/>
    <cellStyle name="Millares 19 2 2 2 2 3 4" xfId="43173" xr:uid="{9C130AC4-706D-4C82-A183-E4B2251D6E6E}"/>
    <cellStyle name="Millares 19 2 2 2 2 3 5" xfId="48066" xr:uid="{F8BF3FF8-CFF7-4B44-8290-81F931D85952}"/>
    <cellStyle name="Millares 19 2 2 2 2 4" xfId="2556" xr:uid="{B2195901-62AE-434B-81A2-66706FA73AAA}"/>
    <cellStyle name="Millares 19 2 2 2 2 4 2" xfId="10827" xr:uid="{2D0F3180-2340-441B-8741-B36E9191F108}"/>
    <cellStyle name="Millares 19 2 2 2 2 4 2 2" xfId="45987" xr:uid="{B4A9121A-9202-446D-9BA9-50588A6688C2}"/>
    <cellStyle name="Millares 19 2 2 2 2 4 3" xfId="13667" xr:uid="{407099C1-6A8D-4326-AD87-765E882FF3F5}"/>
    <cellStyle name="Millares 19 2 2 2 2 4 4" xfId="43591" xr:uid="{05CDC356-F539-4921-9A34-64E555AC23EA}"/>
    <cellStyle name="Millares 19 2 2 2 2 4 5" xfId="48484" xr:uid="{7FF737A0-B634-49FE-9435-A70AB9846F19}"/>
    <cellStyle name="Millares 19 2 2 2 2 5" xfId="3100" xr:uid="{B4E38414-98BA-42E8-A635-264E9A8D6C31}"/>
    <cellStyle name="Millares 19 2 2 2 2 5 2" xfId="11371" xr:uid="{63C7AF4D-B9BB-4FC8-827C-78C20B6F212E}"/>
    <cellStyle name="Millares 19 2 2 2 2 5 2 2" xfId="46531" xr:uid="{4DE69238-55DE-4E65-B1F3-7CF28235D15E}"/>
    <cellStyle name="Millares 19 2 2 2 2 5 3" xfId="14211" xr:uid="{067768F1-93F2-4178-8054-BBEAD025D963}"/>
    <cellStyle name="Millares 19 2 2 2 2 5 4" xfId="44135" xr:uid="{57C0F365-0CBF-4EFA-B083-BC20B6D0536E}"/>
    <cellStyle name="Millares 19 2 2 2 2 5 5" xfId="49028" xr:uid="{AA4424F1-DC3C-4FF9-98F1-D53B0209CB0B}"/>
    <cellStyle name="Millares 19 2 2 2 2 6" xfId="3602" xr:uid="{A15C1D11-DE25-46CA-9E0D-C9F12B526819}"/>
    <cellStyle name="Millares 19 2 2 2 2 6 2" xfId="11843" xr:uid="{F450A7CC-4DE2-4A1E-BF6B-AD44F13F3E75}"/>
    <cellStyle name="Millares 19 2 2 2 2 6 3" xfId="14683" xr:uid="{3D18A3CF-4884-4EA9-8C04-256AC14CDA05}"/>
    <cellStyle name="Millares 19 2 2 2 2 6 4" xfId="44607" xr:uid="{1D9FFF59-96D8-4CEC-9041-C6EDB7A261E4}"/>
    <cellStyle name="Millares 19 2 2 2 2 6 5" xfId="49500" xr:uid="{9898C87E-54BF-4B79-8719-1E0166A4558F}"/>
    <cellStyle name="Millares 19 2 2 2 2 7" xfId="9865" xr:uid="{293A1B2D-EB7C-4206-AB61-5CEC7F5D1FB7}"/>
    <cellStyle name="Millares 19 2 2 2 2 7 2" xfId="45025" xr:uid="{83F707A2-0A80-4F38-9E86-2F2795805E01}"/>
    <cellStyle name="Millares 19 2 2 2 2 8" xfId="12705" xr:uid="{CDFA2A1F-9696-4755-80DC-A65D82C01327}"/>
    <cellStyle name="Millares 19 2 2 2 2 9" xfId="16048" xr:uid="{9CFB0E46-4354-41D8-8689-19538AA1F46A}"/>
    <cellStyle name="Millares 19 2 2 2 3" xfId="433" xr:uid="{00000000-0005-0000-0000-0000CB010000}"/>
    <cellStyle name="Millares 19 2 2 2 3 10" xfId="17247" xr:uid="{48A26F0A-85D4-42C9-9BD1-0465551B4AA5}"/>
    <cellStyle name="Millares 19 2 2 2 3 11" xfId="28767" xr:uid="{A36F981C-C8E5-4DB4-AA46-C8E53C644362}"/>
    <cellStyle name="Millares 19 2 2 2 3 12" xfId="17748" xr:uid="{E7703BE9-2371-46CE-B148-9A3205DC996F}"/>
    <cellStyle name="Millares 19 2 2 2 3 13" xfId="42741" xr:uid="{70E506BF-19AD-4350-A188-21271A033CF3}"/>
    <cellStyle name="Millares 19 2 2 2 3 14" xfId="47634" xr:uid="{3096B4CE-84F5-4467-BEB2-4290B10741D8}"/>
    <cellStyle name="Millares 19 2 2 2 3 2" xfId="2250" xr:uid="{84FBE341-459B-422A-AC48-B2772F4C873E}"/>
    <cellStyle name="Millares 19 2 2 2 3 2 2" xfId="10521" xr:uid="{41A37CAA-FCAE-47D6-8E31-BA86A60DFCA4}"/>
    <cellStyle name="Millares 19 2 2 2 3 2 2 2" xfId="45681" xr:uid="{8D1011B6-51CC-47FD-A9CC-37056E173DF4}"/>
    <cellStyle name="Millares 19 2 2 2 3 2 3" xfId="13361" xr:uid="{B1C2D738-2FFF-4D98-86DC-D8D0E0772C9B}"/>
    <cellStyle name="Millares 19 2 2 2 3 2 4" xfId="43285" xr:uid="{D1B5142A-3D7E-40F2-AF24-68297DE6928A}"/>
    <cellStyle name="Millares 19 2 2 2 3 2 5" xfId="48178" xr:uid="{679E50F3-A62E-4F88-A077-489AD29D4734}"/>
    <cellStyle name="Millares 19 2 2 2 3 3" xfId="2668" xr:uid="{59FF2320-01C7-4EB0-A47F-C6FE13F6602B}"/>
    <cellStyle name="Millares 19 2 2 2 3 3 2" xfId="10939" xr:uid="{C28E8F8A-FE4F-4A31-BA3D-D6A9582AAE99}"/>
    <cellStyle name="Millares 19 2 2 2 3 3 2 2" xfId="46099" xr:uid="{F1D5623C-C215-43EE-8FFA-3948CE8B4C2C}"/>
    <cellStyle name="Millares 19 2 2 2 3 3 3" xfId="13779" xr:uid="{2B9F14AE-EB6F-4C02-B18E-37B29D2A9E28}"/>
    <cellStyle name="Millares 19 2 2 2 3 3 4" xfId="43703" xr:uid="{A3027765-945B-47A5-8C91-40A8C66459E7}"/>
    <cellStyle name="Millares 19 2 2 2 3 3 5" xfId="48596" xr:uid="{94959902-23C5-40E2-9A8B-883387062DCE}"/>
    <cellStyle name="Millares 19 2 2 2 3 4" xfId="3212" xr:uid="{F8F9949C-2E41-4D16-9A32-716DA8248485}"/>
    <cellStyle name="Millares 19 2 2 2 3 4 2" xfId="11483" xr:uid="{340FBCBE-77E9-4DED-A3F5-4D453D92E7D3}"/>
    <cellStyle name="Millares 19 2 2 2 3 4 2 2" xfId="46643" xr:uid="{7A0F986F-B818-4ED4-B71E-05E10F0A450A}"/>
    <cellStyle name="Millares 19 2 2 2 3 4 3" xfId="14323" xr:uid="{3B988E58-D0C6-4027-AB65-3277575315CD}"/>
    <cellStyle name="Millares 19 2 2 2 3 4 4" xfId="44247" xr:uid="{530E710A-45C0-4420-84AC-9E79D758B0D2}"/>
    <cellStyle name="Millares 19 2 2 2 3 4 5" xfId="49140" xr:uid="{A8B1580C-0C39-4973-BBF7-82B5AC2DE36E}"/>
    <cellStyle name="Millares 19 2 2 2 3 5" xfId="3714" xr:uid="{0717BFD9-1325-4678-BD0A-E1B1575B0B86}"/>
    <cellStyle name="Millares 19 2 2 2 3 5 2" xfId="11955" xr:uid="{30354E6A-01EA-478C-8BD1-2DCA0F02719A}"/>
    <cellStyle name="Millares 19 2 2 2 3 5 3" xfId="14795" xr:uid="{A2D4D610-ABB4-4FDA-808D-97273A219AE7}"/>
    <cellStyle name="Millares 19 2 2 2 3 5 4" xfId="44719" xr:uid="{C267CD79-04D0-4927-B5D4-67951E513FA9}"/>
    <cellStyle name="Millares 19 2 2 2 3 5 5" xfId="49612" xr:uid="{AC1B0CE2-E143-4B6E-BEA5-B2E288702F8B}"/>
    <cellStyle name="Millares 19 2 2 2 3 6" xfId="9977" xr:uid="{BD3EEF1A-196F-4340-BE4A-B607B6D07220}"/>
    <cellStyle name="Millares 19 2 2 2 3 6 2" xfId="45137" xr:uid="{3B6A3E92-2F36-4CEB-9855-2B8824A832B0}"/>
    <cellStyle name="Millares 19 2 2 2 3 7" xfId="12817" xr:uid="{289DFC11-408A-43A5-9F1E-664AC62DFDCC}"/>
    <cellStyle name="Millares 19 2 2 2 3 8" xfId="16160" xr:uid="{3114B36C-2BD4-42E3-ADD8-3B454D6494D6}"/>
    <cellStyle name="Millares 19 2 2 2 3 9" xfId="16703" xr:uid="{BD2E7883-1559-4E52-8247-FC225C612E2F}"/>
    <cellStyle name="Millares 19 2 2 2 4" xfId="636" xr:uid="{00000000-0005-0000-0000-0000CC010000}"/>
    <cellStyle name="Millares 19 2 2 2 4 10" xfId="42943" xr:uid="{3431143A-ECC7-4475-A31F-0F3FBC9DCD76}"/>
    <cellStyle name="Millares 19 2 2 2 4 11" xfId="47836" xr:uid="{F30D3FDC-96CF-4D28-A468-AC4E05FF79C4}"/>
    <cellStyle name="Millares 19 2 2 2 4 2" xfId="2870" xr:uid="{725D0190-761A-469A-894B-345099637160}"/>
    <cellStyle name="Millares 19 2 2 2 4 2 2" xfId="11141" xr:uid="{6EDE403A-43BD-4845-BAFB-7175367C1DE1}"/>
    <cellStyle name="Millares 19 2 2 2 4 2 2 2" xfId="46301" xr:uid="{CA96B9D8-1C9D-446A-8D65-28CBCFA2DB43}"/>
    <cellStyle name="Millares 19 2 2 2 4 2 3" xfId="13981" xr:uid="{93C7F951-2192-48CA-A5BD-D3DD8073E2BC}"/>
    <cellStyle name="Millares 19 2 2 2 4 2 4" xfId="43905" xr:uid="{4464B3B1-8560-4661-9C8D-B5A5D0D9FC32}"/>
    <cellStyle name="Millares 19 2 2 2 4 2 5" xfId="48798" xr:uid="{D59834C8-2DD3-4C1B-93F1-D7DFB7BBBF77}"/>
    <cellStyle name="Millares 19 2 2 2 4 3" xfId="10179" xr:uid="{ACA3DD11-E968-443F-83FB-97AEDA080E6E}"/>
    <cellStyle name="Millares 19 2 2 2 4 3 2" xfId="45339" xr:uid="{8818108B-72CD-48D4-9981-5DB9F59D1B28}"/>
    <cellStyle name="Millares 19 2 2 2 4 4" xfId="13019" xr:uid="{49C41DFC-4D55-4E20-A554-E237A5D3AA5A}"/>
    <cellStyle name="Millares 19 2 2 2 4 5" xfId="16362" xr:uid="{E2EEF755-B52A-4C6B-8FA6-1799F2120D94}"/>
    <cellStyle name="Millares 19 2 2 2 4 6" xfId="16905" xr:uid="{861D8023-F4F5-4730-BCD1-1997F8E0BF1D}"/>
    <cellStyle name="Millares 19 2 2 2 4 7" xfId="17449" xr:uid="{2AB2F1F7-4319-4D68-B7C4-7BC0C08B462D}"/>
    <cellStyle name="Millares 19 2 2 2 4 8" xfId="34649" xr:uid="{A86D3ACF-805B-4156-AA97-E83778719DB0}"/>
    <cellStyle name="Millares 19 2 2 2 4 9" xfId="18197" xr:uid="{78698F4D-FDF3-4A3A-B485-B23192E7FCA4}"/>
    <cellStyle name="Millares 19 2 2 2 5" xfId="2034" xr:uid="{6F431545-3935-4932-99CD-EF9B576D20B8}"/>
    <cellStyle name="Millares 19 2 2 2 5 2" xfId="10305" xr:uid="{DCBAE757-5250-4F75-9AB4-581CA654F834}"/>
    <cellStyle name="Millares 19 2 2 2 5 2 2" xfId="45465" xr:uid="{0D488C79-9F80-436F-A951-039D902D8121}"/>
    <cellStyle name="Millares 19 2 2 2 5 3" xfId="13145" xr:uid="{DB6946C6-EE78-4681-81B6-99001548ABB4}"/>
    <cellStyle name="Millares 19 2 2 2 5 4" xfId="40513" xr:uid="{54063FCA-900D-4A3E-A3E8-0BB705E97036}"/>
    <cellStyle name="Millares 19 2 2 2 5 5" xfId="43069" xr:uid="{E2B90696-D646-482B-B50D-AB5999A04985}"/>
    <cellStyle name="Millares 19 2 2 2 5 6" xfId="47962" xr:uid="{B080549A-B6B6-4EA5-9A4F-C0C4749C40FC}"/>
    <cellStyle name="Millares 19 2 2 2 6" xfId="2452" xr:uid="{73CB4856-F174-44C3-9009-88B85550097B}"/>
    <cellStyle name="Millares 19 2 2 2 6 2" xfId="10723" xr:uid="{B9978E7B-0125-489F-B749-772FAD6DF50C}"/>
    <cellStyle name="Millares 19 2 2 2 6 2 2" xfId="45883" xr:uid="{D2BF1B6A-0990-4752-AA1D-E3CE655D4290}"/>
    <cellStyle name="Millares 19 2 2 2 6 3" xfId="13563" xr:uid="{7FCDC9A0-E642-4C5B-BDCF-2957AB2AC28E}"/>
    <cellStyle name="Millares 19 2 2 2 6 4" xfId="43487" xr:uid="{62A1BC4E-3034-4EDA-9358-CFD6F3CF7626}"/>
    <cellStyle name="Millares 19 2 2 2 6 5" xfId="48380" xr:uid="{99ACDF64-3C81-4FB6-B7F7-08FBFB2A009E}"/>
    <cellStyle name="Millares 19 2 2 2 7" xfId="2996" xr:uid="{78020B0E-B419-4332-A04C-1C0F325FBE80}"/>
    <cellStyle name="Millares 19 2 2 2 7 2" xfId="11267" xr:uid="{85B79DD8-0650-4081-A88E-C864EFB83595}"/>
    <cellStyle name="Millares 19 2 2 2 7 2 2" xfId="46427" xr:uid="{09F5EC23-46AC-4B19-9A70-5331ACD90593}"/>
    <cellStyle name="Millares 19 2 2 2 7 3" xfId="14107" xr:uid="{3823B822-240F-4AC4-AEA1-594D6A93FDF6}"/>
    <cellStyle name="Millares 19 2 2 2 7 4" xfId="44031" xr:uid="{BBB1F48C-48C2-4DE9-A9D4-73B97F9FCA75}"/>
    <cellStyle name="Millares 19 2 2 2 7 5" xfId="48924" xr:uid="{2ABC3B46-38AE-466E-B478-B4904434F307}"/>
    <cellStyle name="Millares 19 2 2 2 8" xfId="3498" xr:uid="{655D85FC-4A25-497C-8669-4F22F458A1BF}"/>
    <cellStyle name="Millares 19 2 2 2 8 2" xfId="11739" xr:uid="{98B8D66E-9652-4FC1-9B5D-2C2970056CE8}"/>
    <cellStyle name="Millares 19 2 2 2 8 3" xfId="14579" xr:uid="{4327C37E-9B01-45ED-B962-F22F866EC69E}"/>
    <cellStyle name="Millares 19 2 2 2 8 4" xfId="44503" xr:uid="{24AAA2C3-32A3-4554-9E7A-8D2A4ACFE5C8}"/>
    <cellStyle name="Millares 19 2 2 2 8 5" xfId="49396" xr:uid="{A2A8F458-52A8-4E3A-B23D-E0CC7CDCCAF3}"/>
    <cellStyle name="Millares 19 2 2 2 9" xfId="8534" xr:uid="{77842C10-6221-4857-A759-BC6F76446319}"/>
    <cellStyle name="Millares 19 2 2 2 9 2" xfId="44921" xr:uid="{4C2FFD1F-837F-4F7C-ABD6-17A4BC727227}"/>
    <cellStyle name="Millares 19 2 2 3" xfId="151" xr:uid="{00000000-0005-0000-0000-0000CD010000}"/>
    <cellStyle name="Millares 19 2 2 3 10" xfId="12559" xr:uid="{54DFC767-3A88-4D12-95D9-0D17EF6D7012}"/>
    <cellStyle name="Millares 19 2 2 3 11" xfId="15902" xr:uid="{0CBB8C61-2D32-4BD1-B0D4-B878DD80F72A}"/>
    <cellStyle name="Millares 19 2 2 3 12" xfId="16445" xr:uid="{34711015-8C5C-40C7-A4E3-3C45D2F3262C}"/>
    <cellStyle name="Millares 19 2 2 3 13" xfId="16989" xr:uid="{8D777D7A-85C1-4510-B8DE-F9B02DEB2DBF}"/>
    <cellStyle name="Millares 19 2 2 3 14" xfId="20125" xr:uid="{7FCC0E69-7778-4096-9DC9-A283248E3FD6}"/>
    <cellStyle name="Millares 19 2 2 3 15" xfId="18115" xr:uid="{8BE95784-CF51-4112-BF9C-83B83F76B24C}"/>
    <cellStyle name="Millares 19 2 2 3 16" xfId="42483" xr:uid="{94D558B2-D2DB-4CAB-A8EF-C6C4BBB58D50}"/>
    <cellStyle name="Millares 19 2 2 3 17" xfId="47376" xr:uid="{F3FB764E-B2AD-4198-9859-6C9154C34850}"/>
    <cellStyle name="Millares 19 2 2 3 2" xfId="265" xr:uid="{00000000-0005-0000-0000-0000CE010000}"/>
    <cellStyle name="Millares 19 2 2 3 2 10" xfId="16549" xr:uid="{DE6F75F5-C44C-44A9-A429-F05BEA428D85}"/>
    <cellStyle name="Millares 19 2 2 3 2 11" xfId="17093" xr:uid="{BBE447B5-BF1F-4570-B0C5-D05579EE68E8}"/>
    <cellStyle name="Millares 19 2 2 3 2 12" xfId="18129" xr:uid="{3463402C-3F4E-4646-A44B-F94FCE3507FF}"/>
    <cellStyle name="Millares 19 2 2 3 2 13" xfId="42587" xr:uid="{CA4E1B32-8772-4E1E-B23A-17F233F8F18D}"/>
    <cellStyle name="Millares 19 2 2 3 2 14" xfId="47480" xr:uid="{4E5F5712-7A1E-40C1-A1B7-AF33E52DA06A}"/>
    <cellStyle name="Millares 19 2 2 3 2 2" xfId="492" xr:uid="{00000000-0005-0000-0000-0000CF010000}"/>
    <cellStyle name="Millares 19 2 2 3 2 2 10" xfId="17305" xr:uid="{6D759295-DBE6-4125-8838-A50E417C630F}"/>
    <cellStyle name="Millares 19 2 2 3 2 2 11" xfId="18165" xr:uid="{A209AFC5-5544-454E-BA5A-282860221053}"/>
    <cellStyle name="Millares 19 2 2 3 2 2 12" xfId="42799" xr:uid="{D6C7CA20-F30B-4B0F-8691-00D72006F059}"/>
    <cellStyle name="Millares 19 2 2 3 2 2 13" xfId="47692" xr:uid="{5E18C26D-DC1D-41AE-9B02-9241307BB78E}"/>
    <cellStyle name="Millares 19 2 2 3 2 2 2" xfId="2308" xr:uid="{DE81498D-C5B6-4D6E-9344-51872129C5C2}"/>
    <cellStyle name="Millares 19 2 2 3 2 2 2 2" xfId="10579" xr:uid="{D7BB5D39-B9B6-4E66-B348-F851BE7D87DC}"/>
    <cellStyle name="Millares 19 2 2 3 2 2 2 2 2" xfId="45739" xr:uid="{D7828DF5-8EFB-48C4-A46D-26DEAFFAD82C}"/>
    <cellStyle name="Millares 19 2 2 3 2 2 2 3" xfId="13419" xr:uid="{EB1A7742-C9A5-4DE8-9194-AA94D3ACFA42}"/>
    <cellStyle name="Millares 19 2 2 3 2 2 2 4" xfId="43343" xr:uid="{BD051522-DA49-4ECF-B86A-8CFC4AA77F21}"/>
    <cellStyle name="Millares 19 2 2 3 2 2 2 5" xfId="48236" xr:uid="{96ED53EB-8BD2-4887-A702-D3BCFB9307B1}"/>
    <cellStyle name="Millares 19 2 2 3 2 2 3" xfId="2726" xr:uid="{9A9580C8-D036-492E-BEC3-8F413D0540CC}"/>
    <cellStyle name="Millares 19 2 2 3 2 2 3 2" xfId="10997" xr:uid="{24600223-CF7E-42B0-8F72-C2A18CFBE6E3}"/>
    <cellStyle name="Millares 19 2 2 3 2 2 3 2 2" xfId="46157" xr:uid="{60B0DF69-D018-4011-AB0F-8548875D6EF9}"/>
    <cellStyle name="Millares 19 2 2 3 2 2 3 3" xfId="13837" xr:uid="{C6DA84C8-AD41-4163-B050-2D40A72E79C3}"/>
    <cellStyle name="Millares 19 2 2 3 2 2 3 4" xfId="43761" xr:uid="{35D973A2-E2E1-45ED-A88C-A1E370646393}"/>
    <cellStyle name="Millares 19 2 2 3 2 2 3 5" xfId="48654" xr:uid="{529BB5CA-8190-4B35-B06F-1EDDFE4177B2}"/>
    <cellStyle name="Millares 19 2 2 3 2 2 4" xfId="3270" xr:uid="{C8871B5C-3E2E-4B08-8ADD-500E42FCF02F}"/>
    <cellStyle name="Millares 19 2 2 3 2 2 4 2" xfId="11541" xr:uid="{956DCC5C-8B32-454B-8AA0-B855B37F5438}"/>
    <cellStyle name="Millares 19 2 2 3 2 2 4 2 2" xfId="46701" xr:uid="{515799C7-19C1-4A14-A4AF-1A32C9D8E652}"/>
    <cellStyle name="Millares 19 2 2 3 2 2 4 3" xfId="14381" xr:uid="{E88B8E01-7609-4411-AA25-D601F31734D9}"/>
    <cellStyle name="Millares 19 2 2 3 2 2 4 4" xfId="44305" xr:uid="{D7E46A12-76FA-474C-96A9-F45F20360DF4}"/>
    <cellStyle name="Millares 19 2 2 3 2 2 4 5" xfId="49198" xr:uid="{00DF35E4-72F2-4D17-930D-502CD89E8CC2}"/>
    <cellStyle name="Millares 19 2 2 3 2 2 5" xfId="3772" xr:uid="{8D45ED05-D588-4008-83F2-B8E21144A232}"/>
    <cellStyle name="Millares 19 2 2 3 2 2 5 2" xfId="12013" xr:uid="{7D49FDB0-584D-48C0-96A6-A43E9292B20D}"/>
    <cellStyle name="Millares 19 2 2 3 2 2 5 3" xfId="14853" xr:uid="{0DE5F390-7AFB-471C-9FBB-7F0C805DAAEC}"/>
    <cellStyle name="Millares 19 2 2 3 2 2 5 4" xfId="44777" xr:uid="{A7B546D9-95AE-4A90-BCB5-F52F26517FCD}"/>
    <cellStyle name="Millares 19 2 2 3 2 2 5 5" xfId="49670" xr:uid="{60BBEE92-9C82-4ECB-9CD5-E8723C37126B}"/>
    <cellStyle name="Millares 19 2 2 3 2 2 6" xfId="10035" xr:uid="{C1CF67FC-C5ED-4FAD-BAF7-298BF304F07E}"/>
    <cellStyle name="Millares 19 2 2 3 2 2 6 2" xfId="45195" xr:uid="{C50194C7-4BD6-4789-8259-05EA7CD9724A}"/>
    <cellStyle name="Millares 19 2 2 3 2 2 7" xfId="12875" xr:uid="{BF3A9453-2354-4091-AB37-FDB195BDE49F}"/>
    <cellStyle name="Millares 19 2 2 3 2 2 8" xfId="16218" xr:uid="{E1C85206-0358-4295-BDBE-63DAB391E911}"/>
    <cellStyle name="Millares 19 2 2 3 2 2 9" xfId="16761" xr:uid="{F010DB7D-1923-47F9-953D-85CDDA6363E0}"/>
    <cellStyle name="Millares 19 2 2 3 2 3" xfId="2096" xr:uid="{5D746BF4-46D1-4A97-AF7C-3B3DED02BDE6}"/>
    <cellStyle name="Millares 19 2 2 3 2 3 2" xfId="10367" xr:uid="{1FF4714D-B8BB-4BA1-A357-4BDE4ED90482}"/>
    <cellStyle name="Millares 19 2 2 3 2 3 2 2" xfId="45527" xr:uid="{E4CD6E76-62B3-41EA-9ECF-E8A6E68BDB7C}"/>
    <cellStyle name="Millares 19 2 2 3 2 3 3" xfId="13207" xr:uid="{D2677327-4A5E-4DD4-A6B3-AE98A20B3DBF}"/>
    <cellStyle name="Millares 19 2 2 3 2 3 4" xfId="43131" xr:uid="{F5C69E78-663F-4319-8C4E-F51104AEC974}"/>
    <cellStyle name="Millares 19 2 2 3 2 3 5" xfId="48024" xr:uid="{5220AB70-A66C-4D78-AE18-D331363BD873}"/>
    <cellStyle name="Millares 19 2 2 3 2 4" xfId="2514" xr:uid="{8C6E86A6-6F8E-4EAD-AC4E-93267C7A786C}"/>
    <cellStyle name="Millares 19 2 2 3 2 4 2" xfId="10785" xr:uid="{9D4B079D-B4C0-471A-A056-A8EFA6A2A647}"/>
    <cellStyle name="Millares 19 2 2 3 2 4 2 2" xfId="45945" xr:uid="{DD9D1392-2DBD-4AAC-A02B-A82C8333F236}"/>
    <cellStyle name="Millares 19 2 2 3 2 4 3" xfId="13625" xr:uid="{0B7B56D3-4AB5-423E-97D0-955451243022}"/>
    <cellStyle name="Millares 19 2 2 3 2 4 4" xfId="43549" xr:uid="{04883A19-6674-4434-9C1D-5AEB02D64045}"/>
    <cellStyle name="Millares 19 2 2 3 2 4 5" xfId="48442" xr:uid="{B3B9B9DA-F9B4-42C5-AE7A-852CF78FFD91}"/>
    <cellStyle name="Millares 19 2 2 3 2 5" xfId="3058" xr:uid="{9E44FF59-57B1-4B35-8938-4B8426DFE8AF}"/>
    <cellStyle name="Millares 19 2 2 3 2 5 2" xfId="11329" xr:uid="{A4D00C38-3542-473F-8588-E7704C31C03C}"/>
    <cellStyle name="Millares 19 2 2 3 2 5 2 2" xfId="46489" xr:uid="{3E446C46-B755-4011-94FF-906EEC0807E1}"/>
    <cellStyle name="Millares 19 2 2 3 2 5 3" xfId="14169" xr:uid="{E26E1608-348F-457F-9BDC-C786A6CF95A6}"/>
    <cellStyle name="Millares 19 2 2 3 2 5 4" xfId="44093" xr:uid="{F4EE8160-D3D8-443C-AB9E-44511C27A24B}"/>
    <cellStyle name="Millares 19 2 2 3 2 5 5" xfId="48986" xr:uid="{8100E9E2-D1DA-46A2-9E91-1B1514AD522D}"/>
    <cellStyle name="Millares 19 2 2 3 2 6" xfId="3560" xr:uid="{EC742A3A-6A40-48D8-B02A-D638B0CE9121}"/>
    <cellStyle name="Millares 19 2 2 3 2 6 2" xfId="11801" xr:uid="{663CE69F-F501-4725-89F0-AF60828DBBAF}"/>
    <cellStyle name="Millares 19 2 2 3 2 6 3" xfId="14641" xr:uid="{9953E458-B233-4928-88F1-5AFE69A89C07}"/>
    <cellStyle name="Millares 19 2 2 3 2 6 4" xfId="44565" xr:uid="{3E77CCFB-FFA3-488C-AFBB-195A5A200F1F}"/>
    <cellStyle name="Millares 19 2 2 3 2 6 5" xfId="49458" xr:uid="{E79CBC56-7E32-479C-8A92-86CDE309F2DA}"/>
    <cellStyle name="Millares 19 2 2 3 2 7" xfId="9823" xr:uid="{7E5FE310-05B7-4EE9-8B36-6B2A9A57D1BB}"/>
    <cellStyle name="Millares 19 2 2 3 2 7 2" xfId="44983" xr:uid="{87D50277-A3E9-41EA-A825-F46AF775EB76}"/>
    <cellStyle name="Millares 19 2 2 3 2 8" xfId="12663" xr:uid="{3E9E071C-C3E2-4069-9191-2A0D79F8AD23}"/>
    <cellStyle name="Millares 19 2 2 3 2 9" xfId="16006" xr:uid="{D58B8D06-63C4-48A5-A546-B5240AC1B748}"/>
    <cellStyle name="Millares 19 2 2 3 3" xfId="391" xr:uid="{00000000-0005-0000-0000-0000D0010000}"/>
    <cellStyle name="Millares 19 2 2 3 3 10" xfId="17205" xr:uid="{9E92778D-5F9F-46AD-9BA9-F7B3D2814F6A}"/>
    <cellStyle name="Millares 19 2 2 3 3 11" xfId="18159" xr:uid="{B8DA8621-D19B-4D7B-971D-BFA0C18B9D86}"/>
    <cellStyle name="Millares 19 2 2 3 3 12" xfId="42699" xr:uid="{D03BCF80-94C1-4AB1-9A8E-503355A2BC8C}"/>
    <cellStyle name="Millares 19 2 2 3 3 13" xfId="47592" xr:uid="{0591BC2D-2F65-4E71-911C-1CBDD3F6EAE7}"/>
    <cellStyle name="Millares 19 2 2 3 3 2" xfId="2208" xr:uid="{199A57B6-D821-41FD-9596-74AE47DA2CB7}"/>
    <cellStyle name="Millares 19 2 2 3 3 2 2" xfId="10479" xr:uid="{14A9CD38-FC4B-4AA1-8616-212E1A4D70EF}"/>
    <cellStyle name="Millares 19 2 2 3 3 2 2 2" xfId="45639" xr:uid="{AE6149F9-EE4F-4CF8-A45E-BFE00EF3BF94}"/>
    <cellStyle name="Millares 19 2 2 3 3 2 3" xfId="13319" xr:uid="{3C770317-0D89-4DAB-934A-DC70A7C0758D}"/>
    <cellStyle name="Millares 19 2 2 3 3 2 4" xfId="43243" xr:uid="{0FF834C8-C993-4105-884C-4DB889C749B8}"/>
    <cellStyle name="Millares 19 2 2 3 3 2 5" xfId="48136" xr:uid="{6011633B-27B4-46A1-AA12-1F351013A921}"/>
    <cellStyle name="Millares 19 2 2 3 3 3" xfId="2626" xr:uid="{08CDF9E2-8865-4802-A459-9007ABAE1E3F}"/>
    <cellStyle name="Millares 19 2 2 3 3 3 2" xfId="10897" xr:uid="{7C41BA5B-B388-4BD2-9727-3BD267ED884B}"/>
    <cellStyle name="Millares 19 2 2 3 3 3 2 2" xfId="46057" xr:uid="{5FBDA751-7886-4925-960D-506A7878A8AD}"/>
    <cellStyle name="Millares 19 2 2 3 3 3 3" xfId="13737" xr:uid="{87B05C4F-FB49-4CDD-84B2-C248EF42D2D4}"/>
    <cellStyle name="Millares 19 2 2 3 3 3 4" xfId="43661" xr:uid="{6A81810A-E818-4695-8198-13E9A498EE06}"/>
    <cellStyle name="Millares 19 2 2 3 3 3 5" xfId="48554" xr:uid="{67369C7B-2565-412F-88A1-B005CB6ADFA1}"/>
    <cellStyle name="Millares 19 2 2 3 3 4" xfId="3170" xr:uid="{F4B248D0-E539-4ADB-ADA8-4B6BA8FD4A01}"/>
    <cellStyle name="Millares 19 2 2 3 3 4 2" xfId="11441" xr:uid="{DD8F6A62-F26E-4EAE-87BE-036F7B9AF8D1}"/>
    <cellStyle name="Millares 19 2 2 3 3 4 2 2" xfId="46601" xr:uid="{8CD518A5-4058-4138-AF74-B27960357878}"/>
    <cellStyle name="Millares 19 2 2 3 3 4 3" xfId="14281" xr:uid="{27359BB5-0515-42C6-9751-D6FA57CBC41A}"/>
    <cellStyle name="Millares 19 2 2 3 3 4 4" xfId="44205" xr:uid="{34FFC711-EB0F-480E-89D9-57A4C5DC7CB4}"/>
    <cellStyle name="Millares 19 2 2 3 3 4 5" xfId="49098" xr:uid="{37DA7ED8-B0AA-4113-9B22-3D6D35CA9122}"/>
    <cellStyle name="Millares 19 2 2 3 3 5" xfId="3672" xr:uid="{9E7D3E18-797A-48D8-AA20-B1CDC39F93E9}"/>
    <cellStyle name="Millares 19 2 2 3 3 5 2" xfId="11913" xr:uid="{6AF562F9-57F7-40F7-8713-D55825552A0E}"/>
    <cellStyle name="Millares 19 2 2 3 3 5 3" xfId="14753" xr:uid="{ED77CFAD-16C6-428A-BAD7-C2CA7FA5E10E}"/>
    <cellStyle name="Millares 19 2 2 3 3 5 4" xfId="44677" xr:uid="{C99D1CBC-ADF1-43EB-A517-644546FCF740}"/>
    <cellStyle name="Millares 19 2 2 3 3 5 5" xfId="49570" xr:uid="{9CEE3145-0492-4357-82A3-9DBCD6D97A82}"/>
    <cellStyle name="Millares 19 2 2 3 3 6" xfId="9935" xr:uid="{96D31163-F97C-4EAD-86F9-C6F635C874A3}"/>
    <cellStyle name="Millares 19 2 2 3 3 6 2" xfId="45095" xr:uid="{CF058D93-BFBF-4123-B5BF-63A309A0C418}"/>
    <cellStyle name="Millares 19 2 2 3 3 7" xfId="12775" xr:uid="{F396F29C-D0CA-4F10-90C1-1F82CCB8BDF4}"/>
    <cellStyle name="Millares 19 2 2 3 3 8" xfId="16118" xr:uid="{331C9362-BD84-43B4-A7C4-E0F3752BD2A1}"/>
    <cellStyle name="Millares 19 2 2 3 3 9" xfId="16661" xr:uid="{36DAC4D6-6EB0-4738-A21D-692A57B70949}"/>
    <cellStyle name="Millares 19 2 2 3 4" xfId="594" xr:uid="{00000000-0005-0000-0000-0000D1010000}"/>
    <cellStyle name="Millares 19 2 2 3 4 10" xfId="47794" xr:uid="{D04BEBBA-020E-46A9-9686-947FF71A6AB7}"/>
    <cellStyle name="Millares 19 2 2 3 4 2" xfId="2828" xr:uid="{4884C578-171F-4F37-AED7-4D7052BF20B1}"/>
    <cellStyle name="Millares 19 2 2 3 4 2 2" xfId="11099" xr:uid="{56A5845B-29ED-4BCA-89AE-64B05B65002D}"/>
    <cellStyle name="Millares 19 2 2 3 4 2 2 2" xfId="46259" xr:uid="{7C898048-378B-4B1D-BA80-FDF8237F47C3}"/>
    <cellStyle name="Millares 19 2 2 3 4 2 3" xfId="13939" xr:uid="{64F1E5B5-B4E4-46C6-8A56-37D02B792A8A}"/>
    <cellStyle name="Millares 19 2 2 3 4 2 4" xfId="43863" xr:uid="{72DE1F18-E90B-4C9B-9261-B910100210A6}"/>
    <cellStyle name="Millares 19 2 2 3 4 2 5" xfId="48756" xr:uid="{ED9CFC82-EBBE-4655-BAF8-EE1807D4FE16}"/>
    <cellStyle name="Millares 19 2 2 3 4 3" xfId="10137" xr:uid="{7F16AEBD-D288-40C4-A05B-E062CFEEBAC3}"/>
    <cellStyle name="Millares 19 2 2 3 4 3 2" xfId="45297" xr:uid="{E0875BEC-94F5-48EC-9F9A-39CA8857D7CC}"/>
    <cellStyle name="Millares 19 2 2 3 4 4" xfId="12977" xr:uid="{960B9B7D-B997-479E-B1F5-CC26894BF47C}"/>
    <cellStyle name="Millares 19 2 2 3 4 5" xfId="16320" xr:uid="{2C72BEED-1980-4241-8286-DE074D207BC8}"/>
    <cellStyle name="Millares 19 2 2 3 4 6" xfId="16863" xr:uid="{6B4746C6-5ECC-4555-8F3E-A15437FD1325}"/>
    <cellStyle name="Millares 19 2 2 3 4 7" xfId="17407" xr:uid="{0B1D00A3-8F33-415C-9513-E7353FF8EC4D}"/>
    <cellStyle name="Millares 19 2 2 3 4 8" xfId="18153" xr:uid="{7FB161EC-9E05-4084-9F2A-8EE48E1EDEE9}"/>
    <cellStyle name="Millares 19 2 2 3 4 9" xfId="42901" xr:uid="{63DD052D-6913-4EC7-BDF4-71BDEAA2695B}"/>
    <cellStyle name="Millares 19 2 2 3 5" xfId="1992" xr:uid="{6760FFB8-DD59-4564-A76B-932E9B138DC3}"/>
    <cellStyle name="Millares 19 2 2 3 5 2" xfId="10263" xr:uid="{A7683A2C-3BCE-468D-AAC1-4BE452483E0C}"/>
    <cellStyle name="Millares 19 2 2 3 5 2 2" xfId="45423" xr:uid="{D5FF2788-DA2E-4CC6-A7AC-453025FD2DA1}"/>
    <cellStyle name="Millares 19 2 2 3 5 3" xfId="13103" xr:uid="{3400F108-6389-4019-8217-D40F271F97FF}"/>
    <cellStyle name="Millares 19 2 2 3 5 4" xfId="43027" xr:uid="{C7A46AD2-473B-4DFF-A254-5B9637157A4B}"/>
    <cellStyle name="Millares 19 2 2 3 5 5" xfId="47920" xr:uid="{0E2B45EF-8729-4D63-B045-4974A713671A}"/>
    <cellStyle name="Millares 19 2 2 3 6" xfId="2410" xr:uid="{A0BE477E-367C-4E07-A9D7-1476B47677C8}"/>
    <cellStyle name="Millares 19 2 2 3 6 2" xfId="10681" xr:uid="{CA8BF1C5-5DAA-4E4F-BD78-98ADFCC3D3E0}"/>
    <cellStyle name="Millares 19 2 2 3 6 2 2" xfId="45841" xr:uid="{0A859FB9-B84D-4B2F-970F-5AD619C82825}"/>
    <cellStyle name="Millares 19 2 2 3 6 3" xfId="13521" xr:uid="{15E848F5-D3C5-4E1C-8695-22057A794478}"/>
    <cellStyle name="Millares 19 2 2 3 6 4" xfId="43445" xr:uid="{C11EF6AB-6384-46D0-8355-4424A956C6A0}"/>
    <cellStyle name="Millares 19 2 2 3 6 5" xfId="48338" xr:uid="{5C886F26-46FE-41AD-9BEE-AE33F7AE5F00}"/>
    <cellStyle name="Millares 19 2 2 3 7" xfId="2954" xr:uid="{95F605F6-3294-48DC-9AB5-F28261338CD7}"/>
    <cellStyle name="Millares 19 2 2 3 7 2" xfId="11225" xr:uid="{7C790439-0A88-430C-9BC1-4A07BD113322}"/>
    <cellStyle name="Millares 19 2 2 3 7 2 2" xfId="46385" xr:uid="{8BE713F2-41F0-4550-938E-F05B85BA959D}"/>
    <cellStyle name="Millares 19 2 2 3 7 3" xfId="14065" xr:uid="{C9F0E8E3-B56C-43C3-89D6-92C691DB3EA4}"/>
    <cellStyle name="Millares 19 2 2 3 7 4" xfId="43989" xr:uid="{F66ABD01-16E9-48AD-8B57-E65BA0E16F6C}"/>
    <cellStyle name="Millares 19 2 2 3 7 5" xfId="48882" xr:uid="{62E50E52-D0F8-4D82-9B13-DC81D7803EE6}"/>
    <cellStyle name="Millares 19 2 2 3 8" xfId="3456" xr:uid="{2AD05F98-FF4F-46A8-B1D0-5D9008881D52}"/>
    <cellStyle name="Millares 19 2 2 3 8 2" xfId="11697" xr:uid="{D0BF6084-A034-4384-B9D1-7AA0752E7C7B}"/>
    <cellStyle name="Millares 19 2 2 3 8 3" xfId="14537" xr:uid="{1FDCA1B4-88F8-4EE8-8077-F47103378933}"/>
    <cellStyle name="Millares 19 2 2 3 8 4" xfId="44461" xr:uid="{D4C6210E-1B9A-48DF-8158-0BE9513FE195}"/>
    <cellStyle name="Millares 19 2 2 3 8 5" xfId="49354" xr:uid="{B17C4499-7CB6-4255-8FDC-2261F8D5A29F}"/>
    <cellStyle name="Millares 19 2 2 3 9" xfId="9719" xr:uid="{7AFA6D36-106D-46CA-8ACC-FC79115AA394}"/>
    <cellStyle name="Millares 19 2 2 3 9 2" xfId="44879" xr:uid="{D4DF2D52-6043-4F26-AE6E-5A242E6FE5F6}"/>
    <cellStyle name="Millares 19 2 2 4" xfId="238" xr:uid="{00000000-0005-0000-0000-0000D2010000}"/>
    <cellStyle name="Millares 19 2 2 4 10" xfId="16522" xr:uid="{E1CD280B-3805-4A4D-B2CF-636250947D90}"/>
    <cellStyle name="Millares 19 2 2 4 11" xfId="17066" xr:uid="{C440A515-7548-4B29-B998-5E6E2D75606F}"/>
    <cellStyle name="Millares 19 2 2 4 12" xfId="25917" xr:uid="{71FD1A2B-85B9-4C89-A48E-F1D9E9EC0B6A}"/>
    <cellStyle name="Millares 19 2 2 4 13" xfId="17967" xr:uid="{F7546786-86E0-41C1-85AD-E0469E620E18}"/>
    <cellStyle name="Millares 19 2 2 4 14" xfId="42560" xr:uid="{66B5D71F-17C7-45C0-88BA-883CA196B570}"/>
    <cellStyle name="Millares 19 2 2 4 15" xfId="47453" xr:uid="{7C583EB1-07C2-4BDE-955E-D95DF013C9B5}"/>
    <cellStyle name="Millares 19 2 2 4 2" xfId="465" xr:uid="{00000000-0005-0000-0000-0000D3010000}"/>
    <cellStyle name="Millares 19 2 2 4 2 10" xfId="17278" xr:uid="{3224A5F5-34BE-4E61-8EA0-CA0DCF61A806}"/>
    <cellStyle name="Millares 19 2 2 4 2 11" xfId="23088" xr:uid="{77326CEB-F380-4129-9FB4-30CBFB4F03F9}"/>
    <cellStyle name="Millares 19 2 2 4 2 12" xfId="42772" xr:uid="{42386865-C666-4139-B02A-F8129FEAF320}"/>
    <cellStyle name="Millares 19 2 2 4 2 13" xfId="47665" xr:uid="{86F2D4D5-B5C9-4992-8FD2-A126AE958C54}"/>
    <cellStyle name="Millares 19 2 2 4 2 2" xfId="2281" xr:uid="{FEEE7F6D-9DE0-4702-A663-D0DF76C803E2}"/>
    <cellStyle name="Millares 19 2 2 4 2 2 2" xfId="10552" xr:uid="{E32CBDE3-469D-45C4-B248-85305FDFB574}"/>
    <cellStyle name="Millares 19 2 2 4 2 2 2 2" xfId="45712" xr:uid="{4B124EBA-2566-4603-8058-F3428B077B52}"/>
    <cellStyle name="Millares 19 2 2 4 2 2 3" xfId="13392" xr:uid="{C3F87407-CA1F-4B71-8269-06B5410B6913}"/>
    <cellStyle name="Millares 19 2 2 4 2 2 4" xfId="43316" xr:uid="{EAC0D9F9-6280-4630-8C3D-16FBC5ADA50E}"/>
    <cellStyle name="Millares 19 2 2 4 2 2 5" xfId="48209" xr:uid="{2B303DBE-AD98-43F3-87B4-C2468930BEB8}"/>
    <cellStyle name="Millares 19 2 2 4 2 3" xfId="2699" xr:uid="{4BF7B621-BAFB-464D-964E-EBC7569B0C27}"/>
    <cellStyle name="Millares 19 2 2 4 2 3 2" xfId="10970" xr:uid="{CE3DC13E-C889-4602-AF4E-71A03E54A46F}"/>
    <cellStyle name="Millares 19 2 2 4 2 3 2 2" xfId="46130" xr:uid="{D7E29C80-8AD5-444F-9FC3-82C9D07A4F23}"/>
    <cellStyle name="Millares 19 2 2 4 2 3 3" xfId="13810" xr:uid="{642F05F1-4396-4A0A-A823-7F5C4B98BD4D}"/>
    <cellStyle name="Millares 19 2 2 4 2 3 4" xfId="43734" xr:uid="{B97FA170-3BC0-4085-B643-D42731783E69}"/>
    <cellStyle name="Millares 19 2 2 4 2 3 5" xfId="48627" xr:uid="{F52304B3-4A93-47BE-9714-085ED59A66D0}"/>
    <cellStyle name="Millares 19 2 2 4 2 4" xfId="3243" xr:uid="{A9945C64-7D95-47DB-8690-1E694C780BBB}"/>
    <cellStyle name="Millares 19 2 2 4 2 4 2" xfId="11514" xr:uid="{5D589139-5339-4C2B-8A2D-F95493E75466}"/>
    <cellStyle name="Millares 19 2 2 4 2 4 2 2" xfId="46674" xr:uid="{17E336D3-A22E-46B9-9670-9511DE639083}"/>
    <cellStyle name="Millares 19 2 2 4 2 4 3" xfId="14354" xr:uid="{9E530BC3-DC1D-417A-A36E-97FADA8ABF9F}"/>
    <cellStyle name="Millares 19 2 2 4 2 4 4" xfId="44278" xr:uid="{3B8D1401-0F58-4073-9F23-82D711A1C07F}"/>
    <cellStyle name="Millares 19 2 2 4 2 4 5" xfId="49171" xr:uid="{9C5571CB-1FB9-4ABD-B9D7-D5F8C6567CC6}"/>
    <cellStyle name="Millares 19 2 2 4 2 5" xfId="3745" xr:uid="{CFED04C6-F025-4194-9CFD-456C3BF479C5}"/>
    <cellStyle name="Millares 19 2 2 4 2 5 2" xfId="11986" xr:uid="{FB1D4F34-0AD5-4BE6-87D7-C6E1ED93F93E}"/>
    <cellStyle name="Millares 19 2 2 4 2 5 3" xfId="14826" xr:uid="{3FB09951-2E38-4040-A337-343D045E7140}"/>
    <cellStyle name="Millares 19 2 2 4 2 5 4" xfId="44750" xr:uid="{2305C375-D495-4BA7-8CF6-64F355808B99}"/>
    <cellStyle name="Millares 19 2 2 4 2 5 5" xfId="49643" xr:uid="{86700DEE-AB8B-4532-BFC8-F4B5832BB745}"/>
    <cellStyle name="Millares 19 2 2 4 2 6" xfId="10008" xr:uid="{38720D2F-044F-47F3-998F-BBA8820FED07}"/>
    <cellStyle name="Millares 19 2 2 4 2 6 2" xfId="45168" xr:uid="{246DBC33-C842-4BBD-91FF-F63C2692F849}"/>
    <cellStyle name="Millares 19 2 2 4 2 7" xfId="12848" xr:uid="{9D7DDE8F-F9A4-42AC-BFA1-8B35F138EDE3}"/>
    <cellStyle name="Millares 19 2 2 4 2 8" xfId="16191" xr:uid="{7F0A5F23-4470-4C22-B977-F242EF153DBA}"/>
    <cellStyle name="Millares 19 2 2 4 2 9" xfId="16734" xr:uid="{C19FE031-B09C-461D-94E0-044CC3DC6120}"/>
    <cellStyle name="Millares 19 2 2 4 3" xfId="2069" xr:uid="{3481D340-3B79-4B94-803B-DD3756E86452}"/>
    <cellStyle name="Millares 19 2 2 4 3 2" xfId="10340" xr:uid="{8AFCAE21-2902-44D4-8F1E-C2B67833F4F1}"/>
    <cellStyle name="Millares 19 2 2 4 3 2 2" xfId="45500" xr:uid="{E935BABC-45DF-410E-8D47-6D93E16DDBC9}"/>
    <cellStyle name="Millares 19 2 2 4 3 3" xfId="13180" xr:uid="{B6C3BCF4-CB90-4419-9E40-9CEEEB7700B7}"/>
    <cellStyle name="Millares 19 2 2 4 3 4" xfId="43104" xr:uid="{317C08F9-061F-41F0-B594-82FABA0C9F03}"/>
    <cellStyle name="Millares 19 2 2 4 3 5" xfId="47997" xr:uid="{F3EACE48-0C0C-4355-B2CA-607BCB12935E}"/>
    <cellStyle name="Millares 19 2 2 4 4" xfId="2487" xr:uid="{0D5CF333-9A39-4B56-A1D2-623613B3C0E1}"/>
    <cellStyle name="Millares 19 2 2 4 4 2" xfId="10758" xr:uid="{BAFAC4FD-2DB3-4CAD-BB00-5820DC12B4D4}"/>
    <cellStyle name="Millares 19 2 2 4 4 2 2" xfId="45918" xr:uid="{16E65181-26C2-4E4A-9709-71686F398D55}"/>
    <cellStyle name="Millares 19 2 2 4 4 3" xfId="13598" xr:uid="{C5837031-E235-4C00-9C4C-8CD3CEDA3726}"/>
    <cellStyle name="Millares 19 2 2 4 4 4" xfId="43522" xr:uid="{2BBFCB89-2BF4-43DD-AE0F-43B412E43A53}"/>
    <cellStyle name="Millares 19 2 2 4 4 5" xfId="48415" xr:uid="{C12A259F-6502-4D3E-A8C9-CF3D8302BAEC}"/>
    <cellStyle name="Millares 19 2 2 4 5" xfId="3031" xr:uid="{8FBE16B1-4ECB-4CAE-ADB1-3E217E76DB36}"/>
    <cellStyle name="Millares 19 2 2 4 5 2" xfId="11302" xr:uid="{AE8C45A4-B8FF-4D82-8A70-213F7AA6BA61}"/>
    <cellStyle name="Millares 19 2 2 4 5 2 2" xfId="46462" xr:uid="{6331BEEE-2B64-420B-9B36-0D3B99C7B39F}"/>
    <cellStyle name="Millares 19 2 2 4 5 3" xfId="14142" xr:uid="{A8302CF2-1A7D-4D42-84B7-F0939401F2BA}"/>
    <cellStyle name="Millares 19 2 2 4 5 4" xfId="44066" xr:uid="{2D49DDB8-3F7C-48DB-B851-1B1276216AF6}"/>
    <cellStyle name="Millares 19 2 2 4 5 5" xfId="48959" xr:uid="{CA3A412B-2DB1-4BEC-9540-48238486C1EC}"/>
    <cellStyle name="Millares 19 2 2 4 6" xfId="3533" xr:uid="{0FF220C3-C7F0-4DB5-AC1B-F754CF59FC37}"/>
    <cellStyle name="Millares 19 2 2 4 6 2" xfId="11774" xr:uid="{F9C05C52-9CDD-422C-B1B0-A31B97F10001}"/>
    <cellStyle name="Millares 19 2 2 4 6 3" xfId="14614" xr:uid="{4B0F4E29-5EC9-4BE4-A1AF-DD616048CF91}"/>
    <cellStyle name="Millares 19 2 2 4 6 4" xfId="44538" xr:uid="{AEEC4AD1-AF1B-41AE-8EA3-1367CDE6AE06}"/>
    <cellStyle name="Millares 19 2 2 4 6 5" xfId="49431" xr:uid="{3BCA66DD-A357-4BA3-B2AA-54F362396036}"/>
    <cellStyle name="Millares 19 2 2 4 7" xfId="9796" xr:uid="{A3009B9B-CC41-489E-89B4-5C7849682ED6}"/>
    <cellStyle name="Millares 19 2 2 4 7 2" xfId="44956" xr:uid="{D9629543-BC3E-42EF-9038-DF9484A9A069}"/>
    <cellStyle name="Millares 19 2 2 4 8" xfId="12636" xr:uid="{19E64112-B5EF-49AE-8C36-1276DC0B6E24}"/>
    <cellStyle name="Millares 19 2 2 4 9" xfId="15979" xr:uid="{5013C1DF-3EF6-4203-8E80-12E219235488}"/>
    <cellStyle name="Millares 19 2 2 5" xfId="364" xr:uid="{00000000-0005-0000-0000-0000D4010000}"/>
    <cellStyle name="Millares 19 2 2 5 10" xfId="17178" xr:uid="{ED783404-429E-47CB-81BE-D339935B8C51}"/>
    <cellStyle name="Millares 19 2 2 5 11" xfId="31792" xr:uid="{B66AFE2C-68D2-48E6-BD2C-F7E2CA685600}"/>
    <cellStyle name="Millares 19 2 2 5 12" xfId="17643" xr:uid="{3BC865BB-72D9-4AC8-9ED8-D64DCB713D9D}"/>
    <cellStyle name="Millares 19 2 2 5 13" xfId="42672" xr:uid="{DCEB8C4F-6ED6-4317-B4AF-7715013049ED}"/>
    <cellStyle name="Millares 19 2 2 5 14" xfId="47565" xr:uid="{D4143973-7AF1-41D6-9E39-CCD4136A8B5B}"/>
    <cellStyle name="Millares 19 2 2 5 2" xfId="2181" xr:uid="{D51B5DB3-31E9-4C9A-A7B3-CF955AC4896F}"/>
    <cellStyle name="Millares 19 2 2 5 2 2" xfId="10452" xr:uid="{E68515DB-F3E5-4A40-8655-D440DC7B8ABA}"/>
    <cellStyle name="Millares 19 2 2 5 2 2 2" xfId="45612" xr:uid="{05867B24-DCBE-4851-A003-EF1AF31CA342}"/>
    <cellStyle name="Millares 19 2 2 5 2 3" xfId="13292" xr:uid="{23D59347-0D15-42EF-9741-9FFCC38B05E8}"/>
    <cellStyle name="Millares 19 2 2 5 2 4" xfId="43216" xr:uid="{1886B082-DFA5-42A3-80DA-323433909D2F}"/>
    <cellStyle name="Millares 19 2 2 5 2 5" xfId="48109" xr:uid="{59E5A73C-8C14-43C4-9BAD-7A3F771CD91F}"/>
    <cellStyle name="Millares 19 2 2 5 3" xfId="2599" xr:uid="{6745F353-9C49-490D-B42A-911B3B9AD16F}"/>
    <cellStyle name="Millares 19 2 2 5 3 2" xfId="10870" xr:uid="{3245AE7A-83D4-4B8C-99F4-051FAF956743}"/>
    <cellStyle name="Millares 19 2 2 5 3 2 2" xfId="46030" xr:uid="{2E766E58-0B8F-4236-8699-0D9B0FFE468B}"/>
    <cellStyle name="Millares 19 2 2 5 3 3" xfId="13710" xr:uid="{D7AA8AD6-4B35-4954-AD8E-DC0C1CB4A8C8}"/>
    <cellStyle name="Millares 19 2 2 5 3 4" xfId="43634" xr:uid="{8CB5C907-4620-479A-BDB4-3C8D320AD0FA}"/>
    <cellStyle name="Millares 19 2 2 5 3 5" xfId="48527" xr:uid="{D292D5E2-A777-4614-B9DB-CCAEAB9E1BD5}"/>
    <cellStyle name="Millares 19 2 2 5 4" xfId="3143" xr:uid="{835410B8-450F-4A66-AD07-9A2E459E06D1}"/>
    <cellStyle name="Millares 19 2 2 5 4 2" xfId="11414" xr:uid="{2D475EAB-D8D8-4A95-96B1-75D7B05BCFB7}"/>
    <cellStyle name="Millares 19 2 2 5 4 2 2" xfId="46574" xr:uid="{EC831356-2CA8-4263-899F-C8C63C6B3F33}"/>
    <cellStyle name="Millares 19 2 2 5 4 3" xfId="14254" xr:uid="{BE104444-CA42-4B99-81E8-6729031373A7}"/>
    <cellStyle name="Millares 19 2 2 5 4 4" xfId="44178" xr:uid="{62C362ED-ED1E-4473-A59D-56EA701E6E7E}"/>
    <cellStyle name="Millares 19 2 2 5 4 5" xfId="49071" xr:uid="{7C4F0CB4-14EE-4872-9B9B-6D56F1548A4C}"/>
    <cellStyle name="Millares 19 2 2 5 5" xfId="3645" xr:uid="{F61B2385-CAFF-47A6-B30D-B25AE74C1975}"/>
    <cellStyle name="Millares 19 2 2 5 5 2" xfId="11886" xr:uid="{0FBF5865-6EB2-4179-AC08-4A6BF081CF3B}"/>
    <cellStyle name="Millares 19 2 2 5 5 3" xfId="14726" xr:uid="{07E1090C-60AE-47C7-8815-6C6F99364721}"/>
    <cellStyle name="Millares 19 2 2 5 5 4" xfId="44650" xr:uid="{2290D14F-A884-466C-8AA3-7384E3CA04E9}"/>
    <cellStyle name="Millares 19 2 2 5 5 5" xfId="49543" xr:uid="{F40AB8BA-CC18-4D58-8017-39C5EDB5FA05}"/>
    <cellStyle name="Millares 19 2 2 5 6" xfId="9908" xr:uid="{33705404-F437-4E0B-BD22-4A69528B3A19}"/>
    <cellStyle name="Millares 19 2 2 5 6 2" xfId="45068" xr:uid="{8383DCFE-84ED-43EE-89F3-75EBC4935565}"/>
    <cellStyle name="Millares 19 2 2 5 7" xfId="12748" xr:uid="{7B5B59CE-CA8D-45E5-8C5B-3FF302080D03}"/>
    <cellStyle name="Millares 19 2 2 5 8" xfId="16091" xr:uid="{5934872D-7596-48CB-8775-7B2B4BF376C3}"/>
    <cellStyle name="Millares 19 2 2 5 9" xfId="16634" xr:uid="{DD78CCB4-F3B4-4EA3-92D1-48B0BB8876CF}"/>
    <cellStyle name="Millares 19 2 2 6" xfId="567" xr:uid="{00000000-0005-0000-0000-0000D5010000}"/>
    <cellStyle name="Millares 19 2 2 6 10" xfId="42874" xr:uid="{4516CA9B-0A06-480A-ADA0-72AB78830B97}"/>
    <cellStyle name="Millares 19 2 2 6 11" xfId="47767" xr:uid="{C6191868-B08A-4DBF-ABFA-85051594D216}"/>
    <cellStyle name="Millares 19 2 2 6 2" xfId="2801" xr:uid="{918879D9-4802-41DD-B351-92E1A91D9CF5}"/>
    <cellStyle name="Millares 19 2 2 6 2 2" xfId="11072" xr:uid="{35A459EF-9082-4AA8-9A1E-F9154808A0B1}"/>
    <cellStyle name="Millares 19 2 2 6 2 2 2" xfId="46232" xr:uid="{A22433BB-E573-4BC6-ACC1-E60C2836495B}"/>
    <cellStyle name="Millares 19 2 2 6 2 3" xfId="13912" xr:uid="{F204BB15-7150-41BD-8C76-5FBD394BD787}"/>
    <cellStyle name="Millares 19 2 2 6 2 4" xfId="43836" xr:uid="{53278B20-78E2-47BB-A838-7E65B8202483}"/>
    <cellStyle name="Millares 19 2 2 6 2 5" xfId="48729" xr:uid="{7ED3FAFC-426E-44DF-8A93-71A01F99EDE8}"/>
    <cellStyle name="Millares 19 2 2 6 3" xfId="10110" xr:uid="{AC34BEF0-A1B3-4DB8-A43D-A10117F6EA48}"/>
    <cellStyle name="Millares 19 2 2 6 3 2" xfId="45270" xr:uid="{0C7ADE2D-8081-4B0D-A682-97C3A6189FA5}"/>
    <cellStyle name="Millares 19 2 2 6 4" xfId="12950" xr:uid="{87F7EC1E-82DA-4F94-9FBC-F340AEFA51F7}"/>
    <cellStyle name="Millares 19 2 2 6 5" xfId="16293" xr:uid="{9175220C-8072-499D-934F-4C9140DAD949}"/>
    <cellStyle name="Millares 19 2 2 6 6" xfId="16836" xr:uid="{4D598CC5-056C-4D85-B7E6-4474F75EF636}"/>
    <cellStyle name="Millares 19 2 2 6 7" xfId="17380" xr:uid="{FABB6043-AEEA-4E96-B317-07CF8FBF3A44}"/>
    <cellStyle name="Millares 19 2 2 6 8" xfId="37659" xr:uid="{FE4BD66F-4F63-454B-975C-02C16DA727EA}"/>
    <cellStyle name="Millares 19 2 2 6 9" xfId="18238" xr:uid="{F98AD836-4624-4AFC-BC36-B8F89910D2BB}"/>
    <cellStyle name="Millares 19 2 2 7" xfId="1965" xr:uid="{CDF21B37-8C9C-4E22-9DB5-4327D7B0CA31}"/>
    <cellStyle name="Millares 19 2 2 7 2" xfId="10236" xr:uid="{59B4A840-5FFC-4FC3-85F9-936BE98C67EF}"/>
    <cellStyle name="Millares 19 2 2 7 2 2" xfId="45396" xr:uid="{79058293-8008-4024-8964-A3776B90564A}"/>
    <cellStyle name="Millares 19 2 2 7 3" xfId="13076" xr:uid="{6E62A57A-FC97-4AAB-B85F-32B81C6BDAC2}"/>
    <cellStyle name="Millares 19 2 2 7 4" xfId="43000" xr:uid="{AC0229DD-6662-46DF-A146-CEB2E4DF3CBF}"/>
    <cellStyle name="Millares 19 2 2 7 5" xfId="47893" xr:uid="{DDFF13C0-B22A-42FD-BA95-A8A00D69E88A}"/>
    <cellStyle name="Millares 19 2 2 8" xfId="2383" xr:uid="{EDFBCB02-A421-4A94-AF1C-71549F7CFB34}"/>
    <cellStyle name="Millares 19 2 2 8 2" xfId="10654" xr:uid="{5F8A9953-9A1E-49BD-9060-804596696F5A}"/>
    <cellStyle name="Millares 19 2 2 8 2 2" xfId="45814" xr:uid="{66DF42DD-D688-408D-81E6-A6134D750AA1}"/>
    <cellStyle name="Millares 19 2 2 8 3" xfId="13494" xr:uid="{3E8D1185-DCCF-4827-B8EE-E7812CFA0613}"/>
    <cellStyle name="Millares 19 2 2 8 4" xfId="43418" xr:uid="{E8E47EE2-620F-4810-B0F9-22AA2535F8A5}"/>
    <cellStyle name="Millares 19 2 2 8 5" xfId="48311" xr:uid="{AF5639B4-959B-4A9B-AE13-0E3C02699B38}"/>
    <cellStyle name="Millares 19 2 2 9" xfId="2927" xr:uid="{80F49D7B-F89F-47AD-B10A-C91BC7C3DEBD}"/>
    <cellStyle name="Millares 19 2 2 9 2" xfId="11198" xr:uid="{D07E5E33-1A6F-4FE6-9CAE-0C4B1F472597}"/>
    <cellStyle name="Millares 19 2 2 9 2 2" xfId="46358" xr:uid="{EE9E4943-A20C-4439-A12A-3E5E48AF173C}"/>
    <cellStyle name="Millares 19 2 2 9 3" xfId="14038" xr:uid="{85148CBE-2F9A-4EA1-A973-841B9F04A51B}"/>
    <cellStyle name="Millares 19 2 2 9 4" xfId="43962" xr:uid="{3F39B346-9CBD-444B-8FF7-CF2151F1CAD9}"/>
    <cellStyle name="Millares 19 2 2 9 5" xfId="48855" xr:uid="{907F6535-BAD4-45E8-96E4-AC414E62319B}"/>
    <cellStyle name="Millares 19 2 20" xfId="47338" xr:uid="{71DA5CB0-FC65-4996-8EE8-79B156DDF731}"/>
    <cellStyle name="Millares 19 2 3" xfId="186" xr:uid="{00000000-0005-0000-0000-0000D6010000}"/>
    <cellStyle name="Millares 19 2 3 10" xfId="9750" xr:uid="{CDDF22C1-25BD-4FBA-861B-FB6B05AC6CFF}"/>
    <cellStyle name="Millares 19 2 3 11" xfId="12590" xr:uid="{B01F15CE-1B1C-49BD-976F-B7FA3E944EEC}"/>
    <cellStyle name="Millares 19 2 3 12" xfId="15933" xr:uid="{00AA0B25-4649-4D22-86D0-A26BBCB8557F}"/>
    <cellStyle name="Millares 19 2 3 13" xfId="16476" xr:uid="{3C59C96E-A646-4078-8D49-DBDAC45AC1CC}"/>
    <cellStyle name="Millares 19 2 3 14" xfId="17020" xr:uid="{6F62B793-1D4D-4DB7-B66C-F6E0F3DE16FE}"/>
    <cellStyle name="Millares 19 2 3 15" xfId="17730" xr:uid="{3132974A-6028-4736-9932-EAD1B780A613}"/>
    <cellStyle name="Millares 19 2 3 16" xfId="42514" xr:uid="{06F4C177-B786-4C19-957B-A65AF6FB2379}"/>
    <cellStyle name="Millares 19 2 3 17" xfId="47407" xr:uid="{FEC7A9D5-6B69-4D9B-BA44-548CA585C1BA}"/>
    <cellStyle name="Millares 19 2 3 2" xfId="296" xr:uid="{00000000-0005-0000-0000-0000D7010000}"/>
    <cellStyle name="Millares 19 2 3 2 10" xfId="16580" xr:uid="{4B22E624-0209-4AE8-9709-DC53772B5257}"/>
    <cellStyle name="Millares 19 2 3 2 11" xfId="17124" xr:uid="{1056E24C-7F1E-4B64-AA74-AC6614036D5B}"/>
    <cellStyle name="Millares 19 2 3 2 12" xfId="21958" xr:uid="{82ADA93C-065B-46D5-896C-07BBF0B15E3C}"/>
    <cellStyle name="Millares 19 2 3 2 13" xfId="18125" xr:uid="{B72A91CF-2CDB-4630-B733-4315D9439A9F}"/>
    <cellStyle name="Millares 19 2 3 2 14" xfId="42618" xr:uid="{421D75AF-4482-4B33-BB24-247BA5000A93}"/>
    <cellStyle name="Millares 19 2 3 2 15" xfId="47511" xr:uid="{23237539-B372-4640-9E43-F4E5308B24F2}"/>
    <cellStyle name="Millares 19 2 3 2 2" xfId="523" xr:uid="{00000000-0005-0000-0000-0000D8010000}"/>
    <cellStyle name="Millares 19 2 3 2 2 10" xfId="17336" xr:uid="{5821D4E6-9064-4E89-91CF-850558696F04}"/>
    <cellStyle name="Millares 19 2 3 2 2 11" xfId="17886" xr:uid="{B4833947-0F7A-4D25-B328-982EA9A99402}"/>
    <cellStyle name="Millares 19 2 3 2 2 12" xfId="42830" xr:uid="{0F123D76-179A-4A11-B49F-FF0EC2BAD653}"/>
    <cellStyle name="Millares 19 2 3 2 2 13" xfId="47723" xr:uid="{05A906CA-D26B-4E1D-96A0-B956CD4E359B}"/>
    <cellStyle name="Millares 19 2 3 2 2 2" xfId="2339" xr:uid="{6E4E1590-0038-4A53-8492-D206801D96BD}"/>
    <cellStyle name="Millares 19 2 3 2 2 2 2" xfId="10610" xr:uid="{70CF26D4-52BD-4305-923C-5915DB01A9BA}"/>
    <cellStyle name="Millares 19 2 3 2 2 2 2 2" xfId="45770" xr:uid="{6D0DB689-2BD8-4B38-B34B-C915A6690E22}"/>
    <cellStyle name="Millares 19 2 3 2 2 2 3" xfId="13450" xr:uid="{4BDE0BFF-7917-472E-9086-3830F922FF42}"/>
    <cellStyle name="Millares 19 2 3 2 2 2 4" xfId="43374" xr:uid="{AFC44F45-68D2-4AB8-B278-2E23FC81D2AB}"/>
    <cellStyle name="Millares 19 2 3 2 2 2 5" xfId="48267" xr:uid="{2CFF1BAE-18A0-4A24-8EF7-D6CF9BB22FCB}"/>
    <cellStyle name="Millares 19 2 3 2 2 3" xfId="2757" xr:uid="{5DE3FE13-1180-4757-B638-973A03D1478C}"/>
    <cellStyle name="Millares 19 2 3 2 2 3 2" xfId="11028" xr:uid="{59FF92D7-32B0-44DA-BFBB-C54A601C5AB5}"/>
    <cellStyle name="Millares 19 2 3 2 2 3 2 2" xfId="46188" xr:uid="{7CEF19C5-7E90-4289-9D6C-AF81FD909267}"/>
    <cellStyle name="Millares 19 2 3 2 2 3 3" xfId="13868" xr:uid="{13530E04-DA7E-427F-A14B-8ED35AB39C43}"/>
    <cellStyle name="Millares 19 2 3 2 2 3 4" xfId="43792" xr:uid="{B53B1226-6267-4DC1-98D6-E621D6054800}"/>
    <cellStyle name="Millares 19 2 3 2 2 3 5" xfId="48685" xr:uid="{4DCBADB6-21E6-4882-BEAB-7B31CBEB8A27}"/>
    <cellStyle name="Millares 19 2 3 2 2 4" xfId="3301" xr:uid="{684C01C5-110E-41CA-BC14-5B5B715E8BD0}"/>
    <cellStyle name="Millares 19 2 3 2 2 4 2" xfId="11572" xr:uid="{DAE92C6B-04BE-4770-A9B5-A7F9A8B3C60A}"/>
    <cellStyle name="Millares 19 2 3 2 2 4 2 2" xfId="46732" xr:uid="{77284044-CB6C-480B-9C82-AC2732866441}"/>
    <cellStyle name="Millares 19 2 3 2 2 4 3" xfId="14412" xr:uid="{04915F8F-80BD-4FE9-BD61-92D16D74BCA7}"/>
    <cellStyle name="Millares 19 2 3 2 2 4 4" xfId="44336" xr:uid="{502FE57D-C92A-4FC3-B7C6-8DC5EF56FEDC}"/>
    <cellStyle name="Millares 19 2 3 2 2 4 5" xfId="49229" xr:uid="{538FAF37-E074-4DCC-8C97-1C8B4BB15B99}"/>
    <cellStyle name="Millares 19 2 3 2 2 5" xfId="3803" xr:uid="{97FED60C-7925-462B-8BBA-290BC18744DB}"/>
    <cellStyle name="Millares 19 2 3 2 2 5 2" xfId="12044" xr:uid="{93F0C48F-6A9E-40D0-800F-1065CE1A4EA7}"/>
    <cellStyle name="Millares 19 2 3 2 2 5 3" xfId="14884" xr:uid="{1F0CB312-0479-41D9-B40C-33E82AA2A949}"/>
    <cellStyle name="Millares 19 2 3 2 2 5 4" xfId="44808" xr:uid="{92CB6A0D-B545-4542-97C2-2B7288D6B4A3}"/>
    <cellStyle name="Millares 19 2 3 2 2 5 5" xfId="49701" xr:uid="{15ADCCD0-89EA-456A-ACD9-EA9728335A72}"/>
    <cellStyle name="Millares 19 2 3 2 2 6" xfId="10066" xr:uid="{03598174-1629-42EE-93B3-FDD0CE6F5368}"/>
    <cellStyle name="Millares 19 2 3 2 2 6 2" xfId="45226" xr:uid="{093547A8-6C6B-49A5-AF37-BEB48EE43D2E}"/>
    <cellStyle name="Millares 19 2 3 2 2 7" xfId="12906" xr:uid="{95198B02-639E-4DD3-B1DB-F6E260CA88FE}"/>
    <cellStyle name="Millares 19 2 3 2 2 8" xfId="16249" xr:uid="{825FDC02-7597-4429-9896-4523AEC3EDB4}"/>
    <cellStyle name="Millares 19 2 3 2 2 9" xfId="16792" xr:uid="{4C60751B-C397-4F5D-981F-F46208970E8F}"/>
    <cellStyle name="Millares 19 2 3 2 3" xfId="2127" xr:uid="{A5FD6194-D82C-4297-A023-770F6351248A}"/>
    <cellStyle name="Millares 19 2 3 2 3 2" xfId="10398" xr:uid="{CF8DA245-BB5E-4350-A712-940B9E84C26E}"/>
    <cellStyle name="Millares 19 2 3 2 3 2 2" xfId="45558" xr:uid="{D0EDBC2C-3839-444F-B596-4D5FF05BB1DB}"/>
    <cellStyle name="Millares 19 2 3 2 3 3" xfId="13238" xr:uid="{FC7F3913-E6E7-4ACD-8123-0C2C329E64C2}"/>
    <cellStyle name="Millares 19 2 3 2 3 4" xfId="43162" xr:uid="{A30D8AA4-1839-4BAB-87B3-BA159DC5909C}"/>
    <cellStyle name="Millares 19 2 3 2 3 5" xfId="48055" xr:uid="{05789B50-F4B2-494F-908F-DE9BCD449C9B}"/>
    <cellStyle name="Millares 19 2 3 2 4" xfId="2545" xr:uid="{B475CA0C-54F9-4521-8BCA-97EDD575966F}"/>
    <cellStyle name="Millares 19 2 3 2 4 2" xfId="10816" xr:uid="{A1B05B84-4EA0-49FA-AB58-C9DB04F74BBA}"/>
    <cellStyle name="Millares 19 2 3 2 4 2 2" xfId="45976" xr:uid="{737D0F41-F1BA-423F-80D3-816259094D72}"/>
    <cellStyle name="Millares 19 2 3 2 4 3" xfId="13656" xr:uid="{02127F91-EDD2-4B8D-B42B-4F27C945D7CE}"/>
    <cellStyle name="Millares 19 2 3 2 4 4" xfId="43580" xr:uid="{6910DBA8-7D40-4A91-8EC0-508A41A91F5B}"/>
    <cellStyle name="Millares 19 2 3 2 4 5" xfId="48473" xr:uid="{F3F2477E-486E-412F-B949-0304EA636B5B}"/>
    <cellStyle name="Millares 19 2 3 2 5" xfId="3089" xr:uid="{CF6173E2-0D79-462A-B763-BB306C24F42B}"/>
    <cellStyle name="Millares 19 2 3 2 5 2" xfId="11360" xr:uid="{5B20272C-19C7-4B0A-999F-12179615368E}"/>
    <cellStyle name="Millares 19 2 3 2 5 2 2" xfId="46520" xr:uid="{0E20B6CB-1003-4601-A30F-ED1538B03035}"/>
    <cellStyle name="Millares 19 2 3 2 5 3" xfId="14200" xr:uid="{0D6425AD-75D4-43CD-A26E-822117AE722D}"/>
    <cellStyle name="Millares 19 2 3 2 5 4" xfId="44124" xr:uid="{DF856054-0C19-489C-BA79-55953E6FBC74}"/>
    <cellStyle name="Millares 19 2 3 2 5 5" xfId="49017" xr:uid="{5651B260-C882-4585-9EEE-7A995B1714E4}"/>
    <cellStyle name="Millares 19 2 3 2 6" xfId="3591" xr:uid="{D7D72B85-FE48-4997-8C09-C25EF6E471B9}"/>
    <cellStyle name="Millares 19 2 3 2 6 2" xfId="11832" xr:uid="{0346778A-81DA-44FF-BFD1-A0B2AC61E376}"/>
    <cellStyle name="Millares 19 2 3 2 6 3" xfId="14672" xr:uid="{038CD0B6-B5E0-41AE-AE8B-45E3BAEA9E3B}"/>
    <cellStyle name="Millares 19 2 3 2 6 4" xfId="44596" xr:uid="{B28D8D77-3B08-49D1-A479-A51B0BEF7CD9}"/>
    <cellStyle name="Millares 19 2 3 2 6 5" xfId="49489" xr:uid="{83ADBF10-0AB8-46F4-93E9-307CC5350C78}"/>
    <cellStyle name="Millares 19 2 3 2 7" xfId="9854" xr:uid="{D06F4E86-3B14-4098-A080-801D216057CB}"/>
    <cellStyle name="Millares 19 2 3 2 7 2" xfId="45014" xr:uid="{899A0CD2-B264-407C-BCE3-FC9906921F8D}"/>
    <cellStyle name="Millares 19 2 3 2 8" xfId="12694" xr:uid="{22AB8D71-4B2B-4BEB-88E3-BDA5D10CE0CF}"/>
    <cellStyle name="Millares 19 2 3 2 9" xfId="16037" xr:uid="{F00C41E3-8A55-4DF3-9AAA-7B317F049C9E}"/>
    <cellStyle name="Millares 19 2 3 3" xfId="422" xr:uid="{00000000-0005-0000-0000-0000D9010000}"/>
    <cellStyle name="Millares 19 2 3 3 10" xfId="17236" xr:uid="{8BBC6E0A-7CCF-401A-8C95-DE19B8F7FE1A}"/>
    <cellStyle name="Millares 19 2 3 3 11" xfId="27796" xr:uid="{65B6A69B-7186-4545-B040-0D0EFED29473}"/>
    <cellStyle name="Millares 19 2 3 3 12" xfId="18107" xr:uid="{E8EEC9E0-B067-4AD1-BF28-2E4579FA9227}"/>
    <cellStyle name="Millares 19 2 3 3 13" xfId="42730" xr:uid="{A2294670-3881-400F-9A3E-F9810CE608BB}"/>
    <cellStyle name="Millares 19 2 3 3 14" xfId="47623" xr:uid="{8B95AB95-197A-4EEB-86CF-3B0FCDE47CD2}"/>
    <cellStyle name="Millares 19 2 3 3 2" xfId="2239" xr:uid="{BDD2C2E2-E982-451A-BDCC-6EE2766DDFC3}"/>
    <cellStyle name="Millares 19 2 3 3 2 2" xfId="10510" xr:uid="{3956E933-120D-4C99-9A53-5A9B73AB0BBC}"/>
    <cellStyle name="Millares 19 2 3 3 2 2 2" xfId="45670" xr:uid="{B3DB008F-AB99-4259-B95A-68AAE5C0D157}"/>
    <cellStyle name="Millares 19 2 3 3 2 3" xfId="13350" xr:uid="{90C28BBC-2742-474D-96DE-F0C9362E6A32}"/>
    <cellStyle name="Millares 19 2 3 3 2 4" xfId="43274" xr:uid="{DD95D0BD-00C0-4C24-8DF2-51BF47916DB7}"/>
    <cellStyle name="Millares 19 2 3 3 2 5" xfId="48167" xr:uid="{2898A62B-210D-4055-86AE-81BD5C57C466}"/>
    <cellStyle name="Millares 19 2 3 3 3" xfId="2657" xr:uid="{3D67B48D-909D-4DEF-8D8C-716DF0DA290A}"/>
    <cellStyle name="Millares 19 2 3 3 3 2" xfId="10928" xr:uid="{AB91BABB-4A3B-4379-9831-F3FC1831A16E}"/>
    <cellStyle name="Millares 19 2 3 3 3 2 2" xfId="46088" xr:uid="{73718272-5CE2-471D-8657-91EC7F4301FB}"/>
    <cellStyle name="Millares 19 2 3 3 3 3" xfId="13768" xr:uid="{C45C53C6-FF5E-47B9-B52A-CEB70A72BC19}"/>
    <cellStyle name="Millares 19 2 3 3 3 4" xfId="43692" xr:uid="{D3B14FF6-C9C4-4A3E-BFEB-40E82CF918B3}"/>
    <cellStyle name="Millares 19 2 3 3 3 5" xfId="48585" xr:uid="{F0952B6E-CAAB-423C-B1ED-3878005DA006}"/>
    <cellStyle name="Millares 19 2 3 3 4" xfId="3201" xr:uid="{C4CF79DE-9BFA-4410-8177-846D2B9F0F3D}"/>
    <cellStyle name="Millares 19 2 3 3 4 2" xfId="11472" xr:uid="{4232C052-9CFC-4269-A155-2B035DDBD947}"/>
    <cellStyle name="Millares 19 2 3 3 4 2 2" xfId="46632" xr:uid="{862428B9-CA71-45BC-9F37-00B1D7FAAA7F}"/>
    <cellStyle name="Millares 19 2 3 3 4 3" xfId="14312" xr:uid="{A271F697-A279-4F3E-BAEE-E0CBBA9A347F}"/>
    <cellStyle name="Millares 19 2 3 3 4 4" xfId="44236" xr:uid="{5763BC81-BFAB-4D71-90B4-7021159CCBA8}"/>
    <cellStyle name="Millares 19 2 3 3 4 5" xfId="49129" xr:uid="{B22C2385-6F23-4681-B7DD-EF07B295D04D}"/>
    <cellStyle name="Millares 19 2 3 3 5" xfId="3703" xr:uid="{6F342D27-8EAD-4A6D-8C25-6FCB54A336F6}"/>
    <cellStyle name="Millares 19 2 3 3 5 2" xfId="11944" xr:uid="{788C28AB-56E9-4A56-847D-A5B4E0CB6C85}"/>
    <cellStyle name="Millares 19 2 3 3 5 3" xfId="14784" xr:uid="{D0969689-A997-4FDA-AC6D-07EA03F74666}"/>
    <cellStyle name="Millares 19 2 3 3 5 4" xfId="44708" xr:uid="{2ABFC76C-5752-46CE-ACA0-5736AE2D7244}"/>
    <cellStyle name="Millares 19 2 3 3 5 5" xfId="49601" xr:uid="{64D55948-24EF-42B6-87BC-BA994981D559}"/>
    <cellStyle name="Millares 19 2 3 3 6" xfId="9966" xr:uid="{699EEA40-1A20-4CA1-B5B2-95FABA2C863F}"/>
    <cellStyle name="Millares 19 2 3 3 6 2" xfId="45126" xr:uid="{2F818C7F-689E-4566-A368-2BD957A19871}"/>
    <cellStyle name="Millares 19 2 3 3 7" xfId="12806" xr:uid="{B07D2690-880B-4679-A8B9-44B6185AB945}"/>
    <cellStyle name="Millares 19 2 3 3 8" xfId="16149" xr:uid="{334A1B39-16B3-40AB-BBF2-1150C59D3953}"/>
    <cellStyle name="Millares 19 2 3 3 9" xfId="16692" xr:uid="{7FC4A109-7D8F-4BAE-A9B4-29C71DD6AB49}"/>
    <cellStyle name="Millares 19 2 3 4" xfId="625" xr:uid="{00000000-0005-0000-0000-0000DA010000}"/>
    <cellStyle name="Millares 19 2 3 4 10" xfId="42932" xr:uid="{2C4F220E-005F-4034-932E-143381FAF5A0}"/>
    <cellStyle name="Millares 19 2 3 4 11" xfId="47825" xr:uid="{189935D2-36D3-4370-81A0-66145DB84DD3}"/>
    <cellStyle name="Millares 19 2 3 4 2" xfId="2859" xr:uid="{A8066E78-5374-41F5-9887-61DEE633B8EF}"/>
    <cellStyle name="Millares 19 2 3 4 2 2" xfId="11130" xr:uid="{C86931EE-A1C2-496A-AE46-DB591D5AB25B}"/>
    <cellStyle name="Millares 19 2 3 4 2 2 2" xfId="46290" xr:uid="{2E767093-09C2-4B74-898C-E4FF9085963D}"/>
    <cellStyle name="Millares 19 2 3 4 2 3" xfId="13970" xr:uid="{39E73274-065D-4617-AA15-4FA3FE391088}"/>
    <cellStyle name="Millares 19 2 3 4 2 4" xfId="43894" xr:uid="{1CE716D6-678A-4CBB-B66F-CEA3B96185D2}"/>
    <cellStyle name="Millares 19 2 3 4 2 5" xfId="48787" xr:uid="{2257A1A6-FCAB-45E5-A5DF-8BF67BC6D794}"/>
    <cellStyle name="Millares 19 2 3 4 3" xfId="10168" xr:uid="{96700135-C821-4680-944A-3A3F87B03E4F}"/>
    <cellStyle name="Millares 19 2 3 4 3 2" xfId="45328" xr:uid="{4FDCC9A6-0C03-477B-888D-6869CACBB9F6}"/>
    <cellStyle name="Millares 19 2 3 4 4" xfId="13008" xr:uid="{6262D242-DC00-4B27-BD56-C211570132BD}"/>
    <cellStyle name="Millares 19 2 3 4 5" xfId="16351" xr:uid="{43EE4C9E-38F5-4B12-902D-F8CECEFD076E}"/>
    <cellStyle name="Millares 19 2 3 4 6" xfId="16894" xr:uid="{F719CB69-E5D5-4B89-9DCC-10ABDE215690}"/>
    <cellStyle name="Millares 19 2 3 4 7" xfId="17438" xr:uid="{AC7502BA-0787-4C07-A34C-73F62B6C44A6}"/>
    <cellStyle name="Millares 19 2 3 4 8" xfId="33678" xr:uid="{7C5D53B7-6814-46D4-8DD0-0279118ED2D8}"/>
    <cellStyle name="Millares 19 2 3 4 9" xfId="41165" xr:uid="{02FFCA53-66BE-4088-84DA-E128CC3D878D}"/>
    <cellStyle name="Millares 19 2 3 5" xfId="2023" xr:uid="{48C3C5DD-49D5-42E8-9F54-9BE95521A82A}"/>
    <cellStyle name="Millares 19 2 3 5 2" xfId="10294" xr:uid="{93155DF3-B4B0-4CFF-8348-0771BAD6897D}"/>
    <cellStyle name="Millares 19 2 3 5 2 2" xfId="45454" xr:uid="{C12912FB-46F6-44F5-89F9-A3D3CEC2735C}"/>
    <cellStyle name="Millares 19 2 3 5 3" xfId="13134" xr:uid="{5039DC6C-F480-4173-961C-84195A3D617A}"/>
    <cellStyle name="Millares 19 2 3 5 4" xfId="39542" xr:uid="{CC3C93F4-917F-45D2-885B-ED05633ECEDA}"/>
    <cellStyle name="Millares 19 2 3 5 5" xfId="43058" xr:uid="{920144C1-58A1-4B4E-B4A5-547C01BA1FAE}"/>
    <cellStyle name="Millares 19 2 3 5 6" xfId="47951" xr:uid="{E6295937-FBBC-4822-98D4-67C8ABE65E8A}"/>
    <cellStyle name="Millares 19 2 3 6" xfId="2441" xr:uid="{15CB29E7-8D5C-4BE4-B3D3-CBDC8DA802C1}"/>
    <cellStyle name="Millares 19 2 3 6 2" xfId="10712" xr:uid="{AE4ED46A-348D-429A-A9E8-59AC441697FB}"/>
    <cellStyle name="Millares 19 2 3 6 2 2" xfId="45872" xr:uid="{8A430719-B8A0-4A4D-AE06-011B2D6CA2E5}"/>
    <cellStyle name="Millares 19 2 3 6 3" xfId="13552" xr:uid="{B72CB5D1-FBFF-4C26-955D-97CD943DBDD4}"/>
    <cellStyle name="Millares 19 2 3 6 4" xfId="43476" xr:uid="{44F0D2DA-8F5C-47CA-8923-8A170E5D63D3}"/>
    <cellStyle name="Millares 19 2 3 6 5" xfId="48369" xr:uid="{1FDDF547-CB70-4218-A2CB-4B90E80385A0}"/>
    <cellStyle name="Millares 19 2 3 7" xfId="2985" xr:uid="{5D307471-2604-4C72-88E9-52D3283653FB}"/>
    <cellStyle name="Millares 19 2 3 7 2" xfId="11256" xr:uid="{57478BF2-285B-4CBA-8BAC-7F718F73B3F1}"/>
    <cellStyle name="Millares 19 2 3 7 2 2" xfId="46416" xr:uid="{FC30328A-C629-4D4C-99CB-59A413F56255}"/>
    <cellStyle name="Millares 19 2 3 7 3" xfId="14096" xr:uid="{51D8D17D-9D3E-4197-9B29-55F0D7BC161B}"/>
    <cellStyle name="Millares 19 2 3 7 4" xfId="44020" xr:uid="{AD04EED2-D02A-4ABF-A5C2-9E956FCF7391}"/>
    <cellStyle name="Millares 19 2 3 7 5" xfId="48913" xr:uid="{2898BB0E-6D63-41DC-958B-CCB9FBD66C71}"/>
    <cellStyle name="Millares 19 2 3 8" xfId="3487" xr:uid="{DFEC9425-CED8-4DC0-BBE7-5C4B6D715E51}"/>
    <cellStyle name="Millares 19 2 3 8 2" xfId="11728" xr:uid="{00021EDC-D374-406C-895C-8F98FADBC8DC}"/>
    <cellStyle name="Millares 19 2 3 8 3" xfId="14568" xr:uid="{F08ABCF4-3656-46B8-A275-68CF41D12F4B}"/>
    <cellStyle name="Millares 19 2 3 8 4" xfId="44492" xr:uid="{295BC2B5-ACF7-4A2A-86B0-B32C7AE37EC7}"/>
    <cellStyle name="Millares 19 2 3 8 5" xfId="49385" xr:uid="{98E523B2-4573-49B3-9C89-A88D885E5C3C}"/>
    <cellStyle name="Millares 19 2 3 9" xfId="7562" xr:uid="{1C87F56D-95A9-4AE6-B7A4-0C36BD461884}"/>
    <cellStyle name="Millares 19 2 3 9 2" xfId="44910" xr:uid="{66F16FB6-CACE-44F0-B1A3-EBC8E96B9234}"/>
    <cellStyle name="Millares 19 2 4" xfId="140" xr:uid="{00000000-0005-0000-0000-0000DB010000}"/>
    <cellStyle name="Millares 19 2 4 10" xfId="12548" xr:uid="{9DC2CD03-BF6F-4E34-A43A-B6B4714377B5}"/>
    <cellStyle name="Millares 19 2 4 11" xfId="15891" xr:uid="{ACCCB352-5CEE-41A9-86A8-1DF4179E2EB4}"/>
    <cellStyle name="Millares 19 2 4 12" xfId="16434" xr:uid="{06A1F0B6-C97E-45A6-B845-CF8CB7ACD7D0}"/>
    <cellStyle name="Millares 19 2 4 13" xfId="16978" xr:uid="{23AE5D2F-BEBF-46D4-836D-A6B844AC1552}"/>
    <cellStyle name="Millares 19 2 4 14" xfId="19191" xr:uid="{07ADF492-CFB6-45C7-9C10-692E5123D5B8}"/>
    <cellStyle name="Millares 19 2 4 15" xfId="18081" xr:uid="{B00B9242-7269-43D5-87E6-F11F069C9C11}"/>
    <cellStyle name="Millares 19 2 4 16" xfId="42472" xr:uid="{DCBADCC7-D885-41FF-8EDA-6ABCEA1E5AF6}"/>
    <cellStyle name="Millares 19 2 4 17" xfId="47365" xr:uid="{D8FF9A17-25B4-441F-BBC3-8D9548AC649F}"/>
    <cellStyle name="Millares 19 2 4 2" xfId="254" xr:uid="{00000000-0005-0000-0000-0000DC010000}"/>
    <cellStyle name="Millares 19 2 4 2 10" xfId="16538" xr:uid="{B949758C-DDA7-49EA-820D-B1EA9208EA8D}"/>
    <cellStyle name="Millares 19 2 4 2 11" xfId="17082" xr:uid="{7F37014B-4DE7-467F-9A22-28260883FDFE}"/>
    <cellStyle name="Millares 19 2 4 2 12" xfId="17790" xr:uid="{25B189A5-0E1D-45BE-9190-E4E1AAD61C90}"/>
    <cellStyle name="Millares 19 2 4 2 13" xfId="42576" xr:uid="{71C2019B-F18F-4FCF-8177-57A3D9A8C845}"/>
    <cellStyle name="Millares 19 2 4 2 14" xfId="47469" xr:uid="{9FB947B1-85C6-4079-86DE-DEE33F9F5092}"/>
    <cellStyle name="Millares 19 2 4 2 2" xfId="481" xr:uid="{00000000-0005-0000-0000-0000DD010000}"/>
    <cellStyle name="Millares 19 2 4 2 2 10" xfId="17294" xr:uid="{9C05985C-A9D6-41EC-86CD-80776CB492D5}"/>
    <cellStyle name="Millares 19 2 4 2 2 11" xfId="17673" xr:uid="{2F716E83-CBF0-4924-B3FB-BF9EB8E0FD3C}"/>
    <cellStyle name="Millares 19 2 4 2 2 12" xfId="42788" xr:uid="{3919884E-8FBB-49D6-A19B-26172A1C32F4}"/>
    <cellStyle name="Millares 19 2 4 2 2 13" xfId="47681" xr:uid="{21C522C3-6A21-4480-B9AD-A8EE48A52C0B}"/>
    <cellStyle name="Millares 19 2 4 2 2 2" xfId="2297" xr:uid="{D9C19708-9804-4C89-9984-D15184D5F182}"/>
    <cellStyle name="Millares 19 2 4 2 2 2 2" xfId="10568" xr:uid="{37CBBDD7-E461-44D5-A440-CFF4CC6C3798}"/>
    <cellStyle name="Millares 19 2 4 2 2 2 2 2" xfId="45728" xr:uid="{F477A1F9-081D-48E6-9379-CE2F1935FD44}"/>
    <cellStyle name="Millares 19 2 4 2 2 2 3" xfId="13408" xr:uid="{5B19FC86-583E-42D3-8831-96F817792D08}"/>
    <cellStyle name="Millares 19 2 4 2 2 2 4" xfId="43332" xr:uid="{BB1F79D8-9014-4E4E-A329-A265F50B7388}"/>
    <cellStyle name="Millares 19 2 4 2 2 2 5" xfId="48225" xr:uid="{D472190D-6E61-4C79-9BD7-53B34394360E}"/>
    <cellStyle name="Millares 19 2 4 2 2 3" xfId="2715" xr:uid="{759C6079-3ED7-4F5D-8A90-7446F9D4C203}"/>
    <cellStyle name="Millares 19 2 4 2 2 3 2" xfId="10986" xr:uid="{C9A2B149-9457-44E6-BDC7-FFE8459B1CA1}"/>
    <cellStyle name="Millares 19 2 4 2 2 3 2 2" xfId="46146" xr:uid="{33D2E2C0-77B9-4F81-A82C-27C662EE7188}"/>
    <cellStyle name="Millares 19 2 4 2 2 3 3" xfId="13826" xr:uid="{81DA7570-2761-4F00-B04F-CA0FDA081B22}"/>
    <cellStyle name="Millares 19 2 4 2 2 3 4" xfId="43750" xr:uid="{19ADAFB0-5C70-4E52-BB3F-5374CD67D512}"/>
    <cellStyle name="Millares 19 2 4 2 2 3 5" xfId="48643" xr:uid="{6F4B750A-3F8C-4A3F-BB6F-9668B90B2860}"/>
    <cellStyle name="Millares 19 2 4 2 2 4" xfId="3259" xr:uid="{13ACC1FC-4B38-4E6D-B5B3-3461057B6FDE}"/>
    <cellStyle name="Millares 19 2 4 2 2 4 2" xfId="11530" xr:uid="{CB8BB08B-31EE-4BD6-9084-30291EDE5194}"/>
    <cellStyle name="Millares 19 2 4 2 2 4 2 2" xfId="46690" xr:uid="{6F919729-F8C9-40D3-919C-CAD0233A6421}"/>
    <cellStyle name="Millares 19 2 4 2 2 4 3" xfId="14370" xr:uid="{1DA85CF7-A5AA-4467-BB22-E2A6479249C8}"/>
    <cellStyle name="Millares 19 2 4 2 2 4 4" xfId="44294" xr:uid="{900AFF81-32EE-4BB0-8B3E-F89E8948AB27}"/>
    <cellStyle name="Millares 19 2 4 2 2 4 5" xfId="49187" xr:uid="{5DCE4F35-059F-463F-BCEE-E67DD5EFEB9B}"/>
    <cellStyle name="Millares 19 2 4 2 2 5" xfId="3761" xr:uid="{4F9CA191-23AE-4E2D-A14A-75531129B401}"/>
    <cellStyle name="Millares 19 2 4 2 2 5 2" xfId="12002" xr:uid="{D0E1DBE3-B387-4883-B0A9-6E75E8F72C72}"/>
    <cellStyle name="Millares 19 2 4 2 2 5 3" xfId="14842" xr:uid="{BB603658-D5CE-4349-818C-30A75CEF258C}"/>
    <cellStyle name="Millares 19 2 4 2 2 5 4" xfId="44766" xr:uid="{33C97E27-5737-4B37-97CC-79A7CE20D30B}"/>
    <cellStyle name="Millares 19 2 4 2 2 5 5" xfId="49659" xr:uid="{1B0F2ACF-00CC-40BF-934A-9DFAB7F6DB06}"/>
    <cellStyle name="Millares 19 2 4 2 2 6" xfId="10024" xr:uid="{5AF289A2-1F46-4254-B268-4B3B8C433281}"/>
    <cellStyle name="Millares 19 2 4 2 2 6 2" xfId="45184" xr:uid="{90894639-50D8-4432-9B21-745CC5CAED63}"/>
    <cellStyle name="Millares 19 2 4 2 2 7" xfId="12864" xr:uid="{27CF3B2A-9F1B-4E98-89A6-7B21F92C7EA9}"/>
    <cellStyle name="Millares 19 2 4 2 2 8" xfId="16207" xr:uid="{C8DA2570-CDA0-4D83-AE8B-F05A98404677}"/>
    <cellStyle name="Millares 19 2 4 2 2 9" xfId="16750" xr:uid="{E0DDE6E9-5DB1-4E3F-A45F-EBB540276A2D}"/>
    <cellStyle name="Millares 19 2 4 2 3" xfId="2085" xr:uid="{84044023-38B4-49FD-94E7-2FEF39D7F9BF}"/>
    <cellStyle name="Millares 19 2 4 2 3 2" xfId="10356" xr:uid="{27E416E9-0466-4502-A13C-DC7DD4274603}"/>
    <cellStyle name="Millares 19 2 4 2 3 2 2" xfId="45516" xr:uid="{29BAF462-6480-4477-977E-AAD38EFCDA75}"/>
    <cellStyle name="Millares 19 2 4 2 3 3" xfId="13196" xr:uid="{8E75F7B5-C687-403C-B9A4-A172C5BEAB54}"/>
    <cellStyle name="Millares 19 2 4 2 3 4" xfId="43120" xr:uid="{06A5F6B4-CF8D-493A-B396-32BC35B7CDE3}"/>
    <cellStyle name="Millares 19 2 4 2 3 5" xfId="48013" xr:uid="{60B6C51F-9839-4BA0-A670-5047BF96BDBF}"/>
    <cellStyle name="Millares 19 2 4 2 4" xfId="2503" xr:uid="{16BCD2DE-5F26-41EA-B6E3-F11009D1876F}"/>
    <cellStyle name="Millares 19 2 4 2 4 2" xfId="10774" xr:uid="{A8A42479-CD77-4F93-99A9-CEC573954686}"/>
    <cellStyle name="Millares 19 2 4 2 4 2 2" xfId="45934" xr:uid="{53D0EDA0-04EA-4412-B2E4-84BF2A968E32}"/>
    <cellStyle name="Millares 19 2 4 2 4 3" xfId="13614" xr:uid="{E3E6A9A6-FD08-4BC2-801A-7BB4BABB7AF9}"/>
    <cellStyle name="Millares 19 2 4 2 4 4" xfId="43538" xr:uid="{FCA29E3C-D4DD-460D-991F-54C7AE2FE8C4}"/>
    <cellStyle name="Millares 19 2 4 2 4 5" xfId="48431" xr:uid="{D42AC9DA-B5A3-47CD-BAAF-DB95DC63B0FA}"/>
    <cellStyle name="Millares 19 2 4 2 5" xfId="3047" xr:uid="{CB06D09E-CD34-423E-88A5-DE9A10014A76}"/>
    <cellStyle name="Millares 19 2 4 2 5 2" xfId="11318" xr:uid="{43F02D69-388F-40BA-8AD5-7799A37F4AE1}"/>
    <cellStyle name="Millares 19 2 4 2 5 2 2" xfId="46478" xr:uid="{C159AD64-5E9C-47A2-8D48-20651FE4AC6C}"/>
    <cellStyle name="Millares 19 2 4 2 5 3" xfId="14158" xr:uid="{2B73D8CE-D85C-41C4-BE9B-3E6818DCE17A}"/>
    <cellStyle name="Millares 19 2 4 2 5 4" xfId="44082" xr:uid="{B4AED58C-8971-4A4B-89DE-E659A4A01876}"/>
    <cellStyle name="Millares 19 2 4 2 5 5" xfId="48975" xr:uid="{329D452C-026B-4415-BEEF-D022E89E8E76}"/>
    <cellStyle name="Millares 19 2 4 2 6" xfId="3549" xr:uid="{3728A44C-C085-433D-850D-C670F6F2EE3A}"/>
    <cellStyle name="Millares 19 2 4 2 6 2" xfId="11790" xr:uid="{AB166AD6-7656-4628-B2AE-EF27692C1453}"/>
    <cellStyle name="Millares 19 2 4 2 6 3" xfId="14630" xr:uid="{E4B88724-2666-46F1-BED1-3C3FFF992688}"/>
    <cellStyle name="Millares 19 2 4 2 6 4" xfId="44554" xr:uid="{6128A5D6-45A3-4E41-B95C-7DFCBC15525A}"/>
    <cellStyle name="Millares 19 2 4 2 6 5" xfId="49447" xr:uid="{B7083C1A-6EBA-4954-82AF-7DF30514CA29}"/>
    <cellStyle name="Millares 19 2 4 2 7" xfId="9812" xr:uid="{AC1D47E5-9CA0-40F4-A2F8-9D83679B9DBA}"/>
    <cellStyle name="Millares 19 2 4 2 7 2" xfId="44972" xr:uid="{57B27566-C10F-4C33-8C52-CFD1E89AEE1D}"/>
    <cellStyle name="Millares 19 2 4 2 8" xfId="12652" xr:uid="{34A219C6-04CF-448B-B90F-9BFFAC06EEEC}"/>
    <cellStyle name="Millares 19 2 4 2 9" xfId="15995" xr:uid="{C90BFC9A-AE40-4C54-BFE3-528518C8B065}"/>
    <cellStyle name="Millares 19 2 4 3" xfId="380" xr:uid="{00000000-0005-0000-0000-0000DE010000}"/>
    <cellStyle name="Millares 19 2 4 3 10" xfId="17194" xr:uid="{DDB9F8F4-9D7A-4C8C-A4B6-3EEC2C352988}"/>
    <cellStyle name="Millares 19 2 4 3 11" xfId="17806" xr:uid="{20D57122-A2C1-4A7B-A99D-8B20567612EC}"/>
    <cellStyle name="Millares 19 2 4 3 12" xfId="42688" xr:uid="{00326C17-DD6E-4A61-9F60-31E6D8531A9E}"/>
    <cellStyle name="Millares 19 2 4 3 13" xfId="47581" xr:uid="{DA024B97-28D4-4324-88D4-FA85C6D3ED14}"/>
    <cellStyle name="Millares 19 2 4 3 2" xfId="2197" xr:uid="{443402E9-864D-4FEB-A039-7D0E3D6F5DBE}"/>
    <cellStyle name="Millares 19 2 4 3 2 2" xfId="10468" xr:uid="{28367CB4-5072-4536-95E7-150DB1AC9A71}"/>
    <cellStyle name="Millares 19 2 4 3 2 2 2" xfId="45628" xr:uid="{91722976-A804-4528-B924-3D4DD37E5F0A}"/>
    <cellStyle name="Millares 19 2 4 3 2 3" xfId="13308" xr:uid="{678B27A6-4E6B-40EA-A19A-8E3AC69D92C0}"/>
    <cellStyle name="Millares 19 2 4 3 2 4" xfId="43232" xr:uid="{18A8624F-DEFB-4068-9D42-A69EE38BB6AE}"/>
    <cellStyle name="Millares 19 2 4 3 2 5" xfId="48125" xr:uid="{CC99A748-AE3F-43AD-BC23-78A4661D6413}"/>
    <cellStyle name="Millares 19 2 4 3 3" xfId="2615" xr:uid="{572AEF3D-28CC-426E-A707-4B3176CE4DC3}"/>
    <cellStyle name="Millares 19 2 4 3 3 2" xfId="10886" xr:uid="{BA61F432-001F-4C12-9EE4-8B82313DA7B1}"/>
    <cellStyle name="Millares 19 2 4 3 3 2 2" xfId="46046" xr:uid="{1E3A2D30-92D2-4016-9F3B-980BAC7EA553}"/>
    <cellStyle name="Millares 19 2 4 3 3 3" xfId="13726" xr:uid="{326D6899-24B2-4D0D-AEDA-A9956E1C849F}"/>
    <cellStyle name="Millares 19 2 4 3 3 4" xfId="43650" xr:uid="{D98FB278-05EC-4623-9682-E469DC0BB222}"/>
    <cellStyle name="Millares 19 2 4 3 3 5" xfId="48543" xr:uid="{9184D7D2-6966-4948-B3AF-620CCABFFB71}"/>
    <cellStyle name="Millares 19 2 4 3 4" xfId="3159" xr:uid="{D2DE9329-002C-4AFA-BA23-B68EF1792472}"/>
    <cellStyle name="Millares 19 2 4 3 4 2" xfId="11430" xr:uid="{3B8A856A-9E36-49C4-8C16-23223860B0DB}"/>
    <cellStyle name="Millares 19 2 4 3 4 2 2" xfId="46590" xr:uid="{E6B5062D-8F9F-4F61-962B-FCDB31ADF8B4}"/>
    <cellStyle name="Millares 19 2 4 3 4 3" xfId="14270" xr:uid="{D2152E02-D336-40EC-9CEE-21FA8034D759}"/>
    <cellStyle name="Millares 19 2 4 3 4 4" xfId="44194" xr:uid="{204A286D-6B40-4046-9285-DDB62ECC3BF1}"/>
    <cellStyle name="Millares 19 2 4 3 4 5" xfId="49087" xr:uid="{BEE79BC9-583C-4358-A05B-590E4C34B0C8}"/>
    <cellStyle name="Millares 19 2 4 3 5" xfId="3661" xr:uid="{8237B571-DABF-4979-BECA-85D4847CC6C3}"/>
    <cellStyle name="Millares 19 2 4 3 5 2" xfId="11902" xr:uid="{EFB21BE4-AB66-4351-8484-C2E3E5014103}"/>
    <cellStyle name="Millares 19 2 4 3 5 3" xfId="14742" xr:uid="{72837D26-A603-4580-8D2C-446E9F6B4552}"/>
    <cellStyle name="Millares 19 2 4 3 5 4" xfId="44666" xr:uid="{441CFA6F-8436-4214-AF8C-C67E4E91922D}"/>
    <cellStyle name="Millares 19 2 4 3 5 5" xfId="49559" xr:uid="{9B25D3E5-4C44-4C89-BD39-7792464ED987}"/>
    <cellStyle name="Millares 19 2 4 3 6" xfId="9924" xr:uid="{A3C30F3E-3857-4C1E-96F8-DE678C6BA6A1}"/>
    <cellStyle name="Millares 19 2 4 3 6 2" xfId="45084" xr:uid="{89FD92B3-BB63-495B-9761-37DCC22521EE}"/>
    <cellStyle name="Millares 19 2 4 3 7" xfId="12764" xr:uid="{D5492763-5019-4B5C-8E52-A3FF055710DC}"/>
    <cellStyle name="Millares 19 2 4 3 8" xfId="16107" xr:uid="{BB5530E4-9319-40E6-9AEC-1661B4C8C308}"/>
    <cellStyle name="Millares 19 2 4 3 9" xfId="16650" xr:uid="{257E0AB1-88F5-473F-BBFA-4B903417909D}"/>
    <cellStyle name="Millares 19 2 4 4" xfId="583" xr:uid="{00000000-0005-0000-0000-0000DF010000}"/>
    <cellStyle name="Millares 19 2 4 4 10" xfId="47783" xr:uid="{61EC148C-4106-41CD-8866-C134CE28448F}"/>
    <cellStyle name="Millares 19 2 4 4 2" xfId="2817" xr:uid="{A803B3AD-04D8-404F-8C6E-3BD7FFF0F214}"/>
    <cellStyle name="Millares 19 2 4 4 2 2" xfId="11088" xr:uid="{506E85B5-0E47-4FC4-89DE-DFE25003B6BE}"/>
    <cellStyle name="Millares 19 2 4 4 2 2 2" xfId="46248" xr:uid="{231A3D05-411A-436C-8B8E-7C526A7D73F6}"/>
    <cellStyle name="Millares 19 2 4 4 2 3" xfId="13928" xr:uid="{4A068701-FC9E-4115-ACE9-85A86173A881}"/>
    <cellStyle name="Millares 19 2 4 4 2 4" xfId="43852" xr:uid="{C4F79DD5-EADB-4319-A337-D32E8B789D16}"/>
    <cellStyle name="Millares 19 2 4 4 2 5" xfId="48745" xr:uid="{D2CF8911-1CD7-4E17-8D7F-B9A431EF9F69}"/>
    <cellStyle name="Millares 19 2 4 4 3" xfId="10126" xr:uid="{6E69DE3F-4D5B-4DCA-BD09-7E214D966FED}"/>
    <cellStyle name="Millares 19 2 4 4 3 2" xfId="45286" xr:uid="{8A3F2065-C6EC-4BAC-954A-EC1515C6580C}"/>
    <cellStyle name="Millares 19 2 4 4 4" xfId="12966" xr:uid="{9D1FC94F-292D-489E-AA8D-310B8138B183}"/>
    <cellStyle name="Millares 19 2 4 4 5" xfId="16309" xr:uid="{93727E00-85E0-4705-A185-947BD84B6809}"/>
    <cellStyle name="Millares 19 2 4 4 6" xfId="16852" xr:uid="{8517A25E-61EC-45C2-8EF0-0F025D4D084D}"/>
    <cellStyle name="Millares 19 2 4 4 7" xfId="17396" xr:uid="{DEC010EE-2116-4C7F-B10C-4B460F09411D}"/>
    <cellStyle name="Millares 19 2 4 4 8" xfId="19739" xr:uid="{EEC638F2-68F6-4F18-8DFE-924BFE89F463}"/>
    <cellStyle name="Millares 19 2 4 4 9" xfId="42890" xr:uid="{A2880B82-9567-4DE4-A817-395E84F7DFB9}"/>
    <cellStyle name="Millares 19 2 4 5" xfId="1981" xr:uid="{7A3211A5-8B24-4FB0-809C-0B2596BF891F}"/>
    <cellStyle name="Millares 19 2 4 5 2" xfId="10252" xr:uid="{F3BD3BA2-E71F-45FD-BC20-7842F10A8EDA}"/>
    <cellStyle name="Millares 19 2 4 5 2 2" xfId="45412" xr:uid="{A74D411D-B804-4D5C-8A13-84D406ED6A30}"/>
    <cellStyle name="Millares 19 2 4 5 3" xfId="13092" xr:uid="{2800E1B0-C6DC-403F-BCDC-A820F5316C97}"/>
    <cellStyle name="Millares 19 2 4 5 4" xfId="43016" xr:uid="{7163A263-2361-4E0B-99CD-6A6D600C3CF4}"/>
    <cellStyle name="Millares 19 2 4 5 5" xfId="47909" xr:uid="{4F103650-576E-4C74-BAFB-2E5CFB489A03}"/>
    <cellStyle name="Millares 19 2 4 6" xfId="2399" xr:uid="{144A60E8-1624-4F74-9C98-BEBB42FD4030}"/>
    <cellStyle name="Millares 19 2 4 6 2" xfId="10670" xr:uid="{D7304F44-68D9-4A9F-A1A9-703033988F6C}"/>
    <cellStyle name="Millares 19 2 4 6 2 2" xfId="45830" xr:uid="{D7738C8A-BCE2-485E-AFAF-C6AA1F3C7B18}"/>
    <cellStyle name="Millares 19 2 4 6 3" xfId="13510" xr:uid="{5E7F0AB5-9D08-4CB3-B3D5-65D942D88FDB}"/>
    <cellStyle name="Millares 19 2 4 6 4" xfId="43434" xr:uid="{0CAB1519-A4E0-4F4A-BB33-BA16ED867902}"/>
    <cellStyle name="Millares 19 2 4 6 5" xfId="48327" xr:uid="{28BB1B50-12E1-4409-B626-0D4135B961F7}"/>
    <cellStyle name="Millares 19 2 4 7" xfId="2943" xr:uid="{AEDE7CC5-5B11-4F6B-A17D-F6B11F07FB70}"/>
    <cellStyle name="Millares 19 2 4 7 2" xfId="11214" xr:uid="{151E8195-A851-4BEB-B41D-2C2DCEC2E154}"/>
    <cellStyle name="Millares 19 2 4 7 2 2" xfId="46374" xr:uid="{CFDC122F-9B4F-435A-B997-7A0A72E2DB1C}"/>
    <cellStyle name="Millares 19 2 4 7 3" xfId="14054" xr:uid="{99BD456A-E97B-4ACC-8F0F-A4489306338A}"/>
    <cellStyle name="Millares 19 2 4 7 4" xfId="43978" xr:uid="{BFE3053D-58D5-48D2-9941-D37531578621}"/>
    <cellStyle name="Millares 19 2 4 7 5" xfId="48871" xr:uid="{7667F4B9-0C4F-41CA-88ED-94D6575EAA9C}"/>
    <cellStyle name="Millares 19 2 4 8" xfId="3445" xr:uid="{1358EF7A-67E5-45D9-827C-26EC8776FDC1}"/>
    <cellStyle name="Millares 19 2 4 8 2" xfId="11686" xr:uid="{B6B02FD1-9DE1-49F8-BB13-56884B4DE886}"/>
    <cellStyle name="Millares 19 2 4 8 3" xfId="14526" xr:uid="{58322A07-FEFA-4A7F-A6D4-82460F100B32}"/>
    <cellStyle name="Millares 19 2 4 8 4" xfId="44450" xr:uid="{D7E94D72-29CD-4BD8-81AD-7A3012DA5F30}"/>
    <cellStyle name="Millares 19 2 4 8 5" xfId="49343" xr:uid="{A3989D88-A68C-4C4F-8392-7118FCC57EE7}"/>
    <cellStyle name="Millares 19 2 4 9" xfId="9708" xr:uid="{D5585C4B-9D94-4791-B3FC-738231E70517}"/>
    <cellStyle name="Millares 19 2 4 9 2" xfId="44868" xr:uid="{75FA33C0-221C-4AA6-9531-8B85E90F5E5D}"/>
    <cellStyle name="Millares 19 2 5" xfId="227" xr:uid="{00000000-0005-0000-0000-0000E0010000}"/>
    <cellStyle name="Millares 19 2 5 10" xfId="16511" xr:uid="{98B4FBCA-D136-42BB-8DAB-01DCC2F3B51C}"/>
    <cellStyle name="Millares 19 2 5 11" xfId="17055" xr:uid="{0ED37F1A-FA93-46CC-99DE-803CAAC9F948}"/>
    <cellStyle name="Millares 19 2 5 12" xfId="24947" xr:uid="{9BBDC269-F5CD-4F13-9191-13BCEEB100EF}"/>
    <cellStyle name="Millares 19 2 5 13" xfId="17995" xr:uid="{164BC344-D137-47FA-8D4F-A18666865D42}"/>
    <cellStyle name="Millares 19 2 5 14" xfId="42549" xr:uid="{693CB044-4A20-470F-8F41-86ECF89CC5E5}"/>
    <cellStyle name="Millares 19 2 5 15" xfId="47442" xr:uid="{E0BC47E3-F89A-4FF1-946E-7EBB672FFE68}"/>
    <cellStyle name="Millares 19 2 5 2" xfId="454" xr:uid="{00000000-0005-0000-0000-0000E1010000}"/>
    <cellStyle name="Millares 19 2 5 2 10" xfId="17267" xr:uid="{02A73C91-D4B9-4CC8-B52C-FB6D7FE5D85A}"/>
    <cellStyle name="Millares 19 2 5 2 11" xfId="18060" xr:uid="{40E61614-E97C-481C-8C50-BA1935B9B0AF}"/>
    <cellStyle name="Millares 19 2 5 2 12" xfId="42761" xr:uid="{FA50B9AF-E5A2-4914-8791-96BCDE0D3981}"/>
    <cellStyle name="Millares 19 2 5 2 13" xfId="47654" xr:uid="{D4D947E1-A24F-4501-8890-87DAB734AF3F}"/>
    <cellStyle name="Millares 19 2 5 2 2" xfId="2270" xr:uid="{6EF38435-7F18-4CF1-93DE-B3F82D4B40A8}"/>
    <cellStyle name="Millares 19 2 5 2 2 2" xfId="10541" xr:uid="{C2D55B1B-5868-4866-A8C9-126B7E99A170}"/>
    <cellStyle name="Millares 19 2 5 2 2 2 2" xfId="45701" xr:uid="{7F75879E-128F-475F-97FD-BD70FB682738}"/>
    <cellStyle name="Millares 19 2 5 2 2 3" xfId="13381" xr:uid="{6A66E18A-4623-4865-AE0D-970D23BF5B52}"/>
    <cellStyle name="Millares 19 2 5 2 2 4" xfId="43305" xr:uid="{FAD196DA-7D96-47A2-A5B0-3EFCB30A9D7B}"/>
    <cellStyle name="Millares 19 2 5 2 2 5" xfId="48198" xr:uid="{A83518BF-C27C-4700-A692-E99EC8A52700}"/>
    <cellStyle name="Millares 19 2 5 2 3" xfId="2688" xr:uid="{62778DCB-F42C-482B-85C5-4AD823CE3FF8}"/>
    <cellStyle name="Millares 19 2 5 2 3 2" xfId="10959" xr:uid="{97022183-A249-4CDD-BDB5-B1FEAE20FD45}"/>
    <cellStyle name="Millares 19 2 5 2 3 2 2" xfId="46119" xr:uid="{BD2AD736-AE2A-406F-B449-7A67FF392A79}"/>
    <cellStyle name="Millares 19 2 5 2 3 3" xfId="13799" xr:uid="{78D7954F-C88F-49EC-A3E3-E6A467E32EAC}"/>
    <cellStyle name="Millares 19 2 5 2 3 4" xfId="43723" xr:uid="{1012D340-5C8E-4018-97B9-7AB38E6D899A}"/>
    <cellStyle name="Millares 19 2 5 2 3 5" xfId="48616" xr:uid="{68CDEF52-8F9F-4539-AED7-487696D6E5CF}"/>
    <cellStyle name="Millares 19 2 5 2 4" xfId="3232" xr:uid="{94D9C2A1-A846-46F1-B8FB-40A4F59B9766}"/>
    <cellStyle name="Millares 19 2 5 2 4 2" xfId="11503" xr:uid="{7997FE54-147E-45B6-A376-AF2E6B3BF770}"/>
    <cellStyle name="Millares 19 2 5 2 4 2 2" xfId="46663" xr:uid="{7C7406A0-630C-4634-9CCB-D2189AD11696}"/>
    <cellStyle name="Millares 19 2 5 2 4 3" xfId="14343" xr:uid="{71C7AADE-3725-448D-98C9-7B4B0E56A1D8}"/>
    <cellStyle name="Millares 19 2 5 2 4 4" xfId="44267" xr:uid="{0C9AC6BC-1045-4B31-AE8E-33CD95D57CE3}"/>
    <cellStyle name="Millares 19 2 5 2 4 5" xfId="49160" xr:uid="{FC114C35-1854-4894-AB7B-5757753F116E}"/>
    <cellStyle name="Millares 19 2 5 2 5" xfId="3734" xr:uid="{846062F0-0A48-4A97-B991-9705E25AA13D}"/>
    <cellStyle name="Millares 19 2 5 2 5 2" xfId="11975" xr:uid="{B8DA0CBF-D026-422D-9DD0-E034273B0B43}"/>
    <cellStyle name="Millares 19 2 5 2 5 3" xfId="14815" xr:uid="{C0CDB7D1-1647-4BF6-8471-5A10B958C371}"/>
    <cellStyle name="Millares 19 2 5 2 5 4" xfId="44739" xr:uid="{AC0A998E-7E95-437B-9301-4542ABF3F78A}"/>
    <cellStyle name="Millares 19 2 5 2 5 5" xfId="49632" xr:uid="{8C9FFAFA-B7C4-46BD-A768-89F1E8CDCA25}"/>
    <cellStyle name="Millares 19 2 5 2 6" xfId="9997" xr:uid="{78135738-5ACF-4299-B274-95721A8A8BA8}"/>
    <cellStyle name="Millares 19 2 5 2 6 2" xfId="45157" xr:uid="{10857227-B106-447B-8089-B8BAAFB21B5E}"/>
    <cellStyle name="Millares 19 2 5 2 7" xfId="12837" xr:uid="{A547A970-7978-4BB3-8B73-B0F71DE96CE1}"/>
    <cellStyle name="Millares 19 2 5 2 8" xfId="16180" xr:uid="{D4D2E76E-38EA-433B-82C7-D18A2C953D5B}"/>
    <cellStyle name="Millares 19 2 5 2 9" xfId="16723" xr:uid="{D723F9DF-1C4F-4868-9364-9C8AADE674F6}"/>
    <cellStyle name="Millares 19 2 5 3" xfId="2058" xr:uid="{CA6D79DF-FBB3-42FF-821A-A2A4BDE58846}"/>
    <cellStyle name="Millares 19 2 5 3 2" xfId="10329" xr:uid="{B848A7E9-783F-48B3-ACAD-54B6CAE1C2E9}"/>
    <cellStyle name="Millares 19 2 5 3 2 2" xfId="45489" xr:uid="{EDE49F3A-2D81-4951-8BCA-CB7D4548135D}"/>
    <cellStyle name="Millares 19 2 5 3 3" xfId="13169" xr:uid="{C60B75AF-1542-4421-B328-5F5FD0C2FA89}"/>
    <cellStyle name="Millares 19 2 5 3 4" xfId="43093" xr:uid="{5B42C6D1-BB13-4347-A2AB-F1C702597C3B}"/>
    <cellStyle name="Millares 19 2 5 3 5" xfId="47986" xr:uid="{9D1DDD87-F3F4-4CAB-95FD-AD8CD2388CE2}"/>
    <cellStyle name="Millares 19 2 5 4" xfId="2476" xr:uid="{284347E2-B6E0-457F-887F-86C65569916F}"/>
    <cellStyle name="Millares 19 2 5 4 2" xfId="10747" xr:uid="{0236966E-AD23-4959-9A8C-2A5CC33E088A}"/>
    <cellStyle name="Millares 19 2 5 4 2 2" xfId="45907" xr:uid="{C66F8DD7-CD75-44E1-A47E-7F7CBF853A5E}"/>
    <cellStyle name="Millares 19 2 5 4 3" xfId="13587" xr:uid="{4DDB6056-DF47-4F5A-88FC-3B0276BEC24E}"/>
    <cellStyle name="Millares 19 2 5 4 4" xfId="43511" xr:uid="{EABD324E-C0B8-4E25-84B4-5EED616589F0}"/>
    <cellStyle name="Millares 19 2 5 4 5" xfId="48404" xr:uid="{AFA93283-6BB2-4D53-880F-267C5683644C}"/>
    <cellStyle name="Millares 19 2 5 5" xfId="3020" xr:uid="{DAD3E298-C360-42E2-ADD3-95E064B31D7A}"/>
    <cellStyle name="Millares 19 2 5 5 2" xfId="11291" xr:uid="{6A051628-3C0B-4EB8-B332-D0641972AFA0}"/>
    <cellStyle name="Millares 19 2 5 5 2 2" xfId="46451" xr:uid="{A9BBB2D9-DE53-49A2-A101-150F35B9D63D}"/>
    <cellStyle name="Millares 19 2 5 5 3" xfId="14131" xr:uid="{F6B807D1-4ABD-43AA-B249-B54CD1F40D1F}"/>
    <cellStyle name="Millares 19 2 5 5 4" xfId="44055" xr:uid="{ADC8531B-8499-44D6-B109-E33D36D3F86F}"/>
    <cellStyle name="Millares 19 2 5 5 5" xfId="48948" xr:uid="{70FD84C2-3C9D-42FB-85A3-42FA5327FA36}"/>
    <cellStyle name="Millares 19 2 5 6" xfId="3522" xr:uid="{1FA08B01-2081-46EA-B899-B00A083CF2CE}"/>
    <cellStyle name="Millares 19 2 5 6 2" xfId="11763" xr:uid="{41483671-179B-4E92-8644-D8416A9B65E2}"/>
    <cellStyle name="Millares 19 2 5 6 3" xfId="14603" xr:uid="{5CB47889-39DB-4CD9-8BE1-A449E4BD3141}"/>
    <cellStyle name="Millares 19 2 5 6 4" xfId="44527" xr:uid="{FAA7E388-977B-4C70-A450-C3CA8E83A785}"/>
    <cellStyle name="Millares 19 2 5 6 5" xfId="49420" xr:uid="{8CDAA7A4-0B59-4A14-B0F8-79EA0478B7AF}"/>
    <cellStyle name="Millares 19 2 5 7" xfId="9785" xr:uid="{FD4DD9BB-E55E-4359-8B9C-56D7671A04DC}"/>
    <cellStyle name="Millares 19 2 5 7 2" xfId="44945" xr:uid="{CA0EEDD9-C3F1-412F-A182-D3BBAAF12EB8}"/>
    <cellStyle name="Millares 19 2 5 8" xfId="12625" xr:uid="{7A06EB6D-9F7C-4E7F-BE61-422C7F95C9E4}"/>
    <cellStyle name="Millares 19 2 5 9" xfId="15968" xr:uid="{F60645B2-F40A-4177-AADA-DFEEB84C43E3}"/>
    <cellStyle name="Millares 19 2 6" xfId="353" xr:uid="{00000000-0005-0000-0000-0000E2010000}"/>
    <cellStyle name="Millares 19 2 6 10" xfId="17167" xr:uid="{E343058D-3B84-47D8-889B-F7B3F8E8502E}"/>
    <cellStyle name="Millares 19 2 6 11" xfId="30822" xr:uid="{75AEAD7F-527A-4218-8BEA-936E6A776779}"/>
    <cellStyle name="Millares 19 2 6 12" xfId="18190" xr:uid="{81265A2F-4884-48F8-9181-17BA90425633}"/>
    <cellStyle name="Millares 19 2 6 13" xfId="42661" xr:uid="{CC6FA630-6B6A-4F5C-AEFC-18ADF1181500}"/>
    <cellStyle name="Millares 19 2 6 14" xfId="47554" xr:uid="{74508286-00A2-4839-A35F-22A1F8A6FE6D}"/>
    <cellStyle name="Millares 19 2 6 2" xfId="2170" xr:uid="{FEDB64B1-65D4-4CB8-A424-B688246280EC}"/>
    <cellStyle name="Millares 19 2 6 2 2" xfId="10441" xr:uid="{C6E7009F-7225-4305-90DA-3F2E28971BB5}"/>
    <cellStyle name="Millares 19 2 6 2 2 2" xfId="45601" xr:uid="{F3AD98DB-29D8-4582-9535-B02333030A58}"/>
    <cellStyle name="Millares 19 2 6 2 3" xfId="13281" xr:uid="{26D41952-2EE3-4693-B429-ECE43E0DC5AB}"/>
    <cellStyle name="Millares 19 2 6 2 4" xfId="43205" xr:uid="{CFF4DE85-FC66-4E2A-8C30-2EFE69512502}"/>
    <cellStyle name="Millares 19 2 6 2 5" xfId="48098" xr:uid="{18626DFF-55B2-4142-B490-EA439910677D}"/>
    <cellStyle name="Millares 19 2 6 3" xfId="2588" xr:uid="{587374CD-F8EB-4D09-982A-78A4687DA36C}"/>
    <cellStyle name="Millares 19 2 6 3 2" xfId="10859" xr:uid="{13DDC7FD-7428-49B0-85B1-62E1FB6643C6}"/>
    <cellStyle name="Millares 19 2 6 3 2 2" xfId="46019" xr:uid="{E27D05C3-BD29-4C6E-AF41-EE17A058664E}"/>
    <cellStyle name="Millares 19 2 6 3 3" xfId="13699" xr:uid="{C5D66F7A-2526-4CDE-A4BB-C39DED471457}"/>
    <cellStyle name="Millares 19 2 6 3 4" xfId="43623" xr:uid="{DCA6BEB5-8D86-486E-A00C-7AB23C49A45C}"/>
    <cellStyle name="Millares 19 2 6 3 5" xfId="48516" xr:uid="{2674A04D-9590-450F-BBD5-52ED9C3F7180}"/>
    <cellStyle name="Millares 19 2 6 4" xfId="3132" xr:uid="{AC734165-68BA-43CA-8379-3F4429D0E8E3}"/>
    <cellStyle name="Millares 19 2 6 4 2" xfId="11403" xr:uid="{C4E91B36-34EA-4CAB-B95B-80654F465CC5}"/>
    <cellStyle name="Millares 19 2 6 4 2 2" xfId="46563" xr:uid="{D2AEAB22-E533-466F-BF00-5CA32867BEF9}"/>
    <cellStyle name="Millares 19 2 6 4 3" xfId="14243" xr:uid="{DFD4DBDC-D689-43BC-8A87-3CEFDFBA7A3A}"/>
    <cellStyle name="Millares 19 2 6 4 4" xfId="44167" xr:uid="{33D3D2C1-10B5-49D0-8DB6-11D512BCF99F}"/>
    <cellStyle name="Millares 19 2 6 4 5" xfId="49060" xr:uid="{106CCAF8-AE07-40B8-91D8-AC32C6DFAB5A}"/>
    <cellStyle name="Millares 19 2 6 5" xfId="3634" xr:uid="{0251C47A-86B1-497A-907D-775F68601C26}"/>
    <cellStyle name="Millares 19 2 6 5 2" xfId="11875" xr:uid="{5BE4408C-4DD6-4E9A-8C27-27242BCF81D9}"/>
    <cellStyle name="Millares 19 2 6 5 3" xfId="14715" xr:uid="{B23E6412-EB0B-477D-B8FA-277C5CAF5DEC}"/>
    <cellStyle name="Millares 19 2 6 5 4" xfId="44639" xr:uid="{20BD274C-E4A4-4D92-A4C1-B28416FF5E93}"/>
    <cellStyle name="Millares 19 2 6 5 5" xfId="49532" xr:uid="{533796BC-9F0A-4CCD-A09B-A3EDBAD6CBDD}"/>
    <cellStyle name="Millares 19 2 6 6" xfId="9897" xr:uid="{16E79840-1912-483C-BF18-28AF9BB01C79}"/>
    <cellStyle name="Millares 19 2 6 6 2" xfId="45057" xr:uid="{39680554-FA4C-44C6-AF55-8F4A80AD890B}"/>
    <cellStyle name="Millares 19 2 6 7" xfId="12737" xr:uid="{3AE903E0-31ED-4F34-829B-FB9459D3993D}"/>
    <cellStyle name="Millares 19 2 6 8" xfId="16080" xr:uid="{E6BDB0CF-F643-4086-9C63-0D72FB611A61}"/>
    <cellStyle name="Millares 19 2 6 9" xfId="16623" xr:uid="{18F8B70D-BA7A-443C-8CDB-4950D5E8F81D}"/>
    <cellStyle name="Millares 19 2 7" xfId="556" xr:uid="{00000000-0005-0000-0000-0000E3010000}"/>
    <cellStyle name="Millares 19 2 7 10" xfId="42863" xr:uid="{7F50F200-EEA6-4142-BDD9-FB40F18942C8}"/>
    <cellStyle name="Millares 19 2 7 11" xfId="47756" xr:uid="{D2A8D473-338F-45FD-A659-E791A203A1C7}"/>
    <cellStyle name="Millares 19 2 7 2" xfId="2790" xr:uid="{C396CD5B-FA06-494A-BE9D-308A7D8E1E2A}"/>
    <cellStyle name="Millares 19 2 7 2 2" xfId="11061" xr:uid="{77721FCE-42D9-4624-822E-6AC88FD3A49A}"/>
    <cellStyle name="Millares 19 2 7 2 2 2" xfId="46221" xr:uid="{83AE00A2-0E29-4E25-92A6-4B6B668059EE}"/>
    <cellStyle name="Millares 19 2 7 2 3" xfId="13901" xr:uid="{B24224F2-BF9A-42BB-AE0E-D7860E419B1A}"/>
    <cellStyle name="Millares 19 2 7 2 4" xfId="43825" xr:uid="{9D9BB10A-0E0F-4619-A5B9-B5E371371A7E}"/>
    <cellStyle name="Millares 19 2 7 2 5" xfId="48718" xr:uid="{53F929A9-ABD4-4F2D-9684-F98952A07AF8}"/>
    <cellStyle name="Millares 19 2 7 3" xfId="10099" xr:uid="{DC19A886-6DCC-4470-AAFE-8BB4F990590A}"/>
    <cellStyle name="Millares 19 2 7 3 2" xfId="45259" xr:uid="{B5940D6F-83A4-49FD-8947-165F89D2B24D}"/>
    <cellStyle name="Millares 19 2 7 4" xfId="12939" xr:uid="{CAFE9D6B-79A4-4D9D-B344-EA69AE3F68B3}"/>
    <cellStyle name="Millares 19 2 7 5" xfId="16282" xr:uid="{82611B5F-B375-47B7-A1A2-36FCF5A26E3D}"/>
    <cellStyle name="Millares 19 2 7 6" xfId="16825" xr:uid="{F8AA8136-0024-4D16-8D6D-3CF8C58919B5}"/>
    <cellStyle name="Millares 19 2 7 7" xfId="17369" xr:uid="{212811C4-B95A-4F77-B71F-52A85FCC65C6}"/>
    <cellStyle name="Millares 19 2 7 8" xfId="36702" xr:uid="{B5CA0F03-D3ED-42DF-83BD-8A853219852C}"/>
    <cellStyle name="Millares 19 2 7 9" xfId="18248" xr:uid="{5FF213CD-37E4-49BB-ADED-D4BEF3BC201E}"/>
    <cellStyle name="Millares 19 2 8" xfId="1954" xr:uid="{95366CAC-1731-4A1B-91A4-0564C8E91405}"/>
    <cellStyle name="Millares 19 2 8 2" xfId="10225" xr:uid="{F388B93B-CC0C-4F20-88B4-B2B3ABE8A901}"/>
    <cellStyle name="Millares 19 2 8 2 2" xfId="45385" xr:uid="{16B30FEF-BE73-47C4-930E-D15EA35D32E1}"/>
    <cellStyle name="Millares 19 2 8 3" xfId="13065" xr:uid="{AFBB6844-07A1-49B0-B97B-D46944F3674E}"/>
    <cellStyle name="Millares 19 2 8 4" xfId="42989" xr:uid="{2814B9FB-8FCF-4319-A06D-9DCA771814E5}"/>
    <cellStyle name="Millares 19 2 8 5" xfId="47882" xr:uid="{E5F89531-1C81-4562-9D05-3B54F2747933}"/>
    <cellStyle name="Millares 19 2 9" xfId="2372" xr:uid="{BEF2D6BE-E9AD-420B-A1E8-9B57D2DF8629}"/>
    <cellStyle name="Millares 19 2 9 2" xfId="10643" xr:uid="{24C17683-6BE5-4861-93CF-9ED1BF3174A2}"/>
    <cellStyle name="Millares 19 2 9 2 2" xfId="45803" xr:uid="{B3395DD8-F514-4981-AC23-EB7287C6CE61}"/>
    <cellStyle name="Millares 19 2 9 3" xfId="13483" xr:uid="{57673B17-D230-4AA9-AE6F-AD8B7CC8150F}"/>
    <cellStyle name="Millares 19 2 9 4" xfId="43407" xr:uid="{F78424AA-6157-4395-9D8B-AC2A125626FE}"/>
    <cellStyle name="Millares 19 2 9 5" xfId="48300" xr:uid="{C36C6EBF-BCCD-49BE-B893-A6C1D3D93D20}"/>
    <cellStyle name="Millares 19 3" xfId="317" xr:uid="{00000000-0005-0000-0000-0000E4010000}"/>
    <cellStyle name="Millares 19 3 10" xfId="16601" xr:uid="{BA36CD96-0689-49DD-A622-B42B413139BC}"/>
    <cellStyle name="Millares 19 3 11" xfId="17145" xr:uid="{E3584055-933F-44DA-A86D-9BBB81CFB95E}"/>
    <cellStyle name="Millares 19 3 12" xfId="18221" xr:uid="{25AE3BDC-AF18-4A39-B8D8-385896BFF64C}"/>
    <cellStyle name="Millares 19 3 13" xfId="42639" xr:uid="{35507001-9BCA-47FD-9514-67C593B002AC}"/>
    <cellStyle name="Millares 19 3 14" xfId="47532" xr:uid="{87424C44-00FF-4D37-B24E-574BE0AD248F}"/>
    <cellStyle name="Millares 19 3 2" xfId="2148" xr:uid="{3D1BD05C-6D55-476D-96C1-A26912598B5D}"/>
    <cellStyle name="Millares 19 3 2 2" xfId="8049" xr:uid="{43B874B3-AE60-4180-9A69-834F0CFF3AE4}"/>
    <cellStyle name="Millares 19 3 2 2 2" xfId="45579" xr:uid="{60E8F13F-A2AB-4BB0-A254-27C72E1F5D7F}"/>
    <cellStyle name="Millares 19 3 2 3" xfId="10419" xr:uid="{58C129BF-7714-4CD7-B858-31811C7EB954}"/>
    <cellStyle name="Millares 19 3 2 3 2" xfId="28282" xr:uid="{56CDD885-22E9-42EB-B918-2C522D910D9D}"/>
    <cellStyle name="Millares 19 3 2 4" xfId="13259" xr:uid="{3FE4C68B-D79C-4B9B-BE32-2250CE5AA760}"/>
    <cellStyle name="Millares 19 3 2 4 2" xfId="34164" xr:uid="{9CB8B067-0CAF-421D-B74E-49F30CD3B292}"/>
    <cellStyle name="Millares 19 3 2 5" xfId="40028" xr:uid="{BBD15277-D2B2-4DA5-A3D5-D82B51AEBA42}"/>
    <cellStyle name="Millares 19 3 2 6" xfId="43183" xr:uid="{95CCFA90-E657-4F74-A7D2-0987CE893F68}"/>
    <cellStyle name="Millares 19 3 2 7" xfId="48076" xr:uid="{933CA57A-5CBB-4035-8EED-BF11FD550F17}"/>
    <cellStyle name="Millares 19 3 3" xfId="2566" xr:uid="{62797823-4D60-47ED-A3DB-93020FF1B960}"/>
    <cellStyle name="Millares 19 3 3 2" xfId="10837" xr:uid="{5B74FD81-47F4-42B1-979A-8CCFDBD883EA}"/>
    <cellStyle name="Millares 19 3 3 2 2" xfId="45997" xr:uid="{CF7A36FB-9F5B-4603-9D1F-9DEC24FFE0F0}"/>
    <cellStyle name="Millares 19 3 3 3" xfId="13677" xr:uid="{04EFCA17-5720-48F9-9F88-E026BF47D49D}"/>
    <cellStyle name="Millares 19 3 3 4" xfId="19655" xr:uid="{FD9DFB66-50CE-4591-94CD-15B27E16E5BA}"/>
    <cellStyle name="Millares 19 3 3 5" xfId="43601" xr:uid="{C8C953A9-C01C-4BC2-BB13-D8CD5CEA7799}"/>
    <cellStyle name="Millares 19 3 3 6" xfId="48494" xr:uid="{247E1E84-6764-455F-A2FA-1C25F84F4CAA}"/>
    <cellStyle name="Millares 19 3 4" xfId="3110" xr:uid="{2567A40E-6F49-451E-9951-5FD4E0A2C162}"/>
    <cellStyle name="Millares 19 3 4 2" xfId="11381" xr:uid="{09510314-AE76-48FE-8EB1-A31DBE189141}"/>
    <cellStyle name="Millares 19 3 4 2 2" xfId="46541" xr:uid="{F3C246A9-245E-420C-91A9-2C8D2CEAB4A0}"/>
    <cellStyle name="Millares 19 3 4 3" xfId="14221" xr:uid="{DD86E655-1703-48B6-8BC7-556863168EE7}"/>
    <cellStyle name="Millares 19 3 4 4" xfId="25433" xr:uid="{F2A6F1E5-9D09-42E3-A144-A0C6275ADCCC}"/>
    <cellStyle name="Millares 19 3 4 5" xfId="44145" xr:uid="{ED4B9687-EA2F-4F6D-8EF5-B5B4D84DFCAC}"/>
    <cellStyle name="Millares 19 3 4 6" xfId="49038" xr:uid="{A78F63B3-6316-4D6D-9004-461CC782C890}"/>
    <cellStyle name="Millares 19 3 5" xfId="3612" xr:uid="{09586016-ED73-4DEA-A995-5EFC5A692B82}"/>
    <cellStyle name="Millares 19 3 5 2" xfId="11853" xr:uid="{51997BEB-47B1-4646-AAAD-06D68E337B7C}"/>
    <cellStyle name="Millares 19 3 5 3" xfId="14693" xr:uid="{059CDD70-AFC3-42BF-859D-508FEA420C29}"/>
    <cellStyle name="Millares 19 3 5 4" xfId="31307" xr:uid="{6D04FDFA-C47D-43F8-B0F3-531C520F5DBF}"/>
    <cellStyle name="Millares 19 3 5 5" xfId="44617" xr:uid="{96244D23-9126-4339-B5FD-6EFF990D069F}"/>
    <cellStyle name="Millares 19 3 5 6" xfId="49510" xr:uid="{8E01B6FB-76DD-4490-9893-CB165A93FB12}"/>
    <cellStyle name="Millares 19 3 6" xfId="5182" xr:uid="{9381C83E-ED2C-4D7F-ACEA-A61D79E6D75A}"/>
    <cellStyle name="Millares 19 3 6 2" xfId="45035" xr:uid="{036E8CE2-2119-4BB7-8F64-F11D37DDDC53}"/>
    <cellStyle name="Millares 19 3 7" xfId="9875" xr:uid="{24D788FD-ADE8-46AC-93FE-9F624B7BD1AE}"/>
    <cellStyle name="Millares 19 3 8" xfId="12715" xr:uid="{F8002769-946E-4F98-AF5A-740D01176E6D}"/>
    <cellStyle name="Millares 19 3 9" xfId="16058" xr:uid="{95EC5F31-489A-49C7-8080-53B5446BE8E1}"/>
    <cellStyle name="Millares 19 4" xfId="544" xr:uid="{00000000-0005-0000-0000-0000E5010000}"/>
    <cellStyle name="Millares 19 4 10" xfId="16813" xr:uid="{F809E21E-1137-4F18-A83E-9DCB863D06D1}"/>
    <cellStyle name="Millares 19 4 11" xfId="17357" xr:uid="{F55DEF02-3DE9-4736-B528-E7BCB99F0C8D}"/>
    <cellStyle name="Millares 19 4 12" xfId="18118" xr:uid="{42BC58E7-9772-45E6-8D2E-F958D0F4D57C}"/>
    <cellStyle name="Millares 19 4 13" xfId="42851" xr:uid="{99C4A4C7-CB03-48C9-AD03-6E9C486F81F5}"/>
    <cellStyle name="Millares 19 4 14" xfId="47744" xr:uid="{0BD4111D-F8B0-4E07-8D33-8E5F30F65A90}"/>
    <cellStyle name="Millares 19 4 2" xfId="2360" xr:uid="{4BA7627C-4DD7-432F-8887-80EB390134E2}"/>
    <cellStyle name="Millares 19 4 2 2" xfId="10631" xr:uid="{096BE59B-0663-4A60-88E2-ACFEA1D7D889}"/>
    <cellStyle name="Millares 19 4 2 2 2" xfId="45791" xr:uid="{4D1A6453-5A7D-4651-8AF5-E9A468E26154}"/>
    <cellStyle name="Millares 19 4 2 3" xfId="13471" xr:uid="{3A50208E-F519-47A8-80FF-8C8934FE988C}"/>
    <cellStyle name="Millares 19 4 2 4" xfId="21492" xr:uid="{4D564528-A361-4EA8-A2BD-9506FDCEB367}"/>
    <cellStyle name="Millares 19 4 2 5" xfId="43395" xr:uid="{8B3C9E45-6CB9-4448-81AB-5AA7DA93FAD6}"/>
    <cellStyle name="Millares 19 4 2 6" xfId="48288" xr:uid="{EAA0C7FC-B9FC-4DF2-ABB5-1CA319580FB5}"/>
    <cellStyle name="Millares 19 4 3" xfId="2778" xr:uid="{55EA8AD9-62E6-4977-BD00-FC16FEB8F310}"/>
    <cellStyle name="Millares 19 4 3 2" xfId="11049" xr:uid="{212D09ED-0241-4891-BF63-807468C821FB}"/>
    <cellStyle name="Millares 19 4 3 2 2" xfId="46209" xr:uid="{B4915431-756A-4106-BC2D-EFF87C058BE2}"/>
    <cellStyle name="Millares 19 4 3 3" xfId="13889" xr:uid="{C9F0D0F2-30F1-49DB-A71F-8D90D932139B}"/>
    <cellStyle name="Millares 19 4 3 4" xfId="27312" xr:uid="{DC857A22-81F8-458D-A9CA-499B886EB089}"/>
    <cellStyle name="Millares 19 4 3 5" xfId="43813" xr:uid="{FD5AF70B-E391-4788-9424-DCF26372C54E}"/>
    <cellStyle name="Millares 19 4 3 6" xfId="48706" xr:uid="{04615DD7-0E90-41A8-AFA3-4C9D03010BD4}"/>
    <cellStyle name="Millares 19 4 4" xfId="3322" xr:uid="{3D4D6FA7-8E6C-43B2-AD29-E0F7549F7FB1}"/>
    <cellStyle name="Millares 19 4 4 2" xfId="11593" xr:uid="{778C7B87-E817-4C8F-8907-0FA53F81C418}"/>
    <cellStyle name="Millares 19 4 4 2 2" xfId="46753" xr:uid="{E5C2452D-12C0-4027-BD0F-1CCBC0DED9C5}"/>
    <cellStyle name="Millares 19 4 4 3" xfId="14433" xr:uid="{F16D582F-8109-4154-8D2A-F7216FD7FA39}"/>
    <cellStyle name="Millares 19 4 4 4" xfId="33193" xr:uid="{B3C9C7C2-E3DB-4014-B177-4DA2AA649869}"/>
    <cellStyle name="Millares 19 4 4 5" xfId="44357" xr:uid="{B67B86CC-BB39-4FC5-96A4-A5A7ECD88E9D}"/>
    <cellStyle name="Millares 19 4 4 6" xfId="49250" xr:uid="{9E8821C7-EA68-4285-B4E1-E1A82CA96AE5}"/>
    <cellStyle name="Millares 19 4 5" xfId="3824" xr:uid="{4B819715-F851-415F-9CA8-B2FC798F42C5}"/>
    <cellStyle name="Millares 19 4 5 2" xfId="12065" xr:uid="{0699957F-DCF7-4398-B9AC-81625C8A77C9}"/>
    <cellStyle name="Millares 19 4 5 3" xfId="14905" xr:uid="{3909E3E6-023F-42D0-89CE-36204BD341B6}"/>
    <cellStyle name="Millares 19 4 5 4" xfId="39057" xr:uid="{BB945853-9CC6-40CC-9499-A51378FC3C1D}"/>
    <cellStyle name="Millares 19 4 5 5" xfId="44829" xr:uid="{28BB79F8-7D04-4777-86F6-38368653C382}"/>
    <cellStyle name="Millares 19 4 5 6" xfId="49722" xr:uid="{88BA14D5-0585-49EE-9503-4EA95F5BCD47}"/>
    <cellStyle name="Millares 19 4 6" xfId="7077" xr:uid="{9C99A431-AD7D-4C9C-9C21-012CF7420492}"/>
    <cellStyle name="Millares 19 4 6 2" xfId="45247" xr:uid="{1D781F55-6F39-4878-B64D-EBAE87BB4E97}"/>
    <cellStyle name="Millares 19 4 7" xfId="10087" xr:uid="{38C99769-1285-46B9-BF46-96E1684EF684}"/>
    <cellStyle name="Millares 19 4 8" xfId="12927" xr:uid="{10948AD8-850C-4998-BBB0-E54B4089BEB8}"/>
    <cellStyle name="Millares 19 4 9" xfId="16270" xr:uid="{E0EB466A-D67F-4ECB-98A9-1A7A0AD4421C}"/>
    <cellStyle name="Millares 19 5" xfId="2044" xr:uid="{6A074FAA-715D-4E78-9E0F-8E5C63BE11F1}"/>
    <cellStyle name="Millares 19 5 2" xfId="10315" xr:uid="{5D169A9E-183B-4A38-B16F-ABE80ADDC9EA}"/>
    <cellStyle name="Millares 19 5 2 2" xfId="45475" xr:uid="{E5F5DB32-F877-487C-BFF5-4A17DBCC8B9D}"/>
    <cellStyle name="Millares 19 5 3" xfId="13155" xr:uid="{19307A71-2B42-4775-9431-15835EB431C7}"/>
    <cellStyle name="Millares 19 5 4" xfId="18748" xr:uid="{8AE422E1-1310-4751-AA80-5E6E3DC92FF1}"/>
    <cellStyle name="Millares 19 5 5" xfId="43079" xr:uid="{EAC34F7D-4ABD-483B-A524-819ED080A513}"/>
    <cellStyle name="Millares 19 5 6" xfId="47972" xr:uid="{1E217DC9-88AC-4127-9435-5A79900475EF}"/>
    <cellStyle name="Millares 19 6" xfId="2462" xr:uid="{0DA67176-1701-47E0-BDD6-7F55D4D33213}"/>
    <cellStyle name="Millares 19 6 2" xfId="10733" xr:uid="{57AD9DF3-24D1-48E4-BDC8-3D637A1DDAEF}"/>
    <cellStyle name="Millares 19 6 2 2" xfId="45893" xr:uid="{01FC81FC-7C6A-4D39-9DEB-52815033C0CD}"/>
    <cellStyle name="Millares 19 6 3" xfId="13573" xr:uid="{B2732BE8-97E0-422D-9169-A458666A77AD}"/>
    <cellStyle name="Millares 19 6 4" xfId="24464" xr:uid="{F499EE81-94C6-482D-B1AD-04D3A79FD0EE}"/>
    <cellStyle name="Millares 19 6 5" xfId="43497" xr:uid="{956F8286-A5DB-42CD-8818-0DD52618C032}"/>
    <cellStyle name="Millares 19 6 6" xfId="48390" xr:uid="{CB951999-726D-4D0B-B823-E8C76DEB2348}"/>
    <cellStyle name="Millares 19 7" xfId="3006" xr:uid="{F0BD9F11-569E-4C93-BB60-C680A6C70B3F}"/>
    <cellStyle name="Millares 19 7 2" xfId="11277" xr:uid="{65A92BDB-2A5A-4AF4-9E17-5BD7F0E44D2A}"/>
    <cellStyle name="Millares 19 7 2 2" xfId="46437" xr:uid="{03D7F04B-4CCC-4D8E-A7B0-707D3506C3C7}"/>
    <cellStyle name="Millares 19 7 3" xfId="14117" xr:uid="{C17A7FBF-54A9-4060-AC2E-0C6624D53023}"/>
    <cellStyle name="Millares 19 7 4" xfId="30340" xr:uid="{5839CA56-731A-4327-8CDD-6F00757AD89D}"/>
    <cellStyle name="Millares 19 7 5" xfId="44041" xr:uid="{C8A3CE4E-C6B1-4378-96A7-3FBFAEAF73C4}"/>
    <cellStyle name="Millares 19 7 6" xfId="48934" xr:uid="{4A040F6D-9C00-47EB-8C72-B0C934CA8078}"/>
    <cellStyle name="Millares 19 8" xfId="3345" xr:uid="{CA918F5A-6659-4E7C-8A69-4B3C4EBA9996}"/>
    <cellStyle name="Millares 19 8 2" xfId="36221" xr:uid="{2D2DD9D0-ED8C-4CC7-AFEB-B49273B11CA0}"/>
    <cellStyle name="Millares 19 9" xfId="3508" xr:uid="{11E221DC-3971-40DC-BB45-79933F11F832}"/>
    <cellStyle name="Millares 19 9 2" xfId="11749" xr:uid="{28BB20F2-A2AF-49C5-9BC1-516EDE043F52}"/>
    <cellStyle name="Millares 19 9 3" xfId="14589" xr:uid="{CCD01B40-3E09-4650-ADA1-6CF68D703036}"/>
    <cellStyle name="Millares 19 9 4" xfId="44513" xr:uid="{F4FB0C41-FF26-476F-BB2A-A73C863DB48C}"/>
    <cellStyle name="Millares 19 9 5" xfId="49406" xr:uid="{2207970D-5B2A-4083-A85A-67F6F95EB7B9}"/>
    <cellStyle name="Millares 2" xfId="53" xr:uid="{00000000-0005-0000-0000-0000E6010000}"/>
    <cellStyle name="Millares 2 10" xfId="18335" xr:uid="{7A9A724B-D40A-45F8-99FC-5C2A376DA13F}"/>
    <cellStyle name="Millares 2 10 2" xfId="42163" xr:uid="{FDCA7AEB-4F24-4DE6-83B4-D5B0C4376312}"/>
    <cellStyle name="Millares 2 11" xfId="24046" xr:uid="{41C4FFB9-E034-4119-9200-CFD2FC0F2E74}"/>
    <cellStyle name="Millares 2 11 2" xfId="42164" xr:uid="{54F1BEA3-D5AA-4CAD-AB88-F96EB2D9FD3C}"/>
    <cellStyle name="Millares 2 12" xfId="29924" xr:uid="{7A1559A1-2D22-450D-A0E9-02C855B998AE}"/>
    <cellStyle name="Millares 2 12 2" xfId="42165" xr:uid="{61D8BB8D-30C5-4A2A-B544-70AE3CF7F024}"/>
    <cellStyle name="Millares 2 13" xfId="35805" xr:uid="{D8A5D30C-B6F8-432D-9763-DBBAB926D6C1}"/>
    <cellStyle name="Millares 2 13 2" xfId="42166" xr:uid="{D4223987-6873-4C28-87F8-7ED7B9A16F49}"/>
    <cellStyle name="Millares 2 14" xfId="42167" xr:uid="{31107399-EF75-4EAA-A809-83A39C030619}"/>
    <cellStyle name="Millares 2 15" xfId="42168" xr:uid="{14728DC6-29E4-40A5-B18A-FCF587D59255}"/>
    <cellStyle name="Millares 2 16" xfId="42169" xr:uid="{D47EF2ED-6C39-434A-92E0-543A30589A17}"/>
    <cellStyle name="Millares 2 17" xfId="42170" xr:uid="{0E8553CA-FA00-4B90-988A-57A189DAAA37}"/>
    <cellStyle name="Millares 2 18" xfId="42171" xr:uid="{77DB7ED0-22AC-4EE4-B962-C0AEE8C586AB}"/>
    <cellStyle name="Millares 2 19" xfId="42172" xr:uid="{C3A3FA4E-B901-47B1-85FB-4C398BD1F7C8}"/>
    <cellStyle name="Millares 2 2" xfId="69" xr:uid="{00000000-0005-0000-0000-0000E7010000}"/>
    <cellStyle name="Millares 2 2 10" xfId="1883" xr:uid="{00000000-0005-0000-0000-0000E8010000}"/>
    <cellStyle name="Millares 2 2 10 2" xfId="18345" xr:uid="{C568435F-4F2A-4A89-B794-B7B7FCADE0CB}"/>
    <cellStyle name="Millares 2 2 10 3" xfId="46879" xr:uid="{8E562A03-BEA1-432A-83FF-DEFAED0197A6}"/>
    <cellStyle name="Millares 2 2 10 4" xfId="47051" xr:uid="{7DDB6271-631B-4B83-916C-DADBD90EC376}"/>
    <cellStyle name="Millares 2 2 11" xfId="1949" xr:uid="{6BA24EB8-18BA-47B5-9732-581F14C448F7}"/>
    <cellStyle name="Millares 2 2 11 2" xfId="10220" xr:uid="{B7472928-4B09-4C64-A850-560AE3BDFEEC}"/>
    <cellStyle name="Millares 2 2 11 2 2" xfId="45380" xr:uid="{1AF41A35-F4C0-434B-9177-F9EDE71F2E78}"/>
    <cellStyle name="Millares 2 2 11 3" xfId="13060" xr:uid="{2BB8A380-63C8-4AE8-B666-4FBF1A322B2A}"/>
    <cellStyle name="Millares 2 2 11 4" xfId="24054" xr:uid="{C23DF4EF-9024-43DC-8971-00BBA6F38E9B}"/>
    <cellStyle name="Millares 2 2 11 5" xfId="42984" xr:uid="{8FAA26C7-319B-4AA1-8C0B-597323493D92}"/>
    <cellStyle name="Millares 2 2 11 6" xfId="47877" xr:uid="{138D0859-B060-4381-82F7-A87201A9141D}"/>
    <cellStyle name="Millares 2 2 12" xfId="2367" xr:uid="{5A602C90-3B11-46DC-BF23-614A59FB540B}"/>
    <cellStyle name="Millares 2 2 12 2" xfId="10638" xr:uid="{294ECD25-E02E-4D62-A9D5-AE6E3AF8EA74}"/>
    <cellStyle name="Millares 2 2 12 2 2" xfId="45798" xr:uid="{3F3A5AEF-BBA7-4107-8E0A-9B65CF571324}"/>
    <cellStyle name="Millares 2 2 12 3" xfId="13478" xr:uid="{F90DC9E2-6D45-4886-ABE9-EAA2A268D97B}"/>
    <cellStyle name="Millares 2 2 12 4" xfId="29932" xr:uid="{0C3A4917-79C2-4DB8-9388-67E8F3A6503B}"/>
    <cellStyle name="Millares 2 2 12 5" xfId="43402" xr:uid="{822C05B5-26BA-465C-94C7-D4B52D860428}"/>
    <cellStyle name="Millares 2 2 12 6" xfId="48295" xr:uid="{433E0282-A0E6-43D3-BD44-206C5957F548}"/>
    <cellStyle name="Millares 2 2 13" xfId="2911" xr:uid="{8728BD9F-7D56-40DB-8F28-0A5CBCADD457}"/>
    <cellStyle name="Millares 2 2 13 2" xfId="11182" xr:uid="{E553C375-18DE-4998-9174-124FEF5EF51C}"/>
    <cellStyle name="Millares 2 2 13 2 2" xfId="46342" xr:uid="{4B6FF4A9-8B5A-4F5B-AF6D-0BB7CD68FDB1}"/>
    <cellStyle name="Millares 2 2 13 3" xfId="14022" xr:uid="{6440C894-E20C-461F-804F-F25EFABCA157}"/>
    <cellStyle name="Millares 2 2 13 4" xfId="35813" xr:uid="{FECE2A0D-F11A-4A6A-B72E-40A7F11C51FD}"/>
    <cellStyle name="Millares 2 2 13 5" xfId="43946" xr:uid="{2EF17B65-E597-44C0-90B9-AD64076DFC44}"/>
    <cellStyle name="Millares 2 2 13 6" xfId="48839" xr:uid="{83D3D632-25F1-4A5B-92EE-0A61F69A7E28}"/>
    <cellStyle name="Millares 2 2 14" xfId="3413" xr:uid="{4B2C34A2-1BCD-4E5F-9089-377B4F3F2D98}"/>
    <cellStyle name="Millares 2 2 14 2" xfId="11654" xr:uid="{EBB57F1C-418E-4D4B-BA73-4F804D576346}"/>
    <cellStyle name="Millares 2 2 14 3" xfId="14494" xr:uid="{46A0A86A-63B3-4E66-A552-A3373F35E281}"/>
    <cellStyle name="Millares 2 2 14 4" xfId="42050" xr:uid="{5458A1AB-E515-41C9-903D-E01FC349AB3B}"/>
    <cellStyle name="Millares 2 2 14 5" xfId="44418" xr:uid="{90DF3BDA-A2DC-4262-BFA1-72B2CB4ABA87}"/>
    <cellStyle name="Millares 2 2 14 6" xfId="49311" xr:uid="{1597516B-12ED-4912-AB57-D68D61CDC932}"/>
    <cellStyle name="Millares 2 2 15" xfId="3833" xr:uid="{E223F9D7-24E9-49E9-B955-144759CB5095}"/>
    <cellStyle name="Millares 2 2 15 2" xfId="44836" xr:uid="{97657691-37E5-4AD0-8596-6984E6EC0C48}"/>
    <cellStyle name="Millares 2 2 16" xfId="9676" xr:uid="{9BC81F76-DA70-4C5C-8AB2-9F0147B0FEC1}"/>
    <cellStyle name="Millares 2 2 17" xfId="12516" xr:uid="{015264C0-937F-4423-9ADF-A5CDFF0DCC11}"/>
    <cellStyle name="Millares 2 2 18" xfId="15858" xr:uid="{8152A76D-B2B4-467C-9DE4-DE4E2C8270F0}"/>
    <cellStyle name="Millares 2 2 19" xfId="16402" xr:uid="{725B9235-4DD3-4E41-9B87-136479189FA9}"/>
    <cellStyle name="Millares 2 2 2" xfId="99" xr:uid="{00000000-0005-0000-0000-0000E9010000}"/>
    <cellStyle name="Millares 2 2 2 10" xfId="2923" xr:uid="{73A8BEEB-5523-46BC-9C18-A70268E6A021}"/>
    <cellStyle name="Millares 2 2 2 10 2" xfId="11194" xr:uid="{F9C1D207-D2FA-4DF5-9BB0-03F30DBBCEC0}"/>
    <cellStyle name="Millares 2 2 2 10 2 2" xfId="46354" xr:uid="{ADDCF7F1-BFEA-4247-96DE-09718546B705}"/>
    <cellStyle name="Millares 2 2 2 10 3" xfId="14034" xr:uid="{69EE4D4F-1B56-442A-B2A7-12C23F995440}"/>
    <cellStyle name="Millares 2 2 2 10 4" xfId="42173" xr:uid="{561D0581-6C96-461E-9946-79068179A451}"/>
    <cellStyle name="Millares 2 2 2 10 5" xfId="43958" xr:uid="{AC2E116E-9FA3-4A6D-9049-C0A39587D6F9}"/>
    <cellStyle name="Millares 2 2 2 10 6" xfId="48851" xr:uid="{E20BD37D-843D-41DD-A871-C6BA1F8FBC4C}"/>
    <cellStyle name="Millares 2 2 2 11" xfId="3365" xr:uid="{8E568B62-28EC-44E8-8F43-222392B6421B}"/>
    <cellStyle name="Millares 2 2 2 11 2" xfId="11615" xr:uid="{A29DB2F7-D45B-49E0-9D8B-72515F160BDF}"/>
    <cellStyle name="Millares 2 2 2 11 2 2" xfId="46775" xr:uid="{9C13A1ED-AD32-4F26-9EFA-83AE567FB84A}"/>
    <cellStyle name="Millares 2 2 2 11 3" xfId="14455" xr:uid="{18BD1DD1-2FB2-472D-B5F3-FE414CA3EE87}"/>
    <cellStyle name="Millares 2 2 2 11 4" xfId="42174" xr:uid="{F5E52486-A672-4B16-B6B7-EAE02FDFFC5A}"/>
    <cellStyle name="Millares 2 2 2 11 5" xfId="44379" xr:uid="{FA6C4D3A-7ABC-4F40-9F89-4515BECFCA0D}"/>
    <cellStyle name="Millares 2 2 2 11 6" xfId="49272" xr:uid="{D9C9EA53-AB5E-4DA6-842D-4BF163269B14}"/>
    <cellStyle name="Millares 2 2 2 12" xfId="3425" xr:uid="{9534181B-E61F-46F5-9EB6-0E791B315734}"/>
    <cellStyle name="Millares 2 2 2 12 2" xfId="11666" xr:uid="{E61DCFD3-CFC1-4923-9AB3-1421C46D5E81}"/>
    <cellStyle name="Millares 2 2 2 12 3" xfId="14506" xr:uid="{CE1F5608-957C-4AF4-BF0D-89B2FA6D6E53}"/>
    <cellStyle name="Millares 2 2 2 12 4" xfId="42175" xr:uid="{52788EC1-B3A5-4160-BB6E-4DE74CF85D48}"/>
    <cellStyle name="Millares 2 2 2 12 5" xfId="44430" xr:uid="{216C7438-5E63-462F-8619-E642EE72D573}"/>
    <cellStyle name="Millares 2 2 2 12 6" xfId="49323" xr:uid="{7FAA728C-1EA9-401D-8D73-98014051F8E7}"/>
    <cellStyle name="Millares 2 2 2 13" xfId="4029" xr:uid="{80B96132-0E22-4884-9761-38154EBB963A}"/>
    <cellStyle name="Millares 2 2 2 13 2" xfId="42176" xr:uid="{EAE15240-BDEC-4D7F-9994-A1C0C231CB8A}"/>
    <cellStyle name="Millares 2 2 2 13 3" xfId="44848" xr:uid="{492EBE46-DB68-4DE0-B19E-D8167815C17D}"/>
    <cellStyle name="Millares 2 2 2 14" xfId="9642" xr:uid="{11B5D762-B1F2-4BE6-8439-37F66C70AFA5}"/>
    <cellStyle name="Millares 2 2 2 14 2" xfId="12482" xr:uid="{A7A5135E-BCF7-4DD5-BD8B-FD295A7E1492}"/>
    <cellStyle name="Millares 2 2 2 14 3" xfId="15323" xr:uid="{72E908D0-DE7D-4E16-B98A-6E8D4D5E0C44}"/>
    <cellStyle name="Millares 2 2 2 14 4" xfId="42177" xr:uid="{D4CD954F-734A-4AF0-9360-1700CCAEDE1A}"/>
    <cellStyle name="Millares 2 2 2 14 5" xfId="50139" xr:uid="{7E0440EF-0391-4B59-951C-979F1F861815}"/>
    <cellStyle name="Millares 2 2 2 15" xfId="9688" xr:uid="{3433ED24-7BAB-46B2-B20C-56792165916B}"/>
    <cellStyle name="Millares 2 2 2 15 2" xfId="42178" xr:uid="{D08A62F4-4448-433F-A7DA-B877EBA5E158}"/>
    <cellStyle name="Millares 2 2 2 16" xfId="12528" xr:uid="{BFA2A441-DE12-4997-917E-C49332D9FA7C}"/>
    <cellStyle name="Millares 2 2 2 16 2" xfId="42179" xr:uid="{9F787582-6F88-40FF-8FF1-C717BD34756D}"/>
    <cellStyle name="Millares 2 2 2 17" xfId="15871" xr:uid="{BC6EB840-97A9-4D86-8DAC-7EEEC7FE2C5B}"/>
    <cellStyle name="Millares 2 2 2 18" xfId="16414" xr:uid="{CFB68D38-D001-4311-85EA-77855D107B64}"/>
    <cellStyle name="Millares 2 2 2 19" xfId="16958" xr:uid="{056E12EC-BAFD-45BF-954A-9692E82EF7B5}"/>
    <cellStyle name="Millares 2 2 2 2" xfId="194" xr:uid="{00000000-0005-0000-0000-0000EA010000}"/>
    <cellStyle name="Millares 2 2 2 2 10" xfId="9757" xr:uid="{00ECD26D-01FB-4DED-8C66-355B35C6228A}"/>
    <cellStyle name="Millares 2 2 2 2 10 2" xfId="47113" xr:uid="{6CC9326C-80D9-4452-8526-7B428FBDAC86}"/>
    <cellStyle name="Millares 2 2 2 2 11" xfId="12597" xr:uid="{39E5F8B3-B48F-47E4-AA50-CD1565038241}"/>
    <cellStyle name="Millares 2 2 2 2 12" xfId="15940" xr:uid="{85965B61-7EFB-46F1-B11E-F9E2CE3825EE}"/>
    <cellStyle name="Millares 2 2 2 2 13" xfId="16483" xr:uid="{409AAC9A-C4CB-48D0-ACCA-5780ED136B02}"/>
    <cellStyle name="Millares 2 2 2 2 14" xfId="17027" xr:uid="{9DF70606-A2E7-45C5-AAD7-7116D0BF93BD}"/>
    <cellStyle name="Millares 2 2 2 2 15" xfId="17621" xr:uid="{DA6CA174-5280-40C0-B14E-722FC66F8FAE}"/>
    <cellStyle name="Millares 2 2 2 2 16" xfId="42098" xr:uid="{AEE8143A-48FE-4CC1-ACE7-D06BB4BCFC0F}"/>
    <cellStyle name="Millares 2 2 2 2 17" xfId="42521" xr:uid="{B284216C-3856-4155-8099-FE99EFF63F96}"/>
    <cellStyle name="Millares 2 2 2 2 18" xfId="47414" xr:uid="{0978C881-D133-451A-A961-BB98654AA246}"/>
    <cellStyle name="Millares 2 2 2 2 19" xfId="50220" xr:uid="{4BD5FB00-A23D-42BC-9541-BEC85EE5BAA3}"/>
    <cellStyle name="Millares 2 2 2 2 2" xfId="303" xr:uid="{00000000-0005-0000-0000-0000EB010000}"/>
    <cellStyle name="Millares 2 2 2 2 2 10" xfId="16044" xr:uid="{527A9DFA-2802-4CF3-9F19-E52D56BB169C}"/>
    <cellStyle name="Millares 2 2 2 2 2 11" xfId="16587" xr:uid="{D683DEC4-A3BC-4FEA-8FB2-65C73C1B4005}"/>
    <cellStyle name="Millares 2 2 2 2 2 12" xfId="17131" xr:uid="{29AC14D6-4B2F-4C59-BF51-FEA1E2683F0C}"/>
    <cellStyle name="Millares 2 2 2 2 2 13" xfId="18237" xr:uid="{94B45C74-78BA-4234-85BE-C8E00AB9D1C1}"/>
    <cellStyle name="Millares 2 2 2 2 2 14" xfId="42625" xr:uid="{89DD7FBA-C2D5-4868-AD2B-D3C143504C20}"/>
    <cellStyle name="Millares 2 2 2 2 2 15" xfId="46880" xr:uid="{1DE4250C-70AE-4018-BDE5-E4E2E88E0A20}"/>
    <cellStyle name="Millares 2 2 2 2 2 16" xfId="47518" xr:uid="{2D5CA46A-D94A-4E3E-85C9-5C4C306A4465}"/>
    <cellStyle name="Millares 2 2 2 2 2 17" xfId="50366" xr:uid="{BB08F3D1-086E-4E08-A61F-51FF13158453}"/>
    <cellStyle name="Millares 2 2 2 2 2 2" xfId="530" xr:uid="{00000000-0005-0000-0000-0000EC010000}"/>
    <cellStyle name="Millares 2 2 2 2 2 2 10" xfId="16799" xr:uid="{134D02F0-F2C5-4642-A93F-786A7192725B}"/>
    <cellStyle name="Millares 2 2 2 2 2 2 11" xfId="17343" xr:uid="{0822BC83-F99B-44DD-A79D-D6BBB6C15DAD}"/>
    <cellStyle name="Millares 2 2 2 2 2 2 12" xfId="17644" xr:uid="{4EC308A3-23E0-4C7D-B40B-80F3BC6AAAC3}"/>
    <cellStyle name="Millares 2 2 2 2 2 2 13" xfId="42837" xr:uid="{F3D4B97B-35D3-4034-8CAF-8E94B588B4C5}"/>
    <cellStyle name="Millares 2 2 2 2 2 2 14" xfId="47730" xr:uid="{6ED659DF-982E-4FBF-AA1A-F33A3FDD0964}"/>
    <cellStyle name="Millares 2 2 2 2 2 2 2" xfId="2346" xr:uid="{1E8389F9-FA76-4020-8FCD-A7027A8F06F9}"/>
    <cellStyle name="Millares 2 2 2 2 2 2 2 2" xfId="10617" xr:uid="{1DD01B7D-1AE6-43D0-A314-EEFF2F1BEBCA}"/>
    <cellStyle name="Millares 2 2 2 2 2 2 2 2 2" xfId="45777" xr:uid="{4015D1E4-41E0-4F38-BE8F-1619609C55F2}"/>
    <cellStyle name="Millares 2 2 2 2 2 2 2 3" xfId="13457" xr:uid="{25C11085-9546-4282-8F07-6493FB58E7AC}"/>
    <cellStyle name="Millares 2 2 2 2 2 2 2 4" xfId="22713" xr:uid="{63259DBA-386E-4352-8352-4F08579AA15F}"/>
    <cellStyle name="Millares 2 2 2 2 2 2 2 5" xfId="43381" xr:uid="{AEA53149-4BDD-4FF4-98E4-5D1BFDDB42C2}"/>
    <cellStyle name="Millares 2 2 2 2 2 2 2 6" xfId="48274" xr:uid="{ED56002F-DAE5-4BD1-8C78-4A31B9887E3D}"/>
    <cellStyle name="Millares 2 2 2 2 2 2 3" xfId="2764" xr:uid="{024D921A-EFAE-45D6-A340-CF573CB34400}"/>
    <cellStyle name="Millares 2 2 2 2 2 2 3 2" xfId="11035" xr:uid="{5C782223-24CB-4F44-AD30-BFF322E1070C}"/>
    <cellStyle name="Millares 2 2 2 2 2 2 3 2 2" xfId="46195" xr:uid="{223840D0-BD1F-4500-A59D-783314352505}"/>
    <cellStyle name="Millares 2 2 2 2 2 2 3 3" xfId="13875" xr:uid="{AEF12673-9AA3-4DC0-A22A-9C950434B5CB}"/>
    <cellStyle name="Millares 2 2 2 2 2 2 3 4" xfId="28571" xr:uid="{F9BB503A-C7E6-434A-A809-E193DB0F8715}"/>
    <cellStyle name="Millares 2 2 2 2 2 2 3 5" xfId="43799" xr:uid="{1AAB001A-C49E-458B-BAD2-B8D375D71A52}"/>
    <cellStyle name="Millares 2 2 2 2 2 2 3 6" xfId="48692" xr:uid="{59DEB16E-DCDD-440D-9C6A-72BCF6E75652}"/>
    <cellStyle name="Millares 2 2 2 2 2 2 4" xfId="3308" xr:uid="{59647575-C4B5-4F68-A46D-BF8706AE195A}"/>
    <cellStyle name="Millares 2 2 2 2 2 2 4 2" xfId="11579" xr:uid="{BE3EBAD6-200F-4A47-98FB-455DDDF9E20B}"/>
    <cellStyle name="Millares 2 2 2 2 2 2 4 2 2" xfId="46739" xr:uid="{7F63FDD2-B5D2-467C-B550-7C009306A95B}"/>
    <cellStyle name="Millares 2 2 2 2 2 2 4 3" xfId="14419" xr:uid="{4FE5A6CF-583C-482E-B915-517A9C63990D}"/>
    <cellStyle name="Millares 2 2 2 2 2 2 4 4" xfId="34453" xr:uid="{8A7FB6AA-0D5E-462C-B4DD-1E17321D7769}"/>
    <cellStyle name="Millares 2 2 2 2 2 2 4 5" xfId="44343" xr:uid="{F632162B-05D5-409C-8177-CCF14CD29418}"/>
    <cellStyle name="Millares 2 2 2 2 2 2 4 6" xfId="49236" xr:uid="{0C60C98F-44AA-4BA8-BB02-41EF250F5682}"/>
    <cellStyle name="Millares 2 2 2 2 2 2 5" xfId="3810" xr:uid="{8218E18F-83E2-4E57-BA84-C2B34AC0EF15}"/>
    <cellStyle name="Millares 2 2 2 2 2 2 5 2" xfId="12051" xr:uid="{1C95316C-D737-4BFD-BFFD-C4A1A874D7BB}"/>
    <cellStyle name="Millares 2 2 2 2 2 2 5 3" xfId="14891" xr:uid="{FA1611E9-8CAC-4975-87A8-B8DC86B7AEA6}"/>
    <cellStyle name="Millares 2 2 2 2 2 2 5 4" xfId="40317" xr:uid="{C3494AFF-DD67-43AA-8EEF-B97AF14B3ED5}"/>
    <cellStyle name="Millares 2 2 2 2 2 2 5 5" xfId="44815" xr:uid="{348549DD-E6E2-44E4-9FE2-BFDCAF73FB86}"/>
    <cellStyle name="Millares 2 2 2 2 2 2 5 6" xfId="49708" xr:uid="{C9289400-1ADD-4F15-B2DA-14570701BD6A}"/>
    <cellStyle name="Millares 2 2 2 2 2 2 6" xfId="8338" xr:uid="{1FF1459B-0C74-409A-8B57-EB80D7678E21}"/>
    <cellStyle name="Millares 2 2 2 2 2 2 6 2" xfId="45233" xr:uid="{FB18D517-264B-472D-8027-079880B45520}"/>
    <cellStyle name="Millares 2 2 2 2 2 2 7" xfId="10073" xr:uid="{37CB979E-CDF5-4B1D-8E9A-F9CC88CC9D13}"/>
    <cellStyle name="Millares 2 2 2 2 2 2 8" xfId="12913" xr:uid="{8F095BE6-AB81-47EF-9E8F-7799A08B50B8}"/>
    <cellStyle name="Millares 2 2 2 2 2 2 9" xfId="16256" xr:uid="{DDDC1028-D302-4D66-8A74-F72E8C314E7C}"/>
    <cellStyle name="Millares 2 2 2 2 2 3" xfId="2134" xr:uid="{47E005F6-1C90-4440-A839-716AB405FD12}"/>
    <cellStyle name="Millares 2 2 2 2 2 3 2" xfId="10405" xr:uid="{46A133D6-4E37-47CD-916B-F9963B27C8C8}"/>
    <cellStyle name="Millares 2 2 2 2 2 3 2 2" xfId="45565" xr:uid="{B4C328A0-4C47-45FC-87E1-4DD9366F6D6D}"/>
    <cellStyle name="Millares 2 2 2 2 2 3 3" xfId="13245" xr:uid="{DFA8A9C7-4207-49F9-944F-9635E0982390}"/>
    <cellStyle name="Millares 2 2 2 2 2 3 4" xfId="19933" xr:uid="{1E021A83-E02B-4C3D-BA53-8C14DDD4349F}"/>
    <cellStyle name="Millares 2 2 2 2 2 3 5" xfId="43169" xr:uid="{0EE2040C-ECFD-4EF8-9CAF-C87A068680F6}"/>
    <cellStyle name="Millares 2 2 2 2 2 3 6" xfId="48062" xr:uid="{60FDA20F-5168-46B7-80A3-77A1173C02E3}"/>
    <cellStyle name="Millares 2 2 2 2 2 4" xfId="2552" xr:uid="{A4A57786-7191-4EB7-9041-40E701F8C1A7}"/>
    <cellStyle name="Millares 2 2 2 2 2 4 2" xfId="10823" xr:uid="{B26B1D60-5218-42AC-BF2D-238E1FE4A89E}"/>
    <cellStyle name="Millares 2 2 2 2 2 4 2 2" xfId="45983" xr:uid="{7E807DC2-647C-498E-8D0E-07BF7C5FACDB}"/>
    <cellStyle name="Millares 2 2 2 2 2 4 3" xfId="13663" xr:uid="{02BF605C-3FD8-483A-A5BB-AD85FD3DDF60}"/>
    <cellStyle name="Millares 2 2 2 2 2 4 4" xfId="25722" xr:uid="{4EF76645-3D20-4AF3-8DD6-DD259C53404C}"/>
    <cellStyle name="Millares 2 2 2 2 2 4 5" xfId="43587" xr:uid="{B34DA43E-128F-42EE-83C1-3774E46EE729}"/>
    <cellStyle name="Millares 2 2 2 2 2 4 6" xfId="48480" xr:uid="{1C6A373C-BDF0-4471-B498-4F5D0347880A}"/>
    <cellStyle name="Millares 2 2 2 2 2 5" xfId="3096" xr:uid="{AE112E4F-5E9F-4EFF-B1F8-32DF1695286B}"/>
    <cellStyle name="Millares 2 2 2 2 2 5 2" xfId="11367" xr:uid="{43428CEA-4719-4821-95DC-94FC3D2415B8}"/>
    <cellStyle name="Millares 2 2 2 2 2 5 2 2" xfId="46527" xr:uid="{98C05EAE-17B0-4F02-B485-44D37905A052}"/>
    <cellStyle name="Millares 2 2 2 2 2 5 3" xfId="14207" xr:uid="{F72E4C60-8AD4-409D-B2BD-FFBBE06290A8}"/>
    <cellStyle name="Millares 2 2 2 2 2 5 4" xfId="31596" xr:uid="{E0421986-229F-455E-9345-C16B76AED631}"/>
    <cellStyle name="Millares 2 2 2 2 2 5 5" xfId="44131" xr:uid="{B05FB7E5-6C28-4175-A4F6-6D4553919DC9}"/>
    <cellStyle name="Millares 2 2 2 2 2 5 6" xfId="49024" xr:uid="{0FCA4094-A5AF-4677-9D1E-D8017E11F35D}"/>
    <cellStyle name="Millares 2 2 2 2 2 6" xfId="3598" xr:uid="{B331F305-050C-4A9A-AA8F-D67E2483EC3E}"/>
    <cellStyle name="Millares 2 2 2 2 2 6 2" xfId="11839" xr:uid="{72B968AA-565B-41BC-9B2E-CD624FF502B2}"/>
    <cellStyle name="Millares 2 2 2 2 2 6 3" xfId="14679" xr:uid="{8CC21664-C419-4A1F-86A7-97BE060D914D}"/>
    <cellStyle name="Millares 2 2 2 2 2 6 4" xfId="37466" xr:uid="{56468F6A-D745-4129-9B27-F5CBDF0E92EF}"/>
    <cellStyle name="Millares 2 2 2 2 2 6 5" xfId="44603" xr:uid="{9FC237D6-E461-4BA9-9652-ADC2213E7648}"/>
    <cellStyle name="Millares 2 2 2 2 2 6 6" xfId="49496" xr:uid="{6A035568-240F-44A7-88B4-79C924BA5EB4}"/>
    <cellStyle name="Millares 2 2 2 2 2 7" xfId="5471" xr:uid="{5F656490-DEC9-4D9F-B867-425E0E6A680C}"/>
    <cellStyle name="Millares 2 2 2 2 2 7 2" xfId="45021" xr:uid="{F8F3BDA2-091D-4E73-B686-EBC9DE9B1A7D}"/>
    <cellStyle name="Millares 2 2 2 2 2 7 3" xfId="47274" xr:uid="{7F5054BA-A009-481D-A724-B3C316770FDB}"/>
    <cellStyle name="Millares 2 2 2 2 2 8" xfId="9861" xr:uid="{10B54AE0-0753-4B3A-8CE5-C7DD41564407}"/>
    <cellStyle name="Millares 2 2 2 2 2 8 2" xfId="47136" xr:uid="{E082DD36-3FC0-49CA-909E-B2182AB0A30D}"/>
    <cellStyle name="Millares 2 2 2 2 2 9" xfId="12701" xr:uid="{2C619B45-12F6-4B5C-99C6-CA03B9282E54}"/>
    <cellStyle name="Millares 2 2 2 2 20" xfId="50294" xr:uid="{8514C814-5795-4597-965F-C8CF515E0F18}"/>
    <cellStyle name="Millares 2 2 2 2 3" xfId="429" xr:uid="{00000000-0005-0000-0000-0000ED010000}"/>
    <cellStyle name="Millares 2 2 2 2 3 10" xfId="16699" xr:uid="{E7BE79FC-8A89-4F23-B723-98AD94B51598}"/>
    <cellStyle name="Millares 2 2 2 2 3 11" xfId="17243" xr:uid="{012BCF25-E212-4D0D-A21D-24A14C4D1535}"/>
    <cellStyle name="Millares 2 2 2 2 3 12" xfId="17679" xr:uid="{90113585-B7C1-4B2C-9A07-CB337AED9E2B}"/>
    <cellStyle name="Millares 2 2 2 2 3 13" xfId="42737" xr:uid="{99316FD7-6B8E-430A-ACF8-32EBB013A6D7}"/>
    <cellStyle name="Millares 2 2 2 2 3 14" xfId="47630" xr:uid="{10CAFB46-15F4-47C3-A314-CD25F25BA8A1}"/>
    <cellStyle name="Millares 2 2 2 2 3 2" xfId="2246" xr:uid="{9B132FC5-067D-4C91-B186-6DE4D890A8B0}"/>
    <cellStyle name="Millares 2 2 2 2 3 2 2" xfId="10517" xr:uid="{B78FE746-A421-4C48-BA7A-66E559EA86AF}"/>
    <cellStyle name="Millares 2 2 2 2 3 2 2 2" xfId="45677" xr:uid="{DABB570F-18D5-4674-A45C-FBCB2ADDF132}"/>
    <cellStyle name="Millares 2 2 2 2 3 2 3" xfId="13357" xr:uid="{5047D69F-F2F6-4203-8CA1-A13F97A41ECF}"/>
    <cellStyle name="Millares 2 2 2 2 3 2 4" xfId="21768" xr:uid="{D73FCD8B-66D2-4D2F-AEB2-82AFD0DC5915}"/>
    <cellStyle name="Millares 2 2 2 2 3 2 5" xfId="43281" xr:uid="{186C4504-EE64-4CCE-8A28-4785228A60B9}"/>
    <cellStyle name="Millares 2 2 2 2 3 2 6" xfId="48174" xr:uid="{7C7EBFE5-69C1-49FE-9E0E-8D25C5060A0A}"/>
    <cellStyle name="Millares 2 2 2 2 3 3" xfId="2664" xr:uid="{29E284E6-BD4E-44B6-8D8B-9D7954BB65A8}"/>
    <cellStyle name="Millares 2 2 2 2 3 3 2" xfId="10935" xr:uid="{EBB4EC3E-1764-4F7E-A03A-FC4F4532347F}"/>
    <cellStyle name="Millares 2 2 2 2 3 3 2 2" xfId="46095" xr:uid="{B16F647B-2DAA-444E-87F1-1B6F046ABB47}"/>
    <cellStyle name="Millares 2 2 2 2 3 3 3" xfId="13775" xr:uid="{E9557E98-73AE-42A0-A837-C8EF332F4A13}"/>
    <cellStyle name="Millares 2 2 2 2 3 3 4" xfId="27600" xr:uid="{6937D596-E272-4228-A6AC-2C755319B7BF}"/>
    <cellStyle name="Millares 2 2 2 2 3 3 5" xfId="43699" xr:uid="{9EBCCF6C-80E0-4AD7-AF25-17F7E7F0E201}"/>
    <cellStyle name="Millares 2 2 2 2 3 3 6" xfId="48592" xr:uid="{4FDE3533-F634-4F8F-BE29-FC67D7EBB0F2}"/>
    <cellStyle name="Millares 2 2 2 2 3 4" xfId="3208" xr:uid="{C2F22377-CE27-4AB6-9793-3CF61393DB0D}"/>
    <cellStyle name="Millares 2 2 2 2 3 4 2" xfId="11479" xr:uid="{B60138D7-E4E9-472C-A81B-3F601056C65C}"/>
    <cellStyle name="Millares 2 2 2 2 3 4 2 2" xfId="46639" xr:uid="{14903162-7ED5-4872-8E3A-42EFF2315B3B}"/>
    <cellStyle name="Millares 2 2 2 2 3 4 3" xfId="14319" xr:uid="{767C5FC8-013E-4BE2-B83D-796024322169}"/>
    <cellStyle name="Millares 2 2 2 2 3 4 4" xfId="33482" xr:uid="{91196EFB-91C1-4894-BA2D-8F9A2F705660}"/>
    <cellStyle name="Millares 2 2 2 2 3 4 5" xfId="44243" xr:uid="{B7CD07F6-299E-438A-AEC0-06B455F4A520}"/>
    <cellStyle name="Millares 2 2 2 2 3 4 6" xfId="49136" xr:uid="{0632A070-D143-4B73-BABC-5954934239A9}"/>
    <cellStyle name="Millares 2 2 2 2 3 5" xfId="3710" xr:uid="{48B95509-E2F8-44AE-9558-A17EE740E124}"/>
    <cellStyle name="Millares 2 2 2 2 3 5 2" xfId="11951" xr:uid="{66A3BFBB-912A-4698-A9F8-08BD4A68CDCF}"/>
    <cellStyle name="Millares 2 2 2 2 3 5 3" xfId="14791" xr:uid="{F4C96BBC-B05E-4F08-B014-3EAAB1E93EC1}"/>
    <cellStyle name="Millares 2 2 2 2 3 5 4" xfId="39346" xr:uid="{A5FA2E2D-0B15-46D1-8860-FB98E854280F}"/>
    <cellStyle name="Millares 2 2 2 2 3 5 5" xfId="44715" xr:uid="{5ED2D931-ED9A-4A7D-8C11-F966C15834C0}"/>
    <cellStyle name="Millares 2 2 2 2 3 5 6" xfId="49608" xr:uid="{44F92A8B-81E6-4BFC-9AB1-80EC328BE56B}"/>
    <cellStyle name="Millares 2 2 2 2 3 6" xfId="7366" xr:uid="{7726066C-8733-4487-98EE-77306A8B4F62}"/>
    <cellStyle name="Millares 2 2 2 2 3 6 2" xfId="45133" xr:uid="{708177A6-2C67-43A3-BF5B-E3CB8EC2330B}"/>
    <cellStyle name="Millares 2 2 2 2 3 7" xfId="9973" xr:uid="{80801DA7-6E35-4E9C-A3B0-297C02A95783}"/>
    <cellStyle name="Millares 2 2 2 2 3 8" xfId="12813" xr:uid="{411F65E7-E7D9-406A-8493-E117813FD5E2}"/>
    <cellStyle name="Millares 2 2 2 2 3 9" xfId="16156" xr:uid="{17D6DECD-D056-4844-8434-C04ADFD37393}"/>
    <cellStyle name="Millares 2 2 2 2 4" xfId="632" xr:uid="{00000000-0005-0000-0000-0000EE010000}"/>
    <cellStyle name="Millares 2 2 2 2 4 10" xfId="42939" xr:uid="{2C416710-F26E-4C20-964D-755A454C5624}"/>
    <cellStyle name="Millares 2 2 2 2 4 11" xfId="47832" xr:uid="{9112712C-9216-48CB-9642-8C84B5259BEE}"/>
    <cellStyle name="Millares 2 2 2 2 4 2" xfId="2866" xr:uid="{2DAAD805-BA41-4E37-B535-5953A76A83E8}"/>
    <cellStyle name="Millares 2 2 2 2 4 2 2" xfId="11137" xr:uid="{98C186F6-043C-4D76-AA7B-A2E804537B23}"/>
    <cellStyle name="Millares 2 2 2 2 4 2 2 2" xfId="46297" xr:uid="{CD6CC260-EC81-499F-B0C6-66DEF6201B92}"/>
    <cellStyle name="Millares 2 2 2 2 4 2 3" xfId="13977" xr:uid="{CF957081-E214-499B-BE6F-11DF7CA839A8}"/>
    <cellStyle name="Millares 2 2 2 2 4 2 4" xfId="43901" xr:uid="{BFE1E41C-B1BF-476F-8858-5CE44B7DE7CD}"/>
    <cellStyle name="Millares 2 2 2 2 4 2 5" xfId="48794" xr:uid="{14FB4C3B-341A-4FC9-A234-7E77E6F4D9FD}"/>
    <cellStyle name="Millares 2 2 2 2 4 3" xfId="10175" xr:uid="{E833731F-BC0B-430C-9AA9-E2316C8F20E7}"/>
    <cellStyle name="Millares 2 2 2 2 4 3 2" xfId="45335" xr:uid="{3F953E8A-B505-4B2C-87C3-BCE5987DF273}"/>
    <cellStyle name="Millares 2 2 2 2 4 4" xfId="13015" xr:uid="{B903254C-6EE8-430E-A906-32DDA6291B62}"/>
    <cellStyle name="Millares 2 2 2 2 4 5" xfId="16358" xr:uid="{21D9E571-7EED-4BEB-9F7B-F57054DDC12C}"/>
    <cellStyle name="Millares 2 2 2 2 4 6" xfId="16901" xr:uid="{A09AF35C-88BA-4C2F-9840-7CB9503E9C43}"/>
    <cellStyle name="Millares 2 2 2 2 4 7" xfId="17445" xr:uid="{5D542C86-6F7D-4CF4-BE3C-01D52ADBB56C}"/>
    <cellStyle name="Millares 2 2 2 2 4 8" xfId="19005" xr:uid="{08868CAC-1EAD-4A1F-82F8-02CB75E8E670}"/>
    <cellStyle name="Millares 2 2 2 2 4 9" xfId="18208" xr:uid="{5DAFE973-3BC1-4163-8777-82555E2D97A2}"/>
    <cellStyle name="Millares 2 2 2 2 5" xfId="2030" xr:uid="{577921CD-8D10-4ABA-A1CA-1F8BA4EF89F6}"/>
    <cellStyle name="Millares 2 2 2 2 5 2" xfId="10301" xr:uid="{0DACCAF0-52D6-44DF-A14D-53D985EA6FDA}"/>
    <cellStyle name="Millares 2 2 2 2 5 2 2" xfId="45461" xr:uid="{FAF6225C-2C8E-4A00-A545-758802E7F83D}"/>
    <cellStyle name="Millares 2 2 2 2 5 3" xfId="13141" xr:uid="{97B67E20-0497-4AB1-B933-5005A8CF2A9D}"/>
    <cellStyle name="Millares 2 2 2 2 5 4" xfId="24751" xr:uid="{7B439153-AA89-4F13-92FA-FCD789AD3FEB}"/>
    <cellStyle name="Millares 2 2 2 2 5 5" xfId="43065" xr:uid="{A55BDB5B-C27C-4489-A904-3EA7CA6DB1DF}"/>
    <cellStyle name="Millares 2 2 2 2 5 6" xfId="47958" xr:uid="{7A690341-07AA-4B11-B903-498DA59D52AE}"/>
    <cellStyle name="Millares 2 2 2 2 6" xfId="2448" xr:uid="{A592CD64-C570-482F-BBCC-AB7D43F17459}"/>
    <cellStyle name="Millares 2 2 2 2 6 2" xfId="10719" xr:uid="{1B1C9F87-6104-4B37-969E-A20A1D26CC56}"/>
    <cellStyle name="Millares 2 2 2 2 6 2 2" xfId="45879" xr:uid="{CA6AC585-F19A-4ABD-A609-ED8DBF7CDB55}"/>
    <cellStyle name="Millares 2 2 2 2 6 3" xfId="13559" xr:uid="{60E0DDD4-BBD1-4D82-9D46-3ABE6DE28547}"/>
    <cellStyle name="Millares 2 2 2 2 6 4" xfId="30628" xr:uid="{A563DC73-7E10-4A62-8168-EFF6552E33D8}"/>
    <cellStyle name="Millares 2 2 2 2 6 5" xfId="43483" xr:uid="{2B0BB56E-5694-4DC2-9313-62F3E5CC649E}"/>
    <cellStyle name="Millares 2 2 2 2 6 6" xfId="48376" xr:uid="{59189B99-A7EE-4510-8486-0A4546BAC75D}"/>
    <cellStyle name="Millares 2 2 2 2 7" xfId="2992" xr:uid="{0B8E8079-A401-4F83-9DED-A3F5ACA53BF8}"/>
    <cellStyle name="Millares 2 2 2 2 7 2" xfId="11263" xr:uid="{6DE6748A-9ED2-457C-9AF3-5AAC3EBD76A7}"/>
    <cellStyle name="Millares 2 2 2 2 7 2 2" xfId="46423" xr:uid="{C090409C-CBBA-4494-A36F-1327FE4013BD}"/>
    <cellStyle name="Millares 2 2 2 2 7 3" xfId="14103" xr:uid="{EA571681-4F02-411A-8EBC-26D57346C134}"/>
    <cellStyle name="Millares 2 2 2 2 7 4" xfId="36509" xr:uid="{F3D4E6AB-7A1D-45ED-8FA8-D9D158DC5DAD}"/>
    <cellStyle name="Millares 2 2 2 2 7 5" xfId="44027" xr:uid="{3E765912-1315-4DF4-8F94-7E78A8C902E3}"/>
    <cellStyle name="Millares 2 2 2 2 7 6" xfId="48920" xr:uid="{1F4102DE-A88F-4C38-992D-E9E413A6B3A2}"/>
    <cellStyle name="Millares 2 2 2 2 8" xfId="3494" xr:uid="{8151896A-010C-4BA0-A28B-08FA546E8EE0}"/>
    <cellStyle name="Millares 2 2 2 2 8 2" xfId="11735" xr:uid="{43DA7B89-612F-4702-8721-2BA3510FA465}"/>
    <cellStyle name="Millares 2 2 2 2 8 3" xfId="14575" xr:uid="{895B00D1-1977-49B1-9BEC-C57FB24FA9C1}"/>
    <cellStyle name="Millares 2 2 2 2 8 4" xfId="44499" xr:uid="{01A1249F-1C87-45F3-BB42-96E16730F900}"/>
    <cellStyle name="Millares 2 2 2 2 8 5" xfId="49392" xr:uid="{84DB1CFA-52B6-457A-812F-2ECDA505E835}"/>
    <cellStyle name="Millares 2 2 2 2 9" xfId="4503" xr:uid="{F859F017-06BC-4420-8B62-6D0851416D55}"/>
    <cellStyle name="Millares 2 2 2 2 9 2" xfId="44917" xr:uid="{DFB2BBFC-80D6-42EC-AEEA-FE848D06B41A}"/>
    <cellStyle name="Millares 2 2 2 2 9 3" xfId="47251" xr:uid="{610ADB99-DD80-4A31-A311-3C09E60AB35D}"/>
    <cellStyle name="Millares 2 2 2 20" xfId="18203" xr:uid="{DD520DEF-4EB5-4BED-B314-E3777B259A40}"/>
    <cellStyle name="Millares 2 2 2 21" xfId="42099" xr:uid="{4BBBCAA9-583E-4A89-93A0-CC01CC43217C}"/>
    <cellStyle name="Millares 2 2 2 22" xfId="42180" xr:uid="{DEB6772D-B7DA-45E5-B4EF-B6637101BDA6}"/>
    <cellStyle name="Millares 2 2 2 23" xfId="42452" xr:uid="{2E5B5219-66DD-45CB-BACC-F5F616539EED}"/>
    <cellStyle name="Millares 2 2 2 24" xfId="47345" xr:uid="{D05B03AA-A88B-455D-A446-009CAF0AD860}"/>
    <cellStyle name="Millares 2 2 2 25" xfId="50182" xr:uid="{C33E79C1-7A4D-4086-A595-0340650AFFE8}"/>
    <cellStyle name="Millares 2 2 2 26" xfId="50256" xr:uid="{6C9C3847-8559-4FF6-A894-90D0D04C3045}"/>
    <cellStyle name="Millares 2 2 2 3" xfId="147" xr:uid="{00000000-0005-0000-0000-0000EF010000}"/>
    <cellStyle name="Millares 2 2 2 3 10" xfId="9715" xr:uid="{9DF621CB-B248-4C3E-ADF9-4D246BB6433F}"/>
    <cellStyle name="Millares 2 2 2 3 10 2" xfId="47123" xr:uid="{A1F8754B-80DD-458B-8B35-8E98D536C83D}"/>
    <cellStyle name="Millares 2 2 2 3 11" xfId="12555" xr:uid="{2D7122E1-2B0B-44F4-AE17-B924661E2F4B}"/>
    <cellStyle name="Millares 2 2 2 3 12" xfId="15898" xr:uid="{2E45C45C-31C7-40D7-B256-C93AC3B87C2E}"/>
    <cellStyle name="Millares 2 2 2 3 13" xfId="16441" xr:uid="{066D6EF8-9F4E-4F37-91FA-2BEF804EE897}"/>
    <cellStyle name="Millares 2 2 2 3 14" xfId="16985" xr:uid="{194261AD-1506-4D7E-BA0F-E36664C4E687}"/>
    <cellStyle name="Millares 2 2 2 3 15" xfId="17909" xr:uid="{AFF07CE5-7FF2-4439-BC42-733F0C53E3A5}"/>
    <cellStyle name="Millares 2 2 2 3 16" xfId="42181" xr:uid="{F77D8CAB-E007-4181-9525-F6AABD891F80}"/>
    <cellStyle name="Millares 2 2 2 3 17" xfId="42479" xr:uid="{645C2132-6182-4C70-AA32-CED2A81368AF}"/>
    <cellStyle name="Millares 2 2 2 3 18" xfId="47372" xr:uid="{7C4EECAA-A030-4F1C-9F38-1717F894337D}"/>
    <cellStyle name="Millares 2 2 2 3 19" xfId="50328" xr:uid="{6D7256C3-BCA9-474A-8E21-4284FE7C5E5C}"/>
    <cellStyle name="Millares 2 2 2 3 2" xfId="261" xr:uid="{00000000-0005-0000-0000-0000F0010000}"/>
    <cellStyle name="Millares 2 2 2 3 2 10" xfId="16002" xr:uid="{443179EC-7149-4447-9AB4-6BE4F2784C61}"/>
    <cellStyle name="Millares 2 2 2 3 2 11" xfId="16545" xr:uid="{B99FDFF7-1113-48BF-86C7-8FCAA6CDEF78}"/>
    <cellStyle name="Millares 2 2 2 3 2 12" xfId="17089" xr:uid="{3048C955-F7E8-49FC-8D32-360CF58E802F}"/>
    <cellStyle name="Millares 2 2 2 3 2 13" xfId="17921" xr:uid="{342A7263-78B8-47E5-9BBA-8F6127E3D383}"/>
    <cellStyle name="Millares 2 2 2 3 2 14" xfId="42583" xr:uid="{1D57016F-1701-443C-855D-4AAF86F1E2B5}"/>
    <cellStyle name="Millares 2 2 2 3 2 15" xfId="47476" xr:uid="{75ADC974-1F05-43A9-8FAD-1846FA78426C}"/>
    <cellStyle name="Millares 2 2 2 3 2 2" xfId="488" xr:uid="{00000000-0005-0000-0000-0000F1010000}"/>
    <cellStyle name="Millares 2 2 2 3 2 2 10" xfId="17301" xr:uid="{1BD034C1-60FA-4166-93EF-A5B433ACE79E}"/>
    <cellStyle name="Millares 2 2 2 3 2 2 11" xfId="22238" xr:uid="{A8FB8937-001D-4032-B88E-9E739AB174E9}"/>
    <cellStyle name="Millares 2 2 2 3 2 2 12" xfId="17507" xr:uid="{B71CAEB8-AD1E-4792-9A00-7B82D419AD8C}"/>
    <cellStyle name="Millares 2 2 2 3 2 2 13" xfId="42795" xr:uid="{D520C985-E21B-4E8F-9829-300B17ED8FCB}"/>
    <cellStyle name="Millares 2 2 2 3 2 2 14" xfId="47688" xr:uid="{C161856B-C012-42FF-8AF0-87313BC4B3A3}"/>
    <cellStyle name="Millares 2 2 2 3 2 2 2" xfId="2304" xr:uid="{252BC1D7-41C3-4097-A34F-867D9C141FA5}"/>
    <cellStyle name="Millares 2 2 2 3 2 2 2 2" xfId="10575" xr:uid="{831EF353-012D-4FD6-9095-762176395DDB}"/>
    <cellStyle name="Millares 2 2 2 3 2 2 2 2 2" xfId="45735" xr:uid="{CC1000DB-BFD9-4F16-8FD7-0012DB80E49C}"/>
    <cellStyle name="Millares 2 2 2 3 2 2 2 3" xfId="13415" xr:uid="{6707A634-6529-4469-8E31-D39472ECCC65}"/>
    <cellStyle name="Millares 2 2 2 3 2 2 2 4" xfId="43339" xr:uid="{D49FF05B-312D-4057-9DB0-AFDBD4D80829}"/>
    <cellStyle name="Millares 2 2 2 3 2 2 2 5" xfId="48232" xr:uid="{2B34141C-899B-4EF1-B949-AF1258F9D45E}"/>
    <cellStyle name="Millares 2 2 2 3 2 2 3" xfId="2722" xr:uid="{842D3E5F-77FD-4526-9729-B6DFA0620418}"/>
    <cellStyle name="Millares 2 2 2 3 2 2 3 2" xfId="10993" xr:uid="{3F496943-47F7-44D1-9AF7-1F0CA202ED48}"/>
    <cellStyle name="Millares 2 2 2 3 2 2 3 2 2" xfId="46153" xr:uid="{F3A655C9-B4CD-423A-A694-F582058D15C4}"/>
    <cellStyle name="Millares 2 2 2 3 2 2 3 3" xfId="13833" xr:uid="{36AF876C-3071-4586-8E67-438F2CA9978C}"/>
    <cellStyle name="Millares 2 2 2 3 2 2 3 4" xfId="43757" xr:uid="{B1E25DEE-1AEC-48BF-B69B-D4B84F034A7D}"/>
    <cellStyle name="Millares 2 2 2 3 2 2 3 5" xfId="48650" xr:uid="{8AAC86AB-A079-4052-8B0F-27478A338928}"/>
    <cellStyle name="Millares 2 2 2 3 2 2 4" xfId="3266" xr:uid="{A2DE1C1B-44D3-4C25-9A56-C31E7E31A595}"/>
    <cellStyle name="Millares 2 2 2 3 2 2 4 2" xfId="11537" xr:uid="{27E3A10E-F181-460E-93AA-FB160D740A58}"/>
    <cellStyle name="Millares 2 2 2 3 2 2 4 2 2" xfId="46697" xr:uid="{2040F7FA-936F-422E-92C5-D806F4B1E5CF}"/>
    <cellStyle name="Millares 2 2 2 3 2 2 4 3" xfId="14377" xr:uid="{60211D6A-52BD-44F1-A5D4-857C763FB4CC}"/>
    <cellStyle name="Millares 2 2 2 3 2 2 4 4" xfId="44301" xr:uid="{177EF1B0-FB1E-4661-8174-3F53ACE40F5B}"/>
    <cellStyle name="Millares 2 2 2 3 2 2 4 5" xfId="49194" xr:uid="{2A8D2A92-4788-442C-BFE4-AA19509CD4DC}"/>
    <cellStyle name="Millares 2 2 2 3 2 2 5" xfId="3768" xr:uid="{BACB1732-5521-4E7E-B1A9-6272A52B56A3}"/>
    <cellStyle name="Millares 2 2 2 3 2 2 5 2" xfId="12009" xr:uid="{C3AB62EB-DEC4-4EB1-A2D2-DC3F18F26715}"/>
    <cellStyle name="Millares 2 2 2 3 2 2 5 3" xfId="14849" xr:uid="{D9133005-3DB0-482C-AC7F-AF3B35E3D7DB}"/>
    <cellStyle name="Millares 2 2 2 3 2 2 5 4" xfId="44773" xr:uid="{602775DF-8489-44E0-AE77-813DFC30D295}"/>
    <cellStyle name="Millares 2 2 2 3 2 2 5 5" xfId="49666" xr:uid="{57D846CB-4FDA-4877-8229-979A327BCB9E}"/>
    <cellStyle name="Millares 2 2 2 3 2 2 6" xfId="10031" xr:uid="{25DB87E7-7F97-4260-A0E5-11A6B9AB5A5C}"/>
    <cellStyle name="Millares 2 2 2 3 2 2 6 2" xfId="45191" xr:uid="{9376B777-CF9F-4BC9-B64C-B8042DAB3972}"/>
    <cellStyle name="Millares 2 2 2 3 2 2 7" xfId="12871" xr:uid="{CC423C6E-A898-4EDA-A4AF-5883563DD84E}"/>
    <cellStyle name="Millares 2 2 2 3 2 2 8" xfId="16214" xr:uid="{0AF1DA4C-1814-4644-A069-FD00DD3060BB}"/>
    <cellStyle name="Millares 2 2 2 3 2 2 9" xfId="16757" xr:uid="{2F5D46AF-3998-43BF-990F-2D9C6BC88587}"/>
    <cellStyle name="Millares 2 2 2 3 2 3" xfId="2092" xr:uid="{2CE582BD-5100-455A-9F43-9F0F5CAC11E6}"/>
    <cellStyle name="Millares 2 2 2 3 2 3 2" xfId="10363" xr:uid="{1DAA4AA8-0A86-4952-969A-A6607225979B}"/>
    <cellStyle name="Millares 2 2 2 3 2 3 2 2" xfId="45523" xr:uid="{31E664FB-8414-4A13-AB6A-B8DAA9567876}"/>
    <cellStyle name="Millares 2 2 2 3 2 3 3" xfId="13203" xr:uid="{30B4E032-E463-4370-984B-EF7F89C5DF92}"/>
    <cellStyle name="Millares 2 2 2 3 2 3 4" xfId="28086" xr:uid="{B4ADCBA1-6F01-48BB-9415-B110E783A7EC}"/>
    <cellStyle name="Millares 2 2 2 3 2 3 5" xfId="43127" xr:uid="{DE67D819-7F1C-40B5-B01C-3492A117B04C}"/>
    <cellStyle name="Millares 2 2 2 3 2 3 6" xfId="48020" xr:uid="{76ED2C6A-8E84-410E-BA16-2849F7C92B3A}"/>
    <cellStyle name="Millares 2 2 2 3 2 4" xfId="2510" xr:uid="{0E691F84-4B4A-4D2C-BF93-2F1DEAC7E10D}"/>
    <cellStyle name="Millares 2 2 2 3 2 4 2" xfId="10781" xr:uid="{26DECE21-6E15-4C18-A99F-67CC2E4BC2F8}"/>
    <cellStyle name="Millares 2 2 2 3 2 4 2 2" xfId="45941" xr:uid="{E09934D4-5208-46C0-8B6B-4002E142A658}"/>
    <cellStyle name="Millares 2 2 2 3 2 4 3" xfId="13621" xr:uid="{A4576595-EF5B-48FA-803D-3BA25130DF8A}"/>
    <cellStyle name="Millares 2 2 2 3 2 4 4" xfId="33968" xr:uid="{7231526D-E681-419B-AEDB-F6BDD7ACD653}"/>
    <cellStyle name="Millares 2 2 2 3 2 4 5" xfId="43545" xr:uid="{CADA867A-8307-4B13-B771-C98F96278A1B}"/>
    <cellStyle name="Millares 2 2 2 3 2 4 6" xfId="48438" xr:uid="{15607D8F-9F62-46CA-B4E7-B95B473C395C}"/>
    <cellStyle name="Millares 2 2 2 3 2 5" xfId="3054" xr:uid="{60E8CCEC-4D96-456D-B33C-07000DE8096D}"/>
    <cellStyle name="Millares 2 2 2 3 2 5 2" xfId="11325" xr:uid="{0C0FC7A5-06A4-4BB1-A612-7CDAA38C06CC}"/>
    <cellStyle name="Millares 2 2 2 3 2 5 2 2" xfId="46485" xr:uid="{ED5071D1-8C31-4852-BAB3-002326772D0E}"/>
    <cellStyle name="Millares 2 2 2 3 2 5 3" xfId="14165" xr:uid="{92034546-33C4-40AA-B8BD-C67CF12B3832}"/>
    <cellStyle name="Millares 2 2 2 3 2 5 4" xfId="39832" xr:uid="{3AEE5689-E89B-4030-B224-E35CE12E7C4D}"/>
    <cellStyle name="Millares 2 2 2 3 2 5 5" xfId="44089" xr:uid="{FD048E37-86E9-4293-A652-FE8701CB9CD4}"/>
    <cellStyle name="Millares 2 2 2 3 2 5 6" xfId="48982" xr:uid="{45DB30B6-E4F0-4923-A844-E064E9122BF8}"/>
    <cellStyle name="Millares 2 2 2 3 2 6" xfId="3556" xr:uid="{81AE6DB1-D26F-4219-BA9D-396493982579}"/>
    <cellStyle name="Millares 2 2 2 3 2 6 2" xfId="11797" xr:uid="{0BC92296-C4D5-41AC-A660-A049FC2EEDEF}"/>
    <cellStyle name="Millares 2 2 2 3 2 6 3" xfId="14637" xr:uid="{50BA3268-9F7B-479D-97CC-1C8073A4E5D5}"/>
    <cellStyle name="Millares 2 2 2 3 2 6 4" xfId="44561" xr:uid="{6F9E5058-8695-4670-8F06-953DA07F831D}"/>
    <cellStyle name="Millares 2 2 2 3 2 6 5" xfId="49454" xr:uid="{B365D080-3F3E-4135-BFC8-BF46BE27151D}"/>
    <cellStyle name="Millares 2 2 2 3 2 7" xfId="7853" xr:uid="{9ED2F2A1-D560-4A08-87C5-B28DEBDCDB3B}"/>
    <cellStyle name="Millares 2 2 2 3 2 7 2" xfId="44979" xr:uid="{7D099B8E-2CE3-44E5-9F81-7F6526BB87CA}"/>
    <cellStyle name="Millares 2 2 2 3 2 8" xfId="9819" xr:uid="{9DB032E0-34F7-4681-A3D8-9A3F0E58F73F}"/>
    <cellStyle name="Millares 2 2 2 3 2 9" xfId="12659" xr:uid="{54292D25-9432-4F34-A3C8-020A5A5BD746}"/>
    <cellStyle name="Millares 2 2 2 3 3" xfId="387" xr:uid="{00000000-0005-0000-0000-0000F2010000}"/>
    <cellStyle name="Millares 2 2 2 3 3 10" xfId="17201" xr:uid="{5D75285F-98C5-4A7D-B9F7-A5E2A93BF6F4}"/>
    <cellStyle name="Millares 2 2 2 3 3 11" xfId="19466" xr:uid="{73B98A3C-AE2A-486C-88B8-CC295BCC6FCE}"/>
    <cellStyle name="Millares 2 2 2 3 3 12" xfId="18183" xr:uid="{77FD6E26-CB3C-41EA-89AC-BA3B3C6A6C5F}"/>
    <cellStyle name="Millares 2 2 2 3 3 13" xfId="42695" xr:uid="{67E2A7A9-464C-470B-895D-1E9A99A11BA7}"/>
    <cellStyle name="Millares 2 2 2 3 3 14" xfId="47588" xr:uid="{760D44AA-C3F6-4009-8187-F6D2120BDB01}"/>
    <cellStyle name="Millares 2 2 2 3 3 2" xfId="2204" xr:uid="{9E4A29D2-481E-4177-87F6-6DB0158719D6}"/>
    <cellStyle name="Millares 2 2 2 3 3 2 2" xfId="10475" xr:uid="{850E5D7E-6817-4403-911F-08A2419DE8AD}"/>
    <cellStyle name="Millares 2 2 2 3 3 2 2 2" xfId="45635" xr:uid="{DEA51BFE-DF2C-4875-971E-404FC34F78B6}"/>
    <cellStyle name="Millares 2 2 2 3 3 2 3" xfId="13315" xr:uid="{A77740C1-DC8F-48B1-9F01-78FDA15660BD}"/>
    <cellStyle name="Millares 2 2 2 3 3 2 4" xfId="43239" xr:uid="{4ECC3033-827E-4D3D-B85E-332CA7FD5F17}"/>
    <cellStyle name="Millares 2 2 2 3 3 2 5" xfId="48132" xr:uid="{50844764-F44B-4322-B7A2-C5D6C28FB95D}"/>
    <cellStyle name="Millares 2 2 2 3 3 3" xfId="2622" xr:uid="{56E4E4BE-996D-4F70-9F0D-1412D840B3D8}"/>
    <cellStyle name="Millares 2 2 2 3 3 3 2" xfId="10893" xr:uid="{947A5566-ED37-449A-BD30-2BEFC59A921F}"/>
    <cellStyle name="Millares 2 2 2 3 3 3 2 2" xfId="46053" xr:uid="{C4704055-2044-43FC-B047-4B87F139AEEB}"/>
    <cellStyle name="Millares 2 2 2 3 3 3 3" xfId="13733" xr:uid="{72B67380-A859-4A50-8D93-7A5439C0CBB4}"/>
    <cellStyle name="Millares 2 2 2 3 3 3 4" xfId="43657" xr:uid="{EF25355B-2B9B-4FC0-8B18-E13A5AD8FE0F}"/>
    <cellStyle name="Millares 2 2 2 3 3 3 5" xfId="48550" xr:uid="{8E52B738-E076-4533-A38C-68167561FFC6}"/>
    <cellStyle name="Millares 2 2 2 3 3 4" xfId="3166" xr:uid="{E3ACBB2A-F391-4515-862D-259F43F4A391}"/>
    <cellStyle name="Millares 2 2 2 3 3 4 2" xfId="11437" xr:uid="{C7F08743-B7E7-4DA7-9006-6FFA267B8079}"/>
    <cellStyle name="Millares 2 2 2 3 3 4 2 2" xfId="46597" xr:uid="{A0070790-235C-4F34-8A00-B99AE422DB65}"/>
    <cellStyle name="Millares 2 2 2 3 3 4 3" xfId="14277" xr:uid="{E55ABD00-477B-4086-A697-913A27067B9C}"/>
    <cellStyle name="Millares 2 2 2 3 3 4 4" xfId="44201" xr:uid="{AF7DD878-744D-471E-B600-08DD8C0FEA47}"/>
    <cellStyle name="Millares 2 2 2 3 3 4 5" xfId="49094" xr:uid="{06153B89-7F04-42C8-B3C7-F99E97CC3D2A}"/>
    <cellStyle name="Millares 2 2 2 3 3 5" xfId="3668" xr:uid="{96A9FDCE-7FFD-435D-B864-63E84B39CBAC}"/>
    <cellStyle name="Millares 2 2 2 3 3 5 2" xfId="11909" xr:uid="{0EEB5804-AFDF-4103-A4D9-DCFFA7A46F93}"/>
    <cellStyle name="Millares 2 2 2 3 3 5 3" xfId="14749" xr:uid="{E7883385-B8D7-4894-8808-1CD5D2917D0C}"/>
    <cellStyle name="Millares 2 2 2 3 3 5 4" xfId="44673" xr:uid="{59F5E40A-6214-4774-B1D2-DDF0ECBA4851}"/>
    <cellStyle name="Millares 2 2 2 3 3 5 5" xfId="49566" xr:uid="{31FDB73C-7012-4AEB-9E8B-C2869F081D47}"/>
    <cellStyle name="Millares 2 2 2 3 3 6" xfId="9931" xr:uid="{642AC3FE-7160-422C-AD57-5D87B7C20061}"/>
    <cellStyle name="Millares 2 2 2 3 3 6 2" xfId="45091" xr:uid="{56B2BA46-6C9A-46C2-821C-C721746CF1FE}"/>
    <cellStyle name="Millares 2 2 2 3 3 7" xfId="12771" xr:uid="{744DCFE9-2915-4C08-99FA-BA45CE579B4C}"/>
    <cellStyle name="Millares 2 2 2 3 3 8" xfId="16114" xr:uid="{60637BF0-2CC9-4ED2-BD67-5C6D644B1786}"/>
    <cellStyle name="Millares 2 2 2 3 3 9" xfId="16657" xr:uid="{4E90628A-E1E9-447A-BBDC-BC5B21E2380F}"/>
    <cellStyle name="Millares 2 2 2 3 4" xfId="590" xr:uid="{00000000-0005-0000-0000-0000F3010000}"/>
    <cellStyle name="Millares 2 2 2 3 4 10" xfId="42897" xr:uid="{FE3B14F3-6ABA-42C0-8977-F4293EF3843C}"/>
    <cellStyle name="Millares 2 2 2 3 4 11" xfId="47790" xr:uid="{A2AFD816-CCA7-4723-B70B-962B3821DA71}"/>
    <cellStyle name="Millares 2 2 2 3 4 2" xfId="2824" xr:uid="{FBBD18AE-31BB-43A9-AA78-6D49FF8B450C}"/>
    <cellStyle name="Millares 2 2 2 3 4 2 2" xfId="11095" xr:uid="{8921A2CB-948C-4D7A-9BD7-0F7382DB09A5}"/>
    <cellStyle name="Millares 2 2 2 3 4 2 2 2" xfId="46255" xr:uid="{A02232A5-72ED-46DC-96C8-CC28D0A9B167}"/>
    <cellStyle name="Millares 2 2 2 3 4 2 3" xfId="13935" xr:uid="{BEF19F62-D04E-449F-B644-2C1BC7CE67D7}"/>
    <cellStyle name="Millares 2 2 2 3 4 2 4" xfId="43859" xr:uid="{AC9BA4E9-C5E9-46C0-AB99-709A00C90EE1}"/>
    <cellStyle name="Millares 2 2 2 3 4 2 5" xfId="48752" xr:uid="{56B9A8D4-6953-440B-B0DC-E2F4478D25CC}"/>
    <cellStyle name="Millares 2 2 2 3 4 3" xfId="10133" xr:uid="{0FD500C5-3127-425A-BFA5-8FE51972D5D6}"/>
    <cellStyle name="Millares 2 2 2 3 4 3 2" xfId="45293" xr:uid="{185F88F0-1309-4625-91D7-8A398A7AE4FA}"/>
    <cellStyle name="Millares 2 2 2 3 4 4" xfId="12973" xr:uid="{9E658A83-1E56-4A53-9BAD-5B76C19908E0}"/>
    <cellStyle name="Millares 2 2 2 3 4 5" xfId="16316" xr:uid="{DDF02198-F4C2-4529-BD64-0D1409232983}"/>
    <cellStyle name="Millares 2 2 2 3 4 6" xfId="16859" xr:uid="{1D905C24-BEEC-4776-8F34-E0638A559DD8}"/>
    <cellStyle name="Millares 2 2 2 3 4 7" xfId="17403" xr:uid="{71DAA607-417C-49EA-B1C4-F827E0431F3E}"/>
    <cellStyle name="Millares 2 2 2 3 4 8" xfId="25237" xr:uid="{F726AA3E-AFA9-4EF2-BC3B-98CB54C29492}"/>
    <cellStyle name="Millares 2 2 2 3 4 9" xfId="18084" xr:uid="{42DC6B81-6000-4616-97A7-6774D9DE1595}"/>
    <cellStyle name="Millares 2 2 2 3 5" xfId="1988" xr:uid="{55104B4F-2890-4390-ACF1-8559081AE865}"/>
    <cellStyle name="Millares 2 2 2 3 5 2" xfId="10259" xr:uid="{017C417D-7A3A-4EBC-97D9-5FC1DC1CDE6D}"/>
    <cellStyle name="Millares 2 2 2 3 5 2 2" xfId="45419" xr:uid="{5A25EA0C-C4EA-4B78-9444-F1BD595931C1}"/>
    <cellStyle name="Millares 2 2 2 3 5 3" xfId="13099" xr:uid="{05FA3653-CBCE-4575-A433-8C4D61EED15B}"/>
    <cellStyle name="Millares 2 2 2 3 5 4" xfId="31111" xr:uid="{4CC082A9-61E6-4409-8006-F385B141F294}"/>
    <cellStyle name="Millares 2 2 2 3 5 5" xfId="43023" xr:uid="{25A769D8-1626-4FFB-9DE5-995854BC9EDB}"/>
    <cellStyle name="Millares 2 2 2 3 5 6" xfId="47916" xr:uid="{616A0404-60BD-4B44-BD56-5CCB3DC4C32C}"/>
    <cellStyle name="Millares 2 2 2 3 6" xfId="2406" xr:uid="{7A12DAAE-65C1-42CA-AF23-B4FDD407BF48}"/>
    <cellStyle name="Millares 2 2 2 3 6 2" xfId="10677" xr:uid="{010668CB-49EA-42F1-A9EA-4440B1D3ABF9}"/>
    <cellStyle name="Millares 2 2 2 3 6 2 2" xfId="45837" xr:uid="{6B6D665C-4B2E-4DE1-927A-F4A6DC9103AC}"/>
    <cellStyle name="Millares 2 2 2 3 6 3" xfId="13517" xr:uid="{F96A48DE-BD03-4A0C-8C21-E9460C57AF75}"/>
    <cellStyle name="Millares 2 2 2 3 6 4" xfId="36989" xr:uid="{4656379C-224E-4D01-8C93-E066C244799E}"/>
    <cellStyle name="Millares 2 2 2 3 6 5" xfId="43441" xr:uid="{A7C494DE-F633-4EC3-AE57-418D3273FB2A}"/>
    <cellStyle name="Millares 2 2 2 3 6 6" xfId="48334" xr:uid="{4A2FB14E-BFBF-4284-8A95-59DF954ECDAE}"/>
    <cellStyle name="Millares 2 2 2 3 7" xfId="2950" xr:uid="{11497CEC-7977-4055-B791-3B669C02086C}"/>
    <cellStyle name="Millares 2 2 2 3 7 2" xfId="11221" xr:uid="{AC448613-CC2A-41C9-A416-72DEDC065FA3}"/>
    <cellStyle name="Millares 2 2 2 3 7 2 2" xfId="46381" xr:uid="{D747A0E7-F835-4051-B0F7-754807AE12A7}"/>
    <cellStyle name="Millares 2 2 2 3 7 3" xfId="14061" xr:uid="{E3037A19-B073-4E20-BE91-DAFEC267A01A}"/>
    <cellStyle name="Millares 2 2 2 3 7 4" xfId="43985" xr:uid="{796128A4-3206-4C6C-82D0-F67734C0B924}"/>
    <cellStyle name="Millares 2 2 2 3 7 5" xfId="48878" xr:uid="{9D921599-7E99-4A3A-AA1F-CE1CA132062E}"/>
    <cellStyle name="Millares 2 2 2 3 8" xfId="3452" xr:uid="{FB476BE3-2081-48F7-B3AD-A36DB4B18C1B}"/>
    <cellStyle name="Millares 2 2 2 3 8 2" xfId="11693" xr:uid="{DC7671BD-A03C-4AF4-ADC5-D016B309634E}"/>
    <cellStyle name="Millares 2 2 2 3 8 3" xfId="14533" xr:uid="{D4FE0000-1D96-45B0-8CAE-BC10882507B5}"/>
    <cellStyle name="Millares 2 2 2 3 8 4" xfId="44457" xr:uid="{781EA788-208D-43DC-83FE-A9557B43BC74}"/>
    <cellStyle name="Millares 2 2 2 3 8 5" xfId="49350" xr:uid="{E404F040-DAB8-4E4D-9A70-473BD468A734}"/>
    <cellStyle name="Millares 2 2 2 3 9" xfId="4986" xr:uid="{E9444C93-BBB2-4835-827C-1E329DB816DC}"/>
    <cellStyle name="Millares 2 2 2 3 9 2" xfId="44875" xr:uid="{CA0409E2-0CA2-4ABA-A2F4-3E60E92CCDD4}"/>
    <cellStyle name="Millares 2 2 2 3 9 3" xfId="47261" xr:uid="{63AFEE0E-AC8F-45AE-98C3-45433657C838}"/>
    <cellStyle name="Millares 2 2 2 4" xfId="234" xr:uid="{00000000-0005-0000-0000-0000F4010000}"/>
    <cellStyle name="Millares 2 2 2 4 10" xfId="15975" xr:uid="{7EA4703F-56C9-4641-8D79-6236D1F1136C}"/>
    <cellStyle name="Millares 2 2 2 4 11" xfId="16518" xr:uid="{B98725B4-2CB6-47C1-9B37-3E76D8DCFB81}"/>
    <cellStyle name="Millares 2 2 2 4 12" xfId="17062" xr:uid="{29B06094-493C-483D-9957-965EEC8B05F9}"/>
    <cellStyle name="Millares 2 2 2 4 13" xfId="18175" xr:uid="{E9AAC34A-819B-4D43-8D1B-D9C3079C25AC}"/>
    <cellStyle name="Millares 2 2 2 4 14" xfId="42182" xr:uid="{143ACDDD-266B-478F-962D-B0FDF6C95BE8}"/>
    <cellStyle name="Millares 2 2 2 4 15" xfId="42556" xr:uid="{72F09804-0B36-461C-9140-AE691CB2CE5E}"/>
    <cellStyle name="Millares 2 2 2 4 16" xfId="47449" xr:uid="{56E18EEA-F13B-4ED4-9AFF-A2A31BC016D6}"/>
    <cellStyle name="Millares 2 2 2 4 2" xfId="461" xr:uid="{00000000-0005-0000-0000-0000F5010000}"/>
    <cellStyle name="Millares 2 2 2 4 2 10" xfId="17274" xr:uid="{B6CB2439-24CE-4974-8F6B-FA96F0477A1F}"/>
    <cellStyle name="Millares 2 2 2 4 2 11" xfId="21303" xr:uid="{D01AB865-8B9F-46C3-8BAB-F112E593321C}"/>
    <cellStyle name="Millares 2 2 2 4 2 12" xfId="17550" xr:uid="{BA1A476C-A16D-42DF-B617-484564381C8E}"/>
    <cellStyle name="Millares 2 2 2 4 2 13" xfId="42768" xr:uid="{61783CB4-5F03-4C15-BB0F-192DE046B17D}"/>
    <cellStyle name="Millares 2 2 2 4 2 14" xfId="47661" xr:uid="{7019D2B3-DB5A-4026-8006-B373B21C53EE}"/>
    <cellStyle name="Millares 2 2 2 4 2 2" xfId="2277" xr:uid="{4C22C0CE-E75C-43BA-84F3-B22E80603395}"/>
    <cellStyle name="Millares 2 2 2 4 2 2 2" xfId="10548" xr:uid="{9DA3E3C7-8923-4B9B-986E-BFF546CAF312}"/>
    <cellStyle name="Millares 2 2 2 4 2 2 2 2" xfId="45708" xr:uid="{6B0ED652-ED40-4A3F-9FCE-75766256E97E}"/>
    <cellStyle name="Millares 2 2 2 4 2 2 3" xfId="13388" xr:uid="{22BE67F9-85C4-4E51-8EA6-0E2EBDC7681F}"/>
    <cellStyle name="Millares 2 2 2 4 2 2 4" xfId="43312" xr:uid="{5A09E77C-DF46-41C7-919C-228E699D6305}"/>
    <cellStyle name="Millares 2 2 2 4 2 2 5" xfId="48205" xr:uid="{04FE6D35-FDBF-4A70-8CD1-648249E48F59}"/>
    <cellStyle name="Millares 2 2 2 4 2 3" xfId="2695" xr:uid="{64EAC8F4-4247-4259-9E5F-D0E8AC7A6D49}"/>
    <cellStyle name="Millares 2 2 2 4 2 3 2" xfId="10966" xr:uid="{71F19431-A68A-46B0-8EF1-BD26D20F8FB6}"/>
    <cellStyle name="Millares 2 2 2 4 2 3 2 2" xfId="46126" xr:uid="{A420A7AF-B339-4B81-90E8-3E7A63CC4413}"/>
    <cellStyle name="Millares 2 2 2 4 2 3 3" xfId="13806" xr:uid="{EBB8C924-B2AB-4A76-B97B-8DE969C39F0F}"/>
    <cellStyle name="Millares 2 2 2 4 2 3 4" xfId="43730" xr:uid="{545075FE-A628-43AB-BB35-91315DC529E3}"/>
    <cellStyle name="Millares 2 2 2 4 2 3 5" xfId="48623" xr:uid="{F0F3DE41-EE55-469E-8453-B401A1F04F4B}"/>
    <cellStyle name="Millares 2 2 2 4 2 4" xfId="3239" xr:uid="{DD25FCD1-C420-464C-BF28-D368B128365E}"/>
    <cellStyle name="Millares 2 2 2 4 2 4 2" xfId="11510" xr:uid="{AC8714D9-2717-485F-BB85-E247C0E18BEE}"/>
    <cellStyle name="Millares 2 2 2 4 2 4 2 2" xfId="46670" xr:uid="{8C575E60-42DC-4F94-A647-D3CF5BFEAAB4}"/>
    <cellStyle name="Millares 2 2 2 4 2 4 3" xfId="14350" xr:uid="{EF0F89A0-8181-49E2-BE63-847C16CBE274}"/>
    <cellStyle name="Millares 2 2 2 4 2 4 4" xfId="44274" xr:uid="{F3D2C3E6-90BC-4026-A814-EDE7C988B3BA}"/>
    <cellStyle name="Millares 2 2 2 4 2 4 5" xfId="49167" xr:uid="{35AF23F6-E24C-4A4A-AD1C-A16AF8F49D00}"/>
    <cellStyle name="Millares 2 2 2 4 2 5" xfId="3741" xr:uid="{276E46E4-4458-44D0-8FF1-E99F731427A5}"/>
    <cellStyle name="Millares 2 2 2 4 2 5 2" xfId="11982" xr:uid="{745B75D1-94C4-466B-8BB3-B28D88B8E672}"/>
    <cellStyle name="Millares 2 2 2 4 2 5 3" xfId="14822" xr:uid="{C88DA158-0A2A-4F92-A72D-E1247E5C1F09}"/>
    <cellStyle name="Millares 2 2 2 4 2 5 4" xfId="44746" xr:uid="{F97F2BB3-1005-44B0-8698-F8D8C88686BB}"/>
    <cellStyle name="Millares 2 2 2 4 2 5 5" xfId="49639" xr:uid="{14244233-9482-4174-8308-1E4DC152494E}"/>
    <cellStyle name="Millares 2 2 2 4 2 6" xfId="10004" xr:uid="{F97FFE58-5111-417A-B73E-8C9D45742D0C}"/>
    <cellStyle name="Millares 2 2 2 4 2 6 2" xfId="45164" xr:uid="{834128C3-964F-4B6C-8528-EBA5C0A17820}"/>
    <cellStyle name="Millares 2 2 2 4 2 7" xfId="12844" xr:uid="{301C6AF2-8DB7-4625-80BF-9CDCB05D0446}"/>
    <cellStyle name="Millares 2 2 2 4 2 8" xfId="16187" xr:uid="{648E1FB4-1B47-48AE-BE7C-5FE3241E5B02}"/>
    <cellStyle name="Millares 2 2 2 4 2 9" xfId="16730" xr:uid="{6200A14C-CF35-4B3E-B6C7-775FDB958B89}"/>
    <cellStyle name="Millares 2 2 2 4 3" xfId="2065" xr:uid="{B290885F-AE9B-4CC0-B099-A5A91B9A5ED1}"/>
    <cellStyle name="Millares 2 2 2 4 3 2" xfId="10336" xr:uid="{3CDBA13B-99CA-4AF8-AF21-E435947FFDE0}"/>
    <cellStyle name="Millares 2 2 2 4 3 2 2" xfId="45496" xr:uid="{3E8B7151-2FE9-44CE-9D08-CA0446D8096F}"/>
    <cellStyle name="Millares 2 2 2 4 3 3" xfId="13176" xr:uid="{DC9CDB57-DDFA-4A41-8AD1-2368F9275CCD}"/>
    <cellStyle name="Millares 2 2 2 4 3 4" xfId="27119" xr:uid="{5A25C98A-3141-40ED-B7DB-98A7EDED56DB}"/>
    <cellStyle name="Millares 2 2 2 4 3 5" xfId="43100" xr:uid="{565862A5-045C-4291-BE1D-E3A48F1E11D6}"/>
    <cellStyle name="Millares 2 2 2 4 3 6" xfId="47993" xr:uid="{52B9D44F-002D-43AB-9D12-E4CB8D71D4F8}"/>
    <cellStyle name="Millares 2 2 2 4 4" xfId="2483" xr:uid="{C56AE7BF-3B91-4CBA-8FC5-65A3DFDA6425}"/>
    <cellStyle name="Millares 2 2 2 4 4 2" xfId="10754" xr:uid="{72246225-94DA-4815-A275-BCE817D0D891}"/>
    <cellStyle name="Millares 2 2 2 4 4 2 2" xfId="45914" xr:uid="{4771215C-11A7-496E-A0F8-481CD38F8F5C}"/>
    <cellStyle name="Millares 2 2 2 4 4 3" xfId="13594" xr:uid="{B75739CD-C368-4D72-B13F-93C8C8566DDE}"/>
    <cellStyle name="Millares 2 2 2 4 4 4" xfId="32997" xr:uid="{C7316B45-5AC2-4706-8331-29B767E3CB29}"/>
    <cellStyle name="Millares 2 2 2 4 4 5" xfId="43518" xr:uid="{34E5AA55-38BB-46D1-958A-DE6B21FC27D2}"/>
    <cellStyle name="Millares 2 2 2 4 4 6" xfId="48411" xr:uid="{355E9925-FC66-4C7A-8861-A02B0D1D630D}"/>
    <cellStyle name="Millares 2 2 2 4 5" xfId="3027" xr:uid="{C1A87028-8B45-43E4-9217-9C1B7225A747}"/>
    <cellStyle name="Millares 2 2 2 4 5 2" xfId="11298" xr:uid="{36B3A1F6-FFE0-42A9-B2B1-F1C11C46F372}"/>
    <cellStyle name="Millares 2 2 2 4 5 2 2" xfId="46458" xr:uid="{A44B7F9E-51BA-46D1-8FDD-BD99F9D01EFF}"/>
    <cellStyle name="Millares 2 2 2 4 5 3" xfId="14138" xr:uid="{2636057B-CDF6-4C18-8B68-AC5616AA341A}"/>
    <cellStyle name="Millares 2 2 2 4 5 4" xfId="38861" xr:uid="{FAA77984-ECE8-4C29-AEBB-2810026EA106}"/>
    <cellStyle name="Millares 2 2 2 4 5 5" xfId="44062" xr:uid="{41757E19-ED78-45DA-B62A-CA154D202D5F}"/>
    <cellStyle name="Millares 2 2 2 4 5 6" xfId="48955" xr:uid="{BD3EB42E-EC81-4C94-A221-FA2FB263F746}"/>
    <cellStyle name="Millares 2 2 2 4 6" xfId="3529" xr:uid="{1E88A65D-93C3-420A-955A-9D6A44A9631A}"/>
    <cellStyle name="Millares 2 2 2 4 6 2" xfId="11770" xr:uid="{84C9D0DF-AC74-4B99-91C7-DCE886117AF4}"/>
    <cellStyle name="Millares 2 2 2 4 6 3" xfId="14610" xr:uid="{47FD365F-BA94-4B88-9659-39792F032C76}"/>
    <cellStyle name="Millares 2 2 2 4 6 4" xfId="44534" xr:uid="{7B17C2A9-CF4A-497C-AB46-C06789D4D121}"/>
    <cellStyle name="Millares 2 2 2 4 6 5" xfId="49427" xr:uid="{E4E6BA58-8AA1-470B-AAF2-B669E71504E0}"/>
    <cellStyle name="Millares 2 2 2 4 7" xfId="6881" xr:uid="{A77FD598-7A7A-4187-9BDB-D641DDC30526}"/>
    <cellStyle name="Millares 2 2 2 4 7 2" xfId="44952" xr:uid="{DBADAFDA-124E-4B94-941E-A0535AFC7E39}"/>
    <cellStyle name="Millares 2 2 2 4 8" xfId="9792" xr:uid="{1E8B6C5B-CB2B-4F86-B431-82D350F7FB9F}"/>
    <cellStyle name="Millares 2 2 2 4 9" xfId="12632" xr:uid="{0A1B202C-DDD2-4F4B-9AAC-6CADA371BC10}"/>
    <cellStyle name="Millares 2 2 2 5" xfId="360" xr:uid="{00000000-0005-0000-0000-0000F6010000}"/>
    <cellStyle name="Millares 2 2 2 5 10" xfId="17174" xr:uid="{CB5161FF-451A-4B19-9E00-EF25D1A709BF}"/>
    <cellStyle name="Millares 2 2 2 5 11" xfId="18558" xr:uid="{805B3E73-1960-4826-A165-802866D00FB4}"/>
    <cellStyle name="Millares 2 2 2 5 12" xfId="18162" xr:uid="{30FEDE58-1E9E-4A9F-A900-1127AEE7B926}"/>
    <cellStyle name="Millares 2 2 2 5 13" xfId="42183" xr:uid="{A826CF57-C489-474B-A239-F55C28DC016A}"/>
    <cellStyle name="Millares 2 2 2 5 14" xfId="42668" xr:uid="{A9D46583-A56D-493E-966D-C2925326A45A}"/>
    <cellStyle name="Millares 2 2 2 5 15" xfId="47561" xr:uid="{33F9ABBA-DEF7-47CB-B8D3-E9DAF701B827}"/>
    <cellStyle name="Millares 2 2 2 5 2" xfId="2177" xr:uid="{BC0A93BF-4F0A-4D2E-8897-05611E2CF2FA}"/>
    <cellStyle name="Millares 2 2 2 5 2 2" xfId="10448" xr:uid="{6A75A489-206F-454C-88E4-D0859BA20865}"/>
    <cellStyle name="Millares 2 2 2 5 2 2 2" xfId="45608" xr:uid="{3229148E-09CE-480D-8B8F-7A5524AD3132}"/>
    <cellStyle name="Millares 2 2 2 5 2 3" xfId="13288" xr:uid="{F49F551D-A859-4A92-8B5D-B6073699EFF5}"/>
    <cellStyle name="Millares 2 2 2 5 2 4" xfId="43212" xr:uid="{AE96A602-EE37-4C1C-B0EB-6C158E4D52E1}"/>
    <cellStyle name="Millares 2 2 2 5 2 5" xfId="48105" xr:uid="{444F4D72-34EC-463D-9184-63E41920D146}"/>
    <cellStyle name="Millares 2 2 2 5 3" xfId="2595" xr:uid="{5E6D5C67-CB91-4B0E-953E-021FB2DCC13E}"/>
    <cellStyle name="Millares 2 2 2 5 3 2" xfId="10866" xr:uid="{BF5B5FEE-0F6F-4539-BE01-4ECC1020FE36}"/>
    <cellStyle name="Millares 2 2 2 5 3 2 2" xfId="46026" xr:uid="{E95E01F3-6A4D-44A1-A4D3-AC0746A2CD83}"/>
    <cellStyle name="Millares 2 2 2 5 3 3" xfId="13706" xr:uid="{F80A7DEE-D6CE-47E8-A9D8-60B1B76870FD}"/>
    <cellStyle name="Millares 2 2 2 5 3 4" xfId="43630" xr:uid="{CA993BFE-0DA1-4130-8EEE-D3202408257F}"/>
    <cellStyle name="Millares 2 2 2 5 3 5" xfId="48523" xr:uid="{9CDD38C8-C16B-4175-A8FD-85728085AD3A}"/>
    <cellStyle name="Millares 2 2 2 5 4" xfId="3139" xr:uid="{7D942825-941A-4954-BAEB-D14E9EEF141F}"/>
    <cellStyle name="Millares 2 2 2 5 4 2" xfId="11410" xr:uid="{D890285F-4056-4A1F-9560-FC5F78D34102}"/>
    <cellStyle name="Millares 2 2 2 5 4 2 2" xfId="46570" xr:uid="{8A7D2BA9-1EC4-49B2-87A4-469D97E2090A}"/>
    <cellStyle name="Millares 2 2 2 5 4 3" xfId="14250" xr:uid="{6FA5C399-7089-4362-9A6B-A17E8BBD46D6}"/>
    <cellStyle name="Millares 2 2 2 5 4 4" xfId="44174" xr:uid="{CAB2C255-F866-43DF-BD91-D80BCF924733}"/>
    <cellStyle name="Millares 2 2 2 5 4 5" xfId="49067" xr:uid="{BC2E56F3-6754-49D2-A8B1-00CBE86BA30E}"/>
    <cellStyle name="Millares 2 2 2 5 5" xfId="3641" xr:uid="{A8A7E885-C292-4BA9-A9FB-62FA5CFCCED6}"/>
    <cellStyle name="Millares 2 2 2 5 5 2" xfId="11882" xr:uid="{EE1A6D04-023E-42A6-A525-D4D0379CD1A0}"/>
    <cellStyle name="Millares 2 2 2 5 5 3" xfId="14722" xr:uid="{C927AECA-D31F-4244-91C1-6773FB2EFF06}"/>
    <cellStyle name="Millares 2 2 2 5 5 4" xfId="44646" xr:uid="{7538167C-007A-4FF7-AC8A-0AC21FA74B36}"/>
    <cellStyle name="Millares 2 2 2 5 5 5" xfId="49539" xr:uid="{BA6FE865-9EA6-4D16-9325-6F6A23B77A79}"/>
    <cellStyle name="Millares 2 2 2 5 6" xfId="9904" xr:uid="{B05208B0-9A4D-494F-9A0B-288A682F6FEC}"/>
    <cellStyle name="Millares 2 2 2 5 6 2" xfId="45064" xr:uid="{38C08B0D-2934-456C-914B-FE3043839F86}"/>
    <cellStyle name="Millares 2 2 2 5 7" xfId="12744" xr:uid="{4F399546-7D65-48C9-8F3D-CD6113462D84}"/>
    <cellStyle name="Millares 2 2 2 5 8" xfId="16087" xr:uid="{DDED46FE-6689-464A-BF18-83DAE0969386}"/>
    <cellStyle name="Millares 2 2 2 5 9" xfId="16630" xr:uid="{CE93F2F3-3315-426E-8E31-3342D1434A31}"/>
    <cellStyle name="Millares 2 2 2 6" xfId="563" xr:uid="{00000000-0005-0000-0000-0000F7010000}"/>
    <cellStyle name="Millares 2 2 2 6 10" xfId="42184" xr:uid="{EB78323D-1CCF-4A7A-B148-CE568CF64AF7}"/>
    <cellStyle name="Millares 2 2 2 6 11" xfId="42870" xr:uid="{8E173971-3BDA-492E-B959-472EAFC3D94C}"/>
    <cellStyle name="Millares 2 2 2 6 12" xfId="47763" xr:uid="{0BF8D9BF-441C-4D81-91D8-3DF747C1B11E}"/>
    <cellStyle name="Millares 2 2 2 6 2" xfId="2797" xr:uid="{DAF28FD4-597D-44A3-834F-CE014BCF9CFB}"/>
    <cellStyle name="Millares 2 2 2 6 2 2" xfId="11068" xr:uid="{2DAB54F6-2581-40DC-8A10-CD369C72B697}"/>
    <cellStyle name="Millares 2 2 2 6 2 2 2" xfId="46228" xr:uid="{3627E236-A46B-4A9E-B1A6-B29B37C241ED}"/>
    <cellStyle name="Millares 2 2 2 6 2 3" xfId="13908" xr:uid="{F13ECD88-3551-4A83-AFE1-356E0019F4CE}"/>
    <cellStyle name="Millares 2 2 2 6 2 4" xfId="43832" xr:uid="{D1CD5919-453B-4DC5-B242-BA29F7E4B242}"/>
    <cellStyle name="Millares 2 2 2 6 2 5" xfId="48725" xr:uid="{9E7AAF70-78DB-49B2-A402-D49297A27256}"/>
    <cellStyle name="Millares 2 2 2 6 3" xfId="10106" xr:uid="{4F1D649D-EC64-4D13-92BC-C41159BDD17F}"/>
    <cellStyle name="Millares 2 2 2 6 3 2" xfId="45266" xr:uid="{8A274BD1-B9E3-45C7-AB83-8EC33BF0CE46}"/>
    <cellStyle name="Millares 2 2 2 6 4" xfId="12946" xr:uid="{7755591A-79E7-4E16-A8C6-721246007CDC}"/>
    <cellStyle name="Millares 2 2 2 6 5" xfId="16289" xr:uid="{6F86F270-7948-4DFD-8C92-D4DBD3E41CD5}"/>
    <cellStyle name="Millares 2 2 2 6 6" xfId="16832" xr:uid="{CEC8DD77-8DE9-48BB-8B1F-027B8515CD33}"/>
    <cellStyle name="Millares 2 2 2 6 7" xfId="17376" xr:uid="{ADB87D1A-7348-43F2-A68B-21486599C363}"/>
    <cellStyle name="Millares 2 2 2 6 8" xfId="24268" xr:uid="{3F7D7ECE-8ABF-48C5-997F-7257B3AD1D16}"/>
    <cellStyle name="Millares 2 2 2 6 9" xfId="18243" xr:uid="{3E694A1C-C40C-405F-8DDA-F6B7A0EBF53D}"/>
    <cellStyle name="Millares 2 2 2 7" xfId="1917" xr:uid="{00000000-0005-0000-0000-0000F8010000}"/>
    <cellStyle name="Millares 2 2 2 7 10" xfId="42185" xr:uid="{6A06B8F2-E3A3-49C1-BA9F-EE749AF58E38}"/>
    <cellStyle name="Millares 2 2 2 7 11" xfId="42973" xr:uid="{B1293EA5-B35F-4CDB-AB93-286224A9F112}"/>
    <cellStyle name="Millares 2 2 2 7 12" xfId="47866" xr:uid="{A49979B5-1C60-4E18-AB2B-6FEA16DED6DE}"/>
    <cellStyle name="Millares 2 2 2 7 2" xfId="2900" xr:uid="{6C1F00C8-BEF0-43F9-8A81-19D06D6ED597}"/>
    <cellStyle name="Millares 2 2 2 7 2 2" xfId="11171" xr:uid="{87ED830C-6F3C-4813-AC8C-D49D4B65FFC6}"/>
    <cellStyle name="Millares 2 2 2 7 2 2 2" xfId="46331" xr:uid="{2E170B1E-2A19-45AD-B9C0-8178AD5D8AF7}"/>
    <cellStyle name="Millares 2 2 2 7 2 3" xfId="14011" xr:uid="{53ECB6E8-A304-41A8-AC94-01A7F4010D2F}"/>
    <cellStyle name="Millares 2 2 2 7 2 4" xfId="43935" xr:uid="{70305842-44D8-47B4-A5B8-84C193AAB0E7}"/>
    <cellStyle name="Millares 2 2 2 7 2 5" xfId="48828" xr:uid="{DD584750-C1D4-4577-BE9C-8608EA930213}"/>
    <cellStyle name="Millares 2 2 2 7 3" xfId="10209" xr:uid="{2863D78F-9857-4C92-B871-D8F6BBA25C48}"/>
    <cellStyle name="Millares 2 2 2 7 3 2" xfId="45369" xr:uid="{11ACE80B-4514-4E07-B5DD-1B3D98CA6EB8}"/>
    <cellStyle name="Millares 2 2 2 7 4" xfId="13049" xr:uid="{9C019489-EFA1-4949-8008-FEF7AFBC501A}"/>
    <cellStyle name="Millares 2 2 2 7 5" xfId="16391" xr:uid="{072320F8-3174-4E84-BEF3-DAB47BA5BECC}"/>
    <cellStyle name="Millares 2 2 2 7 6" xfId="16935" xr:uid="{F5C146C1-2F3D-43B6-90A8-63D9E496730A}"/>
    <cellStyle name="Millares 2 2 2 7 7" xfId="17479" xr:uid="{8680F775-751E-4D84-8133-87F3DA0B4959}"/>
    <cellStyle name="Millares 2 2 2 7 8" xfId="30146" xr:uid="{94BFB0F0-3DCF-441E-B3E9-C82D7A04ED92}"/>
    <cellStyle name="Millares 2 2 2 7 9" xfId="17758" xr:uid="{962F6EDB-895E-4127-8256-98EA8372731D}"/>
    <cellStyle name="Millares 2 2 2 8" xfId="1961" xr:uid="{28CAB67B-74C6-493D-AA0E-B88FA241B8E2}"/>
    <cellStyle name="Millares 2 2 2 8 2" xfId="10232" xr:uid="{42C5E59B-9686-4A97-A9F2-692707B80559}"/>
    <cellStyle name="Millares 2 2 2 8 2 2" xfId="45392" xr:uid="{DFF8A567-592D-4F50-90A4-14696AC0A859}"/>
    <cellStyle name="Millares 2 2 2 8 3" xfId="13072" xr:uid="{FEC70FD6-A30F-4C71-AB80-4301C98B8F16}"/>
    <cellStyle name="Millares 2 2 2 8 4" xfId="36025" xr:uid="{5AC5F211-01CF-4BDB-9D94-A0EBF20560D1}"/>
    <cellStyle name="Millares 2 2 2 8 5" xfId="42186" xr:uid="{39A58CF8-6407-4704-9CD6-1E41E09379F0}"/>
    <cellStyle name="Millares 2 2 2 8 6" xfId="42996" xr:uid="{661117F3-8379-4CBC-BBC1-8487F5AB4095}"/>
    <cellStyle name="Millares 2 2 2 8 7" xfId="47889" xr:uid="{0F0BC3F1-689C-4548-BB6B-36A090574721}"/>
    <cellStyle name="Millares 2 2 2 9" xfId="2379" xr:uid="{2B0D01C0-11F4-4E3D-A4A7-9210DD2D9DCB}"/>
    <cellStyle name="Millares 2 2 2 9 2" xfId="10650" xr:uid="{3D128889-5AB8-418E-8975-E301E1F688BC}"/>
    <cellStyle name="Millares 2 2 2 9 2 2" xfId="45810" xr:uid="{A242727D-4B03-48A6-8577-82B035245719}"/>
    <cellStyle name="Millares 2 2 2 9 3" xfId="13490" xr:uid="{117D9FCD-7426-4ECF-BD47-78873488125F}"/>
    <cellStyle name="Millares 2 2 2 9 4" xfId="42187" xr:uid="{7B4BD7DE-9AC9-4F70-9677-580914C81098}"/>
    <cellStyle name="Millares 2 2 2 9 5" xfId="43414" xr:uid="{DE77D1B5-4081-4D2F-A862-15A43C88FA02}"/>
    <cellStyle name="Millares 2 2 2 9 6" xfId="48307" xr:uid="{63AB73EE-B417-4788-9EE4-C044DF332DF9}"/>
    <cellStyle name="Millares 2 2 20" xfId="16946" xr:uid="{92DBBEB9-45A1-4BF5-B6E3-0DD3CD642184}"/>
    <cellStyle name="Millares 2 2 21" xfId="17919" xr:uid="{8B29A3DC-F595-4634-B938-A4E6E070935F}"/>
    <cellStyle name="Millares 2 2 22" xfId="42188" xr:uid="{66E6D74A-ED10-460C-97D0-F21C813CCE4D}"/>
    <cellStyle name="Millares 2 2 23" xfId="42440" xr:uid="{9618D1E7-19F5-466D-92AC-F654D52887E6}"/>
    <cellStyle name="Millares 2 2 24" xfId="47333" xr:uid="{4F446ADA-9513-4A83-AD9E-3AF9FD5DBAC7}"/>
    <cellStyle name="Millares 2 2 3" xfId="181" xr:uid="{00000000-0005-0000-0000-0000F9010000}"/>
    <cellStyle name="Millares 2 2 3 10" xfId="4282" xr:uid="{CF0FD6FF-A851-4079-960D-4B9B41AFA929}"/>
    <cellStyle name="Millares 2 2 3 10 2" xfId="44907" xr:uid="{32E02F8B-2C27-40F6-91BD-8F8C4BA78170}"/>
    <cellStyle name="Millares 2 2 3 11" xfId="9747" xr:uid="{10A25F1C-03DE-4641-819E-64DA2027B9DE}"/>
    <cellStyle name="Millares 2 2 3 12" xfId="12587" xr:uid="{650F087C-86C3-44BB-9972-4CC2133A4132}"/>
    <cellStyle name="Millares 2 2 3 13" xfId="15930" xr:uid="{B3CE4C89-FC16-469E-8BAE-73AAB5621AA4}"/>
    <cellStyle name="Millares 2 2 3 14" xfId="16473" xr:uid="{610A40A2-1632-48F2-89FD-398FFC027BC0}"/>
    <cellStyle name="Millares 2 2 3 15" xfId="17017" xr:uid="{94585B4E-F497-4238-96BF-1D5CC0B823F9}"/>
    <cellStyle name="Millares 2 2 3 16" xfId="17799" xr:uid="{A917D291-1A08-450A-84B1-6DDED55643B4}"/>
    <cellStyle name="Millares 2 2 3 17" xfId="42189" xr:uid="{A7847902-DC16-497B-AAC9-C9C9E296D2DA}"/>
    <cellStyle name="Millares 2 2 3 18" xfId="42511" xr:uid="{C955D6A7-B256-4BBC-BB5C-7BFFF2491B13}"/>
    <cellStyle name="Millares 2 2 3 19" xfId="46881" xr:uid="{4D31D547-C404-4BE6-951A-7A536A607295}"/>
    <cellStyle name="Millares 2 2 3 2" xfId="293" xr:uid="{00000000-0005-0000-0000-0000FA010000}"/>
    <cellStyle name="Millares 2 2 3 2 10" xfId="16034" xr:uid="{4015BF47-E633-43BA-9BF6-A23DA97768B5}"/>
    <cellStyle name="Millares 2 2 3 2 11" xfId="16577" xr:uid="{DEF7A183-F531-4460-BD94-BED1501656A3}"/>
    <cellStyle name="Millares 2 2 3 2 12" xfId="17121" xr:uid="{0FE78B26-6255-4DE7-9FA3-CA4EBA3E35C9}"/>
    <cellStyle name="Millares 2 2 3 2 13" xfId="18054" xr:uid="{FF48CF6C-24B4-434B-8A92-3E5D6D4B050C}"/>
    <cellStyle name="Millares 2 2 3 2 14" xfId="42615" xr:uid="{F0341F2D-1F39-4472-AE9F-E40C5D9FF72A}"/>
    <cellStyle name="Millares 2 2 3 2 15" xfId="47508" xr:uid="{EB683DD8-50A9-4990-9F35-C9F562FB92B8}"/>
    <cellStyle name="Millares 2 2 3 2 2" xfId="520" xr:uid="{00000000-0005-0000-0000-0000FB010000}"/>
    <cellStyle name="Millares 2 2 3 2 2 10" xfId="16789" xr:uid="{C734A012-7C3F-481F-94C4-8A87C6D863E5}"/>
    <cellStyle name="Millares 2 2 3 2 2 11" xfId="17333" xr:uid="{AB8C84FE-2CA0-4403-A189-3C90BDBC8304}"/>
    <cellStyle name="Millares 2 2 3 2 2 12" xfId="23910" xr:uid="{85402237-1CB4-48CA-B9D2-48D41E266679}"/>
    <cellStyle name="Millares 2 2 3 2 2 13" xfId="42827" xr:uid="{045EF1D5-347C-402D-8E43-528F1580FBE8}"/>
    <cellStyle name="Millares 2 2 3 2 2 14" xfId="47720" xr:uid="{C38369BD-D0F9-4EE8-97C1-F89CB1F5F4C7}"/>
    <cellStyle name="Millares 2 2 3 2 2 2" xfId="2336" xr:uid="{5BD095E9-A305-488F-89EF-105AEF8624AD}"/>
    <cellStyle name="Millares 2 2 3 2 2 2 2" xfId="8600" xr:uid="{48CED486-4871-4D54-9439-9CEA0E2B149C}"/>
    <cellStyle name="Millares 2 2 3 2 2 2 2 2" xfId="45767" xr:uid="{18A3E23B-CF85-42E1-A25D-76AC8411458C}"/>
    <cellStyle name="Millares 2 2 3 2 2 2 3" xfId="10607" xr:uid="{3C4E0BE4-5FEB-436E-B1E4-7C223346DFE1}"/>
    <cellStyle name="Millares 2 2 3 2 2 2 3 2" xfId="28833" xr:uid="{8BC32607-9A67-4564-BD75-74D8B2DF337A}"/>
    <cellStyle name="Millares 2 2 3 2 2 2 4" xfId="13447" xr:uid="{AD837D44-04AA-4081-ABFB-F58014DEF538}"/>
    <cellStyle name="Millares 2 2 3 2 2 2 4 2" xfId="34715" xr:uid="{396F0BB5-01D8-4EAE-862C-BC8675ACF49B}"/>
    <cellStyle name="Millares 2 2 3 2 2 2 5" xfId="40579" xr:uid="{91F5E7A0-ABDC-4C3F-AB2D-05B66E990537}"/>
    <cellStyle name="Millares 2 2 3 2 2 2 6" xfId="43371" xr:uid="{E4F155B5-3CC0-4963-88E5-6547ABBA83BC}"/>
    <cellStyle name="Millares 2 2 3 2 2 2 7" xfId="48264" xr:uid="{B759CC3F-735B-4692-AE94-13908716EC51}"/>
    <cellStyle name="Millares 2 2 3 2 2 3" xfId="2754" xr:uid="{341AEE4B-1161-4009-9913-D483A97F856B}"/>
    <cellStyle name="Millares 2 2 3 2 2 3 2" xfId="11025" xr:uid="{A031618E-A384-4210-89A2-4F03B38AFFE3}"/>
    <cellStyle name="Millares 2 2 3 2 2 3 2 2" xfId="46185" xr:uid="{67C6916A-CBD5-4759-B267-9EA907AF4CD5}"/>
    <cellStyle name="Millares 2 2 3 2 2 3 3" xfId="13865" xr:uid="{D3C3ACFF-E370-4625-9E96-7063AAE32A95}"/>
    <cellStyle name="Millares 2 2 3 2 2 3 4" xfId="20189" xr:uid="{94A81996-B0E2-4872-8F56-E87B52295D60}"/>
    <cellStyle name="Millares 2 2 3 2 2 3 5" xfId="43789" xr:uid="{3E4F49E3-437F-4FDB-A060-B2D3DED9CE94}"/>
    <cellStyle name="Millares 2 2 3 2 2 3 6" xfId="48682" xr:uid="{24BFC80C-23B0-4B6C-B2E8-4B3CF44825CC}"/>
    <cellStyle name="Millares 2 2 3 2 2 4" xfId="3298" xr:uid="{0F316553-B0BF-4A4B-A10E-B4FA965EFBB9}"/>
    <cellStyle name="Millares 2 2 3 2 2 4 2" xfId="11569" xr:uid="{75BCC17B-BAAA-465B-83DF-A995A2DE52AD}"/>
    <cellStyle name="Millares 2 2 3 2 2 4 2 2" xfId="46729" xr:uid="{E6AE0D32-B102-4993-9615-67E5ADED969B}"/>
    <cellStyle name="Millares 2 2 3 2 2 4 3" xfId="14409" xr:uid="{A380C5E1-D8C7-4EAE-B345-060C4364DDB9}"/>
    <cellStyle name="Millares 2 2 3 2 2 4 4" xfId="25983" xr:uid="{47EF940C-560C-4ED0-92AA-87CF0597CE3C}"/>
    <cellStyle name="Millares 2 2 3 2 2 4 5" xfId="44333" xr:uid="{83E6D09E-A7E3-4AAB-B818-4143714BAC7A}"/>
    <cellStyle name="Millares 2 2 3 2 2 4 6" xfId="49226" xr:uid="{655A06E3-05DB-42C4-9480-62ED2282430E}"/>
    <cellStyle name="Millares 2 2 3 2 2 5" xfId="3800" xr:uid="{A5FA94C7-47EC-459F-9821-0C27E03485FD}"/>
    <cellStyle name="Millares 2 2 3 2 2 5 2" xfId="12041" xr:uid="{2FCA81EE-7CA3-4AAA-9CA4-730648104113}"/>
    <cellStyle name="Millares 2 2 3 2 2 5 3" xfId="14881" xr:uid="{C968B2E2-7C45-4018-B3D1-9917D0C5C193}"/>
    <cellStyle name="Millares 2 2 3 2 2 5 4" xfId="31858" xr:uid="{6B935F22-6A68-4D02-9EC7-1EA12CE7AE2A}"/>
    <cellStyle name="Millares 2 2 3 2 2 5 5" xfId="44805" xr:uid="{25082ED0-CC9B-407E-9F87-266796CD98BC}"/>
    <cellStyle name="Millares 2 2 3 2 2 5 6" xfId="49698" xr:uid="{839143DC-C34C-490A-A7EB-C6BC2166C778}"/>
    <cellStyle name="Millares 2 2 3 2 2 6" xfId="5732" xr:uid="{06DEC554-E74E-478F-B92C-AF666E2874F4}"/>
    <cellStyle name="Millares 2 2 3 2 2 6 2" xfId="45223" xr:uid="{C085C5B5-E5E7-479B-88F0-C9E390BAF08E}"/>
    <cellStyle name="Millares 2 2 3 2 2 7" xfId="10063" xr:uid="{94CE861F-D0D4-41B7-A434-D42B684E3B1A}"/>
    <cellStyle name="Millares 2 2 3 2 2 8" xfId="12903" xr:uid="{8CE5B87D-D586-4DAC-9928-84DDB8E8C587}"/>
    <cellStyle name="Millares 2 2 3 2 2 9" xfId="16246" xr:uid="{FF1F358C-D0C0-4FC3-B056-66CA5239D308}"/>
    <cellStyle name="Millares 2 2 3 2 3" xfId="2124" xr:uid="{537E9FE1-9045-4E22-A0F1-E4621BF83537}"/>
    <cellStyle name="Millares 2 2 3 2 3 2" xfId="7628" xr:uid="{17EDD27C-D012-4A2B-8EED-A806069D3110}"/>
    <cellStyle name="Millares 2 2 3 2 3 2 2" xfId="45555" xr:uid="{7683D638-8DC2-4441-B33B-9F8722B52D52}"/>
    <cellStyle name="Millares 2 2 3 2 3 3" xfId="10395" xr:uid="{AE7FCA77-47BD-46C1-B6D1-4C2908767974}"/>
    <cellStyle name="Millares 2 2 3 2 3 3 2" xfId="27862" xr:uid="{AB55512D-00A9-4F85-97B7-D25DBE5D9E69}"/>
    <cellStyle name="Millares 2 2 3 2 3 4" xfId="13235" xr:uid="{0A33C84C-DEBD-4444-83B1-C5FFDE5B5803}"/>
    <cellStyle name="Millares 2 2 3 2 3 4 2" xfId="33744" xr:uid="{F06D2FCA-0B68-4ED6-B84E-62B03BA39A62}"/>
    <cellStyle name="Millares 2 2 3 2 3 5" xfId="39608" xr:uid="{A69348CD-2CEB-4739-9B53-846CD0A13A3B}"/>
    <cellStyle name="Millares 2 2 3 2 3 6" xfId="43159" xr:uid="{30EB1036-BD93-4128-AD13-E72CB3708B27}"/>
    <cellStyle name="Millares 2 2 3 2 3 7" xfId="48052" xr:uid="{F3C5ABA6-171C-4D4F-817E-DC37E10E1F55}"/>
    <cellStyle name="Millares 2 2 3 2 4" xfId="2542" xr:uid="{3AA0B42B-C7BB-4612-81C0-91CA32AD3CE7}"/>
    <cellStyle name="Millares 2 2 3 2 4 2" xfId="10813" xr:uid="{7728E6FE-0EC5-47E6-A9C5-4AAEE6F77C28}"/>
    <cellStyle name="Millares 2 2 3 2 4 2 2" xfId="45973" xr:uid="{C3B43309-DAEA-47B8-A40A-BF441A76DDA3}"/>
    <cellStyle name="Millares 2 2 3 2 4 3" xfId="13653" xr:uid="{3B461CE6-782F-4D97-90D9-99545C7322AC}"/>
    <cellStyle name="Millares 2 2 3 2 4 4" xfId="19249" xr:uid="{EE80CCF7-5137-4A19-BE91-9E2EF73560BC}"/>
    <cellStyle name="Millares 2 2 3 2 4 5" xfId="43577" xr:uid="{7025438D-DEE1-4CAC-A90C-704186D24B07}"/>
    <cellStyle name="Millares 2 2 3 2 4 6" xfId="48470" xr:uid="{CEB38DA1-5303-4E45-AF46-E2CD59F3092D}"/>
    <cellStyle name="Millares 2 2 3 2 5" xfId="3086" xr:uid="{AC062725-5A76-4179-BEA9-DB7463477074}"/>
    <cellStyle name="Millares 2 2 3 2 5 2" xfId="11357" xr:uid="{AE272554-9332-44B1-BD36-A943148A26C6}"/>
    <cellStyle name="Millares 2 2 3 2 5 2 2" xfId="46517" xr:uid="{930D979B-0D52-4A20-A7DE-D8F48E36B78E}"/>
    <cellStyle name="Millares 2 2 3 2 5 3" xfId="14197" xr:uid="{9498A1F5-36F3-4F92-B97F-D3D0696D0EB7}"/>
    <cellStyle name="Millares 2 2 3 2 5 4" xfId="25013" xr:uid="{F50F5C34-4FDB-40D9-8728-B54949BA5438}"/>
    <cellStyle name="Millares 2 2 3 2 5 5" xfId="44121" xr:uid="{0D777760-E778-4216-B64C-8F309F76504C}"/>
    <cellStyle name="Millares 2 2 3 2 5 6" xfId="49014" xr:uid="{648D6DC8-3666-4640-9B03-1528E1EF2B33}"/>
    <cellStyle name="Millares 2 2 3 2 6" xfId="3588" xr:uid="{2150CBAC-15F3-4832-B6FF-4D87E48908E7}"/>
    <cellStyle name="Millares 2 2 3 2 6 2" xfId="11829" xr:uid="{092A7AA2-6F74-46C0-BBF2-2B257139A873}"/>
    <cellStyle name="Millares 2 2 3 2 6 3" xfId="14669" xr:uid="{37B91F51-DB77-4815-A5AF-63AB85E8B91B}"/>
    <cellStyle name="Millares 2 2 3 2 6 4" xfId="30887" xr:uid="{386B4A1C-2A4F-4011-9723-D125BC479D4E}"/>
    <cellStyle name="Millares 2 2 3 2 6 5" xfId="44593" xr:uid="{C99310E4-DADD-4655-BEDA-A43752BFC7F6}"/>
    <cellStyle name="Millares 2 2 3 2 6 6" xfId="49486" xr:uid="{D1F76FF0-6F25-4A3F-A2B0-179028A10090}"/>
    <cellStyle name="Millares 2 2 3 2 7" xfId="4764" xr:uid="{2865D9D0-A2F7-498E-AF19-7056F9EA08E6}"/>
    <cellStyle name="Millares 2 2 3 2 7 2" xfId="45011" xr:uid="{75EEA217-F05A-40B3-A1AF-C21BE79D465B}"/>
    <cellStyle name="Millares 2 2 3 2 8" xfId="9851" xr:uid="{7AA6FEF8-2B67-4854-9B5B-5167435075F6}"/>
    <cellStyle name="Millares 2 2 3 2 9" xfId="12691" xr:uid="{CFEAE386-492A-4A71-A6A8-E67C78727F64}"/>
    <cellStyle name="Millares 2 2 3 20" xfId="47013" xr:uid="{1E0CB862-09AB-4609-9BF6-463E187F95AC}"/>
    <cellStyle name="Millares 2 2 3 21" xfId="47404" xr:uid="{64C989EC-5D2F-4D11-A3CE-DA2849343743}"/>
    <cellStyle name="Millares 2 2 3 3" xfId="419" xr:uid="{00000000-0005-0000-0000-0000FC010000}"/>
    <cellStyle name="Millares 2 2 3 3 10" xfId="16689" xr:uid="{BF75E747-7C83-4AFE-855C-22094A174AF7}"/>
    <cellStyle name="Millares 2 2 3 3 11" xfId="17233" xr:uid="{BDA76751-4629-4A85-ABDC-DAD2E1BDCB9C}"/>
    <cellStyle name="Millares 2 2 3 3 12" xfId="21674" xr:uid="{51EF7B96-99FE-43E2-87AC-57061C2E39EB}"/>
    <cellStyle name="Millares 2 2 3 3 13" xfId="42727" xr:uid="{4B9308F1-8FC7-4CF8-AFCC-9A97680F1B79}"/>
    <cellStyle name="Millares 2 2 3 3 14" xfId="47620" xr:uid="{56FAD177-26CB-473E-94CB-EDB8DD7D5F20}"/>
    <cellStyle name="Millares 2 2 3 3 2" xfId="2236" xr:uid="{84AD2D91-C0F9-404D-9C3F-7E37420E7703}"/>
    <cellStyle name="Millares 2 2 3 3 2 2" xfId="8115" xr:uid="{64E5C067-FC3E-4452-9EDB-AD5DD9A2E5D1}"/>
    <cellStyle name="Millares 2 2 3 3 2 2 2" xfId="45667" xr:uid="{DB9172A4-3529-4A99-8B45-C77C877DD8C2}"/>
    <cellStyle name="Millares 2 2 3 3 2 3" xfId="10507" xr:uid="{D10F399B-F8AF-404B-A78A-1862BCE1C16A}"/>
    <cellStyle name="Millares 2 2 3 3 2 3 2" xfId="28348" xr:uid="{67CF6AD7-892B-49E5-9ABC-AFF32634DF27}"/>
    <cellStyle name="Millares 2 2 3 3 2 4" xfId="13347" xr:uid="{B8BA3966-A487-4E92-A72F-1A385EB2BF8C}"/>
    <cellStyle name="Millares 2 2 3 3 2 4 2" xfId="34230" xr:uid="{B13AE42B-1870-4EF1-94F3-FFFCE3DBEBA5}"/>
    <cellStyle name="Millares 2 2 3 3 2 5" xfId="40094" xr:uid="{2EE2E44A-AF25-4863-A486-B42EA3D62903}"/>
    <cellStyle name="Millares 2 2 3 3 2 6" xfId="43271" xr:uid="{BFC5C257-35E2-4D9F-99D8-56FFA93A5C02}"/>
    <cellStyle name="Millares 2 2 3 3 2 7" xfId="48164" xr:uid="{4E8B07BD-3B5E-4A51-BC04-BD95D69F2B7D}"/>
    <cellStyle name="Millares 2 2 3 3 3" xfId="2654" xr:uid="{6C6BAD27-B49F-4424-A017-C74D3C9DBCF3}"/>
    <cellStyle name="Millares 2 2 3 3 3 2" xfId="10925" xr:uid="{0D22C661-3193-44C4-AFBB-26DC4EE56B6C}"/>
    <cellStyle name="Millares 2 2 3 3 3 2 2" xfId="46085" xr:uid="{7E1DBAD8-DE5A-4F8B-B80A-E1DBE821F338}"/>
    <cellStyle name="Millares 2 2 3 3 3 3" xfId="13765" xr:uid="{6C4AE7A0-9534-4EAE-B4A2-CC781A304713}"/>
    <cellStyle name="Millares 2 2 3 3 3 4" xfId="19718" xr:uid="{15DC8D12-31FF-4DA1-B172-900D8940613E}"/>
    <cellStyle name="Millares 2 2 3 3 3 5" xfId="43689" xr:uid="{3C062FBB-705A-425F-AB92-43E90FC43A85}"/>
    <cellStyle name="Millares 2 2 3 3 3 6" xfId="48582" xr:uid="{967DEF65-69C2-4BD5-AFF3-8F78E51F1F8D}"/>
    <cellStyle name="Millares 2 2 3 3 4" xfId="3198" xr:uid="{00AD50F3-F29D-4752-80B0-3CE2282C25C3}"/>
    <cellStyle name="Millares 2 2 3 3 4 2" xfId="11469" xr:uid="{26562307-4D4B-4212-AA09-DAAF9796800E}"/>
    <cellStyle name="Millares 2 2 3 3 4 2 2" xfId="46629" xr:uid="{02B9B31D-4396-4CE5-9E35-1F8F52A34AD6}"/>
    <cellStyle name="Millares 2 2 3 3 4 3" xfId="14309" xr:uid="{C2B6DD77-0E6B-43A6-A516-E046C065BE3E}"/>
    <cellStyle name="Millares 2 2 3 3 4 4" xfId="25499" xr:uid="{9F8CE23C-09D0-400F-9307-627CB6D01C62}"/>
    <cellStyle name="Millares 2 2 3 3 4 5" xfId="44233" xr:uid="{49FC7EF3-4FA5-43C2-88C9-97E6F57BFFF5}"/>
    <cellStyle name="Millares 2 2 3 3 4 6" xfId="49126" xr:uid="{175CB834-9059-403C-87FD-B94DE6A9DF66}"/>
    <cellStyle name="Millares 2 2 3 3 5" xfId="3700" xr:uid="{262676E8-DBDC-4FDA-8A71-3A66958B6883}"/>
    <cellStyle name="Millares 2 2 3 3 5 2" xfId="11941" xr:uid="{0DB47DE7-AE36-41F8-91C6-9F6482A4F6B6}"/>
    <cellStyle name="Millares 2 2 3 3 5 3" xfId="14781" xr:uid="{A21D2A94-DE58-45B2-97CF-02B820C0A957}"/>
    <cellStyle name="Millares 2 2 3 3 5 4" xfId="31373" xr:uid="{3188B4F4-313B-443C-9FD2-7770B1D5132B}"/>
    <cellStyle name="Millares 2 2 3 3 5 5" xfId="44705" xr:uid="{0E0FA39B-59DE-4C5B-ACE0-82AC7581B353}"/>
    <cellStyle name="Millares 2 2 3 3 5 6" xfId="49598" xr:uid="{C10CC44C-97ED-44AB-BE9F-8B45ED6C8A59}"/>
    <cellStyle name="Millares 2 2 3 3 6" xfId="5248" xr:uid="{9FABF4BF-EEF3-4A48-874F-0268BEB72D92}"/>
    <cellStyle name="Millares 2 2 3 3 6 2" xfId="45123" xr:uid="{1D618437-3091-4321-80F0-945128D9495D}"/>
    <cellStyle name="Millares 2 2 3 3 7" xfId="9963" xr:uid="{83F8B99C-2917-4343-B3E4-1DFA71F8260C}"/>
    <cellStyle name="Millares 2 2 3 3 8" xfId="12803" xr:uid="{91C552D3-3417-4298-B14A-1BE7FEDDE676}"/>
    <cellStyle name="Millares 2 2 3 3 9" xfId="16146" xr:uid="{538F63F9-1B0B-475E-AC37-EAE98A827301}"/>
    <cellStyle name="Millares 2 2 3 4" xfId="622" xr:uid="{00000000-0005-0000-0000-0000FD010000}"/>
    <cellStyle name="Millares 2 2 3 4 10" xfId="42929" xr:uid="{F4459BA2-9F6D-4E35-BAB5-99DB236C108A}"/>
    <cellStyle name="Millares 2 2 3 4 11" xfId="47822" xr:uid="{D2D29EC2-F2E2-4BC4-8C49-E8734286B038}"/>
    <cellStyle name="Millares 2 2 3 4 2" xfId="2856" xr:uid="{78C541D3-A15A-42CE-B255-C6FC27A7B547}"/>
    <cellStyle name="Millares 2 2 3 4 2 2" xfId="11127" xr:uid="{B36E691F-7B6C-43B3-9642-FC2CF32B9C71}"/>
    <cellStyle name="Millares 2 2 3 4 2 2 2" xfId="46287" xr:uid="{AD5A186C-E7C5-4045-8FE7-A813992E2E62}"/>
    <cellStyle name="Millares 2 2 3 4 2 3" xfId="13967" xr:uid="{82F4E299-2C94-4C17-9A52-9A45E2B07A58}"/>
    <cellStyle name="Millares 2 2 3 4 2 4" xfId="21554" xr:uid="{DB7EE198-4C94-4F0E-9034-677C27A1ABB9}"/>
    <cellStyle name="Millares 2 2 3 4 2 5" xfId="43891" xr:uid="{DD06D093-FA40-456E-952C-399E738187C2}"/>
    <cellStyle name="Millares 2 2 3 4 2 6" xfId="48784" xr:uid="{5B94A724-3766-46A5-ABAB-64A3B02F39A1}"/>
    <cellStyle name="Millares 2 2 3 4 3" xfId="7143" xr:uid="{3FAD30D7-80E9-438F-8C08-70C37E175C3C}"/>
    <cellStyle name="Millares 2 2 3 4 3 2" xfId="45325" xr:uid="{931CD04F-91C8-433A-8237-7DF52454DF4B}"/>
    <cellStyle name="Millares 2 2 3 4 4" xfId="10165" xr:uid="{96873190-A874-4F6D-9266-7B466BF7D006}"/>
    <cellStyle name="Millares 2 2 3 4 4 2" xfId="33259" xr:uid="{4219CB2F-5FD9-46F6-9571-D03601028839}"/>
    <cellStyle name="Millares 2 2 3 4 5" xfId="13005" xr:uid="{9E08768D-EC40-46B9-ACF8-9159A57D672C}"/>
    <cellStyle name="Millares 2 2 3 4 5 2" xfId="39123" xr:uid="{72BB3F7A-90E2-46C1-89B7-EFAC5F18D761}"/>
    <cellStyle name="Millares 2 2 3 4 6" xfId="16348" xr:uid="{0A8ACBEE-FF88-4420-AF3F-FC8E13662DD2}"/>
    <cellStyle name="Millares 2 2 3 4 7" xfId="16891" xr:uid="{934CDE73-1145-40EA-8DA3-9B8163E7E741}"/>
    <cellStyle name="Millares 2 2 3 4 8" xfId="17435" xr:uid="{7A08BA26-2D3E-47AE-9FBA-46C54B399579}"/>
    <cellStyle name="Millares 2 2 3 4 9" xfId="17844" xr:uid="{58DAB731-F9C8-45A8-BC5D-AC59E92F3CB0}"/>
    <cellStyle name="Millares 2 2 3 5" xfId="1931" xr:uid="{00000000-0005-0000-0000-0000FE010000}"/>
    <cellStyle name="Millares 2 2 3 5 2" xfId="18792" xr:uid="{84558AC8-8A8D-464C-A2AF-9500842CF4D9}"/>
    <cellStyle name="Millares 2 2 3 6" xfId="2020" xr:uid="{DF70B35F-3716-4ED7-AE60-CD7BA970E1B4}"/>
    <cellStyle name="Millares 2 2 3 6 2" xfId="10291" xr:uid="{F03072DB-A805-40CF-A137-1AAB5F73B96F}"/>
    <cellStyle name="Millares 2 2 3 6 2 2" xfId="45451" xr:uid="{00192E40-811C-4CDA-AF63-6052815CDF11}"/>
    <cellStyle name="Millares 2 2 3 6 3" xfId="13131" xr:uid="{316B72AA-FCDE-427B-9E10-C43DAF9BAB0E}"/>
    <cellStyle name="Millares 2 2 3 6 4" xfId="24528" xr:uid="{01CAC944-3FB4-4D62-82E5-3A7B5BEB15F6}"/>
    <cellStyle name="Millares 2 2 3 6 5" xfId="43055" xr:uid="{020CB391-8F13-4647-9C66-3A84E0323F49}"/>
    <cellStyle name="Millares 2 2 3 6 6" xfId="47948" xr:uid="{2BBB68ED-3C64-4780-8E5B-3641B948B479}"/>
    <cellStyle name="Millares 2 2 3 7" xfId="2438" xr:uid="{34528520-3998-4AB4-A3A9-120878B572BA}"/>
    <cellStyle name="Millares 2 2 3 7 2" xfId="10709" xr:uid="{B130AE15-0DF2-419D-BF48-55722F4FDF43}"/>
    <cellStyle name="Millares 2 2 3 7 2 2" xfId="45869" xr:uid="{A6CD6CEB-39BA-44E8-B3B3-84DFF64B88A3}"/>
    <cellStyle name="Millares 2 2 3 7 3" xfId="13549" xr:uid="{2C95C0B2-29F5-44BD-9935-0B199EE93A6C}"/>
    <cellStyle name="Millares 2 2 3 7 4" xfId="30407" xr:uid="{F644C84F-4205-4076-A0A1-1CDB0262B104}"/>
    <cellStyle name="Millares 2 2 3 7 5" xfId="43473" xr:uid="{F7803837-0A91-415F-B7F0-85BA0B2A80F2}"/>
    <cellStyle name="Millares 2 2 3 7 6" xfId="48366" xr:uid="{1664CCF3-012D-4A9B-B1D3-8AD654919F91}"/>
    <cellStyle name="Millares 2 2 3 8" xfId="2982" xr:uid="{70478BEE-3F74-4BE6-94DA-B2A7E126279E}"/>
    <cellStyle name="Millares 2 2 3 8 2" xfId="11253" xr:uid="{F755B641-2E02-4065-975E-665C47AB899D}"/>
    <cellStyle name="Millares 2 2 3 8 2 2" xfId="46413" xr:uid="{EBA99D6E-A5EA-48DB-B262-99D2C91AD48C}"/>
    <cellStyle name="Millares 2 2 3 8 3" xfId="14093" xr:uid="{3AC317F0-E86B-4636-9C2E-8D0B25F5960B}"/>
    <cellStyle name="Millares 2 2 3 8 4" xfId="36288" xr:uid="{318A1BA5-0294-4685-BC61-330CBEA897FF}"/>
    <cellStyle name="Millares 2 2 3 8 5" xfId="44017" xr:uid="{86D570E9-C746-445D-A3D5-2D26D02AEBDF}"/>
    <cellStyle name="Millares 2 2 3 8 6" xfId="48910" xr:uid="{2661582D-8A48-475B-8678-B610826DE2CB}"/>
    <cellStyle name="Millares 2 2 3 9" xfId="3484" xr:uid="{FB61FD0C-7BEB-49D2-B843-6521AD3FB143}"/>
    <cellStyle name="Millares 2 2 3 9 2" xfId="11725" xr:uid="{1D8454FF-838F-4972-9FED-EA2F2FD923DD}"/>
    <cellStyle name="Millares 2 2 3 9 3" xfId="14565" xr:uid="{3F75A490-18EB-4393-9234-E39F21522135}"/>
    <cellStyle name="Millares 2 2 3 9 4" xfId="44489" xr:uid="{07E847A5-D366-4B36-9BD4-74526A1C3391}"/>
    <cellStyle name="Millares 2 2 3 9 5" xfId="49382" xr:uid="{310FEA03-616F-42F3-BA19-93780309A7CE}"/>
    <cellStyle name="Millares 2 2 4" xfId="169" xr:uid="{00000000-0005-0000-0000-0000FF010000}"/>
    <cellStyle name="Millares 2 2 4 10" xfId="9736" xr:uid="{B87FA799-5142-4038-9C42-95B6891489F9}"/>
    <cellStyle name="Millares 2 2 4 11" xfId="12576" xr:uid="{0C4200C0-0356-4912-A445-076412BF5FE8}"/>
    <cellStyle name="Millares 2 2 4 12" xfId="15919" xr:uid="{2E564942-409A-4BAD-9344-1B32B37856C5}"/>
    <cellStyle name="Millares 2 2 4 13" xfId="16462" xr:uid="{112811CC-5F09-446E-A603-0656BB49FF40}"/>
    <cellStyle name="Millares 2 2 4 14" xfId="17006" xr:uid="{1E778704-E18E-441D-95D4-978448F00742}"/>
    <cellStyle name="Millares 2 2 4 15" xfId="17639" xr:uid="{2A66B157-4692-43F1-9D1F-0FC2EFF4BE60}"/>
    <cellStyle name="Millares 2 2 4 16" xfId="42190" xr:uid="{9D4834FE-BE0B-47D6-9427-3B50EEDCB621}"/>
    <cellStyle name="Millares 2 2 4 17" xfId="42500" xr:uid="{B63EE2FD-C352-4D24-A03E-252ACDBDACE8}"/>
    <cellStyle name="Millares 2 2 4 18" xfId="47393" xr:uid="{58DF1D02-4931-49D6-83DC-38ABF0B2D8BB}"/>
    <cellStyle name="Millares 2 2 4 2" xfId="282" xr:uid="{00000000-0005-0000-0000-000000020000}"/>
    <cellStyle name="Millares 2 2 4 2 10" xfId="16023" xr:uid="{32494148-A4B1-404A-A533-D988322E143A}"/>
    <cellStyle name="Millares 2 2 4 2 11" xfId="16566" xr:uid="{F790611B-B0E1-4FFC-B0DD-AEA37CC8AD8C}"/>
    <cellStyle name="Millares 2 2 4 2 12" xfId="17110" xr:uid="{A24BFD0F-211E-4C1E-9BD9-23201D388267}"/>
    <cellStyle name="Millares 2 2 4 2 13" xfId="17868" xr:uid="{07DC606B-6FA6-425A-8FBD-6F56C4A87694}"/>
    <cellStyle name="Millares 2 2 4 2 14" xfId="42604" xr:uid="{A2D72DA0-8C2C-4AF4-85B7-E812CB255806}"/>
    <cellStyle name="Millares 2 2 4 2 15" xfId="47497" xr:uid="{2C36373C-2C2E-431D-8C2F-47679113C296}"/>
    <cellStyle name="Millares 2 2 4 2 2" xfId="509" xr:uid="{00000000-0005-0000-0000-000001020000}"/>
    <cellStyle name="Millares 2 2 4 2 2 10" xfId="16778" xr:uid="{D8DDBA8E-6EF4-4696-9CEA-5314B2B567C8}"/>
    <cellStyle name="Millares 2 2 4 2 2 11" xfId="17322" xr:uid="{3AE34CFB-8142-4C09-AE8F-022BDAF6DD2B}"/>
    <cellStyle name="Millares 2 2 4 2 2 12" xfId="17983" xr:uid="{17C889E9-64B3-4C0F-A2B8-8DBA96DB7EE5}"/>
    <cellStyle name="Millares 2 2 4 2 2 13" xfId="42816" xr:uid="{5594F63B-C965-4370-AA1A-05AA4C423E4A}"/>
    <cellStyle name="Millares 2 2 4 2 2 14" xfId="47709" xr:uid="{CA291948-100A-4680-A7C6-AA2FF3D45429}"/>
    <cellStyle name="Millares 2 2 4 2 2 2" xfId="2325" xr:uid="{88FC6DE6-593D-4E33-A7D5-D9BC380D7107}"/>
    <cellStyle name="Millares 2 2 4 2 2 2 2" xfId="10596" xr:uid="{78EDB78B-41D8-43BD-BFF8-2677BEBBA45C}"/>
    <cellStyle name="Millares 2 2 4 2 2 2 2 2" xfId="45756" xr:uid="{B089C60A-42D7-4823-8180-CEECF0DB819C}"/>
    <cellStyle name="Millares 2 2 4 2 2 2 3" xfId="13436" xr:uid="{A0ECC275-2608-4DED-8965-A53DA73BA865}"/>
    <cellStyle name="Millares 2 2 4 2 2 2 4" xfId="22518" xr:uid="{DAB2356C-5E5D-415E-8350-83DC5D7B9E5D}"/>
    <cellStyle name="Millares 2 2 4 2 2 2 5" xfId="43360" xr:uid="{C4EFBEEE-A7D0-43AA-85EC-4CE0C15672D1}"/>
    <cellStyle name="Millares 2 2 4 2 2 2 6" xfId="48253" xr:uid="{08B0C053-4FD3-4E70-9B17-73184094D65F}"/>
    <cellStyle name="Millares 2 2 4 2 2 3" xfId="2743" xr:uid="{B7CFB0D8-3FC3-4C4A-B7A1-1EB0D75BB92A}"/>
    <cellStyle name="Millares 2 2 4 2 2 3 2" xfId="11014" xr:uid="{35C51AC6-2313-43CE-9E49-5F6E0B8E12E6}"/>
    <cellStyle name="Millares 2 2 4 2 2 3 2 2" xfId="46174" xr:uid="{A5A7CF6A-005D-41A5-83EC-C9DE52CA74BA}"/>
    <cellStyle name="Millares 2 2 4 2 2 3 3" xfId="13854" xr:uid="{E6CEEBE1-C62D-490A-8B48-F0562FBCA5C2}"/>
    <cellStyle name="Millares 2 2 4 2 2 3 4" xfId="28375" xr:uid="{37372921-83A7-429B-8984-CD084AD10E24}"/>
    <cellStyle name="Millares 2 2 4 2 2 3 5" xfId="43778" xr:uid="{335A81E5-08F3-4067-A633-0D3E577E008E}"/>
    <cellStyle name="Millares 2 2 4 2 2 3 6" xfId="48671" xr:uid="{BCA5D52E-AF8A-44F0-AC7A-FBB3980A67FC}"/>
    <cellStyle name="Millares 2 2 4 2 2 4" xfId="3287" xr:uid="{4FB85811-BD85-4C57-B86B-A1A2B60F18D4}"/>
    <cellStyle name="Millares 2 2 4 2 2 4 2" xfId="11558" xr:uid="{4EE23059-F73B-4D8F-81CD-DADC1BF4B0DF}"/>
    <cellStyle name="Millares 2 2 4 2 2 4 2 2" xfId="46718" xr:uid="{E9E1F544-EE88-431C-998C-ABB591EF7629}"/>
    <cellStyle name="Millares 2 2 4 2 2 4 3" xfId="14398" xr:uid="{06436EB9-18F1-49B7-B195-4C35286E399B}"/>
    <cellStyle name="Millares 2 2 4 2 2 4 4" xfId="34257" xr:uid="{B337BC8F-065A-422A-A00E-2B5890AC92D7}"/>
    <cellStyle name="Millares 2 2 4 2 2 4 5" xfId="44322" xr:uid="{8067F4AB-178B-48CD-B29D-1FDA5EB621F0}"/>
    <cellStyle name="Millares 2 2 4 2 2 4 6" xfId="49215" xr:uid="{0DDCDA66-3478-4079-BC6C-D980D22405C6}"/>
    <cellStyle name="Millares 2 2 4 2 2 5" xfId="3789" xr:uid="{91CB4BFC-93D7-4CEF-A804-CFDBE5BCC9E2}"/>
    <cellStyle name="Millares 2 2 4 2 2 5 2" xfId="12030" xr:uid="{837AF8AB-BFFE-492E-B95F-AF070E48E44F}"/>
    <cellStyle name="Millares 2 2 4 2 2 5 3" xfId="14870" xr:uid="{D091B1F0-EE76-4EFC-A175-743BA4C90F65}"/>
    <cellStyle name="Millares 2 2 4 2 2 5 4" xfId="40121" xr:uid="{2ECB8ED3-341F-46F6-8344-6456D7763874}"/>
    <cellStyle name="Millares 2 2 4 2 2 5 5" xfId="44794" xr:uid="{202F1F76-95E8-454F-812E-3DE60CAAEAFE}"/>
    <cellStyle name="Millares 2 2 4 2 2 5 6" xfId="49687" xr:uid="{AF55CC34-8DA7-46B6-AB6C-0F6C70C507DC}"/>
    <cellStyle name="Millares 2 2 4 2 2 6" xfId="8142" xr:uid="{5F102A59-FEF0-46D5-AB22-97BF3B37D311}"/>
    <cellStyle name="Millares 2 2 4 2 2 6 2" xfId="45212" xr:uid="{DCA33F3F-B6FC-4788-A48B-8BD33EA788E9}"/>
    <cellStyle name="Millares 2 2 4 2 2 7" xfId="10052" xr:uid="{8858147E-B278-4B3D-96C6-80302E5B6EB6}"/>
    <cellStyle name="Millares 2 2 4 2 2 8" xfId="12892" xr:uid="{A9B94F99-BCC3-4C14-BDCB-8953BFECABF3}"/>
    <cellStyle name="Millares 2 2 4 2 2 9" xfId="16235" xr:uid="{D9C26F66-3120-49D3-8928-1412C0A6FA5A}"/>
    <cellStyle name="Millares 2 2 4 2 3" xfId="2113" xr:uid="{A82931D8-4FEA-4B96-B97D-9E34B98AF931}"/>
    <cellStyle name="Millares 2 2 4 2 3 2" xfId="10384" xr:uid="{D16F5F8B-A5CE-4A73-BBE6-5807A6E68647}"/>
    <cellStyle name="Millares 2 2 4 2 3 2 2" xfId="45544" xr:uid="{B4380457-179B-4A93-8B6B-D81DCB17C7F4}"/>
    <cellStyle name="Millares 2 2 4 2 3 3" xfId="13224" xr:uid="{64635860-E4A5-4533-B1E5-0F383D692482}"/>
    <cellStyle name="Millares 2 2 4 2 3 4" xfId="19744" xr:uid="{11B8FB97-DD69-4BBF-A4D5-63323B9E1224}"/>
    <cellStyle name="Millares 2 2 4 2 3 5" xfId="43148" xr:uid="{7BCE4E92-DC5B-40F7-B71B-D431D5245A61}"/>
    <cellStyle name="Millares 2 2 4 2 3 6" xfId="48041" xr:uid="{D6165168-4616-4237-96F6-5B8C8F9D5155}"/>
    <cellStyle name="Millares 2 2 4 2 4" xfId="2531" xr:uid="{C8663145-6BCF-4C87-AA66-896C0503AF9C}"/>
    <cellStyle name="Millares 2 2 4 2 4 2" xfId="10802" xr:uid="{152E7853-99ED-4A7C-B24D-06A604E670A0}"/>
    <cellStyle name="Millares 2 2 4 2 4 2 2" xfId="45962" xr:uid="{9A3182EA-2496-400C-AFA7-FD4C6CFE77F2}"/>
    <cellStyle name="Millares 2 2 4 2 4 3" xfId="13642" xr:uid="{FBE7C90C-B869-49DB-823B-60ED69792985}"/>
    <cellStyle name="Millares 2 2 4 2 4 4" xfId="25526" xr:uid="{0A9841D1-9BDB-4306-AC1F-85932279D7F9}"/>
    <cellStyle name="Millares 2 2 4 2 4 5" xfId="43566" xr:uid="{9ECDB647-8E24-46A5-B895-5A5EDA0FB992}"/>
    <cellStyle name="Millares 2 2 4 2 4 6" xfId="48459" xr:uid="{7B1DBA9E-80F9-4B9B-8E4D-3A0F7999A407}"/>
    <cellStyle name="Millares 2 2 4 2 5" xfId="3075" xr:uid="{E329D7F3-1691-43C2-B089-DE5BA734498B}"/>
    <cellStyle name="Millares 2 2 4 2 5 2" xfId="11346" xr:uid="{BCE2F54D-354F-4A88-8685-90039562BFFD}"/>
    <cellStyle name="Millares 2 2 4 2 5 2 2" xfId="46506" xr:uid="{458F4032-2FC4-493A-8605-6CF3E63AF8D7}"/>
    <cellStyle name="Millares 2 2 4 2 5 3" xfId="14186" xr:uid="{E0D6A5B1-87A8-4B3F-BD86-3BAF55A7C522}"/>
    <cellStyle name="Millares 2 2 4 2 5 4" xfId="31400" xr:uid="{51E21F82-87FE-4B83-BA90-50299DE524BD}"/>
    <cellStyle name="Millares 2 2 4 2 5 5" xfId="44110" xr:uid="{E4D5971F-CE02-43EB-95DB-AB7B58913BA6}"/>
    <cellStyle name="Millares 2 2 4 2 5 6" xfId="49003" xr:uid="{1B3BC63C-A38E-4344-872E-75DD88B490AC}"/>
    <cellStyle name="Millares 2 2 4 2 6" xfId="3577" xr:uid="{3CE5A8E3-C6F1-4406-B8B5-28AEB9F18547}"/>
    <cellStyle name="Millares 2 2 4 2 6 2" xfId="11818" xr:uid="{0D7FB0DD-F33D-4FA6-84A3-85674591BE1D}"/>
    <cellStyle name="Millares 2 2 4 2 6 3" xfId="14658" xr:uid="{E4414717-D863-489C-BAC1-FAB4A4981777}"/>
    <cellStyle name="Millares 2 2 4 2 6 4" xfId="37271" xr:uid="{3F238E4F-35E2-4910-BAEC-E1A0946BFC29}"/>
    <cellStyle name="Millares 2 2 4 2 6 5" xfId="44582" xr:uid="{AEBF627E-7F9C-4EAF-A001-AB351AEAC4DD}"/>
    <cellStyle name="Millares 2 2 4 2 6 6" xfId="49475" xr:uid="{B63E5B2A-DF7C-48B1-89EB-812ED449B317}"/>
    <cellStyle name="Millares 2 2 4 2 7" xfId="5275" xr:uid="{BAAEF38F-9865-4DDC-B9DA-776E057E028B}"/>
    <cellStyle name="Millares 2 2 4 2 7 2" xfId="45000" xr:uid="{44070AA5-3D32-465F-B57C-2BE7F7918ECF}"/>
    <cellStyle name="Millares 2 2 4 2 8" xfId="9840" xr:uid="{6E84790F-BC76-4C60-9AF1-27396FD580FB}"/>
    <cellStyle name="Millares 2 2 4 2 9" xfId="12680" xr:uid="{B41E267D-8D08-425E-9EBF-E8E9C1347D31}"/>
    <cellStyle name="Millares 2 2 4 3" xfId="408" xr:uid="{00000000-0005-0000-0000-000002020000}"/>
    <cellStyle name="Millares 2 2 4 3 10" xfId="16678" xr:uid="{607B0AA9-005F-4FC8-A966-45638E6261A2}"/>
    <cellStyle name="Millares 2 2 4 3 11" xfId="17222" xr:uid="{09F60CF7-38A1-4B6E-9093-038E5FA7CB5D}"/>
    <cellStyle name="Millares 2 2 4 3 12" xfId="17757" xr:uid="{281FC96A-BCED-49D2-9BCA-1ED471D6D4E8}"/>
    <cellStyle name="Millares 2 2 4 3 13" xfId="42716" xr:uid="{F2FDE312-92A5-4B3E-AB8C-C4138AC29E0D}"/>
    <cellStyle name="Millares 2 2 4 3 14" xfId="47609" xr:uid="{23FAA236-668E-4A89-977D-138D5606357E}"/>
    <cellStyle name="Millares 2 2 4 3 2" xfId="2225" xr:uid="{D0B06E57-0047-499D-B680-0C2649DF3071}"/>
    <cellStyle name="Millares 2 2 4 3 2 2" xfId="10496" xr:uid="{E19A00CF-7195-40B6-BF70-3BA186BF77D4}"/>
    <cellStyle name="Millares 2 2 4 3 2 2 2" xfId="45656" xr:uid="{D4C1D78A-8E4B-41DB-B8BD-3200C55452A2}"/>
    <cellStyle name="Millares 2 2 4 3 2 3" xfId="13336" xr:uid="{85FA2830-983E-4008-A58E-81C95AD53FD0}"/>
    <cellStyle name="Millares 2 2 4 3 2 4" xfId="21578" xr:uid="{43D1D8D4-FDC8-4F74-B69E-E113C83D2E2E}"/>
    <cellStyle name="Millares 2 2 4 3 2 5" xfId="43260" xr:uid="{8E7D5AFC-C6A0-465D-8C16-D19D7CE9BF4E}"/>
    <cellStyle name="Millares 2 2 4 3 2 6" xfId="48153" xr:uid="{1FDC3FD9-A46F-4C49-86C5-5F88C3525A22}"/>
    <cellStyle name="Millares 2 2 4 3 3" xfId="2643" xr:uid="{7857172F-E4E9-493C-B537-172456F20C36}"/>
    <cellStyle name="Millares 2 2 4 3 3 2" xfId="10914" xr:uid="{CC7154ED-2C67-4416-B115-5CE49C9BC971}"/>
    <cellStyle name="Millares 2 2 4 3 3 2 2" xfId="46074" xr:uid="{A8224151-B39D-484C-8B3D-F4D90BC0DA59}"/>
    <cellStyle name="Millares 2 2 4 3 3 3" xfId="13754" xr:uid="{4AA99233-C95F-4F66-8643-CAEB2F31A7CE}"/>
    <cellStyle name="Millares 2 2 4 3 3 4" xfId="27404" xr:uid="{8AF3793D-F27C-43DF-8F72-3995DCF28661}"/>
    <cellStyle name="Millares 2 2 4 3 3 5" xfId="43678" xr:uid="{595FDEF5-48C0-4F50-B294-CC671A68666B}"/>
    <cellStyle name="Millares 2 2 4 3 3 6" xfId="48571" xr:uid="{599B1B8B-61CC-4B3D-A4D8-EBEF39B49A41}"/>
    <cellStyle name="Millares 2 2 4 3 4" xfId="3187" xr:uid="{5B2BB60E-4ED8-4177-BDAD-DB58429F7164}"/>
    <cellStyle name="Millares 2 2 4 3 4 2" xfId="11458" xr:uid="{E095364A-93E9-4BF0-9788-73563E6926CC}"/>
    <cellStyle name="Millares 2 2 4 3 4 2 2" xfId="46618" xr:uid="{B1B660CA-4D20-4787-8C71-3D028B29CA22}"/>
    <cellStyle name="Millares 2 2 4 3 4 3" xfId="14298" xr:uid="{BE18D29F-18CF-4AD5-A08F-CB114253C510}"/>
    <cellStyle name="Millares 2 2 4 3 4 4" xfId="33286" xr:uid="{01AA2C70-CE83-4AF9-A8F7-66A4EBB4F05D}"/>
    <cellStyle name="Millares 2 2 4 3 4 5" xfId="44222" xr:uid="{5F22FC7E-5C0F-4984-81F8-7D2D67C9131C}"/>
    <cellStyle name="Millares 2 2 4 3 4 6" xfId="49115" xr:uid="{5A014D46-09EC-4D7B-9ADA-310E6294C783}"/>
    <cellStyle name="Millares 2 2 4 3 5" xfId="3689" xr:uid="{9E69B784-6238-4BED-90D2-B6E6D21B40AB}"/>
    <cellStyle name="Millares 2 2 4 3 5 2" xfId="11930" xr:uid="{3B365025-317F-4AEF-8015-54519F0C6182}"/>
    <cellStyle name="Millares 2 2 4 3 5 3" xfId="14770" xr:uid="{91A2D81A-0379-4581-8CFD-F5625D9DA386}"/>
    <cellStyle name="Millares 2 2 4 3 5 4" xfId="39150" xr:uid="{4FE5ACC8-3821-460E-A184-2F61316AD204}"/>
    <cellStyle name="Millares 2 2 4 3 5 5" xfId="44694" xr:uid="{C8A64232-8CC1-43A3-8EDC-14C71ED1D68B}"/>
    <cellStyle name="Millares 2 2 4 3 5 6" xfId="49587" xr:uid="{E9D8B36D-F3D0-446D-91AB-CE4B0F9B5392}"/>
    <cellStyle name="Millares 2 2 4 3 6" xfId="7170" xr:uid="{A5FF1284-D0B5-4330-BEF4-10987EE851E0}"/>
    <cellStyle name="Millares 2 2 4 3 6 2" xfId="45112" xr:uid="{F0B9CDCA-F655-4D17-959D-708F943F9300}"/>
    <cellStyle name="Millares 2 2 4 3 7" xfId="9952" xr:uid="{58AC0062-E16C-4D96-B07E-E2AB8A578B98}"/>
    <cellStyle name="Millares 2 2 4 3 8" xfId="12792" xr:uid="{8B58C59D-6C57-493E-90F3-85885D89329B}"/>
    <cellStyle name="Millares 2 2 4 3 9" xfId="16135" xr:uid="{8BB46FB9-B462-4DAE-81A5-524AFD8187F4}"/>
    <cellStyle name="Millares 2 2 4 4" xfId="611" xr:uid="{00000000-0005-0000-0000-000003020000}"/>
    <cellStyle name="Millares 2 2 4 4 10" xfId="42918" xr:uid="{4E551739-9CD9-4C6E-84A8-F399294FD8EA}"/>
    <cellStyle name="Millares 2 2 4 4 11" xfId="47811" xr:uid="{F8328398-C6FA-4E5A-843B-6A201AF31A0E}"/>
    <cellStyle name="Millares 2 2 4 4 2" xfId="2845" xr:uid="{04BBFC19-DE16-4AB5-9B72-D2ACCBD270E2}"/>
    <cellStyle name="Millares 2 2 4 4 2 2" xfId="11116" xr:uid="{BF4301E8-0858-4178-ADA2-053383AB66C8}"/>
    <cellStyle name="Millares 2 2 4 4 2 2 2" xfId="46276" xr:uid="{11A9693B-3FE4-4125-BC8A-84BCCCBF3AB8}"/>
    <cellStyle name="Millares 2 2 4 4 2 3" xfId="13956" xr:uid="{4F8B3AE5-A750-4E95-9541-9835714F29C8}"/>
    <cellStyle name="Millares 2 2 4 4 2 4" xfId="43880" xr:uid="{631C31A2-0E67-4A7C-B708-1C0EA9ED47C3}"/>
    <cellStyle name="Millares 2 2 4 4 2 5" xfId="48773" xr:uid="{B53F7E99-55C5-4092-91FE-ECDB165B6A22}"/>
    <cellStyle name="Millares 2 2 4 4 3" xfId="10154" xr:uid="{70A8D5D2-60C3-4158-A24C-2615405319FF}"/>
    <cellStyle name="Millares 2 2 4 4 3 2" xfId="45314" xr:uid="{E9F801E0-C230-401C-9C0E-4C30D899FAC3}"/>
    <cellStyle name="Millares 2 2 4 4 4" xfId="12994" xr:uid="{7CFC17F0-0CC7-41CC-97FA-71CB673662EE}"/>
    <cellStyle name="Millares 2 2 4 4 5" xfId="16337" xr:uid="{76AFF509-2867-4B94-B3AD-9DC9F32C4F48}"/>
    <cellStyle name="Millares 2 2 4 4 6" xfId="16880" xr:uid="{5FAA9251-F787-4640-A2E0-C4F50761B122}"/>
    <cellStyle name="Millares 2 2 4 4 7" xfId="17424" xr:uid="{C026053F-39EE-4121-9FCC-0D97B0D30976}"/>
    <cellStyle name="Millares 2 2 4 4 8" xfId="18815" xr:uid="{18EB3B5F-802D-4655-8839-23ABE3DB74EC}"/>
    <cellStyle name="Millares 2 2 4 4 9" xfId="18235" xr:uid="{46507D56-CC2E-4616-A091-FF028A9C3AAE}"/>
    <cellStyle name="Millares 2 2 4 5" xfId="2009" xr:uid="{D628AC67-5DB8-4E40-8671-14C920AEF950}"/>
    <cellStyle name="Millares 2 2 4 5 2" xfId="10280" xr:uid="{922C7DA3-3B6B-4701-9CDA-67EE6FFC1FAB}"/>
    <cellStyle name="Millares 2 2 4 5 2 2" xfId="45440" xr:uid="{C803F986-510B-456A-95CB-240EB8380986}"/>
    <cellStyle name="Millares 2 2 4 5 3" xfId="13120" xr:uid="{A08EC01D-351C-44C5-80DD-3B1C6E956B95}"/>
    <cellStyle name="Millares 2 2 4 5 4" xfId="24555" xr:uid="{1C06BFB3-0DD2-448E-9878-3054B0828706}"/>
    <cellStyle name="Millares 2 2 4 5 5" xfId="43044" xr:uid="{12A5550C-72E4-4C22-A060-FCA6B6408111}"/>
    <cellStyle name="Millares 2 2 4 5 6" xfId="47937" xr:uid="{0CDD29D7-8604-4E41-A1AF-9E397DAC250E}"/>
    <cellStyle name="Millares 2 2 4 6" xfId="2427" xr:uid="{0EE0E006-6E21-44CF-AAB4-9449B03B3B8C}"/>
    <cellStyle name="Millares 2 2 4 6 2" xfId="10698" xr:uid="{7DA9A571-F760-4CE0-B6DE-043F57C5014D}"/>
    <cellStyle name="Millares 2 2 4 6 2 2" xfId="45858" xr:uid="{60C96754-7742-4A6B-8558-2376CDBBEB49}"/>
    <cellStyle name="Millares 2 2 4 6 3" xfId="13538" xr:uid="{08FDC926-DEB5-4C84-96EB-D73CA4962F35}"/>
    <cellStyle name="Millares 2 2 4 6 4" xfId="30434" xr:uid="{77EA8207-9614-40C8-B57B-BE9CE1063B3B}"/>
    <cellStyle name="Millares 2 2 4 6 5" xfId="43462" xr:uid="{E11F7EA0-9DD5-4479-8BC8-611DA4D6E302}"/>
    <cellStyle name="Millares 2 2 4 6 6" xfId="48355" xr:uid="{727473DA-E0D0-4399-B288-65D95C58823A}"/>
    <cellStyle name="Millares 2 2 4 7" xfId="2971" xr:uid="{95DD2B99-5DAD-45AA-B771-9311FC4FA429}"/>
    <cellStyle name="Millares 2 2 4 7 2" xfId="11242" xr:uid="{41B38730-9929-4C51-9E7B-8CB7A3CDE050}"/>
    <cellStyle name="Millares 2 2 4 7 2 2" xfId="46402" xr:uid="{410ADCB2-2CBF-4950-AB1B-CC5129AEEA59}"/>
    <cellStyle name="Millares 2 2 4 7 3" xfId="14082" xr:uid="{3623B949-50F7-4E89-97B7-9812192E1B05}"/>
    <cellStyle name="Millares 2 2 4 7 4" xfId="36314" xr:uid="{EA04C1DA-A922-45DC-8910-9DEEFFB94573}"/>
    <cellStyle name="Millares 2 2 4 7 5" xfId="44006" xr:uid="{8EAC8DD0-42E2-4A68-A99C-3A4A7878FCBD}"/>
    <cellStyle name="Millares 2 2 4 7 6" xfId="48899" xr:uid="{B9884862-3520-40B1-964C-85C93BB862AC}"/>
    <cellStyle name="Millares 2 2 4 8" xfId="3473" xr:uid="{B06BDAA5-1DD2-4BC1-9228-BC8BA6E71EC9}"/>
    <cellStyle name="Millares 2 2 4 8 2" xfId="11714" xr:uid="{A9D435AA-730A-4736-8B69-10B2E38A5DFF}"/>
    <cellStyle name="Millares 2 2 4 8 3" xfId="14554" xr:uid="{E997E1D6-1362-40AC-BE4E-0F24070DB320}"/>
    <cellStyle name="Millares 2 2 4 8 4" xfId="44478" xr:uid="{A432FD06-A3DE-480B-8B21-FE5E800809F4}"/>
    <cellStyle name="Millares 2 2 4 8 5" xfId="49371" xr:uid="{487A21F4-EB06-475A-945F-DC0B0FD01BD3}"/>
    <cellStyle name="Millares 2 2 4 9" xfId="4309" xr:uid="{6624AD43-E5A1-4B3B-9AB7-3D3C606A7F1F}"/>
    <cellStyle name="Millares 2 2 4 9 2" xfId="44896" xr:uid="{A2E23101-62B3-422A-A69E-C7136A42C188}"/>
    <cellStyle name="Millares 2 2 5" xfId="137" xr:uid="{00000000-0005-0000-0000-000004020000}"/>
    <cellStyle name="Millares 2 2 5 10" xfId="9705" xr:uid="{CC131DD8-BB3F-42ED-89FD-CAE42BAD9C2C}"/>
    <cellStyle name="Millares 2 2 5 11" xfId="12545" xr:uid="{40B80570-5BA2-4919-8B4B-0344725952B6}"/>
    <cellStyle name="Millares 2 2 5 12" xfId="15888" xr:uid="{732E1729-7D52-4818-8E87-86EDEAE6F604}"/>
    <cellStyle name="Millares 2 2 5 13" xfId="16431" xr:uid="{BE75C988-26D0-4B4F-8116-B443241CA189}"/>
    <cellStyle name="Millares 2 2 5 14" xfId="16975" xr:uid="{F8F6EC19-E36A-48CB-AF8D-807242D8CD0D}"/>
    <cellStyle name="Millares 2 2 5 15" xfId="17709" xr:uid="{440314AE-9F99-4933-AF23-1A464F1385CB}"/>
    <cellStyle name="Millares 2 2 5 16" xfId="42191" xr:uid="{9743C6EB-CFCD-44D6-BDA2-88C7F545337D}"/>
    <cellStyle name="Millares 2 2 5 17" xfId="42469" xr:uid="{14919A57-34E1-4EBE-8F35-CEF7928B7093}"/>
    <cellStyle name="Millares 2 2 5 18" xfId="47362" xr:uid="{87554880-7487-4E43-8EC2-AAC6892423F4}"/>
    <cellStyle name="Millares 2 2 5 2" xfId="251" xr:uid="{00000000-0005-0000-0000-000005020000}"/>
    <cellStyle name="Millares 2 2 5 2 10" xfId="15992" xr:uid="{05B1DF4E-2BC5-469D-BE5B-217A1BD97C3C}"/>
    <cellStyle name="Millares 2 2 5 2 11" xfId="16535" xr:uid="{04995136-8C0A-465D-8A73-5D82349072AD}"/>
    <cellStyle name="Millares 2 2 5 2 12" xfId="17079" xr:uid="{5AA8B016-C546-47DB-B793-F79702355C9F}"/>
    <cellStyle name="Millares 2 2 5 2 13" xfId="18278" xr:uid="{5D67E40C-94CC-4CDD-897C-9622C9DD4CC8}"/>
    <cellStyle name="Millares 2 2 5 2 14" xfId="42573" xr:uid="{6956A8DC-3A78-4B59-A60D-524AD93592DC}"/>
    <cellStyle name="Millares 2 2 5 2 15" xfId="47466" xr:uid="{854FD2EE-F724-4289-9F8D-AA26E0107A83}"/>
    <cellStyle name="Millares 2 2 5 2 2" xfId="478" xr:uid="{00000000-0005-0000-0000-000006020000}"/>
    <cellStyle name="Millares 2 2 5 2 2 10" xfId="17291" xr:uid="{347629EF-27AD-4E97-B0D3-B9DF4EF8E536}"/>
    <cellStyle name="Millares 2 2 5 2 2 11" xfId="22048" xr:uid="{C0F8ABD8-87E5-499E-A755-0DB819D71D82}"/>
    <cellStyle name="Millares 2 2 5 2 2 12" xfId="17918" xr:uid="{38118610-40BF-4E7C-A992-689F0554B158}"/>
    <cellStyle name="Millares 2 2 5 2 2 13" xfId="42785" xr:uid="{7807A370-F393-44B4-81DF-2EEC9CE4D70B}"/>
    <cellStyle name="Millares 2 2 5 2 2 14" xfId="47678" xr:uid="{4987CACC-FD99-4BC1-B644-C261F03C291C}"/>
    <cellStyle name="Millares 2 2 5 2 2 2" xfId="2294" xr:uid="{94F3340C-4317-4A44-8E2A-8FF2F7D3BD56}"/>
    <cellStyle name="Millares 2 2 5 2 2 2 2" xfId="10565" xr:uid="{828B335E-E776-4272-85B1-4FD93CFEF45C}"/>
    <cellStyle name="Millares 2 2 5 2 2 2 2 2" xfId="45725" xr:uid="{554706C6-0370-473E-8C9F-F98A7987A506}"/>
    <cellStyle name="Millares 2 2 5 2 2 2 3" xfId="13405" xr:uid="{6AD4DDD7-88E6-473A-964C-2FB9879E23B2}"/>
    <cellStyle name="Millares 2 2 5 2 2 2 4" xfId="43329" xr:uid="{0AC9866D-C604-4FC0-8763-C982ECB04E97}"/>
    <cellStyle name="Millares 2 2 5 2 2 2 5" xfId="48222" xr:uid="{852C89C3-6AF1-4318-942C-CB9FD8D7743F}"/>
    <cellStyle name="Millares 2 2 5 2 2 3" xfId="2712" xr:uid="{F49D3E96-774F-4278-BE45-FAAF5D80A40B}"/>
    <cellStyle name="Millares 2 2 5 2 2 3 2" xfId="10983" xr:uid="{16AC5170-D0E5-4D40-A60E-5A0084F6BCFD}"/>
    <cellStyle name="Millares 2 2 5 2 2 3 2 2" xfId="46143" xr:uid="{BA539EC2-DC3B-4DF2-904A-4A4F562E4A7D}"/>
    <cellStyle name="Millares 2 2 5 2 2 3 3" xfId="13823" xr:uid="{EE0EC77D-6AA5-4E45-914A-134E4724A41D}"/>
    <cellStyle name="Millares 2 2 5 2 2 3 4" xfId="43747" xr:uid="{02F09015-9BAE-41EF-953D-3F4FB228E661}"/>
    <cellStyle name="Millares 2 2 5 2 2 3 5" xfId="48640" xr:uid="{0C8D1A1D-4F5C-4761-923E-7C66EBCFDC4B}"/>
    <cellStyle name="Millares 2 2 5 2 2 4" xfId="3256" xr:uid="{F018BC0B-340B-4F1A-80AB-963590A2CC6B}"/>
    <cellStyle name="Millares 2 2 5 2 2 4 2" xfId="11527" xr:uid="{2A1F5B02-FE84-4CE8-B265-6788150EFB5F}"/>
    <cellStyle name="Millares 2 2 5 2 2 4 2 2" xfId="46687" xr:uid="{72A723A5-D2D0-4051-92EC-30B027DB8B72}"/>
    <cellStyle name="Millares 2 2 5 2 2 4 3" xfId="14367" xr:uid="{D6CAAC15-5DDD-465B-8DC1-3F5B65A19288}"/>
    <cellStyle name="Millares 2 2 5 2 2 4 4" xfId="44291" xr:uid="{5C153922-4612-40A9-A957-50C3B10EEC1E}"/>
    <cellStyle name="Millares 2 2 5 2 2 4 5" xfId="49184" xr:uid="{AB7491EB-6E8B-4C50-94EF-DA9DE021A397}"/>
    <cellStyle name="Millares 2 2 5 2 2 5" xfId="3758" xr:uid="{C93CADE2-8B99-4030-9A80-C19611EBC51C}"/>
    <cellStyle name="Millares 2 2 5 2 2 5 2" xfId="11999" xr:uid="{5978D7CD-46AF-4358-83AD-CA90AC62A447}"/>
    <cellStyle name="Millares 2 2 5 2 2 5 3" xfId="14839" xr:uid="{5727B712-E830-47F5-9609-903F2F223211}"/>
    <cellStyle name="Millares 2 2 5 2 2 5 4" xfId="44763" xr:uid="{D162FC62-95F4-40F5-AA05-E0121BA23587}"/>
    <cellStyle name="Millares 2 2 5 2 2 5 5" xfId="49656" xr:uid="{2ABF7474-E248-4909-AD36-F4D998A91565}"/>
    <cellStyle name="Millares 2 2 5 2 2 6" xfId="10021" xr:uid="{B41DF6A8-D054-4B3B-A31B-49018AB18109}"/>
    <cellStyle name="Millares 2 2 5 2 2 6 2" xfId="45181" xr:uid="{0FCBA508-4D3F-4099-B2D1-1C4B33769E82}"/>
    <cellStyle name="Millares 2 2 5 2 2 7" xfId="12861" xr:uid="{1B8A0F8D-30D8-4CA1-9F32-4D00EC21D9BC}"/>
    <cellStyle name="Millares 2 2 5 2 2 8" xfId="16204" xr:uid="{0C3105FC-E2C9-4EDF-BA5C-C49E695788BA}"/>
    <cellStyle name="Millares 2 2 5 2 2 9" xfId="16747" xr:uid="{F03E128B-0047-4561-AB12-5DCA1006103E}"/>
    <cellStyle name="Millares 2 2 5 2 3" xfId="2082" xr:uid="{E16BD657-2554-417F-90F8-946628D973AA}"/>
    <cellStyle name="Millares 2 2 5 2 3 2" xfId="10353" xr:uid="{B52F981D-603B-46EB-968B-31AB2804489A}"/>
    <cellStyle name="Millares 2 2 5 2 3 2 2" xfId="45513" xr:uid="{7F659BFD-0C0E-4E9E-8F6A-E4F07EC91E28}"/>
    <cellStyle name="Millares 2 2 5 2 3 3" xfId="13193" xr:uid="{10359274-2F78-4FD7-899D-E0D90D0577E3}"/>
    <cellStyle name="Millares 2 2 5 2 3 4" xfId="27890" xr:uid="{09926D18-99DE-45BE-B6A3-A6B77E716484}"/>
    <cellStyle name="Millares 2 2 5 2 3 5" xfId="43117" xr:uid="{72CA6EB0-A949-41F3-BC23-66964EC7A8BF}"/>
    <cellStyle name="Millares 2 2 5 2 3 6" xfId="48010" xr:uid="{DC21C128-4E4B-4463-8B0C-9DAD971B81BE}"/>
    <cellStyle name="Millares 2 2 5 2 4" xfId="2500" xr:uid="{C51EF308-F844-40B0-A94B-09457459ED6E}"/>
    <cellStyle name="Millares 2 2 5 2 4 2" xfId="10771" xr:uid="{1126A961-6DA1-41E7-8201-6D201821056C}"/>
    <cellStyle name="Millares 2 2 5 2 4 2 2" xfId="45931" xr:uid="{9F9922A8-F3EE-43BD-8D25-14154068BD77}"/>
    <cellStyle name="Millares 2 2 5 2 4 3" xfId="13611" xr:uid="{2E08B535-DB02-4FBD-9B89-5462FD16CF58}"/>
    <cellStyle name="Millares 2 2 5 2 4 4" xfId="33772" xr:uid="{C67A41FD-B60E-4CD1-9DBE-85E1C33C0CA1}"/>
    <cellStyle name="Millares 2 2 5 2 4 5" xfId="43535" xr:uid="{01DD67D2-2A8E-42CB-A96F-A286FCEBAED5}"/>
    <cellStyle name="Millares 2 2 5 2 4 6" xfId="48428" xr:uid="{958A5F08-E973-494C-9E88-52D8595BECE6}"/>
    <cellStyle name="Millares 2 2 5 2 5" xfId="3044" xr:uid="{F0304C54-336F-4116-BF59-4EAF694E0128}"/>
    <cellStyle name="Millares 2 2 5 2 5 2" xfId="11315" xr:uid="{1894E1DB-1A97-4986-A740-E6797A6C31E4}"/>
    <cellStyle name="Millares 2 2 5 2 5 2 2" xfId="46475" xr:uid="{D88E8F70-7633-4772-80ED-2EE4843CAA36}"/>
    <cellStyle name="Millares 2 2 5 2 5 3" xfId="14155" xr:uid="{4D2B2463-AC5C-4E63-9945-2605644DBFE6}"/>
    <cellStyle name="Millares 2 2 5 2 5 4" xfId="39636" xr:uid="{C9D06DC5-B0BF-4FC6-91D9-FEB0E5837C29}"/>
    <cellStyle name="Millares 2 2 5 2 5 5" xfId="44079" xr:uid="{FA21F0C8-CB8D-483C-9D0F-2335851649DE}"/>
    <cellStyle name="Millares 2 2 5 2 5 6" xfId="48972" xr:uid="{F4DB3BB1-09B0-4145-A41B-0A85A70FFD8A}"/>
    <cellStyle name="Millares 2 2 5 2 6" xfId="3546" xr:uid="{A6A5B84F-B4F3-43D3-A529-EF623BBAAA41}"/>
    <cellStyle name="Millares 2 2 5 2 6 2" xfId="11787" xr:uid="{40DD2FBF-1B17-4447-A617-31014F9CD08E}"/>
    <cellStyle name="Millares 2 2 5 2 6 3" xfId="14627" xr:uid="{21D3482C-5963-4381-AF10-417B57F2B831}"/>
    <cellStyle name="Millares 2 2 5 2 6 4" xfId="44551" xr:uid="{5977F641-3620-4C84-86F0-B6642D795F8D}"/>
    <cellStyle name="Millares 2 2 5 2 6 5" xfId="49444" xr:uid="{197F46E6-858D-42CD-891D-6B4D4E8BADE3}"/>
    <cellStyle name="Millares 2 2 5 2 7" xfId="7656" xr:uid="{96D2FF7C-A8B1-4DA3-96CF-3BCF73F8EEBA}"/>
    <cellStyle name="Millares 2 2 5 2 7 2" xfId="44969" xr:uid="{87F84D24-771F-4259-8D81-D24E345C65A3}"/>
    <cellStyle name="Millares 2 2 5 2 8" xfId="9809" xr:uid="{1827A0B3-D243-413F-B59D-21CEC3C755AF}"/>
    <cellStyle name="Millares 2 2 5 2 9" xfId="12649" xr:uid="{4373001E-7FD9-4436-8FD2-76A1E1C45859}"/>
    <cellStyle name="Millares 2 2 5 3" xfId="377" xr:uid="{00000000-0005-0000-0000-000007020000}"/>
    <cellStyle name="Millares 2 2 5 3 10" xfId="17191" xr:uid="{579575F9-0B66-4468-8831-1423D67166C0}"/>
    <cellStyle name="Millares 2 2 5 3 11" xfId="19274" xr:uid="{51B9C9E6-C170-4848-81A4-68A21CC10104}"/>
    <cellStyle name="Millares 2 2 5 3 12" xfId="17537" xr:uid="{263B6E50-0890-4548-AB33-01C663B655F7}"/>
    <cellStyle name="Millares 2 2 5 3 13" xfId="42685" xr:uid="{1D2DF397-EB66-4345-97FA-60920691E452}"/>
    <cellStyle name="Millares 2 2 5 3 14" xfId="47578" xr:uid="{7EB5A9CF-BEE5-48B5-B6B3-E01267379F90}"/>
    <cellStyle name="Millares 2 2 5 3 2" xfId="2194" xr:uid="{25FB9B93-64DF-412C-AE69-7E18B9638431}"/>
    <cellStyle name="Millares 2 2 5 3 2 2" xfId="10465" xr:uid="{8D8DE024-921D-42EC-8F0B-509DAC412CED}"/>
    <cellStyle name="Millares 2 2 5 3 2 2 2" xfId="45625" xr:uid="{618DC126-955D-4952-8C23-D32B7E23CD40}"/>
    <cellStyle name="Millares 2 2 5 3 2 3" xfId="13305" xr:uid="{4B758182-3433-4E8B-AE1A-E1A7AFEC2416}"/>
    <cellStyle name="Millares 2 2 5 3 2 4" xfId="43229" xr:uid="{116C19BC-6D25-4D16-BC22-AD8A2C5D2D9F}"/>
    <cellStyle name="Millares 2 2 5 3 2 5" xfId="48122" xr:uid="{4A62DFA8-481D-41F2-9098-94356229AC00}"/>
    <cellStyle name="Millares 2 2 5 3 3" xfId="2612" xr:uid="{2F6156D4-6DBC-43F9-9E79-F743BC2BE863}"/>
    <cellStyle name="Millares 2 2 5 3 3 2" xfId="10883" xr:uid="{DAB4005E-8B79-4D89-9894-A405876B57FE}"/>
    <cellStyle name="Millares 2 2 5 3 3 2 2" xfId="46043" xr:uid="{E013A355-485A-48F8-A1D9-467FF1F2B61F}"/>
    <cellStyle name="Millares 2 2 5 3 3 3" xfId="13723" xr:uid="{D0B40DC9-C57B-4733-8872-C7C1C34DEED3}"/>
    <cellStyle name="Millares 2 2 5 3 3 4" xfId="43647" xr:uid="{D508054A-BD36-4E8A-B74A-59B3DDE76FB3}"/>
    <cellStyle name="Millares 2 2 5 3 3 5" xfId="48540" xr:uid="{07E9A953-143C-48BC-8895-5713F34B1AF1}"/>
    <cellStyle name="Millares 2 2 5 3 4" xfId="3156" xr:uid="{B1AD0A92-075A-4B3C-9EE0-F2FB076B7747}"/>
    <cellStyle name="Millares 2 2 5 3 4 2" xfId="11427" xr:uid="{06A365B0-1E11-4EC1-9192-8F5EF645B79F}"/>
    <cellStyle name="Millares 2 2 5 3 4 2 2" xfId="46587" xr:uid="{957B5572-C0AC-4598-9E4E-6CDEEC3DC03C}"/>
    <cellStyle name="Millares 2 2 5 3 4 3" xfId="14267" xr:uid="{1FB13EA2-6BA4-4001-B53D-FF50C62EC719}"/>
    <cellStyle name="Millares 2 2 5 3 4 4" xfId="44191" xr:uid="{15F4424D-7ABA-4411-ACDF-EC3DFAB5301F}"/>
    <cellStyle name="Millares 2 2 5 3 4 5" xfId="49084" xr:uid="{86F795CD-5B34-4720-8F44-775DE2F019A8}"/>
    <cellStyle name="Millares 2 2 5 3 5" xfId="3658" xr:uid="{855A163B-D0DF-484A-A783-132099B31C1D}"/>
    <cellStyle name="Millares 2 2 5 3 5 2" xfId="11899" xr:uid="{328BF977-F881-4802-8300-0395F3B86CE1}"/>
    <cellStyle name="Millares 2 2 5 3 5 3" xfId="14739" xr:uid="{0D25EFDA-D036-4BDC-BFE3-B7C0E6B8AE90}"/>
    <cellStyle name="Millares 2 2 5 3 5 4" xfId="44663" xr:uid="{97F26844-4237-4D79-9C0C-012C19C4ECD6}"/>
    <cellStyle name="Millares 2 2 5 3 5 5" xfId="49556" xr:uid="{7FBDD588-FC59-4396-A04A-ABEEE1C6CA99}"/>
    <cellStyle name="Millares 2 2 5 3 6" xfId="9921" xr:uid="{421BBBFB-3A39-4197-BDC0-D2B600ADB2B1}"/>
    <cellStyle name="Millares 2 2 5 3 6 2" xfId="45081" xr:uid="{2FD9F4D6-663D-400D-AA8E-8612C03AE5C3}"/>
    <cellStyle name="Millares 2 2 5 3 7" xfId="12761" xr:uid="{AF1E73A9-1660-4F0C-BD97-09E12FA88144}"/>
    <cellStyle name="Millares 2 2 5 3 8" xfId="16104" xr:uid="{9247588F-9522-4025-9E17-80555C4D95E2}"/>
    <cellStyle name="Millares 2 2 5 3 9" xfId="16647" xr:uid="{4BA0CCF1-831E-411D-9E37-4F0F577AC9CA}"/>
    <cellStyle name="Millares 2 2 5 4" xfId="580" xr:uid="{00000000-0005-0000-0000-000008020000}"/>
    <cellStyle name="Millares 2 2 5 4 10" xfId="42887" xr:uid="{5B8D46D6-F6A2-49FE-93D5-5B77B0A86E93}"/>
    <cellStyle name="Millares 2 2 5 4 11" xfId="47780" xr:uid="{0703FA8F-5E54-4C0A-B68B-EE71E57DD1F9}"/>
    <cellStyle name="Millares 2 2 5 4 2" xfId="2814" xr:uid="{74A2B195-3CD1-456A-BE66-71C5E45D9EA4}"/>
    <cellStyle name="Millares 2 2 5 4 2 2" xfId="11085" xr:uid="{ED12E1C8-01D0-4B05-A65A-05C46747ED85}"/>
    <cellStyle name="Millares 2 2 5 4 2 2 2" xfId="46245" xr:uid="{E16EE6F9-D964-4911-A0D0-24171CADFB0D}"/>
    <cellStyle name="Millares 2 2 5 4 2 3" xfId="13925" xr:uid="{C9B297E4-8A52-432C-993D-0F65240515DD}"/>
    <cellStyle name="Millares 2 2 5 4 2 4" xfId="43849" xr:uid="{048A2E94-91AB-440E-ACDD-2B1F04848AB0}"/>
    <cellStyle name="Millares 2 2 5 4 2 5" xfId="48742" xr:uid="{89A59EDF-473F-481D-A718-1EBB74BCB91B}"/>
    <cellStyle name="Millares 2 2 5 4 3" xfId="10123" xr:uid="{56BE7D50-096B-49EC-8760-8C7218CC2D59}"/>
    <cellStyle name="Millares 2 2 5 4 3 2" xfId="45283" xr:uid="{3BC55ED7-FE2F-4172-94E6-F05788F3470E}"/>
    <cellStyle name="Millares 2 2 5 4 4" xfId="12963" xr:uid="{AEDCAAFF-18F8-42DC-801D-86CFEAF6D2A3}"/>
    <cellStyle name="Millares 2 2 5 4 5" xfId="16306" xr:uid="{4A43CB2B-C2BD-4F95-ABCE-5A44042E3129}"/>
    <cellStyle name="Millares 2 2 5 4 6" xfId="16849" xr:uid="{860B4EDA-52D2-4308-973B-562851496C7B}"/>
    <cellStyle name="Millares 2 2 5 4 7" xfId="17393" xr:uid="{4E74EF0B-CDA0-4240-A5C3-A3D485DCB07E}"/>
    <cellStyle name="Millares 2 2 5 4 8" xfId="25041" xr:uid="{0BB35CC2-BCD6-4860-A28D-899601D5A3C6}"/>
    <cellStyle name="Millares 2 2 5 4 9" xfId="17640" xr:uid="{D9918BF2-B39D-4743-8610-BB01E418F877}"/>
    <cellStyle name="Millares 2 2 5 5" xfId="1978" xr:uid="{95D1260D-A19E-426E-A079-80778E6BA5FC}"/>
    <cellStyle name="Millares 2 2 5 5 2" xfId="10249" xr:uid="{0E06A178-E13C-4FCC-890D-A1C970BD7305}"/>
    <cellStyle name="Millares 2 2 5 5 2 2" xfId="45409" xr:uid="{BACF0FF0-F157-460D-8C5B-68DA18BC9B7C}"/>
    <cellStyle name="Millares 2 2 5 5 3" xfId="13089" xr:uid="{D351C24A-1135-459A-8368-C35A96C1A5A0}"/>
    <cellStyle name="Millares 2 2 5 5 4" xfId="30915" xr:uid="{997B7AD8-5136-402A-8B6C-880D92FB0DD7}"/>
    <cellStyle name="Millares 2 2 5 5 5" xfId="43013" xr:uid="{CFAC7E04-8B39-496B-AA66-6644B17F31B6}"/>
    <cellStyle name="Millares 2 2 5 5 6" xfId="47906" xr:uid="{969266EF-3A83-4AFF-A844-613A0CAC8ABB}"/>
    <cellStyle name="Millares 2 2 5 6" xfId="2396" xr:uid="{38235880-ED4C-4282-930B-E915001E6280}"/>
    <cellStyle name="Millares 2 2 5 6 2" xfId="10667" xr:uid="{A62F17C5-46DB-4962-AFA7-F71BA8944F7B}"/>
    <cellStyle name="Millares 2 2 5 6 2 2" xfId="45827" xr:uid="{874BBA80-796C-488D-A5D0-708CF6466142}"/>
    <cellStyle name="Millares 2 2 5 6 3" xfId="13507" xr:uid="{7C2DD02C-2030-47A2-8D9A-987B1714AAB1}"/>
    <cellStyle name="Millares 2 2 5 6 4" xfId="36794" xr:uid="{BCC733E2-A06B-444A-87E3-03056D8C7F9E}"/>
    <cellStyle name="Millares 2 2 5 6 5" xfId="43431" xr:uid="{EAABE52D-942B-4FDF-996A-44EF8D15AA47}"/>
    <cellStyle name="Millares 2 2 5 6 6" xfId="48324" xr:uid="{3CFAA14B-4464-4CD4-A60B-E9AA802A2220}"/>
    <cellStyle name="Millares 2 2 5 7" xfId="2940" xr:uid="{528B42EA-B3F4-4456-923F-4DDC6ECC53DE}"/>
    <cellStyle name="Millares 2 2 5 7 2" xfId="11211" xr:uid="{ADEB4B2F-B74E-45AD-AD11-0E076F1BB7E8}"/>
    <cellStyle name="Millares 2 2 5 7 2 2" xfId="46371" xr:uid="{C06E0C86-CBE9-4298-967E-DCFBC644DBDF}"/>
    <cellStyle name="Millares 2 2 5 7 3" xfId="14051" xr:uid="{C82C55E1-E091-4599-B64C-76355B46A615}"/>
    <cellStyle name="Millares 2 2 5 7 4" xfId="43975" xr:uid="{B6C229C9-82D2-42B9-8A47-9445A11E1C43}"/>
    <cellStyle name="Millares 2 2 5 7 5" xfId="48868" xr:uid="{76B7421A-4E77-4FA5-8FD1-D7D1BF30633B}"/>
    <cellStyle name="Millares 2 2 5 8" xfId="3442" xr:uid="{4D41A23D-033B-4C62-9BA1-49C7B0D63CCC}"/>
    <cellStyle name="Millares 2 2 5 8 2" xfId="11683" xr:uid="{A18F8348-CE0B-41B6-A3E6-F4B97E2A2E93}"/>
    <cellStyle name="Millares 2 2 5 8 3" xfId="14523" xr:uid="{E535664C-6183-4AF8-B44D-CE4287A21ADA}"/>
    <cellStyle name="Millares 2 2 5 8 4" xfId="44447" xr:uid="{73CF08E4-A53B-4290-980C-EB95DB5D809C}"/>
    <cellStyle name="Millares 2 2 5 8 5" xfId="49340" xr:uid="{36E7A66F-93E8-4BA5-A2C7-175C31264E5E}"/>
    <cellStyle name="Millares 2 2 5 9" xfId="4793" xr:uid="{5E9EA46F-8DD6-403F-AFE6-CDA69ACD4587}"/>
    <cellStyle name="Millares 2 2 5 9 2" xfId="44865" xr:uid="{2E825C73-DD23-40C6-9E46-A45735E328F1}"/>
    <cellStyle name="Millares 2 2 6" xfId="222" xr:uid="{00000000-0005-0000-0000-000009020000}"/>
    <cellStyle name="Millares 2 2 6 10" xfId="15963" xr:uid="{56572204-AA22-4506-80E8-3618CEE43A8F}"/>
    <cellStyle name="Millares 2 2 6 11" xfId="16506" xr:uid="{98C874FC-F5EB-4B92-9CCF-9E5BBE2EE6CE}"/>
    <cellStyle name="Millares 2 2 6 12" xfId="17050" xr:uid="{AC0CDBD8-DDB9-4E3B-B87E-BE465EE10176}"/>
    <cellStyle name="Millares 2 2 6 13" xfId="17725" xr:uid="{75A9DBF1-B4D5-46AF-91B7-5BB3A5EA7686}"/>
    <cellStyle name="Millares 2 2 6 14" xfId="42192" xr:uid="{3FBB7EDF-A1FC-4643-9F0A-71FA6C2BABFB}"/>
    <cellStyle name="Millares 2 2 6 15" xfId="42544" xr:uid="{4A40E629-4D2E-432A-8A86-CF9E536D3311}"/>
    <cellStyle name="Millares 2 2 6 16" xfId="47437" xr:uid="{10F1A9E7-1DE1-4956-BB4D-BD1ED0962A22}"/>
    <cellStyle name="Millares 2 2 6 2" xfId="449" xr:uid="{00000000-0005-0000-0000-00000A020000}"/>
    <cellStyle name="Millares 2 2 6 2 10" xfId="16718" xr:uid="{83D3610A-C3A5-4D3E-8F77-34222DC1A8ED}"/>
    <cellStyle name="Millares 2 2 6 2 11" xfId="17262" xr:uid="{3FB5F01C-74BA-4D6E-898A-FF130E068F9B}"/>
    <cellStyle name="Millares 2 2 6 2 12" xfId="17722" xr:uid="{405F28AC-AB7E-4113-91BC-142120A4D64E}"/>
    <cellStyle name="Millares 2 2 6 2 13" xfId="42756" xr:uid="{79E5DF77-869C-430F-9434-6EFDD1147263}"/>
    <cellStyle name="Millares 2 2 6 2 14" xfId="47649" xr:uid="{5388C6FC-230A-4839-A912-DDFE34494C1A}"/>
    <cellStyle name="Millares 2 2 6 2 2" xfId="2265" xr:uid="{1F27A63A-002D-492B-AE46-965DEBC5E0AF}"/>
    <cellStyle name="Millares 2 2 6 2 2 2" xfId="10536" xr:uid="{7F6FA2B2-5188-48C8-89EC-05A0DB196D9B}"/>
    <cellStyle name="Millares 2 2 6 2 2 2 2" xfId="45696" xr:uid="{DDA9B5DC-0028-4982-8622-D5ED601E0F14}"/>
    <cellStyle name="Millares 2 2 6 2 2 3" xfId="13376" xr:uid="{B77AAABA-8795-4C04-830F-57FCCE618006}"/>
    <cellStyle name="Millares 2 2 6 2 2 4" xfId="23037" xr:uid="{F5D0F66E-6F38-45F9-B7B1-2397AAA16AB9}"/>
    <cellStyle name="Millares 2 2 6 2 2 5" xfId="43300" xr:uid="{3B56B7E2-BF97-42E9-9E3E-F1358A1133FD}"/>
    <cellStyle name="Millares 2 2 6 2 2 6" xfId="48193" xr:uid="{0AE5C552-8BE5-4D55-B906-DEE63AFCAFC1}"/>
    <cellStyle name="Millares 2 2 6 2 3" xfId="2683" xr:uid="{FBFDA495-FB16-4179-A7AE-8E6A3A4F317E}"/>
    <cellStyle name="Millares 2 2 6 2 3 2" xfId="10954" xr:uid="{78657E8B-73F3-4490-9678-B4913DDA5BDA}"/>
    <cellStyle name="Millares 2 2 6 2 3 2 2" xfId="46114" xr:uid="{5954E2FB-FA78-4B93-8497-DE4DC9CA0CC2}"/>
    <cellStyle name="Millares 2 2 6 2 3 3" xfId="13794" xr:uid="{543BC393-08CD-4AFD-97D8-037FEF80EE41}"/>
    <cellStyle name="Millares 2 2 6 2 3 4" xfId="28901" xr:uid="{846B2248-835D-4D26-81AB-9CF88F9CCF0C}"/>
    <cellStyle name="Millares 2 2 6 2 3 5" xfId="43718" xr:uid="{C437FEF7-26A1-4330-9958-B081DCD97816}"/>
    <cellStyle name="Millares 2 2 6 2 3 6" xfId="48611" xr:uid="{1F4ECE86-2A1D-4C82-BC71-8064CC001E19}"/>
    <cellStyle name="Millares 2 2 6 2 4" xfId="3227" xr:uid="{ADD969B0-E964-4873-87DD-943AA570DB1E}"/>
    <cellStyle name="Millares 2 2 6 2 4 2" xfId="11498" xr:uid="{D8CD5A77-3122-424C-9715-6A9B3CDCC8D2}"/>
    <cellStyle name="Millares 2 2 6 2 4 2 2" xfId="46658" xr:uid="{13870872-E3EE-43D6-A3C6-1E452DA4ED9A}"/>
    <cellStyle name="Millares 2 2 6 2 4 3" xfId="14338" xr:uid="{AE0AAB60-9786-4DD4-961E-F7CF4F5B1088}"/>
    <cellStyle name="Millares 2 2 6 2 4 4" xfId="34783" xr:uid="{98CE11A1-D776-4539-BF5C-0D7E3014A4BD}"/>
    <cellStyle name="Millares 2 2 6 2 4 5" xfId="44262" xr:uid="{C83300B7-F994-42CF-B583-4F633DD9CBA9}"/>
    <cellStyle name="Millares 2 2 6 2 4 6" xfId="49155" xr:uid="{832E11D3-ED75-4B88-A66E-2F0DE3F80BA9}"/>
    <cellStyle name="Millares 2 2 6 2 5" xfId="3729" xr:uid="{01234DBC-B45D-4E6F-9971-3B2F936B714E}"/>
    <cellStyle name="Millares 2 2 6 2 5 2" xfId="11970" xr:uid="{B447EDE4-9ED8-4C75-A479-857B288706E5}"/>
    <cellStyle name="Millares 2 2 6 2 5 3" xfId="14810" xr:uid="{352D83A5-1FCA-4C5E-A4C5-21CD63684FF6}"/>
    <cellStyle name="Millares 2 2 6 2 5 4" xfId="40647" xr:uid="{D0C7187D-05CE-4818-B125-A818429BC093}"/>
    <cellStyle name="Millares 2 2 6 2 5 5" xfId="44734" xr:uid="{C41B4B9D-E451-4F9C-9EDE-5CB2745A8083}"/>
    <cellStyle name="Millares 2 2 6 2 5 6" xfId="49627" xr:uid="{98733015-9EE9-4956-99A1-1DB62F01690D}"/>
    <cellStyle name="Millares 2 2 6 2 6" xfId="8668" xr:uid="{5E681FE9-8E02-4FB5-805C-DC114FEC9075}"/>
    <cellStyle name="Millares 2 2 6 2 6 2" xfId="45152" xr:uid="{31B7D3D5-70CA-4C09-B243-1581A7BF274D}"/>
    <cellStyle name="Millares 2 2 6 2 7" xfId="9992" xr:uid="{44511CAD-71E5-498A-AECE-3AA94320A952}"/>
    <cellStyle name="Millares 2 2 6 2 8" xfId="12832" xr:uid="{A44EB75E-16C2-485E-8ED5-4CE68B886B6B}"/>
    <cellStyle name="Millares 2 2 6 2 9" xfId="16175" xr:uid="{C01ECCFA-59B3-48FF-9FB2-A2EBC3366605}"/>
    <cellStyle name="Millares 2 2 6 3" xfId="2053" xr:uid="{97AF8383-B56C-4438-B0BB-FE5449E64054}"/>
    <cellStyle name="Millares 2 2 6 3 2" xfId="10324" xr:uid="{705B93F5-0B54-419A-9000-ED982AC1B8C8}"/>
    <cellStyle name="Millares 2 2 6 3 2 2" xfId="45484" xr:uid="{428C22F8-E2AB-4D55-A607-237320CCF42F}"/>
    <cellStyle name="Millares 2 2 6 3 3" xfId="13164" xr:uid="{BCBE559C-DBDA-4E4D-8CEA-68870148B167}"/>
    <cellStyle name="Millares 2 2 6 3 4" xfId="20253" xr:uid="{D241EACE-2957-47D2-A6A1-5F671625F4E2}"/>
    <cellStyle name="Millares 2 2 6 3 5" xfId="43088" xr:uid="{509F2569-3FF7-4B8B-8442-8CFC9D8B7810}"/>
    <cellStyle name="Millares 2 2 6 3 6" xfId="47981" xr:uid="{45BFE3BA-A07C-4158-A5DE-82DB2E239D1B}"/>
    <cellStyle name="Millares 2 2 6 4" xfId="2471" xr:uid="{BE818FE1-4176-4248-9083-71B6E1F077A0}"/>
    <cellStyle name="Millares 2 2 6 4 2" xfId="10742" xr:uid="{38723096-DE1F-4866-A2F0-1833EB0CC428}"/>
    <cellStyle name="Millares 2 2 6 4 2 2" xfId="45902" xr:uid="{AF8ACF00-16B6-4FCA-AF81-2F665EBB3FC4}"/>
    <cellStyle name="Millares 2 2 6 4 3" xfId="13582" xr:uid="{B12B14D1-BEBB-479F-8110-7D6E1DB310D3}"/>
    <cellStyle name="Millares 2 2 6 4 4" xfId="26051" xr:uid="{1638975F-237B-4A31-9591-C6344D2FD4FE}"/>
    <cellStyle name="Millares 2 2 6 4 5" xfId="43506" xr:uid="{EDB39C03-67BB-45D6-A6E9-DFBDAF4FDB18}"/>
    <cellStyle name="Millares 2 2 6 4 6" xfId="48399" xr:uid="{CD425B4A-FA07-4AAF-942F-77CC2BB4E265}"/>
    <cellStyle name="Millares 2 2 6 5" xfId="3015" xr:uid="{C8373460-D1C9-4BF7-87FC-5EF5FE40763F}"/>
    <cellStyle name="Millares 2 2 6 5 2" xfId="11286" xr:uid="{9510F0AC-4862-4DA4-A58B-AE2782DB622B}"/>
    <cellStyle name="Millares 2 2 6 5 2 2" xfId="46446" xr:uid="{893FEA05-958F-4A51-BBA1-9039576BB5C9}"/>
    <cellStyle name="Millares 2 2 6 5 3" xfId="14126" xr:uid="{1B2F02F5-4DAE-4E8B-88E1-E15459D0EAFA}"/>
    <cellStyle name="Millares 2 2 6 5 4" xfId="31926" xr:uid="{A68CB5C0-1770-4FCE-A23B-1BEC4962550D}"/>
    <cellStyle name="Millares 2 2 6 5 5" xfId="44050" xr:uid="{B70E8EFA-4BE1-4F2D-8AE9-16962BD2FB7F}"/>
    <cellStyle name="Millares 2 2 6 5 6" xfId="48943" xr:uid="{6DA8EF9E-B90A-4195-8C58-E134FC89557F}"/>
    <cellStyle name="Millares 2 2 6 6" xfId="3517" xr:uid="{498B4D50-10FA-4347-BBD8-AB4136EC5420}"/>
    <cellStyle name="Millares 2 2 6 6 2" xfId="11758" xr:uid="{6D375CAA-DD3C-4BB5-8186-62DCF1DF5473}"/>
    <cellStyle name="Millares 2 2 6 6 3" xfId="14598" xr:uid="{AE398244-28F6-4933-9EA6-25FD26D8D1A2}"/>
    <cellStyle name="Millares 2 2 6 6 4" xfId="37792" xr:uid="{BEACDCAD-6088-404B-BC02-0E574B9C74C4}"/>
    <cellStyle name="Millares 2 2 6 6 5" xfId="44522" xr:uid="{CA947214-E7B5-4869-9A0C-43D53229F905}"/>
    <cellStyle name="Millares 2 2 6 6 6" xfId="49415" xr:uid="{2237E952-7FFE-4614-A79E-09767068C970}"/>
    <cellStyle name="Millares 2 2 6 7" xfId="5799" xr:uid="{AB437031-93FA-42A1-B892-1FE0109F0DC1}"/>
    <cellStyle name="Millares 2 2 6 7 2" xfId="44940" xr:uid="{417E6DC3-B3AB-4C36-BA68-C9C355C2B20A}"/>
    <cellStyle name="Millares 2 2 6 8" xfId="9780" xr:uid="{D6B61A5B-E570-48AD-8686-C4292C52EA48}"/>
    <cellStyle name="Millares 2 2 6 9" xfId="12620" xr:uid="{FA81C41A-0E88-4985-81E2-1FC21E26FE5C}"/>
    <cellStyle name="Millares 2 2 7" xfId="347" xr:uid="{00000000-0005-0000-0000-00000B020000}"/>
    <cellStyle name="Millares 2 2 7 10" xfId="16618" xr:uid="{D434BE83-2D2E-454D-ABEB-C6CF819FB8E0}"/>
    <cellStyle name="Millares 2 2 7 11" xfId="17162" xr:uid="{B3E4396B-28AA-477A-B09B-616F38C8D62C}"/>
    <cellStyle name="Millares 2 2 7 12" xfId="18196" xr:uid="{2C74231C-9B9E-4010-AAAA-3A2DEE71D138}"/>
    <cellStyle name="Millares 2 2 7 13" xfId="42193" xr:uid="{4626664B-2EEC-4E9D-85DD-9CEFBB89AC5F}"/>
    <cellStyle name="Millares 2 2 7 14" xfId="42656" xr:uid="{5DE906CA-89CB-4D02-B926-5BFB7D7CAB75}"/>
    <cellStyle name="Millares 2 2 7 15" xfId="47549" xr:uid="{B0C56BBC-CA84-4CA1-9DFB-A0D910BB3BFB}"/>
    <cellStyle name="Millares 2 2 7 2" xfId="2165" xr:uid="{CEFCDEBF-2947-40E5-B40C-661C0A507D73}"/>
    <cellStyle name="Millares 2 2 7 2 2" xfId="9192" xr:uid="{69D98FAC-214F-4C9A-B360-1B7BCB7CE260}"/>
    <cellStyle name="Millares 2 2 7 2 2 2" xfId="45596" xr:uid="{C02A1C8C-47A6-42CE-AA87-F9F4219ACDD1}"/>
    <cellStyle name="Millares 2 2 7 2 3" xfId="10436" xr:uid="{214FFD29-4F95-44C2-AC18-7777C7D60827}"/>
    <cellStyle name="Millares 2 2 7 2 3 2" xfId="29423" xr:uid="{1B728B41-B798-4B20-8A85-3E10B6843A20}"/>
    <cellStyle name="Millares 2 2 7 2 4" xfId="13276" xr:uid="{5A8A3020-A724-48AC-B6AD-BC6BB2D7A864}"/>
    <cellStyle name="Millares 2 2 7 2 4 2" xfId="35305" xr:uid="{9BD83394-E31D-4987-B584-4C04CF4982C8}"/>
    <cellStyle name="Millares 2 2 7 2 5" xfId="41164" xr:uid="{79E20504-1B79-41BE-87E7-9CCCE0C5EEBE}"/>
    <cellStyle name="Millares 2 2 7 2 6" xfId="43200" xr:uid="{969DE2E1-E089-438A-90E6-B0893F4BABC6}"/>
    <cellStyle name="Millares 2 2 7 2 7" xfId="48093" xr:uid="{04C0AD12-1318-4228-91D1-65780E14A058}"/>
    <cellStyle name="Millares 2 2 7 3" xfId="2583" xr:uid="{D37AA3C3-2992-4BD5-BB8A-EF50B7C67B7E}"/>
    <cellStyle name="Millares 2 2 7 3 2" xfId="10854" xr:uid="{E5FC9757-FCA8-4942-B5F2-DC4171245005}"/>
    <cellStyle name="Millares 2 2 7 3 2 2" xfId="46014" xr:uid="{B86CCA2B-AE78-4DB9-BDCA-5B40FAA05E7C}"/>
    <cellStyle name="Millares 2 2 7 3 3" xfId="13694" xr:uid="{2D9D7432-8399-4BC4-A92C-09554139C20C}"/>
    <cellStyle name="Millares 2 2 7 3 4" xfId="20768" xr:uid="{83ADDB27-9065-4B3C-95C3-770EC56D752C}"/>
    <cellStyle name="Millares 2 2 7 3 5" xfId="43618" xr:uid="{9982806B-D045-4837-9A7E-2030162221A6}"/>
    <cellStyle name="Millares 2 2 7 3 6" xfId="48511" xr:uid="{93C98DB5-C726-4679-A80C-2BB1FB6EA032}"/>
    <cellStyle name="Millares 2 2 7 4" xfId="3127" xr:uid="{5AB3C8DA-CABB-4109-8A59-96F32770A3D8}"/>
    <cellStyle name="Millares 2 2 7 4 2" xfId="11398" xr:uid="{559FBC84-300E-4F80-B5BF-46A3C9C5570E}"/>
    <cellStyle name="Millares 2 2 7 4 2 2" xfId="46558" xr:uid="{6EFE8A70-41BF-491E-BE0A-7D1D6700D4B9}"/>
    <cellStyle name="Millares 2 2 7 4 3" xfId="14238" xr:uid="{66CFE4EB-303C-4A22-89F9-D9B5B5D83B81}"/>
    <cellStyle name="Millares 2 2 7 4 4" xfId="26577" xr:uid="{993E47E3-6263-4344-94D6-8DF349F4ED69}"/>
    <cellStyle name="Millares 2 2 7 4 5" xfId="44162" xr:uid="{B2865500-CC78-4452-9652-C47D3DABDD29}"/>
    <cellStyle name="Millares 2 2 7 4 6" xfId="49055" xr:uid="{85E976FF-B032-4B77-B618-2ADEE6AF86C9}"/>
    <cellStyle name="Millares 2 2 7 5" xfId="3629" xr:uid="{5F6DF000-1FA8-44EC-923C-99C6031D3D60}"/>
    <cellStyle name="Millares 2 2 7 5 2" xfId="11870" xr:uid="{472C3B5B-1BE1-40C6-841A-0BF2E8EA40F1}"/>
    <cellStyle name="Millares 2 2 7 5 3" xfId="14710" xr:uid="{C776AE83-00C6-4451-AC9F-BAE40EF7887F}"/>
    <cellStyle name="Millares 2 2 7 5 4" xfId="32452" xr:uid="{85594E98-751D-4856-87A6-7CC180351FED}"/>
    <cellStyle name="Millares 2 2 7 5 5" xfId="44634" xr:uid="{476DD86D-6F68-492C-AF28-933D33B016FA}"/>
    <cellStyle name="Millares 2 2 7 5 6" xfId="46882" xr:uid="{1CA74277-FD30-4238-A7EA-C9D2C49ED499}"/>
    <cellStyle name="Millares 2 2 7 5 7" xfId="47080" xr:uid="{A8E6F028-1064-48D9-8F59-D2EE5B14081A}"/>
    <cellStyle name="Millares 2 2 7 5 8" xfId="49527" xr:uid="{735F7345-003F-4969-B178-091BEE76B5DF}"/>
    <cellStyle name="Millares 2 2 7 6" xfId="6327" xr:uid="{4C5781E6-D7CC-412D-AAF6-3316599C5A95}"/>
    <cellStyle name="Millares 2 2 7 6 2" xfId="45052" xr:uid="{72894E69-103A-4E6B-BB47-3EB1A092C3AA}"/>
    <cellStyle name="Millares 2 2 7 7" xfId="9892" xr:uid="{C0223A2F-763E-41F3-9456-645780918F65}"/>
    <cellStyle name="Millares 2 2 7 8" xfId="12732" xr:uid="{D8138A73-F186-401C-A88E-C5AF2D055A02}"/>
    <cellStyle name="Millares 2 2 7 9" xfId="16075" xr:uid="{D94A479F-101C-4CF8-AD33-A496425D570E}"/>
    <cellStyle name="Millares 2 2 8" xfId="551" xr:uid="{00000000-0005-0000-0000-00000C020000}"/>
    <cellStyle name="Millares 2 2 8 10" xfId="42858" xr:uid="{15352517-3088-4977-AF39-4DCB51D6EB9D}"/>
    <cellStyle name="Millares 2 2 8 11" xfId="47751" xr:uid="{D93E428F-1538-419F-919D-302EF43996AD}"/>
    <cellStyle name="Millares 2 2 8 2" xfId="2785" xr:uid="{F910C0CD-A610-4D10-ABE8-CEC93DC8A7C6}"/>
    <cellStyle name="Millares 2 2 8 2 2" xfId="11056" xr:uid="{C023D2CC-AB97-41A4-BE7B-F70E110FDB90}"/>
    <cellStyle name="Millares 2 2 8 2 2 2" xfId="46216" xr:uid="{BD2D0110-850F-427D-AF30-7B7CB7375226}"/>
    <cellStyle name="Millares 2 2 8 2 3" xfId="13896" xr:uid="{C170F183-D1A7-41FC-856A-5F249C676CBB}"/>
    <cellStyle name="Millares 2 2 8 2 4" xfId="21113" xr:uid="{4D62A4C4-419A-4E9D-A598-298525EDB5F7}"/>
    <cellStyle name="Millares 2 2 8 2 5" xfId="43820" xr:uid="{4574FE57-23AB-4CE7-8856-09F928E3A51F}"/>
    <cellStyle name="Millares 2 2 8 2 6" xfId="48713" xr:uid="{BA55ECB2-C914-4EBE-81CB-DE3CB618C30C}"/>
    <cellStyle name="Millares 2 2 8 3" xfId="6685" xr:uid="{A3F3F8A9-1BBA-4755-A768-2623D406988B}"/>
    <cellStyle name="Millares 2 2 8 3 2" xfId="45254" xr:uid="{BAB83689-3D30-48D6-8B60-D959C9A45ABD}"/>
    <cellStyle name="Millares 2 2 8 3 3" xfId="46883" xr:uid="{3FE24596-960B-4729-9429-7794D5B813D8}"/>
    <cellStyle name="Millares 2 2 8 4" xfId="10094" xr:uid="{D90D038C-A29B-41CF-90B2-9EE6E42C8A23}"/>
    <cellStyle name="Millares 2 2 8 4 2" xfId="32801" xr:uid="{A65DC503-CA46-466A-8CC5-F4B7A228F0CB}"/>
    <cellStyle name="Millares 2 2 8 5" xfId="12934" xr:uid="{504F1A1C-053C-4691-BE56-6E1CB63C9BE7}"/>
    <cellStyle name="Millares 2 2 8 5 2" xfId="38665" xr:uid="{5784D882-916F-4616-9ACF-E18D0B6B2DC2}"/>
    <cellStyle name="Millares 2 2 8 6" xfId="16277" xr:uid="{F5EAA7B6-1CFF-4DB3-94F2-330E8CF23B0C}"/>
    <cellStyle name="Millares 2 2 8 7" xfId="16820" xr:uid="{767A233C-2DC0-4FC4-B7B6-A10A7B62ABB7}"/>
    <cellStyle name="Millares 2 2 8 8" xfId="17364" xr:uid="{41C6446B-5B0F-449C-929E-42E8957630E8}"/>
    <cellStyle name="Millares 2 2 8 9" xfId="23869" xr:uid="{89915D20-5977-4DCE-B34D-A7F327CDAFB0}"/>
    <cellStyle name="Millares 2 2 9" xfId="662" xr:uid="{00000000-0005-0000-0000-00000D020000}"/>
    <cellStyle name="Millares 2 2 9 2" xfId="15846" xr:uid="{704503C2-D984-44FF-A3E1-F1F983672EF8}"/>
    <cellStyle name="Millares 2 2 9 2 2" xfId="46884" xr:uid="{0B24612D-A64C-43E8-8814-031EF0E687C2}"/>
    <cellStyle name="Millares 2 2 9 2 3" xfId="47086" xr:uid="{5D5E98AB-3419-4E8A-A5F4-AC0F3FBCFD41}"/>
    <cellStyle name="Millares 2 20" xfId="42194" xr:uid="{168305FD-30F7-4379-BBD3-5E7689DEADCD}"/>
    <cellStyle name="Millares 2 21" xfId="42195" xr:uid="{6EFD2601-F843-4CF7-9002-F8FF21E7726F}"/>
    <cellStyle name="Millares 2 22" xfId="42196" xr:uid="{6A633C54-33E6-475F-A933-1322BAB65A75}"/>
    <cellStyle name="Millares 2 23" xfId="42197" xr:uid="{8A69F114-574E-4917-8D3B-DD67579BD460}"/>
    <cellStyle name="Millares 2 24" xfId="42198" xr:uid="{44B3640A-EDDF-40CC-AA2D-AED5AE7C40B9}"/>
    <cellStyle name="Millares 2 25" xfId="42199" xr:uid="{68A3E1DA-2190-43F7-B784-3F1816F5E4B4}"/>
    <cellStyle name="Millares 2 26" xfId="42200" xr:uid="{CE9A0FB6-A60F-453E-BF66-07C46B04D299}"/>
    <cellStyle name="Millares 2 27" xfId="42201" xr:uid="{9204AE8F-55E5-49CF-9850-15EBF90806FD}"/>
    <cellStyle name="Millares 2 28" xfId="42202" xr:uid="{F9A4D0A5-8DFE-47F3-B0F7-D9104B5546D0}"/>
    <cellStyle name="Millares 2 29" xfId="42203" xr:uid="{ACFCEF5B-2355-40E4-858F-96B424C79C05}"/>
    <cellStyle name="Millares 2 3" xfId="88" xr:uid="{00000000-0005-0000-0000-00000E020000}"/>
    <cellStyle name="Millares 2 3 2" xfId="663" xr:uid="{00000000-0005-0000-0000-00000F020000}"/>
    <cellStyle name="Millares 2 3 2 10" xfId="18191" xr:uid="{A5C0C1ED-3B14-4AE8-ABFC-E4B493F4ECA7}"/>
    <cellStyle name="Millares 2 3 2 11" xfId="42204" xr:uid="{A061BC83-AE07-4E1B-A0DF-26B3840F5AC5}"/>
    <cellStyle name="Millares 2 3 2 12" xfId="42961" xr:uid="{ADBD800D-92DC-456E-A51A-7291BBD3B140}"/>
    <cellStyle name="Millares 2 3 2 13" xfId="47854" xr:uid="{D49945A1-6C8C-4091-9E8C-0BE9A73BB1DB}"/>
    <cellStyle name="Millares 2 3 2 2" xfId="2888" xr:uid="{EA909C1F-DE8B-4B5A-BB45-ADD8F9BE1329}"/>
    <cellStyle name="Millares 2 3 2 2 2" xfId="8332" xr:uid="{A6764D79-51F5-431A-8217-5C2711EE6270}"/>
    <cellStyle name="Millares 2 3 2 2 2 2" xfId="22708" xr:uid="{A57B6F6E-201F-48BB-A6E2-5F2705AC1CD9}"/>
    <cellStyle name="Millares 2 3 2 2 2 3" xfId="28565" xr:uid="{613FF4EC-4D82-4887-A6E7-8FC4B456FB5B}"/>
    <cellStyle name="Millares 2 3 2 2 2 4" xfId="34447" xr:uid="{94972340-6558-4C93-B3D3-F974725144D2}"/>
    <cellStyle name="Millares 2 3 2 2 2 5" xfId="40311" xr:uid="{560A3CB2-0A02-4802-8946-4525A50F699F}"/>
    <cellStyle name="Millares 2 3 2 2 2 6" xfId="46319" xr:uid="{9C520339-C1FC-40BA-8636-E5DAA004F664}"/>
    <cellStyle name="Millares 2 3 2 2 3" xfId="5465" xr:uid="{D5FE3557-EC9D-4363-98E0-C542AED988F1}"/>
    <cellStyle name="Millares 2 3 2 2 3 2" xfId="47178" xr:uid="{F04F950E-CEF8-4B2F-9423-02EE67CF2131}"/>
    <cellStyle name="Millares 2 3 2 2 4" xfId="11159" xr:uid="{BD638899-ED35-43B4-8D58-739CEFB6CF0D}"/>
    <cellStyle name="Millares 2 3 2 2 4 2" xfId="25716" xr:uid="{555D3199-DEF6-42F0-BEAB-323CEAFE3BF0}"/>
    <cellStyle name="Millares 2 3 2 2 5" xfId="13999" xr:uid="{E1A0CC37-0428-47E4-882F-E3C4AC5A35DD}"/>
    <cellStyle name="Millares 2 3 2 2 5 2" xfId="31590" xr:uid="{DC266EBE-B0E9-4C77-ADD7-82642F417DDE}"/>
    <cellStyle name="Millares 2 3 2 2 6" xfId="37461" xr:uid="{91D027B2-4C1A-442B-A54C-457222ECD2F0}"/>
    <cellStyle name="Millares 2 3 2 2 7" xfId="43923" xr:uid="{B0451313-D5EB-49D7-833B-6A506DF1F8D7}"/>
    <cellStyle name="Millares 2 3 2 2 8" xfId="48816" xr:uid="{8D53B7AA-B809-4DD9-8470-943A00051B09}"/>
    <cellStyle name="Millares 2 3 2 3" xfId="7360" xr:uid="{038B48BD-15AA-42D8-8853-A250C6831444}"/>
    <cellStyle name="Millares 2 3 2 3 2" xfId="21763" xr:uid="{3EF2F090-8258-4ADB-8DFD-5CFE123C5272}"/>
    <cellStyle name="Millares 2 3 2 3 2 2" xfId="47291" xr:uid="{BB32A522-E4EE-4D1E-AA57-5A45A6B90ADF}"/>
    <cellStyle name="Millares 2 3 2 3 3" xfId="27594" xr:uid="{2007568C-3EFC-4A31-8284-74DFEA3FE0A0}"/>
    <cellStyle name="Millares 2 3 2 3 3 2" xfId="47203" xr:uid="{F68132A0-8688-49E3-B4B4-4A94E3D37A9D}"/>
    <cellStyle name="Millares 2 3 2 3 4" xfId="33476" xr:uid="{2ABB95D8-F222-458A-A2EB-88B08BC92297}"/>
    <cellStyle name="Millares 2 3 2 3 5" xfId="39340" xr:uid="{C5788EAE-8E22-410B-A1F6-B490321DAC4D}"/>
    <cellStyle name="Millares 2 3 2 3 6" xfId="45357" xr:uid="{17DA53A6-94C3-4990-AC00-7EF5D98CAEF0}"/>
    <cellStyle name="Millares 2 3 2 3 7" xfId="46885" xr:uid="{1B14A69D-FDAA-44F0-A0C6-5AF9EACA617E}"/>
    <cellStyle name="Millares 2 3 2 4" xfId="4497" xr:uid="{912522CE-1FCD-4CB9-B876-0BBF9F080DB0}"/>
    <cellStyle name="Millares 2 3 2 4 2" xfId="47285" xr:uid="{F0112B0F-6471-4E6A-B01E-AD606C1AE6B4}"/>
    <cellStyle name="Millares 2 3 2 5" xfId="10197" xr:uid="{88BD1763-A81F-4E16-A43B-480478BD9828}"/>
    <cellStyle name="Millares 2 3 2 5 2" xfId="24745" xr:uid="{50FBAC47-F59E-4DB3-ABA9-FA73BD210566}"/>
    <cellStyle name="Millares 2 3 2 6" xfId="13037" xr:uid="{38F9AC4E-D9D4-4090-94A9-7EB632FC508F}"/>
    <cellStyle name="Millares 2 3 2 6 2" xfId="30622" xr:uid="{330564F9-16E2-4C28-B0D2-CD39275391A1}"/>
    <cellStyle name="Millares 2 3 2 7" xfId="16380" xr:uid="{BD141E7C-AD5B-4359-8D45-1F8351B628AC}"/>
    <cellStyle name="Millares 2 3 2 7 2" xfId="36504" xr:uid="{0091D76A-3F2D-466F-9085-E8109CBC879A}"/>
    <cellStyle name="Millares 2 3 2 8" xfId="16923" xr:uid="{75968380-987B-4535-89A2-AD142ADC58F2}"/>
    <cellStyle name="Millares 2 3 2 9" xfId="17467" xr:uid="{5E4B06C5-805A-4BA2-A1FA-EF5D3FDB7534}"/>
    <cellStyle name="Millares 2 3 3" xfId="1894" xr:uid="{00000000-0005-0000-0000-000010020000}"/>
    <cellStyle name="Millares 2 3 3 2" xfId="7847" xr:uid="{3BEC482D-96A0-4B73-92FA-5DD206D469C4}"/>
    <cellStyle name="Millares 2 3 3 2 2" xfId="22233" xr:uid="{B5E32EB3-A39D-477F-B054-8C4C3C8C1C8E}"/>
    <cellStyle name="Millares 2 3 3 2 3" xfId="28080" xr:uid="{D08DE4BE-4392-4142-82FA-3F9E47E23755}"/>
    <cellStyle name="Millares 2 3 3 2 4" xfId="33962" xr:uid="{6B876BC5-5E89-4D3F-8062-37C2AEA34020}"/>
    <cellStyle name="Millares 2 3 3 2 5" xfId="39826" xr:uid="{0C31B250-FF87-40EB-A708-6D6C7BE1D3CD}"/>
    <cellStyle name="Millares 2 3 3 2 6" xfId="46886" xr:uid="{424A3A04-4313-4982-82D1-82819E7DC1A7}"/>
    <cellStyle name="Millares 2 3 3 3" xfId="4980" xr:uid="{9C981644-EB74-4BFD-B0DB-71F62D4DB2E7}"/>
    <cellStyle name="Millares 2 3 3 4" xfId="25231" xr:uid="{561A5FA8-C01D-445B-A2A2-1F9AC24202A7}"/>
    <cellStyle name="Millares 2 3 3 5" xfId="31105" xr:uid="{E6C0659B-9484-43A1-B4D4-E44A0D0FCE61}"/>
    <cellStyle name="Millares 2 3 3 6" xfId="36984" xr:uid="{1BC873F6-B037-4201-B943-D4E08D3293CF}"/>
    <cellStyle name="Millares 2 3 4" xfId="3359" xr:uid="{DC99F8DB-43F4-43EC-BE27-B5448F661C56}"/>
    <cellStyle name="Millares 2 3 4 2" xfId="21298" xr:uid="{4C39342A-7AC3-4E35-9798-07116CCA1024}"/>
    <cellStyle name="Millares 2 3 4 3" xfId="27114" xr:uid="{16B2838E-708D-43D8-8FBC-E51D0868D869}"/>
    <cellStyle name="Millares 2 3 4 4" xfId="32991" xr:uid="{DC1DD4B1-F0A8-43D6-B159-854639BEFC06}"/>
    <cellStyle name="Millares 2 3 4 5" xfId="38855" xr:uid="{88176F47-0FDF-4FF7-AECC-FC8379CA08EC}"/>
    <cellStyle name="Millares 2 3 5" xfId="3394" xr:uid="{D1ECFEC5-3322-4A36-801A-155100F88E41}"/>
    <cellStyle name="Millares 2 3 5 2" xfId="18552" xr:uid="{7D316E96-8984-4E01-A21A-958C89105BEF}"/>
    <cellStyle name="Millares 2 3 5 3" xfId="46887" xr:uid="{C680B6DA-1BD3-4872-B4C4-33688AF2F4D6}"/>
    <cellStyle name="Millares 2 3 5 4" xfId="47060" xr:uid="{085A01FB-3942-4AC0-8A90-8490C5B94681}"/>
    <cellStyle name="Millares 2 3 6" xfId="24262" xr:uid="{EB444821-F33E-4A6E-A4C5-4FA4EC38D0EC}"/>
    <cellStyle name="Millares 2 3 6 2" xfId="46888" xr:uid="{E0B7F15A-343C-4709-A462-9C9CBEA49C3B}"/>
    <cellStyle name="Millares 2 3 7" xfId="30140" xr:uid="{1EB4F79B-9035-46C5-AC89-F2E393ABCCFA}"/>
    <cellStyle name="Millares 2 3 8" xfId="36019" xr:uid="{65D43086-B930-4856-A270-36E62E161EA9}"/>
    <cellStyle name="Millares 2 3 9" xfId="42205" xr:uid="{2438BDFF-C0C7-4D36-A781-A0A6CE4DC072}"/>
    <cellStyle name="Millares 2 30" xfId="42206" xr:uid="{7B17D2BC-4475-4B92-9D03-C10AE2758CF4}"/>
    <cellStyle name="Millares 2 31" xfId="42207" xr:uid="{E65C98EE-C45E-4AFC-9140-199015396FC2}"/>
    <cellStyle name="Millares 2 31 10" xfId="42208" xr:uid="{8FE14659-ED34-4514-B6E3-52C4ED32A56F}"/>
    <cellStyle name="Millares 2 31 11" xfId="42209" xr:uid="{8B719219-90B6-4D7E-A5F4-1260D770F5CF}"/>
    <cellStyle name="Millares 2 31 12" xfId="42210" xr:uid="{1D106CC3-0FDD-4AF9-A48B-A599DECD52B4}"/>
    <cellStyle name="Millares 2 31 13" xfId="42211" xr:uid="{95E2B6DA-F286-4466-A36B-98104A5F7992}"/>
    <cellStyle name="Millares 2 31 14" xfId="42212" xr:uid="{2C0B0DB6-3B17-4812-8D28-D8DF47EF18D0}"/>
    <cellStyle name="Millares 2 31 15" xfId="42213" xr:uid="{A0D9962D-322D-48C7-9C7E-35CAB857BA09}"/>
    <cellStyle name="Millares 2 31 16" xfId="42214" xr:uid="{2070A189-6C07-4074-AF1E-DB1F81817D7C}"/>
    <cellStyle name="Millares 2 31 2" xfId="42215" xr:uid="{8F2A56E9-062D-42AD-B285-861B0586E996}"/>
    <cellStyle name="Millares 2 31 2 2" xfId="42216" xr:uid="{48090292-B9FD-4F38-9E0C-3599FE02970D}"/>
    <cellStyle name="Millares 2 31 3" xfId="42217" xr:uid="{DB2FC6FB-C31A-4E23-A2FC-1A8945E7E9FA}"/>
    <cellStyle name="Millares 2 31 3 2" xfId="42218" xr:uid="{C109C625-1FD6-43D7-8C62-77C7ADDEA676}"/>
    <cellStyle name="Millares 2 31 3 3" xfId="42219" xr:uid="{CD9B731D-F2B9-4EC2-B6B2-51DB59F04A97}"/>
    <cellStyle name="Millares 2 31 4" xfId="42220" xr:uid="{2F86FFFF-3EEC-40C4-8297-38567DE6294A}"/>
    <cellStyle name="Millares 2 31 5" xfId="42221" xr:uid="{65A8110C-ECA8-4484-91DB-339BB8223548}"/>
    <cellStyle name="Millares 2 31 6" xfId="42222" xr:uid="{315F295F-D58D-434D-9841-EB4C2D9C244D}"/>
    <cellStyle name="Millares 2 31 7" xfId="42223" xr:uid="{64CEF89F-02F3-4F7B-B69D-42A3B42066DE}"/>
    <cellStyle name="Millares 2 31 8" xfId="42224" xr:uid="{778C4D5C-4C43-4696-B202-30A0C31C95D7}"/>
    <cellStyle name="Millares 2 31 8 2" xfId="42225" xr:uid="{135000FD-4A0E-4C2B-86E5-4B63942D1CD5}"/>
    <cellStyle name="Millares 2 31 9" xfId="42226" xr:uid="{27F05B7F-D809-45B2-BC25-43C54B8A009A}"/>
    <cellStyle name="Millares 2 32" xfId="42227" xr:uid="{18DA2091-E4D2-4FA0-B2A1-5A05494E592F}"/>
    <cellStyle name="Millares 2 33" xfId="42228" xr:uid="{BBC6E289-5D47-44FF-8CA9-C2B3C113F449}"/>
    <cellStyle name="Millares 2 34" xfId="42229" xr:uid="{E62F8975-81A2-4996-AE97-975C47ADEF48}"/>
    <cellStyle name="Millares 2 35" xfId="42230" xr:uid="{BB6D40D3-AF35-438A-A247-197C06FA4E99}"/>
    <cellStyle name="Millares 2 36" xfId="42231" xr:uid="{F44E9E8C-E429-41EE-9897-2B7C88D1D224}"/>
    <cellStyle name="Millares 2 37" xfId="42232" xr:uid="{7A07EEBA-6B6A-4802-8BAB-372EF78444CA}"/>
    <cellStyle name="Millares 2 38" xfId="42233" xr:uid="{65707B4D-1CE5-4236-8C50-964CC87CB4FE}"/>
    <cellStyle name="Millares 2 39" xfId="42234" xr:uid="{D6D9711F-DB02-4B55-B774-C78B10685586}"/>
    <cellStyle name="Millares 2 4" xfId="93" xr:uid="{00000000-0005-0000-0000-000011020000}"/>
    <cellStyle name="Millares 2 4 10" xfId="47006" xr:uid="{C6F4E785-746E-4B60-AD39-1D7E7091708C}"/>
    <cellStyle name="Millares 2 4 2" xfId="109" xr:uid="{00000000-0005-0000-0000-000012020000}"/>
    <cellStyle name="Millares 2 4 2 2" xfId="8136" xr:uid="{192745B1-042E-4748-B635-BA90E5366312}"/>
    <cellStyle name="Millares 2 4 2 2 2" xfId="22513" xr:uid="{EA2D4248-367B-44A8-AF63-9085A6E1669C}"/>
    <cellStyle name="Millares 2 4 2 2 3" xfId="28369" xr:uid="{66EA3CD4-A94B-469C-9B2C-394851D9E25B}"/>
    <cellStyle name="Millares 2 4 2 2 4" xfId="34251" xr:uid="{043980E5-DF65-478A-92B9-37E18F523B77}"/>
    <cellStyle name="Millares 2 4 2 2 5" xfId="40115" xr:uid="{E4F386B8-DD5F-4728-85FC-1F62C1A70C85}"/>
    <cellStyle name="Millares 2 4 2 3" xfId="5269" xr:uid="{57C4146D-C0FD-4167-86F1-144C992490F8}"/>
    <cellStyle name="Millares 2 4 2 4" xfId="25520" xr:uid="{2612260E-B9D3-4E51-898A-0FADD86654A6}"/>
    <cellStyle name="Millares 2 4 2 5" xfId="31394" xr:uid="{96C55FC0-F799-42B4-85C2-535C082B758C}"/>
    <cellStyle name="Millares 2 4 2 6" xfId="37266" xr:uid="{A08025D6-8D77-4FCA-B235-490B62453650}"/>
    <cellStyle name="Millares 2 4 2 7" xfId="42235" xr:uid="{6153D079-AEEF-4ED1-96C0-FBC8B4BD432C}"/>
    <cellStyle name="Millares 2 4 3" xfId="1901" xr:uid="{00000000-0005-0000-0000-000013020000}"/>
    <cellStyle name="Millares 2 4 3 2" xfId="7164" xr:uid="{0DDE1212-6059-493A-8733-A6D906C6B357}"/>
    <cellStyle name="Millares 2 4 3 3" xfId="27398" xr:uid="{0BB67B30-2EF8-435B-8BA6-DFBF145B706B}"/>
    <cellStyle name="Millares 2 4 3 4" xfId="33280" xr:uid="{F24E7270-A36C-4681-A91F-231B3268315B}"/>
    <cellStyle name="Millares 2 4 3 5" xfId="39144" xr:uid="{283279D8-8C9C-4DFE-84E5-E62525425BCE}"/>
    <cellStyle name="Millares 2 4 3 6" xfId="42236" xr:uid="{ADFEB761-ABA5-4C72-AF8A-07FCDBEB73D1}"/>
    <cellStyle name="Millares 2 4 4" xfId="4303" xr:uid="{17950992-ADFF-444B-B7FF-07173DCD40E3}"/>
    <cellStyle name="Millares 2 4 4 2" xfId="46889" xr:uid="{9A1D8A8B-7214-4633-A10F-DF49DB490F78}"/>
    <cellStyle name="Millares 2 4 5" xfId="24549" xr:uid="{C18F69FA-3493-48C3-A6BF-27E2F97DE0F4}"/>
    <cellStyle name="Millares 2 4 6" xfId="30428" xr:uid="{6230B3F1-032B-4508-B530-C14F53B08A67}"/>
    <cellStyle name="Millares 2 4 7" xfId="36309" xr:uid="{E9EF4392-D250-4D93-8BA2-FCA4352EA2FB}"/>
    <cellStyle name="Millares 2 4 8" xfId="42237" xr:uid="{80280A94-AD0A-47BC-84E1-852AD1286D0D}"/>
    <cellStyle name="Millares 2 4 9" xfId="46890" xr:uid="{F8D9C0E2-5365-4D26-8107-304557A7A87E}"/>
    <cellStyle name="Millares 2 40" xfId="42238" xr:uid="{8B53BF14-86A1-4E5A-9343-74A1B5F68DD7}"/>
    <cellStyle name="Millares 2 41" xfId="42239" xr:uid="{F9E24528-CBEB-4145-883D-9D57F22DE4C2}"/>
    <cellStyle name="Millares 2 42" xfId="42240" xr:uid="{6D7791C0-80C4-4F87-B5FA-B67A9F70EED4}"/>
    <cellStyle name="Millares 2 43" xfId="42241" xr:uid="{3808266E-1F0D-4FC8-BAC3-7F0ECDA78531}"/>
    <cellStyle name="Millares 2 44" xfId="42242" xr:uid="{FD2B03E6-5084-4DD9-82BD-6D7D3B415A2D}"/>
    <cellStyle name="Millares 2 45" xfId="42243" xr:uid="{902552E9-A8DA-491F-AA48-22764B71A8BD}"/>
    <cellStyle name="Millares 2 46" xfId="42244" xr:uid="{59D7AC4C-1FDA-4B47-8BF7-BBB5AF037CF2}"/>
    <cellStyle name="Millares 2 47" xfId="42245" xr:uid="{FBA1C5F5-EDB4-4F00-8577-0CA5F7449715}"/>
    <cellStyle name="Millares 2 5" xfId="68" xr:uid="{00000000-0005-0000-0000-000014020000}"/>
    <cellStyle name="Millares 2 5 2" xfId="7632" xr:uid="{393F6D03-43E8-4CB5-A225-7A295E54E2BA}"/>
    <cellStyle name="Millares 2 5 2 2" xfId="22025" xr:uid="{E5800A9B-758D-4EB2-86D1-9F034CDCE7BB}"/>
    <cellStyle name="Millares 2 5 2 3" xfId="27866" xr:uid="{9E7D89F3-28F3-4A41-9135-DBA618E4C6C9}"/>
    <cellStyle name="Millares 2 5 2 4" xfId="33748" xr:uid="{B99F0F50-637B-43EB-854C-5CEB145C37B8}"/>
    <cellStyle name="Millares 2 5 2 5" xfId="39612" xr:uid="{6C30A0A3-6C14-4482-B41D-41C069396155}"/>
    <cellStyle name="Millares 2 5 3" xfId="4768" xr:uid="{0A6FAD4E-510A-40E5-973D-BA7DF3A8AD32}"/>
    <cellStyle name="Millares 2 5 4" xfId="25017" xr:uid="{47E58DED-9522-4995-8E00-FFD9E81A7AD8}"/>
    <cellStyle name="Millares 2 5 5" xfId="30891" xr:uid="{4F727EF6-C04E-46B2-98F5-25CFBCC4F6BD}"/>
    <cellStyle name="Millares 2 5 6" xfId="36771" xr:uid="{7761DF18-36C8-4109-A405-16A979FAB3FF}"/>
    <cellStyle name="Millares 2 5 7" xfId="42246" xr:uid="{E011D4C5-E486-44AC-B8CD-1459246B86C2}"/>
    <cellStyle name="Millares 2 6" xfId="341" xr:uid="{00000000-0005-0000-0000-000015020000}"/>
    <cellStyle name="Millares 2 6 2" xfId="8644" xr:uid="{04A53D3B-90E0-4312-A676-FBAD3E69B732}"/>
    <cellStyle name="Millares 2 6 2 2" xfId="23015" xr:uid="{B6428CFE-FD9A-4B93-82C0-F17A7F7E7BF7}"/>
    <cellStyle name="Millares 2 6 2 3" xfId="28877" xr:uid="{E8655FAE-F30F-472B-94BF-12149CB6BE0C}"/>
    <cellStyle name="Millares 2 6 2 4" xfId="34759" xr:uid="{7C083796-AF7D-4246-9011-D9C426159DF7}"/>
    <cellStyle name="Millares 2 6 2 5" xfId="40623" xr:uid="{8411D985-6E24-4BA4-BB4A-ECF7308579D9}"/>
    <cellStyle name="Millares 2 6 2 6" xfId="46891" xr:uid="{E5B1B8B9-93DD-419C-B80B-AC79EC9839EB}"/>
    <cellStyle name="Millares 2 6 2 7" xfId="47064" xr:uid="{10923153-C697-417D-9275-799BCB37F8CD}"/>
    <cellStyle name="Millares 2 6 3" xfId="5775" xr:uid="{03B93C06-96D3-4465-B0AC-609EAD0BB34B}"/>
    <cellStyle name="Millares 2 6 4" xfId="26027" xr:uid="{3854FCC3-076C-4475-91A7-974A7116F684}"/>
    <cellStyle name="Millares 2 6 5" xfId="31902" xr:uid="{8BACFB62-602A-4A35-9656-1BA756CAC627}"/>
    <cellStyle name="Millares 2 6 6" xfId="37768" xr:uid="{EADE3421-AA03-4B31-861D-129510EF39A0}"/>
    <cellStyle name="Millares 2 6 7" xfId="42247" xr:uid="{FBE68DF4-3BB2-41FE-81F7-0D64EF5B0A66}"/>
    <cellStyle name="Millares 2 6 8" xfId="46892" xr:uid="{34126F23-DC49-4923-A1FB-47F7BF2452DF}"/>
    <cellStyle name="Millares 2 6 9" xfId="47035" xr:uid="{953B668F-96E7-4292-92EE-2DD64351F771}"/>
    <cellStyle name="Millares 2 7" xfId="336" xr:uid="{00000000-0005-0000-0000-000016020000}"/>
    <cellStyle name="Millares 2 7 2" xfId="9310" xr:uid="{F6237694-0B00-43B3-A78D-EE1C92DC7E03}"/>
    <cellStyle name="Millares 2 7 2 2" xfId="23673" xr:uid="{A7FAD5EA-D7FF-47F6-B38A-6C635A9A34B8}"/>
    <cellStyle name="Millares 2 7 2 2 2" xfId="47290" xr:uid="{7697DB33-5BFA-4566-BC2F-94E201B6140A}"/>
    <cellStyle name="Millares 2 7 2 3" xfId="29541" xr:uid="{9B692E3B-A8A0-4956-B2E3-3BD68F16D006}"/>
    <cellStyle name="Millares 2 7 2 3 2" xfId="47202" xr:uid="{C5667A0C-B5A1-4DDC-9350-34D10A1C956D}"/>
    <cellStyle name="Millares 2 7 2 4" xfId="35423" xr:uid="{396111C8-68D1-480A-AF42-63855C70D09D}"/>
    <cellStyle name="Millares 2 7 2 5" xfId="41282" xr:uid="{59D9DBB7-6205-447C-9402-7488AE8D9727}"/>
    <cellStyle name="Millares 2 7 2 6" xfId="46893" xr:uid="{833902F2-D9B3-4A46-B662-579E12F0B348}"/>
    <cellStyle name="Millares 2 7 3" xfId="6450" xr:uid="{A90BBB0C-77A8-4F10-8A36-FD66C792B5CC}"/>
    <cellStyle name="Millares 2 7 4" xfId="26699" xr:uid="{ED21A740-C5BE-46B4-9FAA-09F3983603B9}"/>
    <cellStyle name="Millares 2 7 5" xfId="32574" xr:uid="{97BFA54E-C870-4191-96D1-A1FA9ABB01F2}"/>
    <cellStyle name="Millares 2 7 6" xfId="38438" xr:uid="{38B146BE-BD26-474E-8826-1183C4EF7E06}"/>
    <cellStyle name="Millares 2 7 7" xfId="42248" xr:uid="{C2BF25F6-0313-45A1-BBC7-584BC4A1F6CB}"/>
    <cellStyle name="Millares 2 8" xfId="1807" xr:uid="{00000000-0005-0000-0000-000017020000}"/>
    <cellStyle name="Millares 2 8 2" xfId="9465" xr:uid="{68A7EB3F-4A15-4EA6-AAA5-3D1A36D5AECF}"/>
    <cellStyle name="Millares 2 8 2 2" xfId="23827" xr:uid="{85F8D2FC-0029-43C7-B212-10DC29523E1F}"/>
    <cellStyle name="Millares 2 8 2 3" xfId="29696" xr:uid="{36881346-ACF3-4EAC-B129-656F462E1428}"/>
    <cellStyle name="Millares 2 8 2 4" xfId="35578" xr:uid="{17975DBA-EB77-4D33-A4B0-E3530B966472}"/>
    <cellStyle name="Millares 2 8 2 5" xfId="41437" xr:uid="{E4BE9129-B088-43AA-957C-53B2BC9724DB}"/>
    <cellStyle name="Millares 2 8 3" xfId="6605" xr:uid="{3A43F447-6B05-4282-B4AB-017C6E225F35}"/>
    <cellStyle name="Millares 2 8 4" xfId="26854" xr:uid="{DF46E4E7-0307-4874-9047-81D844F8E647}"/>
    <cellStyle name="Millares 2 8 5" xfId="32729" xr:uid="{70B30FE2-DAB0-4132-8282-B69A14FC7AD0}"/>
    <cellStyle name="Millares 2 8 6" xfId="38593" xr:uid="{C12E1912-A8B5-4A13-B91A-CFDE6F128641}"/>
    <cellStyle name="Millares 2 8 7" xfId="42249" xr:uid="{7E9D11A6-9463-40C3-B588-5CDC36F018EC}"/>
    <cellStyle name="Millares 2 8 8" xfId="46894" xr:uid="{C6521B43-9FF0-4310-931F-8F14CADF81AD}"/>
    <cellStyle name="Millares 2 8 9" xfId="47044" xr:uid="{5C71B6B4-FCD3-437B-853D-F958C710B28B}"/>
    <cellStyle name="Millares 2 9" xfId="6661" xr:uid="{78274B1D-928F-4C1C-9CB6-183BD74DB6E1}"/>
    <cellStyle name="Millares 2 9 2" xfId="21090" xr:uid="{B1A39CC1-059E-4836-837E-F411B491A3EF}"/>
    <cellStyle name="Millares 2 9 3" xfId="26902" xr:uid="{134175C4-7ED7-4281-AC2B-2206B259E7A0}"/>
    <cellStyle name="Millares 2 9 4" xfId="32777" xr:uid="{900915FD-A2E4-46E6-8E42-1FCE4BAD75B3}"/>
    <cellStyle name="Millares 2 9 5" xfId="38641" xr:uid="{AFE46A3C-572D-4A5A-9BC8-97834198FC3B}"/>
    <cellStyle name="Millares 2 9 6" xfId="42250" xr:uid="{B2210EB2-A9B0-48F5-8A6F-147DD9D4E571}"/>
    <cellStyle name="Millares 2 9 7" xfId="46895" xr:uid="{DB3CE643-BD42-4D9E-8F72-047977AA99B6}"/>
    <cellStyle name="Millares 2 9 8" xfId="47018" xr:uid="{9609B537-881D-49FC-AC20-3D30C2A7212A}"/>
    <cellStyle name="Millares 2_CDA Elias Brios" xfId="42251" xr:uid="{FD0A608B-7CD4-4F14-AED0-262BC9F8EF27}"/>
    <cellStyle name="Millares 20" xfId="210" xr:uid="{00000000-0005-0000-0000-000018020000}"/>
    <cellStyle name="Millares 20 10" xfId="46896" xr:uid="{6CD60204-ECF3-441D-9FD4-E99C7D9784B7}"/>
    <cellStyle name="Millares 20 11" xfId="47032" xr:uid="{20F51B2E-CEBF-4851-8CBE-0BFDA0F8D96E}"/>
    <cellStyle name="Millares 20 2" xfId="318" xr:uid="{00000000-0005-0000-0000-000019020000}"/>
    <cellStyle name="Millares 20 2 10" xfId="16602" xr:uid="{90330AB1-8044-4214-A6DD-4F2457C2F8A6}"/>
    <cellStyle name="Millares 20 2 11" xfId="17146" xr:uid="{6113B043-3233-4909-8446-EDC45B8C03D1}"/>
    <cellStyle name="Millares 20 2 12" xfId="17843" xr:uid="{02D4116E-883C-41E7-93A0-4D56218CB07D}"/>
    <cellStyle name="Millares 20 2 13" xfId="42640" xr:uid="{42A1B01B-DC21-4117-B586-D9BE0371F927}"/>
    <cellStyle name="Millares 20 2 14" xfId="47533" xr:uid="{9F4AC70C-DD87-450C-9183-F30C86DF2EA3}"/>
    <cellStyle name="Millares 20 2 2" xfId="2149" xr:uid="{4A0B7DC3-03DD-4644-AFCF-E26C2725605B}"/>
    <cellStyle name="Millares 20 2 2 2" xfId="8535" xr:uid="{2044F78A-8129-42F5-BBE1-6B29B4D731AD}"/>
    <cellStyle name="Millares 20 2 2 2 2" xfId="22907" xr:uid="{341EAEF7-CE65-4BB0-8B59-27C0CDD8BC68}"/>
    <cellStyle name="Millares 20 2 2 2 3" xfId="28768" xr:uid="{B1F1BB42-C26B-47BF-BEB4-A6A48E679DA3}"/>
    <cellStyle name="Millares 20 2 2 2 4" xfId="34650" xr:uid="{94A592CC-85AA-4589-A7DF-1F9694DE8CC0}"/>
    <cellStyle name="Millares 20 2 2 2 5" xfId="40514" xr:uid="{7A9B2D35-D90B-415E-BD7F-A5997F49F4A3}"/>
    <cellStyle name="Millares 20 2 2 2 6" xfId="45580" xr:uid="{5EAFC63E-24D0-4F83-BF7D-C0F0AF42B58A}"/>
    <cellStyle name="Millares 20 2 2 3" xfId="5667" xr:uid="{468CBE8E-4C39-4AD0-A076-E02E11447AFC}"/>
    <cellStyle name="Millares 20 2 2 3 2" xfId="47167" xr:uid="{D0A10660-FC68-4AEA-BAA6-59C9FD7E6EB9}"/>
    <cellStyle name="Millares 20 2 2 4" xfId="10420" xr:uid="{179378AA-6A49-4C8D-92AA-5C298367C3EB}"/>
    <cellStyle name="Millares 20 2 2 4 2" xfId="25918" xr:uid="{6360DE35-1356-4363-B7AC-DEB40467E178}"/>
    <cellStyle name="Millares 20 2 2 5" xfId="13260" xr:uid="{CA2464B3-5FCB-4282-BA86-9A9D8E762712}"/>
    <cellStyle name="Millares 20 2 2 5 2" xfId="31793" xr:uid="{28AC5114-D629-4343-A723-336DC263B641}"/>
    <cellStyle name="Millares 20 2 2 6" xfId="37660" xr:uid="{B01570C3-7132-4267-AD5E-D257D0E4D775}"/>
    <cellStyle name="Millares 20 2 2 7" xfId="43184" xr:uid="{2F57C941-5D29-4C3F-93D6-B08428EB570F}"/>
    <cellStyle name="Millares 20 2 2 8" xfId="48077" xr:uid="{DD2862C4-A0AD-4F0B-ABDB-E838AA63FDE1}"/>
    <cellStyle name="Millares 20 2 3" xfId="2567" xr:uid="{79424B82-0D61-4140-92D8-541EAACA10EE}"/>
    <cellStyle name="Millares 20 2 3 2" xfId="7563" xr:uid="{CCDE8923-CC47-4777-8710-D98F97169593}"/>
    <cellStyle name="Millares 20 2 3 2 2" xfId="45998" xr:uid="{CD462BDA-C40A-4964-8F7E-5DA2CC3607FD}"/>
    <cellStyle name="Millares 20 2 3 3" xfId="10838" xr:uid="{E18A32A6-2695-444C-B1F1-04BF4481D373}"/>
    <cellStyle name="Millares 20 2 3 3 2" xfId="27797" xr:uid="{663C84F4-9CD7-46FA-8017-8922CBDF5734}"/>
    <cellStyle name="Millares 20 2 3 4" xfId="13678" xr:uid="{7FB096F8-0F5E-468A-8888-331D663288D8}"/>
    <cellStyle name="Millares 20 2 3 4 2" xfId="33679" xr:uid="{DE9B9FC1-732E-4CE3-B104-C7C9F38DBCE6}"/>
    <cellStyle name="Millares 20 2 3 5" xfId="39543" xr:uid="{7445F7DD-5D15-4112-9334-07D2BC905086}"/>
    <cellStyle name="Millares 20 2 3 6" xfId="43602" xr:uid="{0C219806-2645-4083-9BC4-CFA31151FF5A}"/>
    <cellStyle name="Millares 20 2 3 7" xfId="48495" xr:uid="{A3370AA6-36C0-4650-89C9-CDBE16A101B6}"/>
    <cellStyle name="Millares 20 2 4" xfId="3111" xr:uid="{88DD1C4C-A2C8-4D3E-B875-051C34E55B48}"/>
    <cellStyle name="Millares 20 2 4 2" xfId="11382" xr:uid="{20AC8721-40FF-45BA-A720-BFB9B804101B}"/>
    <cellStyle name="Millares 20 2 4 2 2" xfId="46542" xr:uid="{31296024-6A91-45A1-87FC-BFB5EEF7D1B9}"/>
    <cellStyle name="Millares 20 2 4 3" xfId="14222" xr:uid="{E0B4F4B1-5FCB-4D41-A7A4-3B9F125161EE}"/>
    <cellStyle name="Millares 20 2 4 4" xfId="19192" xr:uid="{2318AD7A-8D83-4309-8199-570C21DF011F}"/>
    <cellStyle name="Millares 20 2 4 5" xfId="44146" xr:uid="{6762ECD6-B159-4C7A-A33E-C888547F99E6}"/>
    <cellStyle name="Millares 20 2 4 6" xfId="49039" xr:uid="{3E3A3F31-A852-4858-8500-185FC67B1F27}"/>
    <cellStyle name="Millares 20 2 5" xfId="3613" xr:uid="{C5F3BAC9-441A-4628-B84E-34EA4DA68293}"/>
    <cellStyle name="Millares 20 2 5 2" xfId="11854" xr:uid="{7FABA095-00AA-4C6A-9486-D79169D67874}"/>
    <cellStyle name="Millares 20 2 5 3" xfId="14694" xr:uid="{5C6F4080-368E-40F3-AF54-39507E74D27D}"/>
    <cellStyle name="Millares 20 2 5 4" xfId="24948" xr:uid="{CF063376-1689-42AE-B694-E732B2064930}"/>
    <cellStyle name="Millares 20 2 5 5" xfId="44618" xr:uid="{C7B9572A-5599-4DB4-8C67-C76504474D71}"/>
    <cellStyle name="Millares 20 2 5 6" xfId="49511" xr:uid="{0ED51953-4006-4543-80A3-10FA8BAA5222}"/>
    <cellStyle name="Millares 20 2 6" xfId="4699" xr:uid="{E74B0B59-0225-41A8-9847-BED4DA416EC1}"/>
    <cellStyle name="Millares 20 2 6 2" xfId="45036" xr:uid="{B5988DC1-168F-42A0-9936-D0200F761D01}"/>
    <cellStyle name="Millares 20 2 7" xfId="9876" xr:uid="{41499B6A-4ABC-40B0-AE4A-650B3AFFBE00}"/>
    <cellStyle name="Millares 20 2 7 2" xfId="36703" xr:uid="{9EB59E71-01AF-46CF-9C33-08BCB42B1BE0}"/>
    <cellStyle name="Millares 20 2 8" xfId="12716" xr:uid="{95E61389-C97B-432D-BA20-BDC5E886C436}"/>
    <cellStyle name="Millares 20 2 9" xfId="16059" xr:uid="{78C785F4-AD51-4FF4-B8EB-6A898EBB06A2}"/>
    <cellStyle name="Millares 20 3" xfId="545" xr:uid="{00000000-0005-0000-0000-00001A020000}"/>
    <cellStyle name="Millares 20 3 10" xfId="16814" xr:uid="{CDC02382-BA29-4811-9152-C41B595F09A3}"/>
    <cellStyle name="Millares 20 3 11" xfId="17358" xr:uid="{A2051749-4333-4185-8314-49F9BE233DAC}"/>
    <cellStyle name="Millares 20 3 12" xfId="17736" xr:uid="{E29D36D1-E75B-48EE-B2A0-9D6B0B0A28DC}"/>
    <cellStyle name="Millares 20 3 13" xfId="42852" xr:uid="{61DEEFEA-709D-4B1D-9D03-0822B458C360}"/>
    <cellStyle name="Millares 20 3 14" xfId="47745" xr:uid="{3D31B5A1-C06A-4594-A2F0-9D227DE7F806}"/>
    <cellStyle name="Millares 20 3 2" xfId="2361" xr:uid="{B7818BAA-7F5E-475B-BAF1-6FA357E622FD}"/>
    <cellStyle name="Millares 20 3 2 2" xfId="8050" xr:uid="{7C74345B-C6BC-443D-8563-CFD7417F5263}"/>
    <cellStyle name="Millares 20 3 2 2 2" xfId="45792" xr:uid="{F1312474-8091-4D2F-94CE-813BFCADFF25}"/>
    <cellStyle name="Millares 20 3 2 3" xfId="10632" xr:uid="{10B2EF59-9688-4723-87B9-183782E12F59}"/>
    <cellStyle name="Millares 20 3 2 3 2" xfId="28283" xr:uid="{A359403E-8440-48BF-8280-20B0768171F9}"/>
    <cellStyle name="Millares 20 3 2 4" xfId="13472" xr:uid="{6513B6AD-6A66-44AE-8B80-DF61C6818C9A}"/>
    <cellStyle name="Millares 20 3 2 4 2" xfId="34165" xr:uid="{770E466C-E1AA-4565-BEFC-BB0570819827}"/>
    <cellStyle name="Millares 20 3 2 5" xfId="40029" xr:uid="{BF689925-404E-49AD-9CC4-DCFCC4663893}"/>
    <cellStyle name="Millares 20 3 2 6" xfId="43396" xr:uid="{A17747A1-F6D2-40D2-B88E-EA3C9B81D771}"/>
    <cellStyle name="Millares 20 3 2 7" xfId="48289" xr:uid="{FD678307-94C8-4358-96E8-A3B88F5BF282}"/>
    <cellStyle name="Millares 20 3 3" xfId="2779" xr:uid="{7C2C79A5-714F-4A0B-A5C8-12F27E00224E}"/>
    <cellStyle name="Millares 20 3 3 2" xfId="11050" xr:uid="{E887516D-CC6D-400C-B329-0C9FE6CDBF40}"/>
    <cellStyle name="Millares 20 3 3 2 2" xfId="46210" xr:uid="{37142FF5-3D18-4246-AAA8-6A1A3729B612}"/>
    <cellStyle name="Millares 20 3 3 3" xfId="13890" xr:uid="{D3E9E4B6-E6E6-422C-B70D-0F1A7272B5FB}"/>
    <cellStyle name="Millares 20 3 3 4" xfId="19656" xr:uid="{099C5F9C-097E-4221-8EA4-677EA2FC3A8C}"/>
    <cellStyle name="Millares 20 3 3 5" xfId="43814" xr:uid="{5565F649-3202-440C-B2FB-91D8E2437306}"/>
    <cellStyle name="Millares 20 3 3 6" xfId="48707" xr:uid="{D3E93B23-6D20-497D-8917-C8FF1FDB241F}"/>
    <cellStyle name="Millares 20 3 4" xfId="3323" xr:uid="{5E30177A-8D2F-483C-B225-90936C2B0FEE}"/>
    <cellStyle name="Millares 20 3 4 2" xfId="11594" xr:uid="{787B8761-593E-4C3B-9CC2-DAC2BFF6000C}"/>
    <cellStyle name="Millares 20 3 4 2 2" xfId="46754" xr:uid="{E05AFE93-63AD-437D-A64E-5653C6478277}"/>
    <cellStyle name="Millares 20 3 4 3" xfId="14434" xr:uid="{8C95154F-18DC-4B65-B871-12A0CE74E303}"/>
    <cellStyle name="Millares 20 3 4 4" xfId="25434" xr:uid="{63424D75-7EF5-4692-9DBB-4058E24535A8}"/>
    <cellStyle name="Millares 20 3 4 5" xfId="44358" xr:uid="{C4E04819-5BA1-4FC3-9414-57F8A9E13901}"/>
    <cellStyle name="Millares 20 3 4 6" xfId="49251" xr:uid="{F7A1307D-D280-4D6D-8543-A304268FFE5E}"/>
    <cellStyle name="Millares 20 3 5" xfId="3825" xr:uid="{BFA791FC-915A-478D-8D60-9810390F985D}"/>
    <cellStyle name="Millares 20 3 5 2" xfId="12066" xr:uid="{83545ECE-67B0-49F5-923F-6525510D789E}"/>
    <cellStyle name="Millares 20 3 5 3" xfId="14906" xr:uid="{75E4DB08-86E6-4434-9E4A-5933DD3B6F2E}"/>
    <cellStyle name="Millares 20 3 5 4" xfId="31308" xr:uid="{C453EAEC-ADC6-44B9-8F16-0797CB58F486}"/>
    <cellStyle name="Millares 20 3 5 5" xfId="44830" xr:uid="{24DE899E-9D10-47ED-A0E8-8CC55A1777FB}"/>
    <cellStyle name="Millares 20 3 5 6" xfId="49723" xr:uid="{9D4F1A76-E749-4019-989B-1FCBCE6A2AB2}"/>
    <cellStyle name="Millares 20 3 6" xfId="5183" xr:uid="{6418CD6D-E6B1-443D-B3C9-B4A0BCD37C89}"/>
    <cellStyle name="Millares 20 3 6 2" xfId="45248" xr:uid="{4D7A8864-21AF-4EFB-9B11-B6DE585654D6}"/>
    <cellStyle name="Millares 20 3 7" xfId="10088" xr:uid="{8F9F7CEE-C718-49BA-87B2-C77316F01BEC}"/>
    <cellStyle name="Millares 20 3 8" xfId="12928" xr:uid="{EC85FD04-4E02-4954-8B6D-927DCCE90AE1}"/>
    <cellStyle name="Millares 20 3 9" xfId="16271" xr:uid="{B2920579-5B6C-4C8D-B6F5-01CC73282A42}"/>
    <cellStyle name="Millares 20 4" xfId="3339" xr:uid="{C29D6346-987B-4022-830E-6A4D8CC9BF4C}"/>
    <cellStyle name="Millares 20 4 2" xfId="7078" xr:uid="{D434D140-B6A7-418C-8403-A15767EB45AC}"/>
    <cellStyle name="Millares 20 4 3" xfId="27313" xr:uid="{0DBCFA75-F374-409E-B71C-BB055B3B9F58}"/>
    <cellStyle name="Millares 20 4 4" xfId="33194" xr:uid="{982C2F97-109B-48D7-8CA4-6E88DFAFE95D}"/>
    <cellStyle name="Millares 20 4 5" xfId="39058" xr:uid="{5574F9ED-E51B-45CD-A174-3D5D749BB2FA}"/>
    <cellStyle name="Millares 20 5" xfId="4221" xr:uid="{69E0EB34-BBD5-4C4B-BA16-9A217CBC0CCF}"/>
    <cellStyle name="Millares 20 6" xfId="24465" xr:uid="{C729904C-D875-457C-A8C1-A37D95469B1B}"/>
    <cellStyle name="Millares 20 7" xfId="30341" xr:uid="{6AF5E839-3739-4C99-8D6F-CA75ABF2C1D7}"/>
    <cellStyle name="Millares 20 8" xfId="36222" xr:uid="{80B1A6C6-1AFC-48E0-A047-2CB7E7B950C4}"/>
    <cellStyle name="Millares 20 9" xfId="42252" xr:uid="{8F755B40-73C4-4115-8C36-A3FFEB93D508}"/>
    <cellStyle name="Millares 21" xfId="212" xr:uid="{00000000-0005-0000-0000-00001B020000}"/>
    <cellStyle name="Millares 21 10" xfId="46897" xr:uid="{5EEAE75C-0A18-4745-8C73-A55528222CB6}"/>
    <cellStyle name="Millares 21 11" xfId="47033" xr:uid="{E36E7CE5-7655-4D01-8A02-98DB77919D3E}"/>
    <cellStyle name="Millares 21 2" xfId="3393" xr:uid="{FD3D684A-22BB-4271-BEC5-C86418FBE162}"/>
    <cellStyle name="Millares 21 2 2" xfId="5668" xr:uid="{14A07894-C50F-4FAC-8CF2-41DB720A8B18}"/>
    <cellStyle name="Millares 21 2 2 2" xfId="8536" xr:uid="{3283FAC0-9C8B-41C0-8BCF-0AFB49A9E04E}"/>
    <cellStyle name="Millares 21 2 2 2 2" xfId="22908" xr:uid="{5B6F4966-D3F0-418E-B0DA-525BF59B4730}"/>
    <cellStyle name="Millares 21 2 2 2 3" xfId="28769" xr:uid="{8C919ADA-A435-4A15-8DD7-BB660624010F}"/>
    <cellStyle name="Millares 21 2 2 2 4" xfId="34651" xr:uid="{A29FC7B7-7A45-459D-ACC4-96897DC1F5D0}"/>
    <cellStyle name="Millares 21 2 2 2 5" xfId="40515" xr:uid="{5357B81C-8CB5-43BE-9AAB-B076C02EFC79}"/>
    <cellStyle name="Millares 21 2 2 2 6" xfId="47317" xr:uid="{0A298D42-F617-462B-8988-72834D0C4370}"/>
    <cellStyle name="Millares 21 2 2 3" xfId="20126" xr:uid="{4BC6B192-519F-4EAE-AAD2-AE32C9A813B8}"/>
    <cellStyle name="Millares 21 2 2 3 2" xfId="47229" xr:uid="{58CA03F4-B8B7-49B9-9248-9857629EAC76}"/>
    <cellStyle name="Millares 21 2 2 4" xfId="25919" xr:uid="{6116EDE6-8225-450C-8D21-A72847F99C62}"/>
    <cellStyle name="Millares 21 2 2 5" xfId="31794" xr:uid="{C81FAD4B-DA82-402C-83E7-328E1713C683}"/>
    <cellStyle name="Millares 21 2 2 6" xfId="37661" xr:uid="{C37FA324-2207-4686-AAB5-8DE2A3C6A87A}"/>
    <cellStyle name="Millares 21 2 2 7" xfId="46898" xr:uid="{C42608D9-C192-4B6F-8C8B-085DA2AD5CCF}"/>
    <cellStyle name="Millares 21 2 3" xfId="7564" xr:uid="{26B1B32C-DE19-4902-92EE-04BDD6A3FE90}"/>
    <cellStyle name="Millares 21 2 3 2" xfId="21959" xr:uid="{A9C90B63-78F1-4B34-8566-92087B4D76A9}"/>
    <cellStyle name="Millares 21 2 3 3" xfId="27798" xr:uid="{1C79EC5B-2897-414F-8CE4-75E5EEFF9357}"/>
    <cellStyle name="Millares 21 2 3 4" xfId="33680" xr:uid="{14F256F4-B8D3-44CB-B700-623FD5CE3428}"/>
    <cellStyle name="Millares 21 2 3 5" xfId="39544" xr:uid="{3E4D6159-83F3-4D64-99C3-40A63E1E6881}"/>
    <cellStyle name="Millares 21 2 4" xfId="4700" xr:uid="{B9E692D7-A3EF-4E22-8474-6EAC8F73470C}"/>
    <cellStyle name="Millares 21 2 5" xfId="24949" xr:uid="{29ACD19F-15C4-4E46-B20E-1A28093436E7}"/>
    <cellStyle name="Millares 21 2 6" xfId="30823" xr:uid="{53360616-9A15-4FE2-AC1A-A09A808168C6}"/>
    <cellStyle name="Millares 21 2 7" xfId="36704" xr:uid="{AE592C3C-4A5D-4B33-8FEE-FF859AB43470}"/>
    <cellStyle name="Millares 21 3" xfId="5184" xr:uid="{37CCFB6D-4002-4446-A9EA-9C4E4FA2113A}"/>
    <cellStyle name="Millares 21 3 2" xfId="8051" xr:uid="{899479E3-975A-4A85-BBF3-BA253A0C2004}"/>
    <cellStyle name="Millares 21 3 2 2" xfId="22430" xr:uid="{77A1AA08-7AB2-43E3-B9D2-7052E0B21348}"/>
    <cellStyle name="Millares 21 3 2 3" xfId="28284" xr:uid="{E271513D-1231-46A1-B0A2-E4214C2EF140}"/>
    <cellStyle name="Millares 21 3 2 4" xfId="34166" xr:uid="{1AA7D3E0-01A1-4F1E-AAF3-3CAC2BC6EC4C}"/>
    <cellStyle name="Millares 21 3 2 5" xfId="40030" xr:uid="{F846C6FC-625A-4965-BC45-CAF8FED8C156}"/>
    <cellStyle name="Millares 21 3 2 6" xfId="47302" xr:uid="{C947291B-9BC9-4F88-AAC7-51849066A5CF}"/>
    <cellStyle name="Millares 21 3 3" xfId="19657" xr:uid="{48B9134D-8D5B-4A4C-8257-CDFCA433594A}"/>
    <cellStyle name="Millares 21 3 3 2" xfId="47214" xr:uid="{5535F167-ED6E-4BD5-9A50-AE2689F2C2B7}"/>
    <cellStyle name="Millares 21 3 4" xfId="25435" xr:uid="{7D7A1C57-7514-4318-A612-4EFC2595D7ED}"/>
    <cellStyle name="Millares 21 3 5" xfId="31309" xr:uid="{F68D2076-304E-424F-B0A1-9A6F2E607FAC}"/>
    <cellStyle name="Millares 21 3 6" xfId="37182" xr:uid="{5E9CE940-1436-479B-B2BA-06F818A048FD}"/>
    <cellStyle name="Millares 21 3 7" xfId="46899" xr:uid="{E4AEC341-C63C-4649-B5C6-38A6F301242A}"/>
    <cellStyle name="Millares 21 4" xfId="7079" xr:uid="{16C44902-EFC9-42A9-86FD-FA76506BFEDA}"/>
    <cellStyle name="Millares 21 4 2" xfId="21493" xr:uid="{5AA75E62-7D6A-44A7-95C0-4D0C24AEE701}"/>
    <cellStyle name="Millares 21 4 3" xfId="27314" xr:uid="{7272DC79-B78A-4401-8D43-30357B1BBAE2}"/>
    <cellStyle name="Millares 21 4 4" xfId="33195" xr:uid="{49B953FC-64D8-4E3C-85FA-85516ABB4B99}"/>
    <cellStyle name="Millares 21 4 5" xfId="39059" xr:uid="{F35A6418-197D-4B53-8521-BD4977151629}"/>
    <cellStyle name="Millares 21 4 6" xfId="46900" xr:uid="{DC9727E7-0E65-4A6B-B63B-1AD5C1756C77}"/>
    <cellStyle name="Millares 21 4 7" xfId="47078" xr:uid="{38F4A66E-472B-4266-864C-6A0D1242CA6F}"/>
    <cellStyle name="Millares 21 5" xfId="4222" xr:uid="{BE64DC44-1BAF-4D28-BC51-3415AD603807}"/>
    <cellStyle name="Millares 21 6" xfId="24466" xr:uid="{10E9E9DE-B9A9-4F30-BE64-2FA883BEBAC6}"/>
    <cellStyle name="Millares 21 7" xfId="30342" xr:uid="{8E055172-8090-45B5-91D1-1A90633441F5}"/>
    <cellStyle name="Millares 21 8" xfId="36223" xr:uid="{D6E89410-8F18-44DC-AAC2-E63DEF948F72}"/>
    <cellStyle name="Millares 21 9" xfId="42253" xr:uid="{EB909B77-FCEB-495B-8655-563E4C73B407}"/>
    <cellStyle name="Millares 212" xfId="1809" xr:uid="{00000000-0005-0000-0000-00001C020000}"/>
    <cellStyle name="Millares 212 10" xfId="16927" xr:uid="{E2937C76-9A1D-4054-9F43-4C37EA78A283}"/>
    <cellStyle name="Millares 212 11" xfId="17471" xr:uid="{F6E7E471-6CC0-420F-A929-134EE921569A}"/>
    <cellStyle name="Millares 212 12" xfId="18232" xr:uid="{F00D54BD-7DA7-464A-A4DC-CC452A474F55}"/>
    <cellStyle name="Millares 212 13" xfId="42100" xr:uid="{F96D5188-C551-4BF6-A83C-6A9A0208ABC9}"/>
    <cellStyle name="Millares 212 14" xfId="42965" xr:uid="{0EED4094-DCED-4E58-8A3F-EED0D05ECB0D}"/>
    <cellStyle name="Millares 212 15" xfId="47858" xr:uid="{3A36843E-B8D2-4164-8C9E-03AB54C37428}"/>
    <cellStyle name="Millares 212 16" xfId="50173" xr:uid="{3B7B40F5-D6CC-43C0-A45F-CD6E38CF00F3}"/>
    <cellStyle name="Millares 212 17" xfId="50246" xr:uid="{0A7C0349-62D2-41AD-A786-52F330A763FD}"/>
    <cellStyle name="Millares 212 2" xfId="1918" xr:uid="{00000000-0005-0000-0000-00001D020000}"/>
    <cellStyle name="Millares 212 2 10" xfId="17625" xr:uid="{2F9FCEA3-AA97-4CCF-B728-E3FE697051F2}"/>
    <cellStyle name="Millares 212 2 11" xfId="42101" xr:uid="{0E62F0A4-A004-4126-A1EB-578B7E3BCA1B}"/>
    <cellStyle name="Millares 212 2 12" xfId="42974" xr:uid="{2F365367-FAB8-49FB-913F-747AADEFC7E6}"/>
    <cellStyle name="Millares 212 2 13" xfId="47867" xr:uid="{D5C01306-EA9F-4AAB-9A27-182E1DAC8FDB}"/>
    <cellStyle name="Millares 212 2 14" xfId="50184" xr:uid="{0AA05E05-0377-48F4-95D6-67DA6C62644C}"/>
    <cellStyle name="Millares 212 2 15" xfId="50258" xr:uid="{931617C6-6565-45CA-8CB6-9399038483C7}"/>
    <cellStyle name="Millares 212 2 2" xfId="2901" xr:uid="{C3DA4088-4334-4555-AB31-4FFD67AEFA8C}"/>
    <cellStyle name="Millares 212 2 2 2" xfId="11172" xr:uid="{DA33C422-D66C-42CF-BD59-57E3EEA6E4A3}"/>
    <cellStyle name="Millares 212 2 2 2 2" xfId="46332" xr:uid="{FA869A7E-E640-4500-B406-1001EC7B025A}"/>
    <cellStyle name="Millares 212 2 2 2 3" xfId="47138" xr:uid="{AB2A62CA-526A-4C3A-AC87-8772F7B6F18F}"/>
    <cellStyle name="Millares 212 2 2 2 4" xfId="50368" xr:uid="{6C8B4CBA-2FF1-4ECE-99CA-0302B50BB155}"/>
    <cellStyle name="Millares 212 2 2 3" xfId="14012" xr:uid="{4BCC192E-FE8C-4358-9464-4C4091757509}"/>
    <cellStyle name="Millares 212 2 2 4" xfId="42102" xr:uid="{8A495059-7883-4937-ABDA-140B25742C4F}"/>
    <cellStyle name="Millares 212 2 2 5" xfId="43936" xr:uid="{397A502B-CF71-4FF2-BE58-CBD012D95152}"/>
    <cellStyle name="Millares 212 2 2 6" xfId="48829" xr:uid="{C30B6169-DFC6-46DF-894F-AFD8CE217942}"/>
    <cellStyle name="Millares 212 2 2 7" xfId="50222" xr:uid="{5C1FE4B5-AE20-4795-AEA6-FF15A8190D08}"/>
    <cellStyle name="Millares 212 2 2 8" xfId="50296" xr:uid="{24FC7663-D265-40F3-8A5D-3B6B251D8A25}"/>
    <cellStyle name="Millares 212 2 3" xfId="3367" xr:uid="{A73E351A-8800-441F-A0AE-F6094760FC66}"/>
    <cellStyle name="Millares 212 2 3 2" xfId="11617" xr:uid="{AB19DE00-784D-4905-9104-EB8DBEBA0231}"/>
    <cellStyle name="Millares 212 2 3 2 2" xfId="46777" xr:uid="{6AACF4F5-58DA-4508-8FEA-4C5448A5BCA8}"/>
    <cellStyle name="Millares 212 2 3 3" xfId="14457" xr:uid="{2B4212B7-6243-4396-B6F5-9A3220B21BB9}"/>
    <cellStyle name="Millares 212 2 3 4" xfId="44381" xr:uid="{DCF53B7B-BBD9-4867-9E2A-F755E37F6B17}"/>
    <cellStyle name="Millares 212 2 3 5" xfId="49274" xr:uid="{B611998F-56B7-4B3B-B4FA-711FD7107B3F}"/>
    <cellStyle name="Millares 212 2 3 6" xfId="50330" xr:uid="{462DA77E-4D16-4214-8B87-872D6FD935D8}"/>
    <cellStyle name="Millares 212 2 4" xfId="9643" xr:uid="{F5A4187E-86C7-4731-92C4-BD5606920490}"/>
    <cellStyle name="Millares 212 2 4 2" xfId="12483" xr:uid="{C79548DE-1D0C-4DE9-B830-C5147F4D889B}"/>
    <cellStyle name="Millares 212 2 4 3" xfId="15324" xr:uid="{31217267-5818-4F1E-9A3F-7D176223DBF9}"/>
    <cellStyle name="Millares 212 2 4 4" xfId="45370" xr:uid="{98EA3C4F-E0AA-4C7E-A369-B3CE2A9E0D67}"/>
    <cellStyle name="Millares 212 2 4 5" xfId="50140" xr:uid="{7E07BAF8-6F69-4AB6-BB86-1CE87FDF93E2}"/>
    <cellStyle name="Millares 212 2 5" xfId="10210" xr:uid="{F5C4AC05-E808-4CD1-90BD-CB22261F66D2}"/>
    <cellStyle name="Millares 212 2 6" xfId="13050" xr:uid="{71917F1A-B6DD-4648-A0F0-661F35666A48}"/>
    <cellStyle name="Millares 212 2 7" xfId="16392" xr:uid="{F200FD6D-56E2-4FF6-BF25-2D6C79C184CC}"/>
    <cellStyle name="Millares 212 2 8" xfId="16936" xr:uid="{55F7698E-6F1E-46F1-B8B5-4D641AD48F23}"/>
    <cellStyle name="Millares 212 2 9" xfId="17480" xr:uid="{6CEB830D-C7D3-4ED8-A29F-6E407BDC55BE}"/>
    <cellStyle name="Millares 212 3" xfId="2892" xr:uid="{EA5088AC-BA57-44E3-8792-E95D36EACD96}"/>
    <cellStyle name="Millares 212 3 10" xfId="50266" xr:uid="{1C5160BE-3FB7-4B49-AA66-775F5EC2960C}"/>
    <cellStyle name="Millares 212 3 2" xfId="3376" xr:uid="{24B7F37A-88E8-4385-B81D-9E3B1209B4CC}"/>
    <cellStyle name="Millares 212 3 2 2" xfId="11624" xr:uid="{B11EE473-50E9-48D1-8403-A9521BEBD5BE}"/>
    <cellStyle name="Millares 212 3 2 2 2" xfId="46784" xr:uid="{0D4534B5-D203-4D0D-AD1D-45645F5A0253}"/>
    <cellStyle name="Millares 212 3 2 2 3" xfId="47143" xr:uid="{EDC219B4-9E6F-482E-84ED-76078A6080B9}"/>
    <cellStyle name="Millares 212 3 2 2 4" xfId="50376" xr:uid="{3FC05983-FFEA-4979-A742-B578AEE1952F}"/>
    <cellStyle name="Millares 212 3 2 3" xfId="14464" xr:uid="{738DFBD3-0BB5-442F-AAD1-689992B036A0}"/>
    <cellStyle name="Millares 212 3 2 4" xfId="42103" xr:uid="{2F6D7C5B-2261-45EC-A52B-E963499A1581}"/>
    <cellStyle name="Millares 212 3 2 5" xfId="44388" xr:uid="{76BEF6EB-023E-46EC-B1ED-39258B67DC9B}"/>
    <cellStyle name="Millares 212 3 2 6" xfId="49281" xr:uid="{257A1821-CEA3-4601-8BB2-3EF0A3795FA8}"/>
    <cellStyle name="Millares 212 3 2 7" xfId="50230" xr:uid="{2FFAE0B3-DD48-429D-B705-9663D62476EE}"/>
    <cellStyle name="Millares 212 3 2 8" xfId="50304" xr:uid="{ED202751-A151-4CF2-A0FE-2728543E37FB}"/>
    <cellStyle name="Millares 212 3 3" xfId="9660" xr:uid="{F5582E6B-DC5D-476B-AF5B-47AC0787D98E}"/>
    <cellStyle name="Millares 212 3 3 2" xfId="12500" xr:uid="{C05885EC-B3CB-460A-B209-724AA7DC3C98}"/>
    <cellStyle name="Millares 212 3 3 3" xfId="15341" xr:uid="{44E4C393-8740-46FC-B0F4-B0D9B532C7AD}"/>
    <cellStyle name="Millares 212 3 3 4" xfId="46323" xr:uid="{A5E5F455-1A68-45E4-9FB5-29E2F018693C}"/>
    <cellStyle name="Millares 212 3 3 5" xfId="50157" xr:uid="{4220AC43-AAB4-4F44-BC7F-5B0B71B76473}"/>
    <cellStyle name="Millares 212 3 3 6" xfId="50338" xr:uid="{960079D0-AFBE-472C-95BA-63B7E5333237}"/>
    <cellStyle name="Millares 212 3 4" xfId="11163" xr:uid="{F7B8C852-4365-4436-BEAC-B284270474F7}"/>
    <cellStyle name="Millares 212 3 4 2" xfId="47240" xr:uid="{6DF63C2A-5586-478F-950D-363A93D39C8D}"/>
    <cellStyle name="Millares 212 3 5" xfId="14003" xr:uid="{91B8CA64-1EAF-431E-85BE-0577BCFFB9ED}"/>
    <cellStyle name="Millares 212 3 6" xfId="42104" xr:uid="{22E10B90-7588-45C2-8886-779A4A1E4038}"/>
    <cellStyle name="Millares 212 3 7" xfId="43927" xr:uid="{2EE95E78-6B6A-4F0A-92AD-91ED6FD1F3CF}"/>
    <cellStyle name="Millares 212 3 8" xfId="48820" xr:uid="{CFB8F69E-4319-449D-ADE3-D09955E772E0}"/>
    <cellStyle name="Millares 212 3 9" xfId="50192" xr:uid="{99E43544-440A-49E2-A245-2AA01253A345}"/>
    <cellStyle name="Millares 212 4" xfId="3388" xr:uid="{9418599C-2852-49F6-AB50-9FA8EC878796}"/>
    <cellStyle name="Millares 212 4 2" xfId="9670" xr:uid="{8AB22429-C47E-4BE7-9235-83C12CD49279}"/>
    <cellStyle name="Millares 212 4 2 2" xfId="12510" xr:uid="{9B118122-1560-4AFB-988B-1A646172BA94}"/>
    <cellStyle name="Millares 212 4 2 2 2" xfId="47284" xr:uid="{412D6254-0CF8-4752-A04D-7BC176C209A7}"/>
    <cellStyle name="Millares 212 4 2 2 3" xfId="47152" xr:uid="{CB83D323-74C1-42B9-B814-1145E495711C}"/>
    <cellStyle name="Millares 212 4 2 2 4" xfId="50386" xr:uid="{E6F83938-804E-4DAA-9270-AA84118E244E}"/>
    <cellStyle name="Millares 212 4 2 3" xfId="15351" xr:uid="{0952E8F7-4C15-49EE-9E99-18C8B9EBA194}"/>
    <cellStyle name="Millares 212 4 2 4" xfId="42105" xr:uid="{34620881-0E23-47B0-952D-278275226136}"/>
    <cellStyle name="Millares 212 4 2 5" xfId="46794" xr:uid="{B42382E1-C075-410C-917A-F716483E9438}"/>
    <cellStyle name="Millares 212 4 2 6" xfId="50167" xr:uid="{B8A0E43A-0A79-47E9-8493-F9B38A4A3A0D}"/>
    <cellStyle name="Millares 212 4 2 7" xfId="50240" xr:uid="{088D360B-B28E-49CF-9BE1-2AE25EA53353}"/>
    <cellStyle name="Millares 212 4 2 8" xfId="50314" xr:uid="{A7E2E62D-E5BD-4684-AF78-DFC3F479857B}"/>
    <cellStyle name="Millares 212 4 3" xfId="11634" xr:uid="{15608C00-6427-4664-AEAA-A7D0004A6C42}"/>
    <cellStyle name="Millares 212 4 3 2" xfId="47268" xr:uid="{A1D0168D-CCD4-405F-8DF7-DBFB1B2051BF}"/>
    <cellStyle name="Millares 212 4 3 3" xfId="47129" xr:uid="{4D488F95-56D8-4281-B5E8-EBF81B342896}"/>
    <cellStyle name="Millares 212 4 3 4" xfId="50348" xr:uid="{B847A954-4081-4547-96E5-A7092C598DC6}"/>
    <cellStyle name="Millares 212 4 4" xfId="14474" xr:uid="{B531F5C2-FA92-489F-9E72-BC84C6185E27}"/>
    <cellStyle name="Millares 212 4 4 2" xfId="47246" xr:uid="{225613FC-BB2B-4FD4-9188-B39CC91E5BA3}"/>
    <cellStyle name="Millares 212 4 5" xfId="42106" xr:uid="{1CD65B10-F52F-4DC4-93DC-5F9C6C541E38}"/>
    <cellStyle name="Millares 212 4 6" xfId="44398" xr:uid="{D423E23D-7C45-440B-9FA9-478384F66851}"/>
    <cellStyle name="Millares 212 4 7" xfId="49291" xr:uid="{2A63E5D3-216D-4AC4-9578-88E0037C08F8}"/>
    <cellStyle name="Millares 212 4 8" xfId="50202" xr:uid="{4A4312D4-347C-4BEC-838B-C1F03BD9A32B}"/>
    <cellStyle name="Millares 212 4 9" xfId="50276" xr:uid="{A1416A34-A31B-4D47-AC03-3AC7E555B177}"/>
    <cellStyle name="Millares 212 5" xfId="3331" xr:uid="{11855474-35D6-4AE9-8F12-D33F25D214CC}"/>
    <cellStyle name="Millares 212 5 2" xfId="11599" xr:uid="{DFA0EC47-5C24-492A-8C27-409B177DA526}"/>
    <cellStyle name="Millares 212 5 2 2" xfId="46759" xr:uid="{72E6DAB4-35FB-4720-BA91-9A8DA31F60AF}"/>
    <cellStyle name="Millares 212 5 2 3" xfId="47132" xr:uid="{D07759A1-BAB3-4BC1-8F8A-A7E86068FE23}"/>
    <cellStyle name="Millares 212 5 2 4" xfId="50355" xr:uid="{A47A2330-7AAC-439F-BD5D-D3B8AADCE061}"/>
    <cellStyle name="Millares 212 5 3" xfId="14439" xr:uid="{769CE66C-6988-404E-AA04-A82B1F23AC82}"/>
    <cellStyle name="Millares 212 5 4" xfId="42107" xr:uid="{513E8F69-7D5B-4595-91C1-2CDB331728BD}"/>
    <cellStyle name="Millares 212 5 5" xfId="44363" xr:uid="{27A9B182-0368-463F-8673-D15AAFBEDCE1}"/>
    <cellStyle name="Millares 212 5 6" xfId="49256" xr:uid="{EB7700F3-901A-44BD-8E2D-C57619294477}"/>
    <cellStyle name="Millares 212 5 7" xfId="50209" xr:uid="{047678DA-19AA-4D81-8B8E-65A2710FE1B1}"/>
    <cellStyle name="Millares 212 5 8" xfId="50283" xr:uid="{21A83FC1-158B-4E12-91F1-097E4B41B61C}"/>
    <cellStyle name="Millares 212 6" xfId="9625" xr:uid="{4D154C23-0C40-4998-B62F-EA467E95C26B}"/>
    <cellStyle name="Millares 212 6 2" xfId="12465" xr:uid="{E87FC9BC-A98E-4902-A226-B5405AC6264D}"/>
    <cellStyle name="Millares 212 6 3" xfId="15306" xr:uid="{166CFAFE-061B-46F8-96B9-F3CAB83FEC63}"/>
    <cellStyle name="Millares 212 6 4" xfId="45361" xr:uid="{F83E6D02-8B34-4F78-AE49-DF92D39B6D57}"/>
    <cellStyle name="Millares 212 6 5" xfId="50122" xr:uid="{954418F4-5078-453D-8ECA-6FBEE5B34DC1}"/>
    <cellStyle name="Millares 212 6 6" xfId="50320" xr:uid="{079C3732-8E27-47C8-A455-D10389C94F78}"/>
    <cellStyle name="Millares 212 7" xfId="10201" xr:uid="{E183564F-F3A5-4D2B-978D-9C7990324DCC}"/>
    <cellStyle name="Millares 212 7 2" xfId="47237" xr:uid="{9E2D7A75-246D-4E40-9765-8E0E31472C3F}"/>
    <cellStyle name="Millares 212 8" xfId="13041" xr:uid="{739D9688-4325-4F60-AF5C-D4ED595314D4}"/>
    <cellStyle name="Millares 212 9" xfId="15851" xr:uid="{282BE7E3-469D-46C7-A80E-B078CC25A912}"/>
    <cellStyle name="Millares 22" xfId="213" xr:uid="{00000000-0005-0000-0000-00001E020000}"/>
    <cellStyle name="Millares 22 10" xfId="16498" xr:uid="{EF091915-ECA9-40DF-88A3-CC31B4CEA1DC}"/>
    <cellStyle name="Millares 22 11" xfId="17042" xr:uid="{30B89AF0-57A2-4B14-A532-473DD1872456}"/>
    <cellStyle name="Millares 22 12" xfId="17556" xr:uid="{7435AD9E-C508-4CAF-887B-0FA7118E9DC2}"/>
    <cellStyle name="Millares 22 13" xfId="42254" xr:uid="{DDDF8F6E-BA04-4308-BD92-330F02527988}"/>
    <cellStyle name="Millares 22 14" xfId="42536" xr:uid="{063C4B84-4DA6-41E7-A704-9CBCDEB2990E}"/>
    <cellStyle name="Millares 22 15" xfId="47429" xr:uid="{F87A4C12-2724-4E06-B110-BA59D8FEAC72}"/>
    <cellStyle name="Millares 22 2" xfId="2045" xr:uid="{98136693-E40A-488A-AFE3-12C9D904F6A6}"/>
    <cellStyle name="Millares 22 2 2" xfId="5669" xr:uid="{AEBBA75A-C7D0-4287-952F-754019640C1F}"/>
    <cellStyle name="Millares 22 2 2 2" xfId="8537" xr:uid="{1B51A1DB-4A0A-49DF-A7A9-9AA6DA0B84EC}"/>
    <cellStyle name="Millares 22 2 2 2 2" xfId="22909" xr:uid="{C2C10871-88B9-480C-B667-8BA546D29CD3}"/>
    <cellStyle name="Millares 22 2 2 2 3" xfId="28770" xr:uid="{E20E170B-71A4-4D35-BEBB-BE6CC232FBB1}"/>
    <cellStyle name="Millares 22 2 2 2 4" xfId="34652" xr:uid="{64B76F91-1CE6-4730-AF30-802EE62D480B}"/>
    <cellStyle name="Millares 22 2 2 2 5" xfId="40516" xr:uid="{DC91D840-7283-4A99-A92C-192CF952F9CF}"/>
    <cellStyle name="Millares 22 2 2 3" xfId="20127" xr:uid="{C1F21DE4-9C33-4AB5-AE60-798CCEB1130C}"/>
    <cellStyle name="Millares 22 2 2 4" xfId="25920" xr:uid="{F9648E51-308A-440E-9D14-26E44508DA1E}"/>
    <cellStyle name="Millares 22 2 2 5" xfId="31795" xr:uid="{684C1CAA-0768-4585-AE97-2AFABC0E94F2}"/>
    <cellStyle name="Millares 22 2 2 6" xfId="37662" xr:uid="{45AE7BB9-D1DE-42D5-9551-7E29D1138A3E}"/>
    <cellStyle name="Millares 22 2 2 7" xfId="45476" xr:uid="{76053048-C261-4B34-9F86-C6E56E137B96}"/>
    <cellStyle name="Millares 22 2 3" xfId="7565" xr:uid="{B442454B-D11C-4060-A17D-18C4E98B1A9D}"/>
    <cellStyle name="Millares 22 2 3 2" xfId="21960" xr:uid="{1E4C183F-83E4-4528-A8C8-5DE9E31C9301}"/>
    <cellStyle name="Millares 22 2 3 3" xfId="27799" xr:uid="{BC8C5651-C509-4AF6-B341-AD1759A6F2F5}"/>
    <cellStyle name="Millares 22 2 3 4" xfId="33681" xr:uid="{8CDACF7F-9724-4603-B1DF-F7A4A9AE910A}"/>
    <cellStyle name="Millares 22 2 3 5" xfId="39545" xr:uid="{ADEEDF76-D0B4-4CFB-AAE0-1FE5FCCBCE7C}"/>
    <cellStyle name="Millares 22 2 3 6" xfId="47162" xr:uid="{2BF07978-E7E5-4F03-834B-8BCD20359037}"/>
    <cellStyle name="Millares 22 2 4" xfId="4701" xr:uid="{D518F72F-2522-4C9F-A314-C3ECF2205267}"/>
    <cellStyle name="Millares 22 2 5" xfId="10316" xr:uid="{2A019E1B-F16A-4708-A6E3-851F024C696A}"/>
    <cellStyle name="Millares 22 2 5 2" xfId="24950" xr:uid="{B5520B64-0D32-44F5-B959-1AC5629A2CF4}"/>
    <cellStyle name="Millares 22 2 6" xfId="13156" xr:uid="{CF46F942-3013-4700-B7DF-2E2D21C84949}"/>
    <cellStyle name="Millares 22 2 6 2" xfId="30824" xr:uid="{DB7FACC9-0BBC-4F57-87E7-B2513B2F4DBF}"/>
    <cellStyle name="Millares 22 2 7" xfId="36705" xr:uid="{AEA7F512-91F7-4C95-BAE8-4ADCD4C8D439}"/>
    <cellStyle name="Millares 22 2 8" xfId="43080" xr:uid="{DBE087CF-7091-41A0-8A6D-B786C91F1449}"/>
    <cellStyle name="Millares 22 2 9" xfId="47973" xr:uid="{8498FFD4-1841-4DA0-BBF0-C9F6A6BC0452}"/>
    <cellStyle name="Millares 22 3" xfId="2463" xr:uid="{00B579CF-07BF-428F-AA78-AE857D77BDD5}"/>
    <cellStyle name="Millares 22 3 2" xfId="8052" xr:uid="{23A3F358-9BC4-47A9-B726-86E55C77F2C1}"/>
    <cellStyle name="Millares 22 3 2 2" xfId="22431" xr:uid="{A02C3E19-65AE-4A61-8A51-810AB1C0F705}"/>
    <cellStyle name="Millares 22 3 2 3" xfId="28285" xr:uid="{B77F5E80-4377-40CF-AAC1-42554BB954B7}"/>
    <cellStyle name="Millares 22 3 2 4" xfId="34167" xr:uid="{C0AF4026-12E8-4064-8D29-52CFB6B4C360}"/>
    <cellStyle name="Millares 22 3 2 5" xfId="40031" xr:uid="{F9233DD3-C655-4E39-AEDB-BC8D6840FD15}"/>
    <cellStyle name="Millares 22 3 2 6" xfId="45894" xr:uid="{5C22FC42-1AF8-4C6A-AA33-7088D147DD80}"/>
    <cellStyle name="Millares 22 3 3" xfId="5185" xr:uid="{68F4065B-6612-4F52-BBCF-554DE86AB4E3}"/>
    <cellStyle name="Millares 22 3 3 2" xfId="47173" xr:uid="{63052822-BD08-4BE5-A4FB-F248DA4234B5}"/>
    <cellStyle name="Millares 22 3 4" xfId="10734" xr:uid="{426E65BE-0C43-4FD7-A69F-2C63DE678ACA}"/>
    <cellStyle name="Millares 22 3 4 2" xfId="25436" xr:uid="{AFF2EE6F-658D-4E66-8038-CD7A632DCE3C}"/>
    <cellStyle name="Millares 22 3 5" xfId="13574" xr:uid="{EE86EAAA-0158-41F9-A989-F9536A4A98B8}"/>
    <cellStyle name="Millares 22 3 5 2" xfId="31310" xr:uid="{647EF94B-4CCB-4DE5-AFB4-8A03E4DA0A8F}"/>
    <cellStyle name="Millares 22 3 6" xfId="37183" xr:uid="{A5045581-E126-40D7-9A19-BDCC1ED5CEAE}"/>
    <cellStyle name="Millares 22 3 7" xfId="43498" xr:uid="{1C5286BA-276F-4472-8F3D-66C30EE09011}"/>
    <cellStyle name="Millares 22 3 8" xfId="48391" xr:uid="{8E549849-17DA-429B-990F-7B2F1264B45B}"/>
    <cellStyle name="Millares 22 4" xfId="3007" xr:uid="{CFE9DEB3-DD61-49CB-AC12-C64179B5F356}"/>
    <cellStyle name="Millares 22 4 2" xfId="7080" xr:uid="{6A3DD2C9-0552-48FD-88A4-785775505F7C}"/>
    <cellStyle name="Millares 22 4 2 2" xfId="46438" xr:uid="{6503C843-2217-4A2B-AE50-13829CC15556}"/>
    <cellStyle name="Millares 22 4 3" xfId="11278" xr:uid="{D8AE90D8-2891-4539-8B40-87A623BCDBA8}"/>
    <cellStyle name="Millares 22 4 3 2" xfId="27315" xr:uid="{2D99F6B9-56B1-40A3-966F-4E46217C5683}"/>
    <cellStyle name="Millares 22 4 4" xfId="14118" xr:uid="{F0194FAD-0214-4D92-883D-B27A531C6D52}"/>
    <cellStyle name="Millares 22 4 4 2" xfId="33196" xr:uid="{F7AA8FC1-DDD7-47AB-93F6-2B946AFC1245}"/>
    <cellStyle name="Millares 22 4 5" xfId="39060" xr:uid="{9FA02701-C2D7-4C24-9E9B-C785A513CBC9}"/>
    <cellStyle name="Millares 22 4 6" xfId="44042" xr:uid="{A4CB5AD8-DE79-4425-A394-A57A3B3828A6}"/>
    <cellStyle name="Millares 22 4 7" xfId="48935" xr:uid="{679C891D-89CD-4A3E-865D-F452AA753E7A}"/>
    <cellStyle name="Millares 22 5" xfId="3509" xr:uid="{C5764536-7BC4-4E8F-9543-6D3227BD8277}"/>
    <cellStyle name="Millares 22 5 2" xfId="11750" xr:uid="{C80EC5DF-11AB-4C7B-9154-EB126DFC7291}"/>
    <cellStyle name="Millares 22 5 3" xfId="14590" xr:uid="{06538611-FD24-4485-ADDD-7A2AFF593B6A}"/>
    <cellStyle name="Millares 22 5 4" xfId="18749" xr:uid="{D2658068-F72A-4BF1-BEC5-9E9CF9F5B0B3}"/>
    <cellStyle name="Millares 22 5 5" xfId="44514" xr:uid="{8E8917BB-EECE-4EF8-BC94-2FA507BDF384}"/>
    <cellStyle name="Millares 22 5 6" xfId="49407" xr:uid="{F2926998-CC1D-4C6C-8966-2717EBF4A62A}"/>
    <cellStyle name="Millares 22 6" xfId="4223" xr:uid="{A56DE8AF-14F9-4770-B7EE-7F2824264C11}"/>
    <cellStyle name="Millares 22 6 2" xfId="44932" xr:uid="{F654701C-AC8F-43A5-ABF2-CB0517CAC7F2}"/>
    <cellStyle name="Millares 22 7" xfId="9772" xr:uid="{A6B478E6-AFB9-4BE0-B4C7-6382AE9976A5}"/>
    <cellStyle name="Millares 22 7 2" xfId="30343" xr:uid="{B383E65B-96E2-486C-940C-27A143F3DCC6}"/>
    <cellStyle name="Millares 22 8" xfId="12612" xr:uid="{FF650FE7-A416-486E-BF00-02653F0FC7EB}"/>
    <cellStyle name="Millares 22 8 2" xfId="36224" xr:uid="{5A4BE12B-8510-4334-A936-3B1A98AC624B}"/>
    <cellStyle name="Millares 22 9" xfId="15955" xr:uid="{1D02EAB3-73CA-4CC1-B752-4E374B20CC18}"/>
    <cellStyle name="Millares 23" xfId="215" xr:uid="{00000000-0005-0000-0000-00001F020000}"/>
    <cellStyle name="Millares 23 10" xfId="16500" xr:uid="{58AE5FCB-D0CE-476F-9D23-B76E06DB4F2B}"/>
    <cellStyle name="Millares 23 11" xfId="17044" xr:uid="{82B95399-CC03-4A06-B6FE-8AD4B3437905}"/>
    <cellStyle name="Millares 23 12" xfId="17900" xr:uid="{0147396B-4638-4D34-BC2E-884ADE895917}"/>
    <cellStyle name="Millares 23 13" xfId="42255" xr:uid="{9BCA3E53-8956-49FF-92ED-1352252326F0}"/>
    <cellStyle name="Millares 23 14" xfId="42538" xr:uid="{4904DD5F-1A45-42B2-89EC-352F01A08252}"/>
    <cellStyle name="Millares 23 15" xfId="47431" xr:uid="{E8FAEF82-B971-4D84-A802-81B50591E9BE}"/>
    <cellStyle name="Millares 23 2" xfId="2047" xr:uid="{FA1A4F51-9CF9-44BF-96B6-EEFF90F129A0}"/>
    <cellStyle name="Millares 23 2 2" xfId="5670" xr:uid="{7D9DF6A7-60F2-4235-9626-621C3F31AAB7}"/>
    <cellStyle name="Millares 23 2 2 2" xfId="8538" xr:uid="{A8000D97-DC07-4B8F-9252-D3CA52916684}"/>
    <cellStyle name="Millares 23 2 2 2 2" xfId="22910" xr:uid="{642B21AC-A2BE-48AA-A621-E981A9F8AA83}"/>
    <cellStyle name="Millares 23 2 2 2 3" xfId="28771" xr:uid="{4F163786-1A17-4750-B5C1-58E4DF6558F7}"/>
    <cellStyle name="Millares 23 2 2 2 4" xfId="34653" xr:uid="{715DE86A-4B32-49BB-91B1-470258E016AA}"/>
    <cellStyle name="Millares 23 2 2 2 5" xfId="40517" xr:uid="{B9E10333-E9E0-4D05-976D-53C260E2ECCF}"/>
    <cellStyle name="Millares 23 2 2 3" xfId="20128" xr:uid="{6CF16418-DC8F-4D0C-A048-5CD8772E253F}"/>
    <cellStyle name="Millares 23 2 2 4" xfId="25921" xr:uid="{B4DA7D96-16EC-4D02-B529-62FB607D618C}"/>
    <cellStyle name="Millares 23 2 2 5" xfId="31796" xr:uid="{D3434E54-2833-497E-9652-E32438F07EBC}"/>
    <cellStyle name="Millares 23 2 2 6" xfId="37663" xr:uid="{199DDBCC-59DA-4865-BD68-B3A878D7DF3C}"/>
    <cellStyle name="Millares 23 2 2 7" xfId="45478" xr:uid="{F04FE464-B0F0-45E8-B181-7988B97A471A}"/>
    <cellStyle name="Millares 23 2 3" xfId="7566" xr:uid="{709B7266-BA34-40D5-A5A5-DD70BCEDDBAD}"/>
    <cellStyle name="Millares 23 2 3 2" xfId="21961" xr:uid="{0084511A-1853-4B4F-98A6-012169E83232}"/>
    <cellStyle name="Millares 23 2 3 3" xfId="27800" xr:uid="{5497E182-7CA3-40A9-AB6B-1A474172A74B}"/>
    <cellStyle name="Millares 23 2 3 4" xfId="33682" xr:uid="{AA544772-4F86-4CBD-A99C-1F130050DEC6}"/>
    <cellStyle name="Millares 23 2 3 5" xfId="39546" xr:uid="{CFE43FA4-22FC-48CD-9C86-53E886D15CED}"/>
    <cellStyle name="Millares 23 2 3 6" xfId="47164" xr:uid="{1254BD9E-359B-4818-91CF-338A6CF4A547}"/>
    <cellStyle name="Millares 23 2 4" xfId="4702" xr:uid="{B79901D1-98F4-4546-ABAD-52E1427E1E69}"/>
    <cellStyle name="Millares 23 2 5" xfId="10318" xr:uid="{4E1B9A14-AC49-4C08-9E61-AA76D19FB060}"/>
    <cellStyle name="Millares 23 2 5 2" xfId="24951" xr:uid="{164BE52D-428B-42FB-AEA7-F859DAF3891B}"/>
    <cellStyle name="Millares 23 2 6" xfId="13158" xr:uid="{AB7B0B87-1968-4DDD-B1CA-8FCDCDF911E4}"/>
    <cellStyle name="Millares 23 2 6 2" xfId="30825" xr:uid="{C6A200D7-53BF-4C7B-9B41-9159A01E9122}"/>
    <cellStyle name="Millares 23 2 7" xfId="36706" xr:uid="{A071DF71-0FD8-4155-9874-9A850B2E3455}"/>
    <cellStyle name="Millares 23 2 8" xfId="43082" xr:uid="{B3700983-59C3-4D10-A48E-BA95C7CDB4D3}"/>
    <cellStyle name="Millares 23 2 9" xfId="47975" xr:uid="{DB473B95-951C-4212-A862-A6C78EB11E95}"/>
    <cellStyle name="Millares 23 3" xfId="2465" xr:uid="{AC80C710-866E-43E9-A0C0-7E5FB8BA3D06}"/>
    <cellStyle name="Millares 23 3 2" xfId="8053" xr:uid="{F4818D69-6BE2-4AAA-9E28-5337A659B515}"/>
    <cellStyle name="Millares 23 3 2 2" xfId="22432" xr:uid="{8EE2A938-E62B-430E-A845-BF65DF15783F}"/>
    <cellStyle name="Millares 23 3 2 3" xfId="28286" xr:uid="{2B35B216-DBA5-48F4-BFB9-BF7A2FFEFDC4}"/>
    <cellStyle name="Millares 23 3 2 4" xfId="34168" xr:uid="{3988EF2F-8F21-4C49-90D4-954684F393FD}"/>
    <cellStyle name="Millares 23 3 2 5" xfId="40032" xr:uid="{418B103A-ACAF-4EC0-BE5D-F6617ABF91EC}"/>
    <cellStyle name="Millares 23 3 2 6" xfId="45896" xr:uid="{D50A8237-4D09-404E-B25F-8065D011F2CA}"/>
    <cellStyle name="Millares 23 3 3" xfId="5186" xr:uid="{487BE146-1DBE-447E-BB2F-9799753A6566}"/>
    <cellStyle name="Millares 23 3 3 2" xfId="47175" xr:uid="{0CDC5408-0261-459E-81AF-A9A596D84215}"/>
    <cellStyle name="Millares 23 3 4" xfId="10736" xr:uid="{00D475F1-944F-48DB-BF5A-347FA1E5DE1B}"/>
    <cellStyle name="Millares 23 3 4 2" xfId="25437" xr:uid="{5559301A-145B-4DB1-8828-D0341A7D6089}"/>
    <cellStyle name="Millares 23 3 5" xfId="13576" xr:uid="{5D6C4D82-636C-4E0E-8096-BFA554F4ED35}"/>
    <cellStyle name="Millares 23 3 5 2" xfId="31311" xr:uid="{E86C3EBF-2ED9-4264-881F-48F76A3E9651}"/>
    <cellStyle name="Millares 23 3 6" xfId="37184" xr:uid="{08FDF271-4070-4E7F-96FE-249059FCB2C1}"/>
    <cellStyle name="Millares 23 3 7" xfId="43500" xr:uid="{89CE9D40-F42D-4908-A4D6-DF08D1BA0317}"/>
    <cellStyle name="Millares 23 3 8" xfId="48393" xr:uid="{D7808285-A1F2-4894-92F1-A562330AD66D}"/>
    <cellStyle name="Millares 23 4" xfId="3009" xr:uid="{C462B298-03CC-40F2-9E23-D761CF66C4DB}"/>
    <cellStyle name="Millares 23 4 2" xfId="7081" xr:uid="{65C97AD7-70AF-49D8-AF57-7BA627F30B55}"/>
    <cellStyle name="Millares 23 4 2 2" xfId="46440" xr:uid="{7576D322-2E1F-43B7-8232-C08719404D74}"/>
    <cellStyle name="Millares 23 4 3" xfId="11280" xr:uid="{4ADE00B5-5C74-4210-B650-105E56786DC8}"/>
    <cellStyle name="Millares 23 4 3 2" xfId="27316" xr:uid="{04BDFF8A-205B-4E45-B567-10CFF2222107}"/>
    <cellStyle name="Millares 23 4 4" xfId="14120" xr:uid="{6853BBA8-425B-4576-B650-0DEA1B1882AD}"/>
    <cellStyle name="Millares 23 4 4 2" xfId="33197" xr:uid="{9DC7E703-8B6B-486F-875C-1B37A2ADFE71}"/>
    <cellStyle name="Millares 23 4 5" xfId="39061" xr:uid="{F7527783-A7D3-426E-8F4C-2EBC4E9EBB7B}"/>
    <cellStyle name="Millares 23 4 6" xfId="44044" xr:uid="{C68DE41B-14E2-4A4D-B064-7280D620DB56}"/>
    <cellStyle name="Millares 23 4 7" xfId="48937" xr:uid="{F3AFB678-8982-4583-B584-1246D464C773}"/>
    <cellStyle name="Millares 23 5" xfId="3511" xr:uid="{D7846D44-5483-4876-B830-11A099DE7174}"/>
    <cellStyle name="Millares 23 5 2" xfId="11752" xr:uid="{B40EE153-AB7A-4119-9A35-FE7FDA525CC2}"/>
    <cellStyle name="Millares 23 5 3" xfId="14592" xr:uid="{DBB62F8D-CA2C-4788-9C62-EBF4BE513F9D}"/>
    <cellStyle name="Millares 23 5 4" xfId="18750" xr:uid="{A4453B57-997D-4536-A3AC-EAB13D0031B3}"/>
    <cellStyle name="Millares 23 5 5" xfId="44516" xr:uid="{3B44FF50-D6F7-4912-B55C-D112372C9D9E}"/>
    <cellStyle name="Millares 23 5 6" xfId="49409" xr:uid="{2EFBB30A-480D-4BF5-AB30-26FE0C65F602}"/>
    <cellStyle name="Millares 23 6" xfId="4224" xr:uid="{2294460D-8583-4F79-B88E-D59AC578BE34}"/>
    <cellStyle name="Millares 23 6 2" xfId="44934" xr:uid="{72EFB660-A17D-40EA-B530-B1B29286F8C3}"/>
    <cellStyle name="Millares 23 7" xfId="9774" xr:uid="{F93DD99E-8E85-459E-ADC8-F468C75D940E}"/>
    <cellStyle name="Millares 23 7 2" xfId="30344" xr:uid="{56346C76-5E73-4A04-8938-A7233B79370B}"/>
    <cellStyle name="Millares 23 8" xfId="12614" xr:uid="{85547D9E-99B8-4D91-AD9D-656019CBFB01}"/>
    <cellStyle name="Millares 23 8 2" xfId="36225" xr:uid="{B788721E-4811-4849-9A2F-6B92CC420B11}"/>
    <cellStyle name="Millares 23 9" xfId="15957" xr:uid="{CC05504E-FCD9-48A1-B352-8EF24AC92B03}"/>
    <cellStyle name="Millares 24" xfId="214" xr:uid="{00000000-0005-0000-0000-000020020000}"/>
    <cellStyle name="Millares 24 10" xfId="16499" xr:uid="{7547F27B-D176-4B95-8BB4-5B404A6915E1}"/>
    <cellStyle name="Millares 24 11" xfId="17043" xr:uid="{0C1A84B2-E924-408D-B2BE-BAD5EF818F81}"/>
    <cellStyle name="Millares 24 12" xfId="17525" xr:uid="{52CBA52F-B1EB-440C-9231-4EF1AA1D044C}"/>
    <cellStyle name="Millares 24 13" xfId="42256" xr:uid="{FE4951C8-B461-43AB-8211-BF5CF5E1B7B4}"/>
    <cellStyle name="Millares 24 14" xfId="42537" xr:uid="{54C063FD-C5EC-43BE-B7C9-D584FE247B72}"/>
    <cellStyle name="Millares 24 15" xfId="47430" xr:uid="{B17DEB3E-6543-480F-B676-E42C899E6A08}"/>
    <cellStyle name="Millares 24 2" xfId="2046" xr:uid="{CC3E5F00-0F33-4CAE-85A2-C994838DFB60}"/>
    <cellStyle name="Millares 24 2 2" xfId="5702" xr:uid="{490A8725-3045-4439-9081-2A9471E017C8}"/>
    <cellStyle name="Millares 24 2 2 2" xfId="8570" xr:uid="{133F38CB-7C8D-48C3-B44C-0E8DB3A874AF}"/>
    <cellStyle name="Millares 24 2 2 2 2" xfId="22942" xr:uid="{3489E9AC-D601-4B7A-8D2C-E06A7C829354}"/>
    <cellStyle name="Millares 24 2 2 2 3" xfId="28803" xr:uid="{7624C980-703A-4CAB-9567-20B116F00C2F}"/>
    <cellStyle name="Millares 24 2 2 2 4" xfId="34685" xr:uid="{4A3E47CE-85F8-487A-8B3D-2318D9FB518E}"/>
    <cellStyle name="Millares 24 2 2 2 5" xfId="40549" xr:uid="{EE0B64F9-9943-4FA5-9753-E6E3F0138406}"/>
    <cellStyle name="Millares 24 2 2 3" xfId="20159" xr:uid="{9A9E888C-D027-422C-BFDF-3DEFFFAA82F9}"/>
    <cellStyle name="Millares 24 2 2 4" xfId="25953" xr:uid="{98079879-E24C-4F5F-A14A-41234A608379}"/>
    <cellStyle name="Millares 24 2 2 5" xfId="31828" xr:uid="{7E8C818A-46FB-4D51-918D-04CFBF4C4821}"/>
    <cellStyle name="Millares 24 2 2 6" xfId="37695" xr:uid="{0818876C-CDD8-46CB-BA23-A75CB6C8ABDC}"/>
    <cellStyle name="Millares 24 2 2 7" xfId="45477" xr:uid="{363E8826-9D05-4265-B783-22F5AF07E962}"/>
    <cellStyle name="Millares 24 2 3" xfId="7598" xr:uid="{BCBB5207-975E-422B-A585-5F70F39B16DD}"/>
    <cellStyle name="Millares 24 2 3 2" xfId="21992" xr:uid="{F92EA9ED-1F67-43A3-890B-42ECB97638CB}"/>
    <cellStyle name="Millares 24 2 3 3" xfId="27832" xr:uid="{CBA8F1E3-6731-48D1-9287-611B4EC0B5A4}"/>
    <cellStyle name="Millares 24 2 3 4" xfId="33714" xr:uid="{93B53BF3-33CB-4068-9187-9C053A35A1B7}"/>
    <cellStyle name="Millares 24 2 3 5" xfId="39578" xr:uid="{DCED8B0C-B25A-460B-8600-48448C709775}"/>
    <cellStyle name="Millares 24 2 3 6" xfId="47163" xr:uid="{8C5E7810-16CA-4C61-987F-08EB9617687F}"/>
    <cellStyle name="Millares 24 2 4" xfId="4734" xr:uid="{FA47861A-C0A3-4E3A-99A9-A106D4FB588B}"/>
    <cellStyle name="Millares 24 2 5" xfId="10317" xr:uid="{FECDCFB1-78CB-4AB1-82A8-F2350BA312AA}"/>
    <cellStyle name="Millares 24 2 5 2" xfId="24983" xr:uid="{BBA0B176-D5AB-4BFD-99F5-B51723EEB936}"/>
    <cellStyle name="Millares 24 2 6" xfId="13157" xr:uid="{C6CDC27D-F203-4399-9A73-0BD84394FE59}"/>
    <cellStyle name="Millares 24 2 6 2" xfId="30857" xr:uid="{F185A6AA-5E59-4256-B071-139BC28C8432}"/>
    <cellStyle name="Millares 24 2 7" xfId="36738" xr:uid="{AE8205EA-A128-4522-9907-AEBD4BE751CB}"/>
    <cellStyle name="Millares 24 2 8" xfId="43081" xr:uid="{9A3E816D-B85E-4018-97EE-4DB2A274BE14}"/>
    <cellStyle name="Millares 24 2 9" xfId="47974" xr:uid="{D402059F-6C3C-40E4-A6B4-9B3520DEC886}"/>
    <cellStyle name="Millares 24 3" xfId="2464" xr:uid="{12DD727E-F435-4F92-97F8-06FE0CE34F02}"/>
    <cellStyle name="Millares 24 3 2" xfId="8085" xr:uid="{FA82E539-1053-4758-BC19-356F590F87B8}"/>
    <cellStyle name="Millares 24 3 2 2" xfId="22463" xr:uid="{C80E24D6-F9AD-44B8-B313-21469576AC74}"/>
    <cellStyle name="Millares 24 3 2 3" xfId="28318" xr:uid="{0DE41DF2-A7FD-48CF-849D-1E6C9A8EEF8C}"/>
    <cellStyle name="Millares 24 3 2 4" xfId="34200" xr:uid="{ABF3044B-FF5D-4442-A501-75F3C5798DA6}"/>
    <cellStyle name="Millares 24 3 2 5" xfId="40064" xr:uid="{FA817425-7F28-4E87-B662-B04A1E8E53B4}"/>
    <cellStyle name="Millares 24 3 2 6" xfId="45895" xr:uid="{44C2F126-2499-4E8E-B13E-632AF8A7BF11}"/>
    <cellStyle name="Millares 24 3 3" xfId="5218" xr:uid="{1090F5C0-2013-427C-A9A9-C973C977ABC1}"/>
    <cellStyle name="Millares 24 3 3 2" xfId="47174" xr:uid="{BAB98F1B-73D5-4A5D-8EA1-C15808945B58}"/>
    <cellStyle name="Millares 24 3 4" xfId="10735" xr:uid="{ABCFC924-D5E1-4F9C-B077-38C251B085E0}"/>
    <cellStyle name="Millares 24 3 4 2" xfId="25469" xr:uid="{344071A6-8359-4B01-BE66-8C797BD21A88}"/>
    <cellStyle name="Millares 24 3 5" xfId="13575" xr:uid="{BC35512E-AC26-4160-A089-E569A912E332}"/>
    <cellStyle name="Millares 24 3 5 2" xfId="31343" xr:uid="{FBB5E21C-CED4-487C-9FEE-62D56076D781}"/>
    <cellStyle name="Millares 24 3 6" xfId="37216" xr:uid="{C469BAB0-41FB-4D92-B584-B73ED081CCB5}"/>
    <cellStyle name="Millares 24 3 7" xfId="43499" xr:uid="{90A8FE30-DE83-4512-8F56-2B8DCB69D57F}"/>
    <cellStyle name="Millares 24 3 8" xfId="48392" xr:uid="{6EC085B5-7694-40EC-90CE-25AC56C48A9A}"/>
    <cellStyle name="Millares 24 4" xfId="3008" xr:uid="{68BB21F9-6BEC-477A-A9D2-92FD953434CD}"/>
    <cellStyle name="Millares 24 4 2" xfId="7113" xr:uid="{CD386240-3B35-48B6-8797-E4FB7E5A84EF}"/>
    <cellStyle name="Millares 24 4 2 2" xfId="46439" xr:uid="{8155F059-D979-47FD-9409-21FAD9139659}"/>
    <cellStyle name="Millares 24 4 3" xfId="11279" xr:uid="{C7947358-5F49-41FC-9539-BFBD81D19B84}"/>
    <cellStyle name="Millares 24 4 3 2" xfId="27348" xr:uid="{B2CADD45-4B01-4CC3-8ECD-652267915B2B}"/>
    <cellStyle name="Millares 24 4 4" xfId="14119" xr:uid="{3D335DA9-649F-4BE2-A81D-A2E435EF0133}"/>
    <cellStyle name="Millares 24 4 4 2" xfId="33229" xr:uid="{9D3942FA-D98F-4B9B-87E1-D131EFD1D3C0}"/>
    <cellStyle name="Millares 24 4 5" xfId="39093" xr:uid="{6A804769-087F-4606-9D8E-52033898461E}"/>
    <cellStyle name="Millares 24 4 6" xfId="44043" xr:uid="{53F568FA-685B-42B6-BC97-1C963BA3F1C8}"/>
    <cellStyle name="Millares 24 4 7" xfId="48936" xr:uid="{5923A528-04C8-47DC-A857-F2DE7AD325B4}"/>
    <cellStyle name="Millares 24 5" xfId="3510" xr:uid="{99A8AE41-6586-41BB-BBF5-5D7489A7897B}"/>
    <cellStyle name="Millares 24 5 2" xfId="11751" xr:uid="{AED20EF7-891A-4232-A84A-808BB044272F}"/>
    <cellStyle name="Millares 24 5 3" xfId="14591" xr:uid="{77B67261-0968-4E44-9067-6022476849B2}"/>
    <cellStyle name="Millares 24 5 4" xfId="18776" xr:uid="{2D45B210-0E7B-4C07-8535-7B6EF5AD8BA4}"/>
    <cellStyle name="Millares 24 5 5" xfId="44515" xr:uid="{B7E64E43-2956-4836-B354-2EEA30649CEB}"/>
    <cellStyle name="Millares 24 5 6" xfId="49408" xr:uid="{D7696B5E-3EC3-415B-A6DF-5446456EAF98}"/>
    <cellStyle name="Millares 24 6" xfId="4254" xr:uid="{E8320575-C553-4A1F-9620-C797DABE9F39}"/>
    <cellStyle name="Millares 24 6 2" xfId="44933" xr:uid="{9EF48D1D-FF25-435D-A88F-1F84BE880420}"/>
    <cellStyle name="Millares 24 7" xfId="9773" xr:uid="{A41ACB0E-C238-4DDA-9752-BFC1EBB1CC30}"/>
    <cellStyle name="Millares 24 7 2" xfId="30376" xr:uid="{C511B1D6-9AE3-430F-BD3A-FE11AB0F551D}"/>
    <cellStyle name="Millares 24 8" xfId="12613" xr:uid="{B0EBBF12-782B-448F-99DB-ACC28C3AEFD0}"/>
    <cellStyle name="Millares 24 8 2" xfId="36257" xr:uid="{03DCADAF-AF3A-4527-B9E4-007748679AFD}"/>
    <cellStyle name="Millares 24 9" xfId="15956" xr:uid="{7891D3FA-CDD3-4818-AB83-05AA250972F8}"/>
    <cellStyle name="Millares 25" xfId="321" xr:uid="{00000000-0005-0000-0000-000021020000}"/>
    <cellStyle name="Millares 25 10" xfId="46901" xr:uid="{0A301CF9-7A52-473F-91E1-897B3AAC3259}"/>
    <cellStyle name="Millares 25 11" xfId="47034" xr:uid="{2C798954-DF1A-4A52-A887-68D138FCE55F}"/>
    <cellStyle name="Millares 25 2" xfId="4755" xr:uid="{E43C1AE5-2D02-412F-AA29-727DED33D1C1}"/>
    <cellStyle name="Millares 25 2 2" xfId="5723" xr:uid="{598F7760-28B3-4E86-9401-371E36E40B83}"/>
    <cellStyle name="Millares 25 2 2 2" xfId="8591" xr:uid="{E88D5743-5168-4128-B896-32730C6C29AA}"/>
    <cellStyle name="Millares 25 2 2 2 2" xfId="22963" xr:uid="{E0643BF6-12E0-4A34-A250-58BE9D5D1C25}"/>
    <cellStyle name="Millares 25 2 2 2 3" xfId="28824" xr:uid="{82ED26A8-0001-4FFE-9B18-EBE2A8986D9D}"/>
    <cellStyle name="Millares 25 2 2 2 4" xfId="34706" xr:uid="{A90FF917-C7B1-4D3A-ABFE-8B41A91DB0C2}"/>
    <cellStyle name="Millares 25 2 2 2 5" xfId="40570" xr:uid="{0A48A0CB-20F2-4C9E-8044-913055132BE3}"/>
    <cellStyle name="Millares 25 2 2 3" xfId="20180" xr:uid="{B33D14C1-93FB-47D9-9483-8C53959BD091}"/>
    <cellStyle name="Millares 25 2 2 4" xfId="25974" xr:uid="{2263FE6D-2F2B-43B8-ADFF-099BA86A7B9E}"/>
    <cellStyle name="Millares 25 2 2 5" xfId="31849" xr:uid="{1B5AADE6-C54E-476C-907A-BE9F32D215E6}"/>
    <cellStyle name="Millares 25 2 2 6" xfId="37716" xr:uid="{6A88E706-E5D8-4351-BF2B-BF21ABDD5A27}"/>
    <cellStyle name="Millares 25 2 2 7" xfId="47318" xr:uid="{C10A90CC-6C3F-4AE0-BA9E-65623E899D98}"/>
    <cellStyle name="Millares 25 2 3" xfId="7619" xr:uid="{C17DF758-A139-4C20-A16A-8BD501D3FE49}"/>
    <cellStyle name="Millares 25 2 3 2" xfId="22013" xr:uid="{B13A86CB-6372-46F2-9B32-56CCF85EB6E8}"/>
    <cellStyle name="Millares 25 2 3 3" xfId="27853" xr:uid="{6D4EBF6A-2BC9-4AC6-B4CF-3E5BEBA232C3}"/>
    <cellStyle name="Millares 25 2 3 4" xfId="33735" xr:uid="{5DDB7A22-5C9C-4BD6-9C54-92607C6EB0C6}"/>
    <cellStyle name="Millares 25 2 3 5" xfId="39599" xr:uid="{ADD0D333-426A-4733-AD6B-AF086A8E3134}"/>
    <cellStyle name="Millares 25 2 3 6" xfId="47230" xr:uid="{43673E80-2F0A-4669-B3F7-F08325CFEF49}"/>
    <cellStyle name="Millares 25 2 4" xfId="19243" xr:uid="{1CA8DB50-58A7-4CA8-9AD0-01F2FECD6EF6}"/>
    <cellStyle name="Millares 25 2 5" xfId="25004" xr:uid="{C76CED6F-FFCA-45FB-8F13-66AA0F05C76F}"/>
    <cellStyle name="Millares 25 2 6" xfId="30878" xr:uid="{29C156F5-2077-44F6-92FF-E4452E8845A7}"/>
    <cellStyle name="Millares 25 2 7" xfId="36759" xr:uid="{26690B32-AE17-4EE3-8D43-36A857219BEC}"/>
    <cellStyle name="Millares 25 2 8" xfId="46902" xr:uid="{ED3002BE-DB1A-4B5F-8108-019A50454240}"/>
    <cellStyle name="Millares 25 3" xfId="5239" xr:uid="{A319104D-1ED6-4D24-9F3C-3D910EFF6728}"/>
    <cellStyle name="Millares 25 3 2" xfId="8106" xr:uid="{F2A85D93-5A2A-4167-A3AD-D7EBD538CCB6}"/>
    <cellStyle name="Millares 25 3 2 2" xfId="22484" xr:uid="{09959FF5-3706-404A-BB36-B32C4E8586DE}"/>
    <cellStyle name="Millares 25 3 2 3" xfId="28339" xr:uid="{353AFDA1-30B7-44C7-922E-BD9E8F56C207}"/>
    <cellStyle name="Millares 25 3 2 4" xfId="34221" xr:uid="{901CF08A-5071-41F4-98F8-0F5334C255AE}"/>
    <cellStyle name="Millares 25 3 2 5" xfId="40085" xr:uid="{AFF62B87-1F80-4707-9EB2-1775BE5134B7}"/>
    <cellStyle name="Millares 25 3 2 6" xfId="47303" xr:uid="{EFED6478-5A6A-4779-BA64-4336EF4DCBA9}"/>
    <cellStyle name="Millares 25 3 3" xfId="19709" xr:uid="{B637104F-11EF-4AB0-A38D-90E33B8630F9}"/>
    <cellStyle name="Millares 25 3 3 2" xfId="47215" xr:uid="{58C24700-937C-4814-859E-E4270004BB7C}"/>
    <cellStyle name="Millares 25 3 4" xfId="25490" xr:uid="{AF6A9736-8764-4226-B621-0E578F397612}"/>
    <cellStyle name="Millares 25 3 5" xfId="31364" xr:uid="{B25A7DDE-1ABC-4336-9C2C-BBD04D47392C}"/>
    <cellStyle name="Millares 25 3 6" xfId="37237" xr:uid="{3D0230A3-C300-477A-BBEF-C3631F3AD386}"/>
    <cellStyle name="Millares 25 3 7" xfId="46903" xr:uid="{99D15C48-ABA0-4134-B724-383B3C129B6C}"/>
    <cellStyle name="Millares 25 4" xfId="7134" xr:uid="{3A1DE563-F31C-4100-A8C8-982EC2F750F5}"/>
    <cellStyle name="Millares 25 4 2" xfId="21545" xr:uid="{6B665B06-E57B-4DE0-BA4C-22EBAC7DA470}"/>
    <cellStyle name="Millares 25 4 3" xfId="27369" xr:uid="{4BCE484C-DDEC-48E5-AFA9-FE980C5A57BA}"/>
    <cellStyle name="Millares 25 4 4" xfId="33250" xr:uid="{AE36EEB6-868F-499F-B3FE-B2D23ACFBCE1}"/>
    <cellStyle name="Millares 25 4 5" xfId="39114" xr:uid="{72D070A3-0D4C-48C6-9DFF-18FE43B54D9F}"/>
    <cellStyle name="Millares 25 5" xfId="18788" xr:uid="{F8B1108D-314C-45AF-8B39-7553E49CA0AF}"/>
    <cellStyle name="Millares 25 6" xfId="24519" xr:uid="{5917F0B7-54AD-4D5A-8366-F20D7C691973}"/>
    <cellStyle name="Millares 25 7" xfId="30398" xr:uid="{8AC0221B-4239-405A-BCC7-BD9E8E3B5BAD}"/>
    <cellStyle name="Millares 25 8" xfId="36279" xr:uid="{805DA59A-92C1-414D-8570-311193F9D120}"/>
    <cellStyle name="Millares 25 9" xfId="42257" xr:uid="{F75C1E75-B01A-4B83-AD86-738CF49E50C5}"/>
    <cellStyle name="Millares 26" xfId="647" xr:uid="{00000000-0005-0000-0000-000022020000}"/>
    <cellStyle name="Millares 26 10" xfId="46904" xr:uid="{D47A9441-F5C2-4015-BD3A-79205EBA8416}"/>
    <cellStyle name="Millares 26 11" xfId="47037" xr:uid="{F311C700-AB0A-4E33-8DC3-B5829C53EB40}"/>
    <cellStyle name="Millares 26 2" xfId="4750" xr:uid="{2A6F2436-8817-4539-8A24-739D32C08821}"/>
    <cellStyle name="Millares 26 2 2" xfId="5718" xr:uid="{19B6B408-5977-4D2C-B790-9D8AC650C9CB}"/>
    <cellStyle name="Millares 26 2 2 2" xfId="8586" xr:uid="{1454AD6B-E9B1-444B-8774-C4B77BDC2FAE}"/>
    <cellStyle name="Millares 26 2 2 2 2" xfId="22958" xr:uid="{2012D78C-8853-41CC-B8FC-A11ADE56FCC9}"/>
    <cellStyle name="Millares 26 2 2 2 3" xfId="28819" xr:uid="{A0E3B5F6-6CA0-472F-94E4-442C3C016FFD}"/>
    <cellStyle name="Millares 26 2 2 2 4" xfId="34701" xr:uid="{1EC15F6B-745D-4E60-80F9-B107E915EAFD}"/>
    <cellStyle name="Millares 26 2 2 2 5" xfId="40565" xr:uid="{A2FE1009-D724-47D8-AC2F-98083B6D4B71}"/>
    <cellStyle name="Millares 26 2 2 3" xfId="20175" xr:uid="{DEA87F40-BB06-4571-AD1F-341C49F952C5}"/>
    <cellStyle name="Millares 26 2 2 4" xfId="25969" xr:uid="{A82CA743-E84E-46B3-9B80-93D1C7066DD5}"/>
    <cellStyle name="Millares 26 2 2 5" xfId="31844" xr:uid="{FDD37479-FA31-40C8-B8AF-351459A488C5}"/>
    <cellStyle name="Millares 26 2 2 6" xfId="37711" xr:uid="{07F75B50-8217-4C7E-896D-BF0D8B5B0F70}"/>
    <cellStyle name="Millares 26 2 2 7" xfId="47319" xr:uid="{287E80D5-7C51-439E-9805-D3AE17A9DFFF}"/>
    <cellStyle name="Millares 26 2 3" xfId="7614" xr:uid="{6397CA33-3C3C-4538-97EA-7FF3F7EDDA1D}"/>
    <cellStyle name="Millares 26 2 3 2" xfId="22008" xr:uid="{3D50A57F-6D63-4E49-A606-C422EA638D4E}"/>
    <cellStyle name="Millares 26 2 3 3" xfId="27848" xr:uid="{BB615DC2-0A50-4F0B-95A8-036A8FFDB7E3}"/>
    <cellStyle name="Millares 26 2 3 4" xfId="33730" xr:uid="{40D416F5-4473-4CC4-8222-E02954D714AF}"/>
    <cellStyle name="Millares 26 2 3 5" xfId="39594" xr:uid="{01B4F24A-78C6-42F6-B295-5007ADB2607C}"/>
    <cellStyle name="Millares 26 2 3 6" xfId="47231" xr:uid="{FA2D9667-3072-4124-A35A-82667EB1F483}"/>
    <cellStyle name="Millares 26 2 4" xfId="19238" xr:uid="{85E343BD-ADDD-47D2-B90E-8B58F68DB07D}"/>
    <cellStyle name="Millares 26 2 5" xfId="24999" xr:uid="{B598EB0C-8A3D-4A9F-9B59-19D12F3997B7}"/>
    <cellStyle name="Millares 26 2 6" xfId="30873" xr:uid="{7650EE95-2D40-41F1-AB2A-0315B1BCDB4E}"/>
    <cellStyle name="Millares 26 2 7" xfId="36754" xr:uid="{956C566F-B19B-4B9F-884C-1051292272F3}"/>
    <cellStyle name="Millares 26 2 8" xfId="46905" xr:uid="{6801C021-3176-429B-9AB4-4580055985D7}"/>
    <cellStyle name="Millares 26 3" xfId="5234" xr:uid="{390DDC17-1BF1-440E-BB83-A08142219D3E}"/>
    <cellStyle name="Millares 26 3 2" xfId="8101" xr:uid="{4EF9283A-B04D-4F1D-8B6B-EAC1434343E4}"/>
    <cellStyle name="Millares 26 3 2 2" xfId="22479" xr:uid="{427AFBB6-E1AC-49E9-866B-355BABFE8D04}"/>
    <cellStyle name="Millares 26 3 2 3" xfId="28334" xr:uid="{7E2D43D4-5DA0-4572-9F36-CC87BB005AC7}"/>
    <cellStyle name="Millares 26 3 2 4" xfId="34216" xr:uid="{191A48F8-ABCD-4E5F-BEC3-949837A9EEC0}"/>
    <cellStyle name="Millares 26 3 2 5" xfId="40080" xr:uid="{B85EEA86-F61E-437D-BE76-96C3D97C218F}"/>
    <cellStyle name="Millares 26 3 2 6" xfId="47304" xr:uid="{D59ACE0B-9B73-45C2-85D7-8C15D43BE4D0}"/>
    <cellStyle name="Millares 26 3 3" xfId="19704" xr:uid="{82F69C40-6DAB-457A-AD90-ED6CBBE89305}"/>
    <cellStyle name="Millares 26 3 3 2" xfId="47216" xr:uid="{32825271-A18D-4CB9-B64D-4A3781A5D1AD}"/>
    <cellStyle name="Millares 26 3 4" xfId="25485" xr:uid="{C7D59DD6-B9F5-444F-B8C1-C01B4A0D8E3F}"/>
    <cellStyle name="Millares 26 3 5" xfId="31359" xr:uid="{CACCBE8B-7002-4780-8329-5A54DDC2A936}"/>
    <cellStyle name="Millares 26 3 6" xfId="37232" xr:uid="{43AA74B2-C83B-4407-8320-8F43E186909F}"/>
    <cellStyle name="Millares 26 3 7" xfId="46906" xr:uid="{90DA1CB1-0FA1-4595-B5B3-450CB7DAED20}"/>
    <cellStyle name="Millares 26 4" xfId="7129" xr:uid="{99CFDBA8-D8FF-4116-ABAC-02F152DCE5DE}"/>
    <cellStyle name="Millares 26 4 2" xfId="21540" xr:uid="{3E9E06A3-B197-4933-A726-079480FD6601}"/>
    <cellStyle name="Millares 26 4 3" xfId="27364" xr:uid="{8255089B-7359-4082-AFC2-73B2DD48F3C6}"/>
    <cellStyle name="Millares 26 4 4" xfId="33245" xr:uid="{0EF7ED2C-C37F-4847-82ED-46D3324A3A52}"/>
    <cellStyle name="Millares 26 4 5" xfId="39109" xr:uid="{74E7C303-4EC1-408D-8045-7B9576066FDD}"/>
    <cellStyle name="Millares 26 5" xfId="18787" xr:uid="{865716A2-59AD-4701-865E-C16F00A002F7}"/>
    <cellStyle name="Millares 26 6" xfId="24514" xr:uid="{642D7EDE-0DA6-4C18-9B79-AFA37AB9F4EB}"/>
    <cellStyle name="Millares 26 7" xfId="30393" xr:uid="{EF8FF448-295C-413C-9F86-BE24A65A7217}"/>
    <cellStyle name="Millares 26 8" xfId="36274" xr:uid="{B7C9BF7C-6378-40B1-B735-605F1C9D5293}"/>
    <cellStyle name="Millares 26 9" xfId="42258" xr:uid="{FB79114C-57CD-400E-8711-F3B8201DB957}"/>
    <cellStyle name="Millares 27" xfId="650" xr:uid="{00000000-0005-0000-0000-000023020000}"/>
    <cellStyle name="Millares 27 10" xfId="46907" xr:uid="{1F1F53B3-5E6D-482A-9ABF-032A4477C23C}"/>
    <cellStyle name="Millares 27 11" xfId="47039" xr:uid="{A6D3FE48-6DCF-4407-BCCC-2346B7267DB2}"/>
    <cellStyle name="Millares 27 2" xfId="4733" xr:uid="{8DA9CE83-D451-4CEE-8680-2A978A44B711}"/>
    <cellStyle name="Millares 27 2 2" xfId="5701" xr:uid="{52DE4D40-C997-4550-93DD-02A6D1B95B33}"/>
    <cellStyle name="Millares 27 2 2 2" xfId="8569" xr:uid="{637DCB6F-7EA2-4383-A97D-C436CEDD22F8}"/>
    <cellStyle name="Millares 27 2 2 2 2" xfId="22941" xr:uid="{F073EF97-C6C3-4D41-9674-D5B922D7C716}"/>
    <cellStyle name="Millares 27 2 2 2 3" xfId="28802" xr:uid="{12E583C1-BD8F-419D-A0FD-3CB61C29213F}"/>
    <cellStyle name="Millares 27 2 2 2 4" xfId="34684" xr:uid="{6EF322A2-D8D7-46E6-A5DA-4614544EB9B0}"/>
    <cellStyle name="Millares 27 2 2 2 5" xfId="40548" xr:uid="{93AA333A-9FC7-4D11-AECE-B3D94155766A}"/>
    <cellStyle name="Millares 27 2 2 3" xfId="20158" xr:uid="{8BCFC267-BD44-4D1F-8AC4-AB8E5A411829}"/>
    <cellStyle name="Millares 27 2 2 4" xfId="25952" xr:uid="{CA14B6A8-F213-4B51-880E-1060D85D53FC}"/>
    <cellStyle name="Millares 27 2 2 5" xfId="31827" xr:uid="{AA6F4EC2-222B-4099-BC71-AD83CAD32B58}"/>
    <cellStyle name="Millares 27 2 2 6" xfId="37694" xr:uid="{C3A62458-2847-45C2-84E2-0C8F747D8E0A}"/>
    <cellStyle name="Millares 27 2 2 7" xfId="47320" xr:uid="{CA8C962D-8B43-444F-87BD-BA5795D48371}"/>
    <cellStyle name="Millares 27 2 3" xfId="7597" xr:uid="{3145B3FD-D9D8-42B4-A23D-B14013466144}"/>
    <cellStyle name="Millares 27 2 3 2" xfId="21991" xr:uid="{C9D8A821-862C-40D8-86E9-AF299B7C93E8}"/>
    <cellStyle name="Millares 27 2 3 3" xfId="27831" xr:uid="{8BEBCB45-FA9C-4E66-88AD-8426472F77E6}"/>
    <cellStyle name="Millares 27 2 3 4" xfId="33713" xr:uid="{C4430CE5-11B1-4699-A3FA-ACB1FB368897}"/>
    <cellStyle name="Millares 27 2 3 5" xfId="39577" xr:uid="{DBB86EE3-0B0B-4895-AB68-5C814D5D5A60}"/>
    <cellStyle name="Millares 27 2 3 6" xfId="47232" xr:uid="{B68F822A-7143-4E57-8F45-F43143C1E8B1}"/>
    <cellStyle name="Millares 27 2 4" xfId="19223" xr:uid="{DCE63B0E-B71F-4E60-B26B-F3C21E9C9E36}"/>
    <cellStyle name="Millares 27 2 5" xfId="24982" xr:uid="{B9336D22-8CEA-437B-8EB7-5FBCEE12EF23}"/>
    <cellStyle name="Millares 27 2 6" xfId="30856" xr:uid="{F869E7B7-B9B0-4814-AC9B-4BBD845160B1}"/>
    <cellStyle name="Millares 27 2 7" xfId="36737" xr:uid="{2415019A-75BB-432A-9DFB-19B3DB545A6C}"/>
    <cellStyle name="Millares 27 2 8" xfId="46908" xr:uid="{2E0B7EFF-9937-4A92-9870-8BE34DAFBFAC}"/>
    <cellStyle name="Millares 27 3" xfId="5217" xr:uid="{543DAF9C-704D-4538-A15B-4E6003591949}"/>
    <cellStyle name="Millares 27 3 2" xfId="8084" xr:uid="{6AE5A2F5-AAAF-455E-B348-7DC2D33757C6}"/>
    <cellStyle name="Millares 27 3 2 2" xfId="22462" xr:uid="{5BEF5687-F3C0-4902-8993-8C37D24F12CE}"/>
    <cellStyle name="Millares 27 3 2 3" xfId="28317" xr:uid="{B01FF895-B90C-45D0-B31A-17E02EACDAB0}"/>
    <cellStyle name="Millares 27 3 2 4" xfId="34199" xr:uid="{A8E5CFB7-AFA2-45D7-A268-ACBBC2FEBA03}"/>
    <cellStyle name="Millares 27 3 2 5" xfId="40063" xr:uid="{4323A693-3012-4094-A2D2-36B3544C310B}"/>
    <cellStyle name="Millares 27 3 2 6" xfId="47305" xr:uid="{2A1B7D55-4FAB-4D82-A6F2-9735ACE0BA59}"/>
    <cellStyle name="Millares 27 3 3" xfId="19688" xr:uid="{51860D96-1633-42D9-98E6-6A44D948E386}"/>
    <cellStyle name="Millares 27 3 3 2" xfId="47217" xr:uid="{541BA5E0-D960-414D-AB62-BE56F99BAAEC}"/>
    <cellStyle name="Millares 27 3 4" xfId="25468" xr:uid="{EB66E843-C70D-454A-A6AB-82C2988A3778}"/>
    <cellStyle name="Millares 27 3 5" xfId="31342" xr:uid="{7719B061-0313-485D-8962-18F83697301C}"/>
    <cellStyle name="Millares 27 3 6" xfId="37215" xr:uid="{AB98D159-CEAB-499A-B8FE-9B344413B1FD}"/>
    <cellStyle name="Millares 27 3 7" xfId="46909" xr:uid="{5CB93B99-51AF-468C-AD27-B1F6CAA8B9AB}"/>
    <cellStyle name="Millares 27 4" xfId="7112" xr:uid="{791F33ED-FCB0-49F4-89A8-3967E4C82AE4}"/>
    <cellStyle name="Millares 27 4 2" xfId="21524" xr:uid="{088472BF-508E-42C6-B129-01B1797BCBEB}"/>
    <cellStyle name="Millares 27 4 3" xfId="27347" xr:uid="{1459DAA6-0B83-4D36-9528-6F86593F8861}"/>
    <cellStyle name="Millares 27 4 4" xfId="33228" xr:uid="{A7953443-A604-4ECE-BB84-1B064B16C497}"/>
    <cellStyle name="Millares 27 4 5" xfId="39092" xr:uid="{A808D8F8-76F2-428A-8AC7-1E6437D70FEC}"/>
    <cellStyle name="Millares 27 5" xfId="18775" xr:uid="{01BB0E1E-57AA-44EF-9E2F-C0D33E280B1E}"/>
    <cellStyle name="Millares 27 6" xfId="24497" xr:uid="{EA59DCC5-0CE6-456F-B9CD-34E10BC1AE63}"/>
    <cellStyle name="Millares 27 7" xfId="30375" xr:uid="{F74B4DB8-49C5-4103-B373-B9EC553FA142}"/>
    <cellStyle name="Millares 27 8" xfId="36256" xr:uid="{5A6AB485-346B-4C95-AA3A-26F1F665151A}"/>
    <cellStyle name="Millares 27 9" xfId="42259" xr:uid="{A62F7AA1-7BC8-44B6-BA34-56B364A16349}"/>
    <cellStyle name="Millares 28" xfId="649" xr:uid="{00000000-0005-0000-0000-000024020000}"/>
    <cellStyle name="Millares 28 10" xfId="46910" xr:uid="{B9C22453-A4FC-40A6-B7FB-FDC51DF994BD}"/>
    <cellStyle name="Millares 28 11" xfId="47038" xr:uid="{44ECB9DB-CA0F-44AB-9B98-0568826FA037}"/>
    <cellStyle name="Millares 28 2" xfId="4758" xr:uid="{804E654D-DFCF-4C2B-8AF2-66C381BA61AF}"/>
    <cellStyle name="Millares 28 2 2" xfId="5726" xr:uid="{A281FC40-3355-4C53-B42C-275D7C011791}"/>
    <cellStyle name="Millares 28 2 2 2" xfId="8594" xr:uid="{83C29395-2539-4D3B-882B-D6B2546939AD}"/>
    <cellStyle name="Millares 28 2 2 2 2" xfId="22966" xr:uid="{2F3EF717-BBB2-403D-9FE7-96781E195990}"/>
    <cellStyle name="Millares 28 2 2 2 3" xfId="28827" xr:uid="{E696FB0A-F437-4B4E-A1CB-F2679D14EAEA}"/>
    <cellStyle name="Millares 28 2 2 2 4" xfId="34709" xr:uid="{92BEAD81-8561-4F19-9300-6EB5E2F044F2}"/>
    <cellStyle name="Millares 28 2 2 2 5" xfId="40573" xr:uid="{5B125D4D-F5AB-42B8-8A67-E3BFC050608C}"/>
    <cellStyle name="Millares 28 2 2 3" xfId="20183" xr:uid="{15730B3C-0CF9-4ED1-B03A-95C1F27BF5A0}"/>
    <cellStyle name="Millares 28 2 2 4" xfId="25977" xr:uid="{739D9D9C-FB40-438E-BCAF-7375608DFF71}"/>
    <cellStyle name="Millares 28 2 2 5" xfId="31852" xr:uid="{059AD108-3092-4D9A-972A-0C8E8892875E}"/>
    <cellStyle name="Millares 28 2 2 6" xfId="37719" xr:uid="{5CC35CFB-2EB2-46EC-9A41-8A5E067C2FD4}"/>
    <cellStyle name="Millares 28 2 3" xfId="7622" xr:uid="{095744E5-96BD-4504-AAF8-7EDE5005BF22}"/>
    <cellStyle name="Millares 28 2 3 2" xfId="22016" xr:uid="{A39D9D83-E9C9-4687-B23E-BDEE4118836F}"/>
    <cellStyle name="Millares 28 2 3 3" xfId="27856" xr:uid="{368E7111-2B82-4BE5-8562-BFF3ECA88071}"/>
    <cellStyle name="Millares 28 2 3 4" xfId="33738" xr:uid="{061E82B5-6017-4E4A-8A23-589595CE14EE}"/>
    <cellStyle name="Millares 28 2 3 5" xfId="39602" xr:uid="{A639CAAA-DFB9-454D-BEC6-0E269FDF8953}"/>
    <cellStyle name="Millares 28 2 4" xfId="19246" xr:uid="{73CF4007-8C0D-4072-BF5C-AD18B0B2BCE6}"/>
    <cellStyle name="Millares 28 2 5" xfId="25007" xr:uid="{C8AA4C6F-90E7-4687-B3C7-ABAB56F52BCF}"/>
    <cellStyle name="Millares 28 2 6" xfId="30881" xr:uid="{46EA704C-7C74-46BE-B19A-296F4265BA36}"/>
    <cellStyle name="Millares 28 2 7" xfId="36762" xr:uid="{D86DF76C-BB32-4777-9A9A-EE6636177133}"/>
    <cellStyle name="Millares 28 2 8" xfId="46911" xr:uid="{957BEA3F-AB23-4E37-B3F1-61EC1EA5B1E6}"/>
    <cellStyle name="Millares 28 2 9" xfId="47083" xr:uid="{2B99EB77-5721-4124-98AA-B812B3963A14}"/>
    <cellStyle name="Millares 28 3" xfId="5242" xr:uid="{FBAC2EB0-6FD7-440E-A322-F4E7141280E3}"/>
    <cellStyle name="Millares 28 3 2" xfId="8109" xr:uid="{08259087-FD3A-4C2F-AA7D-ACF0E1F87D3B}"/>
    <cellStyle name="Millares 28 3 2 2" xfId="22487" xr:uid="{663B2EF3-C28D-4BD6-89FE-4053086C17AF}"/>
    <cellStyle name="Millares 28 3 2 3" xfId="28342" xr:uid="{D7D4AFC1-341B-4709-994E-EF41238C6CB5}"/>
    <cellStyle name="Millares 28 3 2 4" xfId="34224" xr:uid="{7AA67B5A-4834-4ED2-9915-EC3A36B85328}"/>
    <cellStyle name="Millares 28 3 2 5" xfId="40088" xr:uid="{7032720A-FAF8-4E70-AEED-754B4B805DB5}"/>
    <cellStyle name="Millares 28 3 3" xfId="19712" xr:uid="{F76D9D9D-9301-47E8-B40E-6BC81235259A}"/>
    <cellStyle name="Millares 28 3 4" xfId="25493" xr:uid="{3F68C188-84E3-4E09-89EA-ED4F0D832548}"/>
    <cellStyle name="Millares 28 3 5" xfId="31367" xr:uid="{6BE36696-C030-4D55-A9B3-E3E78775BF1B}"/>
    <cellStyle name="Millares 28 3 6" xfId="37240" xr:uid="{7DD8CFD7-A710-49E0-85FD-14AC00F9AE5A}"/>
    <cellStyle name="Millares 28 4" xfId="7137" xr:uid="{1427A710-F8DD-498F-AE9B-68826798AD8B}"/>
    <cellStyle name="Millares 28 4 2" xfId="21548" xr:uid="{E88A2F9F-2081-488E-B696-024AC6AC1FA5}"/>
    <cellStyle name="Millares 28 4 3" xfId="27372" xr:uid="{938374E7-64E6-49AB-9A18-E19A36F249F1}"/>
    <cellStyle name="Millares 28 4 4" xfId="33253" xr:uid="{351BD5EB-32BD-4DF1-B033-DB5E77F54946}"/>
    <cellStyle name="Millares 28 4 5" xfId="39117" xr:uid="{7512D926-DDB5-46C1-BCD0-074192C38266}"/>
    <cellStyle name="Millares 28 5" xfId="18790" xr:uid="{BBAAA74E-FA75-4B7C-A938-D98DD9564F1B}"/>
    <cellStyle name="Millares 28 6" xfId="24522" xr:uid="{9E90EAD0-E4B5-425C-A5A3-11F600BACF26}"/>
    <cellStyle name="Millares 28 7" xfId="30401" xr:uid="{B04E951B-56FD-4EA8-846E-029D8AB02840}"/>
    <cellStyle name="Millares 28 8" xfId="36282" xr:uid="{A286E981-B142-4A73-8C1B-072B671BE108}"/>
    <cellStyle name="Millares 28 9" xfId="42260" xr:uid="{F52859C8-4522-4A19-9393-38D8D152325A}"/>
    <cellStyle name="Millares 29" xfId="657" xr:uid="{00000000-0005-0000-0000-000025020000}"/>
    <cellStyle name="Millares 29 2" xfId="4748" xr:uid="{C69E7DB2-28AA-44BE-9503-5460128CAB03}"/>
    <cellStyle name="Millares 29 2 10" xfId="47084" xr:uid="{A3C3B9C6-B6B4-481F-B6EB-8477DF265E6D}"/>
    <cellStyle name="Millares 29 2 2" xfId="5716" xr:uid="{AB5EF63B-997E-47DF-A374-FDF149078B75}"/>
    <cellStyle name="Millares 29 2 2 2" xfId="8584" xr:uid="{43B957FB-4CCA-453D-BF40-5A06837BC721}"/>
    <cellStyle name="Millares 29 2 2 2 2" xfId="22956" xr:uid="{B34BCB77-0F1E-4BF2-8B92-51CC10C221C6}"/>
    <cellStyle name="Millares 29 2 2 2 3" xfId="28817" xr:uid="{B9EF2A10-22A8-401C-9C1E-724393ADAE9A}"/>
    <cellStyle name="Millares 29 2 2 2 4" xfId="34699" xr:uid="{10D329C5-C79E-4CE6-84D6-80E7E9F73B01}"/>
    <cellStyle name="Millares 29 2 2 2 5" xfId="40563" xr:uid="{E160F6C0-EBEA-4BA8-8EC6-67C61EF25B6F}"/>
    <cellStyle name="Millares 29 2 2 3" xfId="20173" xr:uid="{981A19B0-31A0-45C8-BAF6-C925D8767FE7}"/>
    <cellStyle name="Millares 29 2 2 4" xfId="25967" xr:uid="{7513E04D-AD8A-492F-B5AB-BA7E83E9074D}"/>
    <cellStyle name="Millares 29 2 2 5" xfId="31842" xr:uid="{2EFAD404-BA14-4543-83C6-81C6C6F8F9CE}"/>
    <cellStyle name="Millares 29 2 2 6" xfId="37709" xr:uid="{20FF4007-5958-429E-A6EF-4664BD311139}"/>
    <cellStyle name="Millares 29 2 3" xfId="7612" xr:uid="{E235A5CE-374F-4C19-B595-0571FAA97018}"/>
    <cellStyle name="Millares 29 2 3 2" xfId="22006" xr:uid="{4898701C-5A74-4D58-98D1-11FED13DA38C}"/>
    <cellStyle name="Millares 29 2 3 3" xfId="27846" xr:uid="{44F00297-A91F-43AF-90EE-1858AD87D2A1}"/>
    <cellStyle name="Millares 29 2 3 4" xfId="33728" xr:uid="{E669E518-60AB-484C-B38C-476B0C590A81}"/>
    <cellStyle name="Millares 29 2 3 5" xfId="39592" xr:uid="{F8A83BD6-8EAE-4A29-9D85-BC0BC2D2191D}"/>
    <cellStyle name="Millares 29 2 4" xfId="19236" xr:uid="{44A2CBCB-ABBE-4DE2-92F1-1BC942EEBE03}"/>
    <cellStyle name="Millares 29 2 5" xfId="24997" xr:uid="{57F86228-AEDB-4B79-B96A-28E27B49B31E}"/>
    <cellStyle name="Millares 29 2 6" xfId="30871" xr:uid="{39DF8DE3-A6E9-459E-BD44-3C37A8A5D966}"/>
    <cellStyle name="Millares 29 2 7" xfId="36752" xr:uid="{26E0941F-B436-49C7-A750-5AF9AC24BFAC}"/>
    <cellStyle name="Millares 29 2 8" xfId="42261" xr:uid="{3736907E-3DC0-4815-A522-B21FA24E1B82}"/>
    <cellStyle name="Millares 29 2 9" xfId="46912" xr:uid="{88F26F11-83A9-44ED-AF72-CADA54BB29FA}"/>
    <cellStyle name="Millares 29 3" xfId="5232" xr:uid="{7FDE0457-7507-4ED5-8D0A-40CB695E6D6D}"/>
    <cellStyle name="Millares 29 3 2" xfId="8099" xr:uid="{D3C302F8-4BA0-4513-A7AE-11CB0A1ADD86}"/>
    <cellStyle name="Millares 29 3 2 2" xfId="22477" xr:uid="{5DFD240F-8097-423B-819E-C671C80177A6}"/>
    <cellStyle name="Millares 29 3 2 3" xfId="28332" xr:uid="{FBE8E247-0E00-452C-A718-EF8D48062D67}"/>
    <cellStyle name="Millares 29 3 2 4" xfId="34214" xr:uid="{7A11ADB2-BA1A-487B-8775-20FB4E9F848D}"/>
    <cellStyle name="Millares 29 3 2 5" xfId="40078" xr:uid="{3B773F34-A42E-469E-B68C-F63263903D65}"/>
    <cellStyle name="Millares 29 3 3" xfId="19702" xr:uid="{9597FABD-6643-49CE-927C-1D7201EDCE9C}"/>
    <cellStyle name="Millares 29 3 4" xfId="25483" xr:uid="{8907AD50-8A07-4906-9A68-987F77DF2225}"/>
    <cellStyle name="Millares 29 3 5" xfId="31357" xr:uid="{2821DD65-818C-42C7-929B-D9D0A69C4926}"/>
    <cellStyle name="Millares 29 3 6" xfId="37230" xr:uid="{D194AB16-3FA1-426F-A2C5-16DBB97524D2}"/>
    <cellStyle name="Millares 29 4" xfId="7127" xr:uid="{6A2A9F68-DF5C-4D91-9739-47B4B233E03D}"/>
    <cellStyle name="Millares 29 4 2" xfId="21538" xr:uid="{3CC8489F-1AF4-42ED-BB74-EF682B419991}"/>
    <cellStyle name="Millares 29 4 3" xfId="27362" xr:uid="{375F478D-4B7C-4A2F-9978-41858EB38B20}"/>
    <cellStyle name="Millares 29 4 4" xfId="33243" xr:uid="{6450CC4B-D3A3-4BAE-8828-7944B3092F6F}"/>
    <cellStyle name="Millares 29 4 5" xfId="39107" xr:uid="{03C07E55-7EFE-4046-860F-D58B8A137C0E}"/>
    <cellStyle name="Millares 29 5" xfId="4269" xr:uid="{7CBA1A16-63E8-415C-8A42-56681F8981B5}"/>
    <cellStyle name="Millares 29 6" xfId="24512" xr:uid="{9D4BF40B-0DE3-4998-882F-03BD7FA8145D}"/>
    <cellStyle name="Millares 29 7" xfId="30391" xr:uid="{BC29B01B-76F7-4420-A5FD-F3788C80BF00}"/>
    <cellStyle name="Millares 29 8" xfId="36272" xr:uid="{8171227C-5C73-4A3E-96CB-EB64095B7457}"/>
    <cellStyle name="Millares 29 9" xfId="42262" xr:uid="{D61DDD62-4BC5-46AF-8626-6F7E0ACDB4E5}"/>
    <cellStyle name="Millares 3" xfId="57" xr:uid="{00000000-0005-0000-0000-000026020000}"/>
    <cellStyle name="Millares 3 10" xfId="29933" xr:uid="{C3C22DCA-7F3A-4D91-BDFB-87C01EC0952D}"/>
    <cellStyle name="Millares 3 10 2" xfId="42263" xr:uid="{2380674A-993F-495C-8522-4C633039E636}"/>
    <cellStyle name="Millares 3 11" xfId="1876" xr:uid="{00000000-0005-0000-0000-000027020000}"/>
    <cellStyle name="Millares 3 11 2" xfId="1919" xr:uid="{00000000-0005-0000-0000-000028020000}"/>
    <cellStyle name="Millares 3 11 2 10" xfId="17563" xr:uid="{55DFA943-88F4-40D0-996C-19262EA694E6}"/>
    <cellStyle name="Millares 3 11 2 11" xfId="42108" xr:uid="{AAC0A405-01A2-4927-98C0-EE9F85BFAA57}"/>
    <cellStyle name="Millares 3 11 2 12" xfId="42975" xr:uid="{4D9EE1E5-C48F-4704-99C3-6420B4A82476}"/>
    <cellStyle name="Millares 3 11 2 13" xfId="47868" xr:uid="{F86178EA-9AFB-43F3-87CA-07E66B2216FF}"/>
    <cellStyle name="Millares 3 11 2 14" xfId="50185" xr:uid="{310F4731-EDAA-4260-A096-FF8FADF1B7EE}"/>
    <cellStyle name="Millares 3 11 2 15" xfId="50259" xr:uid="{C0A4F45A-FAE3-45DE-9A82-B197DA4EA7B3}"/>
    <cellStyle name="Millares 3 11 2 2" xfId="2902" xr:uid="{2F94C1B0-4C4E-4A2E-AF57-C809DA009CEB}"/>
    <cellStyle name="Millares 3 11 2 2 2" xfId="11173" xr:uid="{C7D61A41-2659-4BA5-8725-6993DE0C9824}"/>
    <cellStyle name="Millares 3 11 2 2 2 2" xfId="46333" xr:uid="{73E0D25B-5671-418D-8DDC-0EDC58DBCEEB}"/>
    <cellStyle name="Millares 3 11 2 2 2 3" xfId="47139" xr:uid="{D1F52792-9C7C-4232-9A3D-B15E46456594}"/>
    <cellStyle name="Millares 3 11 2 2 2 4" xfId="50369" xr:uid="{BF21FD24-EDB6-4674-A7D9-8BD15660F390}"/>
    <cellStyle name="Millares 3 11 2 2 3" xfId="14013" xr:uid="{EAE46826-5EDB-4044-94CF-B37D6D336B80}"/>
    <cellStyle name="Millares 3 11 2 2 4" xfId="42109" xr:uid="{72A67185-0A6A-4BD0-95B6-5636515058EB}"/>
    <cellStyle name="Millares 3 11 2 2 5" xfId="43937" xr:uid="{DF808867-E452-4B4F-85B3-6220AED273A1}"/>
    <cellStyle name="Millares 3 11 2 2 6" xfId="48830" xr:uid="{4D4D7488-CDD7-4EE4-9644-CCE578FED82B}"/>
    <cellStyle name="Millares 3 11 2 2 7" xfId="50223" xr:uid="{6647D0DF-2E52-44EB-9E6B-CEDCCBEF6DF7}"/>
    <cellStyle name="Millares 3 11 2 2 8" xfId="50297" xr:uid="{A4828EBF-FEC4-4769-9749-E9AD94508380}"/>
    <cellStyle name="Millares 3 11 2 3" xfId="3368" xr:uid="{4AB75B1C-EA2F-430A-956B-2DEB76810FBF}"/>
    <cellStyle name="Millares 3 11 2 3 2" xfId="11618" xr:uid="{78E779D8-380D-48E9-AE42-E559298333DA}"/>
    <cellStyle name="Millares 3 11 2 3 2 2" xfId="46778" xr:uid="{A284BD4D-E45A-412E-A690-8B960398C2B3}"/>
    <cellStyle name="Millares 3 11 2 3 3" xfId="14458" xr:uid="{A8F47D47-1BE1-4670-9C87-243170CA06E5}"/>
    <cellStyle name="Millares 3 11 2 3 4" xfId="44382" xr:uid="{97A9F525-09CC-449E-A4B2-618045DD8463}"/>
    <cellStyle name="Millares 3 11 2 3 5" xfId="49275" xr:uid="{8A8083DD-9CFC-4543-BC54-424600964271}"/>
    <cellStyle name="Millares 3 11 2 3 6" xfId="50331" xr:uid="{F54DB339-0FB1-472D-BBA4-3EF33318ABAF}"/>
    <cellStyle name="Millares 3 11 2 4" xfId="9644" xr:uid="{7DB1DE79-EE9C-43A2-A637-7397A38A0BA0}"/>
    <cellStyle name="Millares 3 11 2 4 2" xfId="12484" xr:uid="{C5BFFE33-627A-4E83-A4BA-67FECA60E0B7}"/>
    <cellStyle name="Millares 3 11 2 4 3" xfId="15325" xr:uid="{039A3C05-8736-4891-B397-A2E19C522FC6}"/>
    <cellStyle name="Millares 3 11 2 4 4" xfId="45371" xr:uid="{D1DE3652-BBC8-48EE-98B9-EF45DEB51625}"/>
    <cellStyle name="Millares 3 11 2 4 5" xfId="50141" xr:uid="{683EB2EB-E0FE-469C-8DF0-E5A95AAC3A97}"/>
    <cellStyle name="Millares 3 11 2 5" xfId="10211" xr:uid="{2BFB1071-DF88-48E2-AD64-73FDA8FA84E5}"/>
    <cellStyle name="Millares 3 11 2 6" xfId="13051" xr:uid="{8DEC59E6-6A0E-4FE8-A290-CDAAC0ACFBB7}"/>
    <cellStyle name="Millares 3 11 2 7" xfId="16393" xr:uid="{D5A64B2F-0092-4512-ACEA-F9259B6AFBD7}"/>
    <cellStyle name="Millares 3 11 2 8" xfId="16937" xr:uid="{01D70686-B5B4-476B-A6CA-FE2C9AD6E88A}"/>
    <cellStyle name="Millares 3 11 2 9" xfId="17481" xr:uid="{B2F60DCB-0C13-445B-BAB1-69252A447A38}"/>
    <cellStyle name="Millares 3 11 3" xfId="35814" xr:uid="{A1CB55AE-FFA0-4926-9D08-2DE137C7E7F7}"/>
    <cellStyle name="Millares 3 11 3 2" xfId="46913" xr:uid="{AA04E097-F76E-430F-A8B8-06C4C5BCE05F}"/>
    <cellStyle name="Millares 3 11 3 3" xfId="47009" xr:uid="{BACFAD02-A8A2-453D-81F7-C0C088FA77D1}"/>
    <cellStyle name="Millares 3 11 4" xfId="42264" xr:uid="{A7AE1196-FA30-45E4-B59E-754945B134AF}"/>
    <cellStyle name="Millares 3 11 4 2" xfId="46914" xr:uid="{765CE122-FD03-4E30-9BD4-FE8725BC6EF8}"/>
    <cellStyle name="Millares 3 11 4 3" xfId="47047" xr:uid="{13EFB687-71C0-4ED1-8453-1B121361DD96}"/>
    <cellStyle name="Millares 3 12" xfId="42265" xr:uid="{DB2D7E72-BF5B-4A94-9D70-B4ADEE4E45BF}"/>
    <cellStyle name="Millares 3 13" xfId="42266" xr:uid="{E855DE4A-D108-425A-8518-6958AFE3D385}"/>
    <cellStyle name="Millares 3 13 2" xfId="42267" xr:uid="{5A075233-76A5-4D97-87C7-E761D9BAFBDA}"/>
    <cellStyle name="Millares 3 13 3" xfId="42268" xr:uid="{BD722DDB-6095-4B39-8F2C-4396368E9D1C}"/>
    <cellStyle name="Millares 3 14" xfId="42269" xr:uid="{7A782708-3EC5-4943-92FA-8E0FE0F7419E}"/>
    <cellStyle name="Millares 3 15" xfId="42270" xr:uid="{29F9A5EE-CCA5-4E76-9D5E-F8487B531AD1}"/>
    <cellStyle name="Millares 3 15 2" xfId="42271" xr:uid="{357E5B8B-385F-4993-9D79-FCA4D6681436}"/>
    <cellStyle name="Millares 3 15 3" xfId="42272" xr:uid="{57AF8D09-6D14-4AA5-A7CF-02729CE66282}"/>
    <cellStyle name="Millares 3 16" xfId="42273" xr:uid="{85CB2DEB-3BA9-4E3B-89DE-BFBB2F6CB4A7}"/>
    <cellStyle name="Millares 3 17" xfId="42274" xr:uid="{ED51F3D8-13DD-4DFC-8A2A-F8AFA3594258}"/>
    <cellStyle name="Millares 3 18" xfId="42275" xr:uid="{9C49ADA2-E2E8-4778-A98B-84ED5A632C7A}"/>
    <cellStyle name="Millares 3 19" xfId="42276" xr:uid="{B25F8FB5-41B3-4342-8DE8-4755783B9677}"/>
    <cellStyle name="Millares 3 2" xfId="70" xr:uid="{00000000-0005-0000-0000-000029020000}"/>
    <cellStyle name="Millares 3 2 10" xfId="42277" xr:uid="{09B4BD23-48A8-4D6A-8723-596F06CD6731}"/>
    <cellStyle name="Millares 3 2 11" xfId="50181" xr:uid="{C8F3D8FF-86C4-42A6-954A-2974C0F80412}"/>
    <cellStyle name="Millares 3 2 12" xfId="50255" xr:uid="{64D961A4-3E59-40B2-B2BE-30FA031A4906}"/>
    <cellStyle name="Millares 3 2 2" xfId="665" xr:uid="{00000000-0005-0000-0000-00002A020000}"/>
    <cellStyle name="Millares 3 2 2 10" xfId="50270" xr:uid="{0EFE73F0-4997-4BAE-B68C-E3AACD9C2365}"/>
    <cellStyle name="Millares 3 2 2 2" xfId="3380" xr:uid="{666D4737-6CD3-48A2-A5C8-A596EF60DAED}"/>
    <cellStyle name="Millares 3 2 2 2 10" xfId="50234" xr:uid="{0848A07B-75F1-43B2-AA80-5A064E793A2D}"/>
    <cellStyle name="Millares 3 2 2 2 11" xfId="50308" xr:uid="{F1E0DDD7-A3DC-4F77-8FA0-7147FC30F099}"/>
    <cellStyle name="Millares 3 2 2 2 2" xfId="8339" xr:uid="{E80D1487-CCB3-4DA7-AE2A-A6802BB93EDC}"/>
    <cellStyle name="Millares 3 2 2 2 2 2" xfId="22714" xr:uid="{4D6F9262-2F30-4FD2-849F-BEC3118D5412}"/>
    <cellStyle name="Millares 3 2 2 2 2 2 2" xfId="47279" xr:uid="{E5FFB8D8-9CA3-4566-A403-E2BB8329A045}"/>
    <cellStyle name="Millares 3 2 2 2 2 3" xfId="28572" xr:uid="{13EBB423-4CA1-4297-B5AF-D67ACB69F5C5}"/>
    <cellStyle name="Millares 3 2 2 2 2 3 2" xfId="47147" xr:uid="{A32DA9C3-20E1-4DEA-A2A0-A1A4B6D7359A}"/>
    <cellStyle name="Millares 3 2 2 2 2 4" xfId="34454" xr:uid="{F548732A-DAA1-4501-9F77-CF8AEE420595}"/>
    <cellStyle name="Millares 3 2 2 2 2 5" xfId="40318" xr:uid="{6CC8C2A6-9D58-450E-BDA3-6DCBCD0FE558}"/>
    <cellStyle name="Millares 3 2 2 2 2 6" xfId="46788" xr:uid="{0766CA3D-9277-4FD7-92E9-4480179EB3C5}"/>
    <cellStyle name="Millares 3 2 2 2 2 7" xfId="50380" xr:uid="{3469DA0F-B103-4425-941E-4F8E373EEE75}"/>
    <cellStyle name="Millares 3 2 2 2 3" xfId="5472" xr:uid="{FA889A77-5F43-4DF7-B0F9-57CA6883A61D}"/>
    <cellStyle name="Millares 3 2 2 2 3 2" xfId="47255" xr:uid="{C96E1774-9E36-47E6-B017-6C4B9FF31F58}"/>
    <cellStyle name="Millares 3 2 2 2 4" xfId="11628" xr:uid="{5339815A-71FB-4CB6-B795-2EA9475BE637}"/>
    <cellStyle name="Millares 3 2 2 2 4 2" xfId="25723" xr:uid="{E5BE973F-CDFB-4750-B537-FD27C61BADA8}"/>
    <cellStyle name="Millares 3 2 2 2 5" xfId="14468" xr:uid="{FBD99BDC-9FF2-48A9-8ED2-5F2896DD73CC}"/>
    <cellStyle name="Millares 3 2 2 2 5 2" xfId="31597" xr:uid="{DEAFC251-7DCE-4052-A772-7257FCCC012E}"/>
    <cellStyle name="Millares 3 2 2 2 6" xfId="37467" xr:uid="{55FFE0D5-14D7-45C7-B9C2-704702EF1C57}"/>
    <cellStyle name="Millares 3 2 2 2 7" xfId="42110" xr:uid="{93630F79-9D98-4207-8949-1FB38F567CAA}"/>
    <cellStyle name="Millares 3 2 2 2 8" xfId="44392" xr:uid="{CAB23BC4-2F7D-402C-AE15-F84B024A213F}"/>
    <cellStyle name="Millares 3 2 2 2 9" xfId="49285" xr:uid="{95389573-A3EB-4485-8DB6-7D5A4E73E8EE}"/>
    <cellStyle name="Millares 3 2 2 3" xfId="7367" xr:uid="{C079AC17-97D9-4AFE-953A-9DF68D15A20D}"/>
    <cellStyle name="Millares 3 2 2 3 2" xfId="21769" xr:uid="{EA6804B9-48B4-407A-B104-4E2E71E00CDA}"/>
    <cellStyle name="Millares 3 2 2 3 2 2" xfId="46915" xr:uid="{76C2A95F-B7C3-40F6-9F46-87CE0A588E48}"/>
    <cellStyle name="Millares 3 2 2 3 3" xfId="27601" xr:uid="{74372A82-8892-4315-851B-4C7E651302D8}"/>
    <cellStyle name="Millares 3 2 2 3 3 2" xfId="47264" xr:uid="{22BC427A-E5C1-4A64-99C5-86B00EB46CFE}"/>
    <cellStyle name="Millares 3 2 2 3 4" xfId="33483" xr:uid="{B8F9CA90-B5C2-40B9-8AB2-76DEA08E6043}"/>
    <cellStyle name="Millares 3 2 2 3 4 2" xfId="47126" xr:uid="{B9CB41C0-2A3E-487A-B43C-5ADAD28C8941}"/>
    <cellStyle name="Millares 3 2 2 3 5" xfId="39347" xr:uid="{27E5D8DB-7276-4963-A07F-C2DE7DDEA48C}"/>
    <cellStyle name="Millares 3 2 2 3 6" xfId="46916" xr:uid="{4D0C0014-D372-4805-9178-C9240E8BFD40}"/>
    <cellStyle name="Millares 3 2 2 3 7" xfId="50342" xr:uid="{D09FD692-D8DD-41BE-BE99-70B1F910DACF}"/>
    <cellStyle name="Millares 3 2 2 4" xfId="4504" xr:uid="{CC5D2860-2C36-478D-AF05-E742A6C1B259}"/>
    <cellStyle name="Millares 3 2 2 4 2" xfId="46917" xr:uid="{ECAE25EE-8ACA-405C-AD91-3ED60A695CEB}"/>
    <cellStyle name="Millares 3 2 2 5" xfId="9664" xr:uid="{0FC5A5F6-FCC1-41B9-AF9C-C126D21A9EF0}"/>
    <cellStyle name="Millares 3 2 2 5 2" xfId="12504" xr:uid="{98FC03C6-9182-431C-A4F1-89BFD1DE5DBB}"/>
    <cellStyle name="Millares 3 2 2 5 3" xfId="15345" xr:uid="{AD026759-AED9-4A35-8B25-E148D1B87B40}"/>
    <cellStyle name="Millares 3 2 2 5 4" xfId="24752" xr:uid="{31C16C66-5B40-4CEE-A250-B5F5343E5524}"/>
    <cellStyle name="Millares 3 2 2 5 5" xfId="50161" xr:uid="{50637E56-5532-4DB0-9BF3-D4CEC4011716}"/>
    <cellStyle name="Millares 3 2 2 6" xfId="30629" xr:uid="{836D8D31-35C3-4A9A-9D91-9DC15F165D69}"/>
    <cellStyle name="Millares 3 2 2 6 2" xfId="47103" xr:uid="{9EE7D198-3B13-41D4-ADE3-7AA473218831}"/>
    <cellStyle name="Millares 3 2 2 7" xfId="36510" xr:uid="{2BA5A818-75CC-477C-B84E-A41AAEFA1A92}"/>
    <cellStyle name="Millares 3 2 2 8" xfId="42111" xr:uid="{996A0379-156A-42D2-A629-A042076B47E9}"/>
    <cellStyle name="Millares 3 2 2 9" xfId="50196" xr:uid="{46DEF560-6FB8-4F1E-998D-024663A362F3}"/>
    <cellStyle name="Millares 3 2 3" xfId="1902" xr:uid="{00000000-0005-0000-0000-00002B020000}"/>
    <cellStyle name="Millares 3 2 3 2" xfId="7854" xr:uid="{11B0C377-41D6-4F7A-88D0-01840D52B9E8}"/>
    <cellStyle name="Millares 3 2 3 2 2" xfId="22239" xr:uid="{36586BE6-66AC-4574-BB9F-FC323DE5F5A2}"/>
    <cellStyle name="Millares 3 2 3 2 2 2" xfId="47273" xr:uid="{A7DEB5D0-AE0C-40DB-8206-2577629F8644}"/>
    <cellStyle name="Millares 3 2 3 2 3" xfId="28087" xr:uid="{9E068A1A-1F0C-4778-9695-463EBC3B309E}"/>
    <cellStyle name="Millares 3 2 3 2 3 2" xfId="47135" xr:uid="{B041D124-1C5B-45F0-B9D3-BC6CE5D626E7}"/>
    <cellStyle name="Millares 3 2 3 2 4" xfId="33969" xr:uid="{F6B6BA6E-B5DA-4650-BE25-B07899A738AA}"/>
    <cellStyle name="Millares 3 2 3 2 5" xfId="39833" xr:uid="{C99D10F0-9057-43A5-A84E-D58DB92E4088}"/>
    <cellStyle name="Millares 3 2 3 2 6" xfId="46918" xr:uid="{0EE00F48-6032-4CF7-9529-BD3E3182AC35}"/>
    <cellStyle name="Millares 3 2 3 2 7" xfId="50365" xr:uid="{B8B01CC8-B066-4833-92C8-DEA07DEC8166}"/>
    <cellStyle name="Millares 3 2 3 3" xfId="4987" xr:uid="{241BE90B-C28D-4A83-98A5-143B36BD1855}"/>
    <cellStyle name="Millares 3 2 3 3 2" xfId="46919" xr:uid="{5EA16C52-82ED-4EA8-8F7B-24690715B795}"/>
    <cellStyle name="Millares 3 2 3 4" xfId="25238" xr:uid="{7A6F2838-299B-4113-BE66-0631E72025F3}"/>
    <cellStyle name="Millares 3 2 3 4 2" xfId="47250" xr:uid="{C30071CB-63A5-48B0-8B4C-DABE2F747E82}"/>
    <cellStyle name="Millares 3 2 3 5" xfId="31112" xr:uid="{1B907BC4-C7F7-4E00-897B-F5B07F54ECA7}"/>
    <cellStyle name="Millares 3 2 3 5 2" xfId="47112" xr:uid="{CA7C8194-9518-4CFD-9477-4550EB8EEB90}"/>
    <cellStyle name="Millares 3 2 3 6" xfId="36990" xr:uid="{6C2327A3-CBD3-47C6-9DCC-A96CC3DED776}"/>
    <cellStyle name="Millares 3 2 3 7" xfId="42112" xr:uid="{49CF4946-B96C-4C94-8CA5-D5B099134678}"/>
    <cellStyle name="Millares 3 2 3 8" xfId="50219" xr:uid="{3428B5A5-5AE6-4A6B-B49B-8BCD2EB16E6D}"/>
    <cellStyle name="Millares 3 2 3 9" xfId="50293" xr:uid="{A550BC15-9BC4-4BA6-B697-359D1CFD9A4D}"/>
    <cellStyle name="Millares 3 2 4" xfId="3363" xr:uid="{89056FDF-FECF-41E4-9A8E-AA81384DC76B}"/>
    <cellStyle name="Millares 3 2 4 2" xfId="6882" xr:uid="{49A77104-FF48-4EAF-ADB4-D6C8A69F02B5}"/>
    <cellStyle name="Millares 3 2 4 2 2" xfId="46774" xr:uid="{1A1665F7-3232-4F2B-A975-8F986D167EC9}"/>
    <cellStyle name="Millares 3 2 4 3" xfId="11614" xr:uid="{96C3914C-7A1C-4B63-AF1F-B8A5F6F7C3CD}"/>
    <cellStyle name="Millares 3 2 4 3 2" xfId="27120" xr:uid="{483C7945-9BDB-4498-BC16-45CB0A06DD31}"/>
    <cellStyle name="Millares 3 2 4 4" xfId="14454" xr:uid="{E18F01BF-1C90-4518-AB46-17A67A607A6F}"/>
    <cellStyle name="Millares 3 2 4 4 2" xfId="32998" xr:uid="{E93EC314-1B44-4910-BE8D-89980AD6C29C}"/>
    <cellStyle name="Millares 3 2 4 5" xfId="38862" xr:uid="{49417942-4B25-4DE6-8C81-92BB2DBCEFCC}"/>
    <cellStyle name="Millares 3 2 4 6" xfId="44378" xr:uid="{D8CB26C8-D15E-4640-9AB3-05C75CDBA9C8}"/>
    <cellStyle name="Millares 3 2 4 7" xfId="49271" xr:uid="{657A98B2-55B0-483E-A99D-572C2F883D4A}"/>
    <cellStyle name="Millares 3 2 4 8" xfId="50327" xr:uid="{9153F657-8E45-4453-92F5-9F06E783923C}"/>
    <cellStyle name="Millares 3 2 5" xfId="4030" xr:uid="{1198A536-3792-4F0E-B1BF-49281D082634}"/>
    <cellStyle name="Millares 3 2 5 2" xfId="46920" xr:uid="{F4DFE641-855D-4894-9B22-34994CEE2CED}"/>
    <cellStyle name="Millares 3 2 6" xfId="9654" xr:uid="{92E64FA7-8BFF-48F2-8A52-EE309C2E2518}"/>
    <cellStyle name="Millares 3 2 6 2" xfId="12494" xr:uid="{905DB249-EFA9-4B2B-85CE-DC11EA683D25}"/>
    <cellStyle name="Millares 3 2 6 3" xfId="15335" xr:uid="{266E9F74-4134-4C6B-99FD-F8B4621024AD}"/>
    <cellStyle name="Millares 3 2 6 4" xfId="24269" xr:uid="{BDDD2C5C-C546-4A89-8AE3-DDB3050AB967}"/>
    <cellStyle name="Millares 3 2 6 5" xfId="50151" xr:uid="{DAAD86BA-DD94-4EF6-AE0A-47848862A1EC}"/>
    <cellStyle name="Millares 3 2 7" xfId="30147" xr:uid="{414FD883-5251-4A40-9DC0-22A43B759FEB}"/>
    <cellStyle name="Millares 3 2 7 2" xfId="47098" xr:uid="{B9C4FA70-566E-41C4-8539-903E57529ECC}"/>
    <cellStyle name="Millares 3 2 8" xfId="36026" xr:uid="{67FBEF00-1F2B-4257-9AE8-6274A0FCFB41}"/>
    <cellStyle name="Millares 3 2 9" xfId="42113" xr:uid="{45945802-52C2-432A-B6DC-1BB996FAF565}"/>
    <cellStyle name="Millares 3 3" xfId="664" xr:uid="{00000000-0005-0000-0000-00002C020000}"/>
    <cellStyle name="Millares 3 3 10" xfId="50191" xr:uid="{01EE2444-026C-4E05-8C6E-7166D1DC3429}"/>
    <cellStyle name="Millares 3 3 11" xfId="50265" xr:uid="{1419CA82-6C1A-4D1D-B9BE-FC76AF40BAA3}"/>
    <cellStyle name="Millares 3 3 2" xfId="1927" xr:uid="{00000000-0005-0000-0000-00002D020000}"/>
    <cellStyle name="Millares 3 3 2 10" xfId="50303" xr:uid="{27455863-D8F3-4F82-BCA6-600B947E3132}"/>
    <cellStyle name="Millares 3 3 2 2" xfId="8143" xr:uid="{4B4230F9-1B94-4A0A-BB51-B225801F6959}"/>
    <cellStyle name="Millares 3 3 2 2 2" xfId="22519" xr:uid="{6E0E949B-82AC-410A-8228-0579177CAE46}"/>
    <cellStyle name="Millares 3 3 2 2 2 2" xfId="47276" xr:uid="{2DEFD3B6-2C33-4B0C-B911-02FE41272777}"/>
    <cellStyle name="Millares 3 3 2 2 3" xfId="28376" xr:uid="{07F85F23-564E-42BC-B533-8195717CD30A}"/>
    <cellStyle name="Millares 3 3 2 2 3 2" xfId="47142" xr:uid="{980BFC2C-E0BB-45A1-9E85-B95B08C625AB}"/>
    <cellStyle name="Millares 3 3 2 2 4" xfId="34258" xr:uid="{062EDD64-6A03-4ED7-9B67-2E7DF289963F}"/>
    <cellStyle name="Millares 3 3 2 2 5" xfId="40122" xr:uid="{DF40A498-BC15-4957-B341-AAF6351ED3D1}"/>
    <cellStyle name="Millares 3 3 2 2 6" xfId="46921" xr:uid="{926E906E-D858-4B84-9A5C-EE994A4CC859}"/>
    <cellStyle name="Millares 3 3 2 2 7" xfId="50375" xr:uid="{79E48F60-C192-4934-9082-17E27BAF9F5D}"/>
    <cellStyle name="Millares 3 3 2 3" xfId="5276" xr:uid="{A1AEAC2A-7141-4F28-9E6A-B31038B14452}"/>
    <cellStyle name="Millares 3 3 2 3 2" xfId="46922" xr:uid="{66A7343C-8A34-4F9B-86C1-C211D46392DB}"/>
    <cellStyle name="Millares 3 3 2 4" xfId="25527" xr:uid="{C543B900-D57F-4748-8EEC-9CE7501065DA}"/>
    <cellStyle name="Millares 3 3 2 4 2" xfId="47253" xr:uid="{F56C2A9D-E27F-45BF-98D8-94B802642EA0}"/>
    <cellStyle name="Millares 3 3 2 5" xfId="31401" xr:uid="{2EF9CCB4-66C5-4997-A11D-1A40971C29B3}"/>
    <cellStyle name="Millares 3 3 2 5 2" xfId="47115" xr:uid="{6640AD67-4EA2-47B7-9793-A04D26D660DB}"/>
    <cellStyle name="Millares 3 3 2 6" xfId="37272" xr:uid="{11EE714D-FF5D-4F2B-9BBA-57988E079190}"/>
    <cellStyle name="Millares 3 3 2 7" xfId="42114" xr:uid="{593E6FAA-E074-4519-978F-FD1ACF483934}"/>
    <cellStyle name="Millares 3 3 2 8" xfId="42278" xr:uid="{9B8F3BD2-8926-4437-A2CF-9A87449B632C}"/>
    <cellStyle name="Millares 3 3 2 9" xfId="50229" xr:uid="{5A9BD373-D306-4188-90E7-434771D3ABEB}"/>
    <cellStyle name="Millares 3 3 3" xfId="3375" xr:uid="{69E1B0CB-16D5-480D-9158-6268CFB4C6D3}"/>
    <cellStyle name="Millares 3 3 3 2" xfId="7171" xr:uid="{07976B45-9DDD-4008-B23D-6C7359642D35}"/>
    <cellStyle name="Millares 3 3 3 2 2" xfId="46783" xr:uid="{57C9A35E-ADEA-432A-AB23-20B3EEEC2F80}"/>
    <cellStyle name="Millares 3 3 3 3" xfId="11623" xr:uid="{8BC28210-123F-4879-AA00-AF337AB21CF1}"/>
    <cellStyle name="Millares 3 3 3 3 2" xfId="27405" xr:uid="{3AAEDFC8-15B4-4C23-987F-291C8B639B3F}"/>
    <cellStyle name="Millares 3 3 3 4" xfId="14463" xr:uid="{7D4EE598-2C00-4E92-B6FD-E64322B023EF}"/>
    <cellStyle name="Millares 3 3 3 4 2" xfId="33287" xr:uid="{5EA5F2E7-DFD7-4B3A-95A3-88473D384A41}"/>
    <cellStyle name="Millares 3 3 3 5" xfId="39151" xr:uid="{A47CAAD7-219A-4E0F-A8FF-C0E73A63764B}"/>
    <cellStyle name="Millares 3 3 3 6" xfId="44387" xr:uid="{29313955-D5E0-4D7B-AAD6-D6CE635960D8}"/>
    <cellStyle name="Millares 3 3 3 7" xfId="49280" xr:uid="{53D2444B-B2F3-47B9-903D-45A83F5A81F8}"/>
    <cellStyle name="Millares 3 3 3 8" xfId="50337" xr:uid="{04D279A2-0AA1-43B7-B8F2-2F2F217C18E7}"/>
    <cellStyle name="Millares 3 3 4" xfId="4310" xr:uid="{49C6578A-C6C6-4901-95D2-C0200E918325}"/>
    <cellStyle name="Millares 3 3 4 2" xfId="46923" xr:uid="{4E4450DD-17FE-47F7-AC1D-80F42665CD85}"/>
    <cellStyle name="Millares 3 3 5" xfId="9659" xr:uid="{D2E1A1FA-95C8-467B-90A0-11ACD3ECD82D}"/>
    <cellStyle name="Millares 3 3 5 2" xfId="12499" xr:uid="{11C43302-8C4B-4577-8E12-0A7DB5BC4052}"/>
    <cellStyle name="Millares 3 3 5 3" xfId="15340" xr:uid="{D0FEFEBE-F2BC-46E5-9766-BF4E2AB26F57}"/>
    <cellStyle name="Millares 3 3 5 4" xfId="24556" xr:uid="{D59689AE-B5C0-480C-8CA3-C0EB93793920}"/>
    <cellStyle name="Millares 3 3 5 5" xfId="50156" xr:uid="{2C04220D-EE7E-45E9-8178-AEA700E7CCF1}"/>
    <cellStyle name="Millares 3 3 6" xfId="30435" xr:uid="{9788F373-7E63-4A62-A225-63BB6B2031FD}"/>
    <cellStyle name="Millares 3 3 6 2" xfId="47100" xr:uid="{D021BF32-840E-44EE-9EAF-0EAD8C9A146B}"/>
    <cellStyle name="Millares 3 3 7" xfId="36315" xr:uid="{3079CA80-3E6E-47D7-B6BB-4757B8B956AD}"/>
    <cellStyle name="Millares 3 3 8" xfId="42115" xr:uid="{9C4D39EA-7318-4664-9508-5CAEFEACC586}"/>
    <cellStyle name="Millares 3 3 9" xfId="42279" xr:uid="{3F75E396-1415-446D-9729-47569B84D9A8}"/>
    <cellStyle name="Millares 3 4" xfId="1889" xr:uid="{00000000-0005-0000-0000-00002E020000}"/>
    <cellStyle name="Millares 3 4 2" xfId="7657" xr:uid="{1049C4F5-C932-425D-87EE-19C8963F0791}"/>
    <cellStyle name="Millares 3 4 2 2" xfId="22049" xr:uid="{FBC77156-E1B7-4CFC-8B08-34C3FB2ACE89}"/>
    <cellStyle name="Millares 3 4 2 3" xfId="27891" xr:uid="{D11ED1D1-AC32-41BA-A00A-C05FA037293F}"/>
    <cellStyle name="Millares 3 4 2 4" xfId="33773" xr:uid="{AD416A18-32E9-4AF3-BFF0-DA9F405C0791}"/>
    <cellStyle name="Millares 3 4 2 5" xfId="39637" xr:uid="{023C2D8E-1660-4DE0-9A60-17C805D3A8BE}"/>
    <cellStyle name="Millares 3 4 2 6" xfId="46924" xr:uid="{25BCF0A8-1367-4127-B0D5-489B00FFA8E1}"/>
    <cellStyle name="Millares 3 4 2 7" xfId="47082" xr:uid="{FA0877AA-5136-40CF-874A-8DA787BFB1E6}"/>
    <cellStyle name="Millares 3 4 3" xfId="4794" xr:uid="{6DDB7103-4CF3-4A0A-BE40-DE27DE684AE6}"/>
    <cellStyle name="Millares 3 4 4" xfId="25042" xr:uid="{C40B21EA-31CF-4BCE-A0BA-52F308917790}"/>
    <cellStyle name="Millares 3 4 5" xfId="30916" xr:uid="{FEECBFEB-36D5-4E1D-8BF8-1317848945C0}"/>
    <cellStyle name="Millares 3 4 6" xfId="36795" xr:uid="{5AC6A00B-4CCC-4A15-BC6F-5374E46D02BE}"/>
    <cellStyle name="Millares 3 4 7" xfId="42280" xr:uid="{F8ACA518-3F46-4920-8679-EF39265FFEA8}"/>
    <cellStyle name="Millares 3 5" xfId="3344" xr:uid="{D701DADF-F831-4E67-AD4A-AFE484B52811}"/>
    <cellStyle name="Millares 3 5 2" xfId="8669" xr:uid="{A1674A61-3CF6-41F2-A681-DE6B5B54840E}"/>
    <cellStyle name="Millares 3 5 2 2" xfId="23038" xr:uid="{C19C0593-B010-46E7-AABC-3FE23A7B2708}"/>
    <cellStyle name="Millares 3 5 2 3" xfId="28902" xr:uid="{DC35CE45-CAFE-4403-BDAD-E780AAB688DC}"/>
    <cellStyle name="Millares 3 5 2 4" xfId="34784" xr:uid="{582C8B13-26D2-4280-BA16-DACB7A6D5C05}"/>
    <cellStyle name="Millares 3 5 2 5" xfId="40648" xr:uid="{0A82113B-16B9-4B69-A9BE-C03E0BC4BF37}"/>
    <cellStyle name="Millares 3 5 3" xfId="5800" xr:uid="{26B6FAAC-DF01-44D9-B80A-4C57B5B15F17}"/>
    <cellStyle name="Millares 3 5 4" xfId="26052" xr:uid="{C559ABE2-BEB5-4E53-9251-C79DE5AFFC41}"/>
    <cellStyle name="Millares 3 5 5" xfId="31927" xr:uid="{D9E1E7D9-F62F-4300-B200-410787CC835C}"/>
    <cellStyle name="Millares 3 5 6" xfId="37793" xr:uid="{6642C8D9-0B15-41BA-8532-756F5B619703}"/>
    <cellStyle name="Millares 3 5 7" xfId="42281" xr:uid="{9784EB42-C02C-4789-9CA4-BBF341E0A7CC}"/>
    <cellStyle name="Millares 3 6" xfId="6441" xr:uid="{9546D0AA-F261-439E-A63C-6B499AC5A268}"/>
    <cellStyle name="Millares 3 6 2" xfId="9302" xr:uid="{BB7A8860-6A4A-4011-9DA5-8A4D0DCAE67F}"/>
    <cellStyle name="Millares 3 6 2 2" xfId="23665" xr:uid="{BA624E3B-CD64-4FB7-AAA2-FFE8F5CCB311}"/>
    <cellStyle name="Millares 3 6 2 3" xfId="29533" xr:uid="{15FF746B-3057-49A8-B11B-BAB8A06A7AC1}"/>
    <cellStyle name="Millares 3 6 2 4" xfId="35415" xr:uid="{5A93F8AF-2E6B-4C5D-A244-79FE5C516CFB}"/>
    <cellStyle name="Millares 3 6 2 5" xfId="41274" xr:uid="{DB79F4A0-8696-4C5C-B7BA-F25267FFD006}"/>
    <cellStyle name="Millares 3 6 3" xfId="20881" xr:uid="{C81071F1-5BB7-4A3C-9210-86CBF829AE9C}"/>
    <cellStyle name="Millares 3 6 4" xfId="26691" xr:uid="{068F0CCF-CACC-425F-8C62-3609A5858587}"/>
    <cellStyle name="Millares 3 6 5" xfId="32566" xr:uid="{BD5FECDA-9CE1-4510-8646-A62505D321E0}"/>
    <cellStyle name="Millares 3 6 6" xfId="38430" xr:uid="{5603B1BC-1C72-4BBD-AE7C-05CD9190E120}"/>
    <cellStyle name="Millares 3 6 7" xfId="42282" xr:uid="{DC61B53F-A9B2-4172-8DE2-268C00EEE18D}"/>
    <cellStyle name="Millares 3 6 8" xfId="46925" xr:uid="{9A7F6DBC-F8C9-4A5A-B3F1-87FA28CC7A8F}"/>
    <cellStyle name="Millares 3 6 9" xfId="47067" xr:uid="{702EFAAE-2FD2-438B-B63A-BA900B6B12CD}"/>
    <cellStyle name="Millares 3 7" xfId="6686" xr:uid="{70F3F1ED-5861-4210-A608-D09A7B65A1E8}"/>
    <cellStyle name="Millares 3 7 2" xfId="21114" xr:uid="{FEC6A003-FE94-4A75-AAD8-30C5E2283FB6}"/>
    <cellStyle name="Millares 3 7 2 2" xfId="42283" xr:uid="{6B7EDBED-3CDE-4244-93D8-D288C281B9AC}"/>
    <cellStyle name="Millares 3 7 3" xfId="26926" xr:uid="{CD96D080-323F-49A4-8B48-5CA98FFD6A45}"/>
    <cellStyle name="Millares 3 7 4" xfId="32802" xr:uid="{E18F70BC-8394-43AF-AC1B-6F68B9DD9C9C}"/>
    <cellStyle name="Millares 3 7 5" xfId="38666" xr:uid="{D4772F96-3817-40B3-B911-8737CF894A65}"/>
    <cellStyle name="Millares 3 7 6" xfId="42284" xr:uid="{260090A1-6B99-4BF3-AE2C-F21A43352EB4}"/>
    <cellStyle name="Millares 3 7 7" xfId="46926" xr:uid="{EA3A34F6-4177-45B3-B83F-69814458F6ED}"/>
    <cellStyle name="Millares 3 7 8" xfId="47021" xr:uid="{C34B38C1-D256-4848-8857-479D679EDABE}"/>
    <cellStyle name="Millares 3 8" xfId="18346" xr:uid="{F1295729-A95D-4AB5-9395-A3B39D269F5F}"/>
    <cellStyle name="Millares 3 8 2" xfId="42285" xr:uid="{CD3A456E-E608-4266-BFDE-2FA7A3AB705D}"/>
    <cellStyle name="Millares 3 9" xfId="24055" xr:uid="{F888E2F8-5CF2-4327-A7A4-1DF4201EE661}"/>
    <cellStyle name="Millares 3 9 2" xfId="42286" xr:uid="{5579CDF5-DF28-43FF-BA35-DEC14206FC2A}"/>
    <cellStyle name="Millares 30" xfId="667" xr:uid="{00000000-0005-0000-0000-00002F020000}"/>
    <cellStyle name="Millares 30 2" xfId="4709" xr:uid="{76D0764F-6DFD-4B99-AA91-E9C4C232A866}"/>
    <cellStyle name="Millares 30 2 2" xfId="5677" xr:uid="{8E308F51-F767-4CA6-9F46-E4BA35733CEE}"/>
    <cellStyle name="Millares 30 2 2 2" xfId="8545" xr:uid="{9EF61A82-43B6-4EE4-B886-98372EE5A61A}"/>
    <cellStyle name="Millares 30 2 2 2 2" xfId="22917" xr:uid="{0359073E-2054-4B7F-AC48-996521830FCC}"/>
    <cellStyle name="Millares 30 2 2 2 3" xfId="28778" xr:uid="{B7B0CCD5-1FBB-445C-954D-E5FD7446E78D}"/>
    <cellStyle name="Millares 30 2 2 2 4" xfId="34660" xr:uid="{14D1AA20-EA27-441E-A368-3C2182F67357}"/>
    <cellStyle name="Millares 30 2 2 2 5" xfId="40524" xr:uid="{D9571554-2259-46DF-A0E8-A63FF3DD3009}"/>
    <cellStyle name="Millares 30 2 2 3" xfId="20134" xr:uid="{9A81A247-4CC4-4BBB-8B7E-0C45F89D471E}"/>
    <cellStyle name="Millares 30 2 2 4" xfId="25928" xr:uid="{CF8B3E54-9C48-4859-95D4-9876882FADA5}"/>
    <cellStyle name="Millares 30 2 2 5" xfId="31803" xr:uid="{263469EF-8956-4302-86DF-4A2B19444BCD}"/>
    <cellStyle name="Millares 30 2 2 6" xfId="37670" xr:uid="{43CF8F45-D14B-4216-95F9-BBF4B3E7F2A4}"/>
    <cellStyle name="Millares 30 2 2 7" xfId="47322" xr:uid="{3B1918E0-9214-4C4D-BB4A-1964E921D53C}"/>
    <cellStyle name="Millares 30 2 3" xfId="7573" xr:uid="{0178C0A5-DBC3-4179-97AB-CC49D3E46597}"/>
    <cellStyle name="Millares 30 2 3 2" xfId="21967" xr:uid="{C5C2FB96-344E-4B87-A3C7-7ECBF9F3D5C0}"/>
    <cellStyle name="Millares 30 2 3 3" xfId="27807" xr:uid="{3847FC83-FDBD-413D-882A-BE9C7D0F0E48}"/>
    <cellStyle name="Millares 30 2 3 4" xfId="33689" xr:uid="{B3512257-5004-4790-92DB-3F04A7EB582D}"/>
    <cellStyle name="Millares 30 2 3 5" xfId="39553" xr:uid="{64AD1CA7-612B-4366-8679-DE3AA993C203}"/>
    <cellStyle name="Millares 30 2 3 6" xfId="47234" xr:uid="{7C4D5024-1FF5-44AE-8892-4F749D831094}"/>
    <cellStyle name="Millares 30 2 4" xfId="19199" xr:uid="{44A2081A-B110-437C-AE7C-4B9C0D9ED7F7}"/>
    <cellStyle name="Millares 30 2 5" xfId="24958" xr:uid="{3807608C-DD86-4052-9DCC-030DB44AA012}"/>
    <cellStyle name="Millares 30 2 6" xfId="30832" xr:uid="{88EB7BA1-57BE-4890-8890-6D76EAF8A875}"/>
    <cellStyle name="Millares 30 2 7" xfId="36713" xr:uid="{DF5A4AB8-3FA6-4EB2-8021-EA6A12C2DF7F}"/>
    <cellStyle name="Millares 30 2 8" xfId="42287" xr:uid="{D7D82C4B-0D02-4BA6-9AAF-ABEEB9DEAD56}"/>
    <cellStyle name="Millares 30 2 9" xfId="46927" xr:uid="{DB3F40BC-6E93-4D76-AFAF-6883E28E1C92}"/>
    <cellStyle name="Millares 30 3" xfId="5193" xr:uid="{72FAB977-4605-4EE5-ACE1-A9B0300F0042}"/>
    <cellStyle name="Millares 30 3 2" xfId="8060" xr:uid="{32F7D8C7-8BE2-482D-93B6-9AD0DAD28214}"/>
    <cellStyle name="Millares 30 3 2 2" xfId="22438" xr:uid="{AD515073-3835-4B09-A4E7-5A166CEB3FB3}"/>
    <cellStyle name="Millares 30 3 2 3" xfId="28293" xr:uid="{0AB83A6E-ACC5-4318-B290-86E591679099}"/>
    <cellStyle name="Millares 30 3 2 4" xfId="34175" xr:uid="{11BC43DF-8069-4026-BDAA-2D021B7320D2}"/>
    <cellStyle name="Millares 30 3 2 5" xfId="40039" xr:uid="{555234B3-8A86-4343-B7CB-EF9A16A5CB32}"/>
    <cellStyle name="Millares 30 3 3" xfId="19664" xr:uid="{45894001-E071-4A65-84F3-16B0C865D80C}"/>
    <cellStyle name="Millares 30 3 4" xfId="25444" xr:uid="{DBDC3A86-89B7-41CE-8458-6DD43C78A750}"/>
    <cellStyle name="Millares 30 3 5" xfId="31318" xr:uid="{9738BAC6-2B0D-4DAC-BFD8-E4482733493E}"/>
    <cellStyle name="Millares 30 3 6" xfId="37191" xr:uid="{CB6A37F2-51DD-4D0E-BA2C-2DB73479A8EC}"/>
    <cellStyle name="Millares 30 4" xfId="7088" xr:uid="{AD36F0F8-588F-43F7-AAE0-BD1156F73657}"/>
    <cellStyle name="Millares 30 4 2" xfId="21500" xr:uid="{234566AB-10B3-4BC0-80E3-8E3A4121114B}"/>
    <cellStyle name="Millares 30 4 3" xfId="27323" xr:uid="{79269FAF-9696-438C-AE3B-0B92DB3E6A44}"/>
    <cellStyle name="Millares 30 4 4" xfId="33204" xr:uid="{42EE3F25-34F2-4C84-AC91-AFBE8B987019}"/>
    <cellStyle name="Millares 30 4 5" xfId="39068" xr:uid="{FD096C9B-6E44-4680-B4AB-DF164FDF12D6}"/>
    <cellStyle name="Millares 30 5" xfId="4230" xr:uid="{C3ED8609-06C7-4ED0-96B1-58630729302F}"/>
    <cellStyle name="Millares 30 6" xfId="24473" xr:uid="{5F9D5763-B4FE-49B1-B161-8677B2ED47D5}"/>
    <cellStyle name="Millares 30 7" xfId="30351" xr:uid="{0304465D-D2D7-4E53-80F3-400E0FE07E21}"/>
    <cellStyle name="Millares 30 8" xfId="36232" xr:uid="{81D784E9-6757-4486-AF93-BA0CC55C6841}"/>
    <cellStyle name="Millares 30 9" xfId="42288" xr:uid="{3BDC7680-609B-4C9B-9833-A3166520AE02}"/>
    <cellStyle name="Millares 31" xfId="1794" xr:uid="{00000000-0005-0000-0000-000030020000}"/>
    <cellStyle name="Millares 31 2" xfId="4713" xr:uid="{717C9138-DA96-485F-97BE-422CDF946B56}"/>
    <cellStyle name="Millares 31 2 2" xfId="5681" xr:uid="{EEF375F3-B1D1-47C4-AB83-0D9F615F01DE}"/>
    <cellStyle name="Millares 31 2 2 2" xfId="8549" xr:uid="{14E893E3-516B-45E9-9C65-897273DEAB2C}"/>
    <cellStyle name="Millares 31 2 2 2 2" xfId="22921" xr:uid="{4917C01A-3C01-4D29-BA41-0C3A30B5D8E9}"/>
    <cellStyle name="Millares 31 2 2 2 3" xfId="28782" xr:uid="{47EB04BD-0BC7-47BA-B5FF-8974F9F12054}"/>
    <cellStyle name="Millares 31 2 2 2 4" xfId="34664" xr:uid="{63FCA551-E931-415A-915C-C809A5C45850}"/>
    <cellStyle name="Millares 31 2 2 2 5" xfId="40528" xr:uid="{966F629E-98AA-47C4-BB8F-D803EF55317E}"/>
    <cellStyle name="Millares 31 2 2 3" xfId="20138" xr:uid="{9D190D2E-0252-449D-9037-99F9136918B6}"/>
    <cellStyle name="Millares 31 2 2 4" xfId="25932" xr:uid="{04C896F7-B8BE-4834-81CC-1A35D13C8B96}"/>
    <cellStyle name="Millares 31 2 2 5" xfId="31807" xr:uid="{5517ED9A-D2FF-4FD1-AED0-4EE7A8805E2E}"/>
    <cellStyle name="Millares 31 2 2 6" xfId="37674" xr:uid="{20E66BB3-4582-41ED-98E1-C87A699BFF02}"/>
    <cellStyle name="Millares 31 2 2 7" xfId="47323" xr:uid="{54894F51-1416-4896-90D5-6D50E69E9C10}"/>
    <cellStyle name="Millares 31 2 3" xfId="7577" xr:uid="{C26C53BA-5208-4CC8-834D-D92E347D22E7}"/>
    <cellStyle name="Millares 31 2 3 2" xfId="21971" xr:uid="{D74990E7-B3E2-4EDE-BA42-BE94D1223695}"/>
    <cellStyle name="Millares 31 2 3 3" xfId="27811" xr:uid="{5BF2D64A-3CA7-4A42-9075-5AA03A2A6A31}"/>
    <cellStyle name="Millares 31 2 3 4" xfId="33693" xr:uid="{37CAD08A-13CA-4267-A1DE-5B22CC1B4958}"/>
    <cellStyle name="Millares 31 2 3 5" xfId="39557" xr:uid="{8FB4DEE7-CE53-49B4-A9AA-566451523401}"/>
    <cellStyle name="Millares 31 2 3 6" xfId="47235" xr:uid="{7F2EFCE5-7A64-45C0-B564-721174DFC3C1}"/>
    <cellStyle name="Millares 31 2 4" xfId="19203" xr:uid="{3FF1F1BD-2072-41D6-9B8E-616DF998373A}"/>
    <cellStyle name="Millares 31 2 5" xfId="24962" xr:uid="{E802520C-F571-4728-B60D-5516586BA24C}"/>
    <cellStyle name="Millares 31 2 6" xfId="30836" xr:uid="{50F77334-2755-43B4-AD76-E5209D2E9DCD}"/>
    <cellStyle name="Millares 31 2 7" xfId="36717" xr:uid="{31A7474F-FDB4-44DE-8892-0181F4ACB984}"/>
    <cellStyle name="Millares 31 2 8" xfId="46928" xr:uid="{315B6F56-C1B7-4B36-81CB-82CA9AA219B3}"/>
    <cellStyle name="Millares 31 3" xfId="5197" xr:uid="{CFF3FC30-A271-40E5-AE21-3AFE57A373E2}"/>
    <cellStyle name="Millares 31 3 2" xfId="8064" xr:uid="{1A987CF7-5717-4321-9E18-C5090B743BAD}"/>
    <cellStyle name="Millares 31 3 2 2" xfId="22442" xr:uid="{8194EA29-1B1E-491F-85F7-6EE62453986E}"/>
    <cellStyle name="Millares 31 3 2 3" xfId="28297" xr:uid="{8AA46F64-634D-41E8-B1E4-96410010AA85}"/>
    <cellStyle name="Millares 31 3 2 4" xfId="34179" xr:uid="{7A3FAC13-1498-4074-B49D-184EC316D172}"/>
    <cellStyle name="Millares 31 3 2 5" xfId="40043" xr:uid="{14B197F9-6213-4ED9-A51A-E62498A37635}"/>
    <cellStyle name="Millares 31 3 3" xfId="19668" xr:uid="{719F3090-F782-48BD-A430-266EA9B12ED2}"/>
    <cellStyle name="Millares 31 3 4" xfId="25448" xr:uid="{6AB59D13-405C-4D4C-847A-3331CB28B01F}"/>
    <cellStyle name="Millares 31 3 5" xfId="31322" xr:uid="{869194CF-ABF7-4217-BE7F-0F32D82B6097}"/>
    <cellStyle name="Millares 31 3 6" xfId="37195" xr:uid="{E3432AA5-7337-4EA5-ADCE-871F676CC0D2}"/>
    <cellStyle name="Millares 31 4" xfId="7092" xr:uid="{5364EB7E-662A-4513-8C73-99FEB76573D2}"/>
    <cellStyle name="Millares 31 4 2" xfId="21504" xr:uid="{8C0A2748-48D0-482F-9D28-1210517651A8}"/>
    <cellStyle name="Millares 31 4 3" xfId="27327" xr:uid="{3A037DB1-8385-4AC5-94FF-BEF9AD0DA9A0}"/>
    <cellStyle name="Millares 31 4 4" xfId="33208" xr:uid="{464E688C-8940-4A35-BC68-9329AC97FF8D}"/>
    <cellStyle name="Millares 31 4 5" xfId="39072" xr:uid="{2516CF47-6F78-4AA3-A262-67ADE3A4C751}"/>
    <cellStyle name="Millares 31 5" xfId="4234" xr:uid="{9FAFE4AB-274D-41DF-81A1-E64BF0E0F9E3}"/>
    <cellStyle name="Millares 31 6" xfId="24477" xr:uid="{0ED91F81-B918-4526-8F78-177561F0BC56}"/>
    <cellStyle name="Millares 31 7" xfId="30355" xr:uid="{9EE783AF-5A6B-4CAB-8C21-A2206BC26A87}"/>
    <cellStyle name="Millares 31 8" xfId="36236" xr:uid="{B2B4CBF7-FA7D-42BC-A177-BA829D1FC117}"/>
    <cellStyle name="Millares 31 9" xfId="42289" xr:uid="{599FAB4B-719B-431E-B369-21552B101BD6}"/>
    <cellStyle name="Millares 32" xfId="666" xr:uid="{00000000-0005-0000-0000-000031020000}"/>
    <cellStyle name="Millares 32 2" xfId="4759" xr:uid="{D2C0C984-7D87-473B-B855-444E3226454B}"/>
    <cellStyle name="Millares 32 2 2" xfId="5727" xr:uid="{9AB2CD97-175A-4A15-B47B-E8C78D9ED10E}"/>
    <cellStyle name="Millares 32 2 2 2" xfId="8595" xr:uid="{9C3B0A45-25E3-49E3-A9C0-D7DD67E6B8F5}"/>
    <cellStyle name="Millares 32 2 2 2 2" xfId="22967" xr:uid="{AD92DC8E-C57A-40C4-A9FC-BACD32F5368A}"/>
    <cellStyle name="Millares 32 2 2 2 3" xfId="28828" xr:uid="{424F9B90-83C5-4565-B0EF-B2D3B8C9AAD2}"/>
    <cellStyle name="Millares 32 2 2 2 4" xfId="34710" xr:uid="{F482977D-F137-41B5-AF28-A6E5441BA8ED}"/>
    <cellStyle name="Millares 32 2 2 2 5" xfId="40574" xr:uid="{DA87CAF0-C62D-4FA9-8300-8165408A9017}"/>
    <cellStyle name="Millares 32 2 2 3" xfId="20184" xr:uid="{D4A8E28B-A487-4B0E-B35B-E420B3E21FCD}"/>
    <cellStyle name="Millares 32 2 2 4" xfId="25978" xr:uid="{A04BE76C-716C-4A46-8C25-716D62742FBE}"/>
    <cellStyle name="Millares 32 2 2 5" xfId="31853" xr:uid="{C118ADB6-6A80-4071-B13A-A690339A7CCA}"/>
    <cellStyle name="Millares 32 2 2 6" xfId="37720" xr:uid="{5846953D-35F4-4F56-B9B2-C95634F452BF}"/>
    <cellStyle name="Millares 32 2 3" xfId="7623" xr:uid="{9C113B07-FFF2-45BE-8EF6-8860F664793C}"/>
    <cellStyle name="Millares 32 2 3 2" xfId="22017" xr:uid="{C8243E2F-B4EA-4C9F-A014-ED6807F00E4F}"/>
    <cellStyle name="Millares 32 2 3 3" xfId="27857" xr:uid="{E29A8C63-F678-4718-9D0C-079DF26A5986}"/>
    <cellStyle name="Millares 32 2 3 4" xfId="33739" xr:uid="{53BFE230-FD69-4657-AEE8-29749265B069}"/>
    <cellStyle name="Millares 32 2 3 5" xfId="39603" xr:uid="{6F859E94-A628-4F90-A81A-6A7A249D7782}"/>
    <cellStyle name="Millares 32 2 4" xfId="19247" xr:uid="{DE07F3B3-6A12-4485-BC1C-BD46F5325D46}"/>
    <cellStyle name="Millares 32 2 5" xfId="25008" xr:uid="{64120217-8E9B-47AD-981D-1F847CCD8822}"/>
    <cellStyle name="Millares 32 2 6" xfId="30882" xr:uid="{A6538BC1-5C75-4C23-818E-5E1D6F13A34A}"/>
    <cellStyle name="Millares 32 2 7" xfId="36763" xr:uid="{5E09FC3E-42DD-4E37-9363-C414C9B325B3}"/>
    <cellStyle name="Millares 32 3" xfId="5243" xr:uid="{FE5593F7-4226-457B-8654-0AE3E0A649C3}"/>
    <cellStyle name="Millares 32 3 2" xfId="8110" xr:uid="{C29858DA-6F0D-45E6-B37A-EA9F0941321B}"/>
    <cellStyle name="Millares 32 3 2 2" xfId="22488" xr:uid="{D04F6A7B-C699-4899-8722-9459F371695E}"/>
    <cellStyle name="Millares 32 3 2 3" xfId="28343" xr:uid="{9C1A9370-47F0-4A85-813F-FED4CA8E845F}"/>
    <cellStyle name="Millares 32 3 2 4" xfId="34225" xr:uid="{E2BD809D-E950-43D0-AF76-B1EC6B613AEA}"/>
    <cellStyle name="Millares 32 3 2 5" xfId="40089" xr:uid="{314CEABC-5FC6-48D3-98C0-386B9C6D13EF}"/>
    <cellStyle name="Millares 32 3 3" xfId="19713" xr:uid="{0BF7B22E-5B02-4AB9-8E7C-A3B566896649}"/>
    <cellStyle name="Millares 32 3 4" xfId="25494" xr:uid="{EB0B6694-9A98-4C72-AB86-3E8CBA787909}"/>
    <cellStyle name="Millares 32 3 5" xfId="31368" xr:uid="{B8496412-64E3-4661-AE1D-01C27214A8BF}"/>
    <cellStyle name="Millares 32 3 6" xfId="37241" xr:uid="{07897DD5-7DD6-442F-BEB6-E211823EC2CA}"/>
    <cellStyle name="Millares 32 4" xfId="7138" xr:uid="{70384DEB-3F4C-4658-86BB-F7D2501E2DA7}"/>
    <cellStyle name="Millares 32 4 2" xfId="21549" xr:uid="{25B65BDB-5BB7-4A92-94B5-583EF71A21DA}"/>
    <cellStyle name="Millares 32 4 3" xfId="27373" xr:uid="{153099E3-4ABB-4B60-8303-0F0CCB016008}"/>
    <cellStyle name="Millares 32 4 4" xfId="33254" xr:uid="{9848ECDB-3FF0-4386-B120-77109752D825}"/>
    <cellStyle name="Millares 32 4 5" xfId="39118" xr:uid="{1B35649B-0263-45E8-8DCB-979E1C6FFDBD}"/>
    <cellStyle name="Millares 32 5" xfId="4277" xr:uid="{675CF0B9-79FD-45AA-98D4-AC3C2C828810}"/>
    <cellStyle name="Millares 32 6" xfId="24523" xr:uid="{0137BD4B-5868-4CA7-9BA1-BADDF1D20171}"/>
    <cellStyle name="Millares 32 7" xfId="30402" xr:uid="{541A2DDC-F9CA-4B59-B344-B128F718AAD6}"/>
    <cellStyle name="Millares 32 8" xfId="36283" xr:uid="{039D7BE1-1CDC-4A16-8245-00FBE3A2BFCF}"/>
    <cellStyle name="Millares 32 9" xfId="42290" xr:uid="{458C0C68-982C-4421-B163-DDE595DE9700}"/>
    <cellStyle name="Millares 33" xfId="1793" xr:uid="{00000000-0005-0000-0000-000032020000}"/>
    <cellStyle name="Millares 33 2" xfId="4744" xr:uid="{D223D3BB-BC94-49E6-9E88-258501ED5EF6}"/>
    <cellStyle name="Millares 33 2 2" xfId="5712" xr:uid="{BFF9F82A-AE39-45A0-B652-9DAABAC4192F}"/>
    <cellStyle name="Millares 33 2 2 2" xfId="8580" xr:uid="{F38604A5-008F-445E-B0F2-0554F29BB75B}"/>
    <cellStyle name="Millares 33 2 2 2 2" xfId="22952" xr:uid="{C0CE97BF-EF47-48FB-B3C2-00BCB6986999}"/>
    <cellStyle name="Millares 33 2 2 2 3" xfId="28813" xr:uid="{97C12260-E7EB-4998-9758-CDDF1FDB3624}"/>
    <cellStyle name="Millares 33 2 2 2 4" xfId="34695" xr:uid="{143D8841-C822-4D20-B3AA-36D13989E203}"/>
    <cellStyle name="Millares 33 2 2 2 5" xfId="40559" xr:uid="{6221CB84-2C47-46B7-8655-F5D3BAB49150}"/>
    <cellStyle name="Millares 33 2 2 3" xfId="20169" xr:uid="{0978989A-EAB8-403A-8044-8BFF4C6F9631}"/>
    <cellStyle name="Millares 33 2 2 4" xfId="25963" xr:uid="{26726352-5200-441E-B684-C13EC72F0387}"/>
    <cellStyle name="Millares 33 2 2 5" xfId="31838" xr:uid="{21806809-36F5-4B45-8A76-2BAE1807B0AB}"/>
    <cellStyle name="Millares 33 2 2 6" xfId="37705" xr:uid="{2A40AEA5-7B15-440A-B78C-9306360F491A}"/>
    <cellStyle name="Millares 33 2 3" xfId="7608" xr:uid="{6B608BD3-9A83-413A-BE08-B3B051C7317F}"/>
    <cellStyle name="Millares 33 2 3 2" xfId="22002" xr:uid="{1E4FEC27-4BA8-46A7-9B63-2267DB9F4CE7}"/>
    <cellStyle name="Millares 33 2 3 3" xfId="27842" xr:uid="{C410F124-A02C-403E-B7B3-C82D4A16F08E}"/>
    <cellStyle name="Millares 33 2 3 4" xfId="33724" xr:uid="{D4B2D1E5-2F11-422F-B583-AA59948CBE31}"/>
    <cellStyle name="Millares 33 2 3 5" xfId="39588" xr:uid="{26B2DFE6-F1B6-42E3-81AC-D4B72BF23883}"/>
    <cellStyle name="Millares 33 2 4" xfId="19232" xr:uid="{C9E7BF56-2EDC-4A7C-B973-B88F59F9272B}"/>
    <cellStyle name="Millares 33 2 5" xfId="24993" xr:uid="{E6842B77-FF98-438B-B28A-368AAA3E678D}"/>
    <cellStyle name="Millares 33 2 6" xfId="30867" xr:uid="{6F82287E-3FBB-4581-B42C-20822E341A8F}"/>
    <cellStyle name="Millares 33 2 7" xfId="36748" xr:uid="{BAC1BD4B-A515-44C3-9AA6-BBA288EE834D}"/>
    <cellStyle name="Millares 33 3" xfId="5228" xr:uid="{8EA0E016-B8F1-44C5-AF98-A75207A599C6}"/>
    <cellStyle name="Millares 33 3 2" xfId="8095" xr:uid="{480B4730-3659-4E49-8409-D35D6CAEC423}"/>
    <cellStyle name="Millares 33 3 2 2" xfId="22473" xr:uid="{679DB370-404A-4B44-9292-EADB357B58E9}"/>
    <cellStyle name="Millares 33 3 2 3" xfId="28328" xr:uid="{8E08FE9D-6BC2-41A7-9E2C-FC6D4B6ACC30}"/>
    <cellStyle name="Millares 33 3 2 4" xfId="34210" xr:uid="{98F746FB-8637-46BF-8EA5-631579B272A0}"/>
    <cellStyle name="Millares 33 3 2 5" xfId="40074" xr:uid="{494D7C64-748B-4D5F-87A4-0E3DA9703D7E}"/>
    <cellStyle name="Millares 33 3 3" xfId="19698" xr:uid="{017EB4BB-9EC4-46C2-BE74-450DA5811427}"/>
    <cellStyle name="Millares 33 3 4" xfId="25479" xr:uid="{72411950-BA55-4FF4-BC29-C6DDBFAA1A7C}"/>
    <cellStyle name="Millares 33 3 5" xfId="31353" xr:uid="{9028CE93-ACAD-4F2D-9941-BCF11B3290BB}"/>
    <cellStyle name="Millares 33 3 6" xfId="37226" xr:uid="{42F7316F-A63C-47B7-8509-3DB2E54D8761}"/>
    <cellStyle name="Millares 33 4" xfId="7123" xr:uid="{38812D69-A8FD-4452-9565-33C445E13C2B}"/>
    <cellStyle name="Millares 33 4 2" xfId="21534" xr:uid="{1C359C9B-0482-4940-B173-E32FE7EC5199}"/>
    <cellStyle name="Millares 33 4 3" xfId="27358" xr:uid="{2843F87D-8431-456B-A36B-DD8C1A117783}"/>
    <cellStyle name="Millares 33 4 4" xfId="33239" xr:uid="{50324722-C3A2-420E-BA5B-C102EB0D901B}"/>
    <cellStyle name="Millares 33 4 5" xfId="39103" xr:uid="{B2460318-572B-46E0-9BA9-2A9B4F52A8AB}"/>
    <cellStyle name="Millares 33 5" xfId="4265" xr:uid="{5810FC28-99AD-443E-BA07-BCA9282F9BD8}"/>
    <cellStyle name="Millares 33 6" xfId="24508" xr:uid="{824A05EA-D8D1-417A-AA45-453C74A66EA4}"/>
    <cellStyle name="Millares 33 7" xfId="30387" xr:uid="{296D5DF6-EE25-4AA7-ABCE-F9FFE886F600}"/>
    <cellStyle name="Millares 33 8" xfId="36268" xr:uid="{9A76515F-85AB-4D96-A9D7-3A1962DC4E57}"/>
    <cellStyle name="Millares 33 9" xfId="42291" xr:uid="{E49A7CAF-17BA-4E0C-A805-0BC007A86D61}"/>
    <cellStyle name="Millares 34" xfId="1759" xr:uid="{00000000-0005-0000-0000-000033020000}"/>
    <cellStyle name="Millares 34 2" xfId="4747" xr:uid="{346B51D5-E8A2-4546-8E48-1E9615131A6F}"/>
    <cellStyle name="Millares 34 2 2" xfId="5715" xr:uid="{9C0DC29E-92DE-4946-8D41-3B9224710FB6}"/>
    <cellStyle name="Millares 34 2 2 2" xfId="8583" xr:uid="{AE20ECBB-C7DE-428B-84E1-9DB6D6B241ED}"/>
    <cellStyle name="Millares 34 2 2 2 2" xfId="22955" xr:uid="{7FA2A612-0E85-49E7-BFFD-7BA5C48DEB79}"/>
    <cellStyle name="Millares 34 2 2 2 3" xfId="28816" xr:uid="{A1C779C1-CDA0-46A3-9A5B-5828BC5DD432}"/>
    <cellStyle name="Millares 34 2 2 2 4" xfId="34698" xr:uid="{E647F36F-2B53-4721-BFE8-584D0E68E040}"/>
    <cellStyle name="Millares 34 2 2 2 5" xfId="40562" xr:uid="{912A0C30-D69A-4240-8363-41203D4EC2D2}"/>
    <cellStyle name="Millares 34 2 2 3" xfId="20172" xr:uid="{65BC38F0-5108-4544-932F-099956F9476B}"/>
    <cellStyle name="Millares 34 2 2 4" xfId="25966" xr:uid="{55B27A70-3320-4B24-A620-D6E3F39A4101}"/>
    <cellStyle name="Millares 34 2 2 5" xfId="31841" xr:uid="{865152D0-AF35-450C-84C5-0D4FD44313CB}"/>
    <cellStyle name="Millares 34 2 2 6" xfId="37708" xr:uid="{AD9CFB5B-F027-408A-B5FF-6510252A6FB0}"/>
    <cellStyle name="Millares 34 2 3" xfId="7611" xr:uid="{B9D60AE9-A216-433E-9047-76A95983B33A}"/>
    <cellStyle name="Millares 34 2 3 2" xfId="22005" xr:uid="{F8CE8E29-FA30-455B-A791-959DA4D61A33}"/>
    <cellStyle name="Millares 34 2 3 3" xfId="27845" xr:uid="{7A56484E-6A55-4AF4-9A99-17EE84A3F225}"/>
    <cellStyle name="Millares 34 2 3 4" xfId="33727" xr:uid="{B6987BBE-F3E4-42DD-B6F7-850C1498A92F}"/>
    <cellStyle name="Millares 34 2 3 5" xfId="39591" xr:uid="{4A396ABB-32D9-4120-ADD7-7305140AD6EF}"/>
    <cellStyle name="Millares 34 2 4" xfId="19235" xr:uid="{21012317-AC99-4B63-92A4-8C8A0BAA3D1D}"/>
    <cellStyle name="Millares 34 2 5" xfId="24996" xr:uid="{F9973094-BEB1-497A-ADCF-97991BBC8FB5}"/>
    <cellStyle name="Millares 34 2 6" xfId="30870" xr:uid="{DA52D997-3E8A-4501-BC1C-ACB54FD7AD31}"/>
    <cellStyle name="Millares 34 2 7" xfId="36751" xr:uid="{8E2A867F-E5D4-448C-95E6-004E06D31CE5}"/>
    <cellStyle name="Millares 34 3" xfId="5231" xr:uid="{28DBACC9-C24D-48CE-8A6F-A211BDB889B8}"/>
    <cellStyle name="Millares 34 3 2" xfId="8098" xr:uid="{2B01367A-665B-46B3-9221-4EF4EAB19D46}"/>
    <cellStyle name="Millares 34 3 2 2" xfId="22476" xr:uid="{0986F112-2978-40A4-BA8B-243DB01DE557}"/>
    <cellStyle name="Millares 34 3 2 3" xfId="28331" xr:uid="{BE3778D6-1BDA-444D-888C-E699BFC0521A}"/>
    <cellStyle name="Millares 34 3 2 4" xfId="34213" xr:uid="{3DEBC573-6F41-4D4E-BE7D-9CB89557CD26}"/>
    <cellStyle name="Millares 34 3 2 5" xfId="40077" xr:uid="{673B5012-B18E-437E-8E07-5987D02B40BE}"/>
    <cellStyle name="Millares 34 3 3" xfId="19701" xr:uid="{19DBEFDC-8FE9-4048-9C8E-A25C60A5BE9D}"/>
    <cellStyle name="Millares 34 3 4" xfId="25482" xr:uid="{8A13D7BB-0599-4869-94F8-B0F74A74F42B}"/>
    <cellStyle name="Millares 34 3 5" xfId="31356" xr:uid="{4563B74C-9424-4112-AC03-9E5EE2335F2E}"/>
    <cellStyle name="Millares 34 3 6" xfId="37229" xr:uid="{F7B7E2D3-8CF5-4FF6-8117-EBC97E6410CB}"/>
    <cellStyle name="Millares 34 4" xfId="7126" xr:uid="{3C0F47B3-640C-4E64-817B-6FC8E3A23407}"/>
    <cellStyle name="Millares 34 4 2" xfId="21537" xr:uid="{F06CCCFC-D476-4DF7-B55C-EB965F74569C}"/>
    <cellStyle name="Millares 34 4 3" xfId="27361" xr:uid="{93C33207-640D-4CB9-BB1E-C589597DFA63}"/>
    <cellStyle name="Millares 34 4 4" xfId="33242" xr:uid="{6B52A1B4-CAFD-4D79-8F77-EEF4EDFA3A6B}"/>
    <cellStyle name="Millares 34 4 5" xfId="39106" xr:uid="{6489DB0F-0286-4C9D-A7F4-3D4095D2495B}"/>
    <cellStyle name="Millares 34 5" xfId="4268" xr:uid="{3101E031-24AE-43E0-A546-28F3EA6E58A6}"/>
    <cellStyle name="Millares 34 6" xfId="24511" xr:uid="{9F133B84-2B68-4DD1-9CAE-FCA95A0A79C7}"/>
    <cellStyle name="Millares 34 7" xfId="30390" xr:uid="{5B02670C-C983-49AA-BC58-44477E08D324}"/>
    <cellStyle name="Millares 34 8" xfId="36271" xr:uid="{A2ECEA69-5D3A-49E4-B1BE-0B8A37818F70}"/>
    <cellStyle name="Millares 34 9" xfId="42292" xr:uid="{BB085FFC-9C1F-4DA7-9669-98FE41893967}"/>
    <cellStyle name="Millares 35" xfId="1792" xr:uid="{00000000-0005-0000-0000-000034020000}"/>
    <cellStyle name="Millares 35 2" xfId="4710" xr:uid="{F5C5000E-E5AD-42B2-AE92-F01170A4750C}"/>
    <cellStyle name="Millares 35 2 2" xfId="5678" xr:uid="{8DE94356-2A1B-47E3-812E-BE7E93BC749C}"/>
    <cellStyle name="Millares 35 2 2 2" xfId="8546" xr:uid="{C7C54443-B87C-4F76-A28B-2177781740E4}"/>
    <cellStyle name="Millares 35 2 2 2 2" xfId="22918" xr:uid="{01F196CF-85E2-4F59-94EC-F06F7C3E5118}"/>
    <cellStyle name="Millares 35 2 2 2 3" xfId="28779" xr:uid="{F6F1A523-CF6C-405E-99FC-EE945A1C875D}"/>
    <cellStyle name="Millares 35 2 2 2 4" xfId="34661" xr:uid="{4BF98865-85A6-4928-8F99-B25856EEFCAA}"/>
    <cellStyle name="Millares 35 2 2 2 5" xfId="40525" xr:uid="{DD4B0F86-01E8-4D38-83F8-BB2BA12B4F41}"/>
    <cellStyle name="Millares 35 2 2 3" xfId="20135" xr:uid="{8C676E70-E083-4513-9AAA-1853BCDA83B8}"/>
    <cellStyle name="Millares 35 2 2 4" xfId="25929" xr:uid="{BBDE6082-7535-4227-B111-1FC0F3360AE4}"/>
    <cellStyle name="Millares 35 2 2 5" xfId="31804" xr:uid="{F9A10590-2D9C-49FB-8CED-17D9AC36F253}"/>
    <cellStyle name="Millares 35 2 2 6" xfId="37671" xr:uid="{1F832E55-785E-40C6-B3D7-4D0B2A2C1766}"/>
    <cellStyle name="Millares 35 2 3" xfId="7574" xr:uid="{C15ED26C-25AD-4074-A947-8F22F823BA7E}"/>
    <cellStyle name="Millares 35 2 3 2" xfId="21968" xr:uid="{A710B82F-E0BD-4E8A-803A-83366268560F}"/>
    <cellStyle name="Millares 35 2 3 3" xfId="27808" xr:uid="{B78DF16F-68F1-4DCF-9338-D0B89D210F6D}"/>
    <cellStyle name="Millares 35 2 3 4" xfId="33690" xr:uid="{1BABF056-E1C3-4699-A05E-D19A2F346EA5}"/>
    <cellStyle name="Millares 35 2 3 5" xfId="39554" xr:uid="{32192CFB-ACA5-4474-99A1-FBF70481E6F2}"/>
    <cellStyle name="Millares 35 2 4" xfId="19200" xr:uid="{DBD2804D-FBCC-4FC0-96AC-67A00962B61C}"/>
    <cellStyle name="Millares 35 2 5" xfId="24959" xr:uid="{DB668EA1-791A-4BC6-B7AC-5385B6359968}"/>
    <cellStyle name="Millares 35 2 6" xfId="30833" xr:uid="{89AEE1BD-CD7D-4D27-B6F3-46AC24A78548}"/>
    <cellStyle name="Millares 35 2 7" xfId="36714" xr:uid="{3FE0B519-63FB-406F-8A24-709A4DDC179B}"/>
    <cellStyle name="Millares 35 3" xfId="5194" xr:uid="{C838882B-5500-496F-A712-D1F9E932DCA3}"/>
    <cellStyle name="Millares 35 3 2" xfId="8061" xr:uid="{980D544B-8BC8-472D-AF30-ED75A6E738B9}"/>
    <cellStyle name="Millares 35 3 2 2" xfId="22439" xr:uid="{B9C4AC29-F0A3-4209-B4E4-4EAE2C867924}"/>
    <cellStyle name="Millares 35 3 2 3" xfId="28294" xr:uid="{0B1E93E7-DD2F-4C22-8C5A-F17AAD126CFB}"/>
    <cellStyle name="Millares 35 3 2 4" xfId="34176" xr:uid="{7430941B-7DE7-4B58-AB0F-50DA955EAAED}"/>
    <cellStyle name="Millares 35 3 2 5" xfId="40040" xr:uid="{D1408F72-1BE3-414D-8D1B-8B49F8D63C66}"/>
    <cellStyle name="Millares 35 3 3" xfId="19665" xr:uid="{D8F728A8-B5AF-462E-9019-EB0DD485C227}"/>
    <cellStyle name="Millares 35 3 4" xfId="25445" xr:uid="{51B64079-6A8A-4A6A-AB08-64BD12470FB6}"/>
    <cellStyle name="Millares 35 3 5" xfId="31319" xr:uid="{C8F4E966-761E-40A5-A632-65BCDDD62A17}"/>
    <cellStyle name="Millares 35 3 6" xfId="37192" xr:uid="{60BEECFC-9C50-49CD-AD84-A034FC975546}"/>
    <cellStyle name="Millares 35 4" xfId="7089" xr:uid="{9E61E52A-810F-49DD-925C-3F5C8563B3BD}"/>
    <cellStyle name="Millares 35 4 2" xfId="21501" xr:uid="{69867F91-DAAE-4BDA-812A-9F5F6FF73799}"/>
    <cellStyle name="Millares 35 4 3" xfId="27324" xr:uid="{74AD8B90-37E2-4360-96E8-7D329743203D}"/>
    <cellStyle name="Millares 35 4 4" xfId="33205" xr:uid="{5D01D59D-2D90-45F4-A29B-0A579B7D340E}"/>
    <cellStyle name="Millares 35 4 5" xfId="39069" xr:uid="{4177601E-F367-4F5D-BE4F-4C19A443DABA}"/>
    <cellStyle name="Millares 35 5" xfId="4231" xr:uid="{3E6EC76D-2A82-4D97-B206-A52BDBE7EE01}"/>
    <cellStyle name="Millares 35 6" xfId="24474" xr:uid="{9F5AE177-CC77-41CC-9E5D-4EF3D5778024}"/>
    <cellStyle name="Millares 35 7" xfId="30352" xr:uid="{07C20987-D13A-4737-BC17-CD5C652A844F}"/>
    <cellStyle name="Millares 35 8" xfId="36233" xr:uid="{8D48E4B6-0AE0-446A-82B1-5B45E35B0ED8}"/>
    <cellStyle name="Millares 35 9" xfId="42293" xr:uid="{96BB0255-E7D2-44D4-8D1E-906FA1AB3ADE}"/>
    <cellStyle name="Millares 36" xfId="1760" xr:uid="{00000000-0005-0000-0000-000035020000}"/>
    <cellStyle name="Millares 36 2" xfId="4756" xr:uid="{68D47C61-8D24-4281-8C54-5E0E509F128A}"/>
    <cellStyle name="Millares 36 2 2" xfId="5724" xr:uid="{434150EF-8EF4-4B7B-9861-EB9D0CDCD62E}"/>
    <cellStyle name="Millares 36 2 2 2" xfId="8592" xr:uid="{AFEB4AE1-8165-4878-BF2F-A536A08FC702}"/>
    <cellStyle name="Millares 36 2 2 2 2" xfId="22964" xr:uid="{64F3623D-16C8-4852-AC58-42A2D2A8BBC5}"/>
    <cellStyle name="Millares 36 2 2 2 3" xfId="28825" xr:uid="{1BF038C4-4FB3-4B8A-A74C-A7D5021120F8}"/>
    <cellStyle name="Millares 36 2 2 2 4" xfId="34707" xr:uid="{20DEBEFA-4934-4E7F-B585-6588FA193139}"/>
    <cellStyle name="Millares 36 2 2 2 5" xfId="40571" xr:uid="{320ECBBD-FE41-413D-B9EA-67F416BD2E65}"/>
    <cellStyle name="Millares 36 2 2 3" xfId="20181" xr:uid="{FB43DFB4-90E6-4568-A513-3AE877F32B0E}"/>
    <cellStyle name="Millares 36 2 2 4" xfId="25975" xr:uid="{054D7F6C-B010-4AD9-9269-709202D08AE2}"/>
    <cellStyle name="Millares 36 2 2 5" xfId="31850" xr:uid="{8AF11061-6300-42F4-A842-CC02D869B029}"/>
    <cellStyle name="Millares 36 2 2 6" xfId="37717" xr:uid="{FBDE7125-508F-42A0-8F52-53410853F7F7}"/>
    <cellStyle name="Millares 36 2 3" xfId="7620" xr:uid="{E0EA44C2-B090-4804-B554-48A9A9A89034}"/>
    <cellStyle name="Millares 36 2 3 2" xfId="22014" xr:uid="{289487B0-D9BA-4500-8ABF-B531368B3E66}"/>
    <cellStyle name="Millares 36 2 3 3" xfId="27854" xr:uid="{3BEEC2E6-17DA-4D0E-8CF9-B7CE96BEB079}"/>
    <cellStyle name="Millares 36 2 3 4" xfId="33736" xr:uid="{3E3A504D-F601-444F-8A9F-3F4C6D4B8117}"/>
    <cellStyle name="Millares 36 2 3 5" xfId="39600" xr:uid="{EF69342C-09EE-4623-BC6B-F71AE68B40EC}"/>
    <cellStyle name="Millares 36 2 4" xfId="19244" xr:uid="{65D7E051-13EB-40D7-888A-A9A1EF422274}"/>
    <cellStyle name="Millares 36 2 5" xfId="25005" xr:uid="{7FDBCA37-0CD1-4D7A-B141-C6DE011C8FD1}"/>
    <cellStyle name="Millares 36 2 6" xfId="30879" xr:uid="{F6A2F1C3-7D39-48D6-B0BE-DA93C2B2595C}"/>
    <cellStyle name="Millares 36 2 7" xfId="36760" xr:uid="{64A36DD3-DAF8-4F90-8210-46EC6D5E785E}"/>
    <cellStyle name="Millares 36 3" xfId="5240" xr:uid="{8FE6AB28-7C53-457C-8182-FB2C2D3F1915}"/>
    <cellStyle name="Millares 36 3 2" xfId="8107" xr:uid="{F65AE999-7352-4528-886E-2DD1738E7682}"/>
    <cellStyle name="Millares 36 3 2 2" xfId="22485" xr:uid="{535D71BE-3C41-46E1-9CDA-E641999E0DAA}"/>
    <cellStyle name="Millares 36 3 2 3" xfId="28340" xr:uid="{6AA1633D-064B-449B-B2BD-CDD82F06567A}"/>
    <cellStyle name="Millares 36 3 2 4" xfId="34222" xr:uid="{B8E364A4-C277-4D34-94D5-05288B2C6641}"/>
    <cellStyle name="Millares 36 3 2 5" xfId="40086" xr:uid="{57C4720E-DFA9-40A2-8B05-951F62F902C2}"/>
    <cellStyle name="Millares 36 3 3" xfId="19710" xr:uid="{289E6D81-7310-443E-86BE-5236325878E7}"/>
    <cellStyle name="Millares 36 3 4" xfId="25491" xr:uid="{CF349A6F-8BD4-40D6-B9BE-3DF37771A432}"/>
    <cellStyle name="Millares 36 3 5" xfId="31365" xr:uid="{CFC4BF4D-EA2F-4272-8637-4F6174D0AA74}"/>
    <cellStyle name="Millares 36 3 6" xfId="37238" xr:uid="{1DF277AC-0E26-497A-BABE-F4272EDA9AF8}"/>
    <cellStyle name="Millares 36 4" xfId="7135" xr:uid="{FB199EC3-7C17-4B0D-8A9E-C671C02F434D}"/>
    <cellStyle name="Millares 36 4 2" xfId="21546" xr:uid="{29D6EF14-2160-40B4-8A40-E7DE1BA2D0A1}"/>
    <cellStyle name="Millares 36 4 3" xfId="27370" xr:uid="{7D71329E-B346-49E7-9CDC-4952FE150A86}"/>
    <cellStyle name="Millares 36 4 4" xfId="33251" xr:uid="{2FA2A14A-CAB3-4497-9B48-4608D6F10FBE}"/>
    <cellStyle name="Millares 36 4 5" xfId="39115" xr:uid="{38BE7C8A-CEA3-4419-BE61-F154047B83AE}"/>
    <cellStyle name="Millares 36 5" xfId="4275" xr:uid="{8BE198D1-599D-44C6-9448-3C13BB402A2D}"/>
    <cellStyle name="Millares 36 6" xfId="24520" xr:uid="{7C079F62-7B78-4E32-86AB-0F1799653EBF}"/>
    <cellStyle name="Millares 36 7" xfId="30399" xr:uid="{78ACF3D3-D07B-46EB-8C6E-4C59F3795BE3}"/>
    <cellStyle name="Millares 36 8" xfId="36280" xr:uid="{E4BECDA1-8881-403F-AC3E-E54F8AF41BFD}"/>
    <cellStyle name="Millares 36 9" xfId="42294" xr:uid="{83DDA744-144A-4B8E-ADF1-E7115AA904ED}"/>
    <cellStyle name="Millares 37" xfId="1798" xr:uid="{00000000-0005-0000-0000-000036020000}"/>
    <cellStyle name="Millares 37 2" xfId="4751" xr:uid="{2A240431-599B-47DC-ADEB-608C289887B0}"/>
    <cellStyle name="Millares 37 2 2" xfId="5719" xr:uid="{DDD49E6D-B774-409D-8E38-4891750C6667}"/>
    <cellStyle name="Millares 37 2 2 2" xfId="8587" xr:uid="{9323BA61-F91C-479B-817F-DBA03D3E47C3}"/>
    <cellStyle name="Millares 37 2 2 2 2" xfId="22959" xr:uid="{ED055B09-232C-4AB5-8A2A-D1A4429563FE}"/>
    <cellStyle name="Millares 37 2 2 2 3" xfId="28820" xr:uid="{C7F8D666-D8EA-46F7-84EC-0ADB58E4DA2F}"/>
    <cellStyle name="Millares 37 2 2 2 4" xfId="34702" xr:uid="{3F630EB3-3EE6-4161-B153-96ECDDEA7A0C}"/>
    <cellStyle name="Millares 37 2 2 2 5" xfId="40566" xr:uid="{A7D7EC0D-7009-4CAE-9402-2336A6DD300C}"/>
    <cellStyle name="Millares 37 2 2 3" xfId="20176" xr:uid="{4063C4E0-F3E2-4704-9E0D-721D0BCF80EF}"/>
    <cellStyle name="Millares 37 2 2 4" xfId="25970" xr:uid="{341B25EA-B46E-4769-83DA-D8D616FDCE0A}"/>
    <cellStyle name="Millares 37 2 2 5" xfId="31845" xr:uid="{DEDB9CCE-AC6B-4DEB-958B-137E710248E7}"/>
    <cellStyle name="Millares 37 2 2 6" xfId="37712" xr:uid="{195443FB-5DFB-4FF1-BD08-B0AD28F9F955}"/>
    <cellStyle name="Millares 37 2 3" xfId="7615" xr:uid="{6BDC485E-9BA0-4A4D-9B81-76624BB4D869}"/>
    <cellStyle name="Millares 37 2 3 2" xfId="22009" xr:uid="{4FB46998-04C3-4387-BB59-3EC7D92171C2}"/>
    <cellStyle name="Millares 37 2 3 3" xfId="27849" xr:uid="{DA15585F-BF0D-4A50-A672-728672A0C15A}"/>
    <cellStyle name="Millares 37 2 3 4" xfId="33731" xr:uid="{86648DFC-1A55-41F0-9B6B-97F6C979F837}"/>
    <cellStyle name="Millares 37 2 3 5" xfId="39595" xr:uid="{FCF29159-5A78-4334-ACAB-93B80728F375}"/>
    <cellStyle name="Millares 37 2 4" xfId="19239" xr:uid="{9774321B-51F3-4783-8346-A9834D5A73FE}"/>
    <cellStyle name="Millares 37 2 5" xfId="25000" xr:uid="{432C8255-CB32-4A8B-B440-EE40C78B4C47}"/>
    <cellStyle name="Millares 37 2 6" xfId="30874" xr:uid="{07C2F54A-616D-44EA-A3DD-4E58D07587AF}"/>
    <cellStyle name="Millares 37 2 7" xfId="36755" xr:uid="{70AD880E-4047-4007-9CB8-A4DEA2BD3BA4}"/>
    <cellStyle name="Millares 37 3" xfId="5235" xr:uid="{792BED38-F1EC-4195-A0D9-0AA638A2AA2C}"/>
    <cellStyle name="Millares 37 3 2" xfId="8102" xr:uid="{7DC35A23-A179-4456-AEED-D4301639B3FC}"/>
    <cellStyle name="Millares 37 3 2 2" xfId="22480" xr:uid="{7C835D76-1F3A-452C-8A7F-4375F08FC165}"/>
    <cellStyle name="Millares 37 3 2 3" xfId="28335" xr:uid="{5DABCB7E-E467-4534-AD67-FF0617DB5BE7}"/>
    <cellStyle name="Millares 37 3 2 4" xfId="34217" xr:uid="{3B72CA91-BF06-4B4A-9AEF-D27736293A64}"/>
    <cellStyle name="Millares 37 3 2 5" xfId="40081" xr:uid="{ED17DC96-DB9C-48C5-A8AA-CB734F71AD99}"/>
    <cellStyle name="Millares 37 3 3" xfId="19705" xr:uid="{E06C8F9F-7E86-46A3-8D0B-F985010067DB}"/>
    <cellStyle name="Millares 37 3 4" xfId="25486" xr:uid="{15D4E5BF-C742-497B-93AB-5DD52D545A45}"/>
    <cellStyle name="Millares 37 3 5" xfId="31360" xr:uid="{9324B8D3-12F0-43B5-B699-4CA948011AF1}"/>
    <cellStyle name="Millares 37 3 6" xfId="37233" xr:uid="{0AEB7B11-66DB-45DC-8779-FDA92CE2616F}"/>
    <cellStyle name="Millares 37 4" xfId="7130" xr:uid="{5794D0D4-4572-4576-84C9-0719C29DFCE5}"/>
    <cellStyle name="Millares 37 4 2" xfId="21541" xr:uid="{E2423F94-BEBF-4CFC-9AE5-72211E583E81}"/>
    <cellStyle name="Millares 37 4 3" xfId="27365" xr:uid="{E572BF4C-6D8E-4588-8D69-DAA4CCEA9E4B}"/>
    <cellStyle name="Millares 37 4 4" xfId="33246" xr:uid="{49C1F1AB-A35F-42E1-91D2-45E8ED4756E6}"/>
    <cellStyle name="Millares 37 4 5" xfId="39110" xr:uid="{C675665C-3602-40E0-BF26-D9012FCBED26}"/>
    <cellStyle name="Millares 37 5" xfId="4271" xr:uid="{BEA561BE-E326-4C52-9840-152E4CC90D34}"/>
    <cellStyle name="Millares 37 6" xfId="24515" xr:uid="{1AE3518E-E49A-42C9-A7ED-83056F7DED0C}"/>
    <cellStyle name="Millares 37 7" xfId="30394" xr:uid="{39B72E5F-44A6-4EAD-A677-84E443B58B0C}"/>
    <cellStyle name="Millares 37 8" xfId="36275" xr:uid="{52324ACF-3817-4BDA-A1AC-1B8625E7D15D}"/>
    <cellStyle name="Millares 37 9" xfId="42295" xr:uid="{C8AB5919-0852-420A-8D10-3EF91FD3DDA2}"/>
    <cellStyle name="Millares 38" xfId="1802" xr:uid="{00000000-0005-0000-0000-000037020000}"/>
    <cellStyle name="Millares 38 2" xfId="4749" xr:uid="{5C7A6ED2-ED93-41B6-A176-A36E339B778E}"/>
    <cellStyle name="Millares 38 2 2" xfId="5717" xr:uid="{A9153490-2B18-49C2-B02E-FA95A265758E}"/>
    <cellStyle name="Millares 38 2 2 2" xfId="8585" xr:uid="{9D177ADB-1C0F-4700-82E6-34E8FD24CA95}"/>
    <cellStyle name="Millares 38 2 2 2 2" xfId="22957" xr:uid="{1C2E6C4C-8B01-486D-BB93-9B6269CA1228}"/>
    <cellStyle name="Millares 38 2 2 2 3" xfId="28818" xr:uid="{1ADB7027-5990-41D8-B234-E4B37CF9F48A}"/>
    <cellStyle name="Millares 38 2 2 2 4" xfId="34700" xr:uid="{72F1657F-6E0A-414F-AB45-97E551A92092}"/>
    <cellStyle name="Millares 38 2 2 2 5" xfId="40564" xr:uid="{18AF7C83-25BD-4D3C-AC99-B8FA133DBFB2}"/>
    <cellStyle name="Millares 38 2 2 3" xfId="20174" xr:uid="{A8C4E95A-3A45-4339-AABF-AFFBA9F4B503}"/>
    <cellStyle name="Millares 38 2 2 4" xfId="25968" xr:uid="{67184CB1-C226-4525-A520-EF4697C3C0A6}"/>
    <cellStyle name="Millares 38 2 2 5" xfId="31843" xr:uid="{85011973-27DC-4D2C-A185-6E2C4899C3DC}"/>
    <cellStyle name="Millares 38 2 2 6" xfId="37710" xr:uid="{C8D77190-7B17-4E27-B5DD-FF5BDE3725AC}"/>
    <cellStyle name="Millares 38 2 3" xfId="7613" xr:uid="{E7E66C8E-8D3E-4E7B-93C4-CC4A3ABFBA83}"/>
    <cellStyle name="Millares 38 2 3 2" xfId="22007" xr:uid="{D9501D7C-465A-47C4-826D-4FB16F909881}"/>
    <cellStyle name="Millares 38 2 3 3" xfId="27847" xr:uid="{C5B39DBF-B2E0-4AB0-8016-B73C49BD3F67}"/>
    <cellStyle name="Millares 38 2 3 4" xfId="33729" xr:uid="{9D1EDA47-911D-4127-A1FF-A2D55AB19204}"/>
    <cellStyle name="Millares 38 2 3 5" xfId="39593" xr:uid="{CFDAEB48-72E5-4252-B25F-47D3A5E77EED}"/>
    <cellStyle name="Millares 38 2 4" xfId="19237" xr:uid="{FF956EAC-D557-4223-B5BF-0B8B8A34D07F}"/>
    <cellStyle name="Millares 38 2 5" xfId="24998" xr:uid="{31A79413-C93A-47D3-97D8-4996674CCDA1}"/>
    <cellStyle name="Millares 38 2 6" xfId="30872" xr:uid="{342FE3C0-DD58-4B76-92FA-B76F12AEB8E3}"/>
    <cellStyle name="Millares 38 2 7" xfId="36753" xr:uid="{BA99064C-6AEF-44FB-96F4-9D7AEB4489B6}"/>
    <cellStyle name="Millares 38 3" xfId="5233" xr:uid="{D9A09E42-8E56-4C6D-A1CF-725DE32E1AF4}"/>
    <cellStyle name="Millares 38 3 2" xfId="8100" xr:uid="{C8407A24-F147-4E60-B03D-4C28B5F2E957}"/>
    <cellStyle name="Millares 38 3 2 2" xfId="22478" xr:uid="{8327061D-1917-494A-A2D9-F4049E110A4D}"/>
    <cellStyle name="Millares 38 3 2 3" xfId="28333" xr:uid="{23DCB23E-C568-4096-A3A2-E4CEEB465027}"/>
    <cellStyle name="Millares 38 3 2 4" xfId="34215" xr:uid="{7A6712DE-40FE-4110-B173-DD9AEF2BFFCA}"/>
    <cellStyle name="Millares 38 3 2 5" xfId="40079" xr:uid="{9B67E023-1D3E-46BE-A0B5-17E68EE481D5}"/>
    <cellStyle name="Millares 38 3 3" xfId="19703" xr:uid="{7982DA6A-D2EC-4A93-BC08-F5CD88EE5412}"/>
    <cellStyle name="Millares 38 3 4" xfId="25484" xr:uid="{D31E128F-45BC-4EC7-9AFC-FB3BC57131EA}"/>
    <cellStyle name="Millares 38 3 5" xfId="31358" xr:uid="{EDDB019D-341C-4524-B7D8-418BBAC670E9}"/>
    <cellStyle name="Millares 38 3 6" xfId="37231" xr:uid="{4B8AE246-818F-4471-9E80-D6A51A9FA78D}"/>
    <cellStyle name="Millares 38 4" xfId="7128" xr:uid="{4AF3183C-ECDE-4B11-BCEF-3436FC50E1AF}"/>
    <cellStyle name="Millares 38 4 2" xfId="21539" xr:uid="{1957D8B3-EB5C-4DE5-B6FA-D588D2A9B0CA}"/>
    <cellStyle name="Millares 38 4 3" xfId="27363" xr:uid="{292FA606-4684-41FF-B9C9-2D04FC2AB46C}"/>
    <cellStyle name="Millares 38 4 4" xfId="33244" xr:uid="{3119B79E-9974-405F-964F-057A3C706278}"/>
    <cellStyle name="Millares 38 4 5" xfId="39108" xr:uid="{96936692-983B-420B-B8AB-1F6F0B5705D4}"/>
    <cellStyle name="Millares 38 5" xfId="4270" xr:uid="{C880E84A-6F5F-4DC1-864B-D16882377BC9}"/>
    <cellStyle name="Millares 38 6" xfId="24513" xr:uid="{B458161D-A814-4FD6-8F9D-092491B031C9}"/>
    <cellStyle name="Millares 38 7" xfId="30392" xr:uid="{938F1352-11D6-4B13-A70C-344074570C35}"/>
    <cellStyle name="Millares 38 8" xfId="36273" xr:uid="{4611E40E-B6CE-49ED-A82C-18C778AED6B4}"/>
    <cellStyle name="Millares 38 9" xfId="42296" xr:uid="{9D63F303-C2B5-40C2-9032-76236084C2DD}"/>
    <cellStyle name="Millares 39" xfId="1797" xr:uid="{00000000-0005-0000-0000-000038020000}"/>
    <cellStyle name="Millares 39 2" xfId="4723" xr:uid="{B1788D4E-7E3D-4D4C-A7A9-D81EB322C4AD}"/>
    <cellStyle name="Millares 39 2 2" xfId="5691" xr:uid="{39578D61-3F4C-498E-AA03-8293A04B6B85}"/>
    <cellStyle name="Millares 39 2 2 2" xfId="8559" xr:uid="{A9FCCDBA-9D23-4B51-95F5-E9891AB8ED34}"/>
    <cellStyle name="Millares 39 2 2 2 2" xfId="22931" xr:uid="{40322BF1-E77B-4595-B585-6895737CA46C}"/>
    <cellStyle name="Millares 39 2 2 2 3" xfId="28792" xr:uid="{AD3B18EC-DCF5-4224-BF4F-D4B44A0E94AF}"/>
    <cellStyle name="Millares 39 2 2 2 4" xfId="34674" xr:uid="{4558465C-FBDA-4104-90A9-8348A2AD6213}"/>
    <cellStyle name="Millares 39 2 2 2 5" xfId="40538" xr:uid="{E92C9819-0103-4700-A9C1-41226ECEBD69}"/>
    <cellStyle name="Millares 39 2 2 3" xfId="20148" xr:uid="{8E1E82DA-27F4-40F9-A982-85F03FB675C0}"/>
    <cellStyle name="Millares 39 2 2 4" xfId="25942" xr:uid="{2F865980-E869-42A2-B320-9FDD86FB4220}"/>
    <cellStyle name="Millares 39 2 2 5" xfId="31817" xr:uid="{543EE962-41F5-483F-B85E-35B163EA7674}"/>
    <cellStyle name="Millares 39 2 2 6" xfId="37684" xr:uid="{49FD6E19-6A4F-4ED0-B9B9-3CE99C6E16F0}"/>
    <cellStyle name="Millares 39 2 3" xfId="7587" xr:uid="{73D5B6CB-E713-4FFD-92E4-0D2730BBB656}"/>
    <cellStyle name="Millares 39 2 3 2" xfId="21981" xr:uid="{D3834435-B1D4-4B26-B80E-ED3489359FAC}"/>
    <cellStyle name="Millares 39 2 3 3" xfId="27821" xr:uid="{4603E727-8C32-4BE6-8592-AAE1CE77C6BC}"/>
    <cellStyle name="Millares 39 2 3 4" xfId="33703" xr:uid="{293EF1F1-428A-49C2-B085-9933344DCF60}"/>
    <cellStyle name="Millares 39 2 3 5" xfId="39567" xr:uid="{D6DDE741-6A5A-4936-97BF-BB73DFF0FFE4}"/>
    <cellStyle name="Millares 39 2 4" xfId="19213" xr:uid="{9895725C-8D50-4EA6-8DE3-57D675F996B4}"/>
    <cellStyle name="Millares 39 2 5" xfId="24972" xr:uid="{F1882B7C-91DD-4D7E-8B8D-D18EE8B0DB9D}"/>
    <cellStyle name="Millares 39 2 6" xfId="30846" xr:uid="{B6E57084-2E8C-44CD-B5A9-AAA4C6671AA3}"/>
    <cellStyle name="Millares 39 2 7" xfId="36727" xr:uid="{74314B1B-6F71-4664-98DE-7059B01826AC}"/>
    <cellStyle name="Millares 39 2 8" xfId="42297" xr:uid="{463BBF04-7DF6-4F2E-8B22-86DA4E3BC27E}"/>
    <cellStyle name="Millares 39 3" xfId="5207" xr:uid="{5711F7E8-4C8E-49BB-A1A9-764CF4C734F8}"/>
    <cellStyle name="Millares 39 3 2" xfId="8074" xr:uid="{CB155573-74EB-4967-ACD1-2A493F3FAEA7}"/>
    <cellStyle name="Millares 39 3 2 2" xfId="22452" xr:uid="{8434F379-4A90-4F73-90C5-7F71B26B33D4}"/>
    <cellStyle name="Millares 39 3 2 3" xfId="28307" xr:uid="{D19A3F02-96AD-4323-A31E-59E7E945BB60}"/>
    <cellStyle name="Millares 39 3 2 4" xfId="34189" xr:uid="{6B146A3B-F26F-4695-B6A3-96B4B9069795}"/>
    <cellStyle name="Millares 39 3 2 5" xfId="40053" xr:uid="{7FFBE41B-A2B9-49B3-B44B-4ACD77289424}"/>
    <cellStyle name="Millares 39 3 3" xfId="19678" xr:uid="{AAEE33E0-7ADE-413D-B568-55A996090563}"/>
    <cellStyle name="Millares 39 3 4" xfId="25458" xr:uid="{33DF1970-D8CA-47D5-8D61-47D4A57607FA}"/>
    <cellStyle name="Millares 39 3 5" xfId="31332" xr:uid="{CA112AA6-67D3-460B-A2BA-78131562EB2D}"/>
    <cellStyle name="Millares 39 3 6" xfId="37205" xr:uid="{747AB002-B646-4C64-A495-BEB679E3E1C8}"/>
    <cellStyle name="Millares 39 3 7" xfId="42298" xr:uid="{A21CC7A6-CDF3-4DF9-9EDB-BC145ABFDC22}"/>
    <cellStyle name="Millares 39 4" xfId="7102" xr:uid="{B344F0CA-963C-41DF-8F7A-B07CC4B088E0}"/>
    <cellStyle name="Millares 39 4 2" xfId="21514" xr:uid="{CBC17971-E6B0-495E-ABBB-29AA907F7408}"/>
    <cellStyle name="Millares 39 4 3" xfId="27337" xr:uid="{59CF92CB-4341-4F21-A1AE-60155BEA6F37}"/>
    <cellStyle name="Millares 39 4 4" xfId="33218" xr:uid="{161BE786-158B-473A-8B9D-FC38512901EA}"/>
    <cellStyle name="Millares 39 4 5" xfId="39082" xr:uid="{66F0AD9E-B387-41A8-B439-58770D0DADBA}"/>
    <cellStyle name="Millares 39 4 6" xfId="42299" xr:uid="{1D88E5D0-A6CC-4CE1-931D-3E83B1B46007}"/>
    <cellStyle name="Millares 39 5" xfId="4244" xr:uid="{1E64C8EB-C54A-4941-B909-7E078066C6CF}"/>
    <cellStyle name="Millares 39 5 2" xfId="42300" xr:uid="{C916E68C-812A-46D9-9184-B4F0134DED03}"/>
    <cellStyle name="Millares 39 5 3" xfId="42301" xr:uid="{632D7CE1-9F59-4AC7-9DD9-C8906AF7170E}"/>
    <cellStyle name="Millares 39 6" xfId="24487" xr:uid="{E3299956-FE07-4094-9BDD-BE53E9CE67E8}"/>
    <cellStyle name="Millares 39 7" xfId="30365" xr:uid="{0BCFBCF6-AB42-4A0F-8214-1EB0792E00EA}"/>
    <cellStyle name="Millares 39 8" xfId="36246" xr:uid="{CDD539A3-7AC7-4095-B0DF-7826E53E5BFF}"/>
    <cellStyle name="Millares 39 9" xfId="42302" xr:uid="{7FAC7771-427F-4A8A-B480-0E05B1A8638B}"/>
    <cellStyle name="Millares 4" xfId="56" xr:uid="{00000000-0005-0000-0000-000039020000}"/>
    <cellStyle name="Millares 4 10" xfId="29961" xr:uid="{4235C7D5-8CF4-421C-9730-9F7FECC0B034}"/>
    <cellStyle name="Millares 4 10 2" xfId="42303" xr:uid="{715134F5-72B9-45F0-A2AE-BCE5C59E1219}"/>
    <cellStyle name="Millares 4 10 2 2" xfId="47241" xr:uid="{3E9A75C3-DBD3-44AC-8175-5414A36BD031}"/>
    <cellStyle name="Millares 4 10 3" xfId="47092" xr:uid="{5F3E4739-B97C-4737-8D3E-07A975C1E967}"/>
    <cellStyle name="Millares 4 11" xfId="35842" xr:uid="{1EB484FF-DC9E-4154-8CDC-CB2E77F1BA32}"/>
    <cellStyle name="Millares 4 11 2" xfId="42304" xr:uid="{4C7EFC43-EA97-487F-A5AA-0D88CD7C2E8D}"/>
    <cellStyle name="Millares 4 11 3" xfId="47101" xr:uid="{BC247D41-8C78-46A9-8EEE-EE58F5B6E920}"/>
    <cellStyle name="Millares 4 12" xfId="42116" xr:uid="{BE1495C9-A537-4116-A047-3DF080655C51}"/>
    <cellStyle name="Millares 4 13" xfId="42305" xr:uid="{61CD5EB0-AC8A-4C89-8CEE-9BEFBD9B4E80}"/>
    <cellStyle name="Millares 4 14" xfId="50193" xr:uid="{C3B3A5E6-606B-40C3-A0E2-D11A554A2105}"/>
    <cellStyle name="Millares 4 15" xfId="50267" xr:uid="{E5F5AA18-B9DC-4BE5-B489-6BDD18115FB2}"/>
    <cellStyle name="Millares 4 2" xfId="126" xr:uid="{00000000-0005-0000-0000-00003A020000}"/>
    <cellStyle name="Millares 4 2 10" xfId="42117" xr:uid="{572A62EC-196D-4945-B693-F1D066CBE590}"/>
    <cellStyle name="Millares 4 2 11" xfId="42306" xr:uid="{792BF4BA-96B4-4143-ADA7-2D4B6FCCA8D6}"/>
    <cellStyle name="Millares 4 2 12" xfId="50231" xr:uid="{97EC8B3A-E6A1-4EE1-8515-81CBC02B0E96}"/>
    <cellStyle name="Millares 4 2 13" xfId="50305" xr:uid="{363CF98D-12DD-4C4D-B81E-30C61EC697CF}"/>
    <cellStyle name="Millares 4 2 2" xfId="1903" xr:uid="{00000000-0005-0000-0000-00003B020000}"/>
    <cellStyle name="Millares 4 2 2 2" xfId="5498" xr:uid="{3BB1732F-038F-48EE-AEDB-1259971F8DCD}"/>
    <cellStyle name="Millares 4 2 2 2 2" xfId="8365" xr:uid="{912BCA5D-A992-4629-BCBD-722A440E7F70}"/>
    <cellStyle name="Millares 4 2 2 2 2 2" xfId="22740" xr:uid="{0F83EB08-01D3-4447-A18E-678A81239D64}"/>
    <cellStyle name="Millares 4 2 2 2 2 3" xfId="28598" xr:uid="{6B26E134-F017-4011-B9A7-66FA4413B570}"/>
    <cellStyle name="Millares 4 2 2 2 2 4" xfId="34480" xr:uid="{FC6122E2-AE2C-48FB-BF79-D1A74FAC6608}"/>
    <cellStyle name="Millares 4 2 2 2 2 5" xfId="40344" xr:uid="{B0BC7653-629B-4A3C-A543-BC59FB99FACB}"/>
    <cellStyle name="Millares 4 2 2 2 2 6" xfId="47293" xr:uid="{AE830D6F-26C0-488D-A8FA-8F6824CBF66A}"/>
    <cellStyle name="Millares 4 2 2 2 3" xfId="19959" xr:uid="{B95C613E-4A7C-487C-A824-B1B1A4C0536B}"/>
    <cellStyle name="Millares 4 2 2 2 3 2" xfId="47205" xr:uid="{1E49407B-A356-427B-B18C-2B68EC71D405}"/>
    <cellStyle name="Millares 4 2 2 2 4" xfId="25749" xr:uid="{A251D166-7C0C-46F6-8953-1DC17FA9417C}"/>
    <cellStyle name="Millares 4 2 2 2 5" xfId="31623" xr:uid="{3C99F612-BE83-4C25-88F1-A12A6324894E}"/>
    <cellStyle name="Millares 4 2 2 2 6" xfId="37493" xr:uid="{9F4C5D46-93BF-4315-8B75-825C94432107}"/>
    <cellStyle name="Millares 4 2 2 2 7" xfId="46929" xr:uid="{BCB52D47-786C-47D1-A2EC-9662C64A377C}"/>
    <cellStyle name="Millares 4 2 2 3" xfId="7393" xr:uid="{F9397C26-DDAD-46B2-81B3-A90E8E3B4F2C}"/>
    <cellStyle name="Millares 4 2 2 3 2" xfId="21795" xr:uid="{EB1FACD2-9B03-4B83-9D3E-D748E3EC5625}"/>
    <cellStyle name="Millares 4 2 2 3 3" xfId="27627" xr:uid="{823DB28F-9995-4EC4-A875-4BC14C7716D7}"/>
    <cellStyle name="Millares 4 2 2 3 4" xfId="33509" xr:uid="{E4C5DACA-3CEB-46CB-946B-29CACEE7F327}"/>
    <cellStyle name="Millares 4 2 2 3 5" xfId="39373" xr:uid="{77431F8C-B5C6-4705-8B4E-0E7C654AE5BA}"/>
    <cellStyle name="Millares 4 2 2 3 6" xfId="46930" xr:uid="{1EFC5408-DED2-4409-8D45-9544E4D3410E}"/>
    <cellStyle name="Millares 4 2 2 4" xfId="4530" xr:uid="{0F8144F7-27EC-44A6-8BFD-4F3FF099E8C9}"/>
    <cellStyle name="Millares 4 2 2 4 2" xfId="47277" xr:uid="{F67AA9C1-E308-4356-998E-F0F939338A8C}"/>
    <cellStyle name="Millares 4 2 2 5" xfId="24778" xr:uid="{5DF1C448-A4EE-4412-BB4A-EE25F17F7709}"/>
    <cellStyle name="Millares 4 2 2 5 2" xfId="47144" xr:uid="{6B1CFD93-D715-43DA-8E09-12131FB172EF}"/>
    <cellStyle name="Millares 4 2 2 6" xfId="30655" xr:uid="{6989005C-C4CF-47C4-BB72-67BBB4AAD823}"/>
    <cellStyle name="Millares 4 2 2 7" xfId="36536" xr:uid="{92F7752E-F2C8-4333-894F-492EFAD81B1A}"/>
    <cellStyle name="Millares 4 2 2 8" xfId="46931" xr:uid="{716ED47E-7A4E-46C4-BD27-E1AD308C5F4E}"/>
    <cellStyle name="Millares 4 2 2 9" xfId="50377" xr:uid="{6A16B4A6-25EC-4FAE-8A9A-E573035F7B56}"/>
    <cellStyle name="Millares 4 2 3" xfId="5013" xr:uid="{61D5DD67-D072-40E6-AE49-39D5C09CCC28}"/>
    <cellStyle name="Millares 4 2 3 2" xfId="7880" xr:uid="{2CD0683B-676E-4749-95B6-CB0AF2523EB7}"/>
    <cellStyle name="Millares 4 2 3 2 2" xfId="22265" xr:uid="{E708398D-F7DF-4D9B-B449-5D574C077512}"/>
    <cellStyle name="Millares 4 2 3 2 3" xfId="28113" xr:uid="{30B9AB8C-F997-42A6-9C46-A18AB08D99F1}"/>
    <cellStyle name="Millares 4 2 3 2 4" xfId="33995" xr:uid="{40170859-DA33-4D55-A2A4-94A8D5C37910}"/>
    <cellStyle name="Millares 4 2 3 2 5" xfId="39859" xr:uid="{1726B0E7-8621-4A12-962E-1C1EEB4E9BC2}"/>
    <cellStyle name="Millares 4 2 3 2 6" xfId="47310" xr:uid="{C5B894C3-2764-4FAA-82A9-0B88DDC09DE1}"/>
    <cellStyle name="Millares 4 2 3 3" xfId="19492" xr:uid="{E675D4D2-31C7-4330-84F5-FD85FAF3384A}"/>
    <cellStyle name="Millares 4 2 3 3 2" xfId="47222" xr:uid="{7F4D30B7-9C49-4C27-B7C7-A15611848416}"/>
    <cellStyle name="Millares 4 2 3 4" xfId="25264" xr:uid="{6F0DEC92-3236-4731-A70C-E41CEA7C2BDD}"/>
    <cellStyle name="Millares 4 2 3 5" xfId="31138" xr:uid="{CA6B4E56-9FF4-43C5-ABD1-361001D8A777}"/>
    <cellStyle name="Millares 4 2 3 6" xfId="37016" xr:uid="{AF00F730-3A04-4434-A723-D9FFC234E085}"/>
    <cellStyle name="Millares 4 2 3 7" xfId="46932" xr:uid="{22A8A244-08B6-424E-AC53-AFCDE2731002}"/>
    <cellStyle name="Millares 4 2 4" xfId="6908" xr:uid="{DAF0AB56-D7C3-4954-855D-BB62A466D73E}"/>
    <cellStyle name="Millares 4 2 4 2" xfId="21328" xr:uid="{1D379479-C035-490C-854E-C0FB3AA64966}"/>
    <cellStyle name="Millares 4 2 4 3" xfId="27146" xr:uid="{C82C2588-B377-4024-953E-6D7E89DCF052}"/>
    <cellStyle name="Millares 4 2 4 4" xfId="33024" xr:uid="{715CFF7A-7013-44E9-8978-1E1D20D5D1BC}"/>
    <cellStyle name="Millares 4 2 4 5" xfId="38888" xr:uid="{AAB9D137-EA67-4AB5-9298-1C7C242C8ADB}"/>
    <cellStyle name="Millares 4 2 4 6" xfId="46933" xr:uid="{C0D61F35-D7CA-413C-A13E-FDA6C4B4FFDD}"/>
    <cellStyle name="Millares 4 2 4 7" xfId="47073" xr:uid="{D843D90E-242D-4C0B-A097-7BA709204E93}"/>
    <cellStyle name="Millares 4 2 5" xfId="18583" xr:uid="{9324691C-5096-41E9-93C2-68BFC92B0D39}"/>
    <cellStyle name="Millares 4 2 5 2" xfId="46934" xr:uid="{C1A12385-3425-46AF-AF3B-1A518B01013D}"/>
    <cellStyle name="Millares 4 2 5 3" xfId="47027" xr:uid="{B3E87FD5-9278-4DF9-A734-0C75BCE90441}"/>
    <cellStyle name="Millares 4 2 6" xfId="24295" xr:uid="{431D6874-B466-4111-8826-4869CBB8F92F}"/>
    <cellStyle name="Millares 4 2 6 2" xfId="47254" xr:uid="{12635D7B-4BA5-4BEF-BC21-0F1818A091B7}"/>
    <cellStyle name="Millares 4 2 7" xfId="30173" xr:uid="{C03FB8CD-7E9D-4E50-94DA-2A60F27B9F3C}"/>
    <cellStyle name="Millares 4 2 7 2" xfId="47116" xr:uid="{FDDC2751-E92C-4D64-869D-6406754CC603}"/>
    <cellStyle name="Millares 4 2 8" xfId="36052" xr:uid="{864AE3FE-5D36-451F-AF34-60354D230485}"/>
    <cellStyle name="Millares 4 2 9" xfId="42051" xr:uid="{551E6B7B-B483-4028-9577-C8B33556A12F}"/>
    <cellStyle name="Millares 4 3" xfId="114" xr:uid="{00000000-0005-0000-0000-00003C020000}"/>
    <cellStyle name="Millares 4 3 10" xfId="2932" xr:uid="{DF268531-A5DE-4284-BD45-0448FE174732}"/>
    <cellStyle name="Millares 4 3 10 2" xfId="11203" xr:uid="{C5857975-4C2A-4E8C-921F-4BC6D7E220B1}"/>
    <cellStyle name="Millares 4 3 10 2 2" xfId="46363" xr:uid="{87A8BEF7-F144-4C08-9FFC-811BBE48EE24}"/>
    <cellStyle name="Millares 4 3 10 3" xfId="14043" xr:uid="{6E5C7CD8-2715-4CD3-BD57-DE3DA99726CB}"/>
    <cellStyle name="Millares 4 3 10 4" xfId="43967" xr:uid="{17773D19-3A28-42BA-B8A3-C53C01047B6F}"/>
    <cellStyle name="Millares 4 3 10 5" xfId="48860" xr:uid="{4515AC6C-411C-48CE-8899-00B4A5A9A9F2}"/>
    <cellStyle name="Millares 4 3 11" xfId="3406" xr:uid="{5E017EE5-7902-47C7-8F1B-4230908D2BF4}"/>
    <cellStyle name="Millares 4 3 11 2" xfId="11647" xr:uid="{4A9CC9A8-C1F6-47F6-8C3D-6BBF19297EF9}"/>
    <cellStyle name="Millares 4 3 11 2 2" xfId="46807" xr:uid="{A06681E5-85F8-46FC-914B-E98CBBD0F32E}"/>
    <cellStyle name="Millares 4 3 11 3" xfId="14487" xr:uid="{3EF7BD23-A154-4811-B51C-2C4C325FF321}"/>
    <cellStyle name="Millares 4 3 11 4" xfId="44411" xr:uid="{BC43B4A3-E670-464D-859A-F64D6F899E46}"/>
    <cellStyle name="Millares 4 3 11 5" xfId="49304" xr:uid="{C05A26A3-43C1-4D0F-B0F1-A9734FB23355}"/>
    <cellStyle name="Millares 4 3 12" xfId="3434" xr:uid="{08780DDD-BB71-4653-9B0A-FD4627221E12}"/>
    <cellStyle name="Millares 4 3 12 2" xfId="11675" xr:uid="{F0DC73AC-243C-4AF3-8DCF-3C3E3998A2C7}"/>
    <cellStyle name="Millares 4 3 12 3" xfId="14515" xr:uid="{9E796669-39D8-4664-A7A9-CE77CA16046D}"/>
    <cellStyle name="Millares 4 3 12 4" xfId="44439" xr:uid="{D88F7BD4-4CA1-47EB-BEFB-717A81F472DC}"/>
    <cellStyle name="Millares 4 3 12 5" xfId="49332" xr:uid="{9D69E3F1-3741-417B-8DC5-87A60305BA88}"/>
    <cellStyle name="Millares 4 3 13" xfId="4336" xr:uid="{88BFECD2-91B4-4A09-ACF8-BC29948FD17D}"/>
    <cellStyle name="Millares 4 3 13 2" xfId="44857" xr:uid="{614AC67F-1B64-427A-A44F-8659B569A1AB}"/>
    <cellStyle name="Millares 4 3 14" xfId="9697" xr:uid="{342EFB27-4CBF-4A8F-AC57-29E315226E89}"/>
    <cellStyle name="Millares 4 3 15" xfId="12537" xr:uid="{3961CA26-BDE2-4C56-9F7D-3279F72E8DD5}"/>
    <cellStyle name="Millares 4 3 16" xfId="15880" xr:uid="{5F14E58C-9FD5-4AAD-A9C6-2C23DBA2ADC9}"/>
    <cellStyle name="Millares 4 3 17" xfId="16423" xr:uid="{DD7E32AB-760D-49A7-95CB-42E0AC5084E3}"/>
    <cellStyle name="Millares 4 3 18" xfId="16967" xr:uid="{A4344CD2-9C89-4106-8B42-C91D1ABB2673}"/>
    <cellStyle name="Millares 4 3 19" xfId="17769" xr:uid="{EAF1A5FD-79BF-487F-BDC7-3FD1EB9152AA}"/>
    <cellStyle name="Millares 4 3 2" xfId="203" xr:uid="{00000000-0005-0000-0000-00003D020000}"/>
    <cellStyle name="Millares 4 3 2 10" xfId="9766" xr:uid="{0E31C4D5-6EBD-4F94-9363-0F3407E5E548}"/>
    <cellStyle name="Millares 4 3 2 11" xfId="12606" xr:uid="{CBD91132-8DFE-41F3-81ED-6B1DDD8DD07D}"/>
    <cellStyle name="Millares 4 3 2 12" xfId="15949" xr:uid="{0C83F5B8-D457-4A7B-B433-CC1E62FDE632}"/>
    <cellStyle name="Millares 4 3 2 13" xfId="16492" xr:uid="{38A71F47-AA18-4DBA-8ABB-D43B7A611E9E}"/>
    <cellStyle name="Millares 4 3 2 14" xfId="17036" xr:uid="{BD28BAB0-E817-407D-9CB0-E2A7E71A136D}"/>
    <cellStyle name="Millares 4 3 2 15" xfId="18111" xr:uid="{1F127009-DC99-492D-A2D5-9309E8DA5C05}"/>
    <cellStyle name="Millares 4 3 2 16" xfId="42530" xr:uid="{17FE7C03-3420-4EA4-948A-90D7CD21A9AA}"/>
    <cellStyle name="Millares 4 3 2 17" xfId="47423" xr:uid="{66E8D7FA-EC33-4C44-AA54-3DD87A770701}"/>
    <cellStyle name="Millares 4 3 2 2" xfId="312" xr:uid="{00000000-0005-0000-0000-00003E020000}"/>
    <cellStyle name="Millares 4 3 2 2 10" xfId="16053" xr:uid="{AC75E3DE-9434-43F3-BFC4-8636A953DE5A}"/>
    <cellStyle name="Millares 4 3 2 2 11" xfId="16596" xr:uid="{B22BED49-5A3A-42A9-9EA7-38CE44CB0068}"/>
    <cellStyle name="Millares 4 3 2 2 12" xfId="17140" xr:uid="{C5E0D934-C6E3-43AD-9F17-EB15E87C0117}"/>
    <cellStyle name="Millares 4 3 2 2 13" xfId="17853" xr:uid="{93CC0DE6-FD3C-4197-98A0-CFF942076AC6}"/>
    <cellStyle name="Millares 4 3 2 2 14" xfId="42634" xr:uid="{A1198EDB-18F5-4104-85D7-973131FDD452}"/>
    <cellStyle name="Millares 4 3 2 2 15" xfId="47527" xr:uid="{060E6CE5-E0AA-4396-A377-47687DA6111E}"/>
    <cellStyle name="Millares 4 3 2 2 2" xfId="539" xr:uid="{00000000-0005-0000-0000-00003F020000}"/>
    <cellStyle name="Millares 4 3 2 2 2 10" xfId="17352" xr:uid="{1EF08F8A-0B67-439E-B2D9-1C618FA30B9A}"/>
    <cellStyle name="Millares 4 3 2 2 2 11" xfId="22545" xr:uid="{2041BBC0-4C8C-4727-8C2A-1BEED83122F3}"/>
    <cellStyle name="Millares 4 3 2 2 2 12" xfId="19467" xr:uid="{08A412B8-BFD5-4A81-9830-2E30C20BD1CF}"/>
    <cellStyle name="Millares 4 3 2 2 2 13" xfId="42846" xr:uid="{4ED46235-F58B-4C83-8410-5250583E6679}"/>
    <cellStyle name="Millares 4 3 2 2 2 14" xfId="47739" xr:uid="{1167CB28-7E1B-49FA-9734-6689890A6E33}"/>
    <cellStyle name="Millares 4 3 2 2 2 2" xfId="2355" xr:uid="{FC66F7D1-4343-4704-98B5-315710F98A7B}"/>
    <cellStyle name="Millares 4 3 2 2 2 2 2" xfId="10626" xr:uid="{B348C244-440B-4587-AEC5-DD4914D39E77}"/>
    <cellStyle name="Millares 4 3 2 2 2 2 2 2" xfId="45786" xr:uid="{5B83B9FF-06A3-49ED-A303-576EE2C7829D}"/>
    <cellStyle name="Millares 4 3 2 2 2 2 3" xfId="13466" xr:uid="{882133B8-89BE-4688-8FBC-99BC3D41338D}"/>
    <cellStyle name="Millares 4 3 2 2 2 2 4" xfId="43390" xr:uid="{BF220F14-1A0F-443D-A402-60B94C31EAA7}"/>
    <cellStyle name="Millares 4 3 2 2 2 2 5" xfId="48283" xr:uid="{3A9B5689-C9AD-4B64-BA11-A62D6DBB5DC4}"/>
    <cellStyle name="Millares 4 3 2 2 2 3" xfId="2773" xr:uid="{4F46455E-CE1C-43FE-A0B1-8A8403382F1B}"/>
    <cellStyle name="Millares 4 3 2 2 2 3 2" xfId="11044" xr:uid="{3F536C95-B13D-43AF-9A50-CCFB4385A379}"/>
    <cellStyle name="Millares 4 3 2 2 2 3 2 2" xfId="46204" xr:uid="{E77C4A06-D6CF-4ED6-8F62-5B68D20DBDB5}"/>
    <cellStyle name="Millares 4 3 2 2 2 3 3" xfId="13884" xr:uid="{1178E782-E465-413E-BA4B-4EEF5831E2D9}"/>
    <cellStyle name="Millares 4 3 2 2 2 3 4" xfId="43808" xr:uid="{9B295415-C8C5-4391-9109-83B6875A9572}"/>
    <cellStyle name="Millares 4 3 2 2 2 3 5" xfId="48701" xr:uid="{D3E67825-7D27-4D0A-B8E9-C8B38DB77C5A}"/>
    <cellStyle name="Millares 4 3 2 2 2 4" xfId="3317" xr:uid="{64B19F66-96BE-4B20-A53B-C298F4C04F23}"/>
    <cellStyle name="Millares 4 3 2 2 2 4 2" xfId="11588" xr:uid="{3D9DEF29-64D6-4E5C-8F1D-7EB82E6EB2CD}"/>
    <cellStyle name="Millares 4 3 2 2 2 4 2 2" xfId="46748" xr:uid="{62E1A99E-2536-4D89-B2B0-157892D1B731}"/>
    <cellStyle name="Millares 4 3 2 2 2 4 3" xfId="14428" xr:uid="{1B94649B-36D8-4D51-A513-B8A030F42BD9}"/>
    <cellStyle name="Millares 4 3 2 2 2 4 4" xfId="44352" xr:uid="{47D3A6BA-9A87-4CC0-B09F-9A5D34D35646}"/>
    <cellStyle name="Millares 4 3 2 2 2 4 5" xfId="49245" xr:uid="{1A38E0DF-8B68-4563-9441-7595D0762FB1}"/>
    <cellStyle name="Millares 4 3 2 2 2 5" xfId="3819" xr:uid="{AD1B453D-CF78-45C0-9B3B-A23B9B483E9E}"/>
    <cellStyle name="Millares 4 3 2 2 2 5 2" xfId="12060" xr:uid="{095BA17A-91F0-444D-8220-9000F96692E4}"/>
    <cellStyle name="Millares 4 3 2 2 2 5 3" xfId="14900" xr:uid="{2C0496F1-29E6-4B66-8EF4-6AA6F217B260}"/>
    <cellStyle name="Millares 4 3 2 2 2 5 4" xfId="44824" xr:uid="{DE3E873E-BF62-4C93-8B9E-B2E96289BA5D}"/>
    <cellStyle name="Millares 4 3 2 2 2 5 5" xfId="49717" xr:uid="{DA139EC7-1B96-4041-A285-C62214E0574E}"/>
    <cellStyle name="Millares 4 3 2 2 2 6" xfId="10082" xr:uid="{1F8F62C3-207D-4B88-B22F-E2A37443D905}"/>
    <cellStyle name="Millares 4 3 2 2 2 6 2" xfId="45242" xr:uid="{A9D12E0E-E830-47BA-AA92-350A32685777}"/>
    <cellStyle name="Millares 4 3 2 2 2 7" xfId="12922" xr:uid="{5428A5DD-D269-4B01-9F61-D4F665E9F4B5}"/>
    <cellStyle name="Millares 4 3 2 2 2 8" xfId="16265" xr:uid="{057F587C-A817-437D-A5D5-4E05F7346884}"/>
    <cellStyle name="Millares 4 3 2 2 2 9" xfId="16808" xr:uid="{C32E4409-1407-4475-BE68-D50FBD44D263}"/>
    <cellStyle name="Millares 4 3 2 2 3" xfId="2143" xr:uid="{96B1546C-CBE8-455A-A533-E089F73C7A1E}"/>
    <cellStyle name="Millares 4 3 2 2 3 2" xfId="10414" xr:uid="{D53A14DD-759D-4218-8679-B58CD293D86D}"/>
    <cellStyle name="Millares 4 3 2 2 3 2 2" xfId="45574" xr:uid="{F615234D-D240-4A8D-AD75-FA35E6B1001E}"/>
    <cellStyle name="Millares 4 3 2 2 3 3" xfId="13254" xr:uid="{6269B6DD-1788-4B56-B8BC-95915877C7C5}"/>
    <cellStyle name="Millares 4 3 2 2 3 4" xfId="28402" xr:uid="{2C8DF496-3578-4A80-98EB-0766797B2C6F}"/>
    <cellStyle name="Millares 4 3 2 2 3 5" xfId="43178" xr:uid="{A20AEEB1-3D2A-496B-A8A6-ADFBCD33A13B}"/>
    <cellStyle name="Millares 4 3 2 2 3 6" xfId="48071" xr:uid="{E5EC9C97-62A6-41E2-B209-9F7C2C3171B7}"/>
    <cellStyle name="Millares 4 3 2 2 4" xfId="2561" xr:uid="{04942D92-F76D-49B1-8AFE-7E261EFF0BA8}"/>
    <cellStyle name="Millares 4 3 2 2 4 2" xfId="10832" xr:uid="{662576C5-3E64-4145-86FB-887A0023A0FD}"/>
    <cellStyle name="Millares 4 3 2 2 4 2 2" xfId="45992" xr:uid="{75FADD15-BBFB-4763-8C21-5449BBE0D252}"/>
    <cellStyle name="Millares 4 3 2 2 4 3" xfId="13672" xr:uid="{81B145AD-EF7A-4A9F-AA40-EC2AF2F00511}"/>
    <cellStyle name="Millares 4 3 2 2 4 4" xfId="34284" xr:uid="{73F883C3-7EA1-4AD3-A060-862C98BA427C}"/>
    <cellStyle name="Millares 4 3 2 2 4 5" xfId="43596" xr:uid="{1BCEE7A8-ADDE-42E0-84FC-69B3F6F1FF0A}"/>
    <cellStyle name="Millares 4 3 2 2 4 6" xfId="48489" xr:uid="{4C913131-4A2C-4C55-BFC3-54036B7A4C5D}"/>
    <cellStyle name="Millares 4 3 2 2 5" xfId="3105" xr:uid="{F20E4C79-2DF1-422A-899D-441AFF0C915D}"/>
    <cellStyle name="Millares 4 3 2 2 5 2" xfId="11376" xr:uid="{C4579D84-9C02-4758-B67C-3FBB904D7741}"/>
    <cellStyle name="Millares 4 3 2 2 5 2 2" xfId="46536" xr:uid="{1EBE5841-0347-43FA-9333-FCBCDC7A3928}"/>
    <cellStyle name="Millares 4 3 2 2 5 3" xfId="14216" xr:uid="{CF9B8830-5E92-4936-88E4-1134DB806548}"/>
    <cellStyle name="Millares 4 3 2 2 5 4" xfId="40148" xr:uid="{9A1049AA-D014-4F69-9F2C-79334BE58B4A}"/>
    <cellStyle name="Millares 4 3 2 2 5 5" xfId="44140" xr:uid="{92EB7EAA-5729-4401-9E2E-81B340E42BC8}"/>
    <cellStyle name="Millares 4 3 2 2 5 6" xfId="49033" xr:uid="{425DF002-6D9D-4A3B-8692-1ACFAC17B188}"/>
    <cellStyle name="Millares 4 3 2 2 6" xfId="3607" xr:uid="{99EA1EB4-E2A8-4C42-8412-5E718D4EA055}"/>
    <cellStyle name="Millares 4 3 2 2 6 2" xfId="11848" xr:uid="{3C5B959E-F08A-4CE7-981E-B0C94A1823F5}"/>
    <cellStyle name="Millares 4 3 2 2 6 3" xfId="14688" xr:uid="{099A9419-BA60-4755-A623-9F87C8174F56}"/>
    <cellStyle name="Millares 4 3 2 2 6 4" xfId="44612" xr:uid="{A31D3317-3FC6-45C2-876E-72E577C0E89D}"/>
    <cellStyle name="Millares 4 3 2 2 6 5" xfId="49505" xr:uid="{7635105B-B40F-42D9-9039-B29169252AC7}"/>
    <cellStyle name="Millares 4 3 2 2 7" xfId="8169" xr:uid="{5DA54317-5E0B-47C8-A20B-ED1045AA4508}"/>
    <cellStyle name="Millares 4 3 2 2 7 2" xfId="45030" xr:uid="{F536F97A-F459-4324-A059-2844AA13A23E}"/>
    <cellStyle name="Millares 4 3 2 2 8" xfId="9870" xr:uid="{3578DC41-5BDC-484B-84F3-3F1A7D651019}"/>
    <cellStyle name="Millares 4 3 2 2 9" xfId="12710" xr:uid="{4DF34945-9D1B-4691-9ED3-FA39E77A64EB}"/>
    <cellStyle name="Millares 4 3 2 3" xfId="438" xr:uid="{00000000-0005-0000-0000-000040020000}"/>
    <cellStyle name="Millares 4 3 2 3 10" xfId="17252" xr:uid="{6EE701BA-94E2-4BC9-B9C5-E3949B4B8F1D}"/>
    <cellStyle name="Millares 4 3 2 3 11" xfId="19770" xr:uid="{30EA946F-BEF2-4A73-903F-F3A06F5533A7}"/>
    <cellStyle name="Millares 4 3 2 3 12" xfId="17881" xr:uid="{E88908C1-0602-4C86-B3D0-CCEF8DDA2BC4}"/>
    <cellStyle name="Millares 4 3 2 3 13" xfId="42746" xr:uid="{F4B117D2-18A3-479F-9C11-5CC3DA745705}"/>
    <cellStyle name="Millares 4 3 2 3 14" xfId="47639" xr:uid="{E3E04D68-B8FA-47EE-95BC-8212E48D50BA}"/>
    <cellStyle name="Millares 4 3 2 3 2" xfId="2255" xr:uid="{BAB8ABFA-42DC-4083-8785-F941BD181EF5}"/>
    <cellStyle name="Millares 4 3 2 3 2 2" xfId="10526" xr:uid="{997B03C5-EEA5-48A4-8E88-2B3158C78A58}"/>
    <cellStyle name="Millares 4 3 2 3 2 2 2" xfId="45686" xr:uid="{EA82F244-4779-4B64-8ABB-7CF985120126}"/>
    <cellStyle name="Millares 4 3 2 3 2 3" xfId="13366" xr:uid="{71A0FCA6-3C97-4E69-91B9-D89571EBB952}"/>
    <cellStyle name="Millares 4 3 2 3 2 4" xfId="43290" xr:uid="{B899383B-C049-406C-B82E-DF1FE6CC5A87}"/>
    <cellStyle name="Millares 4 3 2 3 2 5" xfId="48183" xr:uid="{C9B500A0-3C7D-4F95-9E0B-E589CFBB1390}"/>
    <cellStyle name="Millares 4 3 2 3 3" xfId="2673" xr:uid="{C09DD970-9071-40D8-948F-2D3C08D1F0EA}"/>
    <cellStyle name="Millares 4 3 2 3 3 2" xfId="10944" xr:uid="{176CB82D-DB8B-4D65-8CB6-0576F18A51C2}"/>
    <cellStyle name="Millares 4 3 2 3 3 2 2" xfId="46104" xr:uid="{838B0835-5FB1-479C-A94F-E5CF8412645C}"/>
    <cellStyle name="Millares 4 3 2 3 3 3" xfId="13784" xr:uid="{93E96993-0689-4F67-9A69-33FDE57DCF6F}"/>
    <cellStyle name="Millares 4 3 2 3 3 4" xfId="43708" xr:uid="{5573C0C2-BE46-457B-BDB6-282FAD2EBC05}"/>
    <cellStyle name="Millares 4 3 2 3 3 5" xfId="48601" xr:uid="{430E7343-F456-4442-903E-8261FC62E1FD}"/>
    <cellStyle name="Millares 4 3 2 3 4" xfId="3217" xr:uid="{0154674E-8953-4168-B741-C50A215DFDC2}"/>
    <cellStyle name="Millares 4 3 2 3 4 2" xfId="11488" xr:uid="{7A1AA3F7-9EB7-4E21-9DDD-BFA86D759113}"/>
    <cellStyle name="Millares 4 3 2 3 4 2 2" xfId="46648" xr:uid="{BA63A0E2-5216-49DF-8EB7-98F018C90EB2}"/>
    <cellStyle name="Millares 4 3 2 3 4 3" xfId="14328" xr:uid="{94B1D05C-FD90-4BA4-989E-32ADF7235ED9}"/>
    <cellStyle name="Millares 4 3 2 3 4 4" xfId="44252" xr:uid="{2C999F21-0858-49ED-9BA7-1A79FF84465A}"/>
    <cellStyle name="Millares 4 3 2 3 4 5" xfId="49145" xr:uid="{8024B8E6-B9F1-4D59-A758-9FF787BB0B9B}"/>
    <cellStyle name="Millares 4 3 2 3 5" xfId="3719" xr:uid="{E8FFE458-E937-4F4F-A63B-4186442BB747}"/>
    <cellStyle name="Millares 4 3 2 3 5 2" xfId="11960" xr:uid="{D68681EF-808F-4D64-B582-EB4247CE1023}"/>
    <cellStyle name="Millares 4 3 2 3 5 3" xfId="14800" xr:uid="{166B190E-9B91-431E-951E-B09EBA16397F}"/>
    <cellStyle name="Millares 4 3 2 3 5 4" xfId="44724" xr:uid="{493CDF99-FCAE-49B8-8B1A-0EF107165765}"/>
    <cellStyle name="Millares 4 3 2 3 5 5" xfId="49617" xr:uid="{28CB7EA7-D552-465A-80CC-ECE29B36BE12}"/>
    <cellStyle name="Millares 4 3 2 3 6" xfId="9982" xr:uid="{DD66A92D-E0AB-432F-9BA1-23ABCE13C0D3}"/>
    <cellStyle name="Millares 4 3 2 3 6 2" xfId="45142" xr:uid="{28AE8D92-DCCC-4D4F-96FB-280A58617596}"/>
    <cellStyle name="Millares 4 3 2 3 7" xfId="12822" xr:uid="{10485501-FF32-4077-95FE-28F4CB883A36}"/>
    <cellStyle name="Millares 4 3 2 3 8" xfId="16165" xr:uid="{40A1E989-8D1F-4B3C-969E-5D31B7D425DF}"/>
    <cellStyle name="Millares 4 3 2 3 9" xfId="16708" xr:uid="{AE95DC57-DC05-4E10-BECD-616C3707DBB0}"/>
    <cellStyle name="Millares 4 3 2 4" xfId="641" xr:uid="{00000000-0005-0000-0000-000041020000}"/>
    <cellStyle name="Millares 4 3 2 4 10" xfId="42948" xr:uid="{3253F177-9108-4901-836A-29B8CB5DAD94}"/>
    <cellStyle name="Millares 4 3 2 4 11" xfId="47841" xr:uid="{2CC4732A-922D-4D84-9518-4414CCE93267}"/>
    <cellStyle name="Millares 4 3 2 4 2" xfId="2875" xr:uid="{1C15925E-9587-44C5-82BF-80407FEFFECD}"/>
    <cellStyle name="Millares 4 3 2 4 2 2" xfId="11146" xr:uid="{07895DC5-C709-49C4-A928-7260524D0F2B}"/>
    <cellStyle name="Millares 4 3 2 4 2 2 2" xfId="46306" xr:uid="{F362BBDD-8971-4373-8018-2F1A3C3503E7}"/>
    <cellStyle name="Millares 4 3 2 4 2 3" xfId="13986" xr:uid="{4AB47EC8-4881-44C9-999F-C2EFCB3E0E58}"/>
    <cellStyle name="Millares 4 3 2 4 2 4" xfId="43910" xr:uid="{696AD790-8CED-4643-A9C0-7F68637B6EB8}"/>
    <cellStyle name="Millares 4 3 2 4 2 5" xfId="48803" xr:uid="{9A092B69-B58D-49A1-9BEF-18941937B5DD}"/>
    <cellStyle name="Millares 4 3 2 4 3" xfId="10184" xr:uid="{CD0A5594-AC1A-42D0-9F8D-415DBCF76534}"/>
    <cellStyle name="Millares 4 3 2 4 3 2" xfId="45344" xr:uid="{7AE8F8D1-A7D4-4F47-A12B-D8205A7E8BFD}"/>
    <cellStyle name="Millares 4 3 2 4 4" xfId="13024" xr:uid="{AE9C22E2-D3B5-411A-94EB-FBFC36BB0022}"/>
    <cellStyle name="Millares 4 3 2 4 5" xfId="16367" xr:uid="{9BC7E154-47F1-4B91-BF9C-A5331E2E877E}"/>
    <cellStyle name="Millares 4 3 2 4 6" xfId="16910" xr:uid="{7B19EE6C-605D-406B-838C-29218694337A}"/>
    <cellStyle name="Millares 4 3 2 4 7" xfId="17454" xr:uid="{127B34F7-6CD1-4828-BAAA-15B0554BC35B}"/>
    <cellStyle name="Millares 4 3 2 4 8" xfId="25553" xr:uid="{185231E0-129D-4608-8774-9A31161BD343}"/>
    <cellStyle name="Millares 4 3 2 4 9" xfId="17697" xr:uid="{733529BE-8461-41AD-99A3-E44CFD7F69FE}"/>
    <cellStyle name="Millares 4 3 2 5" xfId="2039" xr:uid="{B926E91B-1CCD-4B59-A6D8-C3D3CB79C3F9}"/>
    <cellStyle name="Millares 4 3 2 5 2" xfId="10310" xr:uid="{B3F3C37D-A069-4861-A432-0B65664C62F4}"/>
    <cellStyle name="Millares 4 3 2 5 2 2" xfId="45470" xr:uid="{CBC25354-CB5B-42DA-ACBE-996E636EFB19}"/>
    <cellStyle name="Millares 4 3 2 5 3" xfId="13150" xr:uid="{584E002E-6BD8-4E02-828D-6178ADD7A201}"/>
    <cellStyle name="Millares 4 3 2 5 4" xfId="31427" xr:uid="{BB331B69-8AA4-47CC-9336-622368152EA5}"/>
    <cellStyle name="Millares 4 3 2 5 5" xfId="43074" xr:uid="{7C274E8B-345B-4B2A-A662-1B8CA9556146}"/>
    <cellStyle name="Millares 4 3 2 5 6" xfId="47967" xr:uid="{DAEE6EEC-02D5-4947-B54C-7ABB6453BC49}"/>
    <cellStyle name="Millares 4 3 2 6" xfId="2457" xr:uid="{DAA0D8B4-FE30-4425-8480-5C1915CF12AC}"/>
    <cellStyle name="Millares 4 3 2 6 2" xfId="10728" xr:uid="{66AFDF01-9E96-4B4A-843C-AD186737A14E}"/>
    <cellStyle name="Millares 4 3 2 6 2 2" xfId="45888" xr:uid="{DDA3A46F-B41E-495F-BA91-5BD994C93646}"/>
    <cellStyle name="Millares 4 3 2 6 3" xfId="13568" xr:uid="{5EE80433-D481-42EF-8902-321814CBBBEE}"/>
    <cellStyle name="Millares 4 3 2 6 4" xfId="37298" xr:uid="{638E3C33-EB46-48F8-BCAE-F735A00DB7F8}"/>
    <cellStyle name="Millares 4 3 2 6 5" xfId="43492" xr:uid="{00D7E9BB-C2BB-4AEE-B998-72EF4BA4A664}"/>
    <cellStyle name="Millares 4 3 2 6 6" xfId="48385" xr:uid="{F1522E0F-EE19-418C-9BA7-0B25BB975579}"/>
    <cellStyle name="Millares 4 3 2 7" xfId="3001" xr:uid="{AD8D53BD-3AB5-4F56-887E-77389C0A3056}"/>
    <cellStyle name="Millares 4 3 2 7 2" xfId="11272" xr:uid="{9F8D8340-E2FC-439E-8933-84F3283CDCDB}"/>
    <cellStyle name="Millares 4 3 2 7 2 2" xfId="46432" xr:uid="{16F1CA5A-9675-4AAF-B322-587A4B00F2F8}"/>
    <cellStyle name="Millares 4 3 2 7 3" xfId="14112" xr:uid="{98B64BB2-E4DA-4A76-84CE-5AD7F56949C4}"/>
    <cellStyle name="Millares 4 3 2 7 4" xfId="44036" xr:uid="{2B511BA8-4171-4837-9DF0-A05E86033708}"/>
    <cellStyle name="Millares 4 3 2 7 5" xfId="48929" xr:uid="{72E205D1-4C8E-40B1-B7BB-980111DCE906}"/>
    <cellStyle name="Millares 4 3 2 8" xfId="3503" xr:uid="{A595D679-9453-41E9-A74F-ED7F842F5F8D}"/>
    <cellStyle name="Millares 4 3 2 8 2" xfId="11744" xr:uid="{7A2832A8-C92C-48B0-9AEB-29F37E1B388C}"/>
    <cellStyle name="Millares 4 3 2 8 3" xfId="14584" xr:uid="{1EFD1F08-6D1A-466C-91FE-3D49BC2CBE28}"/>
    <cellStyle name="Millares 4 3 2 8 4" xfId="44508" xr:uid="{93AA718B-9DFC-4176-ADF0-46A1FBE7A88D}"/>
    <cellStyle name="Millares 4 3 2 8 5" xfId="49401" xr:uid="{A98CE3A0-3EF6-4933-ABD0-38645A2FAB63}"/>
    <cellStyle name="Millares 4 3 2 9" xfId="5302" xr:uid="{63D6CA35-1D6A-4493-902A-0C6630D2D1E7}"/>
    <cellStyle name="Millares 4 3 2 9 2" xfId="44926" xr:uid="{E7501EA1-134A-4221-9832-80159FA9A0C1}"/>
    <cellStyle name="Millares 4 3 20" xfId="42307" xr:uid="{C01AA386-D2BE-447A-B7A2-4527ED510F37}"/>
    <cellStyle name="Millares 4 3 21" xfId="42461" xr:uid="{661A2F11-04F8-41AE-80F0-94D3BFA16FEF}"/>
    <cellStyle name="Millares 4 3 22" xfId="47354" xr:uid="{15598177-DAC5-4BD4-81C9-F8AF1AEEB032}"/>
    <cellStyle name="Millares 4 3 23" xfId="50339" xr:uid="{315C8A4E-28A3-4429-A304-0AEECC541198}"/>
    <cellStyle name="Millares 4 3 3" xfId="157" xr:uid="{00000000-0005-0000-0000-000042020000}"/>
    <cellStyle name="Millares 4 3 3 10" xfId="9725" xr:uid="{B1785BCD-8CE4-4338-B53C-870ED6999DD2}"/>
    <cellStyle name="Millares 4 3 3 11" xfId="12565" xr:uid="{6E822E8E-4E8B-436B-8996-784C676B6848}"/>
    <cellStyle name="Millares 4 3 3 12" xfId="15908" xr:uid="{2B2A871A-3DD2-43BC-8F8E-D1F4D6FEE998}"/>
    <cellStyle name="Millares 4 3 3 13" xfId="16451" xr:uid="{4D07AD04-6527-42F8-9A58-F7EF0514F8BD}"/>
    <cellStyle name="Millares 4 3 3 14" xfId="16995" xr:uid="{077FD2F1-2388-461F-BB15-FD67674D0CA0}"/>
    <cellStyle name="Millares 4 3 3 15" xfId="18245" xr:uid="{E477328E-92C8-4756-BB53-4DCE60C01282}"/>
    <cellStyle name="Millares 4 3 3 16" xfId="42489" xr:uid="{B16EC64A-0151-43B3-9B02-96C99AA149FC}"/>
    <cellStyle name="Millares 4 3 3 17" xfId="47382" xr:uid="{E85F89DF-5FAD-493B-841F-5230AAD1112D}"/>
    <cellStyle name="Millares 4 3 3 2" xfId="271" xr:uid="{00000000-0005-0000-0000-000043020000}"/>
    <cellStyle name="Millares 4 3 3 2 10" xfId="16555" xr:uid="{1822D2E6-C63D-41A4-BA5F-E3CBC59D9908}"/>
    <cellStyle name="Millares 4 3 3 2 11" xfId="17099" xr:uid="{94F5D681-A6DF-4DE7-A351-DA63B6886F13}"/>
    <cellStyle name="Millares 4 3 3 2 12" xfId="21604" xr:uid="{4C404E34-8841-40A7-96BB-42280880B710}"/>
    <cellStyle name="Millares 4 3 3 2 13" xfId="18269" xr:uid="{15862DCD-22FE-4A71-8080-4E1608A6C027}"/>
    <cellStyle name="Millares 4 3 3 2 14" xfId="42593" xr:uid="{370E026C-134F-406C-A09D-CD9A3368E964}"/>
    <cellStyle name="Millares 4 3 3 2 15" xfId="47486" xr:uid="{B46FD121-61F8-4D42-8597-3DBDC834D865}"/>
    <cellStyle name="Millares 4 3 3 2 2" xfId="498" xr:uid="{00000000-0005-0000-0000-000044020000}"/>
    <cellStyle name="Millares 4 3 3 2 2 10" xfId="17311" xr:uid="{3E89D705-5313-4731-AAA6-4584E586694C}"/>
    <cellStyle name="Millares 4 3 3 2 2 11" xfId="17957" xr:uid="{E132472C-CC35-43EC-ADBE-D34BAB9E9C3B}"/>
    <cellStyle name="Millares 4 3 3 2 2 12" xfId="42805" xr:uid="{843FADBB-1EC4-42DF-B639-075E74CF2ACE}"/>
    <cellStyle name="Millares 4 3 3 2 2 13" xfId="47698" xr:uid="{8B943825-7DCC-4495-A67D-7D8657A5A396}"/>
    <cellStyle name="Millares 4 3 3 2 2 2" xfId="2314" xr:uid="{1323E801-BD32-4EC3-9A23-DB2324971EE1}"/>
    <cellStyle name="Millares 4 3 3 2 2 2 2" xfId="10585" xr:uid="{25BB3E2C-5D12-4B11-86A9-0DB2B1017DB6}"/>
    <cellStyle name="Millares 4 3 3 2 2 2 2 2" xfId="45745" xr:uid="{2595C5BA-11EE-4BF7-9C6B-58DF2698483D}"/>
    <cellStyle name="Millares 4 3 3 2 2 2 3" xfId="13425" xr:uid="{3FB1ECF1-6EC8-4630-8F34-7933ED23941F}"/>
    <cellStyle name="Millares 4 3 3 2 2 2 4" xfId="43349" xr:uid="{C9AAF294-B2B3-45C1-86A4-209A44BC0746}"/>
    <cellStyle name="Millares 4 3 3 2 2 2 5" xfId="48242" xr:uid="{96B16503-2431-435B-9E35-DEE7932E35B4}"/>
    <cellStyle name="Millares 4 3 3 2 2 3" xfId="2732" xr:uid="{EDE1CF69-88AF-4832-A7BD-DD6D105CFCFC}"/>
    <cellStyle name="Millares 4 3 3 2 2 3 2" xfId="11003" xr:uid="{67819185-7201-41C9-BD4C-A5503743D282}"/>
    <cellStyle name="Millares 4 3 3 2 2 3 2 2" xfId="46163" xr:uid="{DF2BD459-63DC-48A4-9278-EE6E6294EFC4}"/>
    <cellStyle name="Millares 4 3 3 2 2 3 3" xfId="13843" xr:uid="{5E1EE73F-C221-4C07-B81A-11C42BD930D9}"/>
    <cellStyle name="Millares 4 3 3 2 2 3 4" xfId="43767" xr:uid="{CD6AAC1A-DBD4-4E3B-9D74-8565B0225BE9}"/>
    <cellStyle name="Millares 4 3 3 2 2 3 5" xfId="48660" xr:uid="{01EC46FF-6CF4-4141-9503-07B75A5BC724}"/>
    <cellStyle name="Millares 4 3 3 2 2 4" xfId="3276" xr:uid="{91A0E544-8084-4368-94E0-BC2F51F2C7E2}"/>
    <cellStyle name="Millares 4 3 3 2 2 4 2" xfId="11547" xr:uid="{48692A3F-EBC1-495D-8A72-422F11901C54}"/>
    <cellStyle name="Millares 4 3 3 2 2 4 2 2" xfId="46707" xr:uid="{D4358FBB-FBF0-4B84-9503-1D155D65EF88}"/>
    <cellStyle name="Millares 4 3 3 2 2 4 3" xfId="14387" xr:uid="{35A88A8F-5137-49A2-8ED5-3584AC663819}"/>
    <cellStyle name="Millares 4 3 3 2 2 4 4" xfId="44311" xr:uid="{A614BC5C-2A70-4AAF-BD7C-8A4AE87B81B0}"/>
    <cellStyle name="Millares 4 3 3 2 2 4 5" xfId="49204" xr:uid="{B90E7988-612A-45EE-9B98-6210F0C8A237}"/>
    <cellStyle name="Millares 4 3 3 2 2 5" xfId="3778" xr:uid="{0D26EFC5-67F1-4D82-8030-1FA78527586A}"/>
    <cellStyle name="Millares 4 3 3 2 2 5 2" xfId="12019" xr:uid="{EE502995-EA8E-45E8-8E75-1D4C2B031DDE}"/>
    <cellStyle name="Millares 4 3 3 2 2 5 3" xfId="14859" xr:uid="{905ACDE7-550F-4B6E-85C6-62F018F7AD7D}"/>
    <cellStyle name="Millares 4 3 3 2 2 5 4" xfId="44783" xr:uid="{483FA5E3-3B14-4268-A41A-A67E4C902F75}"/>
    <cellStyle name="Millares 4 3 3 2 2 5 5" xfId="49676" xr:uid="{18975060-7A89-48FE-AA84-81BC189968D7}"/>
    <cellStyle name="Millares 4 3 3 2 2 6" xfId="10041" xr:uid="{B0FAE97A-75F4-4AD1-A39E-88C13F9F1A12}"/>
    <cellStyle name="Millares 4 3 3 2 2 6 2" xfId="45201" xr:uid="{7F233F2F-C45A-4F1B-B1EA-6B78794A27F6}"/>
    <cellStyle name="Millares 4 3 3 2 2 7" xfId="12881" xr:uid="{A7312C4A-5D83-4FFC-8097-98086541DC4E}"/>
    <cellStyle name="Millares 4 3 3 2 2 8" xfId="16224" xr:uid="{D487C370-01BF-448E-A872-FF4108DD4B6C}"/>
    <cellStyle name="Millares 4 3 3 2 2 9" xfId="16767" xr:uid="{A85D9FEF-907B-459A-A6D1-D864614AF24F}"/>
    <cellStyle name="Millares 4 3 3 2 3" xfId="2102" xr:uid="{964B901C-C2F2-4305-95DE-8B0416526EB1}"/>
    <cellStyle name="Millares 4 3 3 2 3 2" xfId="10373" xr:uid="{7119E9CB-9225-40C9-9D29-B400B61F0AC4}"/>
    <cellStyle name="Millares 4 3 3 2 3 2 2" xfId="45533" xr:uid="{181E5ABF-8F14-4CCC-9749-23D6C79831A2}"/>
    <cellStyle name="Millares 4 3 3 2 3 3" xfId="13213" xr:uid="{D930E287-9882-4BCA-9C92-7BDAE3926F99}"/>
    <cellStyle name="Millares 4 3 3 2 3 4" xfId="43137" xr:uid="{97D7B2E0-413E-4F00-BA4B-2156B9A3DDD0}"/>
    <cellStyle name="Millares 4 3 3 2 3 5" xfId="48030" xr:uid="{A8497F17-FB11-46EA-9170-91CAC3526FFE}"/>
    <cellStyle name="Millares 4 3 3 2 4" xfId="2520" xr:uid="{55C200E4-4294-4327-AF3F-83F422A0C746}"/>
    <cellStyle name="Millares 4 3 3 2 4 2" xfId="10791" xr:uid="{C0B1F37F-1E2A-4D88-84E6-AF92D8917805}"/>
    <cellStyle name="Millares 4 3 3 2 4 2 2" xfId="45951" xr:uid="{9C653BCE-C047-4F3F-8DDA-E3AD842D0C14}"/>
    <cellStyle name="Millares 4 3 3 2 4 3" xfId="13631" xr:uid="{79E32261-FC15-449B-B868-7383B6F59AAC}"/>
    <cellStyle name="Millares 4 3 3 2 4 4" xfId="43555" xr:uid="{7E1A295E-7A15-4FAB-B3BE-BEB5E4FC7B69}"/>
    <cellStyle name="Millares 4 3 3 2 4 5" xfId="48448" xr:uid="{D77AEB2B-03B1-4147-8139-32DF26443148}"/>
    <cellStyle name="Millares 4 3 3 2 5" xfId="3064" xr:uid="{6B663E56-0DA2-48EE-8E4B-B6161E11C72D}"/>
    <cellStyle name="Millares 4 3 3 2 5 2" xfId="11335" xr:uid="{674F5B31-A9D4-40CF-96CF-EF062BD00CCB}"/>
    <cellStyle name="Millares 4 3 3 2 5 2 2" xfId="46495" xr:uid="{2B0A270C-B3FD-4686-81C5-1F469DE34248}"/>
    <cellStyle name="Millares 4 3 3 2 5 3" xfId="14175" xr:uid="{73FE200C-562D-4ADE-858E-C3FD18FE5791}"/>
    <cellStyle name="Millares 4 3 3 2 5 4" xfId="44099" xr:uid="{46097278-CEA0-40B1-B0D6-83A393D5EF59}"/>
    <cellStyle name="Millares 4 3 3 2 5 5" xfId="48992" xr:uid="{8D3B0184-97DE-4655-9769-C288668301B1}"/>
    <cellStyle name="Millares 4 3 3 2 6" xfId="3566" xr:uid="{956DE4B1-84E0-40BD-ADD7-622BA99D8B50}"/>
    <cellStyle name="Millares 4 3 3 2 6 2" xfId="11807" xr:uid="{14B2014E-FD23-4E47-9512-39C195503912}"/>
    <cellStyle name="Millares 4 3 3 2 6 3" xfId="14647" xr:uid="{0055C1A7-3C5C-4066-88C5-C1F6A8146710}"/>
    <cellStyle name="Millares 4 3 3 2 6 4" xfId="44571" xr:uid="{7C8FC637-AA60-4089-86C0-E7C6D87835C2}"/>
    <cellStyle name="Millares 4 3 3 2 6 5" xfId="49464" xr:uid="{EA93CE5A-D697-494F-9C0A-C71545FEA9CF}"/>
    <cellStyle name="Millares 4 3 3 2 7" xfId="9829" xr:uid="{90059D86-7362-4160-96BE-ACFAD5BCAE34}"/>
    <cellStyle name="Millares 4 3 3 2 7 2" xfId="44989" xr:uid="{62A5378C-E079-473C-A321-7BC18611A41A}"/>
    <cellStyle name="Millares 4 3 3 2 8" xfId="12669" xr:uid="{1CBDBEE0-BE7D-49D8-9EF7-92AC8E6ED335}"/>
    <cellStyle name="Millares 4 3 3 2 9" xfId="16012" xr:uid="{2CD0CFB9-A752-44FF-99EB-6FC4C18BF44A}"/>
    <cellStyle name="Millares 4 3 3 3" xfId="397" xr:uid="{00000000-0005-0000-0000-000045020000}"/>
    <cellStyle name="Millares 4 3 3 3 10" xfId="17211" xr:uid="{71B8ABE3-D444-4E06-85F1-E60EBBEAA9B1}"/>
    <cellStyle name="Millares 4 3 3 3 11" xfId="27431" xr:uid="{8E407613-8405-48B0-8618-7FF8C7EB838F}"/>
    <cellStyle name="Millares 4 3 3 3 12" xfId="17695" xr:uid="{712031D7-9C47-41D5-B950-BA43B2E10413}"/>
    <cellStyle name="Millares 4 3 3 3 13" xfId="42705" xr:uid="{FB42CDD7-3935-4545-808D-0A6C48FE96FC}"/>
    <cellStyle name="Millares 4 3 3 3 14" xfId="47598" xr:uid="{86A0D0A4-8305-453D-97C4-6E6DCE7CB4AE}"/>
    <cellStyle name="Millares 4 3 3 3 2" xfId="2214" xr:uid="{2890AD4E-4E7D-45EF-B910-54220ABB934E}"/>
    <cellStyle name="Millares 4 3 3 3 2 2" xfId="10485" xr:uid="{F6502D5F-61AE-4520-AD41-B9BE6AB8387E}"/>
    <cellStyle name="Millares 4 3 3 3 2 2 2" xfId="45645" xr:uid="{4A7B1AF2-B359-4BDE-A528-38BBD83AC2FD}"/>
    <cellStyle name="Millares 4 3 3 3 2 3" xfId="13325" xr:uid="{0CE11A86-51DD-4C8A-A4FE-FB56F87D95CA}"/>
    <cellStyle name="Millares 4 3 3 3 2 4" xfId="43249" xr:uid="{DC643868-1768-41C9-A1A4-3AE65A5F2B1F}"/>
    <cellStyle name="Millares 4 3 3 3 2 5" xfId="48142" xr:uid="{C22A099D-8B55-43DE-A120-FDA0E4BBF5EC}"/>
    <cellStyle name="Millares 4 3 3 3 3" xfId="2632" xr:uid="{A910CC20-E59C-4C79-8BAF-509EA3807172}"/>
    <cellStyle name="Millares 4 3 3 3 3 2" xfId="10903" xr:uid="{C4E9BEEC-7E01-45D0-B671-68FECC5EF50D}"/>
    <cellStyle name="Millares 4 3 3 3 3 2 2" xfId="46063" xr:uid="{F8D9CDD2-56D6-4C2C-8C0F-8F7D8B2286DC}"/>
    <cellStyle name="Millares 4 3 3 3 3 3" xfId="13743" xr:uid="{6AD6E102-102D-47AF-84AD-1622BCECEBBB}"/>
    <cellStyle name="Millares 4 3 3 3 3 4" xfId="43667" xr:uid="{7E441558-E4B2-4218-9311-79CA0A8C638E}"/>
    <cellStyle name="Millares 4 3 3 3 3 5" xfId="48560" xr:uid="{25545E43-9804-4DC7-AAC8-C050AAEBD7F1}"/>
    <cellStyle name="Millares 4 3 3 3 4" xfId="3176" xr:uid="{C28989CB-EEF1-4049-BC4E-6F6F090378BC}"/>
    <cellStyle name="Millares 4 3 3 3 4 2" xfId="11447" xr:uid="{15278196-729B-4A9F-A4D3-6C735C400454}"/>
    <cellStyle name="Millares 4 3 3 3 4 2 2" xfId="46607" xr:uid="{690F602F-6036-4413-918A-3AAD5A093C53}"/>
    <cellStyle name="Millares 4 3 3 3 4 3" xfId="14287" xr:uid="{0C6D374C-AA09-4AE4-AD3A-1EC9B714D2BD}"/>
    <cellStyle name="Millares 4 3 3 3 4 4" xfId="44211" xr:uid="{2B36F462-D8FD-4E16-A3AA-2CA84676AAE2}"/>
    <cellStyle name="Millares 4 3 3 3 4 5" xfId="49104" xr:uid="{71C9A797-56F2-4727-8555-E4CE08DAAA60}"/>
    <cellStyle name="Millares 4 3 3 3 5" xfId="3678" xr:uid="{C4684862-790C-4602-966A-08E0916B292B}"/>
    <cellStyle name="Millares 4 3 3 3 5 2" xfId="11919" xr:uid="{8E39800E-C20D-4DC2-841D-EE9BFBF17C5D}"/>
    <cellStyle name="Millares 4 3 3 3 5 3" xfId="14759" xr:uid="{C97B7149-885C-4E42-9700-F3E0368033B4}"/>
    <cellStyle name="Millares 4 3 3 3 5 4" xfId="44683" xr:uid="{03DFDFB7-C927-4779-BB14-EB83F5D17E72}"/>
    <cellStyle name="Millares 4 3 3 3 5 5" xfId="49576" xr:uid="{51BABBF5-C1FE-48CE-A8FF-4CB99C468B96}"/>
    <cellStyle name="Millares 4 3 3 3 6" xfId="9941" xr:uid="{B62A65B9-A676-4E85-8068-3291877BC11D}"/>
    <cellStyle name="Millares 4 3 3 3 6 2" xfId="45101" xr:uid="{4CC1889B-CCD2-4597-B472-8CA5ECFA24B1}"/>
    <cellStyle name="Millares 4 3 3 3 7" xfId="12781" xr:uid="{02C16599-A95E-4202-AB22-3575722F7A16}"/>
    <cellStyle name="Millares 4 3 3 3 8" xfId="16124" xr:uid="{52F8B17B-AECB-4D56-8122-70051299EDC2}"/>
    <cellStyle name="Millares 4 3 3 3 9" xfId="16667" xr:uid="{FF3EF9C2-761A-4F51-9813-DC2D3BCD2CDD}"/>
    <cellStyle name="Millares 4 3 3 4" xfId="600" xr:uid="{00000000-0005-0000-0000-000046020000}"/>
    <cellStyle name="Millares 4 3 3 4 10" xfId="42907" xr:uid="{9F80DEB3-9E3D-495D-ABBA-BDFA8789F4DE}"/>
    <cellStyle name="Millares 4 3 3 4 11" xfId="47800" xr:uid="{7B9783A0-67EA-4EA7-B52F-4F206C3C2C38}"/>
    <cellStyle name="Millares 4 3 3 4 2" xfId="2834" xr:uid="{14F9245C-6F3E-472A-A4F3-9D9EA25D3DE5}"/>
    <cellStyle name="Millares 4 3 3 4 2 2" xfId="11105" xr:uid="{2A0608E8-7F02-4C9D-9B7A-4B6D73242679}"/>
    <cellStyle name="Millares 4 3 3 4 2 2 2" xfId="46265" xr:uid="{147F73B6-393E-457F-9485-1FB276629D42}"/>
    <cellStyle name="Millares 4 3 3 4 2 3" xfId="13945" xr:uid="{4016FBB2-09B7-4F59-AB7B-8837EB1D3192}"/>
    <cellStyle name="Millares 4 3 3 4 2 4" xfId="43869" xr:uid="{2E93D23E-6F5F-4111-B796-31386DCA6872}"/>
    <cellStyle name="Millares 4 3 3 4 2 5" xfId="48762" xr:uid="{7F101E83-9DF4-44C6-903F-D8EFE5E312F3}"/>
    <cellStyle name="Millares 4 3 3 4 3" xfId="10143" xr:uid="{7DFC6F8D-D9F1-41D7-B6AC-5D621B1C4E6C}"/>
    <cellStyle name="Millares 4 3 3 4 3 2" xfId="45303" xr:uid="{A451183A-B725-4994-8449-FEBCEAB039B5}"/>
    <cellStyle name="Millares 4 3 3 4 4" xfId="12983" xr:uid="{7C06BEDB-BC89-402E-933C-8028EA896ED6}"/>
    <cellStyle name="Millares 4 3 3 4 5" xfId="16326" xr:uid="{96F42C55-CF9F-4C07-87C8-D8300E864144}"/>
    <cellStyle name="Millares 4 3 3 4 6" xfId="16869" xr:uid="{00E25B7F-3DDE-4443-A1B6-812114B88D6C}"/>
    <cellStyle name="Millares 4 3 3 4 7" xfId="17413" xr:uid="{86923516-EDE2-49B6-A9BB-CACE08807370}"/>
    <cellStyle name="Millares 4 3 3 4 8" xfId="33313" xr:uid="{4E1CBB78-96B1-4BBA-8FF9-CCACD739CED8}"/>
    <cellStyle name="Millares 4 3 3 4 9" xfId="19461" xr:uid="{202DADAE-80F3-438D-9313-B6798098D9D6}"/>
    <cellStyle name="Millares 4 3 3 5" xfId="1998" xr:uid="{223F20FF-10B0-4E02-B8B9-299ED2FA0C8B}"/>
    <cellStyle name="Millares 4 3 3 5 2" xfId="10269" xr:uid="{F8576E62-44D2-499E-BB7C-5133093E6558}"/>
    <cellStyle name="Millares 4 3 3 5 2 2" xfId="45429" xr:uid="{EC43B2E9-302E-45D2-99FB-7AA86E168137}"/>
    <cellStyle name="Millares 4 3 3 5 3" xfId="13109" xr:uid="{933EFC34-8C38-4C27-B9F9-7BFADDDFE76A}"/>
    <cellStyle name="Millares 4 3 3 5 4" xfId="39177" xr:uid="{98DA79C7-09B0-469B-91DF-03D59E1834AD}"/>
    <cellStyle name="Millares 4 3 3 5 5" xfId="43033" xr:uid="{4ACA0FF4-7FFE-4A54-930B-E76969775A25}"/>
    <cellStyle name="Millares 4 3 3 5 6" xfId="47926" xr:uid="{6499E9CC-CCE5-42BB-A4DF-3F44C63A406D}"/>
    <cellStyle name="Millares 4 3 3 6" xfId="2416" xr:uid="{58BF452E-72F5-4E8E-B33C-A35F153C1800}"/>
    <cellStyle name="Millares 4 3 3 6 2" xfId="10687" xr:uid="{59F9EED6-4E3B-4BBD-99EB-069C2FCDBDA2}"/>
    <cellStyle name="Millares 4 3 3 6 2 2" xfId="45847" xr:uid="{52C220CB-F9A1-45CB-BB0E-7539EF543097}"/>
    <cellStyle name="Millares 4 3 3 6 3" xfId="13527" xr:uid="{41D5EA49-769E-4EC4-901D-1DBD5900F8D5}"/>
    <cellStyle name="Millares 4 3 3 6 4" xfId="43451" xr:uid="{821A36D8-0A35-4BF6-95F9-7D4D40B2E05E}"/>
    <cellStyle name="Millares 4 3 3 6 5" xfId="48344" xr:uid="{76244698-1770-4363-9343-E882DA2E8FFD}"/>
    <cellStyle name="Millares 4 3 3 7" xfId="2960" xr:uid="{04E8C325-4C0A-429B-AC05-4A547745ADFA}"/>
    <cellStyle name="Millares 4 3 3 7 2" xfId="11231" xr:uid="{59A5BEC2-1E99-4E8B-B904-5370C9E53A5B}"/>
    <cellStyle name="Millares 4 3 3 7 2 2" xfId="46391" xr:uid="{505D0A6A-5FA1-4ADB-87BD-B84ED2D33BFD}"/>
    <cellStyle name="Millares 4 3 3 7 3" xfId="14071" xr:uid="{FFF44B32-C2AB-4894-A9E4-72C0E9D3A5A1}"/>
    <cellStyle name="Millares 4 3 3 7 4" xfId="43995" xr:uid="{1F414886-4EB6-4CB9-8B73-388838D7145C}"/>
    <cellStyle name="Millares 4 3 3 7 5" xfId="48888" xr:uid="{323CD967-4887-40D8-BBA7-997AFD3187AC}"/>
    <cellStyle name="Millares 4 3 3 8" xfId="3462" xr:uid="{5273FF95-A6E6-4712-BF2A-F44B68029CDA}"/>
    <cellStyle name="Millares 4 3 3 8 2" xfId="11703" xr:uid="{59757D4D-5EA0-4539-9285-00AAC122F025}"/>
    <cellStyle name="Millares 4 3 3 8 3" xfId="14543" xr:uid="{D70CCE83-1943-4C84-BBB6-1603488263DA}"/>
    <cellStyle name="Millares 4 3 3 8 4" xfId="44467" xr:uid="{B474D1A9-AF8E-4A5E-920A-8B3AD7C755BA}"/>
    <cellStyle name="Millares 4 3 3 8 5" xfId="49360" xr:uid="{1EB0B8D7-A030-4994-A0CD-33EEB4D324D3}"/>
    <cellStyle name="Millares 4 3 3 9" xfId="7197" xr:uid="{0A91BA72-66FE-475D-B6D0-7DEB7830738E}"/>
    <cellStyle name="Millares 4 3 3 9 2" xfId="44885" xr:uid="{67C22279-95DD-4A15-BC66-24C013D6E8D3}"/>
    <cellStyle name="Millares 4 3 4" xfId="243" xr:uid="{00000000-0005-0000-0000-000047020000}"/>
    <cellStyle name="Millares 4 3 4 10" xfId="16527" xr:uid="{8205F957-7DA1-4D56-AF36-776419D344F0}"/>
    <cellStyle name="Millares 4 3 4 11" xfId="17071" xr:uid="{06251787-9D83-4DFE-A63E-33E372C4C025}"/>
    <cellStyle name="Millares 4 3 4 12" xfId="18841" xr:uid="{2EDBF41E-00A4-48AE-960C-BAF0779ADE1F}"/>
    <cellStyle name="Millares 4 3 4 13" xfId="18062" xr:uid="{AC25CD58-4FEB-412B-AC78-7787E51C7F76}"/>
    <cellStyle name="Millares 4 3 4 14" xfId="42565" xr:uid="{64385A34-0043-4104-B57F-36DA418319BB}"/>
    <cellStyle name="Millares 4 3 4 15" xfId="47458" xr:uid="{4AB69BED-64EC-433E-B0C2-85EA9FB1570F}"/>
    <cellStyle name="Millares 4 3 4 2" xfId="470" xr:uid="{00000000-0005-0000-0000-000048020000}"/>
    <cellStyle name="Millares 4 3 4 2 10" xfId="17283" xr:uid="{9642AA94-1304-4016-8FBC-7DA9CA2E5F9E}"/>
    <cellStyle name="Millares 4 3 4 2 11" xfId="17650" xr:uid="{7B29B80A-7A79-4E2C-93DD-6FA287C57CBC}"/>
    <cellStyle name="Millares 4 3 4 2 12" xfId="42777" xr:uid="{DC18BFD9-DF53-48F5-B059-9297CAD99FCD}"/>
    <cellStyle name="Millares 4 3 4 2 13" xfId="47670" xr:uid="{AC5E2C08-173B-4E38-8659-BAB5B71B10EE}"/>
    <cellStyle name="Millares 4 3 4 2 2" xfId="2286" xr:uid="{6DD50C22-8BDB-4D85-9C8F-4D4B9525234E}"/>
    <cellStyle name="Millares 4 3 4 2 2 2" xfId="10557" xr:uid="{B8CFB054-4D87-493D-A1BA-04B534DDC104}"/>
    <cellStyle name="Millares 4 3 4 2 2 2 2" xfId="45717" xr:uid="{7C732C3C-F0A7-4F73-AAA2-BF50BBB6AA31}"/>
    <cellStyle name="Millares 4 3 4 2 2 3" xfId="13397" xr:uid="{B8488CC4-D551-494A-B789-613D19081056}"/>
    <cellStyle name="Millares 4 3 4 2 2 4" xfId="43321" xr:uid="{49339ED9-FEA6-4851-A76A-70DD197A5815}"/>
    <cellStyle name="Millares 4 3 4 2 2 5" xfId="48214" xr:uid="{CF6A28F0-F890-48EF-98F1-C423017025C8}"/>
    <cellStyle name="Millares 4 3 4 2 3" xfId="2704" xr:uid="{534E79C1-631A-4C19-B854-D6182518869B}"/>
    <cellStyle name="Millares 4 3 4 2 3 2" xfId="10975" xr:uid="{8A574716-6081-464C-9D63-B6F1A14059B3}"/>
    <cellStyle name="Millares 4 3 4 2 3 2 2" xfId="46135" xr:uid="{900D2338-0EE6-4E14-B91C-B08BB1764200}"/>
    <cellStyle name="Millares 4 3 4 2 3 3" xfId="13815" xr:uid="{CA39C207-2C47-45A8-B4D1-87EAB301CC4C}"/>
    <cellStyle name="Millares 4 3 4 2 3 4" xfId="43739" xr:uid="{365FF27F-807A-4102-BF30-B2441534FF8E}"/>
    <cellStyle name="Millares 4 3 4 2 3 5" xfId="48632" xr:uid="{CC0C979F-C219-4971-BE18-180F3A89BBC3}"/>
    <cellStyle name="Millares 4 3 4 2 4" xfId="3248" xr:uid="{1F80399F-61CD-4E4B-A850-CB1FA3C1EF1A}"/>
    <cellStyle name="Millares 4 3 4 2 4 2" xfId="11519" xr:uid="{859204E5-85F3-4928-9DA4-6A6D3C805295}"/>
    <cellStyle name="Millares 4 3 4 2 4 2 2" xfId="46679" xr:uid="{C3A6CEF4-BB1B-4BDD-A751-79D75E5255F2}"/>
    <cellStyle name="Millares 4 3 4 2 4 3" xfId="14359" xr:uid="{201DA5FF-0647-4C36-B075-912762CEB724}"/>
    <cellStyle name="Millares 4 3 4 2 4 4" xfId="44283" xr:uid="{F7DAEFB1-8060-4585-8A8F-0FC17FA3ED53}"/>
    <cellStyle name="Millares 4 3 4 2 4 5" xfId="49176" xr:uid="{5462363B-6B3C-4334-8E90-8D89D5516ED8}"/>
    <cellStyle name="Millares 4 3 4 2 5" xfId="3750" xr:uid="{4F4BDEE7-329F-4704-9536-B6AEAE578B1D}"/>
    <cellStyle name="Millares 4 3 4 2 5 2" xfId="11991" xr:uid="{591E0196-282C-4CF8-B34F-88EED8D3EBEA}"/>
    <cellStyle name="Millares 4 3 4 2 5 3" xfId="14831" xr:uid="{FD7B3CB9-C9ED-4234-975B-153BBED21A36}"/>
    <cellStyle name="Millares 4 3 4 2 5 4" xfId="44755" xr:uid="{76DB6C27-2E5F-42E4-B2E8-F17F08552BFA}"/>
    <cellStyle name="Millares 4 3 4 2 5 5" xfId="49648" xr:uid="{ECC560AB-F39A-48C9-B08F-972148AB8813}"/>
    <cellStyle name="Millares 4 3 4 2 6" xfId="10013" xr:uid="{EA73190E-818C-4E76-9765-B31CA1570891}"/>
    <cellStyle name="Millares 4 3 4 2 6 2" xfId="45173" xr:uid="{AA9FAC81-570D-4663-8FE4-F428D4887A14}"/>
    <cellStyle name="Millares 4 3 4 2 7" xfId="12853" xr:uid="{594C8F9D-518F-491F-A7DC-D1930C548A3C}"/>
    <cellStyle name="Millares 4 3 4 2 8" xfId="16196" xr:uid="{9643AD9B-52CF-4361-9ABE-5D794EAA7368}"/>
    <cellStyle name="Millares 4 3 4 2 9" xfId="16739" xr:uid="{87AD21FB-423A-4F16-B2D0-4FAADFAF094C}"/>
    <cellStyle name="Millares 4 3 4 3" xfId="2074" xr:uid="{1D516228-244F-4EB2-B2B1-0DC13A21CA65}"/>
    <cellStyle name="Millares 4 3 4 3 2" xfId="10345" xr:uid="{0797691C-F2E9-431E-9A48-B4B9E5307096}"/>
    <cellStyle name="Millares 4 3 4 3 2 2" xfId="45505" xr:uid="{A2AD8864-3B43-4810-93A9-F277997B5F06}"/>
    <cellStyle name="Millares 4 3 4 3 3" xfId="13185" xr:uid="{B53393B6-623E-47ED-9657-2AFEBA3D7FE4}"/>
    <cellStyle name="Millares 4 3 4 3 4" xfId="43109" xr:uid="{67495454-D452-4758-8567-7FE40C65985A}"/>
    <cellStyle name="Millares 4 3 4 3 5" xfId="48002" xr:uid="{0930093C-A0A1-4313-AB6E-C45DEA4B28CA}"/>
    <cellStyle name="Millares 4 3 4 4" xfId="2492" xr:uid="{8C15C5DF-F2C9-45A5-B8CA-104891A2FBD9}"/>
    <cellStyle name="Millares 4 3 4 4 2" xfId="10763" xr:uid="{77D0DEDD-03DE-494D-A872-1532FA09A65A}"/>
    <cellStyle name="Millares 4 3 4 4 2 2" xfId="45923" xr:uid="{BFDF989F-C5B8-4355-B3A9-D5E799773428}"/>
    <cellStyle name="Millares 4 3 4 4 3" xfId="13603" xr:uid="{58AA3195-C561-487E-A2C8-5E6EA77AA2FE}"/>
    <cellStyle name="Millares 4 3 4 4 4" xfId="43527" xr:uid="{1F1F1C33-ECF7-4617-9AC9-C63869ED6CE9}"/>
    <cellStyle name="Millares 4 3 4 4 5" xfId="48420" xr:uid="{0578EFAC-C32F-4FC6-81F6-6C0AA8FEC86F}"/>
    <cellStyle name="Millares 4 3 4 5" xfId="3036" xr:uid="{3774B347-5633-43D7-BF6B-534576E915EC}"/>
    <cellStyle name="Millares 4 3 4 5 2" xfId="11307" xr:uid="{21A0E933-9B11-4DB6-8912-19D61888D43E}"/>
    <cellStyle name="Millares 4 3 4 5 2 2" xfId="46467" xr:uid="{FED70F08-A6AB-4160-9D5E-A729E7481D3B}"/>
    <cellStyle name="Millares 4 3 4 5 3" xfId="14147" xr:uid="{F68A2C2F-5078-461B-A804-2A45179703D6}"/>
    <cellStyle name="Millares 4 3 4 5 4" xfId="44071" xr:uid="{2A052B9C-23CA-45FA-8A7D-8762BBA42E12}"/>
    <cellStyle name="Millares 4 3 4 5 5" xfId="48964" xr:uid="{235E8368-B608-44BC-97B0-9CD4DE7DDB54}"/>
    <cellStyle name="Millares 4 3 4 6" xfId="3538" xr:uid="{D2FC7C4C-D08F-4D8D-8095-D6A438C01FAD}"/>
    <cellStyle name="Millares 4 3 4 6 2" xfId="11779" xr:uid="{1A80B7F2-375E-4E89-9C4D-C416C57833D4}"/>
    <cellStyle name="Millares 4 3 4 6 3" xfId="14619" xr:uid="{B3FB6590-5EBB-45E6-A59E-291960F79B9F}"/>
    <cellStyle name="Millares 4 3 4 6 4" xfId="44543" xr:uid="{02A306C9-97C1-4ECD-A524-97FD73992EB5}"/>
    <cellStyle name="Millares 4 3 4 6 5" xfId="49436" xr:uid="{1C1BB2C4-B4BF-449A-A9B6-DF00424E3F0A}"/>
    <cellStyle name="Millares 4 3 4 7" xfId="9801" xr:uid="{D726CC8D-FCB0-44CD-9AD4-9AE492639CAE}"/>
    <cellStyle name="Millares 4 3 4 7 2" xfId="44961" xr:uid="{785385AF-0B74-4CF1-B30E-522A39AD518D}"/>
    <cellStyle name="Millares 4 3 4 8" xfId="12641" xr:uid="{D7E48F48-1DF2-46F0-9DF3-41492E4E9EF4}"/>
    <cellStyle name="Millares 4 3 4 9" xfId="15984" xr:uid="{12770DB6-0F90-4BAA-A9CA-1E5E3D2B5260}"/>
    <cellStyle name="Millares 4 3 5" xfId="369" xr:uid="{00000000-0005-0000-0000-000049020000}"/>
    <cellStyle name="Millares 4 3 5 10" xfId="17183" xr:uid="{9CCCA3A4-232B-4615-A790-F9E74AB94FFA}"/>
    <cellStyle name="Millares 4 3 5 11" xfId="24582" xr:uid="{DF06FBDC-97BC-4C64-AC62-FB1E89E257B7}"/>
    <cellStyle name="Millares 4 3 5 12" xfId="17580" xr:uid="{6567B2C8-2BC7-4DAD-AB65-F41120635484}"/>
    <cellStyle name="Millares 4 3 5 13" xfId="42677" xr:uid="{FD21AE47-9662-4321-89E1-85ABE85E4996}"/>
    <cellStyle name="Millares 4 3 5 14" xfId="47570" xr:uid="{FCDC3375-1192-4334-9BD1-939505AA01FA}"/>
    <cellStyle name="Millares 4 3 5 2" xfId="2186" xr:uid="{77E60883-ED7A-4AFD-B0BB-42C4AB136E5C}"/>
    <cellStyle name="Millares 4 3 5 2 2" xfId="10457" xr:uid="{69790B2B-D734-418B-8358-9E52E95A6133}"/>
    <cellStyle name="Millares 4 3 5 2 2 2" xfId="45617" xr:uid="{F18A0DD2-42F3-4768-8A61-062EE7CDF27F}"/>
    <cellStyle name="Millares 4 3 5 2 3" xfId="13297" xr:uid="{276766FF-4C26-484C-A053-C90E0EC71EB2}"/>
    <cellStyle name="Millares 4 3 5 2 4" xfId="43221" xr:uid="{5468E0CA-BE13-4EDB-B083-F39269A6D8CE}"/>
    <cellStyle name="Millares 4 3 5 2 5" xfId="48114" xr:uid="{A28B1B03-DC59-4944-8725-0CBE90D7F8B2}"/>
    <cellStyle name="Millares 4 3 5 3" xfId="2604" xr:uid="{BFEBD1C7-D0DE-4BCA-A5EB-BFA64742EC56}"/>
    <cellStyle name="Millares 4 3 5 3 2" xfId="10875" xr:uid="{6BB57B5F-2A13-4A18-9D35-B9235A88F48E}"/>
    <cellStyle name="Millares 4 3 5 3 2 2" xfId="46035" xr:uid="{1C00B606-977E-4447-9590-A2DCA2C4E71D}"/>
    <cellStyle name="Millares 4 3 5 3 3" xfId="13715" xr:uid="{8BDAC46A-878A-47BC-8178-3B3044C12122}"/>
    <cellStyle name="Millares 4 3 5 3 4" xfId="43639" xr:uid="{50D9BF6F-595B-4810-8A62-7221F34408E6}"/>
    <cellStyle name="Millares 4 3 5 3 5" xfId="48532" xr:uid="{401628C2-6F15-4902-BBF9-ECCE7C8BAD8B}"/>
    <cellStyle name="Millares 4 3 5 4" xfId="3148" xr:uid="{39A58A3C-B6C6-4342-AF7E-4CC565D7CCD8}"/>
    <cellStyle name="Millares 4 3 5 4 2" xfId="11419" xr:uid="{810963AB-737D-423D-85C3-95F3307B52B9}"/>
    <cellStyle name="Millares 4 3 5 4 2 2" xfId="46579" xr:uid="{BB7E20F8-0870-4B87-8193-7F170BBE90D5}"/>
    <cellStyle name="Millares 4 3 5 4 3" xfId="14259" xr:uid="{CD801BF3-3F9C-407B-936A-D3DF822C70D7}"/>
    <cellStyle name="Millares 4 3 5 4 4" xfId="44183" xr:uid="{BDDC6787-97B3-45A5-9858-DA32148E69D7}"/>
    <cellStyle name="Millares 4 3 5 4 5" xfId="49076" xr:uid="{B2B79A8F-F4E5-4676-8AD9-82D102562819}"/>
    <cellStyle name="Millares 4 3 5 5" xfId="3650" xr:uid="{FE2F81B8-54E4-469A-B5EF-8FB111DA789C}"/>
    <cellStyle name="Millares 4 3 5 5 2" xfId="11891" xr:uid="{2EE051B3-7D59-414C-96DC-094C1EAC4777}"/>
    <cellStyle name="Millares 4 3 5 5 3" xfId="14731" xr:uid="{D41854D5-5B73-4CD4-8A42-E5F138D6B299}"/>
    <cellStyle name="Millares 4 3 5 5 4" xfId="44655" xr:uid="{57EAE8DA-0C21-47FF-A42F-EFDA3C4EFD16}"/>
    <cellStyle name="Millares 4 3 5 5 5" xfId="49548" xr:uid="{B12348BC-C54C-42A2-98F4-37DA5EB3CD83}"/>
    <cellStyle name="Millares 4 3 5 6" xfId="9913" xr:uid="{6E07E7DA-B7F0-40BD-9554-B6133294A803}"/>
    <cellStyle name="Millares 4 3 5 6 2" xfId="45073" xr:uid="{F8C1F358-C46D-4ECD-A55C-CC3EB34CA417}"/>
    <cellStyle name="Millares 4 3 5 7" xfId="12753" xr:uid="{52C56418-FF46-4DFE-BCE1-AB780CF12FFE}"/>
    <cellStyle name="Millares 4 3 5 8" xfId="16096" xr:uid="{B48CF060-2E29-408D-A313-22FFEA93670B}"/>
    <cellStyle name="Millares 4 3 5 9" xfId="16639" xr:uid="{2E0E9DF4-F4F1-44F8-8E2B-F6B7FAD48E8E}"/>
    <cellStyle name="Millares 4 3 6" xfId="572" xr:uid="{00000000-0005-0000-0000-00004A020000}"/>
    <cellStyle name="Millares 4 3 6 10" xfId="42879" xr:uid="{6650B89B-BEE7-4F69-B6E9-6AECF10A349B}"/>
    <cellStyle name="Millares 4 3 6 11" xfId="47772" xr:uid="{950BE275-C542-4849-90AA-9C1384A95BD2}"/>
    <cellStyle name="Millares 4 3 6 2" xfId="2806" xr:uid="{031A7B0A-1CB8-4D11-919B-4473DB81C8A8}"/>
    <cellStyle name="Millares 4 3 6 2 2" xfId="11077" xr:uid="{6C63F1B0-88AC-417A-9A28-43E607BEF7B5}"/>
    <cellStyle name="Millares 4 3 6 2 2 2" xfId="46237" xr:uid="{05211741-9A53-48F3-BD8C-561920F42ACB}"/>
    <cellStyle name="Millares 4 3 6 2 3" xfId="13917" xr:uid="{3C76EBBC-5692-41FB-9EAF-5055C97E8C7A}"/>
    <cellStyle name="Millares 4 3 6 2 4" xfId="43841" xr:uid="{074F4526-691F-4E93-A455-460DE2ADD420}"/>
    <cellStyle name="Millares 4 3 6 2 5" xfId="48734" xr:uid="{F789DD3D-C5AB-4CC9-83A9-47BA20BD36B1}"/>
    <cellStyle name="Millares 4 3 6 3" xfId="10115" xr:uid="{2C5EBC69-B317-4427-9916-9BB722811C16}"/>
    <cellStyle name="Millares 4 3 6 3 2" xfId="45275" xr:uid="{E6635749-8E37-45BD-822F-AAD4420C68CB}"/>
    <cellStyle name="Millares 4 3 6 4" xfId="12955" xr:uid="{87A5D961-D904-44B0-8786-9213DD6536B7}"/>
    <cellStyle name="Millares 4 3 6 5" xfId="16298" xr:uid="{8D61603D-FFF9-497F-807C-8B4B6495F39A}"/>
    <cellStyle name="Millares 4 3 6 6" xfId="16841" xr:uid="{EC7CFFC8-03A9-4349-A29A-10BE51080242}"/>
    <cellStyle name="Millares 4 3 6 7" xfId="17385" xr:uid="{7C88331D-A218-4E07-8EA6-C6E1207788D7}"/>
    <cellStyle name="Millares 4 3 6 8" xfId="30461" xr:uid="{5D43B097-8DE4-4F32-9FD7-9A5E33C25524}"/>
    <cellStyle name="Millares 4 3 6 9" xfId="23455" xr:uid="{AD05E49A-EB13-48A3-BB2C-F3A794B6B8A0}"/>
    <cellStyle name="Millares 4 3 7" xfId="1932" xr:uid="{00000000-0005-0000-0000-00004B020000}"/>
    <cellStyle name="Millares 4 3 7 2" xfId="36341" xr:uid="{A380FFD7-AD06-4E6C-8748-8D904557939E}"/>
    <cellStyle name="Millares 4 3 7 3" xfId="46935" xr:uid="{FD4ACA04-5227-4EC7-95CC-99665E0F99CF}"/>
    <cellStyle name="Millares 4 3 7 4" xfId="47056" xr:uid="{3C53FA8B-AD36-4AF6-8258-7B994E6A1D7D}"/>
    <cellStyle name="Millares 4 3 8" xfId="1970" xr:uid="{73DC1EF8-8D22-4F52-BF2C-D9A8D1FAFD4A}"/>
    <cellStyle name="Millares 4 3 8 2" xfId="10241" xr:uid="{B650B184-C65A-4996-8C66-DC8B6D2F0DF0}"/>
    <cellStyle name="Millares 4 3 8 2 2" xfId="45401" xr:uid="{404347D6-5F9E-4DF3-91E6-799F2F9AC609}"/>
    <cellStyle name="Millares 4 3 8 3" xfId="13081" xr:uid="{BB0AD164-508D-4ACE-B96E-797C0994BC08}"/>
    <cellStyle name="Millares 4 3 8 4" xfId="43005" xr:uid="{F2EED8FC-13BA-42F9-AD0E-97340B0D6B41}"/>
    <cellStyle name="Millares 4 3 8 5" xfId="47898" xr:uid="{2ED84777-A17E-4191-AED0-8019847292AD}"/>
    <cellStyle name="Millares 4 3 9" xfId="2388" xr:uid="{AD3E37E4-EE28-4B32-8DAF-7A4C4E45D9E5}"/>
    <cellStyle name="Millares 4 3 9 2" xfId="10659" xr:uid="{B019B12E-826B-4309-A97E-4683E7572FE5}"/>
    <cellStyle name="Millares 4 3 9 2 2" xfId="45819" xr:uid="{07BA49C3-9BE6-4225-80D8-551819C40023}"/>
    <cellStyle name="Millares 4 3 9 3" xfId="13499" xr:uid="{F6184479-FD52-4486-9C82-27693D8B0089}"/>
    <cellStyle name="Millares 4 3 9 4" xfId="43423" xr:uid="{01BC9128-355A-4D22-A80E-B90197363CBD}"/>
    <cellStyle name="Millares 4 3 9 5" xfId="48316" xr:uid="{569F749D-C98E-4FB7-81E9-30F1E39B9FAD}"/>
    <cellStyle name="Millares 4 4" xfId="185" xr:uid="{00000000-0005-0000-0000-00004C020000}"/>
    <cellStyle name="Millares 4 4 2" xfId="7684" xr:uid="{CE5EF2BD-60F3-458E-B91B-2E363D108CEC}"/>
    <cellStyle name="Millares 4 4 2 2" xfId="22074" xr:uid="{7B6BB381-3092-421F-BB81-0EEA345A392D}"/>
    <cellStyle name="Millares 4 4 2 3" xfId="27917" xr:uid="{98DEFDAC-6666-48F7-911D-92574BBD01A1}"/>
    <cellStyle name="Millares 4 4 2 4" xfId="33799" xr:uid="{35AF9CA8-B6A2-4D33-BEAC-1483725A3D0A}"/>
    <cellStyle name="Millares 4 4 2 5" xfId="39663" xr:uid="{94B71A8A-8936-443F-ABBE-E507775FC36B}"/>
    <cellStyle name="Millares 4 4 2 6" xfId="46936" xr:uid="{088FDC86-DB58-453A-8029-06ECDF24683D}"/>
    <cellStyle name="Millares 4 4 2 7" xfId="47076" xr:uid="{5F727874-5865-4897-8601-A910B8482C7A}"/>
    <cellStyle name="Millares 4 4 3" xfId="19300" xr:uid="{F9DD1B97-5673-4F7F-B6FA-598F7681944F}"/>
    <cellStyle name="Millares 4 4 4" xfId="25068" xr:uid="{B9D98DE0-F32B-4B68-89EA-5E3706368284}"/>
    <cellStyle name="Millares 4 4 5" xfId="30942" xr:uid="{8D373C67-7E3E-4949-9266-B6E2C75BA1E3}"/>
    <cellStyle name="Millares 4 4 6" xfId="36821" xr:uid="{42C38E0B-4953-4793-8787-54D48F0E5EEE}"/>
    <cellStyle name="Millares 4 4 7" xfId="42308" xr:uid="{CA658F96-06F8-4BB5-87EF-3092DB37D960}"/>
    <cellStyle name="Millares 4 4 8" xfId="46937" xr:uid="{FBABDBD3-FB77-4D19-AB03-94E3C903C83A}"/>
    <cellStyle name="Millares 4 4 9" xfId="47030" xr:uid="{0C589530-383F-4EE6-A7F6-B70E4BA0F05C}"/>
    <cellStyle name="Millares 4 5" xfId="165" xr:uid="{00000000-0005-0000-0000-00004D020000}"/>
    <cellStyle name="Millares 4 5 10" xfId="9732" xr:uid="{F44FBF9F-8766-4CEF-B85E-E3C687AE5E70}"/>
    <cellStyle name="Millares 4 5 11" xfId="12572" xr:uid="{EFC698A5-0C64-4EAA-B102-DEB60A51971D}"/>
    <cellStyle name="Millares 4 5 12" xfId="15915" xr:uid="{49C0210A-B597-450D-9F72-071C440F7C71}"/>
    <cellStyle name="Millares 4 5 13" xfId="16458" xr:uid="{6BD68816-5A72-4DF7-B4A5-77C2A4C57EC2}"/>
    <cellStyle name="Millares 4 5 14" xfId="17002" xr:uid="{C126FF61-7EFE-4D7E-B42E-BB6452CD84BB}"/>
    <cellStyle name="Millares 4 5 15" xfId="18210" xr:uid="{F93FDF1E-A4CA-48CB-A300-FBA2EA819B90}"/>
    <cellStyle name="Millares 4 5 16" xfId="42309" xr:uid="{D065838A-21E9-4936-9890-18E18B6E355F}"/>
    <cellStyle name="Millares 4 5 17" xfId="42496" xr:uid="{F1C576A0-E67A-4437-9FDE-24DC7CBFCE80}"/>
    <cellStyle name="Millares 4 5 18" xfId="47389" xr:uid="{82B8BD51-4879-4B60-B5E4-72AF0455AE06}"/>
    <cellStyle name="Millares 4 5 2" xfId="278" xr:uid="{00000000-0005-0000-0000-00004E020000}"/>
    <cellStyle name="Millares 4 5 2 10" xfId="16019" xr:uid="{8DB138D3-9C16-4D9B-9FEE-320CD6693EEB}"/>
    <cellStyle name="Millares 4 5 2 11" xfId="16562" xr:uid="{6DC6C624-7BC8-40B1-AB61-323B51D8C4D9}"/>
    <cellStyle name="Millares 4 5 2 12" xfId="17106" xr:uid="{09ADB378-EC0A-4979-B30A-41703FF294AE}"/>
    <cellStyle name="Millares 4 5 2 13" xfId="17876" xr:uid="{841D9BAF-EB7F-4B03-98D6-55B7A2606D9F}"/>
    <cellStyle name="Millares 4 5 2 14" xfId="42600" xr:uid="{F5F97AA4-A088-4C8B-9B30-A2AEE0BB3649}"/>
    <cellStyle name="Millares 4 5 2 15" xfId="47493" xr:uid="{3743FF19-CF45-400F-9D45-CB96FA296652}"/>
    <cellStyle name="Millares 4 5 2 2" xfId="505" xr:uid="{00000000-0005-0000-0000-00004F020000}"/>
    <cellStyle name="Millares 4 5 2 2 10" xfId="17318" xr:uid="{C4638883-D637-4B42-A84E-D9ECF20981AF}"/>
    <cellStyle name="Millares 4 5 2 2 11" xfId="23064" xr:uid="{FFBAC4E1-7C65-4E7B-A95D-5268D7E29DA4}"/>
    <cellStyle name="Millares 4 5 2 2 12" xfId="19489" xr:uid="{59623A32-E274-4B52-BD6C-1A2C8F664632}"/>
    <cellStyle name="Millares 4 5 2 2 13" xfId="42812" xr:uid="{19B65162-94E9-4F55-8E7D-855082E3BE54}"/>
    <cellStyle name="Millares 4 5 2 2 14" xfId="47705" xr:uid="{D9E66825-8194-4517-9C56-792245BEF774}"/>
    <cellStyle name="Millares 4 5 2 2 2" xfId="2321" xr:uid="{405D351E-3690-48EE-95C3-15EB13047F19}"/>
    <cellStyle name="Millares 4 5 2 2 2 2" xfId="10592" xr:uid="{A313D7D0-CDF0-4EED-BBED-0B4FB8AAEBDB}"/>
    <cellStyle name="Millares 4 5 2 2 2 2 2" xfId="45752" xr:uid="{2B384DF1-1589-4EB2-9FF9-BE40C7925CE9}"/>
    <cellStyle name="Millares 4 5 2 2 2 3" xfId="13432" xr:uid="{85456FAD-7A92-48BA-9534-4F65A442BFF2}"/>
    <cellStyle name="Millares 4 5 2 2 2 4" xfId="43356" xr:uid="{8062A2EF-5F59-4BD0-9058-68371AAD0287}"/>
    <cellStyle name="Millares 4 5 2 2 2 5" xfId="48249" xr:uid="{7D9B3F9B-FE2A-45D1-B044-B096C4DA07A6}"/>
    <cellStyle name="Millares 4 5 2 2 3" xfId="2739" xr:uid="{F9B1471D-F3F3-4CB6-812F-AB7817CFF2AF}"/>
    <cellStyle name="Millares 4 5 2 2 3 2" xfId="11010" xr:uid="{1C13B179-4E6B-4FCD-A817-4A63B550E6BE}"/>
    <cellStyle name="Millares 4 5 2 2 3 2 2" xfId="46170" xr:uid="{C3303B47-1F66-4B79-BDE1-DA39E6E242A9}"/>
    <cellStyle name="Millares 4 5 2 2 3 3" xfId="13850" xr:uid="{4398719E-8349-442F-A2E0-6E5517141F19}"/>
    <cellStyle name="Millares 4 5 2 2 3 4" xfId="43774" xr:uid="{5AC82B2A-7275-4A46-A9DA-058A47E70BF8}"/>
    <cellStyle name="Millares 4 5 2 2 3 5" xfId="48667" xr:uid="{7A4386D1-A610-4876-8A66-30D232E1C0CE}"/>
    <cellStyle name="Millares 4 5 2 2 4" xfId="3283" xr:uid="{7554F850-B175-49DE-90DC-F9E406839D66}"/>
    <cellStyle name="Millares 4 5 2 2 4 2" xfId="11554" xr:uid="{0A5CB237-B2B7-4CEC-BAC3-049F85B287B8}"/>
    <cellStyle name="Millares 4 5 2 2 4 2 2" xfId="46714" xr:uid="{1D69833A-AF05-494E-908A-7544D22936E6}"/>
    <cellStyle name="Millares 4 5 2 2 4 3" xfId="14394" xr:uid="{A06AC838-81D0-4B11-A7CC-C864E37A6225}"/>
    <cellStyle name="Millares 4 5 2 2 4 4" xfId="44318" xr:uid="{C2F9D781-F3F1-4AAA-B28C-707AF91A2B2B}"/>
    <cellStyle name="Millares 4 5 2 2 4 5" xfId="49211" xr:uid="{26A5DCC6-1E51-46AE-A05D-C03C9D4E4FE0}"/>
    <cellStyle name="Millares 4 5 2 2 5" xfId="3785" xr:uid="{F2E3F44E-9BD3-4E87-94A4-B24576A25A70}"/>
    <cellStyle name="Millares 4 5 2 2 5 2" xfId="12026" xr:uid="{13E5CC55-9167-4D7C-A545-BA68D58EC76E}"/>
    <cellStyle name="Millares 4 5 2 2 5 3" xfId="14866" xr:uid="{B79F0C45-5591-4DD3-A5FB-BEEFF12B9ABD}"/>
    <cellStyle name="Millares 4 5 2 2 5 4" xfId="44790" xr:uid="{83EF7BCD-D57D-4A87-9B49-B94452CB23CF}"/>
    <cellStyle name="Millares 4 5 2 2 5 5" xfId="49683" xr:uid="{EC982811-E09C-433E-AA57-34DC308FB276}"/>
    <cellStyle name="Millares 4 5 2 2 6" xfId="10048" xr:uid="{5C4FFCAE-49C2-423F-90A7-1BBD9724F467}"/>
    <cellStyle name="Millares 4 5 2 2 6 2" xfId="45208" xr:uid="{F5987C09-6B0C-4989-B700-BC2F5105913B}"/>
    <cellStyle name="Millares 4 5 2 2 7" xfId="12888" xr:uid="{83F349C3-E8BA-4D79-BE62-098CF5FF2DC3}"/>
    <cellStyle name="Millares 4 5 2 2 8" xfId="16231" xr:uid="{36FED066-A66B-4649-AF3F-74649AA3122F}"/>
    <cellStyle name="Millares 4 5 2 2 9" xfId="16774" xr:uid="{780C54CF-6E62-4D26-AF96-F96E286B8B15}"/>
    <cellStyle name="Millares 4 5 2 3" xfId="2109" xr:uid="{F2A01B11-2BC3-4D22-B2A7-69CD0AD73800}"/>
    <cellStyle name="Millares 4 5 2 3 2" xfId="10380" xr:uid="{18319A73-805F-47A5-8AE4-A6EE140573E7}"/>
    <cellStyle name="Millares 4 5 2 3 2 2" xfId="45540" xr:uid="{91D0574C-19C9-43BE-9C00-4623DF697837}"/>
    <cellStyle name="Millares 4 5 2 3 3" xfId="13220" xr:uid="{1E47B080-2023-49D2-A3CF-F69AFCD2B6AE}"/>
    <cellStyle name="Millares 4 5 2 3 4" xfId="28928" xr:uid="{ABF9A187-6DFD-4911-A806-DAED823DC821}"/>
    <cellStyle name="Millares 4 5 2 3 5" xfId="43144" xr:uid="{73976236-A1D1-40D5-B8DA-FF8ECF2486A6}"/>
    <cellStyle name="Millares 4 5 2 3 6" xfId="48037" xr:uid="{DA94AC0C-EAC8-434B-BFA6-453E5414BFBD}"/>
    <cellStyle name="Millares 4 5 2 4" xfId="2527" xr:uid="{325723E4-1DAF-44B1-BFB4-BE03A8BE1B4C}"/>
    <cellStyle name="Millares 4 5 2 4 2" xfId="10798" xr:uid="{87527DED-ED48-4830-B9DF-12E46EE936FB}"/>
    <cellStyle name="Millares 4 5 2 4 2 2" xfId="45958" xr:uid="{47D340EA-6658-4954-B59F-7D4E8730404E}"/>
    <cellStyle name="Millares 4 5 2 4 3" xfId="13638" xr:uid="{DF12C174-19C1-4750-80FB-59FB77392A38}"/>
    <cellStyle name="Millares 4 5 2 4 4" xfId="34810" xr:uid="{22ECEE99-DC97-4887-83E4-B8E747AB25C9}"/>
    <cellStyle name="Millares 4 5 2 4 5" xfId="43562" xr:uid="{C2F0680D-EAF8-4A78-9254-CB60F477ED49}"/>
    <cellStyle name="Millares 4 5 2 4 6" xfId="48455" xr:uid="{FEEEBD89-3473-478D-97BE-6ABBADEE38A1}"/>
    <cellStyle name="Millares 4 5 2 5" xfId="3071" xr:uid="{F7544F7C-64F5-4178-B15C-E95F172EF511}"/>
    <cellStyle name="Millares 4 5 2 5 2" xfId="11342" xr:uid="{71489EC9-149F-4D17-91C7-4007F76D77A9}"/>
    <cellStyle name="Millares 4 5 2 5 2 2" xfId="46502" xr:uid="{69A791D9-8D4A-45A9-89CF-7E78E4625FCA}"/>
    <cellStyle name="Millares 4 5 2 5 3" xfId="14182" xr:uid="{53FA01F2-A741-4016-90F3-C1CDFFF01DE0}"/>
    <cellStyle name="Millares 4 5 2 5 4" xfId="40674" xr:uid="{843FF12F-C450-4DD5-9515-358DD7A27387}"/>
    <cellStyle name="Millares 4 5 2 5 5" xfId="44106" xr:uid="{4A772508-F969-46F6-9C1E-ECFEE4F61A4D}"/>
    <cellStyle name="Millares 4 5 2 5 6" xfId="48999" xr:uid="{353FE197-D426-4449-8C70-431BC920E6CB}"/>
    <cellStyle name="Millares 4 5 2 6" xfId="3573" xr:uid="{D3B45705-FB65-482E-B036-2433910E6DBB}"/>
    <cellStyle name="Millares 4 5 2 6 2" xfId="11814" xr:uid="{2FEE6D0C-6951-425C-B886-BF06D73E2D36}"/>
    <cellStyle name="Millares 4 5 2 6 3" xfId="14654" xr:uid="{344D4689-E9CA-4188-A724-EE4A5FCE6280}"/>
    <cellStyle name="Millares 4 5 2 6 4" xfId="44578" xr:uid="{2DC1260A-8F2A-4727-8867-EE795672B74A}"/>
    <cellStyle name="Millares 4 5 2 6 5" xfId="49471" xr:uid="{6F858778-B591-40EB-B8DF-B77A67777562}"/>
    <cellStyle name="Millares 4 5 2 7" xfId="8696" xr:uid="{43A5F090-88A9-4F31-AC30-CC3FFFCC2063}"/>
    <cellStyle name="Millares 4 5 2 7 2" xfId="44996" xr:uid="{C844EFEE-A5B4-4706-B8EC-D5C486A4D6F8}"/>
    <cellStyle name="Millares 4 5 2 8" xfId="9836" xr:uid="{1E24F6C0-B4F3-45C7-A514-B66602486E0C}"/>
    <cellStyle name="Millares 4 5 2 9" xfId="12676" xr:uid="{8C23B9D5-44C0-4525-8FFF-4554F0B47069}"/>
    <cellStyle name="Millares 4 5 3" xfId="404" xr:uid="{00000000-0005-0000-0000-000050020000}"/>
    <cellStyle name="Millares 4 5 3 10" xfId="17218" xr:uid="{776F1BF5-37E7-4DC2-9A36-1AB5B76730C6}"/>
    <cellStyle name="Millares 4 5 3 11" xfId="20279" xr:uid="{949C687C-F1E6-4C13-B47E-BECD56E3EFD5}"/>
    <cellStyle name="Millares 4 5 3 12" xfId="18072" xr:uid="{D69E2BF9-4D26-405A-95FC-74D54DFFDFEE}"/>
    <cellStyle name="Millares 4 5 3 13" xfId="42712" xr:uid="{0D8FC852-43AB-4D3F-A228-C849A50D9DBB}"/>
    <cellStyle name="Millares 4 5 3 14" xfId="47605" xr:uid="{B05A86EF-BB11-4610-8E7C-2E89C187D358}"/>
    <cellStyle name="Millares 4 5 3 2" xfId="2221" xr:uid="{D50AB9B6-871A-45CD-BDD1-7EB794CAE029}"/>
    <cellStyle name="Millares 4 5 3 2 2" xfId="10492" xr:uid="{DB8DA57C-EE98-4B0E-BF62-8C2F7CBF1DA5}"/>
    <cellStyle name="Millares 4 5 3 2 2 2" xfId="45652" xr:uid="{06E84C11-AC69-43A3-ADF0-54E1D3E8476C}"/>
    <cellStyle name="Millares 4 5 3 2 3" xfId="13332" xr:uid="{B31D10CA-3DDB-4C1E-832E-7351E3336734}"/>
    <cellStyle name="Millares 4 5 3 2 4" xfId="43256" xr:uid="{A4DDAE50-B709-4800-8C5E-7E4AE6C361A4}"/>
    <cellStyle name="Millares 4 5 3 2 5" xfId="48149" xr:uid="{9DE8C6DD-F824-41A8-8EFB-40A3C7F36ED4}"/>
    <cellStyle name="Millares 4 5 3 3" xfId="2639" xr:uid="{B8B302FB-DAFD-49E8-A180-53D7FAB0AAFC}"/>
    <cellStyle name="Millares 4 5 3 3 2" xfId="10910" xr:uid="{5849A320-2838-4A29-9BF9-597EEA245C26}"/>
    <cellStyle name="Millares 4 5 3 3 2 2" xfId="46070" xr:uid="{FA420B07-796D-4920-AE19-885442B4FB85}"/>
    <cellStyle name="Millares 4 5 3 3 3" xfId="13750" xr:uid="{D03C72B7-3671-49B8-A7E9-A4EEDCE2E84A}"/>
    <cellStyle name="Millares 4 5 3 3 4" xfId="43674" xr:uid="{93A8D69C-28BB-49C4-8DB4-BD3499E04AC9}"/>
    <cellStyle name="Millares 4 5 3 3 5" xfId="48567" xr:uid="{F9350B4F-2CAA-46A3-AD6A-E5E71DE493C8}"/>
    <cellStyle name="Millares 4 5 3 4" xfId="3183" xr:uid="{4C5B98E5-9E22-4A95-9921-965895F9AB4E}"/>
    <cellStyle name="Millares 4 5 3 4 2" xfId="11454" xr:uid="{575D5E31-432E-48EC-841F-901C30F7232C}"/>
    <cellStyle name="Millares 4 5 3 4 2 2" xfId="46614" xr:uid="{8D7F084A-34B9-4E29-894C-F9C9C256F2D2}"/>
    <cellStyle name="Millares 4 5 3 4 3" xfId="14294" xr:uid="{03CE5A31-70FC-4FE0-9809-705680DAE15F}"/>
    <cellStyle name="Millares 4 5 3 4 4" xfId="44218" xr:uid="{DEEB49DF-1336-47CB-AFE3-5C3F7E724291}"/>
    <cellStyle name="Millares 4 5 3 4 5" xfId="49111" xr:uid="{8F024894-19D6-4580-AC96-7AFBB7E4CA11}"/>
    <cellStyle name="Millares 4 5 3 5" xfId="3685" xr:uid="{3824CDB4-2C3C-4BC4-96A9-DFD3B250948D}"/>
    <cellStyle name="Millares 4 5 3 5 2" xfId="11926" xr:uid="{4EC4DBB2-3A7D-446F-B066-7EC977782037}"/>
    <cellStyle name="Millares 4 5 3 5 3" xfId="14766" xr:uid="{6BA740C5-CD09-4DAB-816B-100C6C5F8D76}"/>
    <cellStyle name="Millares 4 5 3 5 4" xfId="44690" xr:uid="{A2019E3A-853C-45AC-AC90-D86366EB6B4F}"/>
    <cellStyle name="Millares 4 5 3 5 5" xfId="49583" xr:uid="{8F9FF0FC-309C-4F0E-8D45-2F7B7D73265E}"/>
    <cellStyle name="Millares 4 5 3 6" xfId="9948" xr:uid="{61C81EFB-BF65-4A9F-8E8C-4B29A6774D6E}"/>
    <cellStyle name="Millares 4 5 3 6 2" xfId="45108" xr:uid="{C9510EDF-A7C6-49CF-B084-4F3E24E52334}"/>
    <cellStyle name="Millares 4 5 3 7" xfId="12788" xr:uid="{7C7301D1-5FCC-40D2-A537-CE50EE6ABD45}"/>
    <cellStyle name="Millares 4 5 3 8" xfId="16131" xr:uid="{D9F68042-3FD6-4B17-82C0-E4F95E1B9BB1}"/>
    <cellStyle name="Millares 4 5 3 9" xfId="16674" xr:uid="{4DF49A09-5F7C-404E-84E7-0350616E472C}"/>
    <cellStyle name="Millares 4 5 4" xfId="607" xr:uid="{00000000-0005-0000-0000-000051020000}"/>
    <cellStyle name="Millares 4 5 4 10" xfId="42914" xr:uid="{365B5BF9-4D40-4F4F-93CA-C7E6EFFB12AE}"/>
    <cellStyle name="Millares 4 5 4 11" xfId="47807" xr:uid="{0FAE71E2-5E60-48D8-8C5F-9A7762CB991A}"/>
    <cellStyle name="Millares 4 5 4 2" xfId="2841" xr:uid="{E764C538-0CB2-4271-8DC4-1846E23DD3AD}"/>
    <cellStyle name="Millares 4 5 4 2 2" xfId="11112" xr:uid="{51BD0E14-2755-4D99-86BC-F45C6F957CA6}"/>
    <cellStyle name="Millares 4 5 4 2 2 2" xfId="46272" xr:uid="{859EB808-73FF-4DC0-9094-D822B115B41E}"/>
    <cellStyle name="Millares 4 5 4 2 3" xfId="13952" xr:uid="{8EDA2218-B31B-4A78-ADFB-9CB06399EAFB}"/>
    <cellStyle name="Millares 4 5 4 2 4" xfId="43876" xr:uid="{B9136B6F-D5BA-4451-AD7A-E1745483003A}"/>
    <cellStyle name="Millares 4 5 4 2 5" xfId="48769" xr:uid="{ED1F341E-7CF9-41CD-B7DC-6653EE1B23FE}"/>
    <cellStyle name="Millares 4 5 4 3" xfId="10150" xr:uid="{F8EE2099-D921-41BC-8810-016137652669}"/>
    <cellStyle name="Millares 4 5 4 3 2" xfId="45310" xr:uid="{1385F5A9-0A0A-408C-80BD-D821E6FDDC45}"/>
    <cellStyle name="Millares 4 5 4 4" xfId="12990" xr:uid="{438C46C4-3ED7-43A9-B4BF-2B2C6C82E038}"/>
    <cellStyle name="Millares 4 5 4 5" xfId="16333" xr:uid="{18483B29-03DF-4646-854D-909575562686}"/>
    <cellStyle name="Millares 4 5 4 6" xfId="16876" xr:uid="{2BF1116E-01EA-426A-A2CB-03986C61B15F}"/>
    <cellStyle name="Millares 4 5 4 7" xfId="17420" xr:uid="{F40CDC46-E7A4-402E-B18A-DB5B276808E6}"/>
    <cellStyle name="Millares 4 5 4 8" xfId="26078" xr:uid="{51ED68BC-3220-4D0A-B597-ED71CCD862F2}"/>
    <cellStyle name="Millares 4 5 4 9" xfId="17601" xr:uid="{47A2686E-D8C6-4FAF-BD01-CE69F4AA3EEB}"/>
    <cellStyle name="Millares 4 5 5" xfId="2005" xr:uid="{2446FB3E-5E93-4842-ACAB-1318DE419967}"/>
    <cellStyle name="Millares 4 5 5 2" xfId="10276" xr:uid="{46AB3BD5-5C10-4B9D-A243-6C19053B7428}"/>
    <cellStyle name="Millares 4 5 5 2 2" xfId="45436" xr:uid="{F7C94C8A-CAA5-403A-87C3-88819EDCFB00}"/>
    <cellStyle name="Millares 4 5 5 3" xfId="13116" xr:uid="{3821F99C-45D3-4DC7-A727-103C7436EF94}"/>
    <cellStyle name="Millares 4 5 5 4" xfId="31953" xr:uid="{F2E26D8F-206D-4992-A951-FF2809E66EB0}"/>
    <cellStyle name="Millares 4 5 5 5" xfId="43040" xr:uid="{14F6D8A0-38A3-4A7A-B199-951976F64541}"/>
    <cellStyle name="Millares 4 5 5 6" xfId="47933" xr:uid="{089DAD0F-683D-4EB5-ACE5-5D8715591C95}"/>
    <cellStyle name="Millares 4 5 6" xfId="2423" xr:uid="{2B1F11EE-CBF2-4184-B4D5-EAFD9405852B}"/>
    <cellStyle name="Millares 4 5 6 2" xfId="10694" xr:uid="{6C6C3F3A-BC6A-4D43-9AEC-A4A768BEF1D8}"/>
    <cellStyle name="Millares 4 5 6 2 2" xfId="45854" xr:uid="{F988D9C7-E18F-40CA-9701-BCB7BD72CA8F}"/>
    <cellStyle name="Millares 4 5 6 3" xfId="13534" xr:uid="{D717B7AD-1990-4560-9FC9-25614C8AF443}"/>
    <cellStyle name="Millares 4 5 6 4" xfId="37819" xr:uid="{5588C120-764F-440E-9B2D-9DD5F13A65BF}"/>
    <cellStyle name="Millares 4 5 6 5" xfId="43458" xr:uid="{E3A73F22-F701-440D-992A-B53F5D9A1CF6}"/>
    <cellStyle name="Millares 4 5 6 6" xfId="48351" xr:uid="{DCA8B726-94FD-4D77-B976-F1822A941D70}"/>
    <cellStyle name="Millares 4 5 7" xfId="2967" xr:uid="{255A5144-085B-4CB6-8D89-C4B24A811F7B}"/>
    <cellStyle name="Millares 4 5 7 2" xfId="11238" xr:uid="{FAC755F5-A7A0-4A15-8D92-237F209DACCA}"/>
    <cellStyle name="Millares 4 5 7 2 2" xfId="46398" xr:uid="{8F46E069-87AE-4855-A2C2-7F9903FB00EC}"/>
    <cellStyle name="Millares 4 5 7 3" xfId="14078" xr:uid="{61A518D4-D552-41C8-9979-204DF4DFCD3C}"/>
    <cellStyle name="Millares 4 5 7 4" xfId="44002" xr:uid="{492530FB-F47E-4E86-8791-054A2ED81868}"/>
    <cellStyle name="Millares 4 5 7 5" xfId="48895" xr:uid="{52616B98-ED9E-4C57-826E-4EF33D61902E}"/>
    <cellStyle name="Millares 4 5 8" xfId="3469" xr:uid="{0DD3D22F-407F-497A-A9B4-D04D9C31A6FD}"/>
    <cellStyle name="Millares 4 5 8 2" xfId="11710" xr:uid="{567689C1-5F2C-4AF1-B1C4-F7F93A47A9B0}"/>
    <cellStyle name="Millares 4 5 8 3" xfId="14550" xr:uid="{F8E93C59-8922-43D1-89F2-6E9CFD372565}"/>
    <cellStyle name="Millares 4 5 8 4" xfId="44474" xr:uid="{998D5E99-889E-4CD6-9564-C0C8C7C92342}"/>
    <cellStyle name="Millares 4 5 8 5" xfId="49367" xr:uid="{4B24FA23-0D32-467A-B19E-8B0519F92182}"/>
    <cellStyle name="Millares 4 5 9" xfId="5827" xr:uid="{251E8C7A-AD9E-454A-894E-BEF4261D2C7E}"/>
    <cellStyle name="Millares 4 5 9 2" xfId="44892" xr:uid="{0F128121-2927-42B8-9FA2-75DF38985D09}"/>
    <cellStyle name="Millares 4 6" xfId="1896" xr:uid="{00000000-0005-0000-0000-000052020000}"/>
    <cellStyle name="Millares 4 6 2" xfId="9301" xr:uid="{E33BA1E5-2332-4C41-AE1B-54DA370B69A7}"/>
    <cellStyle name="Millares 4 6 2 2" xfId="23664" xr:uid="{BAE4ECC4-3030-448A-B82C-52828C4B014A}"/>
    <cellStyle name="Millares 4 6 2 2 2" xfId="47292" xr:uid="{A83E193A-4813-482F-AC7B-E9E538490F84}"/>
    <cellStyle name="Millares 4 6 2 3" xfId="29532" xr:uid="{CC4F1AF1-11A6-4340-AFBD-74D40E10533B}"/>
    <cellStyle name="Millares 4 6 2 3 2" xfId="47204" xr:uid="{56919287-CAA7-40F2-AD59-91ADDD8435DA}"/>
    <cellStyle name="Millares 4 6 2 4" xfId="35414" xr:uid="{4AFF05DF-7F7B-489F-8A9D-5F84A1DED648}"/>
    <cellStyle name="Millares 4 6 2 5" xfId="41273" xr:uid="{8ABE5ABB-8BEF-4FDA-8182-54F7A6F776C0}"/>
    <cellStyle name="Millares 4 6 2 6" xfId="46938" xr:uid="{8E302C30-6EB5-4366-A472-19D0825A4F80}"/>
    <cellStyle name="Millares 4 6 3" xfId="6440" xr:uid="{25E5C39F-3755-4027-BA7C-2A777C8D6461}"/>
    <cellStyle name="Millares 4 6 4" xfId="26690" xr:uid="{4007A5DB-8920-4E34-890E-2144CA006B3D}"/>
    <cellStyle name="Millares 4 6 5" xfId="32565" xr:uid="{3C9EE59D-C1B2-482D-AD92-0AF7A166916A}"/>
    <cellStyle name="Millares 4 6 6" xfId="38429" xr:uid="{8125BD5E-013D-4FF1-820A-9808B93DC800}"/>
    <cellStyle name="Millares 4 6 7" xfId="42310" xr:uid="{4B3A4C74-7653-4FBE-A7B4-45FD538F6C9D}"/>
    <cellStyle name="Millares 4 7" xfId="3377" xr:uid="{DFE689EE-044F-44C4-B14A-DA3EB23FCCEB}"/>
    <cellStyle name="Millares 4 7 2" xfId="6713" xr:uid="{531E1D03-BC24-491F-A211-7443FD80B550}"/>
    <cellStyle name="Millares 4 7 2 2" xfId="46785" xr:uid="{7A5AD998-7ECD-4AB0-BECF-83ED7A9318BE}"/>
    <cellStyle name="Millares 4 7 2 3" xfId="46939" xr:uid="{B79FA0C5-9AEF-4C7B-B63D-E0B980A8957E}"/>
    <cellStyle name="Millares 4 7 2 4" xfId="47087" xr:uid="{1EDF863A-98CD-441E-97B0-F1DA6C6B2D7B}"/>
    <cellStyle name="Millares 4 7 3" xfId="11625" xr:uid="{7EBF7378-958E-49F4-98A2-2CF987CB14CF}"/>
    <cellStyle name="Millares 4 7 3 2" xfId="26952" xr:uid="{BDD5F03E-4E48-40D2-A1DA-190B3692734F}"/>
    <cellStyle name="Millares 4 7 4" xfId="14465" xr:uid="{9896495A-BE34-4D41-B03F-890B9CD16B0B}"/>
    <cellStyle name="Millares 4 7 4 2" xfId="32828" xr:uid="{3DE5C8F4-76DA-4AA7-9E16-70F4D5797B1F}"/>
    <cellStyle name="Millares 4 7 5" xfId="38692" xr:uid="{A195C16E-639B-435B-AF51-DAA5A42173D6}"/>
    <cellStyle name="Millares 4 7 6" xfId="42311" xr:uid="{5BFDA23C-538F-49A8-864A-91F9B1421DF5}"/>
    <cellStyle name="Millares 4 7 7" xfId="44389" xr:uid="{50AC5A37-CDF5-49B3-8AB0-B878324BCE0D}"/>
    <cellStyle name="Millares 4 7 8" xfId="49282" xr:uid="{2B3A0718-05D5-4F20-971C-37F9903E92DA}"/>
    <cellStyle name="Millares 4 8" xfId="9661" xr:uid="{B312CB96-D046-46E9-B4FD-759703461EE7}"/>
    <cellStyle name="Millares 4 8 2" xfId="12501" xr:uid="{B4509BEE-7A72-4588-8856-5364FAA21055}"/>
    <cellStyle name="Millares 4 8 3" xfId="15342" xr:uid="{DF623EBD-6093-4BDF-A954-C5869C64BEAC}"/>
    <cellStyle name="Millares 4 8 4" xfId="18374" xr:uid="{BCF13E27-A4D3-4885-AA1C-E50234AC575B}"/>
    <cellStyle name="Millares 4 8 5" xfId="42312" xr:uid="{F45CB295-08AD-43B9-BD54-0C89F500C8B9}"/>
    <cellStyle name="Millares 4 8 6" xfId="46940" xr:uid="{BD301402-474F-47E7-AEC4-D86DAEF6CF73}"/>
    <cellStyle name="Millares 4 8 7" xfId="47066" xr:uid="{21701B08-ECC9-42AF-9EB4-0F20209F081F}"/>
    <cellStyle name="Millares 4 8 8" xfId="50158" xr:uid="{430D21F1-085F-45EE-8132-1A009A1107C8}"/>
    <cellStyle name="Millares 4 9" xfId="24083" xr:uid="{D327B8B6-AEA7-4B79-8D45-13E72E1B3320}"/>
    <cellStyle name="Millares 4 9 2" xfId="42313" xr:uid="{EF8E15DA-518F-4857-ADD6-7A5027E67783}"/>
    <cellStyle name="Millares 4 9 3" xfId="46941" xr:uid="{B8DF5264-E585-413E-B663-FE58A3D051F4}"/>
    <cellStyle name="Millares 4 9 4" xfId="47020" xr:uid="{CA04B1B2-09BD-4454-B2C4-FB8E1D140789}"/>
    <cellStyle name="Millares 40" xfId="1801" xr:uid="{00000000-0005-0000-0000-000053020000}"/>
    <cellStyle name="Millares 40 2" xfId="4712" xr:uid="{B019F972-2DFF-438B-BBEA-51D12B24C474}"/>
    <cellStyle name="Millares 40 2 2" xfId="5680" xr:uid="{D9A310C0-C313-449E-9E2A-80B70592A3FE}"/>
    <cellStyle name="Millares 40 2 2 2" xfId="8548" xr:uid="{7C094B0B-F9C5-4781-9144-C3EFCEB208C8}"/>
    <cellStyle name="Millares 40 2 2 2 2" xfId="22920" xr:uid="{D14298CC-94FC-46F1-9D95-5768E741EF69}"/>
    <cellStyle name="Millares 40 2 2 2 3" xfId="28781" xr:uid="{BC65D851-AA80-4846-951C-5E3BC78E1A23}"/>
    <cellStyle name="Millares 40 2 2 2 4" xfId="34663" xr:uid="{4EACA0C8-242C-4D95-BF98-D72BB40B40BD}"/>
    <cellStyle name="Millares 40 2 2 2 5" xfId="40527" xr:uid="{58F95A39-D41A-44A5-8013-3C8BD77A2A37}"/>
    <cellStyle name="Millares 40 2 2 3" xfId="20137" xr:uid="{BD3E3392-8601-4321-9117-D9A94D4DFA80}"/>
    <cellStyle name="Millares 40 2 2 4" xfId="25931" xr:uid="{2DCEF640-3BED-41C6-88E4-20DA1E3D1E25}"/>
    <cellStyle name="Millares 40 2 2 5" xfId="31806" xr:uid="{0327E990-CD60-4359-8CA8-F923B9D1FC33}"/>
    <cellStyle name="Millares 40 2 2 6" xfId="37673" xr:uid="{AD28EFCB-4D7D-4B1A-A094-4FBA930594D1}"/>
    <cellStyle name="Millares 40 2 3" xfId="7576" xr:uid="{93B11148-C3FE-4133-BC41-1418CE072766}"/>
    <cellStyle name="Millares 40 2 3 2" xfId="21970" xr:uid="{A8BAAD9A-1F4C-4972-AA7A-A2E2245AFE88}"/>
    <cellStyle name="Millares 40 2 3 3" xfId="27810" xr:uid="{B87C6E4A-31BA-498F-9D64-EA17AF1F78BA}"/>
    <cellStyle name="Millares 40 2 3 4" xfId="33692" xr:uid="{0DADCCFF-F224-4D74-ABCA-2156602E5296}"/>
    <cellStyle name="Millares 40 2 3 5" xfId="39556" xr:uid="{E6A76A50-AA4D-44FE-BE8A-3E0EE755C048}"/>
    <cellStyle name="Millares 40 2 4" xfId="19202" xr:uid="{A60F4EEA-1817-468C-94BB-20E6D9D42EBB}"/>
    <cellStyle name="Millares 40 2 5" xfId="24961" xr:uid="{7CDFAD43-6230-41E5-9AE2-C0C1D958557D}"/>
    <cellStyle name="Millares 40 2 6" xfId="30835" xr:uid="{66D807DF-020E-44B2-82AF-D75E7A0822BE}"/>
    <cellStyle name="Millares 40 2 7" xfId="36716" xr:uid="{1DBB9E20-1D26-49BC-9C26-3E2C16163BCE}"/>
    <cellStyle name="Millares 40 3" xfId="5196" xr:uid="{6C3E0CEC-709F-4547-B841-25D9D51AEE49}"/>
    <cellStyle name="Millares 40 3 2" xfId="8063" xr:uid="{CF601378-48C3-4B14-BC9F-12570A59A12A}"/>
    <cellStyle name="Millares 40 3 2 2" xfId="22441" xr:uid="{1B86B0A2-7345-4A31-AF45-EB6673E5A82F}"/>
    <cellStyle name="Millares 40 3 2 3" xfId="28296" xr:uid="{9776709F-7F0C-4B44-B8F2-7793AA062565}"/>
    <cellStyle name="Millares 40 3 2 4" xfId="34178" xr:uid="{EE5E0246-ADAB-42E7-9FD8-0392B7CC4E29}"/>
    <cellStyle name="Millares 40 3 2 5" xfId="40042" xr:uid="{2E64A230-EF6A-41B0-91F4-608D5F90A4D0}"/>
    <cellStyle name="Millares 40 3 3" xfId="19667" xr:uid="{B5102CC3-8CFC-47F7-BD0D-27172DC00DEC}"/>
    <cellStyle name="Millares 40 3 4" xfId="25447" xr:uid="{A08800A3-4D61-4412-91AD-62AE3DFC9F8E}"/>
    <cellStyle name="Millares 40 3 5" xfId="31321" xr:uid="{6E53D8AF-6F07-488F-B58E-867A2CC18F04}"/>
    <cellStyle name="Millares 40 3 6" xfId="37194" xr:uid="{F5E4FA31-1D89-493A-A506-BDE91B05B216}"/>
    <cellStyle name="Millares 40 4" xfId="7091" xr:uid="{141AF40E-1E23-472E-9323-168911A18176}"/>
    <cellStyle name="Millares 40 4 2" xfId="21503" xr:uid="{7019E474-C101-45C8-8645-040705CF41C5}"/>
    <cellStyle name="Millares 40 4 3" xfId="27326" xr:uid="{1933674F-37E4-40C3-BA7E-DA11DCC513BE}"/>
    <cellStyle name="Millares 40 4 4" xfId="33207" xr:uid="{6E163A86-1204-478B-AE88-ED49256B516A}"/>
    <cellStyle name="Millares 40 4 5" xfId="39071" xr:uid="{0FE3D0F2-3977-4C54-8F76-CED40E68F2FF}"/>
    <cellStyle name="Millares 40 5" xfId="4233" xr:uid="{6ADDF2CD-B07A-4147-97EC-D7BCE5F03D6D}"/>
    <cellStyle name="Millares 40 6" xfId="24476" xr:uid="{D51E8E61-566D-4BF9-9C1D-059F2B6B7FC4}"/>
    <cellStyle name="Millares 40 7" xfId="30354" xr:uid="{05F2E669-4BC0-4F70-B48D-FC20CCE3A5AD}"/>
    <cellStyle name="Millares 40 8" xfId="36235" xr:uid="{ED560782-A72E-43B1-86FC-12486915BF40}"/>
    <cellStyle name="Millares 40 9" xfId="42314" xr:uid="{5D4D41A1-E37D-4AE1-8B38-8185AEFDAE02}"/>
    <cellStyle name="Millares 41" xfId="1796" xr:uid="{00000000-0005-0000-0000-000054020000}"/>
    <cellStyle name="Millares 41 2" xfId="4707" xr:uid="{1A222BF8-95A5-41C9-BF96-7517FD47FC1D}"/>
    <cellStyle name="Millares 41 2 2" xfId="5675" xr:uid="{86B09B00-B13D-4B1E-B617-21FC6F98F496}"/>
    <cellStyle name="Millares 41 2 2 2" xfId="8543" xr:uid="{35D661BA-2085-4F9C-A593-51C17EDB6EBC}"/>
    <cellStyle name="Millares 41 2 2 2 2" xfId="22915" xr:uid="{312A9C28-91DB-420B-BE04-FA706BC2723D}"/>
    <cellStyle name="Millares 41 2 2 2 3" xfId="28776" xr:uid="{E8C8FE7E-280C-4D99-ABB4-4D9DC216044F}"/>
    <cellStyle name="Millares 41 2 2 2 4" xfId="34658" xr:uid="{25051590-7694-45EB-96FA-0E29432BA0AB}"/>
    <cellStyle name="Millares 41 2 2 2 5" xfId="40522" xr:uid="{BA2E4152-E660-40AA-AF8B-ADD148CDE769}"/>
    <cellStyle name="Millares 41 2 2 3" xfId="20132" xr:uid="{17A72F63-5C06-42FB-9AC5-7F577EAD4A26}"/>
    <cellStyle name="Millares 41 2 2 4" xfId="25926" xr:uid="{CA30A25C-027B-4461-BFF1-15471C56BDAC}"/>
    <cellStyle name="Millares 41 2 2 5" xfId="31801" xr:uid="{AF0DCD9B-489B-4F54-832A-0B571CFF0312}"/>
    <cellStyle name="Millares 41 2 2 6" xfId="37668" xr:uid="{3701AA23-6642-43C2-BF2B-80E9B9B7F407}"/>
    <cellStyle name="Millares 41 2 3" xfId="7571" xr:uid="{8B386CCC-50E8-4983-B99D-3970B31B76FD}"/>
    <cellStyle name="Millares 41 2 3 2" xfId="21965" xr:uid="{88BB78C1-B5A3-45B2-91A7-01E05752BC3B}"/>
    <cellStyle name="Millares 41 2 3 3" xfId="27805" xr:uid="{2DCA091B-C73B-4F9A-8CAB-82AFA2AA2E05}"/>
    <cellStyle name="Millares 41 2 3 4" xfId="33687" xr:uid="{D3255CE9-3D7C-4F16-AA11-3A22B6D8F7CC}"/>
    <cellStyle name="Millares 41 2 3 5" xfId="39551" xr:uid="{6FB9E034-1C8E-4E0D-963A-E2B0FF11B55D}"/>
    <cellStyle name="Millares 41 2 4" xfId="19197" xr:uid="{D38D2E91-8DD9-49D8-8572-863E3993EB84}"/>
    <cellStyle name="Millares 41 2 5" xfId="24956" xr:uid="{BC4B2339-DC37-43E3-9329-3A8914BAC1F9}"/>
    <cellStyle name="Millares 41 2 6" xfId="30830" xr:uid="{81B7B0A8-E704-4FBD-8E5E-B9CA1B4F6A0C}"/>
    <cellStyle name="Millares 41 2 7" xfId="36711" xr:uid="{9AC5F63D-B62B-436A-A3E7-017CBE782AEF}"/>
    <cellStyle name="Millares 41 3" xfId="5191" xr:uid="{D5CB07E9-745B-4F3C-B8E5-8D104379DAD7}"/>
    <cellStyle name="Millares 41 3 2" xfId="8058" xr:uid="{33C0600A-3941-4C26-A809-D8F4701D41DB}"/>
    <cellStyle name="Millares 41 3 2 2" xfId="22436" xr:uid="{84ECF48B-CB50-483A-82CB-8EB30846ADEE}"/>
    <cellStyle name="Millares 41 3 2 3" xfId="28291" xr:uid="{C679BFA2-6D2B-4C51-B9EB-9166399F7FA2}"/>
    <cellStyle name="Millares 41 3 2 4" xfId="34173" xr:uid="{4233CAE0-FF51-47F5-A3E9-1182F9C4B788}"/>
    <cellStyle name="Millares 41 3 2 5" xfId="40037" xr:uid="{DFAF5C52-D236-4C64-85F3-00D3C7CBCCFD}"/>
    <cellStyle name="Millares 41 3 3" xfId="19662" xr:uid="{906464D4-1505-4F81-9515-5E4F2C306CA8}"/>
    <cellStyle name="Millares 41 3 4" xfId="25442" xr:uid="{59F83454-EA92-442D-A2EB-80BEC60CB1CD}"/>
    <cellStyle name="Millares 41 3 5" xfId="31316" xr:uid="{5EB0276E-EC56-49AD-936A-EA1C3CDF0CE4}"/>
    <cellStyle name="Millares 41 3 6" xfId="37189" xr:uid="{BAC077A6-FC09-4879-93EC-94D21CB38BE9}"/>
    <cellStyle name="Millares 41 4" xfId="7086" xr:uid="{041EACBF-46B6-4A6B-B79C-B941B528780F}"/>
    <cellStyle name="Millares 41 4 2" xfId="21498" xr:uid="{F6F4BBB5-5A9F-4115-9670-753C4604C3E1}"/>
    <cellStyle name="Millares 41 4 3" xfId="27321" xr:uid="{10E15288-EB47-4CE6-A8BF-35345D34F5F6}"/>
    <cellStyle name="Millares 41 4 4" xfId="33202" xr:uid="{F5ECA2CA-1A25-4CBA-909D-2D2A24EE74C5}"/>
    <cellStyle name="Millares 41 4 5" xfId="39066" xr:uid="{792963DB-F3BC-47C2-9BCA-2ECDE6724817}"/>
    <cellStyle name="Millares 41 5" xfId="4228" xr:uid="{4169BF66-F1D5-4F8F-96D2-123511D5CDE6}"/>
    <cellStyle name="Millares 41 6" xfId="24471" xr:uid="{8385634D-7D85-4ADA-91CC-7105EB4BF4C0}"/>
    <cellStyle name="Millares 41 7" xfId="30349" xr:uid="{8A101D20-7323-4B84-809D-6017D07C4259}"/>
    <cellStyle name="Millares 41 8" xfId="36230" xr:uid="{355D2CB4-CB96-4A7B-B8A7-A191674CD411}"/>
    <cellStyle name="Millares 41 9" xfId="42315" xr:uid="{A2D7AAEA-941E-4F96-B442-511D0AD3B13E}"/>
    <cellStyle name="Millares 42" xfId="1800" xr:uid="{00000000-0005-0000-0000-000055020000}"/>
    <cellStyle name="Millares 42 2" xfId="4754" xr:uid="{CED98ACD-4808-4E53-942F-75CAD14CD849}"/>
    <cellStyle name="Millares 42 2 2" xfId="5722" xr:uid="{CDDA2309-A4D7-4FA0-8D50-2BE59E166788}"/>
    <cellStyle name="Millares 42 2 2 2" xfId="8590" xr:uid="{4A73239D-FDC8-4B37-A24D-B3D9FE402124}"/>
    <cellStyle name="Millares 42 2 2 2 2" xfId="22962" xr:uid="{FCEE3BC6-6DA4-49A8-8299-7E4EB9F9F444}"/>
    <cellStyle name="Millares 42 2 2 2 3" xfId="28823" xr:uid="{459AFDCD-B9FC-493F-894F-BC9661FFCD26}"/>
    <cellStyle name="Millares 42 2 2 2 4" xfId="34705" xr:uid="{256C5586-1CF2-42FB-8391-5C2D6DBCCA84}"/>
    <cellStyle name="Millares 42 2 2 2 5" xfId="40569" xr:uid="{26DE54A4-CCD9-487E-AE99-3DB1EBF904F1}"/>
    <cellStyle name="Millares 42 2 2 3" xfId="20179" xr:uid="{DB5EC05E-2FBE-4529-AD7F-59AD8002C0BB}"/>
    <cellStyle name="Millares 42 2 2 4" xfId="25973" xr:uid="{3BC358E5-DE3E-4F53-8428-2180B72450B1}"/>
    <cellStyle name="Millares 42 2 2 5" xfId="31848" xr:uid="{8C3C9CE4-0875-4BF1-8B17-E759F870676E}"/>
    <cellStyle name="Millares 42 2 2 6" xfId="37715" xr:uid="{09A04F1D-0FEA-44E0-822F-41CB85718864}"/>
    <cellStyle name="Millares 42 2 3" xfId="7618" xr:uid="{21138A93-23EE-4441-A3D9-450B0E903111}"/>
    <cellStyle name="Millares 42 2 3 2" xfId="22012" xr:uid="{1F208904-3DBA-4059-B8D8-85FCC471E76A}"/>
    <cellStyle name="Millares 42 2 3 3" xfId="27852" xr:uid="{8EF044CF-BD36-4E60-B15D-16F7C7AE7CEA}"/>
    <cellStyle name="Millares 42 2 3 4" xfId="33734" xr:uid="{A157FE46-0CE2-4BE8-856B-9610532856E4}"/>
    <cellStyle name="Millares 42 2 3 5" xfId="39598" xr:uid="{0CFDBEF5-AD9D-48D4-99CF-6CB82E5D5A83}"/>
    <cellStyle name="Millares 42 2 4" xfId="19242" xr:uid="{5EBE37C8-260C-4A45-A105-A03DA661B298}"/>
    <cellStyle name="Millares 42 2 5" xfId="25003" xr:uid="{7C5B3D93-8591-4DE8-9726-3C6C2AEE807F}"/>
    <cellStyle name="Millares 42 2 6" xfId="30877" xr:uid="{80A87DD6-E867-402F-9D08-B4B7CC862F0C}"/>
    <cellStyle name="Millares 42 2 7" xfId="36758" xr:uid="{682AB5BE-6FD7-4295-B9AD-1268792A603B}"/>
    <cellStyle name="Millares 42 3" xfId="5238" xr:uid="{EC26EC4D-400F-4EF3-903C-82A27692A634}"/>
    <cellStyle name="Millares 42 3 2" xfId="8105" xr:uid="{F2AA0E47-B691-4475-9EB1-30A6D535FF29}"/>
    <cellStyle name="Millares 42 3 2 2" xfId="22483" xr:uid="{1771D90E-CCDF-488C-85EA-B57EB39CBC67}"/>
    <cellStyle name="Millares 42 3 2 3" xfId="28338" xr:uid="{49222A3C-3EC4-4552-A29E-C1AC344B6745}"/>
    <cellStyle name="Millares 42 3 2 4" xfId="34220" xr:uid="{81D61B00-B575-4B0E-AA0E-B93467B7FE2A}"/>
    <cellStyle name="Millares 42 3 2 5" xfId="40084" xr:uid="{8FAF53D9-416F-4833-B5B3-49DF742B4B66}"/>
    <cellStyle name="Millares 42 3 3" xfId="19708" xr:uid="{1F8F92C7-2843-4B4E-B2B9-D0236BF332DC}"/>
    <cellStyle name="Millares 42 3 4" xfId="25489" xr:uid="{CA2204D1-856B-4586-8290-46238E918105}"/>
    <cellStyle name="Millares 42 3 5" xfId="31363" xr:uid="{41656BAC-ADD9-4079-BA7C-6003390ED2CE}"/>
    <cellStyle name="Millares 42 3 6" xfId="37236" xr:uid="{203C5713-F4E1-4CDF-9538-93FE79A0F955}"/>
    <cellStyle name="Millares 42 4" xfId="7133" xr:uid="{20ED423E-E5A5-486F-85FD-F24E480A77CA}"/>
    <cellStyle name="Millares 42 4 2" xfId="21544" xr:uid="{C690F09A-E4B1-4EE6-AA96-3019DBC06430}"/>
    <cellStyle name="Millares 42 4 3" xfId="27368" xr:uid="{B9F254A7-34F6-495C-B20B-009A9E3D7AA8}"/>
    <cellStyle name="Millares 42 4 4" xfId="33249" xr:uid="{C3E2CED3-E979-41B0-B598-7329641271AD}"/>
    <cellStyle name="Millares 42 4 5" xfId="39113" xr:uid="{4494E007-A780-46FE-B5DF-1D120212AB9E}"/>
    <cellStyle name="Millares 42 5" xfId="4274" xr:uid="{10A7D5BD-4073-4993-A1A0-93B8E14A8B82}"/>
    <cellStyle name="Millares 42 6" xfId="24518" xr:uid="{7D82FE38-34BB-4FA4-A7B1-C3EC8621C463}"/>
    <cellStyle name="Millares 42 7" xfId="30397" xr:uid="{1E878225-D7DA-4765-ABED-290729A2F8B4}"/>
    <cellStyle name="Millares 42 8" xfId="36278" xr:uid="{13888595-B968-49D0-BE66-C56C1EA595CF}"/>
    <cellStyle name="Millares 42 9" xfId="42316" xr:uid="{82F041F5-3EE3-408A-A609-61047C6994A1}"/>
    <cellStyle name="Millares 43" xfId="1795" xr:uid="{00000000-0005-0000-0000-000056020000}"/>
    <cellStyle name="Millares 43 2" xfId="4752" xr:uid="{F6C57AD8-3771-451D-AF87-FED783EEB766}"/>
    <cellStyle name="Millares 43 2 2" xfId="5720" xr:uid="{F002C07B-4482-4734-988F-855B27211210}"/>
    <cellStyle name="Millares 43 2 2 2" xfId="8588" xr:uid="{899D5C09-55F2-4D50-8AAF-EB2E378942DC}"/>
    <cellStyle name="Millares 43 2 2 2 2" xfId="22960" xr:uid="{230328DA-35C8-4D5D-9344-43BCE35336F9}"/>
    <cellStyle name="Millares 43 2 2 2 3" xfId="28821" xr:uid="{FA604BEC-D236-4FCF-9D8D-67F8B82C46BB}"/>
    <cellStyle name="Millares 43 2 2 2 4" xfId="34703" xr:uid="{2B8C4530-F8F2-4F4E-B275-10E2C3768538}"/>
    <cellStyle name="Millares 43 2 2 2 5" xfId="40567" xr:uid="{6833A788-2C86-4198-B7A5-B118F61DD68A}"/>
    <cellStyle name="Millares 43 2 2 3" xfId="20177" xr:uid="{2311C3DA-98B1-49A3-AD53-091F694B69EE}"/>
    <cellStyle name="Millares 43 2 2 4" xfId="25971" xr:uid="{0E1F0B45-5842-4C6C-B418-770B0A061967}"/>
    <cellStyle name="Millares 43 2 2 5" xfId="31846" xr:uid="{495D8DFC-E50A-46A9-B3C3-DAFADB2727C2}"/>
    <cellStyle name="Millares 43 2 2 6" xfId="37713" xr:uid="{D24FF9E8-043E-48BD-BDA6-654678CF2260}"/>
    <cellStyle name="Millares 43 2 3" xfId="7616" xr:uid="{85196E52-A084-49E2-ACAB-33EE100C8FBC}"/>
    <cellStyle name="Millares 43 2 3 2" xfId="22010" xr:uid="{161527B2-3EAA-4741-92FC-FEF19BF0B4EA}"/>
    <cellStyle name="Millares 43 2 3 3" xfId="27850" xr:uid="{FED67601-9464-477F-AA48-4ECA9CD94205}"/>
    <cellStyle name="Millares 43 2 3 4" xfId="33732" xr:uid="{F53D2D3F-DDCB-4E9D-B06C-F97F1E7F0546}"/>
    <cellStyle name="Millares 43 2 3 5" xfId="39596" xr:uid="{4AD08695-7EB7-40DB-9B2B-987B3A5F4ED4}"/>
    <cellStyle name="Millares 43 2 4" xfId="19240" xr:uid="{15BA864B-FD8C-4216-AAEE-F865FAEFF9D9}"/>
    <cellStyle name="Millares 43 2 5" xfId="25001" xr:uid="{345AEA4A-4255-4AF9-B0AC-8ABC4C7DC52C}"/>
    <cellStyle name="Millares 43 2 6" xfId="30875" xr:uid="{2CC6CC75-B3C4-4CAA-BFE0-1BA69683D199}"/>
    <cellStyle name="Millares 43 2 7" xfId="36756" xr:uid="{52ED989B-2EB8-4085-8AA0-E175E797E051}"/>
    <cellStyle name="Millares 43 3" xfId="5236" xr:uid="{D791CA28-1EC5-4F53-A9D6-BFE3B0508EB8}"/>
    <cellStyle name="Millares 43 3 2" xfId="8103" xr:uid="{B1D419FD-0BEC-4268-B65C-27DA19F80FB0}"/>
    <cellStyle name="Millares 43 3 2 2" xfId="22481" xr:uid="{7A384112-36B7-4FD5-94CC-572C0FB548DC}"/>
    <cellStyle name="Millares 43 3 2 3" xfId="28336" xr:uid="{96AB0FAF-6427-42CA-88D1-5BC3C71A488E}"/>
    <cellStyle name="Millares 43 3 2 4" xfId="34218" xr:uid="{061338DE-BF35-49D0-A7EE-B48251DCA73D}"/>
    <cellStyle name="Millares 43 3 2 5" xfId="40082" xr:uid="{39054801-7585-4751-A190-74066EEC3F5A}"/>
    <cellStyle name="Millares 43 3 3" xfId="19706" xr:uid="{500D882C-DEA3-4CCF-B52B-B8F5C3600A29}"/>
    <cellStyle name="Millares 43 3 4" xfId="25487" xr:uid="{E9C16DA0-502A-4B2F-9754-06BF5B6FA3BF}"/>
    <cellStyle name="Millares 43 3 5" xfId="31361" xr:uid="{4C15E7AC-4D7E-4B02-9303-90709FE09C9C}"/>
    <cellStyle name="Millares 43 3 6" xfId="37234" xr:uid="{C9243C34-C941-44FC-A311-84D05D89370F}"/>
    <cellStyle name="Millares 43 4" xfId="7131" xr:uid="{B2EFC94B-694E-4A3A-8F63-ACAB2394D209}"/>
    <cellStyle name="Millares 43 4 2" xfId="21542" xr:uid="{5E2C88FC-AF5C-48CC-8389-C5E5D950C265}"/>
    <cellStyle name="Millares 43 4 3" xfId="27366" xr:uid="{BA697B54-85BB-48DE-8036-2A89356D04CA}"/>
    <cellStyle name="Millares 43 4 4" xfId="33247" xr:uid="{F6531A1F-8F74-45AA-8BC8-D914B3887852}"/>
    <cellStyle name="Millares 43 4 5" xfId="39111" xr:uid="{C9D64E41-1083-4964-A058-A24528815A20}"/>
    <cellStyle name="Millares 43 5" xfId="4272" xr:uid="{35D2A78C-9E34-42FD-9F0E-0EA7DE07C8D3}"/>
    <cellStyle name="Millares 43 6" xfId="24516" xr:uid="{9D1DF271-763B-441B-8C86-DDA69D959BAE}"/>
    <cellStyle name="Millares 43 7" xfId="30395" xr:uid="{5A61F138-B8EE-4F0C-A434-74AEDCAF1A30}"/>
    <cellStyle name="Millares 43 8" xfId="36276" xr:uid="{13820BEC-3C48-4EA8-B507-70A54B3BEA58}"/>
    <cellStyle name="Millares 43 9" xfId="42317" xr:uid="{0091BC3A-0E25-4CAC-B9DB-2BEC8BCCBFA3}"/>
    <cellStyle name="Millares 44" xfId="1799" xr:uid="{00000000-0005-0000-0000-000057020000}"/>
    <cellStyle name="Millares 44 2" xfId="4746" xr:uid="{C4FC3E79-1B27-4C0C-A564-714C872CF324}"/>
    <cellStyle name="Millares 44 2 2" xfId="5714" xr:uid="{F912FF4A-D4D3-4C79-A702-5D12F6A3DF95}"/>
    <cellStyle name="Millares 44 2 2 2" xfId="8582" xr:uid="{E7D941D3-E802-4CA8-9C3A-C934549E1C61}"/>
    <cellStyle name="Millares 44 2 2 2 2" xfId="22954" xr:uid="{5C3E231D-D214-4219-A93E-B5A776ACB773}"/>
    <cellStyle name="Millares 44 2 2 2 3" xfId="28815" xr:uid="{37BC33E9-3EDE-4835-910C-E3BB97D747A0}"/>
    <cellStyle name="Millares 44 2 2 2 4" xfId="34697" xr:uid="{88845008-3C6E-47DB-B426-A784A5897331}"/>
    <cellStyle name="Millares 44 2 2 2 5" xfId="40561" xr:uid="{4C4269B3-7497-4E0D-AD75-C00614BDF20F}"/>
    <cellStyle name="Millares 44 2 2 3" xfId="20171" xr:uid="{45505134-86B8-4A9C-BDE3-F6A62F0F4875}"/>
    <cellStyle name="Millares 44 2 2 4" xfId="25965" xr:uid="{DBC8AEDF-11D2-4F98-B685-6CFAFBC5B5EE}"/>
    <cellStyle name="Millares 44 2 2 5" xfId="31840" xr:uid="{95A83E34-4F60-4A0C-8C71-625990799A43}"/>
    <cellStyle name="Millares 44 2 2 6" xfId="37707" xr:uid="{F2961D97-97ED-43CC-9893-DEBC9AA7A68F}"/>
    <cellStyle name="Millares 44 2 3" xfId="7610" xr:uid="{44CF1500-3292-416B-B26E-3027FA692A56}"/>
    <cellStyle name="Millares 44 2 3 2" xfId="22004" xr:uid="{734AEE55-0CF4-4B5B-ACCF-1BD4C67A7527}"/>
    <cellStyle name="Millares 44 2 3 3" xfId="27844" xr:uid="{3832A4B7-2CC8-4209-85F6-29C382930874}"/>
    <cellStyle name="Millares 44 2 3 4" xfId="33726" xr:uid="{ADD0BD88-88C3-44F3-A1DE-F5040B5F1354}"/>
    <cellStyle name="Millares 44 2 3 5" xfId="39590" xr:uid="{B09560CD-7EBA-43DE-A074-F0CBDE846560}"/>
    <cellStyle name="Millares 44 2 4" xfId="19234" xr:uid="{BD6AF33F-079D-4656-888B-39DBC8A03DA3}"/>
    <cellStyle name="Millares 44 2 5" xfId="24995" xr:uid="{0345DE1D-ED3A-4E86-965F-A70D68A1C48B}"/>
    <cellStyle name="Millares 44 2 6" xfId="30869" xr:uid="{9878CE24-ABDB-4BCF-9640-FBB5377CED21}"/>
    <cellStyle name="Millares 44 2 7" xfId="36750" xr:uid="{D9C93B25-0A81-4A67-96D3-492E050016C7}"/>
    <cellStyle name="Millares 44 2 8" xfId="42318" xr:uid="{5120B789-AE73-4772-ACD1-605AB87C5410}"/>
    <cellStyle name="Millares 44 3" xfId="5230" xr:uid="{96AC69C0-8700-47E8-BD51-F8772A39F791}"/>
    <cellStyle name="Millares 44 3 2" xfId="8097" xr:uid="{F3476EA4-B047-4874-A27D-805A00574E09}"/>
    <cellStyle name="Millares 44 3 2 2" xfId="22475" xr:uid="{4D43581E-4778-4FAE-A924-3E9F4A5F824A}"/>
    <cellStyle name="Millares 44 3 2 3" xfId="28330" xr:uid="{48468F52-C204-4B0D-97D3-B2D458EA3D41}"/>
    <cellStyle name="Millares 44 3 2 4" xfId="34212" xr:uid="{8F8FC771-8CE8-4C7F-8B16-34B146C23E41}"/>
    <cellStyle name="Millares 44 3 2 5" xfId="40076" xr:uid="{F074BE90-DED4-4E62-83B0-F56F938C5970}"/>
    <cellStyle name="Millares 44 3 3" xfId="19700" xr:uid="{AADEBC56-A5A4-4E0D-AFB7-BE44A8D3356A}"/>
    <cellStyle name="Millares 44 3 4" xfId="25481" xr:uid="{9166E2EE-32FB-4D88-89C5-5A71CD881B3D}"/>
    <cellStyle name="Millares 44 3 5" xfId="31355" xr:uid="{BBA947E0-4C5F-4EDE-AC33-8045AC9D0404}"/>
    <cellStyle name="Millares 44 3 6" xfId="37228" xr:uid="{A164D703-E6BB-4AF1-AD7C-0EFD4E69EA56}"/>
    <cellStyle name="Millares 44 3 7" xfId="42319" xr:uid="{1238CE58-D052-455F-9100-DC90868A0D3D}"/>
    <cellStyle name="Millares 44 4" xfId="7125" xr:uid="{298F1692-DB77-422F-A04F-297587284A1B}"/>
    <cellStyle name="Millares 44 4 2" xfId="21536" xr:uid="{BD6D50F0-08FD-48D1-B312-3E92BBC9294D}"/>
    <cellStyle name="Millares 44 4 3" xfId="27360" xr:uid="{956D55D7-E74A-4420-B1B1-9EF8CDAED265}"/>
    <cellStyle name="Millares 44 4 4" xfId="33241" xr:uid="{1EEBFD66-FE25-447A-B7B4-0706B179887A}"/>
    <cellStyle name="Millares 44 4 5" xfId="39105" xr:uid="{1CF0EB86-DEDA-42FC-991E-43B76A0B9CAB}"/>
    <cellStyle name="Millares 44 5" xfId="4267" xr:uid="{14CE6F69-BB0E-4500-9271-EEEA81C63617}"/>
    <cellStyle name="Millares 44 6" xfId="24510" xr:uid="{D2D3024A-EE4B-4806-8026-E58647109BB9}"/>
    <cellStyle name="Millares 44 7" xfId="30389" xr:uid="{20A6FA9D-5DB2-40A8-9667-4C1232EE3B83}"/>
    <cellStyle name="Millares 44 8" xfId="36270" xr:uid="{BF7B06C6-1D8A-469F-8ED8-0728D82E74CA}"/>
    <cellStyle name="Millares 44 9" xfId="42320" xr:uid="{28B246FF-30BC-4378-9B48-8D1F61139A85}"/>
    <cellStyle name="Millares 45" xfId="1780" xr:uid="{00000000-0005-0000-0000-000058020000}"/>
    <cellStyle name="Millares 45 10" xfId="17470" xr:uid="{7E5D1690-4F96-4970-B14F-CD9BE0A10EA6}"/>
    <cellStyle name="Millares 45 11" xfId="17874" xr:uid="{DF2835A4-45C7-4643-A0EA-E1C99F3D3DE9}"/>
    <cellStyle name="Millares 45 12" xfId="42321" xr:uid="{CB35C3CB-E129-4D84-93DC-41F4FA690D2E}"/>
    <cellStyle name="Millares 45 13" xfId="42964" xr:uid="{AB6A06AE-3BB3-4803-8DD7-C703C48D6FA1}"/>
    <cellStyle name="Millares 45 14" xfId="47857" xr:uid="{55D11BD8-5BCF-4097-8496-C0FADEC7223A}"/>
    <cellStyle name="Millares 45 2" xfId="2891" xr:uid="{D9CC9021-DD92-4946-800F-BF155A128C31}"/>
    <cellStyle name="Millares 45 2 2" xfId="5731" xr:uid="{FD237AD6-DB16-4D39-BC1C-8F4B142DF369}"/>
    <cellStyle name="Millares 45 2 2 2" xfId="8599" xr:uid="{F5CB0845-3B9B-4952-8DC2-99B1F2884DBD}"/>
    <cellStyle name="Millares 45 2 2 2 2" xfId="22971" xr:uid="{12808466-8686-49FD-9285-33918ABB991C}"/>
    <cellStyle name="Millares 45 2 2 2 3" xfId="28832" xr:uid="{77948A7D-F0CD-4CB6-82AD-3BAB47C60343}"/>
    <cellStyle name="Millares 45 2 2 2 4" xfId="34714" xr:uid="{CD8C7914-A248-4A57-BEDA-8027C26B61A7}"/>
    <cellStyle name="Millares 45 2 2 2 5" xfId="40578" xr:uid="{C8C18148-21AB-4BBB-9DE0-A2512C928CF2}"/>
    <cellStyle name="Millares 45 2 2 3" xfId="20188" xr:uid="{03994870-2F5A-4379-83EC-EA9B27B23034}"/>
    <cellStyle name="Millares 45 2 2 4" xfId="25982" xr:uid="{1C33EF20-107F-4F16-91C6-EA42DE33E96A}"/>
    <cellStyle name="Millares 45 2 2 5" xfId="31857" xr:uid="{BBFA380E-7A16-4B12-B604-634356A80E9F}"/>
    <cellStyle name="Millares 45 2 2 6" xfId="37724" xr:uid="{BDAF6737-9F77-4B44-AC0A-E54F0503BBB2}"/>
    <cellStyle name="Millares 45 2 2 7" xfId="46322" xr:uid="{DDF9FCF1-B00E-47AE-AC61-56F28DC0FB25}"/>
    <cellStyle name="Millares 45 2 3" xfId="7627" xr:uid="{DED0E5E2-61B3-45D4-B1DE-6231DA8638B0}"/>
    <cellStyle name="Millares 45 2 3 2" xfId="22021" xr:uid="{98C9EAB0-F9BC-46AA-A07C-FF6C0D483E42}"/>
    <cellStyle name="Millares 45 2 3 3" xfId="27861" xr:uid="{82FE0D58-4913-42A1-86A5-7B27370B2D33}"/>
    <cellStyle name="Millares 45 2 3 4" xfId="33743" xr:uid="{70BD8EEE-03FD-4CB6-A864-8ED6C1AE352D}"/>
    <cellStyle name="Millares 45 2 3 5" xfId="39607" xr:uid="{AB6CCB10-8CB5-4C05-8A62-8F64ADCBDD47}"/>
    <cellStyle name="Millares 45 2 3 6" xfId="47180" xr:uid="{CDFEC640-5385-4D0D-B7A8-BF9E2C2B60CB}"/>
    <cellStyle name="Millares 45 2 4" xfId="4763" xr:uid="{6087987E-7058-4011-B4DD-9E0EEE1F11E1}"/>
    <cellStyle name="Millares 45 2 5" xfId="11162" xr:uid="{7041DAE8-4DC1-4E6D-A85D-DF4A0051C34C}"/>
    <cellStyle name="Millares 45 2 5 2" xfId="25012" xr:uid="{C57B9438-FD3E-4BD9-B806-919F790C1646}"/>
    <cellStyle name="Millares 45 2 6" xfId="14002" xr:uid="{E3E9F7E4-3E04-4C14-B60D-EE596202B933}"/>
    <cellStyle name="Millares 45 2 6 2" xfId="30886" xr:uid="{A12C29DB-2148-4D45-9920-2C7E89209B7C}"/>
    <cellStyle name="Millares 45 2 7" xfId="36767" xr:uid="{90F66488-4ADA-4AC4-B945-110522BF7B35}"/>
    <cellStyle name="Millares 45 2 8" xfId="43926" xr:uid="{3159EB71-C647-425A-B18D-D562C28047B7}"/>
    <cellStyle name="Millares 45 2 9" xfId="48819" xr:uid="{410A1BB8-A9C8-4511-BF24-CDCEE4327983}"/>
    <cellStyle name="Millares 45 3" xfId="5247" xr:uid="{C437538C-AFC0-46D0-82EC-6E2D4558B4C1}"/>
    <cellStyle name="Millares 45 3 2" xfId="8114" xr:uid="{2BDE7FA7-840B-4116-A280-052262160898}"/>
    <cellStyle name="Millares 45 3 2 2" xfId="22492" xr:uid="{2A5B6D6B-09D0-4F30-A7EC-33D43F302CE3}"/>
    <cellStyle name="Millares 45 3 2 3" xfId="28347" xr:uid="{7865828E-7025-4266-AF6E-63542E8C848B}"/>
    <cellStyle name="Millares 45 3 2 4" xfId="34229" xr:uid="{49E2A641-35B2-4470-A171-D8189BAA4F5E}"/>
    <cellStyle name="Millares 45 3 2 5" xfId="40093" xr:uid="{43D3C27D-B467-4FBF-9BC0-C61A274EFAEB}"/>
    <cellStyle name="Millares 45 3 3" xfId="19717" xr:uid="{5E458FAE-8BAB-4196-8139-95163A1ECD74}"/>
    <cellStyle name="Millares 45 3 4" xfId="25498" xr:uid="{64CB7774-3068-4345-A499-75BBF521A96D}"/>
    <cellStyle name="Millares 45 3 5" xfId="31372" xr:uid="{F96FE650-C918-4EDA-8059-D0F138662656}"/>
    <cellStyle name="Millares 45 3 6" xfId="37245" xr:uid="{1B27D523-8E3F-4D6B-851C-1DD78B3BD492}"/>
    <cellStyle name="Millares 45 3 7" xfId="45360" xr:uid="{0DB2645B-400D-496E-8DFC-BB58F30E422E}"/>
    <cellStyle name="Millares 45 4" xfId="7142" xr:uid="{EC0F6532-EDFE-4B3C-B680-07B88C7FD3FC}"/>
    <cellStyle name="Millares 45 4 2" xfId="21553" xr:uid="{BBDC054F-7A68-4B16-B281-67990BF15F7D}"/>
    <cellStyle name="Millares 45 4 3" xfId="27377" xr:uid="{6421C6C7-78C8-4E7C-9898-52834FB0DA1F}"/>
    <cellStyle name="Millares 45 4 4" xfId="33258" xr:uid="{D3144808-6399-4DFD-BA99-42B7FFE6EFD6}"/>
    <cellStyle name="Millares 45 4 5" xfId="39122" xr:uid="{D6441465-7A24-414B-94D0-F26F70D4D272}"/>
    <cellStyle name="Millares 45 4 6" xfId="47158" xr:uid="{40B34AAD-15EC-450C-BAA4-301695830720}"/>
    <cellStyle name="Millares 45 5" xfId="4281" xr:uid="{4BA09204-E595-47FD-B7CD-2C86BE826CCA}"/>
    <cellStyle name="Millares 45 6" xfId="10200" xr:uid="{0E6E75E2-E06D-49B3-8CF4-B286A5815700}"/>
    <cellStyle name="Millares 45 6 2" xfId="24527" xr:uid="{311EE197-F15A-456E-AE77-76F8ABFD9B39}"/>
    <cellStyle name="Millares 45 7" xfId="13040" xr:uid="{E44F0CA5-C1D7-46FE-B559-B786D41F445F}"/>
    <cellStyle name="Millares 45 7 2" xfId="30406" xr:uid="{6806AF36-47CC-45FB-A3C6-A2B61CDA4533}"/>
    <cellStyle name="Millares 45 8" xfId="16383" xr:uid="{C3D2ACC0-103A-4813-AF56-51CB0D138BD3}"/>
    <cellStyle name="Millares 45 8 2" xfId="36287" xr:uid="{6F47D2B3-E133-4F27-A6F4-74C52BC7E5F2}"/>
    <cellStyle name="Millares 45 9" xfId="16926" xr:uid="{9B943180-3BA4-41E9-B5E2-F4F02BE4377B}"/>
    <cellStyle name="Millares 46" xfId="1895" xr:uid="{00000000-0005-0000-0000-000059020000}"/>
    <cellStyle name="Millares 46 10" xfId="17472" xr:uid="{BE65080B-D799-483C-82E1-23C499A64E80}"/>
    <cellStyle name="Millares 46 11" xfId="17776" xr:uid="{266D315F-7838-4C4B-B66E-8A8620C45C6C}"/>
    <cellStyle name="Millares 46 12" xfId="42322" xr:uid="{B0898259-F30C-4304-89F6-5B5D9E7A4742}"/>
    <cellStyle name="Millares 46 13" xfId="42966" xr:uid="{CB667EBE-B04D-4233-8E55-25257A6E5366}"/>
    <cellStyle name="Millares 46 14" xfId="47859" xr:uid="{41C0DE0B-2E5F-400C-9E28-00419C4C0CEE}"/>
    <cellStyle name="Millares 46 2" xfId="2893" xr:uid="{4BDCD706-2926-4A10-AE00-38D1C1C42BA9}"/>
    <cellStyle name="Millares 46 2 2" xfId="5729" xr:uid="{EBC3559F-BA25-4A60-B7AA-DE9C21BD65DF}"/>
    <cellStyle name="Millares 46 2 2 2" xfId="8597" xr:uid="{79DFD4F2-FD84-452D-A3AC-6096DCB74D13}"/>
    <cellStyle name="Millares 46 2 2 2 2" xfId="22969" xr:uid="{E7BDE268-4308-4929-9CCD-29C28E00FE80}"/>
    <cellStyle name="Millares 46 2 2 2 3" xfId="28830" xr:uid="{AA358111-FD47-4DBE-8173-88BA067DD2AB}"/>
    <cellStyle name="Millares 46 2 2 2 4" xfId="34712" xr:uid="{103CC28E-828E-49F7-AC54-25E7FF94AEBE}"/>
    <cellStyle name="Millares 46 2 2 2 5" xfId="40576" xr:uid="{8DED30A4-B836-4FF1-8C54-76DF9581D978}"/>
    <cellStyle name="Millares 46 2 2 3" xfId="20186" xr:uid="{11BE5CA9-976F-4EB4-B864-004370F69F0C}"/>
    <cellStyle name="Millares 46 2 2 4" xfId="25980" xr:uid="{A4A29E21-88FE-4C3F-A2A2-1B5D630A7D84}"/>
    <cellStyle name="Millares 46 2 2 5" xfId="31855" xr:uid="{676F7B7D-5647-45EC-A74D-BE24D67C56BD}"/>
    <cellStyle name="Millares 46 2 2 6" xfId="37722" xr:uid="{73198244-D9A4-42FB-8659-4C77BDE5EE35}"/>
    <cellStyle name="Millares 46 2 2 7" xfId="46324" xr:uid="{75FACC21-A610-46CF-BB22-EFFB0C266AD4}"/>
    <cellStyle name="Millares 46 2 3" xfId="7625" xr:uid="{A775CC12-7E8E-48FB-9784-6250138B1172}"/>
    <cellStyle name="Millares 46 2 3 2" xfId="22019" xr:uid="{AF172131-AFD0-4DC6-8A05-9729BE3BB843}"/>
    <cellStyle name="Millares 46 2 3 3" xfId="27859" xr:uid="{0D6897F3-A7FE-4799-8622-5B0C5E3875BB}"/>
    <cellStyle name="Millares 46 2 3 4" xfId="33741" xr:uid="{4C82F32B-B761-42E0-99DE-07CB1C4AE8E7}"/>
    <cellStyle name="Millares 46 2 3 5" xfId="39605" xr:uid="{071EF17C-81C4-4C4F-9A0E-4A5E06BCCB25}"/>
    <cellStyle name="Millares 46 2 3 6" xfId="47181" xr:uid="{5B263C07-D4B8-4947-A525-DDB36F5741FB}"/>
    <cellStyle name="Millares 46 2 4" xfId="4761" xr:uid="{E94C6D55-1054-4451-B039-E7B01F64F470}"/>
    <cellStyle name="Millares 46 2 5" xfId="11164" xr:uid="{287DFEF2-76A1-4671-952B-967B4C352E53}"/>
    <cellStyle name="Millares 46 2 5 2" xfId="25010" xr:uid="{665C1072-594E-4425-AD88-7DE873E4F5A7}"/>
    <cellStyle name="Millares 46 2 6" xfId="14004" xr:uid="{62BE676E-B88A-48C6-9D00-6D22CD6A5330}"/>
    <cellStyle name="Millares 46 2 6 2" xfId="30884" xr:uid="{FE68EF6C-B67E-45BF-85E8-67FBC1680850}"/>
    <cellStyle name="Millares 46 2 7" xfId="36765" xr:uid="{0671ECA8-BFA3-4E8C-BCC7-4EA6F7603769}"/>
    <cellStyle name="Millares 46 2 8" xfId="43928" xr:uid="{43485682-85B1-4D68-A629-A0AF6DD9CE74}"/>
    <cellStyle name="Millares 46 2 9" xfId="48821" xr:uid="{AA6B25EA-5C21-4352-AF72-BE87D7D33BC9}"/>
    <cellStyle name="Millares 46 3" xfId="5245" xr:uid="{F71BE73D-96AC-45A0-98E3-091A3ABE577B}"/>
    <cellStyle name="Millares 46 3 2" xfId="8112" xr:uid="{C2F48976-6428-4815-A648-EE1A36499068}"/>
    <cellStyle name="Millares 46 3 2 2" xfId="22490" xr:uid="{671B8AC8-0DEE-48B3-AB33-A9EF27356AD0}"/>
    <cellStyle name="Millares 46 3 2 3" xfId="28345" xr:uid="{DA855F5B-F253-45C3-8003-9CDA8A5C89F4}"/>
    <cellStyle name="Millares 46 3 2 4" xfId="34227" xr:uid="{7ABC5D63-3DB1-488F-BA4A-83D941F30C9E}"/>
    <cellStyle name="Millares 46 3 2 5" xfId="40091" xr:uid="{8FE09AED-B98A-4D2B-A0E9-A8868C550E65}"/>
    <cellStyle name="Millares 46 3 3" xfId="19715" xr:uid="{80E17ED0-E3FC-46BB-8337-23C0FF355A07}"/>
    <cellStyle name="Millares 46 3 4" xfId="25496" xr:uid="{5691FF4D-5468-4DFC-817B-2863DC972F1D}"/>
    <cellStyle name="Millares 46 3 5" xfId="31370" xr:uid="{FDAC48CB-368C-46D7-966C-8AC6EB4615D7}"/>
    <cellStyle name="Millares 46 3 6" xfId="37243" xr:uid="{8082DC8D-1E6F-4664-B9AB-7BEF13608DAF}"/>
    <cellStyle name="Millares 46 3 7" xfId="45362" xr:uid="{9E6F2CDA-6547-4B98-8F27-B73932813BCD}"/>
    <cellStyle name="Millares 46 4" xfId="7140" xr:uid="{621E479D-1552-4B73-8ED9-D3121B6FE1EB}"/>
    <cellStyle name="Millares 46 4 2" xfId="21551" xr:uid="{0C4612E1-8E94-4464-B8BD-E6A88400E4FF}"/>
    <cellStyle name="Millares 46 4 3" xfId="27375" xr:uid="{C5CD60F0-D3A9-4894-B802-07D3BC3A185C}"/>
    <cellStyle name="Millares 46 4 4" xfId="33256" xr:uid="{3358D4FE-A5F5-48CC-8E1C-C35E6E876ED7}"/>
    <cellStyle name="Millares 46 4 5" xfId="39120" xr:uid="{5E64A3AF-FA5E-4E57-A23F-5781BD6366F1}"/>
    <cellStyle name="Millares 46 4 6" xfId="47159" xr:uid="{022D6ACD-D670-41F0-B06C-AB7DDD3529B8}"/>
    <cellStyle name="Millares 46 5" xfId="4279" xr:uid="{932941DB-7A71-44EA-80C5-D7D806AC9223}"/>
    <cellStyle name="Millares 46 6" xfId="10202" xr:uid="{364AF698-FC92-4AC8-96C9-6AB47B432AB6}"/>
    <cellStyle name="Millares 46 6 2" xfId="24525" xr:uid="{475668E1-15D5-464F-9ACB-DDC30EA2B7FF}"/>
    <cellStyle name="Millares 46 7" xfId="13042" xr:uid="{83C2F38B-1670-4A9D-A9A4-B6C1CC196383}"/>
    <cellStyle name="Millares 46 7 2" xfId="30404" xr:uid="{B7F6D0A2-9BFF-44F5-ACD1-0266671BDE5D}"/>
    <cellStyle name="Millares 46 8" xfId="16384" xr:uid="{88AB2FD3-D6E7-4939-9DA2-78500ABB215E}"/>
    <cellStyle name="Millares 46 8 2" xfId="36285" xr:uid="{86AA51EC-14F6-4D83-AF45-EF5785118058}"/>
    <cellStyle name="Millares 46 9" xfId="16928" xr:uid="{151CEE16-37F3-44B0-B25B-9A54A8D49AD2}"/>
    <cellStyle name="Millares 47" xfId="1943" xr:uid="{00000000-0005-0000-0000-00005A020000}"/>
    <cellStyle name="Millares 47 10" xfId="17484" xr:uid="{2EC28CE7-2803-4FAD-AC17-7BDD22E38B2C}"/>
    <cellStyle name="Millares 47 11" xfId="17754" xr:uid="{07A250E0-DB02-47AA-8429-2A8E45CF412B}"/>
    <cellStyle name="Millares 47 12" xfId="42323" xr:uid="{3AD66554-010C-4869-982B-7A2ACB152D0F}"/>
    <cellStyle name="Millares 47 13" xfId="42978" xr:uid="{10155357-E9AC-418F-AB71-E0ED4ACDE1BD}"/>
    <cellStyle name="Millares 47 14" xfId="47871" xr:uid="{82DE1AAC-BE70-4660-AD26-AF843251BF23}"/>
    <cellStyle name="Millares 47 2" xfId="2905" xr:uid="{B2091F5C-52BD-4665-999C-56FD3A932839}"/>
    <cellStyle name="Millares 47 2 2" xfId="5730" xr:uid="{CBF190A3-E1D4-430F-82AF-96BE641285A6}"/>
    <cellStyle name="Millares 47 2 2 2" xfId="8598" xr:uid="{7CD286DB-79D5-444F-B274-B7AD2D478F51}"/>
    <cellStyle name="Millares 47 2 2 2 2" xfId="22970" xr:uid="{A5ACA9DF-B122-4CD2-B074-2F4ACD208059}"/>
    <cellStyle name="Millares 47 2 2 2 3" xfId="28831" xr:uid="{F124B781-17ED-48A9-98DF-F133E0E7468F}"/>
    <cellStyle name="Millares 47 2 2 2 4" xfId="34713" xr:uid="{EBFB4E8C-FD8D-4B38-8025-6A568275F07E}"/>
    <cellStyle name="Millares 47 2 2 2 5" xfId="40577" xr:uid="{60B8D4C8-6706-4630-A155-652B6B71E3CA}"/>
    <cellStyle name="Millares 47 2 2 3" xfId="20187" xr:uid="{45B6303F-67D7-435A-A55B-719621A2A6AC}"/>
    <cellStyle name="Millares 47 2 2 4" xfId="25981" xr:uid="{D78A5D67-9DE6-41CB-97B5-4A8DB2B1F4D2}"/>
    <cellStyle name="Millares 47 2 2 5" xfId="31856" xr:uid="{C914601D-CBE4-4662-B593-30725AF606C6}"/>
    <cellStyle name="Millares 47 2 2 6" xfId="37723" xr:uid="{62AF7B80-DDBD-485F-AA13-5A26DC5BBDCC}"/>
    <cellStyle name="Millares 47 2 2 7" xfId="46336" xr:uid="{C9554173-F7E6-4222-BEEE-2DDC70976D32}"/>
    <cellStyle name="Millares 47 2 3" xfId="7626" xr:uid="{4C12B3DC-379A-429A-8721-E36DD292E05A}"/>
    <cellStyle name="Millares 47 2 3 2" xfId="22020" xr:uid="{4CA8AB9D-91FF-4751-AEDF-855A146455CF}"/>
    <cellStyle name="Millares 47 2 3 3" xfId="27860" xr:uid="{13BBEC0E-ED42-4734-B314-5F575AD1E2B1}"/>
    <cellStyle name="Millares 47 2 3 4" xfId="33742" xr:uid="{08C0A19C-1A8E-4C1B-8072-4579C75E586D}"/>
    <cellStyle name="Millares 47 2 3 5" xfId="39606" xr:uid="{3B3A2742-A728-4E1F-B9E7-3401BD7EA6D3}"/>
    <cellStyle name="Millares 47 2 3 6" xfId="47182" xr:uid="{D457C693-C3FA-4C90-8FF3-AA990889C647}"/>
    <cellStyle name="Millares 47 2 4" xfId="4762" xr:uid="{50FCDF5C-7137-4493-BC21-ECE5E7EEBCCB}"/>
    <cellStyle name="Millares 47 2 5" xfId="11176" xr:uid="{991CD26D-6CA1-48FF-B44E-FA9317BD3DC7}"/>
    <cellStyle name="Millares 47 2 5 2" xfId="25011" xr:uid="{DA1BF8B1-4456-4B71-84B6-38D646930A56}"/>
    <cellStyle name="Millares 47 2 6" xfId="14016" xr:uid="{A81FAD66-9AFC-46F4-81B6-580A79E341C4}"/>
    <cellStyle name="Millares 47 2 6 2" xfId="30885" xr:uid="{9F52035C-55D8-415E-9B89-E4F5AE2D0660}"/>
    <cellStyle name="Millares 47 2 7" xfId="36766" xr:uid="{095D99C5-968C-4EFD-B9D2-462B5BF39B56}"/>
    <cellStyle name="Millares 47 2 8" xfId="43940" xr:uid="{CB4BF063-B909-415B-938D-A7CF59611EE9}"/>
    <cellStyle name="Millares 47 2 9" xfId="48833" xr:uid="{7D8F14E5-AD06-4DCF-948D-C11905612DDA}"/>
    <cellStyle name="Millares 47 3" xfId="5246" xr:uid="{D803B51C-5AE7-4839-9381-9EF121694037}"/>
    <cellStyle name="Millares 47 3 2" xfId="8113" xr:uid="{002119AF-0143-44BF-A45C-41556A358E2F}"/>
    <cellStyle name="Millares 47 3 2 2" xfId="22491" xr:uid="{7601FB49-FB02-4FC1-B6E5-8FE5C1505223}"/>
    <cellStyle name="Millares 47 3 2 3" xfId="28346" xr:uid="{672326A7-F45C-4D59-BFD5-A1FC6D2B996B}"/>
    <cellStyle name="Millares 47 3 2 4" xfId="34228" xr:uid="{17E5A0FF-10B0-48A8-A2FB-0FE1CA9B8A29}"/>
    <cellStyle name="Millares 47 3 2 5" xfId="40092" xr:uid="{8C6E6B8C-C991-4239-9473-E542FDB209AB}"/>
    <cellStyle name="Millares 47 3 3" xfId="19716" xr:uid="{04BBB47D-DF26-485F-A3A6-E49070862E8B}"/>
    <cellStyle name="Millares 47 3 4" xfId="25497" xr:uid="{B5A6B8FD-1C14-4C4F-8D1B-201E3E450B03}"/>
    <cellStyle name="Millares 47 3 5" xfId="31371" xr:uid="{E1B66974-AC9F-4B17-9E59-4734360E4D6B}"/>
    <cellStyle name="Millares 47 3 6" xfId="37244" xr:uid="{2D39F65A-BD18-4A0D-A02A-0A2AB9B60B2A}"/>
    <cellStyle name="Millares 47 3 7" xfId="45374" xr:uid="{3B93600A-CFCF-4BFF-A39D-33E5255657FE}"/>
    <cellStyle name="Millares 47 4" xfId="7141" xr:uid="{7D84F44A-0994-4E05-BC31-558B2ABFA60B}"/>
    <cellStyle name="Millares 47 4 2" xfId="21552" xr:uid="{2A17B8FE-C4C9-45D9-A05C-693A2065945F}"/>
    <cellStyle name="Millares 47 4 3" xfId="27376" xr:uid="{44CF9762-E921-4B5D-9C0D-67F17D625A78}"/>
    <cellStyle name="Millares 47 4 4" xfId="33257" xr:uid="{3CE4BDE2-5D14-4F32-A28C-22D41918964F}"/>
    <cellStyle name="Millares 47 4 5" xfId="39121" xr:uid="{E5AB2FDF-0FC3-406B-98B2-F6F27562CE5E}"/>
    <cellStyle name="Millares 47 4 6" xfId="47160" xr:uid="{93011CCC-2B00-4332-8CF8-AD14C95FA577}"/>
    <cellStyle name="Millares 47 5" xfId="4280" xr:uid="{FE8752CB-2C5B-434D-8AFD-3EB849AF28F1}"/>
    <cellStyle name="Millares 47 6" xfId="10214" xr:uid="{49762F89-EE4E-4C97-B2DC-26B948307863}"/>
    <cellStyle name="Millares 47 6 2" xfId="24526" xr:uid="{7679D42C-61DC-4899-892C-BA8C79910AF2}"/>
    <cellStyle name="Millares 47 7" xfId="13054" xr:uid="{2B7D0379-F8E4-4379-B41A-799EB0B1ACC4}"/>
    <cellStyle name="Millares 47 7 2" xfId="30405" xr:uid="{168A410D-5EF0-424F-BF6A-4F76B36AA85B}"/>
    <cellStyle name="Millares 47 8" xfId="16396" xr:uid="{A2190557-FA7C-42E2-AEED-8BE8E07AAFCF}"/>
    <cellStyle name="Millares 47 8 2" xfId="36286" xr:uid="{B5ACB3DE-7144-406D-B019-88AE8D665C4E}"/>
    <cellStyle name="Millares 47 9" xfId="16940" xr:uid="{66CE5CCF-7767-4B92-8BDC-3CBEDF2814F7}"/>
    <cellStyle name="Millares 48" xfId="3330" xr:uid="{F78513B6-7219-4739-BC3C-744369684EA5}"/>
    <cellStyle name="Millares 48 10" xfId="44362" xr:uid="{218F1E92-F2CF-44F4-9291-4E3AE9195428}"/>
    <cellStyle name="Millares 48 11" xfId="49255" xr:uid="{75E681C5-2CFB-4CFE-97F7-7E3EC62825D1}"/>
    <cellStyle name="Millares 48 2" xfId="4766" xr:uid="{3336D165-01F5-4B1F-9060-AB8B0AFDED3C}"/>
    <cellStyle name="Millares 48 2 2" xfId="5734" xr:uid="{2C80E948-7E47-426B-AC97-5813BDEB3806}"/>
    <cellStyle name="Millares 48 2 2 2" xfId="8602" xr:uid="{E44AA90F-E08F-47EB-ADC2-7D416B216D68}"/>
    <cellStyle name="Millares 48 2 2 2 2" xfId="22973" xr:uid="{4B82A269-7AE3-4F61-9FCB-2CB21084E1EA}"/>
    <cellStyle name="Millares 48 2 2 2 3" xfId="28835" xr:uid="{248782B9-A3E4-493E-BBEF-883BED6195AA}"/>
    <cellStyle name="Millares 48 2 2 2 4" xfId="34717" xr:uid="{9E273F60-84F0-4952-B552-254FC183016A}"/>
    <cellStyle name="Millares 48 2 2 2 5" xfId="40581" xr:uid="{A5A75A56-06CD-4914-BF79-44C00FE5D807}"/>
    <cellStyle name="Millares 48 2 2 3" xfId="20191" xr:uid="{CB39B6D3-1154-4DBD-AB54-0B843E1659C2}"/>
    <cellStyle name="Millares 48 2 2 4" xfId="25985" xr:uid="{A0AEE227-1D34-4CC4-A294-36EC0FFF3B09}"/>
    <cellStyle name="Millares 48 2 2 5" xfId="31860" xr:uid="{06838A7F-5998-4A7C-AA6B-BE5458D43C6B}"/>
    <cellStyle name="Millares 48 2 2 6" xfId="37726" xr:uid="{C131272B-8D3E-4619-8E13-79EC71F208FF}"/>
    <cellStyle name="Millares 48 2 3" xfId="7630" xr:uid="{0161DB54-2989-47ED-959D-C0401FDAF88B}"/>
    <cellStyle name="Millares 48 2 3 2" xfId="22023" xr:uid="{52EB9FD9-D4C2-489E-8A5A-B780E72B5170}"/>
    <cellStyle name="Millares 48 2 3 3" xfId="27864" xr:uid="{46823975-734A-428E-8E6E-0D144B778BDD}"/>
    <cellStyle name="Millares 48 2 3 4" xfId="33746" xr:uid="{3904D4E9-2456-415C-BAB5-0F109AA065EA}"/>
    <cellStyle name="Millares 48 2 3 5" xfId="39610" xr:uid="{F49C9DFC-50A0-4BA8-A0DA-40E4EA5277BA}"/>
    <cellStyle name="Millares 48 2 4" xfId="19251" xr:uid="{AA4FDA5A-8A2B-46BC-B43D-A4676E8CEBDF}"/>
    <cellStyle name="Millares 48 2 5" xfId="25015" xr:uid="{E946F294-A626-461E-940B-BF5FC067D4E3}"/>
    <cellStyle name="Millares 48 2 6" xfId="30889" xr:uid="{A7FA49E0-DBC7-46C8-93C9-7E21C75F7DEF}"/>
    <cellStyle name="Millares 48 2 7" xfId="36769" xr:uid="{B87BADD0-0D8E-4CF1-8A87-E05DABFD72EF}"/>
    <cellStyle name="Millares 48 2 8" xfId="46758" xr:uid="{185D1F4E-EBF0-4D88-A800-7A620FA673A7}"/>
    <cellStyle name="Millares 48 3" xfId="5250" xr:uid="{99F127A9-398D-49B7-91C0-1FCDCB10D4D9}"/>
    <cellStyle name="Millares 48 3 2" xfId="8117" xr:uid="{BFC98E64-AE25-4EC6-9E5E-9EFFAC57BF3B}"/>
    <cellStyle name="Millares 48 3 2 2" xfId="22494" xr:uid="{317F8B89-12D4-4DCB-A4CC-9E259658A1CE}"/>
    <cellStyle name="Millares 48 3 2 3" xfId="28350" xr:uid="{D1F01AF9-BF0F-49E5-824E-CB613062982C}"/>
    <cellStyle name="Millares 48 3 2 4" xfId="34232" xr:uid="{67EEF427-2A80-4343-BB52-9EE64E7D1D62}"/>
    <cellStyle name="Millares 48 3 2 5" xfId="40096" xr:uid="{C483907D-E057-4944-B386-B5099F4B2B17}"/>
    <cellStyle name="Millares 48 3 3" xfId="19720" xr:uid="{845EDFA1-7CC0-4F6E-9442-EA3D47A8BC56}"/>
    <cellStyle name="Millares 48 3 4" xfId="25501" xr:uid="{D4658872-AA48-4567-BED9-981615145C5E}"/>
    <cellStyle name="Millares 48 3 5" xfId="31375" xr:uid="{2D39F9E3-7636-46F9-999C-1E29117853E5}"/>
    <cellStyle name="Millares 48 3 6" xfId="37247" xr:uid="{A64FBCDC-444D-4101-89A2-2030CA1B7993}"/>
    <cellStyle name="Millares 48 3 7" xfId="47184" xr:uid="{97D224A2-8CB0-432C-AFF5-E10E6615A277}"/>
    <cellStyle name="Millares 48 4" xfId="7145" xr:uid="{933F1070-37F7-4167-B21F-3BE4A0B08FDE}"/>
    <cellStyle name="Millares 48 4 2" xfId="21556" xr:uid="{59C7F0CD-19CE-4D85-A500-C86AE7D34003}"/>
    <cellStyle name="Millares 48 4 3" xfId="27379" xr:uid="{FF43D51E-986E-4924-B4AC-DE174D3ECA46}"/>
    <cellStyle name="Millares 48 4 4" xfId="33261" xr:uid="{81914F4C-692A-4841-82ED-2CA5A0582570}"/>
    <cellStyle name="Millares 48 4 5" xfId="39125" xr:uid="{428F72BF-4910-4AB2-950A-38D477373506}"/>
    <cellStyle name="Millares 48 5" xfId="4284" xr:uid="{11F5A7CB-9AF4-4D61-937A-5DA7C7C2DDF7}"/>
    <cellStyle name="Millares 48 6" xfId="11598" xr:uid="{78701CD5-794F-486B-AB76-5BABD68BD53E}"/>
    <cellStyle name="Millares 48 6 2" xfId="24530" xr:uid="{9A0E0107-6C7F-461D-9E23-8FD84696BB09}"/>
    <cellStyle name="Millares 48 7" xfId="14438" xr:uid="{A5229AF4-171C-4F02-A46E-F6CE10825806}"/>
    <cellStyle name="Millares 48 7 2" xfId="30409" xr:uid="{6063D0C1-B59F-4164-87F3-47898C53B206}"/>
    <cellStyle name="Millares 48 8" xfId="36290" xr:uid="{9E03FE03-DCA8-46CC-8320-FE3CAC2E5FA9}"/>
    <cellStyle name="Millares 48 9" xfId="42324" xr:uid="{E275DAEA-EB14-44AC-9BC9-CE20D51F24F9}"/>
    <cellStyle name="Millares 49" xfId="3355" xr:uid="{BDAB17C0-B6B2-47D9-BE62-FF16DA95FC2B}"/>
    <cellStyle name="Millares 49 10" xfId="44371" xr:uid="{F6B793AA-9429-45C1-9613-57C96F51A6BD}"/>
    <cellStyle name="Millares 49 11" xfId="49264" xr:uid="{6D39F2A0-1026-4785-BAB5-D7C046DD756E}"/>
    <cellStyle name="Millares 49 2" xfId="4753" xr:uid="{EE67E95C-ECDE-42C2-A4F8-FF76A2913497}"/>
    <cellStyle name="Millares 49 2 2" xfId="5721" xr:uid="{49BD711E-B766-4AAE-A6CC-FCD2F726FA21}"/>
    <cellStyle name="Millares 49 2 2 2" xfId="8589" xr:uid="{FD4F7D1C-6F96-4ADE-8D94-520217432906}"/>
    <cellStyle name="Millares 49 2 2 2 2" xfId="22961" xr:uid="{5B8F7FA1-3B46-4157-8E90-C1660F6C418E}"/>
    <cellStyle name="Millares 49 2 2 2 3" xfId="28822" xr:uid="{6DCFCAA2-953B-46ED-A0E1-35AC3352AE0D}"/>
    <cellStyle name="Millares 49 2 2 2 4" xfId="34704" xr:uid="{136AEB97-248A-4E53-8B83-36EC1C30C6AB}"/>
    <cellStyle name="Millares 49 2 2 2 5" xfId="40568" xr:uid="{E968686A-EA7E-4E2E-AFDC-7F3466F48CE5}"/>
    <cellStyle name="Millares 49 2 2 3" xfId="20178" xr:uid="{AC8BA773-8D94-485F-85AF-CD499C18E26A}"/>
    <cellStyle name="Millares 49 2 2 4" xfId="25972" xr:uid="{0737E512-59E8-40B7-B683-CA5500997F00}"/>
    <cellStyle name="Millares 49 2 2 5" xfId="31847" xr:uid="{67CEB7A9-8408-43EF-8F22-005CE24327E6}"/>
    <cellStyle name="Millares 49 2 2 6" xfId="37714" xr:uid="{1422A191-F397-4FFA-BEF7-8239BEA1D3D5}"/>
    <cellStyle name="Millares 49 2 3" xfId="7617" xr:uid="{52B9AAAB-576C-45DD-A1D1-B0C126BFE49C}"/>
    <cellStyle name="Millares 49 2 3 2" xfId="22011" xr:uid="{E25DFFF6-42D9-465B-95BD-7D3417715469}"/>
    <cellStyle name="Millares 49 2 3 3" xfId="27851" xr:uid="{28E266EE-EE6A-4E51-A1A6-E082940AFC04}"/>
    <cellStyle name="Millares 49 2 3 4" xfId="33733" xr:uid="{BCBA0986-7A1F-4B4E-86CB-97C05B331102}"/>
    <cellStyle name="Millares 49 2 3 5" xfId="39597" xr:uid="{E0EF453B-1083-44DA-AE58-B4A32E0E742B}"/>
    <cellStyle name="Millares 49 2 4" xfId="19241" xr:uid="{FEB72420-F08F-4E9B-9EE7-97A88699ACB1}"/>
    <cellStyle name="Millares 49 2 5" xfId="25002" xr:uid="{1843FE84-CE5E-4CFD-8F20-D226E7F29C15}"/>
    <cellStyle name="Millares 49 2 6" xfId="30876" xr:uid="{DD11AA62-FD30-44F2-A79C-398B0896F762}"/>
    <cellStyle name="Millares 49 2 7" xfId="36757" xr:uid="{C503B01F-EDEC-4108-80AE-A4DF66945C38}"/>
    <cellStyle name="Millares 49 2 8" xfId="46767" xr:uid="{6FF7DE61-601F-4253-941A-0B280F007536}"/>
    <cellStyle name="Millares 49 3" xfId="5237" xr:uid="{50575D0F-F7D9-41D8-8082-D3D95E6188CB}"/>
    <cellStyle name="Millares 49 3 2" xfId="8104" xr:uid="{1C306A35-FA8F-4706-B28B-9BD066DC4CE5}"/>
    <cellStyle name="Millares 49 3 2 2" xfId="22482" xr:uid="{0394EE6F-D357-4F43-B742-3C0119E14F68}"/>
    <cellStyle name="Millares 49 3 2 3" xfId="28337" xr:uid="{A72F8519-C54B-476D-9EF2-14D1637CF4E7}"/>
    <cellStyle name="Millares 49 3 2 4" xfId="34219" xr:uid="{6B757DCD-3A05-4330-9302-AB40D4CD9F5C}"/>
    <cellStyle name="Millares 49 3 2 5" xfId="40083" xr:uid="{697D972D-3A88-4825-B1B9-646AE3491C7D}"/>
    <cellStyle name="Millares 49 3 3" xfId="19707" xr:uid="{D21828C8-FF14-4C77-B8BC-D8B21ADF564A}"/>
    <cellStyle name="Millares 49 3 4" xfId="25488" xr:uid="{FD094BAB-F052-4242-A85D-8E473065001C}"/>
    <cellStyle name="Millares 49 3 5" xfId="31362" xr:uid="{597836A7-73F0-402A-9363-F8F7806A80E3}"/>
    <cellStyle name="Millares 49 3 6" xfId="37235" xr:uid="{3BB29F43-D6FF-406C-B937-57A1817149F9}"/>
    <cellStyle name="Millares 49 3 7" xfId="47192" xr:uid="{9EBCCC50-F579-4481-9242-5F99B04D96AF}"/>
    <cellStyle name="Millares 49 4" xfId="7132" xr:uid="{C1DCCED7-BAFC-40A1-BCB8-33D68AD224A2}"/>
    <cellStyle name="Millares 49 4 2" xfId="21543" xr:uid="{EB6CE596-9B8F-495A-B534-E6063A250918}"/>
    <cellStyle name="Millares 49 4 3" xfId="27367" xr:uid="{3386FC75-2AC1-44E1-A888-271D14FF9993}"/>
    <cellStyle name="Millares 49 4 4" xfId="33248" xr:uid="{01FB20BC-7DB5-40E2-B951-E8A0EFE5CF77}"/>
    <cellStyle name="Millares 49 4 5" xfId="39112" xr:uid="{33D40F3A-410B-4F2D-BCEC-EACD36E2A5DA}"/>
    <cellStyle name="Millares 49 5" xfId="4273" xr:uid="{9D2A2CD6-726C-47EE-8F7A-395FB9575FC4}"/>
    <cellStyle name="Millares 49 6" xfId="11607" xr:uid="{F7640CC1-D5D8-4A70-AF5C-4B7D3CD2D7B3}"/>
    <cellStyle name="Millares 49 6 2" xfId="24517" xr:uid="{77C4F147-BAD3-49DF-9D34-B17C54519A1B}"/>
    <cellStyle name="Millares 49 7" xfId="14447" xr:uid="{BE59EDDC-649A-4356-AC35-10C1857CBE2B}"/>
    <cellStyle name="Millares 49 7 2" xfId="30396" xr:uid="{667F19E0-6577-46B6-BF10-176C5E2D3386}"/>
    <cellStyle name="Millares 49 8" xfId="36277" xr:uid="{2195A5EF-6339-406E-894A-7795F0B4BA55}"/>
    <cellStyle name="Millares 49 9" xfId="42325" xr:uid="{54A9DA8A-F81C-47F6-B645-53BF7AFCC0C9}"/>
    <cellStyle name="Millares 5" xfId="59" xr:uid="{00000000-0005-0000-0000-00005B020000}"/>
    <cellStyle name="Millares 5 10" xfId="35846" xr:uid="{909495CA-3B12-4E6B-A666-9EE0A58D4DAA}"/>
    <cellStyle name="Millares 5 10 2" xfId="47245" xr:uid="{26129DA1-6441-4C53-86BB-C85BC465B094}"/>
    <cellStyle name="Millares 5 10 3" xfId="47095" xr:uid="{A6EA0F62-443E-4FAE-886B-ACC9718BA661}"/>
    <cellStyle name="Millares 5 11" xfId="42118" xr:uid="{25B801F9-D878-49D9-BA6E-AA396E53B775}"/>
    <cellStyle name="Millares 5 12" xfId="42326" xr:uid="{2C040A95-7796-451D-9946-7D59D1641214}"/>
    <cellStyle name="Millares 5 13" xfId="50200" xr:uid="{18C6092D-5A83-437B-BAE2-A3CC960A15E9}"/>
    <cellStyle name="Millares 5 14" xfId="50274" xr:uid="{9FF19289-869E-4648-9AC0-FF9DF7947790}"/>
    <cellStyle name="Millares 5 2" xfId="130" xr:uid="{00000000-0005-0000-0000-00005C020000}"/>
    <cellStyle name="Millares 5 2 10" xfId="42327" xr:uid="{18A73F92-22FF-46D3-B045-4DCE3C47495B}"/>
    <cellStyle name="Millares 5 2 11" xfId="50238" xr:uid="{9238A52E-A1C6-4820-B655-7E94FF95FA42}"/>
    <cellStyle name="Millares 5 2 12" xfId="50312" xr:uid="{4B5C85E6-E5F1-4BEA-BE4B-38AE09135A4B}"/>
    <cellStyle name="Millares 5 2 2" xfId="1933" xr:uid="{00000000-0005-0000-0000-00005D020000}"/>
    <cellStyle name="Millares 5 2 2 2" xfId="5501" xr:uid="{14E681D7-0A3A-4A25-A83B-936BF3E86C8C}"/>
    <cellStyle name="Millares 5 2 2 2 2" xfId="8368" xr:uid="{4AA3CD71-BF9C-4CF0-8435-FE2A3E06C178}"/>
    <cellStyle name="Millares 5 2 2 2 2 2" xfId="22743" xr:uid="{8951E349-B54D-4FE8-BAA7-1DC01ACCFD20}"/>
    <cellStyle name="Millares 5 2 2 2 2 3" xfId="28601" xr:uid="{00E9FCC4-C6CA-4142-9605-E6755C4BE1E2}"/>
    <cellStyle name="Millares 5 2 2 2 2 4" xfId="34483" xr:uid="{0942F640-0CF8-47BE-B86B-B208C00868C7}"/>
    <cellStyle name="Millares 5 2 2 2 2 5" xfId="40347" xr:uid="{2423D2B1-4EE8-41B7-841E-6A116F5BB113}"/>
    <cellStyle name="Millares 5 2 2 2 2 6" xfId="47311" xr:uid="{F2A1F595-9C26-44C7-80A5-7EAC53B90309}"/>
    <cellStyle name="Millares 5 2 2 2 3" xfId="19961" xr:uid="{49FE3EF4-7733-449D-8F1C-095EE1B273CF}"/>
    <cellStyle name="Millares 5 2 2 2 3 2" xfId="47223" xr:uid="{F34FFF83-E38C-4467-A3C0-570181314810}"/>
    <cellStyle name="Millares 5 2 2 2 4" xfId="25752" xr:uid="{EE549538-8C9E-46D4-98A3-0078D3C61EA2}"/>
    <cellStyle name="Millares 5 2 2 2 5" xfId="31626" xr:uid="{594FE114-8FCA-4464-931D-AD8DA9912976}"/>
    <cellStyle name="Millares 5 2 2 2 6" xfId="37496" xr:uid="{74141878-9C01-41D0-9514-7ACC64E1ED19}"/>
    <cellStyle name="Millares 5 2 2 2 7" xfId="46942" xr:uid="{5DF2AD3F-C701-4F25-94ED-4D11882D1F5C}"/>
    <cellStyle name="Millares 5 2 2 3" xfId="7396" xr:uid="{1A26E876-C431-41EF-B8ED-8F2B1E93E787}"/>
    <cellStyle name="Millares 5 2 2 3 2" xfId="21798" xr:uid="{ECD9CA92-AABA-4C64-B845-661A6690DA33}"/>
    <cellStyle name="Millares 5 2 2 3 3" xfId="27630" xr:uid="{3E5A9400-8A6D-459C-8E0F-A6E5835AB15A}"/>
    <cellStyle name="Millares 5 2 2 3 4" xfId="33512" xr:uid="{3CAD6AF4-9F40-4046-ADDA-E2BCFF6B1941}"/>
    <cellStyle name="Millares 5 2 2 3 5" xfId="39376" xr:uid="{0671B77B-98C4-4914-BD7D-F1DDB54722BC}"/>
    <cellStyle name="Millares 5 2 2 3 6" xfId="46943" xr:uid="{3100F7F6-6C54-4D7C-BAD5-468144534AAA}"/>
    <cellStyle name="Millares 5 2 2 3 7" xfId="47057" xr:uid="{ADC6DA58-0B00-41E1-95C9-46B0ED329010}"/>
    <cellStyle name="Millares 5 2 2 4" xfId="4533" xr:uid="{8607847C-889D-4C1F-A7CE-B2F5B5C4E01F}"/>
    <cellStyle name="Millares 5 2 2 4 2" xfId="47283" xr:uid="{0C898594-F11F-45E0-8609-7E57D6D8DCD4}"/>
    <cellStyle name="Millares 5 2 2 5" xfId="24781" xr:uid="{73A14BF2-ADF1-49C2-B4D5-A45C4268CD54}"/>
    <cellStyle name="Millares 5 2 2 5 2" xfId="47151" xr:uid="{352EE1A4-98BB-44D2-B2D6-E23D328E6B9E}"/>
    <cellStyle name="Millares 5 2 2 6" xfId="30658" xr:uid="{6D20BEB2-E415-4953-A919-592E2FD80200}"/>
    <cellStyle name="Millares 5 2 2 7" xfId="36539" xr:uid="{57D2D02F-6AC4-42D9-A71E-6B58D62C24C0}"/>
    <cellStyle name="Millares 5 2 2 8" xfId="46944" xr:uid="{0F6C8A09-813C-41CC-BC55-2BD4580189A6}"/>
    <cellStyle name="Millares 5 2 2 9" xfId="50384" xr:uid="{613EBD8C-2BF3-40AB-A1F8-DCB4C73B699F}"/>
    <cellStyle name="Millares 5 2 3" xfId="3407" xr:uid="{88CA5C98-795C-4A65-9F89-68D3B1715D80}"/>
    <cellStyle name="Millares 5 2 3 2" xfId="7883" xr:uid="{84E2B37C-5EDA-4CA3-A376-B3716D46DC45}"/>
    <cellStyle name="Millares 5 2 3 2 2" xfId="22268" xr:uid="{C8E3D5B9-0F60-4911-9AD3-39EA7393A8C4}"/>
    <cellStyle name="Millares 5 2 3 2 3" xfId="28116" xr:uid="{8821E6E9-C1AC-4430-88A1-8FC1BC08BC09}"/>
    <cellStyle name="Millares 5 2 3 2 4" xfId="33998" xr:uid="{AE69A558-5F43-48D4-9A5C-687DA1D1D897}"/>
    <cellStyle name="Millares 5 2 3 2 5" xfId="39862" xr:uid="{D4BB3D35-AF50-48A5-8C6F-D9EC698CE563}"/>
    <cellStyle name="Millares 5 2 3 2 6" xfId="46808" xr:uid="{29CE5CCB-2C4A-4FAE-80E9-86AFA667529C}"/>
    <cellStyle name="Millares 5 2 3 3" xfId="5016" xr:uid="{A682DC53-01E4-4213-90D7-A5BA527EED4F}"/>
    <cellStyle name="Millares 5 2 3 3 2" xfId="47197" xr:uid="{76A308DE-6889-46FA-A6E1-B520FE11F430}"/>
    <cellStyle name="Millares 5 2 3 4" xfId="11648" xr:uid="{1DE5864D-EE70-4144-81A0-A8EC160AB835}"/>
    <cellStyle name="Millares 5 2 3 4 2" xfId="25267" xr:uid="{06AA9BDE-1B5B-48EB-936C-74B748C2904E}"/>
    <cellStyle name="Millares 5 2 3 5" xfId="14488" xr:uid="{CE79DF6D-F015-4BAB-A24C-D58EE9D039FA}"/>
    <cellStyle name="Millares 5 2 3 5 2" xfId="31141" xr:uid="{E534F5FC-4979-4DAE-A0A4-82D5B7BED87D}"/>
    <cellStyle name="Millares 5 2 3 6" xfId="37019" xr:uid="{D72897F7-7EF3-4584-B877-31CF4F2ABD23}"/>
    <cellStyle name="Millares 5 2 3 7" xfId="44412" xr:uid="{987B8A05-5611-469E-8737-403643F29DD0}"/>
    <cellStyle name="Millares 5 2 3 8" xfId="49305" xr:uid="{39774475-2900-4A7A-A255-07651C574CB9}"/>
    <cellStyle name="Millares 5 2 4" xfId="6911" xr:uid="{4ADBBC47-8CA3-4AE8-83DF-D7F988EB8BB4}"/>
    <cellStyle name="Millares 5 2 4 2" xfId="21331" xr:uid="{44348CF8-FBD5-45CE-9DEC-7106FF15AA45}"/>
    <cellStyle name="Millares 5 2 4 3" xfId="27149" xr:uid="{B47ABF6D-B0B7-4167-A0BC-AB061907F668}"/>
    <cellStyle name="Millares 5 2 4 4" xfId="33027" xr:uid="{C2E6F29C-8F2F-4139-AB7A-4DBD2BB987B8}"/>
    <cellStyle name="Millares 5 2 4 5" xfId="38891" xr:uid="{DBE7D133-D92E-4F0E-BDEB-19A3A8E8A69B}"/>
    <cellStyle name="Millares 5 2 4 6" xfId="46945" xr:uid="{C64B6B4B-E0F0-4410-BB94-0B4E35460957}"/>
    <cellStyle name="Millares 5 2 4 7" xfId="47074" xr:uid="{983EEE6E-F259-480B-95AE-20C574151F23}"/>
    <cellStyle name="Millares 5 2 5" xfId="18586" xr:uid="{5BE3D325-01DE-435F-89AA-066F46ACFB07}"/>
    <cellStyle name="Millares 5 2 5 2" xfId="46946" xr:uid="{E1B08471-2A77-447A-9535-307644FAB666}"/>
    <cellStyle name="Millares 5 2 5 3" xfId="47028" xr:uid="{48148D85-E6EC-4A39-A176-0C929A62A5DB}"/>
    <cellStyle name="Millares 5 2 6" xfId="24298" xr:uid="{6F72FFCC-7F9C-49D2-AC28-DF01B13D9586}"/>
    <cellStyle name="Millares 5 2 6 2" xfId="47259" xr:uid="{60E277AB-09C0-4EF2-8AED-94B402CB5B6B}"/>
    <cellStyle name="Millares 5 2 7" xfId="30176" xr:uid="{4FA3D159-06A1-44D5-8766-2EB008D002A7}"/>
    <cellStyle name="Millares 5 2 7 2" xfId="47120" xr:uid="{3D0473CB-6658-43FC-B6CD-EC8D5A384F2C}"/>
    <cellStyle name="Millares 5 2 8" xfId="36055" xr:uid="{0BC4FD94-9BF7-485C-B112-F4837FA08DCC}"/>
    <cellStyle name="Millares 5 2 9" xfId="42119" xr:uid="{6FC45952-F31B-41CD-ABD4-AE52073A03E1}"/>
    <cellStyle name="Millares 5 3" xfId="122" xr:uid="{00000000-0005-0000-0000-00005E020000}"/>
    <cellStyle name="Millares 5 3 10" xfId="3435" xr:uid="{E889D15B-5C1D-4901-B894-33F0C9595A25}"/>
    <cellStyle name="Millares 5 3 10 2" xfId="11676" xr:uid="{2D43101A-4893-463D-AFCC-34D1147E725B}"/>
    <cellStyle name="Millares 5 3 10 3" xfId="14516" xr:uid="{AA22B634-A903-4AD5-8CE5-90F1CC8FE3AB}"/>
    <cellStyle name="Millares 5 3 10 4" xfId="44440" xr:uid="{3CEF2FEE-21F5-4668-8299-31822DB00954}"/>
    <cellStyle name="Millares 5 3 10 5" xfId="49333" xr:uid="{7092EE2A-2920-4F47-BF5A-9095C45189AF}"/>
    <cellStyle name="Millares 5 3 11" xfId="4339" xr:uid="{5E6678B2-83AA-4E90-BD8C-2119022F165B}"/>
    <cellStyle name="Millares 5 3 11 2" xfId="44858" xr:uid="{7E83440C-E8F2-4122-848F-0F7A424D3CE6}"/>
    <cellStyle name="Millares 5 3 12" xfId="9698" xr:uid="{418E8F15-7A3D-4E15-9F0F-C38BC3CB1B27}"/>
    <cellStyle name="Millares 5 3 13" xfId="12538" xr:uid="{48425A3B-C810-447E-A74A-03A1447AC204}"/>
    <cellStyle name="Millares 5 3 14" xfId="15881" xr:uid="{1F77BE90-029F-47B8-823F-998636CBB3A4}"/>
    <cellStyle name="Millares 5 3 15" xfId="16424" xr:uid="{03AACAA2-7D1A-4CED-9ACC-0C6C6CA60038}"/>
    <cellStyle name="Millares 5 3 16" xfId="16968" xr:uid="{2C16CAC9-6550-4ECD-BE05-C9D31E9FB9F3}"/>
    <cellStyle name="Millares 5 3 17" xfId="17980" xr:uid="{07D8440D-5C94-49EB-8463-07C9E1835CA1}"/>
    <cellStyle name="Millares 5 3 18" xfId="42462" xr:uid="{72C75F65-2B8F-43E1-8845-518735580F51}"/>
    <cellStyle name="Millares 5 3 19" xfId="47355" xr:uid="{4E4B00EF-7420-4983-96A9-6C22F64D98B9}"/>
    <cellStyle name="Millares 5 3 2" xfId="204" xr:uid="{00000000-0005-0000-0000-00005F020000}"/>
    <cellStyle name="Millares 5 3 2 10" xfId="9767" xr:uid="{6C552DE3-9D40-4077-A099-533F4B3D9790}"/>
    <cellStyle name="Millares 5 3 2 11" xfId="12607" xr:uid="{E241F080-CCC9-49D7-8A0A-3051126B2B11}"/>
    <cellStyle name="Millares 5 3 2 12" xfId="15950" xr:uid="{3024F635-9365-4A5F-BEAD-0CEE546C6A80}"/>
    <cellStyle name="Millares 5 3 2 13" xfId="16493" xr:uid="{DF15E160-3382-4EF4-86A0-51671F7EEAC8}"/>
    <cellStyle name="Millares 5 3 2 14" xfId="17037" xr:uid="{B5F1252A-5926-4D34-98EB-3EAE88BCD225}"/>
    <cellStyle name="Millares 5 3 2 15" xfId="17727" xr:uid="{B2F0C0B9-F9E1-4422-B174-FF001566E25F}"/>
    <cellStyle name="Millares 5 3 2 16" xfId="42531" xr:uid="{7DA6577E-D0E2-4AD6-8F76-2DF839DA9206}"/>
    <cellStyle name="Millares 5 3 2 17" xfId="47424" xr:uid="{C09D3AF0-CC2B-41E2-A9FE-1D8E9298595C}"/>
    <cellStyle name="Millares 5 3 2 2" xfId="313" xr:uid="{00000000-0005-0000-0000-000060020000}"/>
    <cellStyle name="Millares 5 3 2 2 10" xfId="16054" xr:uid="{B6D34EAD-6FCD-4072-849C-620F599CDBDA}"/>
    <cellStyle name="Millares 5 3 2 2 11" xfId="16597" xr:uid="{CEAF8D22-1B5A-4449-ABBB-0B5DB88F6041}"/>
    <cellStyle name="Millares 5 3 2 2 12" xfId="17141" xr:uid="{D1297FD4-2330-4812-9408-AB39C80CB3BB}"/>
    <cellStyle name="Millares 5 3 2 2 13" xfId="18225" xr:uid="{370AB93A-A056-4981-AAC1-D20B858F864F}"/>
    <cellStyle name="Millares 5 3 2 2 14" xfId="42635" xr:uid="{2045D40C-C5EF-4DA2-AF4D-34B6FCE470B9}"/>
    <cellStyle name="Millares 5 3 2 2 15" xfId="47528" xr:uid="{07C776DC-80BA-41D3-BBAD-EFA04A36E797}"/>
    <cellStyle name="Millares 5 3 2 2 2" xfId="540" xr:uid="{00000000-0005-0000-0000-000061020000}"/>
    <cellStyle name="Millares 5 3 2 2 2 10" xfId="17353" xr:uid="{C9526E70-772A-4BDF-A8A8-C1AC9EF59442}"/>
    <cellStyle name="Millares 5 3 2 2 2 11" xfId="22548" xr:uid="{F5C86FFE-8E68-47F8-AD63-20487346A9EB}"/>
    <cellStyle name="Millares 5 3 2 2 2 12" xfId="18049" xr:uid="{B07FA3BE-9DCD-4FDF-9AAF-10CC6B7EF052}"/>
    <cellStyle name="Millares 5 3 2 2 2 13" xfId="42847" xr:uid="{7560CC1C-BF1D-41C5-AC1E-03F4AAB4F5BF}"/>
    <cellStyle name="Millares 5 3 2 2 2 14" xfId="47740" xr:uid="{33F78B78-39A4-4CAA-8AF7-E424BF03928A}"/>
    <cellStyle name="Millares 5 3 2 2 2 2" xfId="2356" xr:uid="{66DC0AE9-A768-4167-9916-6E494952B2F0}"/>
    <cellStyle name="Millares 5 3 2 2 2 2 2" xfId="10627" xr:uid="{87FB5DDE-CCA8-47D6-A27B-66CE2DC10607}"/>
    <cellStyle name="Millares 5 3 2 2 2 2 2 2" xfId="45787" xr:uid="{33CF02CA-48BA-48B9-A73C-F900DFBF7F85}"/>
    <cellStyle name="Millares 5 3 2 2 2 2 3" xfId="13467" xr:uid="{340BA258-DF73-431F-938E-E1DAE2BB5B52}"/>
    <cellStyle name="Millares 5 3 2 2 2 2 4" xfId="43391" xr:uid="{F3CD4194-1AA3-448C-8F3C-0B01B21C952E}"/>
    <cellStyle name="Millares 5 3 2 2 2 2 5" xfId="48284" xr:uid="{72FEE1AD-853F-43F2-841B-38E6D155901E}"/>
    <cellStyle name="Millares 5 3 2 2 2 3" xfId="2774" xr:uid="{AE2038FE-11D7-4700-A216-4FDDFE7DD83B}"/>
    <cellStyle name="Millares 5 3 2 2 2 3 2" xfId="11045" xr:uid="{81292E65-0B08-4809-8F38-06B5B2E53B92}"/>
    <cellStyle name="Millares 5 3 2 2 2 3 2 2" xfId="46205" xr:uid="{758B2F95-6544-4424-87C5-F47F0858C950}"/>
    <cellStyle name="Millares 5 3 2 2 2 3 3" xfId="13885" xr:uid="{93422FAA-047A-4BED-990A-63CAC4D4A0A1}"/>
    <cellStyle name="Millares 5 3 2 2 2 3 4" xfId="43809" xr:uid="{6B6C4AF0-14F3-471B-8869-850BEF77861A}"/>
    <cellStyle name="Millares 5 3 2 2 2 3 5" xfId="48702" xr:uid="{0BC6093A-69D1-44A2-B3B8-0E5A8AA5EBC3}"/>
    <cellStyle name="Millares 5 3 2 2 2 4" xfId="3318" xr:uid="{854B01A2-C25A-4550-A950-C58CA9DEBE73}"/>
    <cellStyle name="Millares 5 3 2 2 2 4 2" xfId="11589" xr:uid="{3F533308-145A-4FDB-85FB-84C1F1A625D4}"/>
    <cellStyle name="Millares 5 3 2 2 2 4 2 2" xfId="46749" xr:uid="{F469347B-435E-4393-8F28-99ACA7C7F811}"/>
    <cellStyle name="Millares 5 3 2 2 2 4 3" xfId="14429" xr:uid="{1AFF93C9-C5A7-46DA-8854-F0F84356654D}"/>
    <cellStyle name="Millares 5 3 2 2 2 4 4" xfId="44353" xr:uid="{926D2F16-8387-4ADA-B4FD-2A9876FB1A09}"/>
    <cellStyle name="Millares 5 3 2 2 2 4 5" xfId="49246" xr:uid="{8961274E-D470-44E0-85E3-61E29749280B}"/>
    <cellStyle name="Millares 5 3 2 2 2 5" xfId="3820" xr:uid="{CAF9A478-62BC-4B79-A52D-C7E254B7997B}"/>
    <cellStyle name="Millares 5 3 2 2 2 5 2" xfId="12061" xr:uid="{4448D911-EDE9-4B26-828A-9A1A22D2CC76}"/>
    <cellStyle name="Millares 5 3 2 2 2 5 3" xfId="14901" xr:uid="{C4325643-9D7F-4902-8765-7EFEC6C1C610}"/>
    <cellStyle name="Millares 5 3 2 2 2 5 4" xfId="44825" xr:uid="{99CD918B-229A-4366-A7BB-8A558D2A639C}"/>
    <cellStyle name="Millares 5 3 2 2 2 5 5" xfId="49718" xr:uid="{2AF837EC-4DF2-4DD2-92F4-5EA5B8C52266}"/>
    <cellStyle name="Millares 5 3 2 2 2 6" xfId="10083" xr:uid="{A883A27E-7391-40F0-A830-2C494984E20F}"/>
    <cellStyle name="Millares 5 3 2 2 2 6 2" xfId="45243" xr:uid="{E0C52E07-7DEA-4112-B0FC-B5DB9AE2CAD7}"/>
    <cellStyle name="Millares 5 3 2 2 2 7" xfId="12923" xr:uid="{A64E2E38-D4CE-40C9-8709-BF61F4B5EDAD}"/>
    <cellStyle name="Millares 5 3 2 2 2 8" xfId="16266" xr:uid="{3615DEAB-DC5A-4F71-8C3D-E7A09384C1E3}"/>
    <cellStyle name="Millares 5 3 2 2 2 9" xfId="16809" xr:uid="{9119A123-A919-4098-BDBC-964366B84799}"/>
    <cellStyle name="Millares 5 3 2 2 3" xfId="2144" xr:uid="{ED72F276-ADBC-43EF-92CE-CA0F813CB803}"/>
    <cellStyle name="Millares 5 3 2 2 3 2" xfId="10415" xr:uid="{6C6E2893-A771-4D36-8351-636F775F697E}"/>
    <cellStyle name="Millares 5 3 2 2 3 2 2" xfId="45575" xr:uid="{6BEEBCF1-07D5-4DF1-AA83-EEAA570258C8}"/>
    <cellStyle name="Millares 5 3 2 2 3 3" xfId="13255" xr:uid="{94A41DB6-4497-460E-ADA1-396E077B1D29}"/>
    <cellStyle name="Millares 5 3 2 2 3 4" xfId="28405" xr:uid="{AACA225B-40B9-4D10-94C7-4D0A64A34DE2}"/>
    <cellStyle name="Millares 5 3 2 2 3 5" xfId="43179" xr:uid="{E6C9130F-E248-486A-8E61-E2B155310DAE}"/>
    <cellStyle name="Millares 5 3 2 2 3 6" xfId="48072" xr:uid="{DD23050E-0818-41FC-9787-75222385B8A9}"/>
    <cellStyle name="Millares 5 3 2 2 4" xfId="2562" xr:uid="{21787154-043B-4A10-A6C8-2401BE458116}"/>
    <cellStyle name="Millares 5 3 2 2 4 2" xfId="10833" xr:uid="{1BF618C4-336A-40FC-B654-0EE7581FE81A}"/>
    <cellStyle name="Millares 5 3 2 2 4 2 2" xfId="45993" xr:uid="{34973739-47D4-4143-AF23-592CC51C0511}"/>
    <cellStyle name="Millares 5 3 2 2 4 3" xfId="13673" xr:uid="{DB495C7F-7E67-4713-A74D-A5155590F97E}"/>
    <cellStyle name="Millares 5 3 2 2 4 4" xfId="34287" xr:uid="{9C0BEEA3-D5E6-4D0D-8D72-32BE2E8C6936}"/>
    <cellStyle name="Millares 5 3 2 2 4 5" xfId="43597" xr:uid="{40F6BB0C-5A8A-42C8-95E3-11E97CE95573}"/>
    <cellStyle name="Millares 5 3 2 2 4 6" xfId="48490" xr:uid="{2989E364-C573-4AD0-B13E-CA1CB80A65BA}"/>
    <cellStyle name="Millares 5 3 2 2 5" xfId="3106" xr:uid="{9103C4AB-C50B-4149-81B5-FAEA3BDDB403}"/>
    <cellStyle name="Millares 5 3 2 2 5 2" xfId="11377" xr:uid="{B6DFABB7-D968-4A14-9540-0B6C03C29C1D}"/>
    <cellStyle name="Millares 5 3 2 2 5 2 2" xfId="46537" xr:uid="{3F8C7694-BF57-4972-BBCD-6C3DCCD4F277}"/>
    <cellStyle name="Millares 5 3 2 2 5 3" xfId="14217" xr:uid="{FB9E9490-BAD3-4A71-B4C7-08DAB683C50E}"/>
    <cellStyle name="Millares 5 3 2 2 5 4" xfId="40151" xr:uid="{30A10FE0-92EE-43D7-BEAB-2F26969D354E}"/>
    <cellStyle name="Millares 5 3 2 2 5 5" xfId="44141" xr:uid="{29B03CA2-264E-4D38-9591-B550F17962D6}"/>
    <cellStyle name="Millares 5 3 2 2 5 6" xfId="49034" xr:uid="{B9232547-8BB5-4C02-99E9-E834B1870431}"/>
    <cellStyle name="Millares 5 3 2 2 6" xfId="3608" xr:uid="{2A7F9BAC-38A0-4046-8704-D525E3C1F0DC}"/>
    <cellStyle name="Millares 5 3 2 2 6 2" xfId="11849" xr:uid="{39C60FCC-A0C7-46F8-8F6E-E67F9F917A48}"/>
    <cellStyle name="Millares 5 3 2 2 6 3" xfId="14689" xr:uid="{CB4450E2-0E63-4C69-9585-7958FDBCA2A3}"/>
    <cellStyle name="Millares 5 3 2 2 6 4" xfId="44613" xr:uid="{7FCF7C08-0C4D-4BF9-9A2C-AB4318ED540E}"/>
    <cellStyle name="Millares 5 3 2 2 6 5" xfId="49506" xr:uid="{B7BAF0B8-FADF-44EE-A467-370737A10B81}"/>
    <cellStyle name="Millares 5 3 2 2 7" xfId="8172" xr:uid="{47F5721F-1BE3-4040-B839-2AC643CED026}"/>
    <cellStyle name="Millares 5 3 2 2 7 2" xfId="45031" xr:uid="{3B3F8355-B738-4604-8086-75340A9DF9C9}"/>
    <cellStyle name="Millares 5 3 2 2 8" xfId="9871" xr:uid="{94F529B3-0A63-4DF3-B0EA-A7C37961EE5A}"/>
    <cellStyle name="Millares 5 3 2 2 9" xfId="12711" xr:uid="{9347E9E3-640F-4CE2-A4FE-12409D02E273}"/>
    <cellStyle name="Millares 5 3 2 3" xfId="439" xr:uid="{00000000-0005-0000-0000-000062020000}"/>
    <cellStyle name="Millares 5 3 2 3 10" xfId="17253" xr:uid="{FFC8479B-86AB-4ADB-B410-5FEAFAA5FC89}"/>
    <cellStyle name="Millares 5 3 2 3 11" xfId="19773" xr:uid="{0A8CFBD3-5A06-439B-9FB2-635C4D58C8E1}"/>
    <cellStyle name="Millares 5 3 2 3 12" xfId="23112" xr:uid="{CF64B2EA-9AE4-465E-85C5-F39BAB2BA5C0}"/>
    <cellStyle name="Millares 5 3 2 3 13" xfId="42747" xr:uid="{F23560A5-81DE-49CD-886A-167D8BBF546E}"/>
    <cellStyle name="Millares 5 3 2 3 14" xfId="47640" xr:uid="{5B1E0EC6-B15A-40BD-8ED2-A15523A59561}"/>
    <cellStyle name="Millares 5 3 2 3 2" xfId="2256" xr:uid="{402B6B73-2C1C-4B51-8311-965A2323945D}"/>
    <cellStyle name="Millares 5 3 2 3 2 2" xfId="10527" xr:uid="{91FE53FC-D9A1-4F56-B0F1-D2F2CA41907F}"/>
    <cellStyle name="Millares 5 3 2 3 2 2 2" xfId="45687" xr:uid="{DC2CF732-A628-4768-A72F-F3F6DF6DEBDB}"/>
    <cellStyle name="Millares 5 3 2 3 2 3" xfId="13367" xr:uid="{C718B2CD-1A39-43A0-A7A8-936A0BCB5F3E}"/>
    <cellStyle name="Millares 5 3 2 3 2 4" xfId="43291" xr:uid="{E80AF4D3-C006-407D-9F7A-8A74D4CC2D91}"/>
    <cellStyle name="Millares 5 3 2 3 2 5" xfId="48184" xr:uid="{B9321D7C-B1B3-43EE-9A35-776B657F3A3B}"/>
    <cellStyle name="Millares 5 3 2 3 3" xfId="2674" xr:uid="{C1D834FD-8B0E-4CF0-ACC1-5B119EDC2DC0}"/>
    <cellStyle name="Millares 5 3 2 3 3 2" xfId="10945" xr:uid="{AD3BDD43-0D48-4374-B06C-4884725BFEF8}"/>
    <cellStyle name="Millares 5 3 2 3 3 2 2" xfId="46105" xr:uid="{2F1E00DB-F163-4FD7-A6D7-2ADCF6511473}"/>
    <cellStyle name="Millares 5 3 2 3 3 3" xfId="13785" xr:uid="{8F42AEE6-8083-4514-A86B-626DE8B1919E}"/>
    <cellStyle name="Millares 5 3 2 3 3 4" xfId="43709" xr:uid="{12E2293A-17EF-4CFB-A535-03CBD3527E93}"/>
    <cellStyle name="Millares 5 3 2 3 3 5" xfId="48602" xr:uid="{2247EACD-B44E-429D-9969-42F2EFA8E192}"/>
    <cellStyle name="Millares 5 3 2 3 4" xfId="3218" xr:uid="{CEB4BE14-C7B9-4F8B-A13E-FA9331A1DF0C}"/>
    <cellStyle name="Millares 5 3 2 3 4 2" xfId="11489" xr:uid="{69CF088F-53BB-4C91-84A6-D3B3DD3FC215}"/>
    <cellStyle name="Millares 5 3 2 3 4 2 2" xfId="46649" xr:uid="{0928F0BB-DAF7-4C2B-91FB-F8C65F06D0F5}"/>
    <cellStyle name="Millares 5 3 2 3 4 3" xfId="14329" xr:uid="{81CFE792-C189-4C88-9A32-4E58EEE07D42}"/>
    <cellStyle name="Millares 5 3 2 3 4 4" xfId="44253" xr:uid="{96E1D5BE-CF97-40DF-AC92-461BE843A39B}"/>
    <cellStyle name="Millares 5 3 2 3 4 5" xfId="49146" xr:uid="{C67EDF82-4BC8-4F2C-AFF9-49E20E948C53}"/>
    <cellStyle name="Millares 5 3 2 3 5" xfId="3720" xr:uid="{4C8F4849-C4B4-421A-B218-AF86C5677F8A}"/>
    <cellStyle name="Millares 5 3 2 3 5 2" xfId="11961" xr:uid="{472F6A17-E2C8-4740-B2AF-C3E4CF3E1DE2}"/>
    <cellStyle name="Millares 5 3 2 3 5 3" xfId="14801" xr:uid="{2EF01D24-26FB-4797-A60D-A8146E86307C}"/>
    <cellStyle name="Millares 5 3 2 3 5 4" xfId="44725" xr:uid="{F01D211D-AFF5-46F1-B282-EEDC6AFA620D}"/>
    <cellStyle name="Millares 5 3 2 3 5 5" xfId="49618" xr:uid="{21B89715-C53B-4AA4-93AC-FA25CBC55F53}"/>
    <cellStyle name="Millares 5 3 2 3 6" xfId="9983" xr:uid="{8D23B813-AF16-43E0-B64F-77E3927374F0}"/>
    <cellStyle name="Millares 5 3 2 3 6 2" xfId="45143" xr:uid="{3C1A284C-D772-4E0E-A1C2-C00AB5FD20EB}"/>
    <cellStyle name="Millares 5 3 2 3 7" xfId="12823" xr:uid="{B5C1CE55-FA37-4B04-B014-4EC1E9A3BCCA}"/>
    <cellStyle name="Millares 5 3 2 3 8" xfId="16166" xr:uid="{E596D6B5-D711-4528-85D6-E78441062881}"/>
    <cellStyle name="Millares 5 3 2 3 9" xfId="16709" xr:uid="{F38793FB-7FE5-42AD-A2A4-4909F76CDACB}"/>
    <cellStyle name="Millares 5 3 2 4" xfId="642" xr:uid="{00000000-0005-0000-0000-000063020000}"/>
    <cellStyle name="Millares 5 3 2 4 10" xfId="42949" xr:uid="{F600937F-B073-41AF-A6FA-9FF03394BE64}"/>
    <cellStyle name="Millares 5 3 2 4 11" xfId="47842" xr:uid="{1067A4DD-08EB-47DB-99C7-DA7317514E83}"/>
    <cellStyle name="Millares 5 3 2 4 2" xfId="2876" xr:uid="{733CA1E4-2EC8-4FB2-BAB8-11ABD265E332}"/>
    <cellStyle name="Millares 5 3 2 4 2 2" xfId="11147" xr:uid="{50B719E4-AAEF-4C85-ABC1-96C4D3F4BED6}"/>
    <cellStyle name="Millares 5 3 2 4 2 2 2" xfId="46307" xr:uid="{7A4C7485-2D48-4BCD-93B0-F433A6220F04}"/>
    <cellStyle name="Millares 5 3 2 4 2 3" xfId="13987" xr:uid="{2700A1B1-A59B-4D75-AEC5-81CFCF9C97C5}"/>
    <cellStyle name="Millares 5 3 2 4 2 4" xfId="43911" xr:uid="{029DFE9D-FD94-4B9F-8BDF-96F10A23446E}"/>
    <cellStyle name="Millares 5 3 2 4 2 5" xfId="48804" xr:uid="{6240B6B8-1AEC-40E7-B768-36045901D389}"/>
    <cellStyle name="Millares 5 3 2 4 3" xfId="10185" xr:uid="{5A17F81A-20FE-4630-BF44-3D78BC3088DA}"/>
    <cellStyle name="Millares 5 3 2 4 3 2" xfId="45345" xr:uid="{18E00986-4F35-4307-89FC-449975D5ADEF}"/>
    <cellStyle name="Millares 5 3 2 4 4" xfId="13025" xr:uid="{E065FDE7-9295-4E2E-AB95-4C6E110A0968}"/>
    <cellStyle name="Millares 5 3 2 4 5" xfId="16368" xr:uid="{82E91B7A-2E42-4AC3-AB23-1B5E8161F3FA}"/>
    <cellStyle name="Millares 5 3 2 4 6" xfId="16911" xr:uid="{CE1BC6C4-F5E9-4809-B179-F628B497411B}"/>
    <cellStyle name="Millares 5 3 2 4 7" xfId="17455" xr:uid="{C7826B22-56A2-4735-BB58-B0010266BFD6}"/>
    <cellStyle name="Millares 5 3 2 4 8" xfId="25556" xr:uid="{B5547E3D-3408-42B0-ABD9-32834E591FF9}"/>
    <cellStyle name="Millares 5 3 2 4 9" xfId="19224" xr:uid="{AEBD99D7-723F-4E6A-9BA7-2EF843C8266A}"/>
    <cellStyle name="Millares 5 3 2 5" xfId="2040" xr:uid="{BADFA435-03C4-47C4-940B-E71CD56221AE}"/>
    <cellStyle name="Millares 5 3 2 5 2" xfId="10311" xr:uid="{743E7E39-CA9A-44FE-9069-3897D1E0289E}"/>
    <cellStyle name="Millares 5 3 2 5 2 2" xfId="45471" xr:uid="{08217325-FFC5-41B9-8A64-67A547428507}"/>
    <cellStyle name="Millares 5 3 2 5 3" xfId="13151" xr:uid="{A4F449C2-0A5F-4B5C-BE1B-351A430465E3}"/>
    <cellStyle name="Millares 5 3 2 5 4" xfId="31430" xr:uid="{5F61D6D7-14A8-447D-8728-9DF41E34C083}"/>
    <cellStyle name="Millares 5 3 2 5 5" xfId="43075" xr:uid="{457D4C3E-669D-45EC-AB41-ACFC1C19C46C}"/>
    <cellStyle name="Millares 5 3 2 5 6" xfId="47968" xr:uid="{7FD88227-0DE2-41B3-AD96-262861C58ACA}"/>
    <cellStyle name="Millares 5 3 2 6" xfId="2458" xr:uid="{86DF1BE3-5FA6-48D6-A076-A251D160F106}"/>
    <cellStyle name="Millares 5 3 2 6 2" xfId="10729" xr:uid="{F81C672B-F772-494F-B0AC-B7C855286720}"/>
    <cellStyle name="Millares 5 3 2 6 2 2" xfId="45889" xr:uid="{65D7DCCF-2652-4E77-84C1-6F8E4F3327CC}"/>
    <cellStyle name="Millares 5 3 2 6 3" xfId="13569" xr:uid="{AF709F32-CC34-48E8-83AB-489751CBC189}"/>
    <cellStyle name="Millares 5 3 2 6 4" xfId="37301" xr:uid="{F503CE40-5B17-4471-9F9A-6BA44FB6323F}"/>
    <cellStyle name="Millares 5 3 2 6 5" xfId="43493" xr:uid="{0559CE35-C0C6-405F-B6C7-135D71406705}"/>
    <cellStyle name="Millares 5 3 2 6 6" xfId="48386" xr:uid="{F1DD37C2-0C63-42B2-A3D4-E69ABE73BA81}"/>
    <cellStyle name="Millares 5 3 2 7" xfId="3002" xr:uid="{022DE27E-9159-46AE-892B-941557823A0A}"/>
    <cellStyle name="Millares 5 3 2 7 2" xfId="11273" xr:uid="{8AC2599D-9401-4E13-9361-7B162A432C0E}"/>
    <cellStyle name="Millares 5 3 2 7 2 2" xfId="46433" xr:uid="{E5856FCB-8D88-4D69-9110-287564803A27}"/>
    <cellStyle name="Millares 5 3 2 7 3" xfId="14113" xr:uid="{83C8EA49-C244-4945-AA38-0ED652B5DE54}"/>
    <cellStyle name="Millares 5 3 2 7 4" xfId="44037" xr:uid="{1C0D1A68-4539-4F97-8CD4-A1C4A9162A65}"/>
    <cellStyle name="Millares 5 3 2 7 5" xfId="48930" xr:uid="{5D2CD639-2D59-467A-889A-AC2E7A65C2A2}"/>
    <cellStyle name="Millares 5 3 2 8" xfId="3504" xr:uid="{D22E52D2-E367-4778-84FF-1C44E7CF63B2}"/>
    <cellStyle name="Millares 5 3 2 8 2" xfId="11745" xr:uid="{E438EF89-EB99-432A-A66B-D1648C8159BF}"/>
    <cellStyle name="Millares 5 3 2 8 3" xfId="14585" xr:uid="{B5E46FA3-D7B8-46D3-B017-028EEB1CB53E}"/>
    <cellStyle name="Millares 5 3 2 8 4" xfId="44509" xr:uid="{0FD0C34E-F64B-4030-B1AA-003350F3C336}"/>
    <cellStyle name="Millares 5 3 2 8 5" xfId="49402" xr:uid="{B2B736F9-77A6-4900-BC90-5E886A44017E}"/>
    <cellStyle name="Millares 5 3 2 9" xfId="5305" xr:uid="{99F483E5-9005-47A1-A9F6-1A301605F95E}"/>
    <cellStyle name="Millares 5 3 2 9 2" xfId="44927" xr:uid="{44FF721D-AF6F-41EC-AB5E-16E4295F8560}"/>
    <cellStyle name="Millares 5 3 20" xfId="50346" xr:uid="{6762BB82-9265-4B99-8CEA-7FED3C003CBD}"/>
    <cellStyle name="Millares 5 3 3" xfId="158" xr:uid="{00000000-0005-0000-0000-000064020000}"/>
    <cellStyle name="Millares 5 3 3 10" xfId="9726" xr:uid="{A1B571E4-815B-4E2F-9166-A3481726DF33}"/>
    <cellStyle name="Millares 5 3 3 11" xfId="12566" xr:uid="{185617D0-D269-4D83-8132-4A0E6F5F814B}"/>
    <cellStyle name="Millares 5 3 3 12" xfId="15909" xr:uid="{BCC95407-222B-440B-A2DA-D145C9113EC4}"/>
    <cellStyle name="Millares 5 3 3 13" xfId="16452" xr:uid="{00A52894-BBFA-4688-A208-E9FC67F4BE01}"/>
    <cellStyle name="Millares 5 3 3 14" xfId="16996" xr:uid="{2B0D90FB-271C-44AD-84D0-2190939A8A37}"/>
    <cellStyle name="Millares 5 3 3 15" xfId="17871" xr:uid="{D7745AB6-6646-473B-AC6A-0C5095A566E1}"/>
    <cellStyle name="Millares 5 3 3 16" xfId="42490" xr:uid="{8E0F53A3-3521-42E2-93ED-99F170411B8C}"/>
    <cellStyle name="Millares 5 3 3 17" xfId="47383" xr:uid="{2724D384-1E72-4037-BC5B-12BB85262191}"/>
    <cellStyle name="Millares 5 3 3 2" xfId="272" xr:uid="{00000000-0005-0000-0000-000065020000}"/>
    <cellStyle name="Millares 5 3 3 2 10" xfId="16556" xr:uid="{94232BD4-631C-4547-8521-35C88598C7C7}"/>
    <cellStyle name="Millares 5 3 3 2 11" xfId="17100" xr:uid="{E0604F8C-6AE2-45A5-BB8B-20E805558EB1}"/>
    <cellStyle name="Millares 5 3 3 2 12" xfId="21607" xr:uid="{C32C5465-D091-4DEF-AD8B-18DDA9A5EFC4}"/>
    <cellStyle name="Millares 5 3 3 2 13" xfId="18259" xr:uid="{ACD8602E-8610-40E2-B56D-072F3C80C3BB}"/>
    <cellStyle name="Millares 5 3 3 2 14" xfId="42594" xr:uid="{452D3201-3632-41C6-B3D1-7B809744E9E6}"/>
    <cellStyle name="Millares 5 3 3 2 15" xfId="47487" xr:uid="{908CBFA5-3476-4B6F-AC72-D3008AC73924}"/>
    <cellStyle name="Millares 5 3 3 2 2" xfId="499" xr:uid="{00000000-0005-0000-0000-000066020000}"/>
    <cellStyle name="Millares 5 3 3 2 2 10" xfId="17312" xr:uid="{1AD92923-6499-4177-ADC3-54DE0BDA5741}"/>
    <cellStyle name="Millares 5 3 3 2 2 11" xfId="19767" xr:uid="{F9E90E76-BFDE-463C-B850-4B90B55BE7E8}"/>
    <cellStyle name="Millares 5 3 3 2 2 12" xfId="42806" xr:uid="{926B35A7-FFD5-4B41-8032-4EDEFE0AEB26}"/>
    <cellStyle name="Millares 5 3 3 2 2 13" xfId="47699" xr:uid="{9EA0AD5A-A696-41C3-B345-C13E1DC33B1F}"/>
    <cellStyle name="Millares 5 3 3 2 2 2" xfId="2315" xr:uid="{B49EA255-BF4A-4E5A-BE9C-7D93DFBDAA5E}"/>
    <cellStyle name="Millares 5 3 3 2 2 2 2" xfId="10586" xr:uid="{19645F6C-63F0-452E-94E2-04C6459A7FEE}"/>
    <cellStyle name="Millares 5 3 3 2 2 2 2 2" xfId="45746" xr:uid="{1E6F45E3-E423-4ECE-8E10-BB3974291EBC}"/>
    <cellStyle name="Millares 5 3 3 2 2 2 3" xfId="13426" xr:uid="{1C40F653-425E-496B-87B4-B212FED06DE0}"/>
    <cellStyle name="Millares 5 3 3 2 2 2 4" xfId="43350" xr:uid="{F7E6F588-3348-42FC-9B89-026D3EC7373B}"/>
    <cellStyle name="Millares 5 3 3 2 2 2 5" xfId="48243" xr:uid="{ABF11630-14DF-4F24-B73D-A8C99B441653}"/>
    <cellStyle name="Millares 5 3 3 2 2 3" xfId="2733" xr:uid="{82616686-20DA-4600-94A9-936D40AB6244}"/>
    <cellStyle name="Millares 5 3 3 2 2 3 2" xfId="11004" xr:uid="{1552CD6F-E81F-4C10-A9CC-268BEA6739F5}"/>
    <cellStyle name="Millares 5 3 3 2 2 3 2 2" xfId="46164" xr:uid="{F0B5D334-2E2E-4823-9D27-93E199082F27}"/>
    <cellStyle name="Millares 5 3 3 2 2 3 3" xfId="13844" xr:uid="{A7EFAFF9-5B12-4ED6-9299-C19D639F1224}"/>
    <cellStyle name="Millares 5 3 3 2 2 3 4" xfId="43768" xr:uid="{100FDD68-EE96-4A90-B2AD-C91FE875F93E}"/>
    <cellStyle name="Millares 5 3 3 2 2 3 5" xfId="48661" xr:uid="{6F01CEA8-E468-4A68-90B0-521D94760EA7}"/>
    <cellStyle name="Millares 5 3 3 2 2 4" xfId="3277" xr:uid="{9CC4043D-56FB-4C86-BE86-6250771C89F8}"/>
    <cellStyle name="Millares 5 3 3 2 2 4 2" xfId="11548" xr:uid="{A8431E44-152C-4CDE-B539-C59E848862E4}"/>
    <cellStyle name="Millares 5 3 3 2 2 4 2 2" xfId="46708" xr:uid="{80B300D4-D4C5-42E7-8E38-FBB09D11AEF5}"/>
    <cellStyle name="Millares 5 3 3 2 2 4 3" xfId="14388" xr:uid="{51EBB947-2AE7-4FB3-BCA8-3F5EBC1AAD4F}"/>
    <cellStyle name="Millares 5 3 3 2 2 4 4" xfId="44312" xr:uid="{E9562FFB-136C-4950-9C09-3063AAE89C38}"/>
    <cellStyle name="Millares 5 3 3 2 2 4 5" xfId="49205" xr:uid="{9C82E3BF-DEF2-4810-A5F2-79C55CA4D11B}"/>
    <cellStyle name="Millares 5 3 3 2 2 5" xfId="3779" xr:uid="{9607C418-F942-4FDE-B08A-87620B456122}"/>
    <cellStyle name="Millares 5 3 3 2 2 5 2" xfId="12020" xr:uid="{0B62E6D5-8F17-44C2-9DD2-F87CBA5C03AA}"/>
    <cellStyle name="Millares 5 3 3 2 2 5 3" xfId="14860" xr:uid="{30551EE0-6D07-4480-8BB3-243B31A9E233}"/>
    <cellStyle name="Millares 5 3 3 2 2 5 4" xfId="44784" xr:uid="{62C90C0F-6FC1-48A9-A07F-8E37EC6B3F51}"/>
    <cellStyle name="Millares 5 3 3 2 2 5 5" xfId="49677" xr:uid="{D7067C71-FF8C-4952-981F-DF98FF092B73}"/>
    <cellStyle name="Millares 5 3 3 2 2 6" xfId="10042" xr:uid="{670C7E31-27EB-4664-8F58-0420002F1FB2}"/>
    <cellStyle name="Millares 5 3 3 2 2 6 2" xfId="45202" xr:uid="{1E16937F-F3F1-4861-A195-77CD48239974}"/>
    <cellStyle name="Millares 5 3 3 2 2 7" xfId="12882" xr:uid="{D3B333B7-4BBC-4994-A4D2-2E2F02463B39}"/>
    <cellStyle name="Millares 5 3 3 2 2 8" xfId="16225" xr:uid="{6387DEF0-8225-463F-B6A8-F9400735BFA5}"/>
    <cellStyle name="Millares 5 3 3 2 2 9" xfId="16768" xr:uid="{CC587375-C6FD-446F-8F80-A1035D61770C}"/>
    <cellStyle name="Millares 5 3 3 2 3" xfId="2103" xr:uid="{04DFFD6E-064E-4B4E-88D7-26E851221AA1}"/>
    <cellStyle name="Millares 5 3 3 2 3 2" xfId="10374" xr:uid="{E88EC56C-EE79-4121-AF08-6631172E0277}"/>
    <cellStyle name="Millares 5 3 3 2 3 2 2" xfId="45534" xr:uid="{8AEF8560-B274-4729-8940-24AF20D0B38A}"/>
    <cellStyle name="Millares 5 3 3 2 3 3" xfId="13214" xr:uid="{836AB346-353A-40E7-8034-F1B53B9C118A}"/>
    <cellStyle name="Millares 5 3 3 2 3 4" xfId="43138" xr:uid="{AE2A5941-E979-4500-AD26-5CDA56E3E7DD}"/>
    <cellStyle name="Millares 5 3 3 2 3 5" xfId="48031" xr:uid="{5B531324-6972-4486-843B-9042B4AD32F8}"/>
    <cellStyle name="Millares 5 3 3 2 4" xfId="2521" xr:uid="{8E95E6EA-075A-4974-BB97-AC3B26246992}"/>
    <cellStyle name="Millares 5 3 3 2 4 2" xfId="10792" xr:uid="{4D760BAC-8488-4F13-B801-8A9C6369F228}"/>
    <cellStyle name="Millares 5 3 3 2 4 2 2" xfId="45952" xr:uid="{D4866F48-6C6C-4381-AA6A-60286F2FAA28}"/>
    <cellStyle name="Millares 5 3 3 2 4 3" xfId="13632" xr:uid="{CF776600-86A2-43D7-8154-5D10EFE1A84D}"/>
    <cellStyle name="Millares 5 3 3 2 4 4" xfId="43556" xr:uid="{A138999B-0B05-44A5-958E-C04F8E2DF666}"/>
    <cellStyle name="Millares 5 3 3 2 4 5" xfId="48449" xr:uid="{2E2C6485-3244-4015-8A58-FF9BCF64E211}"/>
    <cellStyle name="Millares 5 3 3 2 5" xfId="3065" xr:uid="{C5C23C15-62FA-40F0-AC80-41099DE668C1}"/>
    <cellStyle name="Millares 5 3 3 2 5 2" xfId="11336" xr:uid="{432CFE39-ECA5-47DE-B6C9-76E799AADD43}"/>
    <cellStyle name="Millares 5 3 3 2 5 2 2" xfId="46496" xr:uid="{9843C9D9-B0E2-46A7-9880-7A72CEAEBD26}"/>
    <cellStyle name="Millares 5 3 3 2 5 3" xfId="14176" xr:uid="{0A9FAB40-570D-45E8-ADA7-9B170A2DE4C6}"/>
    <cellStyle name="Millares 5 3 3 2 5 4" xfId="44100" xr:uid="{592CD6E0-453F-4109-AD0A-93F15EF850BD}"/>
    <cellStyle name="Millares 5 3 3 2 5 5" xfId="48993" xr:uid="{156AD757-3CC2-48E5-9552-657691AC613C}"/>
    <cellStyle name="Millares 5 3 3 2 6" xfId="3567" xr:uid="{281C944A-9FD3-438F-8E04-17DD112D5E5B}"/>
    <cellStyle name="Millares 5 3 3 2 6 2" xfId="11808" xr:uid="{D61924E8-2693-4C01-9F22-99FE38A8D002}"/>
    <cellStyle name="Millares 5 3 3 2 6 3" xfId="14648" xr:uid="{0B9E84BE-B013-4877-A2BD-4436BB7D92FF}"/>
    <cellStyle name="Millares 5 3 3 2 6 4" xfId="44572" xr:uid="{E5A0D090-0E52-41A1-89A5-EACB7966165A}"/>
    <cellStyle name="Millares 5 3 3 2 6 5" xfId="49465" xr:uid="{8EB1C2FE-E8DF-462F-85DF-4E77215DA2B6}"/>
    <cellStyle name="Millares 5 3 3 2 7" xfId="9830" xr:uid="{C8B09355-15E9-4675-B560-5D604F4FFCB3}"/>
    <cellStyle name="Millares 5 3 3 2 7 2" xfId="44990" xr:uid="{1C90B727-341D-46BA-99E2-02CBCE9E6455}"/>
    <cellStyle name="Millares 5 3 3 2 8" xfId="12670" xr:uid="{1BEAB6A6-0D1C-46EF-99C7-50482DCBEB7F}"/>
    <cellStyle name="Millares 5 3 3 2 9" xfId="16013" xr:uid="{B5DC0E60-14F9-454B-B3D2-47D37C6D8E49}"/>
    <cellStyle name="Millares 5 3 3 3" xfId="398" xr:uid="{00000000-0005-0000-0000-000067020000}"/>
    <cellStyle name="Millares 5 3 3 3 10" xfId="17212" xr:uid="{C61CC000-87B4-4CBF-9C2A-93298A42C95A}"/>
    <cellStyle name="Millares 5 3 3 3 11" xfId="27434" xr:uid="{6F60BC8E-1942-4FE7-B5B7-8CAB837ACF6A}"/>
    <cellStyle name="Millares 5 3 3 3 12" xfId="18008" xr:uid="{36576309-9C83-4120-90F5-61F8D7F73BC6}"/>
    <cellStyle name="Millares 5 3 3 3 13" xfId="42706" xr:uid="{B7D5C925-F7D5-42E7-8C4D-6CEC6A98F825}"/>
    <cellStyle name="Millares 5 3 3 3 14" xfId="47599" xr:uid="{4A785C87-8ECC-4B32-B29F-76F9C6FFBADD}"/>
    <cellStyle name="Millares 5 3 3 3 2" xfId="2215" xr:uid="{F21E1163-E4D6-4849-9C42-4AFEF60193B0}"/>
    <cellStyle name="Millares 5 3 3 3 2 2" xfId="10486" xr:uid="{F6FCC466-3BDE-4F3D-9DE1-3705B0FBF9B7}"/>
    <cellStyle name="Millares 5 3 3 3 2 2 2" xfId="45646" xr:uid="{5345B816-31A2-42C3-9882-C30EB6C39D04}"/>
    <cellStyle name="Millares 5 3 3 3 2 3" xfId="13326" xr:uid="{B9F21420-F1CB-46CE-B99E-D97E603AA2CA}"/>
    <cellStyle name="Millares 5 3 3 3 2 4" xfId="43250" xr:uid="{28284AAB-1895-474A-B6D0-9529DEA0F045}"/>
    <cellStyle name="Millares 5 3 3 3 2 5" xfId="48143" xr:uid="{DF288A60-A7D4-44D5-9036-BB240A803591}"/>
    <cellStyle name="Millares 5 3 3 3 3" xfId="2633" xr:uid="{B01EBAC7-0368-4BD4-B95E-98EC36D08FDC}"/>
    <cellStyle name="Millares 5 3 3 3 3 2" xfId="10904" xr:uid="{52EA457A-1063-427D-B620-574952B20FE1}"/>
    <cellStyle name="Millares 5 3 3 3 3 2 2" xfId="46064" xr:uid="{0625F1AA-DF5E-4A62-8F2A-1FDC957C3324}"/>
    <cellStyle name="Millares 5 3 3 3 3 3" xfId="13744" xr:uid="{D625C269-E8AE-44FF-B921-AF3ECE45E317}"/>
    <cellStyle name="Millares 5 3 3 3 3 4" xfId="43668" xr:uid="{C8FB3B66-C228-4D1A-8E3C-7FC272023D76}"/>
    <cellStyle name="Millares 5 3 3 3 3 5" xfId="48561" xr:uid="{73D091A8-9038-4EA6-A189-7B52D613E3AA}"/>
    <cellStyle name="Millares 5 3 3 3 4" xfId="3177" xr:uid="{3DD12A2D-09A2-4EF0-B2F9-2C5EE7708C4D}"/>
    <cellStyle name="Millares 5 3 3 3 4 2" xfId="11448" xr:uid="{95D68705-743D-4E0B-A9D4-BCF41D39959D}"/>
    <cellStyle name="Millares 5 3 3 3 4 2 2" xfId="46608" xr:uid="{0805650F-284D-4C70-AE55-EF78F13200F8}"/>
    <cellStyle name="Millares 5 3 3 3 4 3" xfId="14288" xr:uid="{454EBF7E-73FE-4A80-8082-9BA6ECD27337}"/>
    <cellStyle name="Millares 5 3 3 3 4 4" xfId="44212" xr:uid="{B473F9E2-D53B-4CD7-AA61-7A8E83AB0752}"/>
    <cellStyle name="Millares 5 3 3 3 4 5" xfId="49105" xr:uid="{5B3FDE8A-5CC4-401B-A356-715E3FE1CC49}"/>
    <cellStyle name="Millares 5 3 3 3 5" xfId="3679" xr:uid="{ED7F5A1B-21C4-46B7-90C2-BD2C6B8F3581}"/>
    <cellStyle name="Millares 5 3 3 3 5 2" xfId="11920" xr:uid="{84E44C19-2220-434F-B14B-706A7DED7B3D}"/>
    <cellStyle name="Millares 5 3 3 3 5 3" xfId="14760" xr:uid="{0B51F51A-E917-4BD2-B410-EEAFD0E6DE63}"/>
    <cellStyle name="Millares 5 3 3 3 5 4" xfId="44684" xr:uid="{E9D4DEB3-C174-4651-B53B-5C0B610BBA37}"/>
    <cellStyle name="Millares 5 3 3 3 5 5" xfId="49577" xr:uid="{E2C61ED8-CEB7-4F9D-9B22-AB3679BAE0B3}"/>
    <cellStyle name="Millares 5 3 3 3 6" xfId="9942" xr:uid="{A0C3EAF7-2B2B-48E1-97A0-679FC1E9B158}"/>
    <cellStyle name="Millares 5 3 3 3 6 2" xfId="45102" xr:uid="{A469631E-3CC2-48C4-A3DF-57A6D99B1F0D}"/>
    <cellStyle name="Millares 5 3 3 3 7" xfId="12782" xr:uid="{F9976EDF-F9E2-4861-8039-5B6C712BEC25}"/>
    <cellStyle name="Millares 5 3 3 3 8" xfId="16125" xr:uid="{020AC9D8-81F5-47D4-8FE9-8DA0759EEDFF}"/>
    <cellStyle name="Millares 5 3 3 3 9" xfId="16668" xr:uid="{C2F22B84-9B96-495B-8DF2-DE57D5A59AC5}"/>
    <cellStyle name="Millares 5 3 3 4" xfId="601" xr:uid="{00000000-0005-0000-0000-000068020000}"/>
    <cellStyle name="Millares 5 3 3 4 10" xfId="42908" xr:uid="{674BCC7C-4059-408D-A0BC-64C61C70E178}"/>
    <cellStyle name="Millares 5 3 3 4 11" xfId="47801" xr:uid="{D7DFA3F2-18C7-4C47-BE1C-88A4D2FC84EE}"/>
    <cellStyle name="Millares 5 3 3 4 2" xfId="2835" xr:uid="{30CB1E51-F61D-4C89-9CA7-CF83051893F5}"/>
    <cellStyle name="Millares 5 3 3 4 2 2" xfId="11106" xr:uid="{D39924DD-2A52-40D0-97F6-68463B50BDBB}"/>
    <cellStyle name="Millares 5 3 3 4 2 2 2" xfId="46266" xr:uid="{F13245DA-97E7-4DDF-92EE-70BDCF5E46EC}"/>
    <cellStyle name="Millares 5 3 3 4 2 3" xfId="13946" xr:uid="{C344B01B-0AAE-4AFD-B9CC-E33E0CF4F909}"/>
    <cellStyle name="Millares 5 3 3 4 2 4" xfId="43870" xr:uid="{40DC2545-3603-4C4A-9221-6092BEB3CA5C}"/>
    <cellStyle name="Millares 5 3 3 4 2 5" xfId="48763" xr:uid="{762BCF55-E9FF-42ED-B15E-5849E54ABAA7}"/>
    <cellStyle name="Millares 5 3 3 4 3" xfId="10144" xr:uid="{90614EB2-7984-4FFD-92C0-7403678447F2}"/>
    <cellStyle name="Millares 5 3 3 4 3 2" xfId="45304" xr:uid="{7248C00C-C369-4F90-B75F-709FD22320DC}"/>
    <cellStyle name="Millares 5 3 3 4 4" xfId="12984" xr:uid="{C393B260-BC0F-48D9-9FB7-D7E84443B166}"/>
    <cellStyle name="Millares 5 3 3 4 5" xfId="16327" xr:uid="{FF8D4A3D-2C06-4543-A722-AC6CD40E588E}"/>
    <cellStyle name="Millares 5 3 3 4 6" xfId="16870" xr:uid="{2004468D-594B-4829-A226-4DC30871938C}"/>
    <cellStyle name="Millares 5 3 3 4 7" xfId="17414" xr:uid="{C48CE605-0B7F-4406-819A-1F22E7DB5DB5}"/>
    <cellStyle name="Millares 5 3 3 4 8" xfId="33316" xr:uid="{E2E31002-9DB5-42B5-9C2E-505136BCD21E}"/>
    <cellStyle name="Millares 5 3 3 4 9" xfId="18045" xr:uid="{B7A5CFA2-68C8-4C47-B7FB-3A096B6691C2}"/>
    <cellStyle name="Millares 5 3 3 5" xfId="1999" xr:uid="{0EDBC016-99C2-4BD4-A1FC-AEBFCDC23C2C}"/>
    <cellStyle name="Millares 5 3 3 5 2" xfId="10270" xr:uid="{7CDEDC34-F14D-4B0C-8BF9-331E21A9A1A6}"/>
    <cellStyle name="Millares 5 3 3 5 2 2" xfId="45430" xr:uid="{8D30C584-B8DA-46CA-8A86-3D8E25B65043}"/>
    <cellStyle name="Millares 5 3 3 5 3" xfId="13110" xr:uid="{05DDB4A3-2B39-4411-8A7D-D076CDABE2FF}"/>
    <cellStyle name="Millares 5 3 3 5 4" xfId="39180" xr:uid="{618855C5-C318-4E52-B2CC-738CE644EBA6}"/>
    <cellStyle name="Millares 5 3 3 5 5" xfId="43034" xr:uid="{7967AB8E-1B3E-4AA2-B705-FB0D5A0F8767}"/>
    <cellStyle name="Millares 5 3 3 5 6" xfId="47927" xr:uid="{F2E3E90E-C802-4211-AE0E-437E9CB20ACF}"/>
    <cellStyle name="Millares 5 3 3 6" xfId="2417" xr:uid="{8F1706BA-DBF0-4279-ADCC-072F2A8D5070}"/>
    <cellStyle name="Millares 5 3 3 6 2" xfId="10688" xr:uid="{05EF1FC5-83BB-4451-B92C-3346B6C942CD}"/>
    <cellStyle name="Millares 5 3 3 6 2 2" xfId="45848" xr:uid="{ADB29159-A157-40AE-B664-09706E788671}"/>
    <cellStyle name="Millares 5 3 3 6 3" xfId="13528" xr:uid="{C7BAF2A0-4E0C-49A3-A811-51D1F1B2ABDE}"/>
    <cellStyle name="Millares 5 3 3 6 4" xfId="43452" xr:uid="{D8105D0E-6CED-4857-ACC8-8B5585FEE723}"/>
    <cellStyle name="Millares 5 3 3 6 5" xfId="48345" xr:uid="{6A0E5E7D-4020-4ED8-ABE8-872EF9F3D290}"/>
    <cellStyle name="Millares 5 3 3 7" xfId="2961" xr:uid="{A51C391B-85BA-4A01-98C7-20E864B4E61C}"/>
    <cellStyle name="Millares 5 3 3 7 2" xfId="11232" xr:uid="{73B36072-DCFE-4458-A473-FBD9364D6740}"/>
    <cellStyle name="Millares 5 3 3 7 2 2" xfId="46392" xr:uid="{D4E24D97-D18E-4C77-83EA-6FAD4BFBF62F}"/>
    <cellStyle name="Millares 5 3 3 7 3" xfId="14072" xr:uid="{46D2565D-9355-4EA2-B0ED-6178C5E3FB54}"/>
    <cellStyle name="Millares 5 3 3 7 4" xfId="43996" xr:uid="{E882102C-33AA-4368-8087-02AE11C448BE}"/>
    <cellStyle name="Millares 5 3 3 7 5" xfId="48889" xr:uid="{98071314-527B-454E-A94D-E7CBB50A3E60}"/>
    <cellStyle name="Millares 5 3 3 8" xfId="3463" xr:uid="{54FDA3BD-BE0E-4E61-95D0-24333A06F7B1}"/>
    <cellStyle name="Millares 5 3 3 8 2" xfId="11704" xr:uid="{54B7C61A-F3EC-43BC-8CAD-A9F4BD1F7861}"/>
    <cellStyle name="Millares 5 3 3 8 3" xfId="14544" xr:uid="{C0C347F5-1084-4D7C-A6D3-635DDDA70448}"/>
    <cellStyle name="Millares 5 3 3 8 4" xfId="44468" xr:uid="{3B0144AF-9349-4571-85F0-5067B99C726E}"/>
    <cellStyle name="Millares 5 3 3 8 5" xfId="49361" xr:uid="{25BBADF3-138B-409E-BFA6-12FA68F766D9}"/>
    <cellStyle name="Millares 5 3 3 9" xfId="7200" xr:uid="{B15AEB89-D37F-417E-9F58-778D8882A3A3}"/>
    <cellStyle name="Millares 5 3 3 9 2" xfId="44886" xr:uid="{8A38D311-7898-49A6-B2D6-5E6E6D8CFE3A}"/>
    <cellStyle name="Millares 5 3 4" xfId="244" xr:uid="{00000000-0005-0000-0000-000069020000}"/>
    <cellStyle name="Millares 5 3 4 10" xfId="16528" xr:uid="{FB83A33B-B0DC-48BC-8917-2495BDBCF24B}"/>
    <cellStyle name="Millares 5 3 4 11" xfId="17072" xr:uid="{AA3D85E6-BD28-4C09-89E2-AE5B13C152C4}"/>
    <cellStyle name="Millares 5 3 4 12" xfId="18844" xr:uid="{166A03CB-52B5-4111-972E-E9272E818006}"/>
    <cellStyle name="Millares 5 3 4 13" xfId="17678" xr:uid="{F6618AB1-0140-4324-A48C-1ED5E03501C2}"/>
    <cellStyle name="Millares 5 3 4 14" xfId="42566" xr:uid="{B11C21A4-3F09-49AD-9160-F13D099E4942}"/>
    <cellStyle name="Millares 5 3 4 15" xfId="47459" xr:uid="{4BDD96A6-BCB4-4122-BD00-F1F2E2F41324}"/>
    <cellStyle name="Millares 5 3 4 2" xfId="471" xr:uid="{00000000-0005-0000-0000-00006A020000}"/>
    <cellStyle name="Millares 5 3 4 2 10" xfId="17284" xr:uid="{1F6672D7-07AF-4CBB-9B9D-23B7A8794E3F}"/>
    <cellStyle name="Millares 5 3 4 2 11" xfId="21628" xr:uid="{23EA58EF-AD56-468E-A835-A47400F3BAF4}"/>
    <cellStyle name="Millares 5 3 4 2 12" xfId="42778" xr:uid="{A92BD5C4-ED92-402F-8186-7DC854240966}"/>
    <cellStyle name="Millares 5 3 4 2 13" xfId="47671" xr:uid="{DEF4506E-83BF-4FE4-BBF1-7667A75CBFCF}"/>
    <cellStyle name="Millares 5 3 4 2 2" xfId="2287" xr:uid="{265E9D20-7E62-4586-BDF3-75CBF66F4A35}"/>
    <cellStyle name="Millares 5 3 4 2 2 2" xfId="10558" xr:uid="{8CAF71D3-DC9D-40CF-A39E-E656865B3E39}"/>
    <cellStyle name="Millares 5 3 4 2 2 2 2" xfId="45718" xr:uid="{25674619-9AEF-4294-86F8-FD246FAC6F2B}"/>
    <cellStyle name="Millares 5 3 4 2 2 3" xfId="13398" xr:uid="{9BFFAD75-4866-411E-ACE0-546950039796}"/>
    <cellStyle name="Millares 5 3 4 2 2 4" xfId="43322" xr:uid="{0AAF1C0A-C9B2-4025-929B-F9503D1713A3}"/>
    <cellStyle name="Millares 5 3 4 2 2 5" xfId="48215" xr:uid="{D9B5A84D-1634-4535-9D55-D287387B38ED}"/>
    <cellStyle name="Millares 5 3 4 2 3" xfId="2705" xr:uid="{DC44833A-0F98-4E78-B546-AD9A631EDC80}"/>
    <cellStyle name="Millares 5 3 4 2 3 2" xfId="10976" xr:uid="{8E12E7AA-29EF-4DB5-AD17-722DCB12492E}"/>
    <cellStyle name="Millares 5 3 4 2 3 2 2" xfId="46136" xr:uid="{FB92AF76-D466-4C11-97DB-43E87AC88F47}"/>
    <cellStyle name="Millares 5 3 4 2 3 3" xfId="13816" xr:uid="{73A41AF8-0A93-496B-868B-F305685DEBEC}"/>
    <cellStyle name="Millares 5 3 4 2 3 4" xfId="43740" xr:uid="{52E6513E-3811-4F91-A37B-F456A57DD662}"/>
    <cellStyle name="Millares 5 3 4 2 3 5" xfId="48633" xr:uid="{F674542E-6D10-4F21-B709-7187A51FEC8D}"/>
    <cellStyle name="Millares 5 3 4 2 4" xfId="3249" xr:uid="{B42C512F-B31B-4EA6-90B0-E9608C2A7EFC}"/>
    <cellStyle name="Millares 5 3 4 2 4 2" xfId="11520" xr:uid="{E60EE270-D602-49A1-8A34-3AE0FD2595B5}"/>
    <cellStyle name="Millares 5 3 4 2 4 2 2" xfId="46680" xr:uid="{2A4ECDFE-A2BD-499D-9138-9B4DCDA25382}"/>
    <cellStyle name="Millares 5 3 4 2 4 3" xfId="14360" xr:uid="{62DF893D-268E-4273-A954-A6FB2AF66C0C}"/>
    <cellStyle name="Millares 5 3 4 2 4 4" xfId="44284" xr:uid="{40A10291-4376-4631-97B4-26855D9AFEA2}"/>
    <cellStyle name="Millares 5 3 4 2 4 5" xfId="49177" xr:uid="{05C8E4CB-294C-4E6A-9732-2F36A45D278B}"/>
    <cellStyle name="Millares 5 3 4 2 5" xfId="3751" xr:uid="{FF7C25FA-9DEE-41A2-B735-45BB6DD1B930}"/>
    <cellStyle name="Millares 5 3 4 2 5 2" xfId="11992" xr:uid="{7CD9882B-485C-41A7-AA17-FF80121FBE54}"/>
    <cellStyle name="Millares 5 3 4 2 5 3" xfId="14832" xr:uid="{5246B3FE-0607-46A3-B807-12F3076F7093}"/>
    <cellStyle name="Millares 5 3 4 2 5 4" xfId="44756" xr:uid="{B5158539-42D4-480B-9F51-52114DDA3B41}"/>
    <cellStyle name="Millares 5 3 4 2 5 5" xfId="49649" xr:uid="{051D6E79-903E-4EAF-A947-326421ABB348}"/>
    <cellStyle name="Millares 5 3 4 2 6" xfId="10014" xr:uid="{3EDC8787-EE1E-4D2F-922D-E45BF6EDDFAA}"/>
    <cellStyle name="Millares 5 3 4 2 6 2" xfId="45174" xr:uid="{23549ECA-D9A1-46EA-BDBB-8E2A60250B56}"/>
    <cellStyle name="Millares 5 3 4 2 7" xfId="12854" xr:uid="{D86C92E5-3ECB-4A2E-9FF2-5783231F74B2}"/>
    <cellStyle name="Millares 5 3 4 2 8" xfId="16197" xr:uid="{6499D9F7-CD4B-4328-96F6-86AF5A0871AF}"/>
    <cellStyle name="Millares 5 3 4 2 9" xfId="16740" xr:uid="{27441963-A443-4E99-A831-9EFBFAAFB3BD}"/>
    <cellStyle name="Millares 5 3 4 3" xfId="2075" xr:uid="{ACAAFCAA-C7F7-4DE4-B3D0-1DD399AE9FAB}"/>
    <cellStyle name="Millares 5 3 4 3 2" xfId="10346" xr:uid="{580E4512-A2FD-4504-88A7-E98DFC179B5B}"/>
    <cellStyle name="Millares 5 3 4 3 2 2" xfId="45506" xr:uid="{7FE0D95A-B0B1-4BA1-A3CC-8F764015DE88}"/>
    <cellStyle name="Millares 5 3 4 3 3" xfId="13186" xr:uid="{A87D9D04-D3E3-4BA8-B82F-BFE9E54FD6D4}"/>
    <cellStyle name="Millares 5 3 4 3 4" xfId="43110" xr:uid="{D20838E2-65D9-4F94-9BA6-B396ABFABF30}"/>
    <cellStyle name="Millares 5 3 4 3 5" xfId="48003" xr:uid="{95969E0E-D170-4AFE-B9B6-07BFB07D1FAA}"/>
    <cellStyle name="Millares 5 3 4 4" xfId="2493" xr:uid="{78264A4D-C99A-4882-9F0C-E4A980C946A2}"/>
    <cellStyle name="Millares 5 3 4 4 2" xfId="10764" xr:uid="{FD16DBC1-1266-487B-83E4-80B4470BBE37}"/>
    <cellStyle name="Millares 5 3 4 4 2 2" xfId="45924" xr:uid="{41DE2E50-E1D6-44DB-A336-F7DB8BEC6A3F}"/>
    <cellStyle name="Millares 5 3 4 4 3" xfId="13604" xr:uid="{543FFF35-B056-470F-8622-04C44CF797B0}"/>
    <cellStyle name="Millares 5 3 4 4 4" xfId="43528" xr:uid="{D2D0802C-F7F8-4E8F-BAD2-424BFC1A9FF1}"/>
    <cellStyle name="Millares 5 3 4 4 5" xfId="48421" xr:uid="{6FE9D4E6-6EAD-4D89-826F-665497B4E708}"/>
    <cellStyle name="Millares 5 3 4 5" xfId="3037" xr:uid="{3B9AB608-5B46-4F5F-B52B-A8C9BB6874DE}"/>
    <cellStyle name="Millares 5 3 4 5 2" xfId="11308" xr:uid="{BBBAA720-819A-429D-A815-94C42A8AE4A5}"/>
    <cellStyle name="Millares 5 3 4 5 2 2" xfId="46468" xr:uid="{760C00B6-ED2D-48B9-BDDA-D7848A72DE5F}"/>
    <cellStyle name="Millares 5 3 4 5 3" xfId="14148" xr:uid="{FBBEAD0F-8FC3-4713-BF13-E41F72EF374E}"/>
    <cellStyle name="Millares 5 3 4 5 4" xfId="44072" xr:uid="{26E22BFC-96FB-4408-8855-52216E8062CF}"/>
    <cellStyle name="Millares 5 3 4 5 5" xfId="48965" xr:uid="{053F92AA-EF8C-422C-A84A-A3A90ABD4F04}"/>
    <cellStyle name="Millares 5 3 4 6" xfId="3539" xr:uid="{01B49D0F-1F6E-44EB-A82E-89BDD7597E23}"/>
    <cellStyle name="Millares 5 3 4 6 2" xfId="11780" xr:uid="{220D0351-5B09-46BC-AC24-6F37D783B98B}"/>
    <cellStyle name="Millares 5 3 4 6 3" xfId="14620" xr:uid="{AAFE07E6-0B1A-4988-8C80-0EA03B4A01B2}"/>
    <cellStyle name="Millares 5 3 4 6 4" xfId="44544" xr:uid="{176D807E-D9B3-439B-BF54-6C6DA180E011}"/>
    <cellStyle name="Millares 5 3 4 6 5" xfId="49437" xr:uid="{20E1D2FF-BC13-4F65-B218-3C7EB30E9DB6}"/>
    <cellStyle name="Millares 5 3 4 7" xfId="9802" xr:uid="{CC1EBF5F-2A39-4251-8C10-1BC18C7B5EC9}"/>
    <cellStyle name="Millares 5 3 4 7 2" xfId="44962" xr:uid="{D2AB00CE-99E4-4449-8273-271932244039}"/>
    <cellStyle name="Millares 5 3 4 8" xfId="12642" xr:uid="{EB511264-F573-48B4-B1CC-CEC0193B1BBC}"/>
    <cellStyle name="Millares 5 3 4 9" xfId="15985" xr:uid="{851B882C-92D9-4DE2-A57B-6F7752166CE5}"/>
    <cellStyle name="Millares 5 3 5" xfId="370" xr:uid="{00000000-0005-0000-0000-00006B020000}"/>
    <cellStyle name="Millares 5 3 5 10" xfId="17184" xr:uid="{58191587-49D9-42C5-9833-56211F1ADD27}"/>
    <cellStyle name="Millares 5 3 5 11" xfId="24585" xr:uid="{6ED197A3-C3F8-4969-AF75-15CC86372DC0}"/>
    <cellStyle name="Millares 5 3 5 12" xfId="17911" xr:uid="{91A10E00-5507-40B4-BB77-4417DF2C8E55}"/>
    <cellStyle name="Millares 5 3 5 13" xfId="42678" xr:uid="{E993BF13-8080-4165-97FA-A7C1499E593F}"/>
    <cellStyle name="Millares 5 3 5 14" xfId="47571" xr:uid="{50BDC50A-772C-49E8-824B-2F04ACBD34E5}"/>
    <cellStyle name="Millares 5 3 5 2" xfId="2187" xr:uid="{0E11C55B-3AC9-423B-8780-8970D762870F}"/>
    <cellStyle name="Millares 5 3 5 2 2" xfId="10458" xr:uid="{E0460637-B5AA-458B-9124-D45532627C9B}"/>
    <cellStyle name="Millares 5 3 5 2 2 2" xfId="45618" xr:uid="{BBB1395C-935E-4D43-8257-CAE67EA3A026}"/>
    <cellStyle name="Millares 5 3 5 2 3" xfId="13298" xr:uid="{C5259233-7653-4174-BC4C-A892FC22E49A}"/>
    <cellStyle name="Millares 5 3 5 2 4" xfId="43222" xr:uid="{E6EB26AC-533A-4807-A9B7-A6C9EBE1E10E}"/>
    <cellStyle name="Millares 5 3 5 2 5" xfId="48115" xr:uid="{BAADE700-E320-4662-8296-C291F6F618B7}"/>
    <cellStyle name="Millares 5 3 5 3" xfId="2605" xr:uid="{DF9EB9CB-DF1C-474A-BF58-A2C655A3B8BE}"/>
    <cellStyle name="Millares 5 3 5 3 2" xfId="10876" xr:uid="{7DE34850-5E0B-4A21-9811-FFC0B50A9A30}"/>
    <cellStyle name="Millares 5 3 5 3 2 2" xfId="46036" xr:uid="{DD74A9E4-6580-4796-9FBD-CD74AC256273}"/>
    <cellStyle name="Millares 5 3 5 3 3" xfId="13716" xr:uid="{FDF5DCA3-50DA-494D-8E06-E34500EF6533}"/>
    <cellStyle name="Millares 5 3 5 3 4" xfId="43640" xr:uid="{E4D02B3E-91B5-49B5-9D61-556AC8E0126E}"/>
    <cellStyle name="Millares 5 3 5 3 5" xfId="48533" xr:uid="{88EE798E-D743-4D72-9DA2-9B9161D8FB71}"/>
    <cellStyle name="Millares 5 3 5 4" xfId="3149" xr:uid="{21805F40-31B5-45C0-B408-C3FFDBB4DE9A}"/>
    <cellStyle name="Millares 5 3 5 4 2" xfId="11420" xr:uid="{EB835407-4474-49C5-B96D-A65A7CA7B5A5}"/>
    <cellStyle name="Millares 5 3 5 4 2 2" xfId="46580" xr:uid="{761806A3-4479-4F4C-B24B-D094A5534A38}"/>
    <cellStyle name="Millares 5 3 5 4 3" xfId="14260" xr:uid="{EA22D2EE-A735-4669-96E5-583DEA8429F6}"/>
    <cellStyle name="Millares 5 3 5 4 4" xfId="44184" xr:uid="{D755C3BF-6894-44BD-96FB-4198AC8E43DB}"/>
    <cellStyle name="Millares 5 3 5 4 5" xfId="49077" xr:uid="{A9CCD1B5-0ED6-4917-BAFA-BBFF36224566}"/>
    <cellStyle name="Millares 5 3 5 5" xfId="3651" xr:uid="{E81F5084-44ED-4591-A0DE-1C82C066788F}"/>
    <cellStyle name="Millares 5 3 5 5 2" xfId="11892" xr:uid="{93151188-042D-41D7-8954-5D47273DE2B8}"/>
    <cellStyle name="Millares 5 3 5 5 3" xfId="14732" xr:uid="{70EB528D-FE30-4E97-9B9A-1BC581FC86F1}"/>
    <cellStyle name="Millares 5 3 5 5 4" xfId="44656" xr:uid="{DBCF6AB7-1358-405B-9E4F-32DDB63C48A8}"/>
    <cellStyle name="Millares 5 3 5 5 5" xfId="49549" xr:uid="{A766CA1F-E22B-458D-9262-0F22B12B825D}"/>
    <cellStyle name="Millares 5 3 5 6" xfId="9914" xr:uid="{7FFD5EC8-F021-4C1B-A827-5B5C3C62BB7A}"/>
    <cellStyle name="Millares 5 3 5 6 2" xfId="45074" xr:uid="{24AFABB3-93C1-4A13-A978-2B6D17364205}"/>
    <cellStyle name="Millares 5 3 5 7" xfId="12754" xr:uid="{750CCA92-9469-4662-8C66-7725E33AD087}"/>
    <cellStyle name="Millares 5 3 5 8" xfId="16097" xr:uid="{BC0A5E95-1DCC-42F3-92F2-D76081468D32}"/>
    <cellStyle name="Millares 5 3 5 9" xfId="16640" xr:uid="{F029EFDD-F2F1-4D3B-A95F-EC3338AAEE3B}"/>
    <cellStyle name="Millares 5 3 6" xfId="573" xr:uid="{00000000-0005-0000-0000-00006C020000}"/>
    <cellStyle name="Millares 5 3 6 10" xfId="42880" xr:uid="{A5CA6840-93B7-4E6A-8288-E3B60FABBA2F}"/>
    <cellStyle name="Millares 5 3 6 11" xfId="47773" xr:uid="{581C7921-6619-4E6C-83FC-9F3B8C00673B}"/>
    <cellStyle name="Millares 5 3 6 2" xfId="2807" xr:uid="{2C560499-9EE9-41FB-AE50-8BB7C2B2C8B0}"/>
    <cellStyle name="Millares 5 3 6 2 2" xfId="11078" xr:uid="{88DC0C52-8F34-4CBC-A661-B7169305612C}"/>
    <cellStyle name="Millares 5 3 6 2 2 2" xfId="46238" xr:uid="{66D2E5D8-F880-4171-9847-A305B61DC04C}"/>
    <cellStyle name="Millares 5 3 6 2 3" xfId="13918" xr:uid="{CAA34F7E-D56A-4E4F-96FF-4F77CA7ECCF0}"/>
    <cellStyle name="Millares 5 3 6 2 4" xfId="43842" xr:uid="{F8D4A0EF-7C8A-45F7-AE29-B7B0D50D1DE1}"/>
    <cellStyle name="Millares 5 3 6 2 5" xfId="48735" xr:uid="{E821A2E8-C75E-449C-95E1-08871C13D0EB}"/>
    <cellStyle name="Millares 5 3 6 3" xfId="10116" xr:uid="{59555757-E884-40F6-941F-7A2C2F978648}"/>
    <cellStyle name="Millares 5 3 6 3 2" xfId="45276" xr:uid="{0E8E458D-646B-49E5-ABDA-89A401D1C454}"/>
    <cellStyle name="Millares 5 3 6 4" xfId="12956" xr:uid="{7251909A-037B-4966-AE09-A0999186156E}"/>
    <cellStyle name="Millares 5 3 6 5" xfId="16299" xr:uid="{6499D1CB-6941-476A-B517-DC28BEEB2731}"/>
    <cellStyle name="Millares 5 3 6 6" xfId="16842" xr:uid="{BC362B06-D532-40C3-B0A4-1DBB884459C4}"/>
    <cellStyle name="Millares 5 3 6 7" xfId="17386" xr:uid="{760B6808-2C0A-45D9-A5D4-9692A8F00AF1}"/>
    <cellStyle name="Millares 5 3 6 8" xfId="30464" xr:uid="{448B334B-A277-4AF3-ACC3-48559BF38787}"/>
    <cellStyle name="Millares 5 3 6 9" xfId="18201" xr:uid="{5B9A4C4E-17A9-4634-B626-D2197E412B67}"/>
    <cellStyle name="Millares 5 3 7" xfId="1971" xr:uid="{9278334B-B80E-46A0-9D9F-A47667ED3820}"/>
    <cellStyle name="Millares 5 3 7 2" xfId="10242" xr:uid="{6A3568DE-2327-460C-B5C9-53A2A21F0C9E}"/>
    <cellStyle name="Millares 5 3 7 2 2" xfId="45402" xr:uid="{F06D04D2-4549-4103-9369-B3F1DA873A6A}"/>
    <cellStyle name="Millares 5 3 7 3" xfId="13082" xr:uid="{B2DA4E2B-A883-4B69-9A3C-6AF37F07AAC7}"/>
    <cellStyle name="Millares 5 3 7 4" xfId="36344" xr:uid="{3EFFDCD9-1787-4F7F-A9F9-D7544CF99F5B}"/>
    <cellStyle name="Millares 5 3 7 5" xfId="43006" xr:uid="{CCCCC548-FDEC-41F6-9D3B-3651DDCEE214}"/>
    <cellStyle name="Millares 5 3 7 6" xfId="47899" xr:uid="{C8E88916-6E63-4388-8E28-091CD63937EC}"/>
    <cellStyle name="Millares 5 3 8" xfId="2389" xr:uid="{B22FDD6C-C968-47DB-A7A6-156383FFC38C}"/>
    <cellStyle name="Millares 5 3 8 2" xfId="10660" xr:uid="{755F4E65-7CEA-4BB5-B7BC-09F0009E7C77}"/>
    <cellStyle name="Millares 5 3 8 2 2" xfId="45820" xr:uid="{BE638AEB-7E5E-439B-BAD8-A45079DE6CAD}"/>
    <cellStyle name="Millares 5 3 8 3" xfId="13500" xr:uid="{27CCC0E6-AFD1-4296-969D-F4A716613FA3}"/>
    <cellStyle name="Millares 5 3 8 4" xfId="43424" xr:uid="{C325E7F0-4E3E-4889-8116-6072C1EF5278}"/>
    <cellStyle name="Millares 5 3 8 5" xfId="48317" xr:uid="{FC3B47B3-0DF7-432B-A583-085F833AEB0A}"/>
    <cellStyle name="Millares 5 3 9" xfId="2933" xr:uid="{8D1047FE-FEEE-45CE-8076-424C5EAE7024}"/>
    <cellStyle name="Millares 5 3 9 2" xfId="11204" xr:uid="{DABCB38E-0E70-44A5-A357-0268A1251350}"/>
    <cellStyle name="Millares 5 3 9 2 2" xfId="46364" xr:uid="{268E65E8-98BA-4B34-A567-9502EC310065}"/>
    <cellStyle name="Millares 5 3 9 3" xfId="14044" xr:uid="{0853A101-AD8D-4707-BED6-6456AE7A0A6A}"/>
    <cellStyle name="Millares 5 3 9 4" xfId="43968" xr:uid="{5797CBE5-CF1E-48B6-99DA-A5A4156C1429}"/>
    <cellStyle name="Millares 5 3 9 5" xfId="48861" xr:uid="{EFB8F470-536C-4149-B48D-FF62FAB1D06B}"/>
    <cellStyle name="Millares 5 4" xfId="184" xr:uid="{00000000-0005-0000-0000-00006D020000}"/>
    <cellStyle name="Millares 5 4 2" xfId="7687" xr:uid="{A319A8D0-1F5E-4BBF-99C0-5465E4CC6968}"/>
    <cellStyle name="Millares 5 4 2 2" xfId="22077" xr:uid="{6E077220-4E64-4BAB-84EB-72047FCB2473}"/>
    <cellStyle name="Millares 5 4 2 3" xfId="27920" xr:uid="{2939D218-1571-4828-B6A7-D0F9CEA6867A}"/>
    <cellStyle name="Millares 5 4 2 4" xfId="33802" xr:uid="{196669B1-C609-4971-98CD-AA59ECA9E752}"/>
    <cellStyle name="Millares 5 4 2 5" xfId="39666" xr:uid="{959E7474-DAE4-496A-A67B-4F90FE8CB856}"/>
    <cellStyle name="Millares 5 4 2 6" xfId="46947" xr:uid="{FEC9A1FD-308C-4BF6-86AA-51AE90408612}"/>
    <cellStyle name="Millares 5 4 2 7" xfId="47075" xr:uid="{8D761445-0253-42D6-8786-0498EA653E7C}"/>
    <cellStyle name="Millares 5 4 3" xfId="19303" xr:uid="{95897453-C938-4D3F-9D56-23E18484DFA2}"/>
    <cellStyle name="Millares 5 4 4" xfId="25071" xr:uid="{A7454E7D-63E4-4C26-A9C3-CE59AA1AE932}"/>
    <cellStyle name="Millares 5 4 5" xfId="30945" xr:uid="{738267C8-B51B-42AB-92F1-6A39F0B8A478}"/>
    <cellStyle name="Millares 5 4 6" xfId="36824" xr:uid="{BD178189-8726-4313-A6AD-146045CC7E17}"/>
    <cellStyle name="Millares 5 4 7" xfId="46948" xr:uid="{2DB76DAD-5A60-48F1-B511-BC43F0777441}"/>
    <cellStyle name="Millares 5 4 8" xfId="47029" xr:uid="{8B17F6E7-39E2-46C1-9AB5-A6581356D890}"/>
    <cellStyle name="Millares 5 5" xfId="173" xr:uid="{00000000-0005-0000-0000-00006E020000}"/>
    <cellStyle name="Millares 5 5 10" xfId="9740" xr:uid="{8B8E988A-800F-4CEE-A4D2-8DF564E61E58}"/>
    <cellStyle name="Millares 5 5 11" xfId="12580" xr:uid="{C4F410AC-D6BE-4C03-B031-E5EC13B4F7BB}"/>
    <cellStyle name="Millares 5 5 12" xfId="15923" xr:uid="{AFCA498D-008D-4EC4-893D-3259BA8CEEF2}"/>
    <cellStyle name="Millares 5 5 13" xfId="16466" xr:uid="{417DA452-B501-43B0-B1C2-FBCE7CFA1871}"/>
    <cellStyle name="Millares 5 5 14" xfId="17010" xr:uid="{1194CC0E-16AE-487F-BD49-1447F8699A3A}"/>
    <cellStyle name="Millares 5 5 15" xfId="18004" xr:uid="{94DCF4AD-D39C-41CB-A744-4FA70D716B41}"/>
    <cellStyle name="Millares 5 5 16" xfId="42504" xr:uid="{483E8EAC-CBB5-4C3C-8E47-B227F01A22FA}"/>
    <cellStyle name="Millares 5 5 17" xfId="47397" xr:uid="{95B7E039-5DFF-4010-98CF-2B98535F7323}"/>
    <cellStyle name="Millares 5 5 2" xfId="286" xr:uid="{00000000-0005-0000-0000-00006F020000}"/>
    <cellStyle name="Millares 5 5 2 10" xfId="16027" xr:uid="{5B80E7F3-6CA6-4F84-B5CA-F6F975211921}"/>
    <cellStyle name="Millares 5 5 2 11" xfId="16570" xr:uid="{10685007-0C88-4BC5-A1CA-A51993265C78}"/>
    <cellStyle name="Millares 5 5 2 12" xfId="17114" xr:uid="{D74CEAFF-9ABA-47DF-AE42-F9F500B9E339}"/>
    <cellStyle name="Millares 5 5 2 13" xfId="18030" xr:uid="{51D7B393-A66D-4CEB-9E1C-9E313F8CCFE4}"/>
    <cellStyle name="Millares 5 5 2 14" xfId="42608" xr:uid="{03CF0DC5-B46D-4C77-9A3E-0A7DB843A573}"/>
    <cellStyle name="Millares 5 5 2 15" xfId="47501" xr:uid="{6FAA7BCC-4460-4BC2-841A-94AA75171E16}"/>
    <cellStyle name="Millares 5 5 2 2" xfId="513" xr:uid="{00000000-0005-0000-0000-000070020000}"/>
    <cellStyle name="Millares 5 5 2 2 10" xfId="17326" xr:uid="{1F2C0476-A157-41AE-9655-D415EDC23873}"/>
    <cellStyle name="Millares 5 5 2 2 11" xfId="23067" xr:uid="{377CE10A-E8F1-4170-B3FA-961916932626}"/>
    <cellStyle name="Millares 5 5 2 2 12" xfId="17541" xr:uid="{E9D86B4A-2099-4636-87B7-1AB9D9141C0D}"/>
    <cellStyle name="Millares 5 5 2 2 13" xfId="42820" xr:uid="{DAE8BEBF-0988-4C3A-A58C-A2465CDECF21}"/>
    <cellStyle name="Millares 5 5 2 2 14" xfId="47713" xr:uid="{FF7B7756-9508-4F6A-A4A3-D64E17F42ABD}"/>
    <cellStyle name="Millares 5 5 2 2 2" xfId="2329" xr:uid="{AF829D15-50F4-4B5C-BC4B-DBF2493D7449}"/>
    <cellStyle name="Millares 5 5 2 2 2 2" xfId="10600" xr:uid="{781205B5-DE52-42A6-9B0B-187924D96056}"/>
    <cellStyle name="Millares 5 5 2 2 2 2 2" xfId="45760" xr:uid="{CA8071C4-3A53-42CE-A809-5BBED226C1F0}"/>
    <cellStyle name="Millares 5 5 2 2 2 3" xfId="13440" xr:uid="{FE8B4593-DC36-49B8-A4A4-B9463BAAFF55}"/>
    <cellStyle name="Millares 5 5 2 2 2 4" xfId="43364" xr:uid="{8A067003-E34F-42DB-BEC2-36D4974D33D8}"/>
    <cellStyle name="Millares 5 5 2 2 2 5" xfId="48257" xr:uid="{E6165EA7-FE5E-4F2B-9F8B-36A85FC3B077}"/>
    <cellStyle name="Millares 5 5 2 2 3" xfId="2747" xr:uid="{0411F362-073E-472E-BD8D-214C015D8C06}"/>
    <cellStyle name="Millares 5 5 2 2 3 2" xfId="11018" xr:uid="{DF6891EA-37BE-4DA1-A795-546158F60C7C}"/>
    <cellStyle name="Millares 5 5 2 2 3 2 2" xfId="46178" xr:uid="{6C210E63-6158-499A-B3C7-06B3E2B055DB}"/>
    <cellStyle name="Millares 5 5 2 2 3 3" xfId="13858" xr:uid="{071C11A7-04CB-43F5-A4D4-E03AD30BD567}"/>
    <cellStyle name="Millares 5 5 2 2 3 4" xfId="43782" xr:uid="{3F994CAC-6019-47CF-B789-BE94A24A406A}"/>
    <cellStyle name="Millares 5 5 2 2 3 5" xfId="48675" xr:uid="{DA33212E-02DF-4C13-9367-71F73B02FDFA}"/>
    <cellStyle name="Millares 5 5 2 2 4" xfId="3291" xr:uid="{7EF07BA9-9596-4329-A9BE-8A8CE2180627}"/>
    <cellStyle name="Millares 5 5 2 2 4 2" xfId="11562" xr:uid="{A9085D09-4230-4D5C-A5E6-84E057801813}"/>
    <cellStyle name="Millares 5 5 2 2 4 2 2" xfId="46722" xr:uid="{21DF57BC-B11B-4CE8-B7C0-6C19F6FBD729}"/>
    <cellStyle name="Millares 5 5 2 2 4 3" xfId="14402" xr:uid="{E334C204-985D-4DFD-BB91-890303F445DE}"/>
    <cellStyle name="Millares 5 5 2 2 4 4" xfId="44326" xr:uid="{9846E390-453E-4FF5-9FF3-AF162F16EC31}"/>
    <cellStyle name="Millares 5 5 2 2 4 5" xfId="49219" xr:uid="{CB6C7AF5-2CE3-47ED-809A-9F798B805CFB}"/>
    <cellStyle name="Millares 5 5 2 2 5" xfId="3793" xr:uid="{2D1A8AAF-AC05-4B36-9928-688E32798AAC}"/>
    <cellStyle name="Millares 5 5 2 2 5 2" xfId="12034" xr:uid="{8A92285B-F4EF-4F4B-846E-2D7DFE44F350}"/>
    <cellStyle name="Millares 5 5 2 2 5 3" xfId="14874" xr:uid="{89448C97-AD82-4E70-82E1-CFD0EE5C6023}"/>
    <cellStyle name="Millares 5 5 2 2 5 4" xfId="44798" xr:uid="{486388D8-8757-4724-9273-F2A09970E7DA}"/>
    <cellStyle name="Millares 5 5 2 2 5 5" xfId="49691" xr:uid="{4EC845B2-AF40-4406-925F-59A05E230FCD}"/>
    <cellStyle name="Millares 5 5 2 2 6" xfId="10056" xr:uid="{5B11F78D-0127-4F9D-BF0B-D918F08C0A90}"/>
    <cellStyle name="Millares 5 5 2 2 6 2" xfId="45216" xr:uid="{6FEAC778-E96C-4B5D-ABCC-B48916530111}"/>
    <cellStyle name="Millares 5 5 2 2 7" xfId="12896" xr:uid="{970B310A-82E6-46C9-A6E2-34D7C7C4B637}"/>
    <cellStyle name="Millares 5 5 2 2 8" xfId="16239" xr:uid="{0E610F43-87F1-433A-B07E-CF0B9E71E2F0}"/>
    <cellStyle name="Millares 5 5 2 2 9" xfId="16782" xr:uid="{014AAA46-FC5A-4736-9A52-E8134BAFD694}"/>
    <cellStyle name="Millares 5 5 2 3" xfId="2117" xr:uid="{2674DA11-AB91-4218-9B09-31F85E714A91}"/>
    <cellStyle name="Millares 5 5 2 3 2" xfId="10388" xr:uid="{CDFF0C3E-B332-487D-8A66-395658CFA07A}"/>
    <cellStyle name="Millares 5 5 2 3 2 2" xfId="45548" xr:uid="{31ADB7F5-7C74-468C-9013-F3D15D729C03}"/>
    <cellStyle name="Millares 5 5 2 3 3" xfId="13228" xr:uid="{32D123B7-9CA7-4205-9C9E-8A4EFD1D5229}"/>
    <cellStyle name="Millares 5 5 2 3 4" xfId="28931" xr:uid="{98D0ACBB-CAA2-4E9E-9E02-7D1795EC0652}"/>
    <cellStyle name="Millares 5 5 2 3 5" xfId="43152" xr:uid="{0E5502CE-04A5-4EF1-ADCC-4613DD06FBD6}"/>
    <cellStyle name="Millares 5 5 2 3 6" xfId="48045" xr:uid="{463CBC8F-3B15-4158-9747-48B2E68424F5}"/>
    <cellStyle name="Millares 5 5 2 4" xfId="2535" xr:uid="{E042357E-00BD-4F70-A115-F485D7027783}"/>
    <cellStyle name="Millares 5 5 2 4 2" xfId="10806" xr:uid="{EEC79B48-6FCD-4AF9-ACD8-2DCEB70A2E54}"/>
    <cellStyle name="Millares 5 5 2 4 2 2" xfId="45966" xr:uid="{2FC97B32-B1E2-4CED-90F8-BD18D2CC8791}"/>
    <cellStyle name="Millares 5 5 2 4 3" xfId="13646" xr:uid="{0BDF43D9-E624-4B4B-AB22-9CECBBE52759}"/>
    <cellStyle name="Millares 5 5 2 4 4" xfId="34813" xr:uid="{560E6667-78DC-4A86-A4D8-6A7B22168F30}"/>
    <cellStyle name="Millares 5 5 2 4 5" xfId="43570" xr:uid="{BB533AED-3D57-4168-8CCE-0FC0E57C72B2}"/>
    <cellStyle name="Millares 5 5 2 4 6" xfId="48463" xr:uid="{EA4482F5-049A-469C-AE2B-84995095CC76}"/>
    <cellStyle name="Millares 5 5 2 5" xfId="3079" xr:uid="{C3FC6D46-E3F0-48BC-A121-129413C9CF67}"/>
    <cellStyle name="Millares 5 5 2 5 2" xfId="11350" xr:uid="{F82A241C-B52C-4791-9A55-7541FAE82E42}"/>
    <cellStyle name="Millares 5 5 2 5 2 2" xfId="46510" xr:uid="{96CA5586-433F-4FA9-BEFA-4CFFBCBDD0A5}"/>
    <cellStyle name="Millares 5 5 2 5 3" xfId="14190" xr:uid="{0BA1D734-82EC-41D9-B45C-3EFC2ACB879A}"/>
    <cellStyle name="Millares 5 5 2 5 4" xfId="40677" xr:uid="{A76984BC-AD15-436A-B193-2B6514B5C054}"/>
    <cellStyle name="Millares 5 5 2 5 5" xfId="44114" xr:uid="{52211DBA-737C-475F-829F-4150EE50DE9D}"/>
    <cellStyle name="Millares 5 5 2 5 6" xfId="49007" xr:uid="{9B6A3641-85A6-430F-9447-848E2637C7C9}"/>
    <cellStyle name="Millares 5 5 2 6" xfId="3581" xr:uid="{5D62972D-0D10-437D-A82E-0D04439D3BD1}"/>
    <cellStyle name="Millares 5 5 2 6 2" xfId="11822" xr:uid="{C275E43A-28F5-402A-88D4-F0AC5EC53997}"/>
    <cellStyle name="Millares 5 5 2 6 3" xfId="14662" xr:uid="{003B9072-CCD0-41AD-A571-DCA2F97318B9}"/>
    <cellStyle name="Millares 5 5 2 6 4" xfId="44586" xr:uid="{8318066F-8F40-4D82-BF02-07338BC4FB0C}"/>
    <cellStyle name="Millares 5 5 2 6 5" xfId="49479" xr:uid="{72C3BC2E-E1F2-4AA8-BAB1-35150EF58A01}"/>
    <cellStyle name="Millares 5 5 2 7" xfId="8699" xr:uid="{F92F98B1-5E4B-4232-98AA-57A8540889C6}"/>
    <cellStyle name="Millares 5 5 2 7 2" xfId="45004" xr:uid="{A3F1F96A-B11C-43C9-91DF-8CEF80CF18AB}"/>
    <cellStyle name="Millares 5 5 2 8" xfId="9844" xr:uid="{8EADA0D7-C225-4073-B91E-23A1E6C1BD36}"/>
    <cellStyle name="Millares 5 5 2 9" xfId="12684" xr:uid="{60E5AB4B-B59C-4D2D-9C56-A19DC4A79262}"/>
    <cellStyle name="Millares 5 5 3" xfId="412" xr:uid="{00000000-0005-0000-0000-000071020000}"/>
    <cellStyle name="Millares 5 5 3 10" xfId="17226" xr:uid="{F910E292-8DD8-4721-A48F-82C136F24919}"/>
    <cellStyle name="Millares 5 5 3 11" xfId="20282" xr:uid="{3C6DBDCE-7483-457F-B7C7-AE8B7AC99FC4}"/>
    <cellStyle name="Millares 5 5 3 12" xfId="17882" xr:uid="{A02242A7-606A-43F9-97CA-D03A66DEF176}"/>
    <cellStyle name="Millares 5 5 3 13" xfId="42720" xr:uid="{888133BE-A3AA-483C-B367-EA25050A06CB}"/>
    <cellStyle name="Millares 5 5 3 14" xfId="47613" xr:uid="{488D9CE9-15F0-4F4B-A565-4668B9D770CA}"/>
    <cellStyle name="Millares 5 5 3 2" xfId="2229" xr:uid="{909143ED-2521-4E99-9DF7-8EA6CD99FAA8}"/>
    <cellStyle name="Millares 5 5 3 2 2" xfId="10500" xr:uid="{CC21E6CD-BFB9-470C-8A66-A89955A23AEE}"/>
    <cellStyle name="Millares 5 5 3 2 2 2" xfId="45660" xr:uid="{AFE2B2F5-0507-4637-BCC3-679B73E0BAFA}"/>
    <cellStyle name="Millares 5 5 3 2 3" xfId="13340" xr:uid="{B9773837-4180-455B-94D7-5A2F7A3248AA}"/>
    <cellStyle name="Millares 5 5 3 2 4" xfId="43264" xr:uid="{1A31E79A-9295-4DC6-889C-ECC479037D46}"/>
    <cellStyle name="Millares 5 5 3 2 5" xfId="48157" xr:uid="{7D93BB43-F0BA-4C74-8126-552A1EAEBAA5}"/>
    <cellStyle name="Millares 5 5 3 3" xfId="2647" xr:uid="{9E2EDDEE-DC20-4F33-ADAF-1782E772E5BA}"/>
    <cellStyle name="Millares 5 5 3 3 2" xfId="10918" xr:uid="{39736C7F-7954-4E77-B168-C2777828B3FE}"/>
    <cellStyle name="Millares 5 5 3 3 2 2" xfId="46078" xr:uid="{D9271426-39B2-4A76-BAB3-B0A8D6CD337D}"/>
    <cellStyle name="Millares 5 5 3 3 3" xfId="13758" xr:uid="{F0D32633-96EF-4CE2-9972-9E115789CED7}"/>
    <cellStyle name="Millares 5 5 3 3 4" xfId="43682" xr:uid="{8FB035D5-F225-43C7-B1C0-EE615CD22D8B}"/>
    <cellStyle name="Millares 5 5 3 3 5" xfId="48575" xr:uid="{32B03543-8F68-4B6F-AF14-12B1C160A636}"/>
    <cellStyle name="Millares 5 5 3 4" xfId="3191" xr:uid="{7A89CB93-74B7-41A7-BE4A-4E911B90C2CF}"/>
    <cellStyle name="Millares 5 5 3 4 2" xfId="11462" xr:uid="{7F6DC38A-A220-48F2-9532-912BB67B0AE0}"/>
    <cellStyle name="Millares 5 5 3 4 2 2" xfId="46622" xr:uid="{A8B59079-84AF-4F9A-B1F2-75EC8420FE22}"/>
    <cellStyle name="Millares 5 5 3 4 3" xfId="14302" xr:uid="{760199EB-880F-4033-9A39-B156BA4B34B4}"/>
    <cellStyle name="Millares 5 5 3 4 4" xfId="44226" xr:uid="{9ADFA711-DE62-4F05-81E1-3FD6EFA76A94}"/>
    <cellStyle name="Millares 5 5 3 4 5" xfId="49119" xr:uid="{37215731-A8EF-4550-B416-7FC6CF4AE461}"/>
    <cellStyle name="Millares 5 5 3 5" xfId="3693" xr:uid="{18414C4D-E6FF-4287-A7B0-D933ED695624}"/>
    <cellStyle name="Millares 5 5 3 5 2" xfId="11934" xr:uid="{E66AB176-1223-4B1D-A41A-0E859F4EEB9B}"/>
    <cellStyle name="Millares 5 5 3 5 3" xfId="14774" xr:uid="{C9CC5348-6D35-40D6-865E-EAEF2CC687E9}"/>
    <cellStyle name="Millares 5 5 3 5 4" xfId="44698" xr:uid="{56DAEEFA-391A-47AE-98A7-52EB24CCA40C}"/>
    <cellStyle name="Millares 5 5 3 5 5" xfId="49591" xr:uid="{C9BAC5AC-B179-45CF-BD00-CB2E8CFC9726}"/>
    <cellStyle name="Millares 5 5 3 6" xfId="9956" xr:uid="{37B13301-CB9A-4CEA-B93D-F4359F1B5C69}"/>
    <cellStyle name="Millares 5 5 3 6 2" xfId="45116" xr:uid="{C5414314-E94B-437E-954A-22F7289751F1}"/>
    <cellStyle name="Millares 5 5 3 7" xfId="12796" xr:uid="{53336A68-9876-4437-B5E2-3FB84F8A0167}"/>
    <cellStyle name="Millares 5 5 3 8" xfId="16139" xr:uid="{14B8A8F8-3AFF-464D-9B76-4A414C52FFD3}"/>
    <cellStyle name="Millares 5 5 3 9" xfId="16682" xr:uid="{2E21F6F4-1D3D-4487-A231-6C677D1F93A1}"/>
    <cellStyle name="Millares 5 5 4" xfId="615" xr:uid="{00000000-0005-0000-0000-000072020000}"/>
    <cellStyle name="Millares 5 5 4 10" xfId="42922" xr:uid="{7765C1E5-D37A-4821-B058-97A85432ACCB}"/>
    <cellStyle name="Millares 5 5 4 11" xfId="47815" xr:uid="{55671C1E-0F15-46D6-B404-6BF66808F0AB}"/>
    <cellStyle name="Millares 5 5 4 2" xfId="2849" xr:uid="{A43797E6-1AF0-4A18-995D-80A289CD957D}"/>
    <cellStyle name="Millares 5 5 4 2 2" xfId="11120" xr:uid="{CECFBBFB-B78B-45A5-9A4B-921D4F2C61E5}"/>
    <cellStyle name="Millares 5 5 4 2 2 2" xfId="46280" xr:uid="{2090FE25-9638-4D57-8519-5A2A86F937FD}"/>
    <cellStyle name="Millares 5 5 4 2 3" xfId="13960" xr:uid="{6CECF10F-3E94-430C-A7F6-935EF8DC120B}"/>
    <cellStyle name="Millares 5 5 4 2 4" xfId="43884" xr:uid="{E1E9B772-B992-464B-ACB9-08BA743DC9CD}"/>
    <cellStyle name="Millares 5 5 4 2 5" xfId="48777" xr:uid="{89585F3E-617D-44C1-BEC7-D8C15280E136}"/>
    <cellStyle name="Millares 5 5 4 3" xfId="10158" xr:uid="{F337B385-2F4C-49C4-A1AE-B538A7D47F2A}"/>
    <cellStyle name="Millares 5 5 4 3 2" xfId="45318" xr:uid="{20AE6CE5-5CEE-4808-BA7E-03D886929A2B}"/>
    <cellStyle name="Millares 5 5 4 4" xfId="12998" xr:uid="{8AFA6C31-4AAA-49AD-AC48-630DBABB2D78}"/>
    <cellStyle name="Millares 5 5 4 5" xfId="16341" xr:uid="{3A4952A4-1DB0-4A99-82FE-4DDCB7509A66}"/>
    <cellStyle name="Millares 5 5 4 6" xfId="16884" xr:uid="{AD6448B6-BA8D-4D24-8560-CF20A22B42B9}"/>
    <cellStyle name="Millares 5 5 4 7" xfId="17428" xr:uid="{A7C8600B-8738-4A7D-91EC-3559977037FA}"/>
    <cellStyle name="Millares 5 5 4 8" xfId="26081" xr:uid="{2CE22064-7B5F-41F9-B143-1C611C7E3E48}"/>
    <cellStyle name="Millares 5 5 4 9" xfId="18231" xr:uid="{8784D2E4-4B69-4E29-9BD9-C2CCF774AB29}"/>
    <cellStyle name="Millares 5 5 5" xfId="2013" xr:uid="{60FBCCA7-39C0-4767-880C-B0405ADD5F90}"/>
    <cellStyle name="Millares 5 5 5 2" xfId="10284" xr:uid="{5FD44B61-2A20-40E8-8A58-A17F024C99F7}"/>
    <cellStyle name="Millares 5 5 5 2 2" xfId="45444" xr:uid="{5F0BF4A4-7C87-49DA-BF85-B0D91E830E20}"/>
    <cellStyle name="Millares 5 5 5 3" xfId="13124" xr:uid="{1BB139A8-2217-48B3-A257-412C9F06D7AD}"/>
    <cellStyle name="Millares 5 5 5 4" xfId="31956" xr:uid="{E26337DF-425E-4402-A869-BAB80CE01C38}"/>
    <cellStyle name="Millares 5 5 5 5" xfId="43048" xr:uid="{96A030F2-4B17-4D4D-A1E8-084B08635156}"/>
    <cellStyle name="Millares 5 5 5 6" xfId="47941" xr:uid="{8E62B92F-2209-4C81-9581-AC2FF13A1AB2}"/>
    <cellStyle name="Millares 5 5 6" xfId="2431" xr:uid="{111D545B-9AD0-4832-A1CA-D825BFEB9666}"/>
    <cellStyle name="Millares 5 5 6 2" xfId="10702" xr:uid="{8DB25DEF-1321-4AEE-A561-112DC9EF3F8C}"/>
    <cellStyle name="Millares 5 5 6 2 2" xfId="45862" xr:uid="{66110C7C-D87A-460B-B1CF-30CC7819FCAF}"/>
    <cellStyle name="Millares 5 5 6 3" xfId="13542" xr:uid="{9120EC02-D82D-4BA5-8465-F39FA6E59520}"/>
    <cellStyle name="Millares 5 5 6 4" xfId="37822" xr:uid="{9A7B6D61-16A1-410E-84CA-70215D266F9D}"/>
    <cellStyle name="Millares 5 5 6 5" xfId="43466" xr:uid="{D0F0342B-E0FF-4534-B44C-FC35AA35F2BB}"/>
    <cellStyle name="Millares 5 5 6 6" xfId="48359" xr:uid="{9FDB9683-B4E7-406C-937D-F2421E9B3142}"/>
    <cellStyle name="Millares 5 5 7" xfId="2975" xr:uid="{61BDE055-590D-4812-8093-D7C5E8FF01B2}"/>
    <cellStyle name="Millares 5 5 7 2" xfId="11246" xr:uid="{58399A98-8769-4824-9760-D4F0649C4D2C}"/>
    <cellStyle name="Millares 5 5 7 2 2" xfId="46406" xr:uid="{6F9439F7-0A81-4E36-AF5E-F5CFF5E98520}"/>
    <cellStyle name="Millares 5 5 7 3" xfId="14086" xr:uid="{784FC360-137D-4B4F-BA85-37B0828CE08F}"/>
    <cellStyle name="Millares 5 5 7 4" xfId="44010" xr:uid="{335BFF56-CBF5-4563-A545-E53300314472}"/>
    <cellStyle name="Millares 5 5 7 5" xfId="48903" xr:uid="{F288C229-87AA-4FC1-A466-581537F946D6}"/>
    <cellStyle name="Millares 5 5 8" xfId="3477" xr:uid="{D94332FE-412D-45D0-85A2-AEB356D97624}"/>
    <cellStyle name="Millares 5 5 8 2" xfId="11718" xr:uid="{58795E09-94DE-4F23-BC3F-48F1A05016A4}"/>
    <cellStyle name="Millares 5 5 8 3" xfId="14558" xr:uid="{10EB15F0-BBA8-4351-8CB7-6095DEFA8BB9}"/>
    <cellStyle name="Millares 5 5 8 4" xfId="44482" xr:uid="{F1EBDFE8-3AAC-4613-9B87-77DF26299803}"/>
    <cellStyle name="Millares 5 5 8 5" xfId="49375" xr:uid="{C54FC69D-A74F-4025-A1CF-A92A6B83A95D}"/>
    <cellStyle name="Millares 5 5 9" xfId="5830" xr:uid="{2F22A08C-24E7-479E-A916-B033FD87267A}"/>
    <cellStyle name="Millares 5 5 9 2" xfId="44900" xr:uid="{C6432174-40A8-4656-8FE4-5E1C485E0DD0}"/>
    <cellStyle name="Millares 5 6" xfId="1904" xr:uid="{00000000-0005-0000-0000-000073020000}"/>
    <cellStyle name="Millares 5 6 2" xfId="6716" xr:uid="{A05497F2-450C-42A9-AFC1-70FF1E66D333}"/>
    <cellStyle name="Millares 5 6 3" xfId="26955" xr:uid="{097F4516-1CB5-4230-918C-15593403CEEE}"/>
    <cellStyle name="Millares 5 6 4" xfId="32831" xr:uid="{57E4EC3D-D212-4FEF-A17E-4C449EEF047E}"/>
    <cellStyle name="Millares 5 6 5" xfId="38695" xr:uid="{35C98002-A526-4773-9157-668CB818306C}"/>
    <cellStyle name="Millares 5 7" xfId="3386" xr:uid="{26B1F541-FA02-4DDE-91D4-BF6DF7E36707}"/>
    <cellStyle name="Millares 5 7 2" xfId="11632" xr:uid="{3E6BF932-2ACC-4C95-BBBC-0AA0F71BFDA0}"/>
    <cellStyle name="Millares 5 7 2 2" xfId="46792" xr:uid="{C8943701-1500-4B2B-9EB3-4A685DA1CDE5}"/>
    <cellStyle name="Millares 5 7 3" xfId="14472" xr:uid="{B4F7B82B-DA2D-44E7-8054-79219E4A9CF1}"/>
    <cellStyle name="Millares 5 7 4" xfId="18378" xr:uid="{FE042B43-A26D-4582-B1AC-EE36EBDBB6AC}"/>
    <cellStyle name="Millares 5 7 5" xfId="44396" xr:uid="{4DD0CAC4-9345-485B-AB68-69F80F256B46}"/>
    <cellStyle name="Millares 5 7 6" xfId="49289" xr:uid="{40A0D9CA-8CB6-42B2-B362-944B59D78100}"/>
    <cellStyle name="Millares 5 8" xfId="9668" xr:uid="{D06122D9-726D-41CC-9134-2CDE71E1C7D6}"/>
    <cellStyle name="Millares 5 8 2" xfId="12508" xr:uid="{864CA9D1-B2C3-439C-8CC0-FF91A47B935A}"/>
    <cellStyle name="Millares 5 8 3" xfId="15349" xr:uid="{D3CF9E38-4270-4E79-B340-24CD510902C8}"/>
    <cellStyle name="Millares 5 8 4" xfId="24087" xr:uid="{EC8D6D62-3A09-4983-B94C-8E5963A8E080}"/>
    <cellStyle name="Millares 5 8 5" xfId="46949" xr:uid="{AE1EB952-D490-4DC6-AF49-83D13A6DC67D}"/>
    <cellStyle name="Millares 5 8 6" xfId="47069" xr:uid="{5C15CC0C-0174-4588-A95C-211D54708E1F}"/>
    <cellStyle name="Millares 5 8 7" xfId="50165" xr:uid="{2828C5D3-D4F0-41FD-A1DA-404E9B274B00}"/>
    <cellStyle name="Millares 5 9" xfId="29965" xr:uid="{7A9A40C7-D55E-408D-A889-C8D66A0F59AC}"/>
    <cellStyle name="Millares 5 9 2" xfId="46950" xr:uid="{187C38BB-2D03-44B3-9749-776D2D6AF643}"/>
    <cellStyle name="Millares 5 9 3" xfId="47023" xr:uid="{CA8A8126-216E-42F5-8D4B-0C8C3ACCD1E2}"/>
    <cellStyle name="Millares 50" xfId="3392" xr:uid="{1C4D42C2-511C-4AB8-8D8A-70CCD7C307F6}"/>
    <cellStyle name="Millares 50 10" xfId="44402" xr:uid="{61A63369-7DC7-454F-B801-9D6BC4E79959}"/>
    <cellStyle name="Millares 50 11" xfId="49295" xr:uid="{CB9F605E-4F8A-4997-B1C8-2DF6C9CC40EC}"/>
    <cellStyle name="Millares 50 2" xfId="4765" xr:uid="{BC41553F-06EF-48CE-95DF-B052B22785C0}"/>
    <cellStyle name="Millares 50 2 2" xfId="5733" xr:uid="{E3E7AABA-57B8-4150-8DBB-381A7FD8F02B}"/>
    <cellStyle name="Millares 50 2 2 2" xfId="8601" xr:uid="{6BC7B422-BB61-4D6F-BBF8-0317E3C3CFF3}"/>
    <cellStyle name="Millares 50 2 2 2 2" xfId="22972" xr:uid="{D8F980B4-F1F6-4269-8887-A9BD18AEA360}"/>
    <cellStyle name="Millares 50 2 2 2 3" xfId="28834" xr:uid="{EA3C0B8E-6489-4D78-9724-A67CAF4ED1DF}"/>
    <cellStyle name="Millares 50 2 2 2 4" xfId="34716" xr:uid="{F3EC111B-5FC9-4714-92CE-3B945ADAD814}"/>
    <cellStyle name="Millares 50 2 2 2 5" xfId="40580" xr:uid="{E3F7FE21-17EE-469F-8B0E-E9ACA8D48A95}"/>
    <cellStyle name="Millares 50 2 2 3" xfId="20190" xr:uid="{BAB590EF-9A5E-4672-9552-2A8EC53F7254}"/>
    <cellStyle name="Millares 50 2 2 4" xfId="25984" xr:uid="{159B50AB-58FA-4ECC-A119-3A9A297CBC73}"/>
    <cellStyle name="Millares 50 2 2 5" xfId="31859" xr:uid="{48AF634E-247F-4B63-BDBE-9CA1271C42D4}"/>
    <cellStyle name="Millares 50 2 2 6" xfId="37725" xr:uid="{9BCE9C9A-6579-48EC-B325-CB76359094CF}"/>
    <cellStyle name="Millares 50 2 3" xfId="7629" xr:uid="{BAD51312-C637-4FA7-937F-87270ECAAC2F}"/>
    <cellStyle name="Millares 50 2 3 2" xfId="22022" xr:uid="{A85F36DA-CA0A-4A1A-AA38-491BAF27C899}"/>
    <cellStyle name="Millares 50 2 3 3" xfId="27863" xr:uid="{2A8ED59B-B78A-4D99-9CC6-8B181AA6A0F1}"/>
    <cellStyle name="Millares 50 2 3 4" xfId="33745" xr:uid="{FCA2A1BD-0618-4772-850C-D0CC4D20068A}"/>
    <cellStyle name="Millares 50 2 3 5" xfId="39609" xr:uid="{DFC9CC8D-ED8D-46B9-AC6D-968A7828A646}"/>
    <cellStyle name="Millares 50 2 4" xfId="19250" xr:uid="{F2D4CEE6-A325-4F0F-B276-FFF65BCF6A93}"/>
    <cellStyle name="Millares 50 2 5" xfId="25014" xr:uid="{EFE02E70-EC73-460E-9B37-AABBD4A48FBC}"/>
    <cellStyle name="Millares 50 2 6" xfId="30888" xr:uid="{39F6D791-29FE-4BD8-8648-2F01D4A0D59B}"/>
    <cellStyle name="Millares 50 2 7" xfId="36768" xr:uid="{5FA29593-2C7C-4860-B8AF-EB8FE0B971B6}"/>
    <cellStyle name="Millares 50 2 8" xfId="46798" xr:uid="{B86DD883-2237-4E53-BA1B-4938B3F90567}"/>
    <cellStyle name="Millares 50 3" xfId="5249" xr:uid="{D22FEB9B-24C5-4ED6-9E0B-948967E2ABF7}"/>
    <cellStyle name="Millares 50 3 2" xfId="8116" xr:uid="{7DB9AA73-C15E-4DA2-AD32-7E8B9236BF53}"/>
    <cellStyle name="Millares 50 3 2 2" xfId="22493" xr:uid="{B20D1757-71D4-40D8-B368-3EEF2A5F1BDC}"/>
    <cellStyle name="Millares 50 3 2 3" xfId="28349" xr:uid="{D32946DD-4373-4896-8BB7-C0BF47D8A774}"/>
    <cellStyle name="Millares 50 3 2 4" xfId="34231" xr:uid="{0FB0BA30-21E7-4BCD-9331-6B82C500FA2D}"/>
    <cellStyle name="Millares 50 3 2 5" xfId="40095" xr:uid="{CB4C69F7-2E5B-4701-98E1-F2B6768A2188}"/>
    <cellStyle name="Millares 50 3 3" xfId="19719" xr:uid="{50ADC9BB-A622-47E3-9D0F-74454453752C}"/>
    <cellStyle name="Millares 50 3 4" xfId="25500" xr:uid="{4B1B649B-4504-4973-925D-300CD648DD53}"/>
    <cellStyle name="Millares 50 3 5" xfId="31374" xr:uid="{BF1A3B60-7DD4-49DA-8C25-8E67EE905F50}"/>
    <cellStyle name="Millares 50 3 6" xfId="37246" xr:uid="{38BC0A2E-989F-45FF-B04C-08465EC45364}"/>
    <cellStyle name="Millares 50 3 7" xfId="47193" xr:uid="{5B9AF662-087E-4D97-A5A0-1026AA2F27B2}"/>
    <cellStyle name="Millares 50 4" xfId="7144" xr:uid="{0A94D7BA-0746-46FB-BDAF-71A0600C5FA0}"/>
    <cellStyle name="Millares 50 4 2" xfId="21555" xr:uid="{93E2065A-6E5C-4662-92BB-3F679EA583B1}"/>
    <cellStyle name="Millares 50 4 3" xfId="27378" xr:uid="{A7837069-E42E-41A1-A142-6BA5C97E48E3}"/>
    <cellStyle name="Millares 50 4 4" xfId="33260" xr:uid="{08B8D1BF-02AC-45CD-967F-780D1D9052C7}"/>
    <cellStyle name="Millares 50 4 5" xfId="39124" xr:uid="{6B4863C6-3A6D-42BD-987B-4BC38DE16C60}"/>
    <cellStyle name="Millares 50 5" xfId="4283" xr:uid="{DFD59050-2AEC-4085-8F0B-25B132F9839F}"/>
    <cellStyle name="Millares 50 6" xfId="11638" xr:uid="{9279DBD1-2780-4823-856C-1EDAD10404EC}"/>
    <cellStyle name="Millares 50 6 2" xfId="24529" xr:uid="{226B6B5C-44C6-4480-9D05-3DF08282FD89}"/>
    <cellStyle name="Millares 50 7" xfId="14478" xr:uid="{04D16702-84E3-4F75-B535-DCC5FEC53277}"/>
    <cellStyle name="Millares 50 7 2" xfId="30408" xr:uid="{B57CF167-4E2F-4887-BC26-D7826869613A}"/>
    <cellStyle name="Millares 50 8" xfId="36289" xr:uid="{5CF1DA1B-07A0-47E5-AC61-A74FB267E238}"/>
    <cellStyle name="Millares 50 9" xfId="42328" xr:uid="{5297DC94-2392-4B13-822F-B1B62206782F}"/>
    <cellStyle name="Millares 51" xfId="3332" xr:uid="{6626D842-E353-4927-81DC-ACA1B5D43DC4}"/>
    <cellStyle name="Millares 51 2" xfId="7658" xr:uid="{FE3B8FBE-0C9E-4491-9C8E-6ADC86FB086F}"/>
    <cellStyle name="Millares 51 2 2" xfId="46760" xr:uid="{A4FEF17D-86AF-4EE2-B277-8A9B7C8128EF}"/>
    <cellStyle name="Millares 51 3" xfId="4795" xr:uid="{C8F3F44D-1FCE-43F9-B712-3127543CA220}"/>
    <cellStyle name="Millares 51 3 2" xfId="47185" xr:uid="{A69012CD-2A2A-4437-911A-E35720B32557}"/>
    <cellStyle name="Millares 51 4" xfId="11600" xr:uid="{50949EE2-687C-40D9-898F-13DBB31B5E14}"/>
    <cellStyle name="Millares 51 5" xfId="14440" xr:uid="{B49A6AD9-7BE2-43F7-BD89-BA5A2B7C37EC}"/>
    <cellStyle name="Millares 51 6" xfId="42329" xr:uid="{C4953016-8637-431B-931F-615E8FF07714}"/>
    <cellStyle name="Millares 51 7" xfId="44364" xr:uid="{4506024F-D136-43B4-B075-B8DC4EB9BE02}"/>
    <cellStyle name="Millares 51 8" xfId="49257" xr:uid="{EFE1F048-3981-48E6-A17E-1F30319D2855}"/>
    <cellStyle name="Millares 52" xfId="3341" xr:uid="{E9D9F1D0-687C-43EE-B8B5-17248FEE1E03}"/>
    <cellStyle name="Millares 52 2" xfId="8670" xr:uid="{61B3F75B-7297-4707-ADAD-BC2A68F740DC}"/>
    <cellStyle name="Millares 52 2 2" xfId="46766" xr:uid="{20F4F207-6E7E-4CFA-8BA2-D270C6DFA88F}"/>
    <cellStyle name="Millares 52 3" xfId="5801" xr:uid="{42826438-E04E-4858-8DB2-310705AE3910}"/>
    <cellStyle name="Millares 52 3 2" xfId="47191" xr:uid="{5B0F716C-24F6-4CF4-8531-9653CE2F113C}"/>
    <cellStyle name="Millares 52 4" xfId="11606" xr:uid="{B5E7D600-E7B2-4C38-B171-6EF0C82EEEFC}"/>
    <cellStyle name="Millares 52 5" xfId="14446" xr:uid="{F0490562-CE4C-4252-B4E5-C351456F6249}"/>
    <cellStyle name="Millares 52 6" xfId="42330" xr:uid="{2CFD7B28-7A95-4818-A713-F74ABD5F9380}"/>
    <cellStyle name="Millares 52 7" xfId="44370" xr:uid="{D4339669-BE45-4FA4-BACE-015E91F404CA}"/>
    <cellStyle name="Millares 52 8" xfId="49263" xr:uid="{8D3E2093-1D70-4211-9B07-0C3653D01A38}"/>
    <cellStyle name="Millares 53" xfId="3334" xr:uid="{150D5174-C296-417E-B56B-AF491844E9A8}"/>
    <cellStyle name="Millares 53 2" xfId="8841" xr:uid="{3DC58CC0-F0C2-4BFF-BC7D-853C9B82FB2A}"/>
    <cellStyle name="Millares 53 2 2" xfId="46762" xr:uid="{0938CDA7-156D-46B9-ADA8-9B643710E527}"/>
    <cellStyle name="Millares 53 3" xfId="5972" xr:uid="{3C1E7A05-FEEC-426A-83FE-03C4E0C48BE0}"/>
    <cellStyle name="Millares 53 3 2" xfId="47187" xr:uid="{09C18A45-F3F0-471E-8D8D-785A288603F1}"/>
    <cellStyle name="Millares 53 4" xfId="11602" xr:uid="{CBF99F53-D0EB-4CE3-B36E-B6D9369C3ADF}"/>
    <cellStyle name="Millares 53 5" xfId="14442" xr:uid="{F03C0B29-D65A-44AA-B5BE-61611B919197}"/>
    <cellStyle name="Millares 53 6" xfId="42331" xr:uid="{CB5DAF10-9FAA-465E-9FA9-CEAC0E760AA4}"/>
    <cellStyle name="Millares 53 7" xfId="44366" xr:uid="{95257B7B-FD61-4100-A048-BEBC04E5B9C1}"/>
    <cellStyle name="Millares 53 8" xfId="49259" xr:uid="{0F739531-50BF-4F98-A353-59C94A8E10AF}"/>
    <cellStyle name="Millares 54" xfId="3336" xr:uid="{5301AB23-2726-40B6-B70C-28C4C914DA07}"/>
    <cellStyle name="Millares 54 2" xfId="9085" xr:uid="{C5AA5FB0-3599-47F6-9B30-7098166E340D}"/>
    <cellStyle name="Millares 54 2 2" xfId="23449" xr:uid="{A7AB38F5-2D7B-4F48-9E58-603F738DA0BD}"/>
    <cellStyle name="Millares 54 2 3" xfId="29316" xr:uid="{1A0D85E1-CDD3-4D5F-9F46-C3EB69898C8D}"/>
    <cellStyle name="Millares 54 2 4" xfId="35198" xr:uid="{10C6CC15-47B2-4475-9FAE-3134A4CAA9EC}"/>
    <cellStyle name="Millares 54 2 5" xfId="41059" xr:uid="{DB864BD9-3C8A-4C89-B769-16330BBE04BB}"/>
    <cellStyle name="Millares 54 2 6" xfId="42332" xr:uid="{B9DA63A3-A7BE-4662-9FC5-7F39BDC5D819}"/>
    <cellStyle name="Millares 54 2 7" xfId="46763" xr:uid="{0B26C009-24E0-4115-97ED-D5233EC9E6A6}"/>
    <cellStyle name="Millares 54 3" xfId="6216" xr:uid="{43045367-15CA-443E-8DFB-51394FDAA64F}"/>
    <cellStyle name="Millares 54 3 2" xfId="47188" xr:uid="{A6E45A89-585D-4A0B-9F74-2BEC97BE1749}"/>
    <cellStyle name="Millares 54 4" xfId="11603" xr:uid="{F93BA5B3-662C-4944-970C-2001EE042526}"/>
    <cellStyle name="Millares 54 4 2" xfId="26466" xr:uid="{AE141425-D69D-49B5-96E0-342EC5325CF4}"/>
    <cellStyle name="Millares 54 5" xfId="14443" xr:uid="{0C949E10-B6E4-46C2-9D76-08864796348B}"/>
    <cellStyle name="Millares 54 5 2" xfId="32341" xr:uid="{42EDD4AF-8B70-4BD7-B17C-4175D4122BFA}"/>
    <cellStyle name="Millares 54 6" xfId="38206" xr:uid="{EE6B2C40-97DC-420D-B8A8-424DDE248B88}"/>
    <cellStyle name="Millares 54 7" xfId="42333" xr:uid="{A4CEC672-7404-4C98-AE7A-8EACE95AC634}"/>
    <cellStyle name="Millares 54 8" xfId="44367" xr:uid="{084171D4-3771-47D4-82AA-B12F096799E2}"/>
    <cellStyle name="Millares 54 9" xfId="49260" xr:uid="{1D520D90-24A1-4828-9076-96780525E768}"/>
    <cellStyle name="Millares 55" xfId="3326" xr:uid="{7297458E-376B-458D-9A06-0F0F4F11A829}"/>
    <cellStyle name="Millares 55 2" xfId="9099" xr:uid="{5500FB67-C34B-4028-B428-7A3116C0BE2D}"/>
    <cellStyle name="Millares 55 2 2" xfId="23463" xr:uid="{4F9BD0FF-72BD-4508-88C0-D6F681825A17}"/>
    <cellStyle name="Millares 55 2 3" xfId="29330" xr:uid="{5E327E6C-D180-4A4C-AACD-996DF10B570D}"/>
    <cellStyle name="Millares 55 2 4" xfId="35212" xr:uid="{F969C28C-0A02-4CB0-8D7E-06B57741B455}"/>
    <cellStyle name="Millares 55 2 5" xfId="41073" xr:uid="{2C050730-89A7-4BF2-810E-5A8430F2DE7B}"/>
    <cellStyle name="Millares 55 2 6" xfId="46756" xr:uid="{DF59EF48-EB9A-414A-A9B2-AFF24582BAE2}"/>
    <cellStyle name="Millares 55 3" xfId="6230" xr:uid="{72549BE1-FA1A-45D8-946A-B6F4603FBAD1}"/>
    <cellStyle name="Millares 55 3 2" xfId="47183" xr:uid="{74E74114-77E0-4F78-8534-03398C2EB9A3}"/>
    <cellStyle name="Millares 55 4" xfId="11596" xr:uid="{EBF565D8-64CC-4524-ACA8-406BD7D1AED5}"/>
    <cellStyle name="Millares 55 4 2" xfId="26480" xr:uid="{0C71C185-42D9-4EAB-ACB5-262E0094A955}"/>
    <cellStyle name="Millares 55 5" xfId="14436" xr:uid="{0BD0C385-9C64-48D9-BFF7-4C2506C98FE0}"/>
    <cellStyle name="Millares 55 5 2" xfId="32355" xr:uid="{3F346A02-04C4-4E89-B01C-D36848F6BB29}"/>
    <cellStyle name="Millares 55 6" xfId="38220" xr:uid="{AE169E48-A64F-43E8-B734-61031C65564B}"/>
    <cellStyle name="Millares 55 7" xfId="42334" xr:uid="{3DE46846-B76E-424E-9C58-2E7CBD569E89}"/>
    <cellStyle name="Millares 55 8" xfId="44360" xr:uid="{F4CF888E-2E25-46F7-8240-7195603CF659}"/>
    <cellStyle name="Millares 55 9" xfId="49253" xr:uid="{0998D733-E815-4339-BBC4-78A1C0A867D0}"/>
    <cellStyle name="Millares 56" xfId="3337" xr:uid="{C668DBF6-61E9-4098-87A2-5504E3674C84}"/>
    <cellStyle name="Millares 56 2" xfId="9098" xr:uid="{F973E81C-4F93-4D0C-BE72-5C337A952DDD}"/>
    <cellStyle name="Millares 56 2 2" xfId="23462" xr:uid="{65567202-E425-43B8-B925-73C8A1F0B143}"/>
    <cellStyle name="Millares 56 2 3" xfId="29329" xr:uid="{72E93910-5F06-462B-B9C5-CACF170CAD14}"/>
    <cellStyle name="Millares 56 2 4" xfId="35211" xr:uid="{B14E6D47-9FEF-4FD4-8BEB-799D5FCE98CB}"/>
    <cellStyle name="Millares 56 2 5" xfId="41072" xr:uid="{B8A8EEE1-25C7-4E05-9E82-9BD800D02772}"/>
    <cellStyle name="Millares 56 2 6" xfId="46764" xr:uid="{999A60BC-A340-475C-8642-4A4691E4DDB2}"/>
    <cellStyle name="Millares 56 3" xfId="6229" xr:uid="{56A79B49-7E8E-4E5F-B2D4-B532D1F26B51}"/>
    <cellStyle name="Millares 56 3 2" xfId="47189" xr:uid="{E3C96775-225C-4372-9C78-5FFD1C1F22ED}"/>
    <cellStyle name="Millares 56 4" xfId="11604" xr:uid="{D49EEEF2-8F7E-4012-9E7F-1B8CBFEF4396}"/>
    <cellStyle name="Millares 56 4 2" xfId="26479" xr:uid="{4F39A31A-D454-4752-8E26-36198083B4B0}"/>
    <cellStyle name="Millares 56 5" xfId="14444" xr:uid="{FE81D72F-DED6-4087-B0EC-CFB4672F8CCF}"/>
    <cellStyle name="Millares 56 5 2" xfId="32354" xr:uid="{2AB9B8AF-0627-4437-B1B5-5AB4EB7BB7BF}"/>
    <cellStyle name="Millares 56 6" xfId="38219" xr:uid="{741DE1A3-4E3B-4C8B-A975-C5ADF9A28DD0}"/>
    <cellStyle name="Millares 56 7" xfId="42335" xr:uid="{257FB1AE-1630-4F5D-AD96-9B4A1B33088A}"/>
    <cellStyle name="Millares 56 8" xfId="44368" xr:uid="{4710AFED-F5AB-4F4F-9093-4AD73BF6EEDC}"/>
    <cellStyle name="Millares 56 9" xfId="49261" xr:uid="{78A4C15F-0371-4BA2-888D-C456FDC150B5}"/>
    <cellStyle name="Millares 57" xfId="3333" xr:uid="{D9C1E994-F9EE-4790-8497-A68B1B64D5E9}"/>
    <cellStyle name="Millares 57 2" xfId="9097" xr:uid="{3BF311A3-9178-4E11-847A-705EC4C370E5}"/>
    <cellStyle name="Millares 57 2 2" xfId="23461" xr:uid="{BA8BC6B4-2982-46A3-841E-EC7861BD1AB1}"/>
    <cellStyle name="Millares 57 2 3" xfId="29328" xr:uid="{4AEC7750-F52C-4BC3-8F88-5F202C5318E3}"/>
    <cellStyle name="Millares 57 2 4" xfId="35210" xr:uid="{9AF34F36-6FE5-478F-8536-90E3E4ED303F}"/>
    <cellStyle name="Millares 57 2 5" xfId="41071" xr:uid="{3A80928E-5FC0-4E54-8E10-D654D3E6C576}"/>
    <cellStyle name="Millares 57 2 6" xfId="46761" xr:uid="{2B9C9435-2319-4F58-ABB3-C1E23F605F72}"/>
    <cellStyle name="Millares 57 3" xfId="6228" xr:uid="{89031F35-DEF2-4AA6-ACE4-F2337903710D}"/>
    <cellStyle name="Millares 57 3 2" xfId="47186" xr:uid="{0F66AD43-047C-42A3-B48C-05FECEFC6903}"/>
    <cellStyle name="Millares 57 4" xfId="11601" xr:uid="{4E79FE51-2392-4C94-BA28-4578EC91F3F7}"/>
    <cellStyle name="Millares 57 4 2" xfId="26478" xr:uid="{7E79A86B-4E05-4896-825E-93918F80E9BB}"/>
    <cellStyle name="Millares 57 5" xfId="14441" xr:uid="{EF36430F-2D8C-4E32-8B78-8826F28EE37B}"/>
    <cellStyle name="Millares 57 5 2" xfId="32353" xr:uid="{23674811-3CC4-4AAE-AA0C-AB84707B9D58}"/>
    <cellStyle name="Millares 57 6" xfId="38218" xr:uid="{E805E9F0-BB93-470B-9182-9233C05F5926}"/>
    <cellStyle name="Millares 57 7" xfId="42336" xr:uid="{D382F79B-0429-4500-B9CF-B84D83379B26}"/>
    <cellStyle name="Millares 57 8" xfId="44365" xr:uid="{7784070C-4332-4CEB-9E02-0FF4B006EF0C}"/>
    <cellStyle name="Millares 57 9" xfId="49258" xr:uid="{4D684059-BA06-4E4D-90EA-3C4DCBDA25E4}"/>
    <cellStyle name="Millares 58" xfId="3338" xr:uid="{96F675E7-76F6-4484-BB70-879B62164158}"/>
    <cellStyle name="Millares 58 2" xfId="9084" xr:uid="{B4DC663C-821F-4AC7-8F2C-9F379003D522}"/>
    <cellStyle name="Millares 58 2 2" xfId="23448" xr:uid="{24FAE63C-1B99-477C-9DDB-C3DD75543C87}"/>
    <cellStyle name="Millares 58 2 3" xfId="29315" xr:uid="{D1F03CDB-1DE8-4F3F-8597-5A655495A867}"/>
    <cellStyle name="Millares 58 2 4" xfId="35197" xr:uid="{157A4D55-A36E-4386-B341-02D53BBD5ECD}"/>
    <cellStyle name="Millares 58 2 5" xfId="41058" xr:uid="{8F2A3868-3B4C-4E89-B33F-D144565D2A1F}"/>
    <cellStyle name="Millares 58 2 6" xfId="46765" xr:uid="{7854FE9F-E258-4E0E-9852-E641C4376FB7}"/>
    <cellStyle name="Millares 58 3" xfId="6215" xr:uid="{99741799-C0BA-4E55-ABC7-F4B1ABF994CC}"/>
    <cellStyle name="Millares 58 3 2" xfId="47190" xr:uid="{0B172141-215C-482B-A259-835000360310}"/>
    <cellStyle name="Millares 58 4" xfId="11605" xr:uid="{E112AA58-4ED2-4059-BF78-212FCFB219A2}"/>
    <cellStyle name="Millares 58 4 2" xfId="26465" xr:uid="{B41AB514-FD18-4357-BED1-FF29A29BCF96}"/>
    <cellStyle name="Millares 58 5" xfId="14445" xr:uid="{F0641E14-1075-4728-8E9B-FCDF20DECC26}"/>
    <cellStyle name="Millares 58 5 2" xfId="32340" xr:uid="{E71B069A-F63F-460C-956F-67ACBA88EB9E}"/>
    <cellStyle name="Millares 58 6" xfId="38205" xr:uid="{BA3C68D5-B2A8-40F4-A689-9A8E188747A2}"/>
    <cellStyle name="Millares 58 7" xfId="42337" xr:uid="{5DEA0B85-2E17-40A2-9991-C174A43A16C1}"/>
    <cellStyle name="Millares 58 8" xfId="44369" xr:uid="{E66F9537-F83A-4978-96E4-8CE6F2A15AB5}"/>
    <cellStyle name="Millares 58 9" xfId="49262" xr:uid="{B5B7DED7-312E-4D21-B9CB-7C3FB5CD9759}"/>
    <cellStyle name="Millares 59" xfId="3403" xr:uid="{02BE9D72-A526-4A70-9478-EC21213A1045}"/>
    <cellStyle name="Millares 59 2" xfId="9100" xr:uid="{172EF180-BF75-43E1-9E47-45B443DDE20A}"/>
    <cellStyle name="Millares 59 2 2" xfId="23464" xr:uid="{FF4E9644-E551-41AA-B2DE-93C7C91ADC9A}"/>
    <cellStyle name="Millares 59 2 3" xfId="29331" xr:uid="{CDF00F6F-DA0E-412B-9AAE-CCB04646455A}"/>
    <cellStyle name="Millares 59 2 4" xfId="35213" xr:uid="{9922C2BC-780A-425A-A76D-BD0EF56EC32E}"/>
    <cellStyle name="Millares 59 2 5" xfId="41074" xr:uid="{1E823DD9-20A0-4EC0-82FE-178C692D861A}"/>
    <cellStyle name="Millares 59 2 6" xfId="46804" xr:uid="{427FC1E6-6EA1-4B99-BD3A-D2E6F19F21CF}"/>
    <cellStyle name="Millares 59 3" xfId="6231" xr:uid="{E0C52396-82B1-4AF4-AEEF-209A11DAC963}"/>
    <cellStyle name="Millares 59 3 2" xfId="47195" xr:uid="{7FD4573F-7FE1-4D70-882C-58D9F3B982AD}"/>
    <cellStyle name="Millares 59 4" xfId="11644" xr:uid="{2FC1573B-55FE-4AD4-8294-55F25DFB6AD1}"/>
    <cellStyle name="Millares 59 4 2" xfId="26481" xr:uid="{870D19DD-11D0-4B42-AD8C-F6D9BABCF3B5}"/>
    <cellStyle name="Millares 59 5" xfId="14484" xr:uid="{5C13EA65-B5D1-498A-8F48-AEA8B90AEA28}"/>
    <cellStyle name="Millares 59 5 2" xfId="32356" xr:uid="{880F5200-1AE8-445E-BFDC-CC1CE30B29D0}"/>
    <cellStyle name="Millares 59 6" xfId="38221" xr:uid="{8D30C49E-F810-4D11-AEAD-B3C1E41B466C}"/>
    <cellStyle name="Millares 59 7" xfId="42338" xr:uid="{1C45DA3E-83F2-492B-8C54-FEFC91965927}"/>
    <cellStyle name="Millares 59 8" xfId="44408" xr:uid="{CE5BE44D-2F40-40D1-A465-331668882AC8}"/>
    <cellStyle name="Millares 59 9" xfId="49301" xr:uid="{D8BF17B7-D6F3-483F-8461-C1988E9E2489}"/>
    <cellStyle name="Millares 6" xfId="60" xr:uid="{00000000-0005-0000-0000-000074020000}"/>
    <cellStyle name="Millares 6 10" xfId="35844" xr:uid="{DC13B7E9-81DE-4E39-BE9E-2A80BAC6C6C6}"/>
    <cellStyle name="Millares 6 10 2" xfId="46951" xr:uid="{7C5FE9B3-05E5-410A-8B26-104A1C5EE09D}"/>
    <cellStyle name="Millares 6 10 3" xfId="47024" xr:uid="{F185FF9C-C77E-476C-8C50-81EB5E269934}"/>
    <cellStyle name="Millares 6 11" xfId="42120" xr:uid="{B6435EFB-1A73-485A-8B65-4E0E70F90650}"/>
    <cellStyle name="Millares 6 12" xfId="42339" xr:uid="{B6619F70-5F92-473E-B768-E281FF70CF97}"/>
    <cellStyle name="Millares 6 12 2" xfId="47107" xr:uid="{A9C66BBF-06F1-4357-86E3-DBD3F3161B55}"/>
    <cellStyle name="Millares 6 13" xfId="50206" xr:uid="{82B5B84C-75DF-4876-B2FE-70D1F0DEEA4F}"/>
    <cellStyle name="Millares 6 14" xfId="50280" xr:uid="{B9230D3F-08EA-4092-9385-B84264638808}"/>
    <cellStyle name="Millares 6 2" xfId="113" xr:uid="{00000000-0005-0000-0000-000075020000}"/>
    <cellStyle name="Millares 6 2 2" xfId="668" xr:uid="{00000000-0005-0000-0000-000076020000}"/>
    <cellStyle name="Millares 6 2 2 10" xfId="40959" xr:uid="{BEC080B0-0833-40BD-BF59-AF7A661E8EF9}"/>
    <cellStyle name="Millares 6 2 2 11" xfId="42962" xr:uid="{3C9E0BC4-8411-451D-B047-3A67E32F8A0F}"/>
    <cellStyle name="Millares 6 2 2 12" xfId="47855" xr:uid="{ADD3B040-6A44-44BB-87D0-7F02B9568401}"/>
    <cellStyle name="Millares 6 2 2 2" xfId="2889" xr:uid="{85742D1C-0AAD-4864-844F-F9CD52570B7D}"/>
    <cellStyle name="Millares 6 2 2 2 2" xfId="8366" xr:uid="{18A08438-A5AC-45F9-AC38-3F1C8430D822}"/>
    <cellStyle name="Millares 6 2 2 2 2 2" xfId="22741" xr:uid="{4D0E4907-9BB6-4169-A604-D0BF5F870125}"/>
    <cellStyle name="Millares 6 2 2 2 2 3" xfId="28599" xr:uid="{38E20B83-DA65-4910-891B-EE8312420860}"/>
    <cellStyle name="Millares 6 2 2 2 2 4" xfId="34481" xr:uid="{78B405FD-9095-4173-896B-837A95F7169F}"/>
    <cellStyle name="Millares 6 2 2 2 2 5" xfId="40345" xr:uid="{2EDC6E97-4586-4E2E-80CF-E9BEB0BC3B6F}"/>
    <cellStyle name="Millares 6 2 2 2 2 6" xfId="46320" xr:uid="{57B1FA4F-3E43-49FC-8085-826351700525}"/>
    <cellStyle name="Millares 6 2 2 2 3" xfId="5499" xr:uid="{34DD77E8-8327-401D-A749-E582143099BD}"/>
    <cellStyle name="Millares 6 2 2 2 3 2" xfId="47179" xr:uid="{30E88D8A-B967-4233-AFE7-5D5A76E7D0D7}"/>
    <cellStyle name="Millares 6 2 2 2 4" xfId="11160" xr:uid="{C59B6C13-97FD-40BA-916D-433A35D275F2}"/>
    <cellStyle name="Millares 6 2 2 2 4 2" xfId="25750" xr:uid="{54582024-72A2-4CE3-B38D-081CE9694629}"/>
    <cellStyle name="Millares 6 2 2 2 5" xfId="14000" xr:uid="{C398CDAD-1DD4-492B-B23E-CD88B958BEB8}"/>
    <cellStyle name="Millares 6 2 2 2 5 2" xfId="31624" xr:uid="{E16EC63A-CCB9-48B0-9A4F-A3DD9FC2FC48}"/>
    <cellStyle name="Millares 6 2 2 2 6" xfId="37494" xr:uid="{D5F0D451-176A-4832-884E-0C3BF43C7698}"/>
    <cellStyle name="Millares 6 2 2 2 7" xfId="43924" xr:uid="{33414A67-D441-4174-B502-79870BB036F0}"/>
    <cellStyle name="Millares 6 2 2 2 8" xfId="48817" xr:uid="{2F9F1BFB-D930-4B85-801D-FEF7EA434C62}"/>
    <cellStyle name="Millares 6 2 2 3" xfId="7394" xr:uid="{F9017B42-0096-44AB-9331-332036F71EC7}"/>
    <cellStyle name="Millares 6 2 2 3 2" xfId="21796" xr:uid="{D1F88E85-43E1-4905-B713-2701B6D5772F}"/>
    <cellStyle name="Millares 6 2 2 3 3" xfId="27628" xr:uid="{22454FB3-8895-47DF-A4F1-23D13B24A5B3}"/>
    <cellStyle name="Millares 6 2 2 3 4" xfId="33510" xr:uid="{704BE094-3CAD-4FE5-958D-C3A298B184B2}"/>
    <cellStyle name="Millares 6 2 2 3 5" xfId="39374" xr:uid="{44C1F65B-8900-419C-9DA5-21AFB08C31BA}"/>
    <cellStyle name="Millares 6 2 2 3 6" xfId="45358" xr:uid="{A2D8359E-D82E-46A7-8634-B09DDFE1C755}"/>
    <cellStyle name="Millares 6 2 2 4" xfId="4531" xr:uid="{9165554E-2F52-4A81-AB45-085BA852BAA8}"/>
    <cellStyle name="Millares 6 2 2 4 2" xfId="47157" xr:uid="{1E4C96E2-9AEE-4EE8-BB2C-335F7C62BF34}"/>
    <cellStyle name="Millares 6 2 2 5" xfId="10198" xr:uid="{86E8001D-FC2C-4884-BFDD-3B25CEB50F9E}"/>
    <cellStyle name="Millares 6 2 2 5 2" xfId="24779" xr:uid="{915E9D54-9170-4379-9881-0FF5D43523A6}"/>
    <cellStyle name="Millares 6 2 2 6" xfId="13038" xr:uid="{76E0910C-B8B1-49C7-82EC-E31AF6805D89}"/>
    <cellStyle name="Millares 6 2 2 6 2" xfId="30656" xr:uid="{BBFF2155-3800-4679-8602-8D8ABDEF054C}"/>
    <cellStyle name="Millares 6 2 2 7" xfId="16381" xr:uid="{FC9E488C-6EC9-47CB-9DF5-2293BB0BCA0A}"/>
    <cellStyle name="Millares 6 2 2 7 2" xfId="36537" xr:uid="{B6525E04-70B0-4F02-930F-FE2574BC61CD}"/>
    <cellStyle name="Millares 6 2 2 8" xfId="16924" xr:uid="{66292B34-215D-49A1-8017-3A1B01D62A1B}"/>
    <cellStyle name="Millares 6 2 2 9" xfId="17468" xr:uid="{71B845E0-5E76-4E62-8325-A6AA346EDC25}"/>
    <cellStyle name="Millares 6 2 3" xfId="5014" xr:uid="{F543382B-BAA4-4BEC-AFBE-92F42ECC8A30}"/>
    <cellStyle name="Millares 6 2 3 2" xfId="7881" xr:uid="{09A3E4EE-6F21-4BF6-A522-9819E2A543BD}"/>
    <cellStyle name="Millares 6 2 3 2 2" xfId="22266" xr:uid="{937F025C-D39E-4B49-B590-6AB276532BC5}"/>
    <cellStyle name="Millares 6 2 3 2 3" xfId="28114" xr:uid="{BE328C4B-E465-4B64-8249-586517025BCF}"/>
    <cellStyle name="Millares 6 2 3 2 4" xfId="33996" xr:uid="{05C215FD-1B68-41F7-BA2E-5E26A7CD14E2}"/>
    <cellStyle name="Millares 6 2 3 2 5" xfId="39860" xr:uid="{05234C28-FD1C-43E9-8F1E-B185AE8586FC}"/>
    <cellStyle name="Millares 6 2 3 3" xfId="19493" xr:uid="{DBA2EB6E-E048-4D99-AE91-1BAE4E127154}"/>
    <cellStyle name="Millares 6 2 3 4" xfId="25265" xr:uid="{626F4F01-46AB-4D87-A2C0-85838DF6073F}"/>
    <cellStyle name="Millares 6 2 3 5" xfId="31139" xr:uid="{3318F0EC-E954-464C-A168-AF56E78D1C0B}"/>
    <cellStyle name="Millares 6 2 3 6" xfId="37017" xr:uid="{9AA84B82-AE60-4EE4-B767-6D611F60D8B3}"/>
    <cellStyle name="Millares 6 2 3 7" xfId="46952" xr:uid="{B7683A85-147C-42D9-A075-2B824692DAAA}"/>
    <cellStyle name="Millares 6 2 3 8" xfId="47072" xr:uid="{448664B9-9460-4A8E-BF77-F05CCEBB6BEE}"/>
    <cellStyle name="Millares 6 2 4" xfId="6909" xr:uid="{34FF4D4B-4791-4675-9CAC-4D3A3CD02345}"/>
    <cellStyle name="Millares 6 2 4 2" xfId="21329" xr:uid="{A6C8E48C-91B3-49D3-861B-6D8A5B71B832}"/>
    <cellStyle name="Millares 6 2 4 3" xfId="27147" xr:uid="{EEDB53B4-BA52-4C4F-B91E-531B910B3C73}"/>
    <cellStyle name="Millares 6 2 4 4" xfId="33025" xr:uid="{A50D1131-C6F0-454E-AB0E-A50E300343B1}"/>
    <cellStyle name="Millares 6 2 4 5" xfId="38889" xr:uid="{38C6DC66-EDF1-47B4-8C55-2215DFEFF251}"/>
    <cellStyle name="Millares 6 2 4 6" xfId="46953" xr:uid="{72A13753-E2BD-4940-B8E4-392AB787E9D7}"/>
    <cellStyle name="Millares 6 2 4 7" xfId="47026" xr:uid="{11360828-480E-4054-A1EE-3C39E22CB45E}"/>
    <cellStyle name="Millares 6 2 5" xfId="18584" xr:uid="{35E4AAAA-0E2C-4399-A3B4-684BD44CBE45}"/>
    <cellStyle name="Millares 6 2 5 2" xfId="47269" xr:uid="{27461250-DB31-47BC-BE29-41452D2302D8}"/>
    <cellStyle name="Millares 6 2 6" xfId="24296" xr:uid="{72C8DFA7-DA1C-4FBA-AF2C-8A54F288AFE5}"/>
    <cellStyle name="Millares 6 2 6 2" xfId="47130" xr:uid="{1724F7B9-F22D-40C2-B325-6A33502F24C9}"/>
    <cellStyle name="Millares 6 2 7" xfId="30174" xr:uid="{A20C0BE2-7E07-4F84-A374-CFF611B489A7}"/>
    <cellStyle name="Millares 6 2 8" xfId="36053" xr:uid="{E985D666-56D7-4588-A9BC-D32863429EE0}"/>
    <cellStyle name="Millares 6 2 9" xfId="50352" xr:uid="{4544A491-E94C-4377-AA77-42E9CBE76EB2}"/>
    <cellStyle name="Millares 6 3" xfId="123" xr:uid="{00000000-0005-0000-0000-000077020000}"/>
    <cellStyle name="Millares 6 3 10" xfId="2934" xr:uid="{786A9D12-0628-4C57-81C3-175EE94CC093}"/>
    <cellStyle name="Millares 6 3 10 2" xfId="11205" xr:uid="{240F6A05-52C5-4046-AAFB-C2C7B64B58CD}"/>
    <cellStyle name="Millares 6 3 10 2 2" xfId="46365" xr:uid="{EC50CA4D-E85C-4DE6-AB21-0D4461E34100}"/>
    <cellStyle name="Millares 6 3 10 3" xfId="14045" xr:uid="{CA14A875-CBF1-4FBF-A996-8A7020D0AA8A}"/>
    <cellStyle name="Millares 6 3 10 4" xfId="43969" xr:uid="{511ECB6E-6220-4064-A6C4-A6E485F13124}"/>
    <cellStyle name="Millares 6 3 10 5" xfId="48862" xr:uid="{F7D922B2-9311-4E94-BE4E-78E1EDE63AF8}"/>
    <cellStyle name="Millares 6 3 11" xfId="3436" xr:uid="{26DBA877-BC46-41BB-BB8A-3CF1A346B3B0}"/>
    <cellStyle name="Millares 6 3 11 2" xfId="11677" xr:uid="{52ED6522-1096-4B9B-A721-5288595B898F}"/>
    <cellStyle name="Millares 6 3 11 3" xfId="14517" xr:uid="{C73E7FCA-CCC6-4BA5-8DD5-413D09056C58}"/>
    <cellStyle name="Millares 6 3 11 4" xfId="44441" xr:uid="{FB01140B-2FFD-4492-8B63-2B48D7431DDF}"/>
    <cellStyle name="Millares 6 3 11 5" xfId="49334" xr:uid="{FDB822A6-6377-4C9F-9A1D-1395E1B48861}"/>
    <cellStyle name="Millares 6 3 12" xfId="4337" xr:uid="{68ADA044-E9C1-43A2-AE51-F05C2EBAF045}"/>
    <cellStyle name="Millares 6 3 12 2" xfId="44859" xr:uid="{F9765C0E-7EE2-41CE-AC63-784A1A1196D8}"/>
    <cellStyle name="Millares 6 3 13" xfId="9699" xr:uid="{F5F89113-3C42-4FED-B2BD-A396EDD35EF8}"/>
    <cellStyle name="Millares 6 3 14" xfId="12539" xr:uid="{8E4C6891-BF3B-4941-8484-8326C5CD3ACE}"/>
    <cellStyle name="Millares 6 3 15" xfId="15882" xr:uid="{D65117E8-8B6F-443D-A199-50053220DCDF}"/>
    <cellStyle name="Millares 6 3 16" xfId="16425" xr:uid="{7F9EBED7-EB33-43EB-8DD1-6E10199C2835}"/>
    <cellStyle name="Millares 6 3 17" xfId="16969" xr:uid="{BF1C963F-A507-4C45-AE2F-AAB5C4D4ECDB}"/>
    <cellStyle name="Millares 6 3 18" xfId="18119" xr:uid="{79A9EC07-7F06-4AF2-ACB4-C84D12223B9C}"/>
    <cellStyle name="Millares 6 3 19" xfId="42463" xr:uid="{84824E05-DDBF-450F-97E1-0909BFD09D39}"/>
    <cellStyle name="Millares 6 3 2" xfId="205" xr:uid="{00000000-0005-0000-0000-000078020000}"/>
    <cellStyle name="Millares 6 3 2 10" xfId="9768" xr:uid="{FBC37371-13C5-41CB-8925-A32C69287D21}"/>
    <cellStyle name="Millares 6 3 2 11" xfId="12608" xr:uid="{597D017B-B3A9-4C73-8679-5D9A957E5816}"/>
    <cellStyle name="Millares 6 3 2 12" xfId="15951" xr:uid="{E949C16F-2AF9-421D-8522-217AF97C805E}"/>
    <cellStyle name="Millares 6 3 2 13" xfId="16494" xr:uid="{994ECF31-1F62-4E3D-9F32-4C55873A0F69}"/>
    <cellStyle name="Millares 6 3 2 14" xfId="17038" xr:uid="{072428EA-3EA3-4157-A586-A25D3FC344AB}"/>
    <cellStyle name="Millares 6 3 2 15" xfId="17597" xr:uid="{640E17EC-32DC-416D-93B9-CD60A107E795}"/>
    <cellStyle name="Millares 6 3 2 16" xfId="42532" xr:uid="{503C35A0-CA75-46DC-963A-681CD2135BCA}"/>
    <cellStyle name="Millares 6 3 2 17" xfId="47425" xr:uid="{5F82FBA8-B7DC-48CD-AA40-B6BA334AF73C}"/>
    <cellStyle name="Millares 6 3 2 2" xfId="314" xr:uid="{00000000-0005-0000-0000-000079020000}"/>
    <cellStyle name="Millares 6 3 2 2 10" xfId="16055" xr:uid="{001352D9-0C39-4768-81C5-7BB3E81D6327}"/>
    <cellStyle name="Millares 6 3 2 2 11" xfId="16598" xr:uid="{09052635-6B91-444F-805F-1400FD176184}"/>
    <cellStyle name="Millares 6 3 2 2 12" xfId="17142" xr:uid="{19393AF3-6D9C-42D7-AC39-97322B3E1614}"/>
    <cellStyle name="Millares 6 3 2 2 13" xfId="17847" xr:uid="{B0CABA16-8E4A-48D2-87E1-95D6B87FFE9A}"/>
    <cellStyle name="Millares 6 3 2 2 14" xfId="42636" xr:uid="{9D869B16-94BC-4B0F-91A6-B6E68D625BAB}"/>
    <cellStyle name="Millares 6 3 2 2 15" xfId="47529" xr:uid="{FC95D69E-AAC7-4DF4-A348-963EAEC7A99B}"/>
    <cellStyle name="Millares 6 3 2 2 2" xfId="541" xr:uid="{00000000-0005-0000-0000-00007A020000}"/>
    <cellStyle name="Millares 6 3 2 2 2 10" xfId="17354" xr:uid="{BC5724C8-62BA-4469-89EE-F168B436DDF0}"/>
    <cellStyle name="Millares 6 3 2 2 2 11" xfId="22546" xr:uid="{E22C4196-A6CB-45BC-AFFE-53C52E861AEB}"/>
    <cellStyle name="Millares 6 3 2 2 2 12" xfId="17668" xr:uid="{93C49D7E-102C-4152-9B07-3DA099381878}"/>
    <cellStyle name="Millares 6 3 2 2 2 13" xfId="42848" xr:uid="{B483B9DC-4FC3-4CA4-B902-DE4FA28EF282}"/>
    <cellStyle name="Millares 6 3 2 2 2 14" xfId="47741" xr:uid="{FDAF11BF-522E-4DE9-AF55-23455A2AC1BB}"/>
    <cellStyle name="Millares 6 3 2 2 2 2" xfId="2357" xr:uid="{F74470B3-B658-4AF9-895B-6E2C30C1F97E}"/>
    <cellStyle name="Millares 6 3 2 2 2 2 2" xfId="10628" xr:uid="{998A7B66-4F38-4133-AC09-A73C1A2B0199}"/>
    <cellStyle name="Millares 6 3 2 2 2 2 2 2" xfId="45788" xr:uid="{CB1D66AE-4AD1-4BA1-97A3-E0C73620BA62}"/>
    <cellStyle name="Millares 6 3 2 2 2 2 3" xfId="13468" xr:uid="{14DEDC12-52FF-4B49-8407-1E15CC5969A0}"/>
    <cellStyle name="Millares 6 3 2 2 2 2 4" xfId="43392" xr:uid="{9D02385A-4431-40CA-BC63-E5F82F2103C9}"/>
    <cellStyle name="Millares 6 3 2 2 2 2 5" xfId="48285" xr:uid="{9A1A8B03-C15D-4DA0-B193-A6E646DFBB2C}"/>
    <cellStyle name="Millares 6 3 2 2 2 3" xfId="2775" xr:uid="{BFF92801-B5B6-41B3-8118-37CE1E1AB602}"/>
    <cellStyle name="Millares 6 3 2 2 2 3 2" xfId="11046" xr:uid="{335158E2-5633-4327-A50B-22094A7145C2}"/>
    <cellStyle name="Millares 6 3 2 2 2 3 2 2" xfId="46206" xr:uid="{991CFD07-C19D-4858-B87E-5A4ABA418208}"/>
    <cellStyle name="Millares 6 3 2 2 2 3 3" xfId="13886" xr:uid="{C7CD5DC3-80CC-4369-B3A3-E5413EB696DD}"/>
    <cellStyle name="Millares 6 3 2 2 2 3 4" xfId="43810" xr:uid="{AABA00B8-60EB-4599-AF03-F231959819AC}"/>
    <cellStyle name="Millares 6 3 2 2 2 3 5" xfId="48703" xr:uid="{4B914B78-5608-4224-81F1-8E4EEF942DEF}"/>
    <cellStyle name="Millares 6 3 2 2 2 4" xfId="3319" xr:uid="{AC5C3091-817E-4AAC-B309-5BB4333BE789}"/>
    <cellStyle name="Millares 6 3 2 2 2 4 2" xfId="11590" xr:uid="{24178318-33A3-4B25-AEED-9ED978C86F2D}"/>
    <cellStyle name="Millares 6 3 2 2 2 4 2 2" xfId="46750" xr:uid="{1943239A-34DF-4D71-AA35-1F025DAC0118}"/>
    <cellStyle name="Millares 6 3 2 2 2 4 3" xfId="14430" xr:uid="{437AE58E-680B-40F5-9735-88D5F0AAC0C0}"/>
    <cellStyle name="Millares 6 3 2 2 2 4 4" xfId="44354" xr:uid="{18E326C7-A77F-4C9A-9514-1A69F8FACD69}"/>
    <cellStyle name="Millares 6 3 2 2 2 4 5" xfId="49247" xr:uid="{F02C8A5B-A24E-4ABF-A9A8-07C03327A239}"/>
    <cellStyle name="Millares 6 3 2 2 2 5" xfId="3821" xr:uid="{7F0E8AB4-B304-4DAA-8EF0-6255617B947F}"/>
    <cellStyle name="Millares 6 3 2 2 2 5 2" xfId="12062" xr:uid="{97A1E423-32B9-42B4-AA5A-551C90715EBC}"/>
    <cellStyle name="Millares 6 3 2 2 2 5 3" xfId="14902" xr:uid="{7D2EE9A9-73F2-4248-93C5-521CFA3295AC}"/>
    <cellStyle name="Millares 6 3 2 2 2 5 4" xfId="44826" xr:uid="{E7FA9F7B-B5EB-42AC-ADEF-875CB5DAD534}"/>
    <cellStyle name="Millares 6 3 2 2 2 5 5" xfId="49719" xr:uid="{51B9EB81-BD45-4EC4-B02D-BF6386424EE8}"/>
    <cellStyle name="Millares 6 3 2 2 2 6" xfId="10084" xr:uid="{5257DE52-8C5D-4B15-B165-6A1ED69BD321}"/>
    <cellStyle name="Millares 6 3 2 2 2 6 2" xfId="45244" xr:uid="{7BD78607-F2B2-4986-A9B1-266BD1BE5886}"/>
    <cellStyle name="Millares 6 3 2 2 2 7" xfId="12924" xr:uid="{A21F0D6E-0F99-4375-9275-5CE516800168}"/>
    <cellStyle name="Millares 6 3 2 2 2 8" xfId="16267" xr:uid="{609D7856-CF1F-4113-87E3-ED651E514077}"/>
    <cellStyle name="Millares 6 3 2 2 2 9" xfId="16810" xr:uid="{678B08EE-F513-4635-A806-2AB6E843E59C}"/>
    <cellStyle name="Millares 6 3 2 2 3" xfId="2145" xr:uid="{41090A63-3D5F-4D71-9C98-22374D574E20}"/>
    <cellStyle name="Millares 6 3 2 2 3 2" xfId="10416" xr:uid="{712887D7-AFD6-4E9A-8A17-B9F87EC5F628}"/>
    <cellStyle name="Millares 6 3 2 2 3 2 2" xfId="45576" xr:uid="{CE91F973-1F99-46FE-9B27-0EA0C6881660}"/>
    <cellStyle name="Millares 6 3 2 2 3 3" xfId="13256" xr:uid="{71B2E9DD-AE8C-482A-B453-BF352701CC22}"/>
    <cellStyle name="Millares 6 3 2 2 3 4" xfId="28403" xr:uid="{764662CE-A1F7-4ACA-9F87-396A53E27C93}"/>
    <cellStyle name="Millares 6 3 2 2 3 5" xfId="43180" xr:uid="{7B282800-E2FC-45FC-9243-1503C2E75A74}"/>
    <cellStyle name="Millares 6 3 2 2 3 6" xfId="48073" xr:uid="{96ED5BC4-0587-4F94-81B5-FD79517E01A4}"/>
    <cellStyle name="Millares 6 3 2 2 4" xfId="2563" xr:uid="{46A17116-4F90-42AF-AEB8-56F4561130D0}"/>
    <cellStyle name="Millares 6 3 2 2 4 2" xfId="10834" xr:uid="{CCFEDBBC-8829-4E40-90F1-CCC6FE7541EF}"/>
    <cellStyle name="Millares 6 3 2 2 4 2 2" xfId="45994" xr:uid="{264099F2-087F-4795-966F-66F7FE8E4C0B}"/>
    <cellStyle name="Millares 6 3 2 2 4 3" xfId="13674" xr:uid="{4C2A3FC5-D9CD-4300-B652-13CCEE8C8851}"/>
    <cellStyle name="Millares 6 3 2 2 4 4" xfId="34285" xr:uid="{B36F8AA0-168F-4CA6-8B50-E94FC26E2BB1}"/>
    <cellStyle name="Millares 6 3 2 2 4 5" xfId="43598" xr:uid="{507CFDD2-4A57-49DC-AAAE-6B79007B6FCE}"/>
    <cellStyle name="Millares 6 3 2 2 4 6" xfId="48491" xr:uid="{175525BC-4BB0-4C42-AD02-BD0FFE4AC655}"/>
    <cellStyle name="Millares 6 3 2 2 5" xfId="3107" xr:uid="{A981A9E4-0119-46D0-9BE4-F255C94E86BB}"/>
    <cellStyle name="Millares 6 3 2 2 5 2" xfId="11378" xr:uid="{28E98374-24D2-4A9F-9727-C37CE37C67BC}"/>
    <cellStyle name="Millares 6 3 2 2 5 2 2" xfId="46538" xr:uid="{5EB0EDC9-15E9-4E31-A557-8D53F56255F2}"/>
    <cellStyle name="Millares 6 3 2 2 5 3" xfId="14218" xr:uid="{BB2952FC-D735-43A4-8828-28EDF03C6D8F}"/>
    <cellStyle name="Millares 6 3 2 2 5 4" xfId="40149" xr:uid="{57EBCF1E-352F-4CF4-9E9E-36B1DF8F5549}"/>
    <cellStyle name="Millares 6 3 2 2 5 5" xfId="44142" xr:uid="{73E9BBC0-89EF-4CF0-8C76-15FF95728194}"/>
    <cellStyle name="Millares 6 3 2 2 5 6" xfId="49035" xr:uid="{0CA597B3-DC47-47F9-99D0-95A061A96345}"/>
    <cellStyle name="Millares 6 3 2 2 6" xfId="3609" xr:uid="{67C411A7-D47A-4278-BBD4-53130BFE2422}"/>
    <cellStyle name="Millares 6 3 2 2 6 2" xfId="11850" xr:uid="{7F47447C-A210-4C91-94CE-FF8A3FF5082A}"/>
    <cellStyle name="Millares 6 3 2 2 6 3" xfId="14690" xr:uid="{1D5E8D62-D342-48E2-B8ED-79E118328B5C}"/>
    <cellStyle name="Millares 6 3 2 2 6 4" xfId="44614" xr:uid="{B406820A-9449-4DB6-9370-5530DEAE3D39}"/>
    <cellStyle name="Millares 6 3 2 2 6 5" xfId="49507" xr:uid="{9E5BD8F6-6E4D-48C3-B700-E8F616E356D6}"/>
    <cellStyle name="Millares 6 3 2 2 7" xfId="8170" xr:uid="{92238BE4-62A7-42CA-90A3-FA603C73D418}"/>
    <cellStyle name="Millares 6 3 2 2 7 2" xfId="45032" xr:uid="{ED59DCB5-CA89-4120-BAAF-D4B48B7F48FA}"/>
    <cellStyle name="Millares 6 3 2 2 8" xfId="9872" xr:uid="{1750C352-793E-4D8D-8FED-623A690D03F2}"/>
    <cellStyle name="Millares 6 3 2 2 9" xfId="12712" xr:uid="{8366C01E-91DC-44AE-B6D9-6B576818361D}"/>
    <cellStyle name="Millares 6 3 2 3" xfId="440" xr:uid="{00000000-0005-0000-0000-00007B020000}"/>
    <cellStyle name="Millares 6 3 2 3 10" xfId="17254" xr:uid="{47C965F7-647E-4DFD-8D31-5A8E26B6B462}"/>
    <cellStyle name="Millares 6 3 2 3 11" xfId="19771" xr:uid="{218811D8-8715-4A7B-B705-338954C8AC16}"/>
    <cellStyle name="Millares 6 3 2 3 12" xfId="18173" xr:uid="{39163B22-0BA4-4743-83EA-805532D05381}"/>
    <cellStyle name="Millares 6 3 2 3 13" xfId="42748" xr:uid="{CA3813A7-9C99-48FC-865D-0447DC97F7AF}"/>
    <cellStyle name="Millares 6 3 2 3 14" xfId="47641" xr:uid="{1EC2D057-9F6C-44C9-B5E5-6CF40568A609}"/>
    <cellStyle name="Millares 6 3 2 3 2" xfId="2257" xr:uid="{AAB09180-5873-4789-8BB0-78426B120AC8}"/>
    <cellStyle name="Millares 6 3 2 3 2 2" xfId="10528" xr:uid="{3668FEFF-1A5C-4D14-B94B-931C31FDA6F6}"/>
    <cellStyle name="Millares 6 3 2 3 2 2 2" xfId="45688" xr:uid="{F0D4579F-B161-4EEF-90B0-A299113DC7EB}"/>
    <cellStyle name="Millares 6 3 2 3 2 3" xfId="13368" xr:uid="{5ABC7574-FACF-496B-B96B-D65536B10F8D}"/>
    <cellStyle name="Millares 6 3 2 3 2 4" xfId="43292" xr:uid="{90EA6B96-AAAE-440F-95DE-39547C6DE65A}"/>
    <cellStyle name="Millares 6 3 2 3 2 5" xfId="48185" xr:uid="{F50D563D-72A2-40AF-A332-BB3B0BA65EDF}"/>
    <cellStyle name="Millares 6 3 2 3 3" xfId="2675" xr:uid="{4E9CCD35-0A94-4506-8F64-CA98E6CDA2C2}"/>
    <cellStyle name="Millares 6 3 2 3 3 2" xfId="10946" xr:uid="{4A48A0DE-4834-406C-B033-3848047A3C9F}"/>
    <cellStyle name="Millares 6 3 2 3 3 2 2" xfId="46106" xr:uid="{32F56CA0-A61C-43D7-9CC3-91EAD2CEDAD1}"/>
    <cellStyle name="Millares 6 3 2 3 3 3" xfId="13786" xr:uid="{5FB7E95A-40B9-43A8-BF27-AD11F64C1368}"/>
    <cellStyle name="Millares 6 3 2 3 3 4" xfId="43710" xr:uid="{D59542AA-8C0E-41AA-9C88-E8BEF894C7AD}"/>
    <cellStyle name="Millares 6 3 2 3 3 5" xfId="48603" xr:uid="{089E8BC1-942F-4EC2-85A1-02A55C21B9A6}"/>
    <cellStyle name="Millares 6 3 2 3 4" xfId="3219" xr:uid="{8D5F2412-AAB9-4475-A52B-B71B9837116D}"/>
    <cellStyle name="Millares 6 3 2 3 4 2" xfId="11490" xr:uid="{32D1F9D6-8E63-4599-8168-3F56C8DABC1E}"/>
    <cellStyle name="Millares 6 3 2 3 4 2 2" xfId="46650" xr:uid="{92A13512-D4E5-4E78-A5CD-C3EE6E5CC17F}"/>
    <cellStyle name="Millares 6 3 2 3 4 3" xfId="14330" xr:uid="{9F7E9EF5-4DEE-411C-B5FA-3458457E6B21}"/>
    <cellStyle name="Millares 6 3 2 3 4 4" xfId="44254" xr:uid="{1D2BDA57-D69C-41DF-8656-4DEDB460C762}"/>
    <cellStyle name="Millares 6 3 2 3 4 5" xfId="49147" xr:uid="{32A54960-685A-433E-9A18-4F946B7F4555}"/>
    <cellStyle name="Millares 6 3 2 3 5" xfId="3721" xr:uid="{0825FBF5-7DD9-4705-A079-A689D1BD076D}"/>
    <cellStyle name="Millares 6 3 2 3 5 2" xfId="11962" xr:uid="{D0426721-06CB-4AE8-B9A2-5BF5BEE606B2}"/>
    <cellStyle name="Millares 6 3 2 3 5 3" xfId="14802" xr:uid="{693F3EAF-6161-4D47-97B0-984295307D2E}"/>
    <cellStyle name="Millares 6 3 2 3 5 4" xfId="44726" xr:uid="{89957962-531D-4B76-A220-6CEAEE3E6D0A}"/>
    <cellStyle name="Millares 6 3 2 3 5 5" xfId="49619" xr:uid="{83B31545-1AAC-4E8B-80EF-9AEC20AA940A}"/>
    <cellStyle name="Millares 6 3 2 3 6" xfId="9984" xr:uid="{01F6DA2E-CC16-4374-AD73-0AC74E0555EE}"/>
    <cellStyle name="Millares 6 3 2 3 6 2" xfId="45144" xr:uid="{E79E02C4-0A24-40DA-94A6-071093D0E889}"/>
    <cellStyle name="Millares 6 3 2 3 7" xfId="12824" xr:uid="{5DB3B9D3-825A-42D7-8951-42FC18A13DE7}"/>
    <cellStyle name="Millares 6 3 2 3 8" xfId="16167" xr:uid="{CFDE3A0C-923B-47C4-9A9D-8FB0D7AFD57E}"/>
    <cellStyle name="Millares 6 3 2 3 9" xfId="16710" xr:uid="{C756FBC9-A3DB-4B05-AA0D-730FA59BDDC9}"/>
    <cellStyle name="Millares 6 3 2 4" xfId="643" xr:uid="{00000000-0005-0000-0000-00007C020000}"/>
    <cellStyle name="Millares 6 3 2 4 10" xfId="42950" xr:uid="{91EA6F9F-63B8-4BC2-8FC2-D36350690F34}"/>
    <cellStyle name="Millares 6 3 2 4 11" xfId="47843" xr:uid="{606E55B3-9948-4E14-AC87-D91394F6D0FA}"/>
    <cellStyle name="Millares 6 3 2 4 2" xfId="2877" xr:uid="{A8A51A9B-A981-4A94-9A8A-0769E945273F}"/>
    <cellStyle name="Millares 6 3 2 4 2 2" xfId="11148" xr:uid="{E6B2A021-F43D-4744-8755-E247D7D03FB0}"/>
    <cellStyle name="Millares 6 3 2 4 2 2 2" xfId="46308" xr:uid="{97E17E0F-4EAA-42E8-BEBC-4DA9088DE9F9}"/>
    <cellStyle name="Millares 6 3 2 4 2 3" xfId="13988" xr:uid="{F30988D2-1A4A-4DDC-A617-B137F368BA89}"/>
    <cellStyle name="Millares 6 3 2 4 2 4" xfId="43912" xr:uid="{D6F060EF-D182-484C-A279-446AC99CC476}"/>
    <cellStyle name="Millares 6 3 2 4 2 5" xfId="48805" xr:uid="{7DC97BB1-6ECC-4CF9-BEB0-D62D12B4B124}"/>
    <cellStyle name="Millares 6 3 2 4 3" xfId="10186" xr:uid="{7738C002-5B24-4038-AC30-1CAD3F738BE4}"/>
    <cellStyle name="Millares 6 3 2 4 3 2" xfId="45346" xr:uid="{6D99A9BD-D4D2-4ED8-B0DF-95B2599358AE}"/>
    <cellStyle name="Millares 6 3 2 4 4" xfId="13026" xr:uid="{07A41049-CBBF-4232-BEEC-3563D972C2E5}"/>
    <cellStyle name="Millares 6 3 2 4 5" xfId="16369" xr:uid="{C668DE26-B669-4F5A-97AC-E9942AA12009}"/>
    <cellStyle name="Millares 6 3 2 4 6" xfId="16912" xr:uid="{A302AF1E-D90C-4E48-AE9B-513FA2B238DF}"/>
    <cellStyle name="Millares 6 3 2 4 7" xfId="17456" xr:uid="{BDCD5251-9A65-41BD-970C-9997AF3A69FE}"/>
    <cellStyle name="Millares 6 3 2 4 8" xfId="25554" xr:uid="{9B849750-5744-44C2-B308-A873D2391643}"/>
    <cellStyle name="Millares 6 3 2 4 9" xfId="18009" xr:uid="{AFE36FAD-2C77-4F8A-82B9-ACEFDA771F24}"/>
    <cellStyle name="Millares 6 3 2 5" xfId="2041" xr:uid="{E4677458-9380-4700-A180-1585AFAB52A4}"/>
    <cellStyle name="Millares 6 3 2 5 2" xfId="10312" xr:uid="{D12EC9CE-E237-4563-84B4-2A6B2258A58D}"/>
    <cellStyle name="Millares 6 3 2 5 2 2" xfId="45472" xr:uid="{598B4314-2321-4E3F-93A3-22F9868C6FA0}"/>
    <cellStyle name="Millares 6 3 2 5 3" xfId="13152" xr:uid="{EAE3E6E8-3D91-4FA0-A5B3-D61513A2A77F}"/>
    <cellStyle name="Millares 6 3 2 5 4" xfId="31428" xr:uid="{AF92BAA0-BFB9-4FF1-9722-AB7F61E9C659}"/>
    <cellStyle name="Millares 6 3 2 5 5" xfId="43076" xr:uid="{F2739C26-C727-49F8-81D4-8C18D9E0BFE1}"/>
    <cellStyle name="Millares 6 3 2 5 6" xfId="47969" xr:uid="{48A9C23C-F613-493B-B5FB-BEBFD61E5FEC}"/>
    <cellStyle name="Millares 6 3 2 6" xfId="2459" xr:uid="{B3101694-A757-4CC5-90E7-27458A005CFD}"/>
    <cellStyle name="Millares 6 3 2 6 2" xfId="10730" xr:uid="{70E87550-05B3-4323-84BD-8AE777FFD074}"/>
    <cellStyle name="Millares 6 3 2 6 2 2" xfId="45890" xr:uid="{5612A5AD-762C-4923-8772-5C55B72E500D}"/>
    <cellStyle name="Millares 6 3 2 6 3" xfId="13570" xr:uid="{EE189C67-58F5-4B7F-8017-B21C60E9F134}"/>
    <cellStyle name="Millares 6 3 2 6 4" xfId="37299" xr:uid="{071B3B1B-60F0-4974-8B04-D26500870A55}"/>
    <cellStyle name="Millares 6 3 2 6 5" xfId="43494" xr:uid="{F3BCF726-9664-4D5B-B7D3-EBACF55A57F0}"/>
    <cellStyle name="Millares 6 3 2 6 6" xfId="48387" xr:uid="{6948AC0E-642F-4A43-A753-4B5C9C3E030F}"/>
    <cellStyle name="Millares 6 3 2 7" xfId="3003" xr:uid="{A40E33B1-42F8-4EA3-8EF0-B1BD0B929823}"/>
    <cellStyle name="Millares 6 3 2 7 2" xfId="11274" xr:uid="{169BC088-D845-40B9-A500-81B9F81E5095}"/>
    <cellStyle name="Millares 6 3 2 7 2 2" xfId="46434" xr:uid="{F290907B-C54A-430C-8A0B-AB75A2C12F4E}"/>
    <cellStyle name="Millares 6 3 2 7 3" xfId="14114" xr:uid="{8EA54ED4-AD4E-4EC7-8979-AF099ED29116}"/>
    <cellStyle name="Millares 6 3 2 7 4" xfId="44038" xr:uid="{1156D6F4-CFA6-47C0-BEAB-8DB115003342}"/>
    <cellStyle name="Millares 6 3 2 7 5" xfId="48931" xr:uid="{13B3A635-10A0-4A91-9BD9-70E702138468}"/>
    <cellStyle name="Millares 6 3 2 8" xfId="3505" xr:uid="{C7EF2157-C859-4181-B669-532024129F6F}"/>
    <cellStyle name="Millares 6 3 2 8 2" xfId="11746" xr:uid="{73824B4A-BA08-44BC-B246-428235EBD6EB}"/>
    <cellStyle name="Millares 6 3 2 8 3" xfId="14586" xr:uid="{2F418447-28DE-41C1-93C4-8CF6EE62C7E4}"/>
    <cellStyle name="Millares 6 3 2 8 4" xfId="44510" xr:uid="{75D8B7A2-8A34-449B-8FBE-2713F32E4D87}"/>
    <cellStyle name="Millares 6 3 2 8 5" xfId="49403" xr:uid="{809F0EB3-0B76-473C-85CF-1FA8732CDB20}"/>
    <cellStyle name="Millares 6 3 2 9" xfId="5303" xr:uid="{C2312339-8AEB-4A68-AC7A-C860897A3A0F}"/>
    <cellStyle name="Millares 6 3 2 9 2" xfId="44928" xr:uid="{B0D929D7-840F-466D-9D19-3558E12D64E5}"/>
    <cellStyle name="Millares 6 3 20" xfId="47356" xr:uid="{A2844002-5477-4F0A-98E8-4ADC554DE8A5}"/>
    <cellStyle name="Millares 6 3 3" xfId="159" xr:uid="{00000000-0005-0000-0000-00007D020000}"/>
    <cellStyle name="Millares 6 3 3 10" xfId="9727" xr:uid="{05E25980-1463-4B58-BD96-79FB6DC15813}"/>
    <cellStyle name="Millares 6 3 3 11" xfId="12567" xr:uid="{E6AE05FD-0719-44D7-B033-6D61E06E6BC6}"/>
    <cellStyle name="Millares 6 3 3 12" xfId="15910" xr:uid="{BEC4AC89-2EC9-4BEB-A956-D1A1E0F15409}"/>
    <cellStyle name="Millares 6 3 3 13" xfId="16453" xr:uid="{0508807A-83CA-4D36-8125-B6B33B39B7CA}"/>
    <cellStyle name="Millares 6 3 3 14" xfId="16997" xr:uid="{CB653100-CB43-4396-9748-90F49464AEFF}"/>
    <cellStyle name="Millares 6 3 3 15" xfId="18240" xr:uid="{BF4FCDF0-6BCD-44F1-97BE-8E39208359DD}"/>
    <cellStyle name="Millares 6 3 3 16" xfId="42491" xr:uid="{428DE36A-91A8-4C7E-8C8E-2FE9AAE2E678}"/>
    <cellStyle name="Millares 6 3 3 17" xfId="47384" xr:uid="{8EAF99B9-3223-4EA4-B9B8-3488EC034815}"/>
    <cellStyle name="Millares 6 3 3 2" xfId="273" xr:uid="{00000000-0005-0000-0000-00007E020000}"/>
    <cellStyle name="Millares 6 3 3 2 10" xfId="16557" xr:uid="{A5723326-81DB-4017-8BE2-09A61CEA6191}"/>
    <cellStyle name="Millares 6 3 3 2 11" xfId="17101" xr:uid="{83C22708-629E-41B5-A727-375B7CDA8E2C}"/>
    <cellStyle name="Millares 6 3 3 2 12" xfId="21605" xr:uid="{5FBE3F44-B6A9-4D94-B7C3-6F92C7775C2D}"/>
    <cellStyle name="Millares 6 3 3 2 13" xfId="18255" xr:uid="{C45CEA58-0D4A-464D-90CC-4C3D86BCDF15}"/>
    <cellStyle name="Millares 6 3 3 2 14" xfId="42595" xr:uid="{CB42F2B0-E39A-4D1F-BC9B-1CD4AD722546}"/>
    <cellStyle name="Millares 6 3 3 2 15" xfId="47488" xr:uid="{1D79D3FC-6031-41D3-A42D-787197662510}"/>
    <cellStyle name="Millares 6 3 3 2 2" xfId="500" xr:uid="{00000000-0005-0000-0000-00007F020000}"/>
    <cellStyle name="Millares 6 3 3 2 2 10" xfId="17313" xr:uid="{BDF6D406-C953-4AF3-A5ED-D13A61A051E2}"/>
    <cellStyle name="Millares 6 3 3 2 2 11" xfId="18096" xr:uid="{D1C16FFB-E8D3-4981-87CD-E7D25022E447}"/>
    <cellStyle name="Millares 6 3 3 2 2 12" xfId="42807" xr:uid="{4084D9FE-34BD-4CC3-9128-80C93F48CD86}"/>
    <cellStyle name="Millares 6 3 3 2 2 13" xfId="47700" xr:uid="{AE86C0A7-E20F-4ED8-BC87-B1250B671B0A}"/>
    <cellStyle name="Millares 6 3 3 2 2 2" xfId="2316" xr:uid="{2A3F20C4-A57D-4282-BBD0-6E779D825069}"/>
    <cellStyle name="Millares 6 3 3 2 2 2 2" xfId="10587" xr:uid="{DF54C997-6895-40BB-B749-52FBDC0225E0}"/>
    <cellStyle name="Millares 6 3 3 2 2 2 2 2" xfId="45747" xr:uid="{2151BE90-428E-4E1E-9CDB-C8CC4D2EAE1F}"/>
    <cellStyle name="Millares 6 3 3 2 2 2 3" xfId="13427" xr:uid="{A65258AF-6A5D-4B46-B295-5B53558B559D}"/>
    <cellStyle name="Millares 6 3 3 2 2 2 4" xfId="43351" xr:uid="{2B4A1EB9-DBF1-436F-B646-409F2C0D3B6D}"/>
    <cellStyle name="Millares 6 3 3 2 2 2 5" xfId="48244" xr:uid="{BA5FF04E-DCCD-406B-8E36-F69F3D0DAD08}"/>
    <cellStyle name="Millares 6 3 3 2 2 3" xfId="2734" xr:uid="{73A87E08-BDB1-4A4F-BBF3-A3758B5EA286}"/>
    <cellStyle name="Millares 6 3 3 2 2 3 2" xfId="11005" xr:uid="{53499A6B-5773-40C0-BFD1-C9873AA646C7}"/>
    <cellStyle name="Millares 6 3 3 2 2 3 2 2" xfId="46165" xr:uid="{95AD2577-948C-4D5E-AC12-A051ED8043D2}"/>
    <cellStyle name="Millares 6 3 3 2 2 3 3" xfId="13845" xr:uid="{98601F5C-E3A0-4F15-8D53-B2E471E59E77}"/>
    <cellStyle name="Millares 6 3 3 2 2 3 4" xfId="43769" xr:uid="{CB455256-AD3B-41D6-90AD-BEEC523C0A6A}"/>
    <cellStyle name="Millares 6 3 3 2 2 3 5" xfId="48662" xr:uid="{AA7FF897-1936-4E34-A698-1F0F3A1CEE2F}"/>
    <cellStyle name="Millares 6 3 3 2 2 4" xfId="3278" xr:uid="{FA263CB0-3546-4166-B041-39A26F3BA295}"/>
    <cellStyle name="Millares 6 3 3 2 2 4 2" xfId="11549" xr:uid="{9B56A83B-30BD-4D74-85D0-47AC1A3D16F4}"/>
    <cellStyle name="Millares 6 3 3 2 2 4 2 2" xfId="46709" xr:uid="{6C6A8CE9-F993-44FD-BD2D-D49D477C79FF}"/>
    <cellStyle name="Millares 6 3 3 2 2 4 3" xfId="14389" xr:uid="{11DF87B3-4233-4182-BB25-3BDA26AD0E9C}"/>
    <cellStyle name="Millares 6 3 3 2 2 4 4" xfId="44313" xr:uid="{59459651-49D5-4F2D-96A0-8EC4AAC99FD3}"/>
    <cellStyle name="Millares 6 3 3 2 2 4 5" xfId="49206" xr:uid="{CAC41E4A-BF0A-44C1-A764-2B7D9D6F51F0}"/>
    <cellStyle name="Millares 6 3 3 2 2 5" xfId="3780" xr:uid="{27321909-34F7-45D2-B6D3-9D6AC3E2F9A7}"/>
    <cellStyle name="Millares 6 3 3 2 2 5 2" xfId="12021" xr:uid="{F2B5F449-6A8B-46A6-B034-4016ADAE60BC}"/>
    <cellStyle name="Millares 6 3 3 2 2 5 3" xfId="14861" xr:uid="{CFA4E8F5-94AC-45BC-85FE-BB110417F61F}"/>
    <cellStyle name="Millares 6 3 3 2 2 5 4" xfId="44785" xr:uid="{99BFD7A7-F81B-406F-ABFE-0568CCD18FA3}"/>
    <cellStyle name="Millares 6 3 3 2 2 5 5" xfId="49678" xr:uid="{36C65615-9A96-44BA-93FA-51A0C7CA6BAC}"/>
    <cellStyle name="Millares 6 3 3 2 2 6" xfId="10043" xr:uid="{A59444D9-8FAC-4C4D-BAB1-7A5282068B39}"/>
    <cellStyle name="Millares 6 3 3 2 2 6 2" xfId="45203" xr:uid="{ACB8EC6C-ED26-486C-B626-3BC0D8034B6D}"/>
    <cellStyle name="Millares 6 3 3 2 2 7" xfId="12883" xr:uid="{B5FC017E-B4F4-4AA6-BAA3-D0F57C71FC7C}"/>
    <cellStyle name="Millares 6 3 3 2 2 8" xfId="16226" xr:uid="{D7F95D1F-2891-487A-9DFA-C37EBDC2B4A4}"/>
    <cellStyle name="Millares 6 3 3 2 2 9" xfId="16769" xr:uid="{A81D12AB-B603-4510-A027-BC540BA1F7EA}"/>
    <cellStyle name="Millares 6 3 3 2 3" xfId="2104" xr:uid="{95931DFC-61B4-449D-BDC1-994C07FB2E6B}"/>
    <cellStyle name="Millares 6 3 3 2 3 2" xfId="10375" xr:uid="{1F3EFE16-88D0-47D7-AB65-2B57A25A9033}"/>
    <cellStyle name="Millares 6 3 3 2 3 2 2" xfId="45535" xr:uid="{6DEA8780-6964-4B26-99E7-282C080801F2}"/>
    <cellStyle name="Millares 6 3 3 2 3 3" xfId="13215" xr:uid="{89D6DE19-E808-42E0-85B2-5689A645BD66}"/>
    <cellStyle name="Millares 6 3 3 2 3 4" xfId="43139" xr:uid="{F645B1D0-B501-4D76-8D3E-B206312B8786}"/>
    <cellStyle name="Millares 6 3 3 2 3 5" xfId="48032" xr:uid="{25E6CFF5-F957-47A5-886B-8427FBD73A21}"/>
    <cellStyle name="Millares 6 3 3 2 4" xfId="2522" xr:uid="{521EC2F4-6BDA-413D-96CA-9A0EEA5BE8F8}"/>
    <cellStyle name="Millares 6 3 3 2 4 2" xfId="10793" xr:uid="{89479AEF-CC20-4F46-8086-DA4F88C5BF7A}"/>
    <cellStyle name="Millares 6 3 3 2 4 2 2" xfId="45953" xr:uid="{2B25985A-D134-47F3-A9EF-D6E437BE7EEE}"/>
    <cellStyle name="Millares 6 3 3 2 4 3" xfId="13633" xr:uid="{473E2AC3-8B50-4DED-B73A-8E290F8B2204}"/>
    <cellStyle name="Millares 6 3 3 2 4 4" xfId="43557" xr:uid="{8174F492-8D4B-49D6-BB44-8603A4087AE0}"/>
    <cellStyle name="Millares 6 3 3 2 4 5" xfId="48450" xr:uid="{2C026BEC-20E6-46CF-8625-09191ACDD3CB}"/>
    <cellStyle name="Millares 6 3 3 2 5" xfId="3066" xr:uid="{8A4FC931-65C5-4032-845F-A1726F796602}"/>
    <cellStyle name="Millares 6 3 3 2 5 2" xfId="11337" xr:uid="{B86E05FD-CF0A-42D6-B43A-D03307071A1D}"/>
    <cellStyle name="Millares 6 3 3 2 5 2 2" xfId="46497" xr:uid="{ED937998-43DB-438D-B10A-4670CBDA04AD}"/>
    <cellStyle name="Millares 6 3 3 2 5 3" xfId="14177" xr:uid="{F8D93B20-454B-4184-8AAA-38920B79664F}"/>
    <cellStyle name="Millares 6 3 3 2 5 4" xfId="44101" xr:uid="{D851B20C-F31E-4188-99B4-854B919D8DD4}"/>
    <cellStyle name="Millares 6 3 3 2 5 5" xfId="48994" xr:uid="{CF682288-3BD7-4B79-A1CF-9FD2ED67FB41}"/>
    <cellStyle name="Millares 6 3 3 2 6" xfId="3568" xr:uid="{F1544A6D-2CEB-4481-8673-E93804CDF33E}"/>
    <cellStyle name="Millares 6 3 3 2 6 2" xfId="11809" xr:uid="{B1D02B96-2C59-4217-92AD-D67DDFEE5B6F}"/>
    <cellStyle name="Millares 6 3 3 2 6 3" xfId="14649" xr:uid="{C59596B1-5102-4783-BC01-39E257AECF79}"/>
    <cellStyle name="Millares 6 3 3 2 6 4" xfId="44573" xr:uid="{F6F2EF3C-AFEB-4297-9352-DD6C4565E28F}"/>
    <cellStyle name="Millares 6 3 3 2 6 5" xfId="49466" xr:uid="{199441F8-BD3C-4CD2-B620-F591E6497A25}"/>
    <cellStyle name="Millares 6 3 3 2 7" xfId="9831" xr:uid="{0EA84FA7-3A71-46C6-B899-2750C0913D72}"/>
    <cellStyle name="Millares 6 3 3 2 7 2" xfId="44991" xr:uid="{6C4464A3-9C69-48CA-B0BD-335B5C080A39}"/>
    <cellStyle name="Millares 6 3 3 2 8" xfId="12671" xr:uid="{233D17F0-2F2C-43FE-B3FD-52B8C30516BD}"/>
    <cellStyle name="Millares 6 3 3 2 9" xfId="16014" xr:uid="{6E9E662A-1205-4DE4-89EA-977886766E4F}"/>
    <cellStyle name="Millares 6 3 3 3" xfId="399" xr:uid="{00000000-0005-0000-0000-000080020000}"/>
    <cellStyle name="Millares 6 3 3 3 10" xfId="17213" xr:uid="{5097472B-26FE-4A8C-BACC-DBC3BDBAD43B}"/>
    <cellStyle name="Millares 6 3 3 3 11" xfId="27432" xr:uid="{6DF26981-0E6C-4743-AAC8-76FFA70A42CA}"/>
    <cellStyle name="Millares 6 3 3 3 12" xfId="18148" xr:uid="{697FFC70-C08D-4E0B-9175-1A2D0C6E2947}"/>
    <cellStyle name="Millares 6 3 3 3 13" xfId="42707" xr:uid="{83A7DECF-2FE6-42A7-9A88-8FD253F621E3}"/>
    <cellStyle name="Millares 6 3 3 3 14" xfId="47600" xr:uid="{45FCAD7C-8D2F-4001-AC39-9D7AD6CF6DDC}"/>
    <cellStyle name="Millares 6 3 3 3 2" xfId="2216" xr:uid="{9ABDBDD2-6614-4E11-A1B0-750AA76B3173}"/>
    <cellStyle name="Millares 6 3 3 3 2 2" xfId="10487" xr:uid="{9C51DC14-1CB0-48B3-ABCE-1424380A3C5D}"/>
    <cellStyle name="Millares 6 3 3 3 2 2 2" xfId="45647" xr:uid="{4FB2A149-B5B9-4B56-87E9-E1E6679169E3}"/>
    <cellStyle name="Millares 6 3 3 3 2 3" xfId="13327" xr:uid="{32C065A5-E703-4727-B86E-175F4DAF980C}"/>
    <cellStyle name="Millares 6 3 3 3 2 4" xfId="43251" xr:uid="{89F55E3C-D329-4564-820F-CF5E3A006DDA}"/>
    <cellStyle name="Millares 6 3 3 3 2 5" xfId="48144" xr:uid="{CF503617-BEEF-4C72-B67D-5A2E373FA966}"/>
    <cellStyle name="Millares 6 3 3 3 3" xfId="2634" xr:uid="{D447E218-4485-4F93-99ED-B9433EA33D97}"/>
    <cellStyle name="Millares 6 3 3 3 3 2" xfId="10905" xr:uid="{A8593704-F320-4ED2-8AB3-1B8BED24BF96}"/>
    <cellStyle name="Millares 6 3 3 3 3 2 2" xfId="46065" xr:uid="{590F2F9D-CB64-4316-870E-DF715300D952}"/>
    <cellStyle name="Millares 6 3 3 3 3 3" xfId="13745" xr:uid="{AA7F3C9D-FD89-4DAE-926F-94D993D7C6C6}"/>
    <cellStyle name="Millares 6 3 3 3 3 4" xfId="43669" xr:uid="{D318E350-0393-4CEA-9B7F-709AC58638DB}"/>
    <cellStyle name="Millares 6 3 3 3 3 5" xfId="48562" xr:uid="{D3FAA0CC-EB8F-49AD-AA89-D8B435A579CB}"/>
    <cellStyle name="Millares 6 3 3 3 4" xfId="3178" xr:uid="{2D09AEBD-521E-4F74-ABE1-BF87E689DAD1}"/>
    <cellStyle name="Millares 6 3 3 3 4 2" xfId="11449" xr:uid="{8BA20D24-E0F3-4F68-86A4-0C7270888CA9}"/>
    <cellStyle name="Millares 6 3 3 3 4 2 2" xfId="46609" xr:uid="{828535F1-8049-4BBE-8659-E09122CC503C}"/>
    <cellStyle name="Millares 6 3 3 3 4 3" xfId="14289" xr:uid="{795906A8-AD7C-487B-8EBA-ABDC79D8E0AD}"/>
    <cellStyle name="Millares 6 3 3 3 4 4" xfId="44213" xr:uid="{78F825EC-7800-45CC-A3EA-FE3817DEFEE3}"/>
    <cellStyle name="Millares 6 3 3 3 4 5" xfId="49106" xr:uid="{647DFFBD-3CBC-48DC-A300-4B5D17FC31A9}"/>
    <cellStyle name="Millares 6 3 3 3 5" xfId="3680" xr:uid="{42D76007-1809-487C-B6A5-BE1E049839F2}"/>
    <cellStyle name="Millares 6 3 3 3 5 2" xfId="11921" xr:uid="{4F0308B8-B038-4960-A3E4-0DD19C5CA8F8}"/>
    <cellStyle name="Millares 6 3 3 3 5 3" xfId="14761" xr:uid="{3F455CD2-DF5C-4424-BA60-5F424621FEAF}"/>
    <cellStyle name="Millares 6 3 3 3 5 4" xfId="44685" xr:uid="{2E50C0A6-8F63-447C-8304-6EEE309C5395}"/>
    <cellStyle name="Millares 6 3 3 3 5 5" xfId="49578" xr:uid="{0A737B70-5DF7-483F-AEB3-A0B893E2F94E}"/>
    <cellStyle name="Millares 6 3 3 3 6" xfId="9943" xr:uid="{AD0FBC5E-0203-4E4A-A1CB-8047080FC3FE}"/>
    <cellStyle name="Millares 6 3 3 3 6 2" xfId="45103" xr:uid="{B7626845-2BCB-4E6C-8168-FA7DC38BFD73}"/>
    <cellStyle name="Millares 6 3 3 3 7" xfId="12783" xr:uid="{0E632191-C3DD-42A8-9684-DA0454C9CB37}"/>
    <cellStyle name="Millares 6 3 3 3 8" xfId="16126" xr:uid="{0E78FC19-80C7-4CAC-BE50-ACAB254C1281}"/>
    <cellStyle name="Millares 6 3 3 3 9" xfId="16669" xr:uid="{E1E5BF3B-E2C6-453A-B93B-A2B5B8418FA5}"/>
    <cellStyle name="Millares 6 3 3 4" xfId="602" xr:uid="{00000000-0005-0000-0000-000081020000}"/>
    <cellStyle name="Millares 6 3 3 4 10" xfId="42909" xr:uid="{FAB3E8B2-A316-4165-B20A-D8E2F5AA71E6}"/>
    <cellStyle name="Millares 6 3 3 4 11" xfId="47802" xr:uid="{48FF3BC2-E506-4613-9DF8-A07B3A1FECF3}"/>
    <cellStyle name="Millares 6 3 3 4 2" xfId="2836" xr:uid="{F9FBFCC7-A6D1-4BDA-87FC-0B911D99B968}"/>
    <cellStyle name="Millares 6 3 3 4 2 2" xfId="11107" xr:uid="{8984E8C1-EA0A-4568-A008-2350B59AB82F}"/>
    <cellStyle name="Millares 6 3 3 4 2 2 2" xfId="46267" xr:uid="{54F855A1-A8E1-4191-B7B4-FABD7EF49768}"/>
    <cellStyle name="Millares 6 3 3 4 2 3" xfId="13947" xr:uid="{C7A0C1D5-93B5-4239-8CEC-9376BAB460B5}"/>
    <cellStyle name="Millares 6 3 3 4 2 4" xfId="43871" xr:uid="{1DA5A709-F431-47C0-A983-814C6B87AF09}"/>
    <cellStyle name="Millares 6 3 3 4 2 5" xfId="48764" xr:uid="{078C6BE3-4443-4BB7-BAC6-5D4F97B0834F}"/>
    <cellStyle name="Millares 6 3 3 4 3" xfId="10145" xr:uid="{CED055B6-A368-41C1-A8CC-B36A521BF55A}"/>
    <cellStyle name="Millares 6 3 3 4 3 2" xfId="45305" xr:uid="{7FCBB289-1604-41E1-A08B-E0CF5C3DBAA5}"/>
    <cellStyle name="Millares 6 3 3 4 4" xfId="12985" xr:uid="{5E4CA0D2-4214-4DC3-83D5-7CB4170E06AB}"/>
    <cellStyle name="Millares 6 3 3 4 5" xfId="16328" xr:uid="{C37B17F5-805D-4671-A214-F92B8E965B6B}"/>
    <cellStyle name="Millares 6 3 3 4 6" xfId="16871" xr:uid="{9AF7DD01-B207-4472-A9EA-DD1B26BC77E1}"/>
    <cellStyle name="Millares 6 3 3 4 7" xfId="17415" xr:uid="{B018CC27-3703-4534-860C-697B63D102CD}"/>
    <cellStyle name="Millares 6 3 3 4 8" xfId="33314" xr:uid="{ED96B007-FD54-4448-A26C-D36CCEEB8E13}"/>
    <cellStyle name="Millares 6 3 3 4 9" xfId="17666" xr:uid="{3C08542C-A5B3-47D5-9ACA-140877516771}"/>
    <cellStyle name="Millares 6 3 3 5" xfId="2000" xr:uid="{70BB7479-5F59-4FB2-A81F-22C3BAB1980B}"/>
    <cellStyle name="Millares 6 3 3 5 2" xfId="10271" xr:uid="{57E97DB9-77EB-4C4F-B03A-864EE9F1F020}"/>
    <cellStyle name="Millares 6 3 3 5 2 2" xfId="45431" xr:uid="{580C3455-B15A-42C6-9F56-17F84EB9A87E}"/>
    <cellStyle name="Millares 6 3 3 5 3" xfId="13111" xr:uid="{7CEDFC86-036C-4FA6-B691-32DC6A653230}"/>
    <cellStyle name="Millares 6 3 3 5 4" xfId="39178" xr:uid="{9ABC13F1-E386-4D2A-B289-A387D0573A85}"/>
    <cellStyle name="Millares 6 3 3 5 5" xfId="43035" xr:uid="{80E71F7A-9F9C-4058-844B-A902796B61C5}"/>
    <cellStyle name="Millares 6 3 3 5 6" xfId="47928" xr:uid="{58D8E007-AB2B-4DB6-BF4A-AC02818C86B2}"/>
    <cellStyle name="Millares 6 3 3 6" xfId="2418" xr:uid="{18921595-5F0A-462D-A556-30A4FE4F6AD0}"/>
    <cellStyle name="Millares 6 3 3 6 2" xfId="10689" xr:uid="{EA5CF41E-01F3-41F0-9AAA-08C5118ED7BA}"/>
    <cellStyle name="Millares 6 3 3 6 2 2" xfId="45849" xr:uid="{3B4FEB4D-1E9A-45E4-A71A-95A180F65369}"/>
    <cellStyle name="Millares 6 3 3 6 3" xfId="13529" xr:uid="{6A4C6DE4-2A95-42E2-A6DB-42605D22D329}"/>
    <cellStyle name="Millares 6 3 3 6 4" xfId="43453" xr:uid="{38D4168B-DDD1-41BC-B17D-7CE3E19416A2}"/>
    <cellStyle name="Millares 6 3 3 6 5" xfId="48346" xr:uid="{989E3862-760A-4027-9580-345CA52A178A}"/>
    <cellStyle name="Millares 6 3 3 7" xfId="2962" xr:uid="{75C4C4FD-E4AE-4505-9F34-48729FB289E1}"/>
    <cellStyle name="Millares 6 3 3 7 2" xfId="11233" xr:uid="{01FCF1A4-3E3F-4BBC-8ADB-FABE7C7A1884}"/>
    <cellStyle name="Millares 6 3 3 7 2 2" xfId="46393" xr:uid="{FA9C6218-0BEF-4A25-B17E-9C386F6FB3DF}"/>
    <cellStyle name="Millares 6 3 3 7 3" xfId="14073" xr:uid="{EF3EA5F2-4349-463C-835D-96D9134A2AB8}"/>
    <cellStyle name="Millares 6 3 3 7 4" xfId="43997" xr:uid="{C20A4E13-CFB5-4C70-850B-EE6590C3D2AF}"/>
    <cellStyle name="Millares 6 3 3 7 5" xfId="48890" xr:uid="{5B05F668-A6EE-41D6-9584-0634792152C1}"/>
    <cellStyle name="Millares 6 3 3 8" xfId="3464" xr:uid="{A84A0AB6-D7DA-4703-B22D-4D92550FAAF2}"/>
    <cellStyle name="Millares 6 3 3 8 2" xfId="11705" xr:uid="{190B0AF9-1B21-46CC-BC09-274F3C8223AE}"/>
    <cellStyle name="Millares 6 3 3 8 3" xfId="14545" xr:uid="{E846381C-FF2F-4636-8D06-C2A7997F3595}"/>
    <cellStyle name="Millares 6 3 3 8 4" xfId="44469" xr:uid="{49AFD3BA-98AB-42C8-B5C6-0D0655DD168F}"/>
    <cellStyle name="Millares 6 3 3 8 5" xfId="49362" xr:uid="{14020FB0-5A81-42E1-AAE9-24340153EAA0}"/>
    <cellStyle name="Millares 6 3 3 9" xfId="7198" xr:uid="{72DBD3CA-94BA-4C9B-AC79-6C8B67A5AD60}"/>
    <cellStyle name="Millares 6 3 3 9 2" xfId="44887" xr:uid="{008EAFC2-BC1D-4899-9834-CBFA764B6246}"/>
    <cellStyle name="Millares 6 3 4" xfId="245" xr:uid="{00000000-0005-0000-0000-000082020000}"/>
    <cellStyle name="Millares 6 3 4 10" xfId="16529" xr:uid="{8203B42C-49F3-4B94-9309-B5ACB44B6532}"/>
    <cellStyle name="Millares 6 3 4 11" xfId="17073" xr:uid="{E5C20D38-371D-46F2-9740-AA7F571C7D6D}"/>
    <cellStyle name="Millares 6 3 4 12" xfId="18842" xr:uid="{3F7AE995-42E3-4490-95BC-9C11E4399A25}"/>
    <cellStyle name="Millares 6 3 4 13" xfId="17993" xr:uid="{9118B968-4317-4E22-9949-33CD9136A8BC}"/>
    <cellStyle name="Millares 6 3 4 14" xfId="42567" xr:uid="{FC673F41-5999-49AF-BDE6-14B910BE9601}"/>
    <cellStyle name="Millares 6 3 4 15" xfId="47460" xr:uid="{EF5CFABC-62F0-465B-8AD4-47B6106336F6}"/>
    <cellStyle name="Millares 6 3 4 2" xfId="472" xr:uid="{00000000-0005-0000-0000-000083020000}"/>
    <cellStyle name="Millares 6 3 4 2 10" xfId="17285" xr:uid="{D7A955BB-CC02-4767-8898-28D066C43DE7}"/>
    <cellStyle name="Millares 6 3 4 2 11" xfId="17961" xr:uid="{E3736AF1-B2E8-413C-AA20-402696ADBE32}"/>
    <cellStyle name="Millares 6 3 4 2 12" xfId="42779" xr:uid="{37FC22E4-1E19-4A7F-9EA1-737C59D70DC8}"/>
    <cellStyle name="Millares 6 3 4 2 13" xfId="47672" xr:uid="{6FCD6641-D9D7-4F38-A622-929F6DBE047F}"/>
    <cellStyle name="Millares 6 3 4 2 2" xfId="2288" xr:uid="{EF8FE27E-E3EA-44E2-8CB5-16C2E7294368}"/>
    <cellStyle name="Millares 6 3 4 2 2 2" xfId="10559" xr:uid="{E87375AF-E732-4378-B3F6-C6361C0E3E00}"/>
    <cellStyle name="Millares 6 3 4 2 2 2 2" xfId="45719" xr:uid="{B445B5E8-4C29-4783-B317-22C868C80231}"/>
    <cellStyle name="Millares 6 3 4 2 2 3" xfId="13399" xr:uid="{7A9D35F5-A8E0-482D-B698-062C32088C08}"/>
    <cellStyle name="Millares 6 3 4 2 2 4" xfId="43323" xr:uid="{2CE4FE2A-CD53-44FF-A504-C1F046063E38}"/>
    <cellStyle name="Millares 6 3 4 2 2 5" xfId="48216" xr:uid="{1E9648B4-F6DC-409E-957F-E62FA89EA14D}"/>
    <cellStyle name="Millares 6 3 4 2 3" xfId="2706" xr:uid="{8B50E380-640E-45D6-937C-D56E8D2400D4}"/>
    <cellStyle name="Millares 6 3 4 2 3 2" xfId="10977" xr:uid="{04D3DAEC-1EAD-4C22-8CBA-58FD5F806A59}"/>
    <cellStyle name="Millares 6 3 4 2 3 2 2" xfId="46137" xr:uid="{0B6ED331-7F7E-4FB1-A480-A8BA502F8EB5}"/>
    <cellStyle name="Millares 6 3 4 2 3 3" xfId="13817" xr:uid="{9D2FE5D0-0BAA-4183-B685-73C3DAF4D6A7}"/>
    <cellStyle name="Millares 6 3 4 2 3 4" xfId="43741" xr:uid="{FC0FA0DB-7876-41F2-A45B-744910A8692A}"/>
    <cellStyle name="Millares 6 3 4 2 3 5" xfId="48634" xr:uid="{9C9529DF-E87E-4317-BEC2-4E120A584226}"/>
    <cellStyle name="Millares 6 3 4 2 4" xfId="3250" xr:uid="{03DCFBA7-8A28-4072-AB1D-25069BE92A39}"/>
    <cellStyle name="Millares 6 3 4 2 4 2" xfId="11521" xr:uid="{99395AC3-00E1-4133-986D-C42F515BF332}"/>
    <cellStyle name="Millares 6 3 4 2 4 2 2" xfId="46681" xr:uid="{7D437C79-C6C9-4BC2-BC54-3D6EBE488AE1}"/>
    <cellStyle name="Millares 6 3 4 2 4 3" xfId="14361" xr:uid="{8AE0C987-F8C9-4A4A-BBE4-25115ED043B5}"/>
    <cellStyle name="Millares 6 3 4 2 4 4" xfId="44285" xr:uid="{D4DBBECC-EF30-44CB-8FC5-4E28D8B8010B}"/>
    <cellStyle name="Millares 6 3 4 2 4 5" xfId="49178" xr:uid="{AE4605A4-4690-44BB-99BF-7D44072FA8AA}"/>
    <cellStyle name="Millares 6 3 4 2 5" xfId="3752" xr:uid="{80111D17-E2BE-4B0E-88B2-A35726D6B5AE}"/>
    <cellStyle name="Millares 6 3 4 2 5 2" xfId="11993" xr:uid="{BC075A86-CE35-40D9-91A6-568C85CD3F5A}"/>
    <cellStyle name="Millares 6 3 4 2 5 3" xfId="14833" xr:uid="{651F92E9-01D2-4E43-9AAE-A66A84F43132}"/>
    <cellStyle name="Millares 6 3 4 2 5 4" xfId="44757" xr:uid="{2AD67569-729F-4932-B605-CDC7A7DFCCCC}"/>
    <cellStyle name="Millares 6 3 4 2 5 5" xfId="49650" xr:uid="{C011251E-8A91-400D-BCCD-C32EEBE54288}"/>
    <cellStyle name="Millares 6 3 4 2 6" xfId="10015" xr:uid="{5D983C9A-D71B-4376-AA73-6D65E05304A7}"/>
    <cellStyle name="Millares 6 3 4 2 6 2" xfId="45175" xr:uid="{40E43A68-69FA-4172-A03A-AC039E74BA66}"/>
    <cellStyle name="Millares 6 3 4 2 7" xfId="12855" xr:uid="{5630EC2F-510A-4219-9C31-3DBDC2A6B498}"/>
    <cellStyle name="Millares 6 3 4 2 8" xfId="16198" xr:uid="{89F1BB82-CAB6-4A67-A322-842257F08196}"/>
    <cellStyle name="Millares 6 3 4 2 9" xfId="16741" xr:uid="{624A2E67-CD16-413C-B42F-2888A11C1DC6}"/>
    <cellStyle name="Millares 6 3 4 3" xfId="2076" xr:uid="{DFC3EF89-0AC9-454B-BF39-5968DEA70919}"/>
    <cellStyle name="Millares 6 3 4 3 2" xfId="10347" xr:uid="{9AB08874-D7C1-4A54-8ED2-3CE7554CA48B}"/>
    <cellStyle name="Millares 6 3 4 3 2 2" xfId="45507" xr:uid="{97828565-66E4-4250-8CD1-E98FF85F82AE}"/>
    <cellStyle name="Millares 6 3 4 3 3" xfId="13187" xr:uid="{ABD1485F-EC33-436F-8A3F-6E2E98D22700}"/>
    <cellStyle name="Millares 6 3 4 3 4" xfId="43111" xr:uid="{0EEE4213-48D2-446B-A6C7-A7605589CB4C}"/>
    <cellStyle name="Millares 6 3 4 3 5" xfId="48004" xr:uid="{B6E1AA05-5C4A-44D9-9EC5-33CF81B8A74C}"/>
    <cellStyle name="Millares 6 3 4 4" xfId="2494" xr:uid="{DF9452DD-BC12-4E8B-BC59-D970FC231FA5}"/>
    <cellStyle name="Millares 6 3 4 4 2" xfId="10765" xr:uid="{DE6DBC98-E667-4274-8390-EE07C3EC250D}"/>
    <cellStyle name="Millares 6 3 4 4 2 2" xfId="45925" xr:uid="{4BD976F9-14F3-456E-9CC9-81D663702857}"/>
    <cellStyle name="Millares 6 3 4 4 3" xfId="13605" xr:uid="{76607FF2-3379-4ABB-BB56-8EFB7112666A}"/>
    <cellStyle name="Millares 6 3 4 4 4" xfId="43529" xr:uid="{E3AA70FD-E6D6-4CA4-A546-34F31214BA09}"/>
    <cellStyle name="Millares 6 3 4 4 5" xfId="48422" xr:uid="{FC333B11-18B0-4435-924B-5381C5E2E0F2}"/>
    <cellStyle name="Millares 6 3 4 5" xfId="3038" xr:uid="{420169F4-B1EF-4101-9558-51672DD25BB6}"/>
    <cellStyle name="Millares 6 3 4 5 2" xfId="11309" xr:uid="{4CF8FDA0-DCDA-4797-A089-B10700470743}"/>
    <cellStyle name="Millares 6 3 4 5 2 2" xfId="46469" xr:uid="{DE0EFD30-1E30-4A28-A166-1817871351D0}"/>
    <cellStyle name="Millares 6 3 4 5 3" xfId="14149" xr:uid="{00D35BEE-A18D-47B3-9658-DFDE990FEECE}"/>
    <cellStyle name="Millares 6 3 4 5 4" xfId="44073" xr:uid="{71D28045-018A-42C5-B079-7440B685DCAD}"/>
    <cellStyle name="Millares 6 3 4 5 5" xfId="48966" xr:uid="{744D18E6-4877-4F79-9061-3578800FD90E}"/>
    <cellStyle name="Millares 6 3 4 6" xfId="3540" xr:uid="{66CDFF7B-B576-4955-948D-6EEE53E24425}"/>
    <cellStyle name="Millares 6 3 4 6 2" xfId="11781" xr:uid="{EECC40EB-4846-4E82-9C06-4BFD0F618C0A}"/>
    <cellStyle name="Millares 6 3 4 6 3" xfId="14621" xr:uid="{7DD8F19A-EDB9-4FB8-A05C-2DF5BB92066E}"/>
    <cellStyle name="Millares 6 3 4 6 4" xfId="44545" xr:uid="{7AA4DEB5-8AF8-43ED-B533-052C14C8025C}"/>
    <cellStyle name="Millares 6 3 4 6 5" xfId="49438" xr:uid="{C8757385-6713-47E4-8226-FF5C475DFD55}"/>
    <cellStyle name="Millares 6 3 4 7" xfId="9803" xr:uid="{7143716E-12D6-4961-AD8C-B7504C22E306}"/>
    <cellStyle name="Millares 6 3 4 7 2" xfId="44963" xr:uid="{01C4F78D-1C2A-4408-B948-2D86FBC74311}"/>
    <cellStyle name="Millares 6 3 4 8" xfId="12643" xr:uid="{3DFEB288-3475-418A-AECA-2AA472A2559E}"/>
    <cellStyle name="Millares 6 3 4 9" xfId="15986" xr:uid="{AA742BFC-A394-4D17-B7AB-969CB0A3B101}"/>
    <cellStyle name="Millares 6 3 5" xfId="371" xr:uid="{00000000-0005-0000-0000-000084020000}"/>
    <cellStyle name="Millares 6 3 5 10" xfId="17185" xr:uid="{D12E8291-A571-4A41-AC71-7B79FF003D01}"/>
    <cellStyle name="Millares 6 3 5 11" xfId="24583" xr:uid="{CAE9901E-0774-451E-9AF1-3B39BD11D8D0}"/>
    <cellStyle name="Millares 6 3 5 12" xfId="18048" xr:uid="{A57C1E21-4AC1-4BE7-9FD9-4D69750CA4E6}"/>
    <cellStyle name="Millares 6 3 5 13" xfId="42679" xr:uid="{EE1002A4-FAAB-465E-A42F-C79CEAE543EE}"/>
    <cellStyle name="Millares 6 3 5 14" xfId="47572" xr:uid="{311833F6-3D7A-4A32-8188-60566D105FD6}"/>
    <cellStyle name="Millares 6 3 5 2" xfId="2188" xr:uid="{8A061A1B-CE2A-4619-982B-C248D0DB4343}"/>
    <cellStyle name="Millares 6 3 5 2 2" xfId="10459" xr:uid="{41659785-849F-47E2-8A9F-FC323B9A4669}"/>
    <cellStyle name="Millares 6 3 5 2 2 2" xfId="45619" xr:uid="{F4EF0EEF-1F5A-4D95-BBD1-7B11A9A1C7FA}"/>
    <cellStyle name="Millares 6 3 5 2 3" xfId="13299" xr:uid="{6011BADB-1176-4BB7-AF1F-7DFD13AB4F2E}"/>
    <cellStyle name="Millares 6 3 5 2 4" xfId="43223" xr:uid="{099525A0-A309-4963-9831-3E494BC8CF10}"/>
    <cellStyle name="Millares 6 3 5 2 5" xfId="48116" xr:uid="{5E3220FD-E14D-4AF5-A659-43C1158CD53A}"/>
    <cellStyle name="Millares 6 3 5 3" xfId="2606" xr:uid="{4EE762A7-440F-4749-8C43-AA55AD74FF62}"/>
    <cellStyle name="Millares 6 3 5 3 2" xfId="10877" xr:uid="{A710BC02-FE8D-4C9C-8F1C-BE357A7C59E2}"/>
    <cellStyle name="Millares 6 3 5 3 2 2" xfId="46037" xr:uid="{F986F54F-066E-4958-8363-A811D4B27C71}"/>
    <cellStyle name="Millares 6 3 5 3 3" xfId="13717" xr:uid="{C9BFFEA4-2596-4F1F-838C-4BE2E8F02FA0}"/>
    <cellStyle name="Millares 6 3 5 3 4" xfId="43641" xr:uid="{F9C78E66-8A1D-44F8-9D4E-078B98A11FED}"/>
    <cellStyle name="Millares 6 3 5 3 5" xfId="48534" xr:uid="{1C1D1572-F182-4430-8225-8C865EFB005A}"/>
    <cellStyle name="Millares 6 3 5 4" xfId="3150" xr:uid="{4E05C7BE-3F91-4695-9A95-9C926BC303E8}"/>
    <cellStyle name="Millares 6 3 5 4 2" xfId="11421" xr:uid="{644820DC-3A1C-42A6-8D79-132DF0755C1F}"/>
    <cellStyle name="Millares 6 3 5 4 2 2" xfId="46581" xr:uid="{74AC0C3B-272D-4C0C-939E-174C6D2F4B0C}"/>
    <cellStyle name="Millares 6 3 5 4 3" xfId="14261" xr:uid="{88617326-C2E1-4195-A90C-43F70FD10CC3}"/>
    <cellStyle name="Millares 6 3 5 4 4" xfId="44185" xr:uid="{AE23BDB2-87E7-4252-858A-DB787D9E51E1}"/>
    <cellStyle name="Millares 6 3 5 4 5" xfId="49078" xr:uid="{0E641157-38B4-4B25-A41F-92224DBD57E9}"/>
    <cellStyle name="Millares 6 3 5 5" xfId="3652" xr:uid="{CABC98AE-6D23-40DA-A00D-50A9B7A3B845}"/>
    <cellStyle name="Millares 6 3 5 5 2" xfId="11893" xr:uid="{3634592E-1A04-4D57-AC71-CE6C97D46424}"/>
    <cellStyle name="Millares 6 3 5 5 3" xfId="14733" xr:uid="{004214F0-90AB-436E-86AF-EC7EF31A7C91}"/>
    <cellStyle name="Millares 6 3 5 5 4" xfId="44657" xr:uid="{688B7087-D3F0-492F-9F14-3814BA2A026F}"/>
    <cellStyle name="Millares 6 3 5 5 5" xfId="49550" xr:uid="{63D7A5A0-61CD-4DA0-B92C-EAF4E33FB2F5}"/>
    <cellStyle name="Millares 6 3 5 6" xfId="9915" xr:uid="{B4EDA152-591C-4C95-98AE-5125664074DD}"/>
    <cellStyle name="Millares 6 3 5 6 2" xfId="45075" xr:uid="{622E63FC-6984-4D6E-AA8E-74F2B263CBE8}"/>
    <cellStyle name="Millares 6 3 5 7" xfId="12755" xr:uid="{2F19D08B-4287-461C-8623-7E6F4465DC94}"/>
    <cellStyle name="Millares 6 3 5 8" xfId="16098" xr:uid="{897BC2AF-3DFF-483B-A28E-9E3B100AF2E6}"/>
    <cellStyle name="Millares 6 3 5 9" xfId="16641" xr:uid="{0BE4631D-9427-4B5C-BA00-3AAAFC1EC022}"/>
    <cellStyle name="Millares 6 3 6" xfId="574" xr:uid="{00000000-0005-0000-0000-000085020000}"/>
    <cellStyle name="Millares 6 3 6 10" xfId="42881" xr:uid="{C294FD98-9F10-41BA-8C6E-7E45EFCA3314}"/>
    <cellStyle name="Millares 6 3 6 11" xfId="47774" xr:uid="{7634DE61-5187-443B-9A89-E177F4C0FBF4}"/>
    <cellStyle name="Millares 6 3 6 2" xfId="2808" xr:uid="{67082ECE-595F-49C3-A96F-9D4CB612FC3C}"/>
    <cellStyle name="Millares 6 3 6 2 2" xfId="11079" xr:uid="{E1C8CE61-9DE7-4727-BDC4-96B4D7A31242}"/>
    <cellStyle name="Millares 6 3 6 2 2 2" xfId="46239" xr:uid="{E85E386E-D9B7-45E4-BF69-4BDBDEB3AE1A}"/>
    <cellStyle name="Millares 6 3 6 2 3" xfId="13919" xr:uid="{2F536CE7-625B-4121-9839-5D02FB7B1658}"/>
    <cellStyle name="Millares 6 3 6 2 4" xfId="43843" xr:uid="{D895C0D8-3B70-4148-85A3-336F44B8C420}"/>
    <cellStyle name="Millares 6 3 6 2 5" xfId="48736" xr:uid="{BA521C5C-776A-4354-80C9-03C1896CE340}"/>
    <cellStyle name="Millares 6 3 6 3" xfId="10117" xr:uid="{DEA2CEAA-AED4-44A9-B914-68904F1A4199}"/>
    <cellStyle name="Millares 6 3 6 3 2" xfId="45277" xr:uid="{7362F56E-E735-4A6B-9E95-54C5972F9F70}"/>
    <cellStyle name="Millares 6 3 6 4" xfId="12957" xr:uid="{B2650478-7759-42D2-86C3-7191BB78C3F2}"/>
    <cellStyle name="Millares 6 3 6 5" xfId="16300" xr:uid="{E5105B52-610C-415A-B3D6-7E422046D284}"/>
    <cellStyle name="Millares 6 3 6 6" xfId="16843" xr:uid="{5D0FE803-DCAC-4DC7-91E1-CD0FC9B3AFF0}"/>
    <cellStyle name="Millares 6 3 6 7" xfId="17387" xr:uid="{F54743FD-9387-4AEA-8093-5AE458BF595E}"/>
    <cellStyle name="Millares 6 3 6 8" xfId="30462" xr:uid="{44012FAA-CBAD-410F-9473-737D308D50E9}"/>
    <cellStyle name="Millares 6 3 6 9" xfId="17818" xr:uid="{CD20A1A9-E4F5-4997-9C34-E2A5430C3DB4}"/>
    <cellStyle name="Millares 6 3 7" xfId="1763" xr:uid="{00000000-0005-0000-0000-000086020000}"/>
    <cellStyle name="Millares 6 3 7 2" xfId="36342" xr:uid="{12664BCC-5DE4-4247-8534-9F348367D1E6}"/>
    <cellStyle name="Millares 6 3 7 3" xfId="46954" xr:uid="{8DD07015-AE36-4C90-807A-ADF3ADF6E092}"/>
    <cellStyle name="Millares 6 3 7 4" xfId="47043" xr:uid="{9BE4AC63-B99D-4672-A705-AE476E1F500D}"/>
    <cellStyle name="Millares 6 3 8" xfId="1972" xr:uid="{818FC382-01FB-4841-93E9-16694316CB2B}"/>
    <cellStyle name="Millares 6 3 8 2" xfId="10243" xr:uid="{64630296-7E41-4B0D-9B11-15C15F7F9EC9}"/>
    <cellStyle name="Millares 6 3 8 2 2" xfId="45403" xr:uid="{759B27AF-E876-4962-ACD2-B5CCF103453A}"/>
    <cellStyle name="Millares 6 3 8 3" xfId="13083" xr:uid="{06253781-E6F3-40C4-85AD-EBC44989A893}"/>
    <cellStyle name="Millares 6 3 8 4" xfId="43007" xr:uid="{51335401-43CB-40A0-B92C-BF608F99249F}"/>
    <cellStyle name="Millares 6 3 8 5" xfId="47900" xr:uid="{2BC24055-25BA-469E-9C21-7B30B4EB7EA7}"/>
    <cellStyle name="Millares 6 3 9" xfId="2390" xr:uid="{08DE1AF0-DD60-4845-868A-F542C7065E73}"/>
    <cellStyle name="Millares 6 3 9 2" xfId="10661" xr:uid="{B1142BF2-3BBD-4434-93D8-12DE53D707F1}"/>
    <cellStyle name="Millares 6 3 9 2 2" xfId="45821" xr:uid="{A32FC3E0-8D9A-452F-BAD7-7DA169D54D49}"/>
    <cellStyle name="Millares 6 3 9 3" xfId="13501" xr:uid="{53456FE7-1708-4115-8094-F360BCF02C99}"/>
    <cellStyle name="Millares 6 3 9 4" xfId="43425" xr:uid="{994C4B54-B5E9-4581-BE31-95ECE7B6EF9A}"/>
    <cellStyle name="Millares 6 3 9 5" xfId="48318" xr:uid="{BF45204C-0384-4DEF-A8B8-9FBF0C410564}"/>
    <cellStyle name="Millares 6 4" xfId="189" xr:uid="{00000000-0005-0000-0000-000087020000}"/>
    <cellStyle name="Millares 6 4 2" xfId="7685" xr:uid="{2EFCE2BA-45C7-4656-8381-91CCE5232D70}"/>
    <cellStyle name="Millares 6 4 2 2" xfId="22075" xr:uid="{D10B91E3-E8CF-485E-8CA5-B9827F036352}"/>
    <cellStyle name="Millares 6 4 2 3" xfId="27918" xr:uid="{BF1233C8-16D4-453B-887C-58ECE8463223}"/>
    <cellStyle name="Millares 6 4 2 4" xfId="33800" xr:uid="{2067C581-93DA-4FA6-958E-41E870AFF353}"/>
    <cellStyle name="Millares 6 4 2 5" xfId="39664" xr:uid="{535B922C-D5F1-4FB3-B962-7BFCB1E71FBF}"/>
    <cellStyle name="Millares 6 4 2 6" xfId="46955" xr:uid="{27581328-771E-4DCF-8BB3-DA2B48CAEE1C}"/>
    <cellStyle name="Millares 6 4 2 7" xfId="47077" xr:uid="{444681D7-7F72-4A58-BE0B-0DDE14CADEBD}"/>
    <cellStyle name="Millares 6 4 3" xfId="19301" xr:uid="{9614DC9C-FD3C-436E-9799-B6A012283A6C}"/>
    <cellStyle name="Millares 6 4 4" xfId="25069" xr:uid="{A489C5CF-4372-40C1-A105-FC3B6A5E8511}"/>
    <cellStyle name="Millares 6 4 5" xfId="30943" xr:uid="{7156767C-D108-498C-BA99-91D3F7726A97}"/>
    <cellStyle name="Millares 6 4 6" xfId="36822" xr:uid="{3511E10B-E3B3-4334-80C5-26A1E29F2C50}"/>
    <cellStyle name="Millares 6 4 7" xfId="46956" xr:uid="{009B4405-7B10-4673-8914-BB7938D1A422}"/>
    <cellStyle name="Millares 6 4 8" xfId="47031" xr:uid="{380D12F6-C4CD-41C0-8F5F-CAC932134CA0}"/>
    <cellStyle name="Millares 6 5" xfId="174" xr:uid="{00000000-0005-0000-0000-000088020000}"/>
    <cellStyle name="Millares 6 5 10" xfId="9741" xr:uid="{6D3ED0CF-8F15-4B22-AB27-507D9F6DD6DE}"/>
    <cellStyle name="Millares 6 5 11" xfId="12581" xr:uid="{0ECB6EF9-BD0B-4CA8-B9D9-39A89DFCEED6}"/>
    <cellStyle name="Millares 6 5 12" xfId="15924" xr:uid="{3BD2C3FF-7A76-4E46-8B55-9054D56FBFF6}"/>
    <cellStyle name="Millares 6 5 13" xfId="16467" xr:uid="{E12E6C3E-34B6-4FC3-ABD0-12A504E084BC}"/>
    <cellStyle name="Millares 6 5 14" xfId="17011" xr:uid="{3AA730FF-0EB0-438E-9B4F-72F6B901A736}"/>
    <cellStyle name="Millares 6 5 15" xfId="18144" xr:uid="{1991D96F-94C7-4970-BA57-ACE040F8E129}"/>
    <cellStyle name="Millares 6 5 16" xfId="42505" xr:uid="{3EC8E75D-4E41-44E3-B1DA-D25514F6707F}"/>
    <cellStyle name="Millares 6 5 17" xfId="47398" xr:uid="{C766D7FC-DFAF-4DB6-9C39-E0FDA3B98798}"/>
    <cellStyle name="Millares 6 5 2" xfId="287" xr:uid="{00000000-0005-0000-0000-000089020000}"/>
    <cellStyle name="Millares 6 5 2 10" xfId="16028" xr:uid="{C040F360-1CD7-48B9-864F-2B01A126B650}"/>
    <cellStyle name="Millares 6 5 2 11" xfId="16571" xr:uid="{43AAEEBC-7127-4860-BF1E-AAA987A6403D}"/>
    <cellStyle name="Millares 6 5 2 12" xfId="17115" xr:uid="{6C9F4DFB-9BC7-49A8-B2D0-818112737AE5}"/>
    <cellStyle name="Millares 6 5 2 13" xfId="17648" xr:uid="{EF4EB3E1-A797-4228-A13B-0B52F2276519}"/>
    <cellStyle name="Millares 6 5 2 14" xfId="42609" xr:uid="{384D8792-F3F2-4DA2-80E3-CBC4A452D5A1}"/>
    <cellStyle name="Millares 6 5 2 15" xfId="47502" xr:uid="{4582DC24-CAA8-4141-A418-4A9AEB44C2F8}"/>
    <cellStyle name="Millares 6 5 2 2" xfId="514" xr:uid="{00000000-0005-0000-0000-00008A020000}"/>
    <cellStyle name="Millares 6 5 2 2 10" xfId="17327" xr:uid="{1931696C-5D94-47FD-B456-13B5AA3A56E4}"/>
    <cellStyle name="Millares 6 5 2 2 11" xfId="23065" xr:uid="{C4756AF8-EE41-4EBA-8641-C512C8188B2E}"/>
    <cellStyle name="Millares 6 5 2 2 12" xfId="17498" xr:uid="{69323405-A20D-4672-85FE-F2E27039B6E7}"/>
    <cellStyle name="Millares 6 5 2 2 13" xfId="42821" xr:uid="{B17A7FDA-D303-429A-9449-C094DA69D0F1}"/>
    <cellStyle name="Millares 6 5 2 2 14" xfId="47714" xr:uid="{CB47505D-1B86-400C-AFD8-E755219807A3}"/>
    <cellStyle name="Millares 6 5 2 2 2" xfId="2330" xr:uid="{9AEB0AF1-D749-4688-86CE-02F33E94AE31}"/>
    <cellStyle name="Millares 6 5 2 2 2 2" xfId="10601" xr:uid="{BD9D5517-C6F6-4795-90D3-3B304908BE09}"/>
    <cellStyle name="Millares 6 5 2 2 2 2 2" xfId="45761" xr:uid="{E894A9CE-E34A-48BA-B3B4-7A9ECC0D1147}"/>
    <cellStyle name="Millares 6 5 2 2 2 3" xfId="13441" xr:uid="{821B578B-7B76-4B25-94C6-5D7913BFC0DD}"/>
    <cellStyle name="Millares 6 5 2 2 2 4" xfId="43365" xr:uid="{F10F6E90-76C3-4F60-8695-9802D8E0182C}"/>
    <cellStyle name="Millares 6 5 2 2 2 5" xfId="48258" xr:uid="{910600DD-D5C2-4B29-9C91-51E582CD1BF2}"/>
    <cellStyle name="Millares 6 5 2 2 3" xfId="2748" xr:uid="{FF053E6B-A595-4F04-9C74-001CD1B934C0}"/>
    <cellStyle name="Millares 6 5 2 2 3 2" xfId="11019" xr:uid="{271C66AC-7D7B-48E4-ABE7-303074E37CA3}"/>
    <cellStyle name="Millares 6 5 2 2 3 2 2" xfId="46179" xr:uid="{8116D614-A5C0-4156-BBC1-5B67F98ACC9C}"/>
    <cellStyle name="Millares 6 5 2 2 3 3" xfId="13859" xr:uid="{8B8D4650-F163-404B-B608-007EAB22E2A4}"/>
    <cellStyle name="Millares 6 5 2 2 3 4" xfId="43783" xr:uid="{86C4F630-5FBD-4858-9309-5D124103515C}"/>
    <cellStyle name="Millares 6 5 2 2 3 5" xfId="48676" xr:uid="{EE014829-203B-40CE-9EF3-2F0E4F87CE26}"/>
    <cellStyle name="Millares 6 5 2 2 4" xfId="3292" xr:uid="{5F1DE8E4-2BF0-4E56-B6D4-1A6F60540CA7}"/>
    <cellStyle name="Millares 6 5 2 2 4 2" xfId="11563" xr:uid="{B88041A9-CBB0-40E3-A803-7E88F4B1BE9A}"/>
    <cellStyle name="Millares 6 5 2 2 4 2 2" xfId="46723" xr:uid="{ABA0A4AA-2C73-431B-8A7E-0546DFA72EF2}"/>
    <cellStyle name="Millares 6 5 2 2 4 3" xfId="14403" xr:uid="{D862C1D5-3718-4F78-9EBC-09DF49914294}"/>
    <cellStyle name="Millares 6 5 2 2 4 4" xfId="44327" xr:uid="{7D6C0923-C8DA-4F21-9390-8C4C54C11137}"/>
    <cellStyle name="Millares 6 5 2 2 4 5" xfId="49220" xr:uid="{91B226AF-816D-4670-B486-AC7226DF9A3D}"/>
    <cellStyle name="Millares 6 5 2 2 5" xfId="3794" xr:uid="{3C4D9C40-B724-4C81-BD59-5A2C0C049ECA}"/>
    <cellStyle name="Millares 6 5 2 2 5 2" xfId="12035" xr:uid="{70F8420F-9419-4DDB-B961-997594E31BC4}"/>
    <cellStyle name="Millares 6 5 2 2 5 3" xfId="14875" xr:uid="{DE37A17C-2549-4F96-AEA1-71E108A6916D}"/>
    <cellStyle name="Millares 6 5 2 2 5 4" xfId="44799" xr:uid="{1DD86C58-9579-4496-A880-6BCF8E39ECF8}"/>
    <cellStyle name="Millares 6 5 2 2 5 5" xfId="49692" xr:uid="{BBC9EAC2-3DF4-4251-A5E0-C1F2CD6C910B}"/>
    <cellStyle name="Millares 6 5 2 2 6" xfId="10057" xr:uid="{B468101E-F88C-485A-847A-168FA2BBD408}"/>
    <cellStyle name="Millares 6 5 2 2 6 2" xfId="45217" xr:uid="{6BB4FA81-4A86-4F78-998A-6F9BD55E3711}"/>
    <cellStyle name="Millares 6 5 2 2 7" xfId="12897" xr:uid="{6AC9153B-D214-42A8-B2D9-C49E826C73D0}"/>
    <cellStyle name="Millares 6 5 2 2 8" xfId="16240" xr:uid="{BE902E06-5933-4231-8056-FA19C632CF99}"/>
    <cellStyle name="Millares 6 5 2 2 9" xfId="16783" xr:uid="{348555F5-FF4E-4585-ABA5-04702130DDC8}"/>
    <cellStyle name="Millares 6 5 2 3" xfId="2118" xr:uid="{8AA2A7C8-2275-4839-BBC9-767F985972E9}"/>
    <cellStyle name="Millares 6 5 2 3 2" xfId="10389" xr:uid="{B7FD5BD8-B911-4EA5-BCB6-853172BB09FF}"/>
    <cellStyle name="Millares 6 5 2 3 2 2" xfId="45549" xr:uid="{9956DE22-1B1C-4BE4-9C7C-A0366A01596D}"/>
    <cellStyle name="Millares 6 5 2 3 3" xfId="13229" xr:uid="{8A9E200D-178C-4E35-A11A-C0CF9E61E5B1}"/>
    <cellStyle name="Millares 6 5 2 3 4" xfId="28929" xr:uid="{A27F3747-022A-4F7E-9411-829984EDF8AB}"/>
    <cellStyle name="Millares 6 5 2 3 5" xfId="43153" xr:uid="{D27BFE34-5E1D-4A01-8B78-DE4E9C3FE582}"/>
    <cellStyle name="Millares 6 5 2 3 6" xfId="48046" xr:uid="{F84048A8-DCBF-49F1-A021-ADDB10A8B4BE}"/>
    <cellStyle name="Millares 6 5 2 4" xfId="2536" xr:uid="{A2A72A1C-1463-4D68-A5EA-3FF9BA706786}"/>
    <cellStyle name="Millares 6 5 2 4 2" xfId="10807" xr:uid="{B34BF17D-D967-452B-925B-C8858CDD598E}"/>
    <cellStyle name="Millares 6 5 2 4 2 2" xfId="45967" xr:uid="{28891B27-2605-4DBC-B618-D2A1AE910D97}"/>
    <cellStyle name="Millares 6 5 2 4 3" xfId="13647" xr:uid="{35A9E865-AF6D-4582-B0AC-2AC70597CF3E}"/>
    <cellStyle name="Millares 6 5 2 4 4" xfId="34811" xr:uid="{566BAE60-55D2-4831-805B-08B334513D90}"/>
    <cellStyle name="Millares 6 5 2 4 5" xfId="43571" xr:uid="{8B8E1408-B9CE-4584-9CB5-4164153AD1D6}"/>
    <cellStyle name="Millares 6 5 2 4 6" xfId="48464" xr:uid="{87FD4314-EC44-4A72-BFB8-039F3B168528}"/>
    <cellStyle name="Millares 6 5 2 5" xfId="3080" xr:uid="{63595BA0-C4EF-4545-89DE-FAE21CC94C2B}"/>
    <cellStyle name="Millares 6 5 2 5 2" xfId="11351" xr:uid="{0570A504-DB9A-4C58-9B76-CB62A0ECA6F8}"/>
    <cellStyle name="Millares 6 5 2 5 2 2" xfId="46511" xr:uid="{CEF22771-D452-49B6-94F6-E59CB6EF45C9}"/>
    <cellStyle name="Millares 6 5 2 5 3" xfId="14191" xr:uid="{68F47336-F9BA-4243-AD11-D9A2D0CA8609}"/>
    <cellStyle name="Millares 6 5 2 5 4" xfId="40675" xr:uid="{0C18FB91-F119-43C8-83D7-E656BC0B3848}"/>
    <cellStyle name="Millares 6 5 2 5 5" xfId="44115" xr:uid="{490218ED-0A9B-4286-BD56-86086714F349}"/>
    <cellStyle name="Millares 6 5 2 5 6" xfId="49008" xr:uid="{14AED35D-6412-4C51-91EC-169296AFF3BF}"/>
    <cellStyle name="Millares 6 5 2 6" xfId="3582" xr:uid="{27C5C7BB-ABBA-43D6-9FA7-0C3A8B42A4BB}"/>
    <cellStyle name="Millares 6 5 2 6 2" xfId="11823" xr:uid="{4ADC20D7-83F3-4BA3-B2F2-DBCCCA9D6532}"/>
    <cellStyle name="Millares 6 5 2 6 3" xfId="14663" xr:uid="{67C14754-93D4-4D45-9DA7-CB36F0CCB0AE}"/>
    <cellStyle name="Millares 6 5 2 6 4" xfId="44587" xr:uid="{0EA7AE1B-7DE7-47B6-B98E-674D3DCE63C3}"/>
    <cellStyle name="Millares 6 5 2 6 5" xfId="49480" xr:uid="{9017C116-8D9C-4B05-8ADE-1E9F89679588}"/>
    <cellStyle name="Millares 6 5 2 7" xfId="8697" xr:uid="{EBE7A369-2BB0-487C-ABA0-2BC433EC2685}"/>
    <cellStyle name="Millares 6 5 2 7 2" xfId="45005" xr:uid="{FF480BA1-5472-412F-B377-29439568DD2D}"/>
    <cellStyle name="Millares 6 5 2 8" xfId="9845" xr:uid="{E97E86D4-A106-44E5-8911-2D181C6D9938}"/>
    <cellStyle name="Millares 6 5 2 9" xfId="12685" xr:uid="{D9E5CFFE-73B8-4F8D-9DD0-024FBE26B8F1}"/>
    <cellStyle name="Millares 6 5 3" xfId="413" xr:uid="{00000000-0005-0000-0000-00008B020000}"/>
    <cellStyle name="Millares 6 5 3 10" xfId="17227" xr:uid="{E7ED784F-3092-4261-AEA9-4630948A7C0C}"/>
    <cellStyle name="Millares 6 5 3 11" xfId="20280" xr:uid="{59ACA678-A259-453F-BA5A-44851C91ABB0}"/>
    <cellStyle name="Millares 6 5 3 12" xfId="23134" xr:uid="{1972449E-4477-433D-B09E-A45BB6AFFDED}"/>
    <cellStyle name="Millares 6 5 3 13" xfId="42721" xr:uid="{98BAB3FE-679D-44B4-BED2-8901A8F3651D}"/>
    <cellStyle name="Millares 6 5 3 14" xfId="47614" xr:uid="{600E889A-C629-4F8E-9B10-4824B314D4D9}"/>
    <cellStyle name="Millares 6 5 3 2" xfId="2230" xr:uid="{5A8C4551-344E-41EF-93A5-DD21655618EE}"/>
    <cellStyle name="Millares 6 5 3 2 2" xfId="10501" xr:uid="{B2AAC50A-B137-436B-9182-96BA8ABEF6B8}"/>
    <cellStyle name="Millares 6 5 3 2 2 2" xfId="45661" xr:uid="{7C55EE42-0730-4463-AB93-D0C7056E5636}"/>
    <cellStyle name="Millares 6 5 3 2 3" xfId="13341" xr:uid="{925352BA-2A5B-4353-AABE-DD851081B754}"/>
    <cellStyle name="Millares 6 5 3 2 4" xfId="43265" xr:uid="{4021B33C-C539-497F-B712-D9BD2A5EB18B}"/>
    <cellStyle name="Millares 6 5 3 2 5" xfId="48158" xr:uid="{9AE1BEFC-9E04-4AB9-B6B3-1AD16D0E817D}"/>
    <cellStyle name="Millares 6 5 3 3" xfId="2648" xr:uid="{20942E4B-31CC-40C4-A02B-1B69A643BA4A}"/>
    <cellStyle name="Millares 6 5 3 3 2" xfId="10919" xr:uid="{365220D3-C532-47EF-B631-9350EB72930A}"/>
    <cellStyle name="Millares 6 5 3 3 2 2" xfId="46079" xr:uid="{6E34B234-400B-40B3-ADC3-0104A869C1A4}"/>
    <cellStyle name="Millares 6 5 3 3 3" xfId="13759" xr:uid="{99CD18CF-C466-4FC5-8D83-9CC4C1C75652}"/>
    <cellStyle name="Millares 6 5 3 3 4" xfId="43683" xr:uid="{1F217A4A-3534-4F83-8931-2E65B19CA913}"/>
    <cellStyle name="Millares 6 5 3 3 5" xfId="48576" xr:uid="{56513255-CA29-480C-A856-C8393E2472C3}"/>
    <cellStyle name="Millares 6 5 3 4" xfId="3192" xr:uid="{877363E6-1E7F-4C95-B508-912BF89CF835}"/>
    <cellStyle name="Millares 6 5 3 4 2" xfId="11463" xr:uid="{99389D43-1072-4BBD-81F1-5A042D9F5504}"/>
    <cellStyle name="Millares 6 5 3 4 2 2" xfId="46623" xr:uid="{9713994F-3DBC-408A-ACF9-A0CD57E7B23E}"/>
    <cellStyle name="Millares 6 5 3 4 3" xfId="14303" xr:uid="{A7024DDC-22F8-4B36-A569-653A44BB55CE}"/>
    <cellStyle name="Millares 6 5 3 4 4" xfId="44227" xr:uid="{2C0AF52F-389C-423A-A507-83573D630C07}"/>
    <cellStyle name="Millares 6 5 3 4 5" xfId="49120" xr:uid="{B9D13B78-2B62-42A6-88D8-FE07E478D695}"/>
    <cellStyle name="Millares 6 5 3 5" xfId="3694" xr:uid="{2FB02ED4-9D89-4B03-A3EA-E4924C2E650A}"/>
    <cellStyle name="Millares 6 5 3 5 2" xfId="11935" xr:uid="{8D2F1162-F9D0-44A3-AB8F-A81B21E87B3F}"/>
    <cellStyle name="Millares 6 5 3 5 3" xfId="14775" xr:uid="{96089CE8-4763-49F9-8C1C-8359C16BEC22}"/>
    <cellStyle name="Millares 6 5 3 5 4" xfId="44699" xr:uid="{F76953AC-5B49-4296-9046-C1203804BF50}"/>
    <cellStyle name="Millares 6 5 3 5 5" xfId="49592" xr:uid="{F00E260F-0BDE-4E3C-ADAD-9E17D8B6884C}"/>
    <cellStyle name="Millares 6 5 3 6" xfId="9957" xr:uid="{209C76F6-CD3F-427A-99BC-833D2FC57576}"/>
    <cellStyle name="Millares 6 5 3 6 2" xfId="45117" xr:uid="{ED215F23-DC58-4A92-9AF1-8C6BCE264277}"/>
    <cellStyle name="Millares 6 5 3 7" xfId="12797" xr:uid="{94947BC4-9A05-424E-945E-6DDEEBDE09B4}"/>
    <cellStyle name="Millares 6 5 3 8" xfId="16140" xr:uid="{1C184185-A8CA-4B6F-AA97-3C28C38E47A1}"/>
    <cellStyle name="Millares 6 5 3 9" xfId="16683" xr:uid="{CE496955-E7C5-4211-80F4-241AB82F8272}"/>
    <cellStyle name="Millares 6 5 4" xfId="616" xr:uid="{00000000-0005-0000-0000-00008C020000}"/>
    <cellStyle name="Millares 6 5 4 10" xfId="42923" xr:uid="{060762E0-7E89-4323-9F3F-799E566336C0}"/>
    <cellStyle name="Millares 6 5 4 11" xfId="47816" xr:uid="{83B1DDE6-B9C3-480E-AD26-AC36B1700BC0}"/>
    <cellStyle name="Millares 6 5 4 2" xfId="2850" xr:uid="{7014B647-7884-4AB4-B7E5-B69A25BAD22A}"/>
    <cellStyle name="Millares 6 5 4 2 2" xfId="11121" xr:uid="{492D1658-A0A0-4C6B-A570-8564E5730DFA}"/>
    <cellStyle name="Millares 6 5 4 2 2 2" xfId="46281" xr:uid="{CC91E458-C398-4AE6-8AAE-1176F1D279E2}"/>
    <cellStyle name="Millares 6 5 4 2 3" xfId="13961" xr:uid="{DDA4222F-A0CF-4B01-AF2C-DFC01914F580}"/>
    <cellStyle name="Millares 6 5 4 2 4" xfId="43885" xr:uid="{263532CF-53C4-4362-827C-D6DBF8F90320}"/>
    <cellStyle name="Millares 6 5 4 2 5" xfId="48778" xr:uid="{4ED1B851-2733-4E13-A2C3-56F885CAFA01}"/>
    <cellStyle name="Millares 6 5 4 3" xfId="10159" xr:uid="{0F957F43-FC8A-46F8-A352-2AAC520D62E0}"/>
    <cellStyle name="Millares 6 5 4 3 2" xfId="45319" xr:uid="{395AB281-190B-48EB-B8B3-80C9B44212F9}"/>
    <cellStyle name="Millares 6 5 4 4" xfId="12999" xr:uid="{68CAA589-FDCC-42E6-9BCF-EC1F0B17D856}"/>
    <cellStyle name="Millares 6 5 4 5" xfId="16342" xr:uid="{56921DA7-33FA-4A28-9073-346CD8C4C979}"/>
    <cellStyle name="Millares 6 5 4 6" xfId="16885" xr:uid="{0FD12C47-9AF6-4F99-B6F8-96E094D0C347}"/>
    <cellStyle name="Millares 6 5 4 7" xfId="17429" xr:uid="{88ADE0A3-B245-4B73-BD24-D5A53D810E57}"/>
    <cellStyle name="Millares 6 5 4 8" xfId="26079" xr:uid="{FDF94762-3B77-442C-96C9-ED79356AF374}"/>
    <cellStyle name="Millares 6 5 4 9" xfId="17856" xr:uid="{762AB377-1291-4B3E-BE36-80A0FA7D9AFB}"/>
    <cellStyle name="Millares 6 5 5" xfId="2014" xr:uid="{3A30C4E8-7DC8-494A-A0E5-5CBBDAB652CA}"/>
    <cellStyle name="Millares 6 5 5 2" xfId="10285" xr:uid="{610362AF-86F0-498A-9357-F5AF5B3697FE}"/>
    <cellStyle name="Millares 6 5 5 2 2" xfId="45445" xr:uid="{2CBE9533-F318-4FFB-ABEE-3CD4610A483E}"/>
    <cellStyle name="Millares 6 5 5 3" xfId="13125" xr:uid="{F40A28F0-BE12-4189-A60B-2BE0BCD8847E}"/>
    <cellStyle name="Millares 6 5 5 4" xfId="31954" xr:uid="{ADF504DA-6223-4E8F-8BC5-2D4CA193721C}"/>
    <cellStyle name="Millares 6 5 5 5" xfId="43049" xr:uid="{9DCF135F-C6E2-4FFD-98C6-D848EF10EDA1}"/>
    <cellStyle name="Millares 6 5 5 6" xfId="47942" xr:uid="{01CCC85D-C6BC-4C4B-B71A-E1D8A6908EE7}"/>
    <cellStyle name="Millares 6 5 6" xfId="2432" xr:uid="{98873E03-0831-4623-9898-D1F6CE1C116C}"/>
    <cellStyle name="Millares 6 5 6 2" xfId="10703" xr:uid="{C687122E-CA27-41FF-84AC-7BF8ED6E8532}"/>
    <cellStyle name="Millares 6 5 6 2 2" xfId="45863" xr:uid="{1E51287C-BBA5-4A08-A89D-1F91CABB3737}"/>
    <cellStyle name="Millares 6 5 6 3" xfId="13543" xr:uid="{684AB6DF-DE01-4ECF-BBC1-C6ADB9841145}"/>
    <cellStyle name="Millares 6 5 6 4" xfId="37820" xr:uid="{F8084300-3889-425E-AC84-3CE39F003ED0}"/>
    <cellStyle name="Millares 6 5 6 5" xfId="43467" xr:uid="{04D159DB-3361-4B7D-A4BB-51A03B8513D1}"/>
    <cellStyle name="Millares 6 5 6 6" xfId="48360" xr:uid="{790F95D9-DA0A-40F5-B594-870FE5B53699}"/>
    <cellStyle name="Millares 6 5 7" xfId="2976" xr:uid="{960581C1-E9B1-4E9D-A00D-1A4D42DD800D}"/>
    <cellStyle name="Millares 6 5 7 2" xfId="11247" xr:uid="{DECE3143-CD23-4EB0-97C4-CD228DAE7E32}"/>
    <cellStyle name="Millares 6 5 7 2 2" xfId="46407" xr:uid="{361A4ABC-5703-493A-9FA8-B2D8338F50EA}"/>
    <cellStyle name="Millares 6 5 7 3" xfId="14087" xr:uid="{08976706-0AE9-4554-820B-148AD27A2928}"/>
    <cellStyle name="Millares 6 5 7 4" xfId="44011" xr:uid="{4A7260FB-4048-489A-85A5-CB1A75DC10B9}"/>
    <cellStyle name="Millares 6 5 7 5" xfId="48904" xr:uid="{BEEB6FC4-8419-4BBF-BA18-927FCB0F9494}"/>
    <cellStyle name="Millares 6 5 8" xfId="3478" xr:uid="{86F72A6E-3BDD-4CC4-B46D-98E31F204CDF}"/>
    <cellStyle name="Millares 6 5 8 2" xfId="11719" xr:uid="{F3F2D4B0-72DF-4804-8141-5DCEBB779C69}"/>
    <cellStyle name="Millares 6 5 8 3" xfId="14559" xr:uid="{648053DA-067E-4FB9-B912-BFA2BCBF9E6E}"/>
    <cellStyle name="Millares 6 5 8 4" xfId="44483" xr:uid="{F1A7CD4F-5744-44A0-9126-1DD903256F7B}"/>
    <cellStyle name="Millares 6 5 8 5" xfId="49376" xr:uid="{069DC067-4482-4A5A-9398-F3D22E4A67F2}"/>
    <cellStyle name="Millares 6 5 9" xfId="5828" xr:uid="{ACB30F6D-A7D2-427B-9789-7A44186C3492}"/>
    <cellStyle name="Millares 6 5 9 2" xfId="44901" xr:uid="{FE72BC86-E25E-4D76-B328-2C6444255A33}"/>
    <cellStyle name="Millares 6 6" xfId="1762" xr:uid="{00000000-0005-0000-0000-00008D020000}"/>
    <cellStyle name="Millares 6 6 2" xfId="6714" xr:uid="{C0203963-0C2D-4B28-A842-C0658A73E2A9}"/>
    <cellStyle name="Millares 6 6 3" xfId="26953" xr:uid="{50540DC9-A140-43C0-925E-E65FF09754E6}"/>
    <cellStyle name="Millares 6 6 4" xfId="32829" xr:uid="{2EB8B57E-8031-4A2E-BA16-E4114A233CB2}"/>
    <cellStyle name="Millares 6 6 5" xfId="38693" xr:uid="{C4DBEFA5-829C-49EC-A8AB-E661686C7499}"/>
    <cellStyle name="Millares 6 6 6" xfId="46957" xr:uid="{B1C5BC95-8F57-4C70-92DE-C3E88FC00045}"/>
    <cellStyle name="Millares 6 6 7" xfId="47042" xr:uid="{2D1B78BA-0E6F-448E-80A2-EDDB213EE756}"/>
    <cellStyle name="Millares 6 7" xfId="1906" xr:uid="{00000000-0005-0000-0000-00008E020000}"/>
    <cellStyle name="Millares 6 7 10" xfId="42967" xr:uid="{4F8E7BE3-7885-40BD-AB34-8A48CC9DE3C0}"/>
    <cellStyle name="Millares 6 7 11" xfId="47860" xr:uid="{717F1D25-35E2-4CB3-8DC3-1DEDC1B84D8A}"/>
    <cellStyle name="Millares 6 7 2" xfId="2894" xr:uid="{26C19224-CFAB-4C3D-85F1-96C2F689BF60}"/>
    <cellStyle name="Millares 6 7 2 2" xfId="11165" xr:uid="{97C3C46D-50D1-4DE4-97CA-C04BD0D60492}"/>
    <cellStyle name="Millares 6 7 2 2 2" xfId="46325" xr:uid="{2E5A1B12-33C6-4423-9D8F-3A655CDBDEDD}"/>
    <cellStyle name="Millares 6 7 2 3" xfId="14005" xr:uid="{C2FA4880-6070-4273-86C6-B294A1A61961}"/>
    <cellStyle name="Millares 6 7 2 4" xfId="43929" xr:uid="{4542E0EF-E940-45B8-8240-2BFC4AAAA910}"/>
    <cellStyle name="Millares 6 7 2 5" xfId="48822" xr:uid="{AEC5B37B-7F51-4304-962E-25699492F391}"/>
    <cellStyle name="Millares 6 7 3" xfId="10203" xr:uid="{F31B2B3F-814E-44C3-AF4B-A87C387BA79B}"/>
    <cellStyle name="Millares 6 7 3 2" xfId="45363" xr:uid="{3C1E9EA9-202F-48CF-A6A8-350A2BA11AF7}"/>
    <cellStyle name="Millares 6 7 4" xfId="13043" xr:uid="{01A6B92F-50A3-462D-89A6-25973B7E484E}"/>
    <cellStyle name="Millares 6 7 5" xfId="16385" xr:uid="{04D31ADF-B54E-4905-8F28-160138223E80}"/>
    <cellStyle name="Millares 6 7 6" xfId="16929" xr:uid="{48CC3FC1-5A5D-4A1D-8CB8-AB3FF288C51F}"/>
    <cellStyle name="Millares 6 7 7" xfId="17473" xr:uid="{07139620-4E32-4CFF-A520-D981E56C1654}"/>
    <cellStyle name="Millares 6 7 8" xfId="18376" xr:uid="{6A4FCA57-60C8-4F22-927B-8BBDEC872B91}"/>
    <cellStyle name="Millares 6 7 9" xfId="17696" xr:uid="{80F3600A-2109-41FD-AB6E-A497726CB457}"/>
    <cellStyle name="Millares 6 8" xfId="3399" xr:uid="{7182600D-F379-4FCF-94E8-9B8D100724CE}"/>
    <cellStyle name="Millares 6 8 2" xfId="11640" xr:uid="{C641C88B-7975-4DFB-B4B2-D3F3FE7A106E}"/>
    <cellStyle name="Millares 6 8 2 2" xfId="46800" xr:uid="{6B532A60-7260-4A86-9AC9-0909B455255B}"/>
    <cellStyle name="Millares 6 8 3" xfId="14480" xr:uid="{5AEFEB09-C0F4-48DD-A066-BE0CFB3C4337}"/>
    <cellStyle name="Millares 6 8 4" xfId="24085" xr:uid="{D0B6F389-A374-4F74-9140-623341F04C01}"/>
    <cellStyle name="Millares 6 8 5" xfId="44404" xr:uid="{B47862E3-1A57-44E9-93D3-70420C233038}"/>
    <cellStyle name="Millares 6 8 6" xfId="49297" xr:uid="{BC7220A9-78D3-4BDC-A35D-DD4E90D91FFF}"/>
    <cellStyle name="Millares 6 9" xfId="9634" xr:uid="{8493F4CF-3746-42D4-BF41-2B48B300D85E}"/>
    <cellStyle name="Millares 6 9 2" xfId="12474" xr:uid="{FEC7C9AA-1DC1-44A4-A42F-C83E188D4E27}"/>
    <cellStyle name="Millares 6 9 3" xfId="15315" xr:uid="{87C1F58C-068A-451F-8466-20EB7BC30A99}"/>
    <cellStyle name="Millares 6 9 4" xfId="29963" xr:uid="{953038F6-031D-4725-8820-EADDC6E465BF}"/>
    <cellStyle name="Millares 6 9 5" xfId="46958" xr:uid="{BF403719-ED64-46B6-B4F8-16148FA0D72E}"/>
    <cellStyle name="Millares 6 9 6" xfId="47070" xr:uid="{B7D4CAB4-F6BB-4205-98FE-5C678EFB9400}"/>
    <cellStyle name="Millares 6 9 7" xfId="50131" xr:uid="{4F5F5DB6-121A-48C7-8391-C6C3A9F0A942}"/>
    <cellStyle name="Millares 60" xfId="3404" xr:uid="{E6CB50D0-EDF9-4983-8837-160D6C921E19}"/>
    <cellStyle name="Millares 60 2" xfId="9096" xr:uid="{0B6AA69F-ECED-48E2-938C-A2163163E390}"/>
    <cellStyle name="Millares 60 2 2" xfId="23460" xr:uid="{8851E45B-52F8-41F9-818D-CAA579D00FAD}"/>
    <cellStyle name="Millares 60 2 3" xfId="29327" xr:uid="{E6849B81-1E34-4833-A3CB-9E5AFFF23565}"/>
    <cellStyle name="Millares 60 2 4" xfId="35209" xr:uid="{7F73CA79-2507-4BB3-9653-84FC58AEA84E}"/>
    <cellStyle name="Millares 60 2 5" xfId="41070" xr:uid="{73CCEC65-ACBF-40C8-B390-18E7B7AAAACC}"/>
    <cellStyle name="Millares 60 2 6" xfId="46805" xr:uid="{51824093-EF73-4BCA-B232-9EDA45E44AC3}"/>
    <cellStyle name="Millares 60 3" xfId="6227" xr:uid="{31DEAAC5-38F7-40B2-88A2-10729CC8FB95}"/>
    <cellStyle name="Millares 60 3 2" xfId="47196" xr:uid="{FD5CF9B9-2EF9-49DB-88C8-2B6E3B0E3852}"/>
    <cellStyle name="Millares 60 4" xfId="11645" xr:uid="{6B8C3506-E8AF-44AC-A4F7-798BC02B7EEF}"/>
    <cellStyle name="Millares 60 4 2" xfId="26477" xr:uid="{CE35FE6F-F727-4E97-B135-54F337DBE6CE}"/>
    <cellStyle name="Millares 60 5" xfId="14485" xr:uid="{D05C92DA-3871-45E5-ACBF-CA8614D8B0BE}"/>
    <cellStyle name="Millares 60 5 2" xfId="32352" xr:uid="{FB383BE1-E4F4-481B-9E7A-A248C326D58E}"/>
    <cellStyle name="Millares 60 6" xfId="38217" xr:uid="{CEF0C28D-4FBD-42BB-98D8-F94E860375D1}"/>
    <cellStyle name="Millares 60 7" xfId="42340" xr:uid="{A0E76F35-5B0C-46A4-81EA-82F539FC3F8C}"/>
    <cellStyle name="Millares 60 8" xfId="44409" xr:uid="{F9DEF69E-7FC6-4B7A-AAD5-FF8A7EF65C43}"/>
    <cellStyle name="Millares 60 9" xfId="49302" xr:uid="{00D186FB-492B-43ED-86E5-7FEDADC2DC18}"/>
    <cellStyle name="Millares 61" xfId="6295" xr:uid="{C0C269D0-B211-466C-B2A9-19E2EE4E073B}"/>
    <cellStyle name="Millares 61 2" xfId="9164" xr:uid="{0D7970D6-DEF6-46CE-8724-3E1B9166AD75}"/>
    <cellStyle name="Millares 61 2 2" xfId="23528" xr:uid="{35D71082-25E8-474A-90D4-BDE4D165F137}"/>
    <cellStyle name="Millares 61 2 3" xfId="29395" xr:uid="{DE82AB7E-8C1D-4C11-8BEC-BC4F54443DEC}"/>
    <cellStyle name="Millares 61 2 4" xfId="35277" xr:uid="{3FAC4D67-47FD-4E4A-8C3D-22EE5403E411}"/>
    <cellStyle name="Millares 61 2 5" xfId="41136" xr:uid="{F911C81D-AD41-4927-9DD2-CBD490425EB9}"/>
    <cellStyle name="Millares 61 3" xfId="20736" xr:uid="{ECA95ECC-E36F-4ABE-B636-61A6A282DFF8}"/>
    <cellStyle name="Millares 61 4" xfId="26545" xr:uid="{D30F8504-ABE3-4C3D-919B-D348E5ABB6AC}"/>
    <cellStyle name="Millares 61 5" xfId="32420" xr:uid="{F540F365-6E97-4E8C-8999-A20A63343135}"/>
    <cellStyle name="Millares 61 6" xfId="38285" xr:uid="{FFD3B134-0439-4FBF-8E0B-8BAB3B144AB7}"/>
    <cellStyle name="Millares 61 7" xfId="46959" xr:uid="{1350A775-3EE7-437D-AEC4-B096364D9240}"/>
    <cellStyle name="Millares 61 8" xfId="47088" xr:uid="{9C3CE02A-7250-48C5-981C-99143862B6CF}"/>
    <cellStyle name="Millares 62" xfId="6412" xr:uid="{855418F4-3D60-4F81-BC9C-EB359503FC0B}"/>
    <cellStyle name="Millares 62 2" xfId="9275" xr:uid="{C5221E97-54CC-424D-B33C-5FFA2BAE2C78}"/>
    <cellStyle name="Millares 62 2 2" xfId="23638" xr:uid="{2FF207DD-CAB4-484F-9D68-1E090F2D0062}"/>
    <cellStyle name="Millares 62 2 3" xfId="29506" xr:uid="{1DE2A196-B15F-40F5-837B-AB3C0829949A}"/>
    <cellStyle name="Millares 62 2 4" xfId="35388" xr:uid="{99619F7C-7001-472F-AA2F-C5CA37B7A7E3}"/>
    <cellStyle name="Millares 62 2 5" xfId="41247" xr:uid="{D63DCFA3-92F6-4CCE-9C22-80AF28A078D6}"/>
    <cellStyle name="Millares 62 3" xfId="20853" xr:uid="{C3A89E5D-08EB-4681-8B79-A22DAB889706}"/>
    <cellStyle name="Millares 62 4" xfId="26662" xr:uid="{31EEF67E-7842-4E72-BB04-F37CC07B2FA6}"/>
    <cellStyle name="Millares 62 5" xfId="32537" xr:uid="{FA24EE5E-522C-40CA-B2DA-78C95BE34898}"/>
    <cellStyle name="Millares 62 6" xfId="38401" xr:uid="{D0851EBA-A4E8-4CDA-8C64-DA26636B1CCF}"/>
    <cellStyle name="Millares 62 7" xfId="46960" xr:uid="{0F152538-8542-45D7-91C3-EEFF4E0C925A}"/>
    <cellStyle name="Millares 63" xfId="6413" xr:uid="{4377B602-661A-4906-B0F4-547993091C13}"/>
    <cellStyle name="Millares 63 2" xfId="9276" xr:uid="{3140DB88-412A-4955-AD5C-23B6D726B3AA}"/>
    <cellStyle name="Millares 63 2 2" xfId="23639" xr:uid="{50BE82D2-5843-4BFA-A022-51DC467969CC}"/>
    <cellStyle name="Millares 63 2 3" xfId="29507" xr:uid="{D3C76F1B-E935-4541-94ED-F36C80F62BD1}"/>
    <cellStyle name="Millares 63 2 4" xfId="35389" xr:uid="{10EC56E9-E265-4DB1-B501-1B0422B3F0F5}"/>
    <cellStyle name="Millares 63 2 5" xfId="41248" xr:uid="{794E694A-97D7-428D-9C0B-C9CF90CD604A}"/>
    <cellStyle name="Millares 63 2 6" xfId="47236" xr:uid="{C4ADAC4C-5322-419A-B146-EF06B1C4FBB9}"/>
    <cellStyle name="Millares 63 3" xfId="20854" xr:uid="{BE25EBFF-DE50-48FD-B6B2-123F51C75D04}"/>
    <cellStyle name="Millares 63 4" xfId="26663" xr:uid="{FC194178-5473-4FA1-81E9-56781F123047}"/>
    <cellStyle name="Millares 63 5" xfId="32538" xr:uid="{2ABC77EA-862E-470E-8140-BD1C46E7CC58}"/>
    <cellStyle name="Millares 63 6" xfId="38402" xr:uid="{B159E08B-D2D2-4DF5-BA24-DA1202A7529F}"/>
    <cellStyle name="Millares 63 7" xfId="47089" xr:uid="{CCC493E9-82F2-4F34-A573-51A3EFA97FF1}"/>
    <cellStyle name="Millares 64" xfId="6414" xr:uid="{BD8E7320-F805-43F0-AB80-0FE120CCC408}"/>
    <cellStyle name="Millares 64 2" xfId="9277" xr:uid="{20D7D993-1CC1-4532-AD13-02009A79D8C4}"/>
    <cellStyle name="Millares 64 2 2" xfId="23640" xr:uid="{51D4B76A-1DD5-4F0B-A7D3-B34464F8120F}"/>
    <cellStyle name="Millares 64 2 3" xfId="29508" xr:uid="{D53BEE62-B432-4090-B327-C32CDA3F7E8F}"/>
    <cellStyle name="Millares 64 2 4" xfId="35390" xr:uid="{BC107899-F49E-4362-9147-7D873D61235E}"/>
    <cellStyle name="Millares 64 2 5" xfId="41249" xr:uid="{61A6BF0B-AF79-4183-8A23-7848AD22AD8D}"/>
    <cellStyle name="Millares 64 3" xfId="20855" xr:uid="{8E234751-1D38-485D-B724-E22C39F2F60C}"/>
    <cellStyle name="Millares 64 4" xfId="26664" xr:uid="{5525E3F2-4400-40A4-9D78-13233F9F83DE}"/>
    <cellStyle name="Millares 64 5" xfId="32539" xr:uid="{D59451B2-9F0C-4F36-AB00-601F6BD3B7E6}"/>
    <cellStyle name="Millares 64 6" xfId="38403" xr:uid="{141E1A10-CC17-45C3-9A6E-49DACCF3534A}"/>
    <cellStyle name="Millares 64 7" xfId="47096" xr:uid="{4D41EB67-570D-43A5-BFA1-7635792099AB}"/>
    <cellStyle name="Millares 65" xfId="6439" xr:uid="{8BD00C47-7559-4D51-BE5A-8F805E1AA6F3}"/>
    <cellStyle name="Millares 65 2" xfId="9300" xr:uid="{E88A3010-5C13-479C-A628-6FE89E252F96}"/>
    <cellStyle name="Millares 65 2 2" xfId="23663" xr:uid="{A4254FDA-9F23-4998-884A-01FBFB1A4450}"/>
    <cellStyle name="Millares 65 2 3" xfId="29531" xr:uid="{DBD2E694-6D20-4F63-937E-9084FE751DE6}"/>
    <cellStyle name="Millares 65 2 4" xfId="35413" xr:uid="{74F52420-33A8-4F6E-AB29-FFE60EA1F786}"/>
    <cellStyle name="Millares 65 2 5" xfId="41272" xr:uid="{525420A5-A671-4296-8636-8308EACF9175}"/>
    <cellStyle name="Millares 65 3" xfId="20880" xr:uid="{C8024A76-4366-4A3D-ABEB-A5C518DBED0F}"/>
    <cellStyle name="Millares 65 4" xfId="26689" xr:uid="{F296CB2F-36F8-449F-8F62-9E6969335B1C}"/>
    <cellStyle name="Millares 65 5" xfId="32564" xr:uid="{C9B3674A-A6C4-4DCA-9CC4-8E313A1A6E56}"/>
    <cellStyle name="Millares 65 6" xfId="38428" xr:uid="{50A2B04E-C2E9-4A92-92A9-A8C63EBAE210}"/>
    <cellStyle name="Millares 654 2 2" xfId="1877" xr:uid="{00000000-0005-0000-0000-00008F020000}"/>
    <cellStyle name="Millares 654 2 2 2" xfId="46961" xr:uid="{D1401E38-DF27-41E1-AEC8-E591EE70042D}"/>
    <cellStyle name="Millares 654 2 2 2 2" xfId="47010" xr:uid="{2C5CC024-975C-44D4-9F60-DD06CAFBC612}"/>
    <cellStyle name="Millares 654 2 2 3" xfId="46962" xr:uid="{6CFFD883-EDAE-407E-903C-8A44DDA2BE25}"/>
    <cellStyle name="Millares 654 2 2 3 2" xfId="47048" xr:uid="{995CA1CF-24CA-4EBC-BCD3-29CEFFE0CCB4}"/>
    <cellStyle name="Millares 654 2 2 4" xfId="46963" xr:uid="{CC0C5448-5B87-46CD-B1C6-01788AA79450}"/>
    <cellStyle name="Millares 654 2 2 5" xfId="47003" xr:uid="{4A3800BE-A568-4D96-BA36-3D5620C01B06}"/>
    <cellStyle name="Millares 656" xfId="1887" xr:uid="{00000000-0005-0000-0000-000090020000}"/>
    <cellStyle name="Millares 656 2" xfId="1920" xr:uid="{00000000-0005-0000-0000-000091020000}"/>
    <cellStyle name="Millares 656 2 10" xfId="17487" xr:uid="{8F081B65-4966-4A62-A569-320082CE9BEF}"/>
    <cellStyle name="Millares 656 2 11" xfId="42121" xr:uid="{9E1A0833-2081-45DD-BCCE-535344DA09EE}"/>
    <cellStyle name="Millares 656 2 12" xfId="42976" xr:uid="{D24182A6-6AA5-40DA-87BE-0644497E2864}"/>
    <cellStyle name="Millares 656 2 13" xfId="47869" xr:uid="{89675B22-99C1-4F81-9C38-1166B06DD591}"/>
    <cellStyle name="Millares 656 2 14" xfId="50205" xr:uid="{20E0C8A0-DABC-41F9-A9CB-E0B8FB61AC31}"/>
    <cellStyle name="Millares 656 2 15" xfId="50279" xr:uid="{D7EF1DCF-3744-46D9-A334-348EE79A8E99}"/>
    <cellStyle name="Millares 656 2 2" xfId="2903" xr:uid="{5B2F0631-D4FB-4E1D-87D0-64EFFCF4926A}"/>
    <cellStyle name="Millares 656 2 2 2" xfId="11174" xr:uid="{C33BC831-3490-427E-A89D-FCA50A022A07}"/>
    <cellStyle name="Millares 656 2 2 2 2" xfId="46334" xr:uid="{867AE251-051D-4CCD-A538-E1F8AD537CF6}"/>
    <cellStyle name="Millares 656 2 2 2 3" xfId="47155" xr:uid="{B8003030-AE46-4543-8617-E985DAC2C784}"/>
    <cellStyle name="Millares 656 2 2 2 4" xfId="50389" xr:uid="{40414F8F-2E4F-4464-98BF-8CC46A98D03D}"/>
    <cellStyle name="Millares 656 2 2 3" xfId="14014" xr:uid="{B4820CAE-F803-4059-8BDC-A2621073474F}"/>
    <cellStyle name="Millares 656 2 2 4" xfId="42122" xr:uid="{6FF160C9-39E2-4B93-990F-A237DF6EC32B}"/>
    <cellStyle name="Millares 656 2 2 5" xfId="43938" xr:uid="{1FEBE322-D1B8-4D8E-8438-D75E5438451A}"/>
    <cellStyle name="Millares 656 2 2 6" xfId="48831" xr:uid="{949068C6-A6DB-4480-B769-104C6C10CEAC}"/>
    <cellStyle name="Millares 656 2 2 7" xfId="50243" xr:uid="{BF1D09B0-D8AA-44A7-BA5F-90C7DF8ED32F}"/>
    <cellStyle name="Millares 656 2 2 8" xfId="50317" xr:uid="{6D5D9441-CB00-42F4-AC38-1D62E16F0365}"/>
    <cellStyle name="Millares 656 2 3" xfId="3391" xr:uid="{C74EA91F-1357-4C61-8893-2A88D30AA51C}"/>
    <cellStyle name="Millares 656 2 3 2" xfId="11637" xr:uid="{777F809E-BEE2-491F-81BA-D6FECDC24353}"/>
    <cellStyle name="Millares 656 2 3 2 2" xfId="46797" xr:uid="{818F5A3D-2EEE-4249-916A-A029D44FE735}"/>
    <cellStyle name="Millares 656 2 3 3" xfId="14477" xr:uid="{C1F17C31-CF05-4AF5-8E8B-EFF5F2CEBB15}"/>
    <cellStyle name="Millares 656 2 3 4" xfId="44401" xr:uid="{F42D22AF-E626-403F-8EBB-ECDCE197CAEE}"/>
    <cellStyle name="Millares 656 2 3 5" xfId="49294" xr:uid="{B8AAF4D8-0A7F-45EE-B1D6-419FF22FFA5C}"/>
    <cellStyle name="Millares 656 2 3 6" xfId="50351" xr:uid="{27D58018-53DC-4978-BDA2-AC5AE3D4964A}"/>
    <cellStyle name="Millares 656 2 4" xfId="9645" xr:uid="{7E579DC7-B6CD-4E2F-A63F-64D954AFAE2A}"/>
    <cellStyle name="Millares 656 2 4 2" xfId="12485" xr:uid="{FEDA23FC-807F-4032-B943-3DF6F161F39C}"/>
    <cellStyle name="Millares 656 2 4 3" xfId="15326" xr:uid="{8A2BC2CB-D53A-4271-B841-36DCE98B45CC}"/>
    <cellStyle name="Millares 656 2 4 4" xfId="45372" xr:uid="{20462E54-68A9-4F01-B73F-E9AEDDFBE273}"/>
    <cellStyle name="Millares 656 2 4 5" xfId="50142" xr:uid="{DB706ECA-4234-4BE1-8020-457E0DAD4E56}"/>
    <cellStyle name="Millares 656 2 5" xfId="10212" xr:uid="{9F832FA7-1966-4D3F-9000-F9D00884DD22}"/>
    <cellStyle name="Millares 656 2 6" xfId="13052" xr:uid="{7038DC5B-8BAA-40CB-9924-498A4898E9FF}"/>
    <cellStyle name="Millares 656 2 7" xfId="16394" xr:uid="{A2118538-9904-4CEE-98BC-6CF99F424B9E}"/>
    <cellStyle name="Millares 656 2 8" xfId="16938" xr:uid="{EBD759F5-AA38-4BC6-BC6A-1025BC81D23A}"/>
    <cellStyle name="Millares 656 2 9" xfId="17482" xr:uid="{1367D685-08DD-4C85-819A-07F58BF3B45A}"/>
    <cellStyle name="Millares 656 3" xfId="46964" xr:uid="{2BA65419-4926-4637-8610-7AEF0C236068}"/>
    <cellStyle name="Millares 656 3 2" xfId="47015" xr:uid="{0AAEFF77-3943-462F-BD0B-99AC605B4A24}"/>
    <cellStyle name="Millares 656 4" xfId="46965" xr:uid="{556DA586-B1B3-48FD-9BE0-CD743C690459}"/>
    <cellStyle name="Millares 656 4 2" xfId="47053" xr:uid="{32CD1D0D-3299-4FCE-B701-B45B3F48A0B5}"/>
    <cellStyle name="Millares 657" xfId="1880" xr:uid="{00000000-0005-0000-0000-000092020000}"/>
    <cellStyle name="Millares 657 2" xfId="1921" xr:uid="{00000000-0005-0000-0000-000093020000}"/>
    <cellStyle name="Millares 657 2 10" xfId="17907" xr:uid="{D04B0DAF-66A4-476F-934F-67F6F161DB11}"/>
    <cellStyle name="Millares 657 2 11" xfId="42123" xr:uid="{F99B6328-B946-4CF2-A704-21969F2EB591}"/>
    <cellStyle name="Millares 657 2 12" xfId="42977" xr:uid="{A9CB4760-24ED-4C80-B93E-2BE263FC5616}"/>
    <cellStyle name="Millares 657 2 13" xfId="47870" xr:uid="{BBEF84C5-6198-4BC9-81EA-26DE0BB36818}"/>
    <cellStyle name="Millares 657 2 14" xfId="50204" xr:uid="{25D2A6F5-FAFD-4D03-AE44-6AF62CD41CDA}"/>
    <cellStyle name="Millares 657 2 15" xfId="50278" xr:uid="{80AE08E0-0F66-43E5-B84C-2AF75984DCFC}"/>
    <cellStyle name="Millares 657 2 2" xfId="2904" xr:uid="{788AC918-AE2E-46A6-B9D2-07CF20C56B4E}"/>
    <cellStyle name="Millares 657 2 2 2" xfId="11175" xr:uid="{46A750BF-C917-4A39-95C7-51F325EA2342}"/>
    <cellStyle name="Millares 657 2 2 2 2" xfId="46335" xr:uid="{90199351-7D0D-4A7B-AA23-C3AE5EEA3700}"/>
    <cellStyle name="Millares 657 2 2 2 3" xfId="47154" xr:uid="{60ADB6D2-1402-400D-B8AD-E280D1B8215D}"/>
    <cellStyle name="Millares 657 2 2 2 4" xfId="50388" xr:uid="{53887513-C3C3-483B-95ED-4046C225F540}"/>
    <cellStyle name="Millares 657 2 2 3" xfId="14015" xr:uid="{EF5E9A02-F912-4D0B-BE70-B8BF67BD82BD}"/>
    <cellStyle name="Millares 657 2 2 4" xfId="42124" xr:uid="{E385FC9A-CC11-4DF3-93C1-D864B7CE60C1}"/>
    <cellStyle name="Millares 657 2 2 5" xfId="43939" xr:uid="{5E959F44-974C-49B4-AD15-B9B310394522}"/>
    <cellStyle name="Millares 657 2 2 6" xfId="48832" xr:uid="{ABF204E7-EB82-4D36-A3BC-0DF681ECA0B0}"/>
    <cellStyle name="Millares 657 2 2 7" xfId="50242" xr:uid="{49DDF679-3AB0-4FC8-B13B-AD55A37AA588}"/>
    <cellStyle name="Millares 657 2 2 8" xfId="50316" xr:uid="{6B737FC2-2938-4B9E-9D1F-11ED14971117}"/>
    <cellStyle name="Millares 657 2 3" xfId="3390" xr:uid="{1BB4799E-7645-47A1-B60F-E080CE0C0555}"/>
    <cellStyle name="Millares 657 2 3 2" xfId="11636" xr:uid="{F67D7EF7-F5A6-417B-80A8-AEF2612A7911}"/>
    <cellStyle name="Millares 657 2 3 2 2" xfId="46796" xr:uid="{2E9BE3BB-3537-4329-B768-95E13A6856EB}"/>
    <cellStyle name="Millares 657 2 3 3" xfId="14476" xr:uid="{C78B82E7-120D-4DEC-85C9-C9648F966000}"/>
    <cellStyle name="Millares 657 2 3 4" xfId="44400" xr:uid="{D0D17848-F558-4845-A39B-2CC6A92EA623}"/>
    <cellStyle name="Millares 657 2 3 5" xfId="49293" xr:uid="{1D3F8A90-A0A8-407B-886B-3B49AC849AD0}"/>
    <cellStyle name="Millares 657 2 3 6" xfId="50350" xr:uid="{68AE359B-0FBA-4D8E-9144-4BCC806F0E90}"/>
    <cellStyle name="Millares 657 2 4" xfId="9646" xr:uid="{51CFA020-22D2-487C-B4DE-002EBA9321CF}"/>
    <cellStyle name="Millares 657 2 4 2" xfId="12486" xr:uid="{919B2DA7-B084-4290-93AF-3F862070C174}"/>
    <cellStyle name="Millares 657 2 4 3" xfId="15327" xr:uid="{C1174DFF-4CA1-4136-876C-78C9B18DD24A}"/>
    <cellStyle name="Millares 657 2 4 4" xfId="45373" xr:uid="{ECE64D5B-5902-4EE5-9102-A104B0F83F3E}"/>
    <cellStyle name="Millares 657 2 4 5" xfId="50143" xr:uid="{AE150243-19ED-49FD-B017-659BE37FA187}"/>
    <cellStyle name="Millares 657 2 5" xfId="10213" xr:uid="{FC7990B1-02B9-4D1E-8619-FEC350B46A43}"/>
    <cellStyle name="Millares 657 2 6" xfId="13053" xr:uid="{2FB27BBA-60E4-4ACD-81F9-DB319420A992}"/>
    <cellStyle name="Millares 657 2 7" xfId="16395" xr:uid="{07055D93-DF74-462B-8D99-D71642813099}"/>
    <cellStyle name="Millares 657 2 8" xfId="16939" xr:uid="{FF0426FB-2F5E-4182-816F-A95E0CB54E08}"/>
    <cellStyle name="Millares 657 2 9" xfId="17483" xr:uid="{1A09278D-C9BA-46CD-A3EC-8D1300C2A236}"/>
    <cellStyle name="Millares 657 3" xfId="46966" xr:uid="{CB946BAF-3276-48DE-854A-E6EF8C2DFC05}"/>
    <cellStyle name="Millares 657 3 2" xfId="47012" xr:uid="{FDCB6B6B-7918-4EBA-9158-71D10C86AF1A}"/>
    <cellStyle name="Millares 657 4" xfId="46967" xr:uid="{D5D41B4E-B461-430D-9E54-7C0D4A65F105}"/>
    <cellStyle name="Millares 657 4 2" xfId="47050" xr:uid="{D6247953-C48E-40AA-8BF0-2E35401702FC}"/>
    <cellStyle name="Millares 66" xfId="6451" xr:uid="{738D5BF8-2634-419A-848D-F8CC5B198E91}"/>
    <cellStyle name="Millares 66 2" xfId="9311" xr:uid="{55853677-B91A-47AE-B415-254EE17C086D}"/>
    <cellStyle name="Millares 66 2 2" xfId="23674" xr:uid="{B5DDF495-7844-417B-B91D-5CCC441C8E8A}"/>
    <cellStyle name="Millares 66 2 3" xfId="29542" xr:uid="{E571DEFD-A001-4E2E-AEFB-29D77634487A}"/>
    <cellStyle name="Millares 66 2 4" xfId="35424" xr:uid="{66ACCEBB-54F9-4FA7-BF87-E0E6239EA65B}"/>
    <cellStyle name="Millares 66 2 5" xfId="41283" xr:uid="{68461A6C-C840-4031-82F4-3FF1CF1DD74C}"/>
    <cellStyle name="Millares 66 3" xfId="20889" xr:uid="{B929F8D0-2407-49F9-BA28-ED92EC5DE8B0}"/>
    <cellStyle name="Millares 66 4" xfId="26700" xr:uid="{984CA642-2DF8-488C-BF65-2EE46CF0B041}"/>
    <cellStyle name="Millares 66 5" xfId="32575" xr:uid="{329D397D-E30F-4858-B5DC-33E1D9416C54}"/>
    <cellStyle name="Millares 66 6" xfId="38439" xr:uid="{673DB774-987F-4988-9A84-CFA49408190E}"/>
    <cellStyle name="Millares 67" xfId="6573" xr:uid="{1F6A7261-3661-4EAF-B625-730060382A48}"/>
    <cellStyle name="Millares 67 2" xfId="9434" xr:uid="{3F4ABC88-637B-4325-A39F-87A3E3F40CDF}"/>
    <cellStyle name="Millares 67 2 2" xfId="23797" xr:uid="{C1CDB56F-D28C-4F04-BDBD-860B5CE62596}"/>
    <cellStyle name="Millares 67 2 3" xfId="29665" xr:uid="{C2232F99-00B6-4D76-B5B6-F5CEED9B1DFE}"/>
    <cellStyle name="Millares 67 2 4" xfId="35547" xr:uid="{ED9FE52E-F279-4527-8B32-F59C5FB73249}"/>
    <cellStyle name="Millares 67 2 5" xfId="41406" xr:uid="{5B3BF808-DEBE-46D1-A18A-988E321CD33E}"/>
    <cellStyle name="Millares 67 3" xfId="21012" xr:uid="{7CE7B1DA-A58D-489A-B0C4-5D2A4B4FD034}"/>
    <cellStyle name="Millares 67 4" xfId="26823" xr:uid="{683734FA-9BF9-4430-9472-98D0E61D7DEA}"/>
    <cellStyle name="Millares 67 5" xfId="32698" xr:uid="{E869A6A0-1053-4BFB-90C4-BAB222E47024}"/>
    <cellStyle name="Millares 67 6" xfId="38562" xr:uid="{71454E36-CB2A-4FA2-943E-958550B54182}"/>
    <cellStyle name="Millares 68" xfId="6574" xr:uid="{B12EEB79-5669-4FF0-A042-F03C126F2A8D}"/>
    <cellStyle name="Millares 68 2" xfId="9435" xr:uid="{1C45481F-6AD1-4585-9185-009471C6A1B4}"/>
    <cellStyle name="Millares 68 2 2" xfId="23798" xr:uid="{4BAA11F9-05BB-47CA-9115-30FC7C658C73}"/>
    <cellStyle name="Millares 68 2 3" xfId="29666" xr:uid="{776A04A0-A11F-4699-A9C9-8D05C99454B1}"/>
    <cellStyle name="Millares 68 2 4" xfId="35548" xr:uid="{EF6A4A01-F2F6-477E-B25E-AACE3CE1D23D}"/>
    <cellStyle name="Millares 68 2 5" xfId="41407" xr:uid="{C5B30C87-2EDF-4470-8DAF-E574EDBA2BCB}"/>
    <cellStyle name="Millares 68 3" xfId="21013" xr:uid="{393291A6-B787-4AD1-A356-8A67AD0656D2}"/>
    <cellStyle name="Millares 68 4" xfId="26824" xr:uid="{14732D86-179E-4B03-AA7C-8249149A3E65}"/>
    <cellStyle name="Millares 68 5" xfId="32699" xr:uid="{267ED307-AF44-4ADD-B540-34DB88284CD1}"/>
    <cellStyle name="Millares 68 6" xfId="38563" xr:uid="{70FCF386-5B4C-4EE9-95C4-059543918DE1}"/>
    <cellStyle name="Millares 69" xfId="6575" xr:uid="{67AE7C95-9097-420F-B0F3-81D54CA2A383}"/>
    <cellStyle name="Millares 69 2" xfId="9436" xr:uid="{8E3A21E5-EFF4-4987-873F-B88CE0440D3A}"/>
    <cellStyle name="Millares 69 2 2" xfId="23799" xr:uid="{477D0AD6-73EB-4C10-97BC-CA8D3C743019}"/>
    <cellStyle name="Millares 69 2 3" xfId="29667" xr:uid="{12639F78-A7FB-4107-AFF5-614622276C8C}"/>
    <cellStyle name="Millares 69 2 4" xfId="35549" xr:uid="{B16FEC31-6CB0-4C77-9805-80EDA303C182}"/>
    <cellStyle name="Millares 69 2 5" xfId="41408" xr:uid="{D7EA2A57-A708-4215-BD21-366525D48C95}"/>
    <cellStyle name="Millares 69 3" xfId="21014" xr:uid="{EEB93D20-20E6-4AAB-B79B-F7DF973C060F}"/>
    <cellStyle name="Millares 69 4" xfId="26825" xr:uid="{61D88A82-B49F-411E-A395-2E61730A4AE3}"/>
    <cellStyle name="Millares 69 5" xfId="32700" xr:uid="{818F60D4-8DC1-49EA-9DEB-8FF7B3E7236B}"/>
    <cellStyle name="Millares 69 6" xfId="38564" xr:uid="{9645C642-166E-4D7F-B8F1-035F04D288EA}"/>
    <cellStyle name="Millares 7" xfId="58" xr:uid="{00000000-0005-0000-0000-000094020000}"/>
    <cellStyle name="Millares 7 10" xfId="35869" xr:uid="{37D6AF22-2FB0-4222-8D7A-FE4BB75EC22E}"/>
    <cellStyle name="Millares 7 10 2" xfId="46968" xr:uid="{4000870A-4CD9-4087-8BCF-D5E12EDA4CF9}"/>
    <cellStyle name="Millares 7 10 3" xfId="47022" xr:uid="{2C7C13F3-A05B-411E-8624-4B2E321D1EE2}"/>
    <cellStyle name="Millares 7 11" xfId="42125" xr:uid="{0396E252-ABAC-4214-B41B-45B18513CFAD}"/>
    <cellStyle name="Millares 7 12" xfId="42341" xr:uid="{8ADD47D3-5739-49C5-9B25-3BFA0E839F48}"/>
    <cellStyle name="Millares 7 12 2" xfId="47111" xr:uid="{89DE7A21-C52A-43C2-B4D8-D2ADA208AFE6}"/>
    <cellStyle name="Millares 7 13" xfId="50212" xr:uid="{F6974BBE-7CEC-4EEE-A139-CD2F784BD3FC}"/>
    <cellStyle name="Millares 7 14" xfId="50286" xr:uid="{98FEFF15-A79D-4FEE-8869-6C4CFF9A0452}"/>
    <cellStyle name="Millares 7 2" xfId="112" xr:uid="{00000000-0005-0000-0000-000095020000}"/>
    <cellStyle name="Millares 7 2 10" xfId="2931" xr:uid="{C658E6E9-080D-43AA-B0B7-3DF7FAB8D2B5}"/>
    <cellStyle name="Millares 7 2 10 2" xfId="11202" xr:uid="{137DFCCD-94AE-4616-8D55-668EE35B7C22}"/>
    <cellStyle name="Millares 7 2 10 2 2" xfId="46362" xr:uid="{56C7EE66-9693-4038-951A-23EE587369E5}"/>
    <cellStyle name="Millares 7 2 10 3" xfId="14042" xr:uid="{FE23FB8C-718F-4E6A-9681-968EF797B35E}"/>
    <cellStyle name="Millares 7 2 10 4" xfId="43966" xr:uid="{50B9CFE9-C51F-47BE-BAD1-6C0BD322AACF}"/>
    <cellStyle name="Millares 7 2 10 5" xfId="48859" xr:uid="{A38D365D-0357-4F34-8A2F-D62603E8ECC4}"/>
    <cellStyle name="Millares 7 2 11" xfId="3433" xr:uid="{890093CB-2EB0-44C1-AE9A-41EC16160433}"/>
    <cellStyle name="Millares 7 2 11 2" xfId="11674" xr:uid="{4360E9D4-F848-4B32-B0B5-CEB2AC053073}"/>
    <cellStyle name="Millares 7 2 11 3" xfId="14514" xr:uid="{0110062A-CA10-41A1-9954-8496FF183363}"/>
    <cellStyle name="Millares 7 2 11 4" xfId="44438" xr:uid="{3416BA55-7EFE-4754-B1D1-60B0E871CF53}"/>
    <cellStyle name="Millares 7 2 11 5" xfId="49331" xr:uid="{675D4743-3748-4012-937E-15BD1D9AB7B5}"/>
    <cellStyle name="Millares 7 2 12" xfId="4075" xr:uid="{2E89FC85-3952-4357-897E-6A0969E8C54D}"/>
    <cellStyle name="Millares 7 2 12 2" xfId="44856" xr:uid="{EBBA0833-654C-4109-8852-089190A4C9DC}"/>
    <cellStyle name="Millares 7 2 13" xfId="9696" xr:uid="{ADA25F63-6044-401F-A3D5-2855369B121A}"/>
    <cellStyle name="Millares 7 2 14" xfId="12536" xr:uid="{55C88F0D-943C-4F5B-9209-A25946F818AD}"/>
    <cellStyle name="Millares 7 2 15" xfId="15879" xr:uid="{19CFF5D3-A5F7-4FCB-AB9A-79E2AC4AA2AA}"/>
    <cellStyle name="Millares 7 2 16" xfId="16422" xr:uid="{038ED174-B335-4894-82C3-C94FBF161633}"/>
    <cellStyle name="Millares 7 2 17" xfId="16966" xr:uid="{4E8BC69D-8F79-4EF2-B43A-2B6BFB779D81}"/>
    <cellStyle name="Millares 7 2 18" xfId="18016" xr:uid="{15516900-F64B-4DF4-8DDD-B4B5B2FB951E}"/>
    <cellStyle name="Millares 7 2 19" xfId="42460" xr:uid="{2BE87EFF-594C-49C2-87D2-6E848FFAF256}"/>
    <cellStyle name="Millares 7 2 2" xfId="202" xr:uid="{00000000-0005-0000-0000-000096020000}"/>
    <cellStyle name="Millares 7 2 2 10" xfId="9765" xr:uid="{4E296F4F-8350-4A79-9ED2-F7671393FD37}"/>
    <cellStyle name="Millares 7 2 2 11" xfId="12605" xr:uid="{C4F7AFF7-10AE-4C78-9E1C-21E8A380B18C}"/>
    <cellStyle name="Millares 7 2 2 12" xfId="15948" xr:uid="{049E70AF-EC5C-4674-A026-599057177572}"/>
    <cellStyle name="Millares 7 2 2 13" xfId="16491" xr:uid="{2C6895AF-1495-4402-A416-0995D349E93B}"/>
    <cellStyle name="Millares 7 2 2 14" xfId="17035" xr:uid="{0C049045-501D-404E-BB87-84811EDA1433}"/>
    <cellStyle name="Millares 7 2 2 15" xfId="17971" xr:uid="{37D3425A-6189-493E-B5B4-D68570602463}"/>
    <cellStyle name="Millares 7 2 2 16" xfId="42529" xr:uid="{E32C0B77-C4A9-4AD1-A3EE-AFBDF5E44156}"/>
    <cellStyle name="Millares 7 2 2 17" xfId="47422" xr:uid="{440CBB55-C5FF-4974-817B-57A3437BDBD2}"/>
    <cellStyle name="Millares 7 2 2 2" xfId="311" xr:uid="{00000000-0005-0000-0000-000097020000}"/>
    <cellStyle name="Millares 7 2 2 2 10" xfId="16052" xr:uid="{58D9D2C2-11D8-46E2-95F3-0111EF808A82}"/>
    <cellStyle name="Millares 7 2 2 2 11" xfId="16595" xr:uid="{C2DA16DE-A7CD-4DE9-BDA9-ED2150F04EDE}"/>
    <cellStyle name="Millares 7 2 2 2 12" xfId="17139" xr:uid="{F843A2B2-445B-4BFA-A42D-11388655412D}"/>
    <cellStyle name="Millares 7 2 2 2 13" xfId="18229" xr:uid="{E5C83677-2FD1-48FE-AB14-E554AD18AE7B}"/>
    <cellStyle name="Millares 7 2 2 2 14" xfId="42633" xr:uid="{23E70868-0FAE-4DA6-BE7A-D359899ABC6F}"/>
    <cellStyle name="Millares 7 2 2 2 15" xfId="47526" xr:uid="{D220B85E-309E-4114-9FD5-F8BA111DFE5C}"/>
    <cellStyle name="Millares 7 2 2 2 2" xfId="538" xr:uid="{00000000-0005-0000-0000-000098020000}"/>
    <cellStyle name="Millares 7 2 2 2 2 10" xfId="16807" xr:uid="{59C5A5DD-4EE2-44BB-8EEE-6C11DF3B4775}"/>
    <cellStyle name="Millares 7 2 2 2 2 11" xfId="17351" xr:uid="{562B2E2B-8A91-4A36-8EC9-69F26A6D370E}"/>
    <cellStyle name="Millares 7 2 2 2 2 12" xfId="17912" xr:uid="{E1D4EC3D-69F1-4AAA-BC41-F97C399A4686}"/>
    <cellStyle name="Millares 7 2 2 2 2 13" xfId="42845" xr:uid="{09D62A01-75DA-4C56-872D-109A7A0AB197}"/>
    <cellStyle name="Millares 7 2 2 2 2 14" xfId="47738" xr:uid="{1E709DFC-B2B3-4042-801F-9221D21D0328}"/>
    <cellStyle name="Millares 7 2 2 2 2 2" xfId="2354" xr:uid="{95DE8A3F-13BE-4006-AAC6-159264559EDB}"/>
    <cellStyle name="Millares 7 2 2 2 2 2 2" xfId="10625" xr:uid="{02EF1BC8-DF0A-4933-8FA5-F24A50A0AB1F}"/>
    <cellStyle name="Millares 7 2 2 2 2 2 2 2" xfId="45785" xr:uid="{AE413E4B-F550-4E23-87A9-07C3493B2835}"/>
    <cellStyle name="Millares 7 2 2 2 2 2 3" xfId="13465" xr:uid="{8F5D3C4E-4188-4E06-85BB-969BC36D7099}"/>
    <cellStyle name="Millares 7 2 2 2 2 2 4" xfId="22763" xr:uid="{E34B5DBB-171F-43CE-B4FE-2CDD4A86F776}"/>
    <cellStyle name="Millares 7 2 2 2 2 2 5" xfId="43389" xr:uid="{97530D28-D3F4-486D-9019-6EB584259B71}"/>
    <cellStyle name="Millares 7 2 2 2 2 2 6" xfId="48282" xr:uid="{CD8A4151-D194-49EA-BB5C-2A589A7723ED}"/>
    <cellStyle name="Millares 7 2 2 2 2 3" xfId="2772" xr:uid="{E10F200E-D468-418D-80AD-8488887499DC}"/>
    <cellStyle name="Millares 7 2 2 2 2 3 2" xfId="11043" xr:uid="{ABC3BDDE-E669-4CF1-B82A-B22408FBE4EE}"/>
    <cellStyle name="Millares 7 2 2 2 2 3 2 2" xfId="46203" xr:uid="{A637D530-53BC-49D5-96E6-7506E0C7BF06}"/>
    <cellStyle name="Millares 7 2 2 2 2 3 3" xfId="13883" xr:uid="{8A0E5A43-3BE9-4F12-8E23-0EFBEC854FD8}"/>
    <cellStyle name="Millares 7 2 2 2 2 3 4" xfId="28621" xr:uid="{32502AE0-FAD0-437D-A90B-D56C46B7F703}"/>
    <cellStyle name="Millares 7 2 2 2 2 3 5" xfId="43807" xr:uid="{100564DF-9D81-4BD2-B742-B7834ECEA0BD}"/>
    <cellStyle name="Millares 7 2 2 2 2 3 6" xfId="48700" xr:uid="{FDFF527A-2926-416F-AD19-6AEE97A8CD84}"/>
    <cellStyle name="Millares 7 2 2 2 2 4" xfId="3316" xr:uid="{CF30D4C9-5895-480F-9397-1541A418C342}"/>
    <cellStyle name="Millares 7 2 2 2 2 4 2" xfId="11587" xr:uid="{023BE7E4-337D-4F42-86E7-AF5C91EB5D2E}"/>
    <cellStyle name="Millares 7 2 2 2 2 4 2 2" xfId="46747" xr:uid="{4DB93122-BEC5-46AB-8A6B-B270CC846633}"/>
    <cellStyle name="Millares 7 2 2 2 2 4 3" xfId="14427" xr:uid="{F98D13BE-32C8-4A73-8D25-E88534AF1CE5}"/>
    <cellStyle name="Millares 7 2 2 2 2 4 4" xfId="34503" xr:uid="{8187D51A-5055-440A-B6F1-3CF5BBE2B9B9}"/>
    <cellStyle name="Millares 7 2 2 2 2 4 5" xfId="44351" xr:uid="{2BA416BF-23A9-4C2F-BA1F-0F7669579F5F}"/>
    <cellStyle name="Millares 7 2 2 2 2 4 6" xfId="49244" xr:uid="{210A416B-EDE8-4560-BE49-278CFF403FAF}"/>
    <cellStyle name="Millares 7 2 2 2 2 5" xfId="3818" xr:uid="{6214CA41-7375-457C-98F3-0B6E2AEF0CFF}"/>
    <cellStyle name="Millares 7 2 2 2 2 5 2" xfId="12059" xr:uid="{EE4EFFA9-B926-47D4-B91A-81708E82882D}"/>
    <cellStyle name="Millares 7 2 2 2 2 5 3" xfId="14899" xr:uid="{E027DC6E-E15B-4BA2-AC5A-FEB9D4FAC384}"/>
    <cellStyle name="Millares 7 2 2 2 2 5 4" xfId="40367" xr:uid="{605C6E28-C229-4321-9FC2-05DDF6BE5257}"/>
    <cellStyle name="Millares 7 2 2 2 2 5 5" xfId="44823" xr:uid="{774BE7CC-0E2C-4F92-A108-9D45DED1D8C1}"/>
    <cellStyle name="Millares 7 2 2 2 2 5 6" xfId="49716" xr:uid="{9E0A6576-FDC0-4593-B7D5-069533F27746}"/>
    <cellStyle name="Millares 7 2 2 2 2 6" xfId="8388" xr:uid="{A84A920A-898E-4380-B846-BED8299058F0}"/>
    <cellStyle name="Millares 7 2 2 2 2 6 2" xfId="45241" xr:uid="{839122CD-8DD0-4AD5-B368-00E5CF2771B9}"/>
    <cellStyle name="Millares 7 2 2 2 2 7" xfId="10081" xr:uid="{1A5F72F9-28EA-4324-9849-404C8D634ABA}"/>
    <cellStyle name="Millares 7 2 2 2 2 8" xfId="12921" xr:uid="{53F2D1D4-9553-4EB3-8923-6BB103268AFD}"/>
    <cellStyle name="Millares 7 2 2 2 2 9" xfId="16264" xr:uid="{00764E83-F552-4A21-9C6C-C1784A9726D8}"/>
    <cellStyle name="Millares 7 2 2 2 3" xfId="2142" xr:uid="{D937FED8-2E69-4CA0-8C0E-1ADA40845E57}"/>
    <cellStyle name="Millares 7 2 2 2 3 2" xfId="10413" xr:uid="{C910DA41-9A54-4D39-A8C1-0AA8DEA93C9D}"/>
    <cellStyle name="Millares 7 2 2 2 3 2 2" xfId="45573" xr:uid="{BA78CE6D-B730-4B45-A21B-CFEEDB375798}"/>
    <cellStyle name="Millares 7 2 2 2 3 3" xfId="13253" xr:uid="{276358AA-0B04-4A32-964C-A50CBF02D9AE}"/>
    <cellStyle name="Millares 7 2 2 2 3 4" xfId="19981" xr:uid="{AC4221CC-4B4E-4660-8C9C-ABC568529F7B}"/>
    <cellStyle name="Millares 7 2 2 2 3 5" xfId="43177" xr:uid="{D99EC682-56EF-48CE-9E80-655DDF4153F7}"/>
    <cellStyle name="Millares 7 2 2 2 3 6" xfId="48070" xr:uid="{C78E7B7D-A6DC-4314-BA30-5735924F5E2A}"/>
    <cellStyle name="Millares 7 2 2 2 4" xfId="2560" xr:uid="{2215D417-A222-4071-AF87-B765EBD4388C}"/>
    <cellStyle name="Millares 7 2 2 2 4 2" xfId="10831" xr:uid="{4DEA3787-B2A4-4C61-BA98-2ADBD2FD969D}"/>
    <cellStyle name="Millares 7 2 2 2 4 2 2" xfId="45991" xr:uid="{F013B351-EC3E-4B43-A322-7750883C6219}"/>
    <cellStyle name="Millares 7 2 2 2 4 3" xfId="13671" xr:uid="{EEC9B930-C466-474C-91C2-B69B7ED48592}"/>
    <cellStyle name="Millares 7 2 2 2 4 4" xfId="25772" xr:uid="{E9C9DB83-B144-429A-BAB7-72C342BB0A5E}"/>
    <cellStyle name="Millares 7 2 2 2 4 5" xfId="43595" xr:uid="{A129A267-5256-4B44-9145-76747FAD590C}"/>
    <cellStyle name="Millares 7 2 2 2 4 6" xfId="48488" xr:uid="{D2C825FE-6444-4147-B6DE-E5F67DE2C44C}"/>
    <cellStyle name="Millares 7 2 2 2 5" xfId="3104" xr:uid="{4CE2581C-97A0-4BBE-9D6C-E1C80AEC7ACA}"/>
    <cellStyle name="Millares 7 2 2 2 5 2" xfId="11375" xr:uid="{A142AAB9-F07B-4D1A-8C8E-60A148CBCFCF}"/>
    <cellStyle name="Millares 7 2 2 2 5 2 2" xfId="46535" xr:uid="{DFD3DCC8-E190-42AE-A9B5-4AF4C484A809}"/>
    <cellStyle name="Millares 7 2 2 2 5 3" xfId="14215" xr:uid="{E97066F6-C44E-41DE-92E4-E208A171DF5F}"/>
    <cellStyle name="Millares 7 2 2 2 5 4" xfId="31646" xr:uid="{7A352D6E-F46B-4BB8-ADF6-9EC70A3E5430}"/>
    <cellStyle name="Millares 7 2 2 2 5 5" xfId="44139" xr:uid="{DD46FFB3-F341-4638-87B2-1D5B4DF126B7}"/>
    <cellStyle name="Millares 7 2 2 2 5 6" xfId="49032" xr:uid="{24E179BA-9208-4E87-ABF2-04811AA73E59}"/>
    <cellStyle name="Millares 7 2 2 2 6" xfId="3606" xr:uid="{0A6C00A8-D4FD-4AED-9F22-12FC60E224C6}"/>
    <cellStyle name="Millares 7 2 2 2 6 2" xfId="11847" xr:uid="{645EACB3-1955-47E5-AB35-7725FF8A1638}"/>
    <cellStyle name="Millares 7 2 2 2 6 3" xfId="14687" xr:uid="{1AF15120-0BCD-450A-8CA9-366A47CABB47}"/>
    <cellStyle name="Millares 7 2 2 2 6 4" xfId="37516" xr:uid="{96F4ABB5-BD35-4F38-9DC4-0B3954EDC6BB}"/>
    <cellStyle name="Millares 7 2 2 2 6 5" xfId="44611" xr:uid="{D8374853-0677-4196-B817-249AFD5F0997}"/>
    <cellStyle name="Millares 7 2 2 2 6 6" xfId="49504" xr:uid="{478272AF-2AEA-4B42-B845-547B939E09F4}"/>
    <cellStyle name="Millares 7 2 2 2 7" xfId="5521" xr:uid="{7DAE80F4-7F5E-44EE-A1FF-1763659C694E}"/>
    <cellStyle name="Millares 7 2 2 2 7 2" xfId="45029" xr:uid="{FF55C4E2-CDB2-4FB7-B74A-42D698B16271}"/>
    <cellStyle name="Millares 7 2 2 2 8" xfId="9869" xr:uid="{B579B59A-1CCC-4C0F-9262-931EA5598873}"/>
    <cellStyle name="Millares 7 2 2 2 9" xfId="12709" xr:uid="{2DFE1A99-6111-4412-A4AA-9C1CEF3EBB09}"/>
    <cellStyle name="Millares 7 2 2 3" xfId="437" xr:uid="{00000000-0005-0000-0000-000099020000}"/>
    <cellStyle name="Millares 7 2 2 3 10" xfId="16707" xr:uid="{6FCF5EF3-3F0B-4BB4-B6AC-9231267783C7}"/>
    <cellStyle name="Millares 7 2 2 3 11" xfId="17251" xr:uid="{BB691B6F-54BB-414E-8B25-FC92504C6FAE}"/>
    <cellStyle name="Millares 7 2 2 3 12" xfId="17895" xr:uid="{92EC1BB7-7F12-49EB-B8FF-9E9EC80E5B2D}"/>
    <cellStyle name="Millares 7 2 2 3 13" xfId="42745" xr:uid="{CF038F3C-755A-4200-B173-3868EB953A12}"/>
    <cellStyle name="Millares 7 2 2 3 14" xfId="47638" xr:uid="{3108B55C-0F45-4996-9B58-D55F1CCAD476}"/>
    <cellStyle name="Millares 7 2 2 3 2" xfId="2254" xr:uid="{9BA2E150-7458-4089-91AB-F81C12CEF6EA}"/>
    <cellStyle name="Millares 7 2 2 3 2 2" xfId="10525" xr:uid="{69E08853-FA60-4253-AFEB-30C45D2C0F3E}"/>
    <cellStyle name="Millares 7 2 2 3 2 2 2" xfId="45685" xr:uid="{90A9AD56-F428-400D-9577-CA7410A694B7}"/>
    <cellStyle name="Millares 7 2 2 3 2 3" xfId="13365" xr:uid="{1F5A17C5-B6C7-46EB-A9C9-D5C95D2CB4BA}"/>
    <cellStyle name="Millares 7 2 2 3 2 4" xfId="21818" xr:uid="{57DD379C-1E1D-42B1-8B24-BBA2C80ED1DC}"/>
    <cellStyle name="Millares 7 2 2 3 2 5" xfId="43289" xr:uid="{2EE3BC60-AFDD-41E8-AE74-6F493EF14F49}"/>
    <cellStyle name="Millares 7 2 2 3 2 6" xfId="48182" xr:uid="{A200F89B-2756-430C-AC3B-99A6252DC540}"/>
    <cellStyle name="Millares 7 2 2 3 3" xfId="2672" xr:uid="{265C9FC6-9167-4B4B-9A58-8E230F605120}"/>
    <cellStyle name="Millares 7 2 2 3 3 2" xfId="10943" xr:uid="{979C9395-4102-423F-A1AC-B4B44D1D8657}"/>
    <cellStyle name="Millares 7 2 2 3 3 2 2" xfId="46103" xr:uid="{67C3F544-B5AE-40F7-A677-2CCED14B50B5}"/>
    <cellStyle name="Millares 7 2 2 3 3 3" xfId="13783" xr:uid="{C4672D02-2FEC-4279-A910-057D2DFD3E91}"/>
    <cellStyle name="Millares 7 2 2 3 3 4" xfId="27650" xr:uid="{87E1FBDD-01AB-45E0-8981-05AEED328078}"/>
    <cellStyle name="Millares 7 2 2 3 3 5" xfId="43707" xr:uid="{6D8C49B7-5B40-40F1-8BC6-06B153213061}"/>
    <cellStyle name="Millares 7 2 2 3 3 6" xfId="48600" xr:uid="{DF59DF6A-8D9E-4C23-B846-AD5E9EDB3747}"/>
    <cellStyle name="Millares 7 2 2 3 4" xfId="3216" xr:uid="{8636B047-4901-4C1E-AF49-A79B6D36E5EC}"/>
    <cellStyle name="Millares 7 2 2 3 4 2" xfId="11487" xr:uid="{C658D1CE-533B-489A-9AB2-7BB2FBE717CB}"/>
    <cellStyle name="Millares 7 2 2 3 4 2 2" xfId="46647" xr:uid="{3B6BB65C-EF1B-45E7-8B91-474C434E6201}"/>
    <cellStyle name="Millares 7 2 2 3 4 3" xfId="14327" xr:uid="{5DED2EC9-85BD-4EBE-ADBD-91A0FEB59086}"/>
    <cellStyle name="Millares 7 2 2 3 4 4" xfId="33532" xr:uid="{0CA2953B-2457-4B9C-8F15-38D8AA2504E8}"/>
    <cellStyle name="Millares 7 2 2 3 4 5" xfId="44251" xr:uid="{0F2E0242-EE3A-4193-8D12-DBF5E06B35A3}"/>
    <cellStyle name="Millares 7 2 2 3 4 6" xfId="49144" xr:uid="{5D43D9F6-7986-47E5-A299-F2B0D3EE5BFC}"/>
    <cellStyle name="Millares 7 2 2 3 5" xfId="3718" xr:uid="{C4B5B9D0-3472-4B82-AC29-E9BB3DD1A856}"/>
    <cellStyle name="Millares 7 2 2 3 5 2" xfId="11959" xr:uid="{C90AFA9F-D9B8-4D95-BC69-E3FDEDEDFE75}"/>
    <cellStyle name="Millares 7 2 2 3 5 3" xfId="14799" xr:uid="{E3441CCB-0582-40CE-86DA-24C6D352E89A}"/>
    <cellStyle name="Millares 7 2 2 3 5 4" xfId="39396" xr:uid="{5C3F6644-4A3B-45C3-87E9-D524CF00F723}"/>
    <cellStyle name="Millares 7 2 2 3 5 5" xfId="44723" xr:uid="{275911D4-A217-4004-99E7-F98B661C3A22}"/>
    <cellStyle name="Millares 7 2 2 3 5 6" xfId="49616" xr:uid="{99E6CC82-439A-4269-B617-C580888A240A}"/>
    <cellStyle name="Millares 7 2 2 3 6" xfId="7416" xr:uid="{ACC92F49-8D7A-4E25-9D1A-60F8D9725E96}"/>
    <cellStyle name="Millares 7 2 2 3 6 2" xfId="45141" xr:uid="{19EEFA45-975F-439F-A7FB-380562A77E3C}"/>
    <cellStyle name="Millares 7 2 2 3 7" xfId="9981" xr:uid="{33407B2B-54F5-4D3E-AF8E-31182D739F09}"/>
    <cellStyle name="Millares 7 2 2 3 8" xfId="12821" xr:uid="{1D21D6FE-DC62-498F-80D8-3F30C1265192}"/>
    <cellStyle name="Millares 7 2 2 3 9" xfId="16164" xr:uid="{E11E6141-1166-4C25-9EBA-328231C45E43}"/>
    <cellStyle name="Millares 7 2 2 4" xfId="640" xr:uid="{00000000-0005-0000-0000-00009A020000}"/>
    <cellStyle name="Millares 7 2 2 4 10" xfId="42947" xr:uid="{10CC5093-250F-4464-BFF7-A72793402152}"/>
    <cellStyle name="Millares 7 2 2 4 11" xfId="47840" xr:uid="{9C746EA7-3FDF-4A74-BE07-5BA2657D5CE0}"/>
    <cellStyle name="Millares 7 2 2 4 2" xfId="2874" xr:uid="{5493A803-FBC2-4A5C-9985-34D7439F17A0}"/>
    <cellStyle name="Millares 7 2 2 4 2 2" xfId="11145" xr:uid="{C8E05D2C-2440-4CAF-9D8F-A7F635B6BE51}"/>
    <cellStyle name="Millares 7 2 2 4 2 2 2" xfId="46305" xr:uid="{BC4EC955-0C79-440E-B712-50F5CC10D372}"/>
    <cellStyle name="Millares 7 2 2 4 2 3" xfId="13985" xr:uid="{D23E7CD0-22E0-4089-8F9A-F1EC0D89EA44}"/>
    <cellStyle name="Millares 7 2 2 4 2 4" xfId="43909" xr:uid="{192CFE7A-C11A-4102-8905-D736E1B478CA}"/>
    <cellStyle name="Millares 7 2 2 4 2 5" xfId="48802" xr:uid="{363435FA-1600-484D-ACDE-7391305EC80E}"/>
    <cellStyle name="Millares 7 2 2 4 3" xfId="10183" xr:uid="{0552614E-69DF-4328-89A4-176DEF213D79}"/>
    <cellStyle name="Millares 7 2 2 4 3 2" xfId="45343" xr:uid="{BF932C93-B72D-4CD9-944B-BDDD00EB7188}"/>
    <cellStyle name="Millares 7 2 2 4 4" xfId="13023" xr:uid="{B0AFB712-C291-40E7-BD37-AB553D52DC9C}"/>
    <cellStyle name="Millares 7 2 2 4 5" xfId="16366" xr:uid="{F5047620-E9F1-48F4-97BF-8EAE0C3B3923}"/>
    <cellStyle name="Millares 7 2 2 4 6" xfId="16909" xr:uid="{34161E9A-582C-41D8-918A-C02BAA24D01E}"/>
    <cellStyle name="Millares 7 2 2 4 7" xfId="17453" xr:uid="{0FD33AC7-1F5B-4C36-A814-1ED7E7946C42}"/>
    <cellStyle name="Millares 7 2 2 4 8" xfId="19049" xr:uid="{DC0AFF82-6B05-43CD-900D-1358B81C37F4}"/>
    <cellStyle name="Millares 7 2 2 4 9" xfId="18079" xr:uid="{ECC7AE89-929D-4BF3-98BB-594697224365}"/>
    <cellStyle name="Millares 7 2 2 5" xfId="2038" xr:uid="{89D8AA87-E9BE-4256-91B5-8AD3933F7A8B}"/>
    <cellStyle name="Millares 7 2 2 5 2" xfId="10309" xr:uid="{57871165-3F56-484A-BF00-1077840E6653}"/>
    <cellStyle name="Millares 7 2 2 5 2 2" xfId="45469" xr:uid="{C0BD4D23-6775-44CB-9A88-24074BA86C74}"/>
    <cellStyle name="Millares 7 2 2 5 3" xfId="13149" xr:uid="{B2FA04CC-2C53-493F-B1EC-A55C2AA3CD8A}"/>
    <cellStyle name="Millares 7 2 2 5 4" xfId="24801" xr:uid="{A56B8875-9841-4F30-B868-4F3CA691A8B8}"/>
    <cellStyle name="Millares 7 2 2 5 5" xfId="43073" xr:uid="{C4B095B2-6974-43EE-90DF-D870A161839F}"/>
    <cellStyle name="Millares 7 2 2 5 6" xfId="47966" xr:uid="{29984716-F243-482B-AB87-4C55799BA7E3}"/>
    <cellStyle name="Millares 7 2 2 6" xfId="2456" xr:uid="{4A363B32-0478-4AC4-881F-E0E3A6E31419}"/>
    <cellStyle name="Millares 7 2 2 6 2" xfId="10727" xr:uid="{C2BF0E39-E040-4134-9402-2438D42BDEDD}"/>
    <cellStyle name="Millares 7 2 2 6 2 2" xfId="45887" xr:uid="{1A93428D-A467-4A32-B89A-7168748F63AB}"/>
    <cellStyle name="Millares 7 2 2 6 3" xfId="13567" xr:uid="{B694422E-E81E-4A69-9115-A1C673D0E3F9}"/>
    <cellStyle name="Millares 7 2 2 6 4" xfId="30678" xr:uid="{9BF926F0-0777-41D1-89DC-957A3C783D19}"/>
    <cellStyle name="Millares 7 2 2 6 5" xfId="43491" xr:uid="{E8DDB3C8-DEAF-49E5-B908-9BCEED45C7F4}"/>
    <cellStyle name="Millares 7 2 2 6 6" xfId="48384" xr:uid="{EF8B8021-9B33-4FC5-9376-34835A68C8EB}"/>
    <cellStyle name="Millares 7 2 2 7" xfId="3000" xr:uid="{4D874F4B-4705-4E9E-97CE-EC68CAFE385A}"/>
    <cellStyle name="Millares 7 2 2 7 2" xfId="11271" xr:uid="{B5551C23-81E6-4915-A53E-89543F8D6E4D}"/>
    <cellStyle name="Millares 7 2 2 7 2 2" xfId="46431" xr:uid="{EC604F33-33D0-4D76-BF3E-90A5D44C6B37}"/>
    <cellStyle name="Millares 7 2 2 7 3" xfId="14111" xr:uid="{B338DBAD-A412-4396-A84D-219459AC2885}"/>
    <cellStyle name="Millares 7 2 2 7 4" xfId="36559" xr:uid="{280FB5CD-037E-44B1-8A44-B7052CA6B337}"/>
    <cellStyle name="Millares 7 2 2 7 5" xfId="44035" xr:uid="{8CCF7EC2-BEC0-4487-8850-BCF69EADD699}"/>
    <cellStyle name="Millares 7 2 2 7 6" xfId="48928" xr:uid="{E5633ACD-BD51-464F-8C7E-13423DC500D3}"/>
    <cellStyle name="Millares 7 2 2 8" xfId="3502" xr:uid="{9CB70FF2-AE75-47E7-BC67-7B796C435386}"/>
    <cellStyle name="Millares 7 2 2 8 2" xfId="11743" xr:uid="{668BFEE8-A7CB-469A-A10E-601967644817}"/>
    <cellStyle name="Millares 7 2 2 8 3" xfId="14583" xr:uid="{EA087189-3EE5-442F-ADC4-355E0F9D83E6}"/>
    <cellStyle name="Millares 7 2 2 8 4" xfId="44507" xr:uid="{380B10D7-E3EA-4A4D-A89D-45A017E193CF}"/>
    <cellStyle name="Millares 7 2 2 8 5" xfId="49400" xr:uid="{1A2E36C0-3FE3-4B49-B60B-2EF2E6F79EF6}"/>
    <cellStyle name="Millares 7 2 2 9" xfId="4553" xr:uid="{793C9A83-AFD7-4E09-A8BB-4813BF2692AC}"/>
    <cellStyle name="Millares 7 2 2 9 2" xfId="44925" xr:uid="{17CD1892-59B7-4CA4-BBBB-E6E9C7AB9B12}"/>
    <cellStyle name="Millares 7 2 20" xfId="47353" xr:uid="{1EB270AF-F265-4EC6-9730-0F6229D309BB}"/>
    <cellStyle name="Millares 7 2 21" xfId="50358" xr:uid="{E7263800-754D-46C9-B6BF-A222DDFD3B9D}"/>
    <cellStyle name="Millares 7 2 3" xfId="156" xr:uid="{00000000-0005-0000-0000-00009B020000}"/>
    <cellStyle name="Millares 7 2 3 10" xfId="9724" xr:uid="{F96B281D-5F18-4510-A0E6-869EA0D2187B}"/>
    <cellStyle name="Millares 7 2 3 11" xfId="12564" xr:uid="{700EAE44-EBAA-496A-8151-5AD5E6752CE4}"/>
    <cellStyle name="Millares 7 2 3 12" xfId="15907" xr:uid="{EA897270-5C7B-4E52-B902-71D505252494}"/>
    <cellStyle name="Millares 7 2 3 13" xfId="16450" xr:uid="{B6CA2823-1376-489B-A10D-CBAA6177C755}"/>
    <cellStyle name="Millares 7 2 3 14" xfId="16994" xr:uid="{A9B4D2A2-4730-441D-82C6-8E4EA3D1DC78}"/>
    <cellStyle name="Millares 7 2 3 15" xfId="18275" xr:uid="{70B00A2A-DFB4-4227-9003-6A0394CA712B}"/>
    <cellStyle name="Millares 7 2 3 16" xfId="42488" xr:uid="{5BF0C638-E62F-4F4C-B874-EA6D0312AFE9}"/>
    <cellStyle name="Millares 7 2 3 17" xfId="47381" xr:uid="{74B8F5CD-74FB-4AB6-8411-8439C778042F}"/>
    <cellStyle name="Millares 7 2 3 2" xfId="270" xr:uid="{00000000-0005-0000-0000-00009C020000}"/>
    <cellStyle name="Millares 7 2 3 2 10" xfId="16011" xr:uid="{EB740102-1666-499B-9A18-407E6DF950D0}"/>
    <cellStyle name="Millares 7 2 3 2 11" xfId="16554" xr:uid="{9CAE0B72-F481-4372-87D9-FAE182FAA6BC}"/>
    <cellStyle name="Millares 7 2 3 2 12" xfId="17098" xr:uid="{9A667357-1A79-4279-9AB5-AF9D38DFC110}"/>
    <cellStyle name="Millares 7 2 3 2 13" xfId="18273" xr:uid="{9E7F8CE1-1A3B-4BBF-B9AD-B52BB706827F}"/>
    <cellStyle name="Millares 7 2 3 2 14" xfId="42592" xr:uid="{EA5C50DF-8A27-4856-BBDF-0566FED76404}"/>
    <cellStyle name="Millares 7 2 3 2 15" xfId="47485" xr:uid="{33B26CCD-15BA-487B-AA9D-79DCD9731623}"/>
    <cellStyle name="Millares 7 2 3 2 2" xfId="497" xr:uid="{00000000-0005-0000-0000-00009D020000}"/>
    <cellStyle name="Millares 7 2 3 2 2 10" xfId="17310" xr:uid="{CAD8F5CC-EB3A-450A-8EAD-8D31FD2A2D37}"/>
    <cellStyle name="Millares 7 2 3 2 2 11" xfId="22288" xr:uid="{E6A7C928-E0BC-42F9-9C5A-3C702416DD82}"/>
    <cellStyle name="Millares 7 2 3 2 2 12" xfId="21601" xr:uid="{9FA4B386-9599-4CEB-B469-7760C65DA2E8}"/>
    <cellStyle name="Millares 7 2 3 2 2 13" xfId="42804" xr:uid="{ECF1B945-ACE5-433D-9317-D7EDC4F05967}"/>
    <cellStyle name="Millares 7 2 3 2 2 14" xfId="47697" xr:uid="{33C50339-19CB-4F5C-A492-55ACF410C4EA}"/>
    <cellStyle name="Millares 7 2 3 2 2 2" xfId="2313" xr:uid="{6FB8A0C6-FEDD-49CD-B03C-B2E08ECEF920}"/>
    <cellStyle name="Millares 7 2 3 2 2 2 2" xfId="10584" xr:uid="{9BDDD663-A9C5-4C2B-B512-A2AE960A96F4}"/>
    <cellStyle name="Millares 7 2 3 2 2 2 2 2" xfId="45744" xr:uid="{964F3201-1967-46F3-9C55-CBD7ABC45FBC}"/>
    <cellStyle name="Millares 7 2 3 2 2 2 3" xfId="13424" xr:uid="{4DFDD7EF-098C-4EF8-B5E6-BA8561F9DE5D}"/>
    <cellStyle name="Millares 7 2 3 2 2 2 4" xfId="43348" xr:uid="{8A80958E-1488-4E56-A97E-E13374DC65C8}"/>
    <cellStyle name="Millares 7 2 3 2 2 2 5" xfId="48241" xr:uid="{65C8B643-4F0F-415B-8D8B-3A124110B81F}"/>
    <cellStyle name="Millares 7 2 3 2 2 3" xfId="2731" xr:uid="{D726D59B-E766-43D9-BF95-2AD7E6574A56}"/>
    <cellStyle name="Millares 7 2 3 2 2 3 2" xfId="11002" xr:uid="{F438BA36-847A-448F-B3F7-E48A220303C7}"/>
    <cellStyle name="Millares 7 2 3 2 2 3 2 2" xfId="46162" xr:uid="{1B1FFA3C-2E86-45CA-A3C8-B1B47B46A9AC}"/>
    <cellStyle name="Millares 7 2 3 2 2 3 3" xfId="13842" xr:uid="{3BE29803-91D9-4433-B0F3-00BA92A45E89}"/>
    <cellStyle name="Millares 7 2 3 2 2 3 4" xfId="43766" xr:uid="{E96DA464-65F6-4288-8DB4-C22D2C70F725}"/>
    <cellStyle name="Millares 7 2 3 2 2 3 5" xfId="48659" xr:uid="{CDF07F89-1BA4-43D8-972C-8250F4A62EAE}"/>
    <cellStyle name="Millares 7 2 3 2 2 4" xfId="3275" xr:uid="{7EC748DD-71AC-4956-B7BF-A77F0E00D02A}"/>
    <cellStyle name="Millares 7 2 3 2 2 4 2" xfId="11546" xr:uid="{D5FE4CF3-D04D-486A-BAB8-1E4DF7F06300}"/>
    <cellStyle name="Millares 7 2 3 2 2 4 2 2" xfId="46706" xr:uid="{1061F011-890A-48E5-90DE-D08ACD1A775D}"/>
    <cellStyle name="Millares 7 2 3 2 2 4 3" xfId="14386" xr:uid="{4F4F0EE0-4C83-4ADC-AEC0-D4FC14F9C3D1}"/>
    <cellStyle name="Millares 7 2 3 2 2 4 4" xfId="44310" xr:uid="{EDD868D7-6443-483F-B748-77CE1C1E8685}"/>
    <cellStyle name="Millares 7 2 3 2 2 4 5" xfId="49203" xr:uid="{CD7D9D2D-9A99-4E3F-9FC8-31C25C4A4F24}"/>
    <cellStyle name="Millares 7 2 3 2 2 5" xfId="3777" xr:uid="{41D4FB95-9E83-40CF-B482-9EA4838D7E8C}"/>
    <cellStyle name="Millares 7 2 3 2 2 5 2" xfId="12018" xr:uid="{90EDF9B0-6F5D-417A-930B-D4B0B3990300}"/>
    <cellStyle name="Millares 7 2 3 2 2 5 3" xfId="14858" xr:uid="{A2543B84-66AD-431A-828A-0FCDB8C90803}"/>
    <cellStyle name="Millares 7 2 3 2 2 5 4" xfId="44782" xr:uid="{833B618D-6328-4815-BB4B-E8D15BAE9F31}"/>
    <cellStyle name="Millares 7 2 3 2 2 5 5" xfId="49675" xr:uid="{F49256E2-37EF-4DA1-8633-9F89EBF000FB}"/>
    <cellStyle name="Millares 7 2 3 2 2 6" xfId="10040" xr:uid="{A42FEA52-9D26-43B3-9EC6-DBB3AAE662E8}"/>
    <cellStyle name="Millares 7 2 3 2 2 6 2" xfId="45200" xr:uid="{170144BA-5973-4AB8-85E2-A7937DF80382}"/>
    <cellStyle name="Millares 7 2 3 2 2 7" xfId="12880" xr:uid="{65F9794E-4ED9-4C15-8CF3-161C3609106B}"/>
    <cellStyle name="Millares 7 2 3 2 2 8" xfId="16223" xr:uid="{B024BC8C-D03F-4379-8E75-B4B8E3235DC7}"/>
    <cellStyle name="Millares 7 2 3 2 2 9" xfId="16766" xr:uid="{BB53F1F3-8792-4730-834F-C5DBAFDC9D2F}"/>
    <cellStyle name="Millares 7 2 3 2 3" xfId="2101" xr:uid="{E25408A2-55C0-4345-B491-E90EE4DF5FC3}"/>
    <cellStyle name="Millares 7 2 3 2 3 2" xfId="10372" xr:uid="{1858D1C1-904D-45C3-932A-E8E364F55587}"/>
    <cellStyle name="Millares 7 2 3 2 3 2 2" xfId="45532" xr:uid="{91706383-7075-4D4E-A630-9F804B522FAB}"/>
    <cellStyle name="Millares 7 2 3 2 3 3" xfId="13212" xr:uid="{2F7A5101-2432-4303-A723-02DE51AF055C}"/>
    <cellStyle name="Millares 7 2 3 2 3 4" xfId="28136" xr:uid="{5C7C8BF6-3690-4E8A-A50F-B46177BB1C98}"/>
    <cellStyle name="Millares 7 2 3 2 3 5" xfId="43136" xr:uid="{823F9893-E99A-4730-9EF0-5F0A78C14250}"/>
    <cellStyle name="Millares 7 2 3 2 3 6" xfId="48029" xr:uid="{94174FA2-B8A8-427D-8F71-BC059665D681}"/>
    <cellStyle name="Millares 7 2 3 2 4" xfId="2519" xr:uid="{7B6FF6EA-6C3C-4FD5-AB0E-A8247DEF0B30}"/>
    <cellStyle name="Millares 7 2 3 2 4 2" xfId="10790" xr:uid="{8BEDFEED-9805-4F4C-9499-5E5220AE6FEC}"/>
    <cellStyle name="Millares 7 2 3 2 4 2 2" xfId="45950" xr:uid="{1102F708-3000-45C4-B126-856D7C232FF2}"/>
    <cellStyle name="Millares 7 2 3 2 4 3" xfId="13630" xr:uid="{3B32E109-99E6-4607-9B94-A7A9ADFB34C1}"/>
    <cellStyle name="Millares 7 2 3 2 4 4" xfId="34018" xr:uid="{B7772D93-66D2-43D6-8D18-8AD73BE93A17}"/>
    <cellStyle name="Millares 7 2 3 2 4 5" xfId="43554" xr:uid="{58D755B0-CAA7-4F51-9CF5-CE12515E4E5F}"/>
    <cellStyle name="Millares 7 2 3 2 4 6" xfId="48447" xr:uid="{47491F67-12BC-44CF-955F-5DB38C31F6E1}"/>
    <cellStyle name="Millares 7 2 3 2 5" xfId="3063" xr:uid="{B0CFFF0D-81A3-4378-9E53-FD2B7F89C703}"/>
    <cellStyle name="Millares 7 2 3 2 5 2" xfId="11334" xr:uid="{73AE15D0-475F-4C2E-B052-6628F4979876}"/>
    <cellStyle name="Millares 7 2 3 2 5 2 2" xfId="46494" xr:uid="{E40C6FA7-4B0A-49DD-BA2C-20DE96B5488A}"/>
    <cellStyle name="Millares 7 2 3 2 5 3" xfId="14174" xr:uid="{EE8889C1-B243-48E2-9E1F-9EA649CE66C0}"/>
    <cellStyle name="Millares 7 2 3 2 5 4" xfId="39882" xr:uid="{CC0CCD32-D25E-4BA6-A0A5-B487FCE8EF73}"/>
    <cellStyle name="Millares 7 2 3 2 5 5" xfId="44098" xr:uid="{CDA55A6F-DD2E-4040-AA9D-F65D4FD92FF0}"/>
    <cellStyle name="Millares 7 2 3 2 5 6" xfId="48991" xr:uid="{12C627D7-59C4-4601-8F95-488FF935F3BD}"/>
    <cellStyle name="Millares 7 2 3 2 6" xfId="3565" xr:uid="{7D52E029-98F0-43DA-9ED6-0B98115BF4FA}"/>
    <cellStyle name="Millares 7 2 3 2 6 2" xfId="11806" xr:uid="{65A71719-FAE0-4C67-9D84-CC55B06A0F4D}"/>
    <cellStyle name="Millares 7 2 3 2 6 3" xfId="14646" xr:uid="{F1AE8FDB-D262-4298-A319-28B090175F59}"/>
    <cellStyle name="Millares 7 2 3 2 6 4" xfId="44570" xr:uid="{CBA4412F-05A5-4C57-85DF-7063626EA380}"/>
    <cellStyle name="Millares 7 2 3 2 6 5" xfId="49463" xr:uid="{A3A83A3F-9AC7-4717-8A6B-8DE896CFEEC2}"/>
    <cellStyle name="Millares 7 2 3 2 7" xfId="7903" xr:uid="{501501C7-DB3A-4F53-B3F7-8657B4FD1D00}"/>
    <cellStyle name="Millares 7 2 3 2 7 2" xfId="44988" xr:uid="{A9B79C6C-610B-4681-BF20-17A9F720A643}"/>
    <cellStyle name="Millares 7 2 3 2 8" xfId="9828" xr:uid="{F8D94AB8-F7B6-4463-8BFE-BF70E7AA626C}"/>
    <cellStyle name="Millares 7 2 3 2 9" xfId="12668" xr:uid="{549B297D-646C-4AF9-8ED3-EFBA79A28702}"/>
    <cellStyle name="Millares 7 2 3 3" xfId="396" xr:uid="{00000000-0005-0000-0000-00009E020000}"/>
    <cellStyle name="Millares 7 2 3 3 10" xfId="17210" xr:uid="{C7068F25-24B9-40A2-A2CF-B1A2BFDD4E76}"/>
    <cellStyle name="Millares 7 2 3 3 11" xfId="19514" xr:uid="{A1084EF6-F57C-475C-82C8-20FC1842CDFE}"/>
    <cellStyle name="Millares 7 2 3 3 12" xfId="18078" xr:uid="{6DA38997-B6B8-4524-92D0-2327A1C177D0}"/>
    <cellStyle name="Millares 7 2 3 3 13" xfId="42704" xr:uid="{177CB2A1-D3A9-464C-BA43-43FEEDCC0280}"/>
    <cellStyle name="Millares 7 2 3 3 14" xfId="47597" xr:uid="{5441BB21-4A72-4AFE-B747-F216D8BEC3E0}"/>
    <cellStyle name="Millares 7 2 3 3 2" xfId="2213" xr:uid="{132C1D0B-55FC-44BC-84F6-61A346858145}"/>
    <cellStyle name="Millares 7 2 3 3 2 2" xfId="10484" xr:uid="{C3CFD541-DC5D-4564-B50F-35002EB59E2F}"/>
    <cellStyle name="Millares 7 2 3 3 2 2 2" xfId="45644" xr:uid="{FDB82EA6-A2BC-47C2-BBC1-7870313CB24C}"/>
    <cellStyle name="Millares 7 2 3 3 2 3" xfId="13324" xr:uid="{BE824AC7-D083-43EB-8565-2BB1601B6C5F}"/>
    <cellStyle name="Millares 7 2 3 3 2 4" xfId="43248" xr:uid="{DC664AA5-8E2B-47E8-BB0D-46DE6292B8A7}"/>
    <cellStyle name="Millares 7 2 3 3 2 5" xfId="48141" xr:uid="{53F60D6F-CB3D-41E2-96FF-9E141A466E7E}"/>
    <cellStyle name="Millares 7 2 3 3 3" xfId="2631" xr:uid="{3B2BFC48-742D-4AF5-9A79-4E2D75C552C9}"/>
    <cellStyle name="Millares 7 2 3 3 3 2" xfId="10902" xr:uid="{DEBF7F8E-6E8F-4EC7-921E-1B08F163DBBD}"/>
    <cellStyle name="Millares 7 2 3 3 3 2 2" xfId="46062" xr:uid="{909A07F0-7A14-4E95-A364-4635027945C9}"/>
    <cellStyle name="Millares 7 2 3 3 3 3" xfId="13742" xr:uid="{957D1E77-ACE8-4945-9AF7-6E404FE1021F}"/>
    <cellStyle name="Millares 7 2 3 3 3 4" xfId="43666" xr:uid="{7C5FBE4E-ED84-42D9-A35A-8B6E240DE22B}"/>
    <cellStyle name="Millares 7 2 3 3 3 5" xfId="48559" xr:uid="{4CAB9808-060C-487D-8FDD-32E61E3BD50A}"/>
    <cellStyle name="Millares 7 2 3 3 4" xfId="3175" xr:uid="{19883EA8-5EC6-46EF-985B-0B7155E74D98}"/>
    <cellStyle name="Millares 7 2 3 3 4 2" xfId="11446" xr:uid="{B1DE6223-F0C8-41F8-84A0-1E14CD7A713F}"/>
    <cellStyle name="Millares 7 2 3 3 4 2 2" xfId="46606" xr:uid="{5DC193B0-9FAF-4413-8ABB-21D28A377B26}"/>
    <cellStyle name="Millares 7 2 3 3 4 3" xfId="14286" xr:uid="{9DACCC40-862B-4EB1-BF1D-D1FBFEB74092}"/>
    <cellStyle name="Millares 7 2 3 3 4 4" xfId="44210" xr:uid="{D78E471E-3AD3-456A-AF8D-BB477A4635EE}"/>
    <cellStyle name="Millares 7 2 3 3 4 5" xfId="49103" xr:uid="{126D1CBC-DE67-4ADD-BEC6-98E029D1AD55}"/>
    <cellStyle name="Millares 7 2 3 3 5" xfId="3677" xr:uid="{9AD378E9-5606-4B21-B931-E3CBC8A9072E}"/>
    <cellStyle name="Millares 7 2 3 3 5 2" xfId="11918" xr:uid="{60DC2521-8618-48FD-ACCE-95C85E6FFAB5}"/>
    <cellStyle name="Millares 7 2 3 3 5 3" xfId="14758" xr:uid="{EA278D12-2FC3-45A6-BB78-FFAF8D0E3D8B}"/>
    <cellStyle name="Millares 7 2 3 3 5 4" xfId="44682" xr:uid="{0A1F2CCE-974E-49E7-81B9-E2ACBBA881A5}"/>
    <cellStyle name="Millares 7 2 3 3 5 5" xfId="49575" xr:uid="{49C3B5EB-8EFE-4222-9B99-CDA19104BC88}"/>
    <cellStyle name="Millares 7 2 3 3 6" xfId="9940" xr:uid="{5680CC73-BA98-406A-8C72-A1D6B45EB5A9}"/>
    <cellStyle name="Millares 7 2 3 3 6 2" xfId="45100" xr:uid="{476D5C53-1310-4407-AA18-946FE97196A4}"/>
    <cellStyle name="Millares 7 2 3 3 7" xfId="12780" xr:uid="{27D98433-3FC3-4990-9FBD-189684DD7AAB}"/>
    <cellStyle name="Millares 7 2 3 3 8" xfId="16123" xr:uid="{7672F147-5058-4536-BAA4-7588B98F20BA}"/>
    <cellStyle name="Millares 7 2 3 3 9" xfId="16666" xr:uid="{E57F606C-E00F-492B-971A-9F8F0726F52D}"/>
    <cellStyle name="Millares 7 2 3 4" xfId="599" xr:uid="{00000000-0005-0000-0000-00009F020000}"/>
    <cellStyle name="Millares 7 2 3 4 10" xfId="42906" xr:uid="{1EC1493A-E415-467B-9C61-68F481A1B35B}"/>
    <cellStyle name="Millares 7 2 3 4 11" xfId="47799" xr:uid="{1C20A11C-EBE6-4E44-8020-A3D032554A75}"/>
    <cellStyle name="Millares 7 2 3 4 2" xfId="2833" xr:uid="{EAF1C092-01D4-4D91-964D-38A5AB1D59A7}"/>
    <cellStyle name="Millares 7 2 3 4 2 2" xfId="11104" xr:uid="{B8AE9D76-7B97-498B-92ED-59C4410DC492}"/>
    <cellStyle name="Millares 7 2 3 4 2 2 2" xfId="46264" xr:uid="{493C1D2A-F644-4FF1-BAC3-91D16210B6F3}"/>
    <cellStyle name="Millares 7 2 3 4 2 3" xfId="13944" xr:uid="{5541B505-BFC2-4092-976A-4DBAF9B110EB}"/>
    <cellStyle name="Millares 7 2 3 4 2 4" xfId="43868" xr:uid="{30C833BB-9D24-4A67-BF8C-BE4B94B5661A}"/>
    <cellStyle name="Millares 7 2 3 4 2 5" xfId="48761" xr:uid="{400A66D5-E695-4075-8F0F-D57029F47979}"/>
    <cellStyle name="Millares 7 2 3 4 3" xfId="10142" xr:uid="{82284850-5FCD-4C16-8B46-FE126217AB48}"/>
    <cellStyle name="Millares 7 2 3 4 3 2" xfId="45302" xr:uid="{3F699BB9-0B2A-4E50-A318-CBD8045D85FC}"/>
    <cellStyle name="Millares 7 2 3 4 4" xfId="12982" xr:uid="{0C265859-FF88-4D78-8581-93947D2FEA04}"/>
    <cellStyle name="Millares 7 2 3 4 5" xfId="16325" xr:uid="{BE6C047C-8641-4604-A2C5-41164A2AEA23}"/>
    <cellStyle name="Millares 7 2 3 4 6" xfId="16868" xr:uid="{8F7E59AB-1E98-422A-B7BF-B1346DF87FE2}"/>
    <cellStyle name="Millares 7 2 3 4 7" xfId="17412" xr:uid="{B80701C0-7A22-4C61-9CA0-C5FAFABC8C9C}"/>
    <cellStyle name="Millares 7 2 3 4 8" xfId="25287" xr:uid="{415BC73B-A76F-499B-9B17-207290004AE1}"/>
    <cellStyle name="Millares 7 2 3 4 9" xfId="17908" xr:uid="{3C875C8F-8E41-411D-9566-67468701734F}"/>
    <cellStyle name="Millares 7 2 3 5" xfId="1997" xr:uid="{99D6BE74-2C40-4184-AECF-1969CC9E208C}"/>
    <cellStyle name="Millares 7 2 3 5 2" xfId="10268" xr:uid="{F6531078-E992-486E-B694-C867B9FC0F0D}"/>
    <cellStyle name="Millares 7 2 3 5 2 2" xfId="45428" xr:uid="{63332B0C-5E62-4C93-8D90-AC8E19D33428}"/>
    <cellStyle name="Millares 7 2 3 5 3" xfId="13108" xr:uid="{271C6B32-4E52-471B-BD65-DEADE44A97EB}"/>
    <cellStyle name="Millares 7 2 3 5 4" xfId="31161" xr:uid="{81C60F39-9286-4EAE-8543-D9C5B743A4AB}"/>
    <cellStyle name="Millares 7 2 3 5 5" xfId="43032" xr:uid="{B3022089-702C-4843-BD6E-5262C3E69A22}"/>
    <cellStyle name="Millares 7 2 3 5 6" xfId="47925" xr:uid="{B8EBEFC6-9D3C-4239-BF32-E6354C21D389}"/>
    <cellStyle name="Millares 7 2 3 6" xfId="2415" xr:uid="{A7B270F0-3424-4FF3-9A82-C895DDA52AFF}"/>
    <cellStyle name="Millares 7 2 3 6 2" xfId="10686" xr:uid="{464B1185-F3CA-4E1B-BE8F-7574AFF257AA}"/>
    <cellStyle name="Millares 7 2 3 6 2 2" xfId="45846" xr:uid="{5F8BD9E8-34B5-4BB0-8B6D-C7B9B47C881B}"/>
    <cellStyle name="Millares 7 2 3 6 3" xfId="13526" xr:uid="{D04961BD-5248-47C0-95A7-07B3FC4E791A}"/>
    <cellStyle name="Millares 7 2 3 6 4" xfId="37039" xr:uid="{C19FDAA7-9730-4524-BF14-613B641816D2}"/>
    <cellStyle name="Millares 7 2 3 6 5" xfId="43450" xr:uid="{45CED3A3-56DA-494A-8314-5949C230B712}"/>
    <cellStyle name="Millares 7 2 3 6 6" xfId="48343" xr:uid="{E629BDF8-F7E6-4863-98B6-849819244920}"/>
    <cellStyle name="Millares 7 2 3 7" xfId="2959" xr:uid="{F315AA9D-42D1-47A5-8EA1-35C05F910FFC}"/>
    <cellStyle name="Millares 7 2 3 7 2" xfId="11230" xr:uid="{83C14116-86F3-4957-96B5-DB7C16FE7448}"/>
    <cellStyle name="Millares 7 2 3 7 2 2" xfId="46390" xr:uid="{15E80879-F773-4A74-AE89-24BD9545387A}"/>
    <cellStyle name="Millares 7 2 3 7 3" xfId="14070" xr:uid="{2DF1940E-8191-4879-8982-2005CF724300}"/>
    <cellStyle name="Millares 7 2 3 7 4" xfId="43994" xr:uid="{552E905D-8CD7-4951-A3DD-89FA33078B72}"/>
    <cellStyle name="Millares 7 2 3 7 5" xfId="48887" xr:uid="{5D2C3CA6-4D5B-4DE7-ABF2-2BCF77749164}"/>
    <cellStyle name="Millares 7 2 3 8" xfId="3461" xr:uid="{B3FE5CD4-B864-4456-B42D-AAF03339757C}"/>
    <cellStyle name="Millares 7 2 3 8 2" xfId="11702" xr:uid="{E7BC8BD4-50E4-431B-93B9-730E707CBE5E}"/>
    <cellStyle name="Millares 7 2 3 8 3" xfId="14542" xr:uid="{6DF28B91-04E6-49C6-8B30-9C8D6EDD2A65}"/>
    <cellStyle name="Millares 7 2 3 8 4" xfId="44466" xr:uid="{EEABC009-B3DD-4A88-A3FC-691CE1FA218C}"/>
    <cellStyle name="Millares 7 2 3 8 5" xfId="49359" xr:uid="{D51B5D12-4131-41FA-92F3-CC6192024DF3}"/>
    <cellStyle name="Millares 7 2 3 9" xfId="5036" xr:uid="{97DCFABE-4AA8-4B3D-9275-E0E9C64900DD}"/>
    <cellStyle name="Millares 7 2 3 9 2" xfId="44884" xr:uid="{FEE14887-8F9D-4B0E-B3FB-AD77F3BD7BC2}"/>
    <cellStyle name="Millares 7 2 4" xfId="242" xr:uid="{00000000-0005-0000-0000-0000A0020000}"/>
    <cellStyle name="Millares 7 2 4 10" xfId="15983" xr:uid="{F2E3BFB4-9F12-4E40-A2F8-FD8A6A2F59F9}"/>
    <cellStyle name="Millares 7 2 4 11" xfId="16526" xr:uid="{A052CED5-BE24-4694-BB71-CB6096C461AF}"/>
    <cellStyle name="Millares 7 2 4 12" xfId="17070" xr:uid="{6F8BD5C6-99CC-4D7F-B4C2-017BA38F927B}"/>
    <cellStyle name="Millares 7 2 4 13" xfId="17925" xr:uid="{C81F2091-6765-4B6E-9FDB-D74B09ED6EF2}"/>
    <cellStyle name="Millares 7 2 4 14" xfId="42564" xr:uid="{D41B6A23-15ED-4F86-B753-4E214C1B831F}"/>
    <cellStyle name="Millares 7 2 4 15" xfId="47457" xr:uid="{E51394D8-98C7-45E1-9586-D66C4EAE0DF8}"/>
    <cellStyle name="Millares 7 2 4 2" xfId="469" xr:uid="{00000000-0005-0000-0000-0000A1020000}"/>
    <cellStyle name="Millares 7 2 4 2 10" xfId="17282" xr:uid="{ADBF52A0-3024-4CD2-A007-9DD962D42ED5}"/>
    <cellStyle name="Millares 7 2 4 2 11" xfId="21351" xr:uid="{EFD9FE32-DF9C-42F0-805C-C6194D39903A}"/>
    <cellStyle name="Millares 7 2 4 2 12" xfId="18032" xr:uid="{6770358D-D69B-4AD2-8DF6-B50DEBD47AD4}"/>
    <cellStyle name="Millares 7 2 4 2 13" xfId="42776" xr:uid="{5389563A-6391-4F2D-ACD2-34278340EAA0}"/>
    <cellStyle name="Millares 7 2 4 2 14" xfId="47669" xr:uid="{09D7F1BB-C225-447F-923D-F9B2BDE5AD6B}"/>
    <cellStyle name="Millares 7 2 4 2 2" xfId="2285" xr:uid="{35270679-DC8F-40F6-B5FF-D88D84D7009D}"/>
    <cellStyle name="Millares 7 2 4 2 2 2" xfId="10556" xr:uid="{664065B4-3678-4FB4-9E44-D3C1B525CF00}"/>
    <cellStyle name="Millares 7 2 4 2 2 2 2" xfId="45716" xr:uid="{65C8354B-97EB-40FE-A552-7256235A6405}"/>
    <cellStyle name="Millares 7 2 4 2 2 3" xfId="13396" xr:uid="{77549ED0-E424-4CB0-81C0-8E5E82D5B073}"/>
    <cellStyle name="Millares 7 2 4 2 2 4" xfId="43320" xr:uid="{540847FE-AB7B-4D3D-9A21-0243FBF7C913}"/>
    <cellStyle name="Millares 7 2 4 2 2 5" xfId="48213" xr:uid="{16929DF2-B40E-43CE-8020-5EEFD5D403DA}"/>
    <cellStyle name="Millares 7 2 4 2 3" xfId="2703" xr:uid="{66A339F0-2F42-454D-AC48-506155FC2091}"/>
    <cellStyle name="Millares 7 2 4 2 3 2" xfId="10974" xr:uid="{C9EC4D62-FD1A-4D7F-9B82-87A382D909AD}"/>
    <cellStyle name="Millares 7 2 4 2 3 2 2" xfId="46134" xr:uid="{CAB88AF6-EE38-4054-85A4-15D23B2638DF}"/>
    <cellStyle name="Millares 7 2 4 2 3 3" xfId="13814" xr:uid="{39E9C051-747A-4F60-8E65-65874FC59451}"/>
    <cellStyle name="Millares 7 2 4 2 3 4" xfId="43738" xr:uid="{510EDA3C-C7F9-4852-A261-9E90BDF9D6ED}"/>
    <cellStyle name="Millares 7 2 4 2 3 5" xfId="48631" xr:uid="{B26DEF1B-8282-4ABB-AC02-1EEA889D1D61}"/>
    <cellStyle name="Millares 7 2 4 2 4" xfId="3247" xr:uid="{2212C27B-357C-4862-97DC-721043D5660D}"/>
    <cellStyle name="Millares 7 2 4 2 4 2" xfId="11518" xr:uid="{A576F7D9-7EBD-4E67-A9F2-EE5CA32ACBF9}"/>
    <cellStyle name="Millares 7 2 4 2 4 2 2" xfId="46678" xr:uid="{82266089-458A-4AF7-8A32-78C43BCADB7A}"/>
    <cellStyle name="Millares 7 2 4 2 4 3" xfId="14358" xr:uid="{98A203A9-7AA8-41C9-8DD7-40A76608C081}"/>
    <cellStyle name="Millares 7 2 4 2 4 4" xfId="44282" xr:uid="{8A0725E7-680E-4BE0-80E4-18B7E9CBB483}"/>
    <cellStyle name="Millares 7 2 4 2 4 5" xfId="49175" xr:uid="{F9169CA9-81F1-45FA-B43F-9B3991FB6BBF}"/>
    <cellStyle name="Millares 7 2 4 2 5" xfId="3749" xr:uid="{78263F77-BFAF-40B5-8313-EA694B2E368E}"/>
    <cellStyle name="Millares 7 2 4 2 5 2" xfId="11990" xr:uid="{44401D23-332A-4DC0-96A9-1E7F25EC83BF}"/>
    <cellStyle name="Millares 7 2 4 2 5 3" xfId="14830" xr:uid="{A3FCDF1F-1336-40E9-97A6-C28A50A1E3BB}"/>
    <cellStyle name="Millares 7 2 4 2 5 4" xfId="44754" xr:uid="{95D8D27D-BBE2-4DA6-A3E7-BBA3074D0ED4}"/>
    <cellStyle name="Millares 7 2 4 2 5 5" xfId="49647" xr:uid="{E1D2B767-E367-42A9-8649-680117D4C01B}"/>
    <cellStyle name="Millares 7 2 4 2 6" xfId="10012" xr:uid="{5A1B5566-C3BA-4089-A37D-D62CADCA4A5C}"/>
    <cellStyle name="Millares 7 2 4 2 6 2" xfId="45172" xr:uid="{0E992D74-08CA-4702-99DE-9EE6AFE7844F}"/>
    <cellStyle name="Millares 7 2 4 2 7" xfId="12852" xr:uid="{5B3B67B1-5018-42AC-B6F5-A9603D59EDED}"/>
    <cellStyle name="Millares 7 2 4 2 8" xfId="16195" xr:uid="{7A310075-E768-4B6C-AB19-BDE726FD7632}"/>
    <cellStyle name="Millares 7 2 4 2 9" xfId="16738" xr:uid="{59C2DC2B-CC3B-4B7C-B35D-B0831D30F113}"/>
    <cellStyle name="Millares 7 2 4 3" xfId="2073" xr:uid="{A92BA8F4-9699-45D3-90DD-1E97C24F0BC5}"/>
    <cellStyle name="Millares 7 2 4 3 2" xfId="10344" xr:uid="{4F710AB2-0266-4147-87EE-E31B87B89B10}"/>
    <cellStyle name="Millares 7 2 4 3 2 2" xfId="45504" xr:uid="{F49E5EA4-7FA9-47A7-9EA8-1241541C7582}"/>
    <cellStyle name="Millares 7 2 4 3 3" xfId="13184" xr:uid="{CCD8D9FA-DD04-4A43-9602-469ACE455ED7}"/>
    <cellStyle name="Millares 7 2 4 3 4" xfId="27169" xr:uid="{496B6755-57C1-44AA-9CB6-D39E741C4A0A}"/>
    <cellStyle name="Millares 7 2 4 3 5" xfId="43108" xr:uid="{FBC10E81-0938-4859-A308-F80CDE65ABC6}"/>
    <cellStyle name="Millares 7 2 4 3 6" xfId="48001" xr:uid="{C2DD4A7A-DA41-4147-B2E1-3476783B72D4}"/>
    <cellStyle name="Millares 7 2 4 4" xfId="2491" xr:uid="{E7C5AA03-C2EB-460C-B46E-4BA80EA18B06}"/>
    <cellStyle name="Millares 7 2 4 4 2" xfId="10762" xr:uid="{2E67F88A-6E4B-41A5-A2C0-D04022E8A710}"/>
    <cellStyle name="Millares 7 2 4 4 2 2" xfId="45922" xr:uid="{754A50C7-CA9D-4BA1-A9E6-F648DBB5561B}"/>
    <cellStyle name="Millares 7 2 4 4 3" xfId="13602" xr:uid="{5231CC13-568B-4A57-A244-F8AE03F3E583}"/>
    <cellStyle name="Millares 7 2 4 4 4" xfId="33047" xr:uid="{E3176BED-5925-405F-B38D-54D98CB19B8D}"/>
    <cellStyle name="Millares 7 2 4 4 5" xfId="43526" xr:uid="{C1D9D5E3-640A-4762-9BD2-CBA8F6712396}"/>
    <cellStyle name="Millares 7 2 4 4 6" xfId="48419" xr:uid="{E107729B-B842-4453-965F-19C2D2A635E8}"/>
    <cellStyle name="Millares 7 2 4 5" xfId="3035" xr:uid="{FB26DBF4-7C3F-469B-9240-31C8126216F7}"/>
    <cellStyle name="Millares 7 2 4 5 2" xfId="11306" xr:uid="{F7557E34-55DC-4CAD-B7FD-EA4BCF006460}"/>
    <cellStyle name="Millares 7 2 4 5 2 2" xfId="46466" xr:uid="{96338C03-5FEA-4771-A265-B89D3621B809}"/>
    <cellStyle name="Millares 7 2 4 5 3" xfId="14146" xr:uid="{9BD8CEE8-BC3F-4D2A-B88D-C9FEB0D7D023}"/>
    <cellStyle name="Millares 7 2 4 5 4" xfId="38911" xr:uid="{69C44834-2D35-477F-B1B5-C3E849379257}"/>
    <cellStyle name="Millares 7 2 4 5 5" xfId="44070" xr:uid="{EEE7E344-CBAF-4891-A715-237434E4CB4B}"/>
    <cellStyle name="Millares 7 2 4 5 6" xfId="48963" xr:uid="{053E3AE1-7E8F-475A-AA78-A21A80CE695D}"/>
    <cellStyle name="Millares 7 2 4 6" xfId="3537" xr:uid="{432F3E92-C650-4657-831F-31236AD63EFC}"/>
    <cellStyle name="Millares 7 2 4 6 2" xfId="11778" xr:uid="{333A2341-E725-4011-935B-069BAF9F79CF}"/>
    <cellStyle name="Millares 7 2 4 6 3" xfId="14618" xr:uid="{3AE5DAB0-A972-4774-9D84-10157F0D9CDF}"/>
    <cellStyle name="Millares 7 2 4 6 4" xfId="44542" xr:uid="{CD91CB44-47C5-4315-B45C-D680D7B85ACD}"/>
    <cellStyle name="Millares 7 2 4 6 5" xfId="49435" xr:uid="{C7D9939D-702C-4840-BF0B-62FFE2821323}"/>
    <cellStyle name="Millares 7 2 4 7" xfId="6931" xr:uid="{7F989A7C-F533-4544-903A-0FE4C3158C1E}"/>
    <cellStyle name="Millares 7 2 4 7 2" xfId="44960" xr:uid="{DEE170BE-CD6D-4253-9F56-D7EC848B8E7A}"/>
    <cellStyle name="Millares 7 2 4 8" xfId="9800" xr:uid="{A43526D2-8856-4953-BC29-6DF6E132C154}"/>
    <cellStyle name="Millares 7 2 4 9" xfId="12640" xr:uid="{5F6896A3-9012-4A6E-8E49-C72683ED7F5B}"/>
    <cellStyle name="Millares 7 2 5" xfId="368" xr:uid="{00000000-0005-0000-0000-0000A2020000}"/>
    <cellStyle name="Millares 7 2 5 10" xfId="17182" xr:uid="{015CF3F5-53AC-4A76-BB7F-18820F4E663F}"/>
    <cellStyle name="Millares 7 2 5 11" xfId="18606" xr:uid="{CD40BDE6-2ADE-4EAA-9AB0-A8E511E1AED4}"/>
    <cellStyle name="Millares 7 2 5 12" xfId="17711" xr:uid="{88EB0D50-E692-437D-B61C-8FFF405E7D2C}"/>
    <cellStyle name="Millares 7 2 5 13" xfId="42676" xr:uid="{AC7DFCAB-209E-45FA-A254-07D68418528E}"/>
    <cellStyle name="Millares 7 2 5 14" xfId="47569" xr:uid="{F85E3E28-4A55-4725-AED3-B05164459FA4}"/>
    <cellStyle name="Millares 7 2 5 2" xfId="2185" xr:uid="{F27B4D87-B3CD-40D5-9DD6-4E5EC3D45A6E}"/>
    <cellStyle name="Millares 7 2 5 2 2" xfId="10456" xr:uid="{7AE0E4E0-F41C-4DC7-B77B-8AD016911ADB}"/>
    <cellStyle name="Millares 7 2 5 2 2 2" xfId="45616" xr:uid="{F991387A-DA1B-41DA-A82D-25F4011667A0}"/>
    <cellStyle name="Millares 7 2 5 2 3" xfId="13296" xr:uid="{8E4DA460-7777-471C-9C6F-9BF1BD1C60A5}"/>
    <cellStyle name="Millares 7 2 5 2 4" xfId="43220" xr:uid="{235BD67B-DF95-4AEF-A717-FCC104F2A80D}"/>
    <cellStyle name="Millares 7 2 5 2 5" xfId="48113" xr:uid="{FAC6B2B7-C664-4C3C-9682-5A22F1CF9E9D}"/>
    <cellStyle name="Millares 7 2 5 3" xfId="2603" xr:uid="{41747E07-3F5F-4243-BEF1-317D1CF98530}"/>
    <cellStyle name="Millares 7 2 5 3 2" xfId="10874" xr:uid="{A6BD7A63-270C-4ADA-8526-0011D9AC1E84}"/>
    <cellStyle name="Millares 7 2 5 3 2 2" xfId="46034" xr:uid="{620E2EB4-A6BB-410A-BA53-FC8B02F140FC}"/>
    <cellStyle name="Millares 7 2 5 3 3" xfId="13714" xr:uid="{35F1B5F8-AF39-44A3-97AF-96139FFACD73}"/>
    <cellStyle name="Millares 7 2 5 3 4" xfId="43638" xr:uid="{51991BE7-BA71-45E6-B4E2-8D00EEDBB059}"/>
    <cellStyle name="Millares 7 2 5 3 5" xfId="48531" xr:uid="{5A007AE5-F88A-4C88-B45A-E0F7A77E1E77}"/>
    <cellStyle name="Millares 7 2 5 4" xfId="3147" xr:uid="{989315D9-C3D1-44EB-9F97-988D35D32AF0}"/>
    <cellStyle name="Millares 7 2 5 4 2" xfId="11418" xr:uid="{4047BB38-AE66-4BB1-8113-CE205AE23BA4}"/>
    <cellStyle name="Millares 7 2 5 4 2 2" xfId="46578" xr:uid="{052FBAE0-CAFE-4D06-8B57-FD16F9E6F670}"/>
    <cellStyle name="Millares 7 2 5 4 3" xfId="14258" xr:uid="{A00AC60F-793C-4298-92E4-14152A1A0BF4}"/>
    <cellStyle name="Millares 7 2 5 4 4" xfId="44182" xr:uid="{1473473F-BA58-4A9D-A4F6-5C3827172A41}"/>
    <cellStyle name="Millares 7 2 5 4 5" xfId="49075" xr:uid="{E9B8C6D5-B599-4605-B72F-0476BCF35340}"/>
    <cellStyle name="Millares 7 2 5 5" xfId="3649" xr:uid="{3982AA90-3068-4D96-9BAB-AC6192C9D8DE}"/>
    <cellStyle name="Millares 7 2 5 5 2" xfId="11890" xr:uid="{B8B5E564-5663-4694-B758-FF4E27FF8B6F}"/>
    <cellStyle name="Millares 7 2 5 5 3" xfId="14730" xr:uid="{7EEE934A-5836-4CF9-9CCD-15FC0902C110}"/>
    <cellStyle name="Millares 7 2 5 5 4" xfId="44654" xr:uid="{6B715871-3081-4F75-8739-A341661813A9}"/>
    <cellStyle name="Millares 7 2 5 5 5" xfId="49547" xr:uid="{7522C985-4B8B-4C87-B290-4217F4C25404}"/>
    <cellStyle name="Millares 7 2 5 6" xfId="9912" xr:uid="{BD39F093-853F-401A-8EF1-4678C6AD2129}"/>
    <cellStyle name="Millares 7 2 5 6 2" xfId="45072" xr:uid="{9E374F5F-C1E8-4202-A9BD-28ABA3D1BC28}"/>
    <cellStyle name="Millares 7 2 5 7" xfId="12752" xr:uid="{A0D3D892-D505-431F-BF91-B0135E512326}"/>
    <cellStyle name="Millares 7 2 5 8" xfId="16095" xr:uid="{CBF390B0-771B-43CB-BFAB-28D8D0A9344A}"/>
    <cellStyle name="Millares 7 2 5 9" xfId="16638" xr:uid="{56F879D2-8C81-4B02-A63B-D6B633AEDD44}"/>
    <cellStyle name="Millares 7 2 6" xfId="571" xr:uid="{00000000-0005-0000-0000-0000A3020000}"/>
    <cellStyle name="Millares 7 2 6 10" xfId="42878" xr:uid="{76B44E9D-7DC9-4BDA-8FE6-1DF0E772B555}"/>
    <cellStyle name="Millares 7 2 6 11" xfId="47771" xr:uid="{D8398FBC-5D8A-454F-A973-D136A0F58E5E}"/>
    <cellStyle name="Millares 7 2 6 2" xfId="2805" xr:uid="{C5B54790-13B1-40A2-9BB6-EA32C3BA0BB0}"/>
    <cellStyle name="Millares 7 2 6 2 2" xfId="11076" xr:uid="{6652A586-DD3F-45E5-A4B0-447BCFF1A855}"/>
    <cellStyle name="Millares 7 2 6 2 2 2" xfId="46236" xr:uid="{7FB2D646-E66D-40CC-88F9-C0B73E5C0BB8}"/>
    <cellStyle name="Millares 7 2 6 2 3" xfId="13916" xr:uid="{2C01EC9C-3FF7-42BE-8FB2-0155103E91D2}"/>
    <cellStyle name="Millares 7 2 6 2 4" xfId="43840" xr:uid="{AE859054-ABF6-4CDA-9381-43B89A892CBE}"/>
    <cellStyle name="Millares 7 2 6 2 5" xfId="48733" xr:uid="{652E50A4-F35C-4F85-BE7A-2994E9F3576B}"/>
    <cellStyle name="Millares 7 2 6 3" xfId="10114" xr:uid="{E3DE7B0E-7082-4B4F-8850-15A70F879AD9}"/>
    <cellStyle name="Millares 7 2 6 3 2" xfId="45274" xr:uid="{BE293194-4D4C-4CE7-8A05-E1834E7B0DB6}"/>
    <cellStyle name="Millares 7 2 6 4" xfId="12954" xr:uid="{766A9611-ED15-4170-8CEA-1C5C6FAFC0ED}"/>
    <cellStyle name="Millares 7 2 6 5" xfId="16297" xr:uid="{B67A324D-7CCF-47AC-9759-07D26A413FBA}"/>
    <cellStyle name="Millares 7 2 6 6" xfId="16840" xr:uid="{88585536-DB76-4FE0-9C25-B30D8A9198DA}"/>
    <cellStyle name="Millares 7 2 6 7" xfId="17384" xr:uid="{13582A5B-CA45-4B7F-844D-5D3E244BA820}"/>
    <cellStyle name="Millares 7 2 6 8" xfId="24318" xr:uid="{EE51EBF8-685F-4C9C-973B-358EF368A888}"/>
    <cellStyle name="Millares 7 2 6 9" xfId="17883" xr:uid="{BFC72275-C04F-483A-B3AA-DB84D4C58A9B}"/>
    <cellStyle name="Millares 7 2 7" xfId="1900" xr:uid="{00000000-0005-0000-0000-0000A4020000}"/>
    <cellStyle name="Millares 7 2 7 2" xfId="30196" xr:uid="{F6D37369-2800-4F5B-B10B-893694CD5E52}"/>
    <cellStyle name="Millares 7 2 8" xfId="1969" xr:uid="{F6E8BFDF-0E77-43FB-8C04-F813793F572F}"/>
    <cellStyle name="Millares 7 2 8 2" xfId="10240" xr:uid="{2054FA70-E201-4BC1-B991-DF51749CCDDD}"/>
    <cellStyle name="Millares 7 2 8 2 2" xfId="45400" xr:uid="{3F1B2A40-61E3-4B84-A59E-F599373C1449}"/>
    <cellStyle name="Millares 7 2 8 3" xfId="13080" xr:uid="{63D105D5-2AFF-4C48-A5BD-D1E7D6D90A77}"/>
    <cellStyle name="Millares 7 2 8 4" xfId="36075" xr:uid="{E6C9596B-E09F-46DD-8823-F82129A13CEA}"/>
    <cellStyle name="Millares 7 2 8 5" xfId="43004" xr:uid="{848C14F7-9E4A-411C-A56D-4C96CB764268}"/>
    <cellStyle name="Millares 7 2 8 6" xfId="47897" xr:uid="{90CEA313-B5C3-4125-8159-385B36D81534}"/>
    <cellStyle name="Millares 7 2 9" xfId="2387" xr:uid="{F5FCF223-C0F1-439A-A4B4-0AE536435666}"/>
    <cellStyle name="Millares 7 2 9 2" xfId="10658" xr:uid="{A2CDE294-860D-44F6-9BD9-25B36E921FB3}"/>
    <cellStyle name="Millares 7 2 9 2 2" xfId="45818" xr:uid="{A0AFF8AA-700A-4470-B29A-68F17CA053B6}"/>
    <cellStyle name="Millares 7 2 9 3" xfId="13498" xr:uid="{22761530-0181-42EE-95E6-D1E679CEF0A5}"/>
    <cellStyle name="Millares 7 2 9 4" xfId="43422" xr:uid="{0AF32BEC-0D64-4476-B60C-F1EB76E0A55B}"/>
    <cellStyle name="Millares 7 2 9 5" xfId="48315" xr:uid="{4820DABD-6BF3-4EB7-B9B9-4A6B363CC1B0}"/>
    <cellStyle name="Millares 7 3" xfId="125" xr:uid="{00000000-0005-0000-0000-0000A5020000}"/>
    <cellStyle name="Millares 7 3 2" xfId="5325" xr:uid="{262FF58F-2CF4-4BDE-9992-C2C71D75BE3B}"/>
    <cellStyle name="Millares 7 3 2 2" xfId="8192" xr:uid="{10D12D4E-726E-485E-9910-FB8DA506063B}"/>
    <cellStyle name="Millares 7 3 2 2 2" xfId="22568" xr:uid="{73AC6B91-21B2-44EA-8149-1E5FB22C8A71}"/>
    <cellStyle name="Millares 7 3 2 2 3" xfId="28425" xr:uid="{7A9570A5-BCF4-47BC-AD22-79D1D945D7D6}"/>
    <cellStyle name="Millares 7 3 2 2 4" xfId="34307" xr:uid="{18C45903-7D24-4163-AA97-2941D6B4F567}"/>
    <cellStyle name="Millares 7 3 2 2 5" xfId="40171" xr:uid="{7A8A207B-7412-4545-9751-2B2ABE60CA1C}"/>
    <cellStyle name="Millares 7 3 2 3" xfId="19793" xr:uid="{42E6D029-DB94-4C26-A7C5-7E5F8178288E}"/>
    <cellStyle name="Millares 7 3 2 4" xfId="25576" xr:uid="{5D33F4FE-6285-4CF8-930E-129CE57FE0EE}"/>
    <cellStyle name="Millares 7 3 2 5" xfId="31450" xr:uid="{95504381-9300-48A6-9E02-B9E1FB0BEC1A}"/>
    <cellStyle name="Millares 7 3 2 6" xfId="37321" xr:uid="{CEE77E1B-FD2D-481C-A1F5-3C934A30B2C1}"/>
    <cellStyle name="Millares 7 3 3" xfId="7220" xr:uid="{899A1740-4BBB-4162-8DDA-344D30C37FD1}"/>
    <cellStyle name="Millares 7 3 3 2" xfId="21627" xr:uid="{CDC63F9A-B476-444C-93DF-DDDFEF15A216}"/>
    <cellStyle name="Millares 7 3 3 3" xfId="27454" xr:uid="{40C611D5-DCA9-4EB1-915F-064BE0DA9731}"/>
    <cellStyle name="Millares 7 3 3 4" xfId="33336" xr:uid="{D133EAA1-EFE6-407E-BBA3-ED8E1C6E90D9}"/>
    <cellStyle name="Millares 7 3 3 5" xfId="39200" xr:uid="{10DB81A9-CE0C-4450-A64A-D875DCF50267}"/>
    <cellStyle name="Millares 7 3 4" xfId="4359" xr:uid="{69A87BEB-3A14-4D47-82DD-68C58752A586}"/>
    <cellStyle name="Millares 7 3 5" xfId="24605" xr:uid="{B8E6E828-0794-46D1-858A-A9EAD30DC560}"/>
    <cellStyle name="Millares 7 3 6" xfId="30484" xr:uid="{BF1B961E-EF60-4177-B4FA-531A8E15D572}"/>
    <cellStyle name="Millares 7 3 7" xfId="36364" xr:uid="{A79D88D4-609C-49F0-8785-15A41CC5F88A}"/>
    <cellStyle name="Millares 7 4" xfId="190" xr:uid="{00000000-0005-0000-0000-0000A6020000}"/>
    <cellStyle name="Millares 7 4 10" xfId="9753" xr:uid="{E282E2E2-3C04-4B8B-92E6-DDF34F07D7DB}"/>
    <cellStyle name="Millares 7 4 11" xfId="12593" xr:uid="{81FDBAC9-3F66-4559-AF94-8CE172A0513D}"/>
    <cellStyle name="Millares 7 4 12" xfId="15936" xr:uid="{9B11A3F7-6C2F-4F15-869C-75FB3EFC40AE}"/>
    <cellStyle name="Millares 7 4 13" xfId="16479" xr:uid="{8B3B54B6-0A61-4C56-A870-C038DF586642}"/>
    <cellStyle name="Millares 7 4 14" xfId="17023" xr:uid="{B723A5E5-2C6A-486C-9C6E-858B1A4D1C07}"/>
    <cellStyle name="Millares 7 4 15" xfId="17686" xr:uid="{57051871-D046-452D-A5F2-7511E2FD2D8D}"/>
    <cellStyle name="Millares 7 4 16" xfId="42517" xr:uid="{483E70AA-C853-4CFC-BD5B-5F9F13DDFB52}"/>
    <cellStyle name="Millares 7 4 17" xfId="47410" xr:uid="{166EA92C-39DF-4433-901D-EDA541B99174}"/>
    <cellStyle name="Millares 7 4 2" xfId="299" xr:uid="{00000000-0005-0000-0000-0000A7020000}"/>
    <cellStyle name="Millares 7 4 2 10" xfId="16040" xr:uid="{10B36168-72FD-4A21-90CE-77C7E7C72E28}"/>
    <cellStyle name="Millares 7 4 2 11" xfId="16583" xr:uid="{AA8F539C-9DA8-4CE7-A4D5-A2755015B08E}"/>
    <cellStyle name="Millares 7 4 2 12" xfId="17127" xr:uid="{FB430560-BE92-4C5D-BE53-D46C0241BC45}"/>
    <cellStyle name="Millares 7 4 2 13" xfId="17544" xr:uid="{08729DCD-7B40-4959-A247-D14707FC6479}"/>
    <cellStyle name="Millares 7 4 2 14" xfId="42621" xr:uid="{44EE74F3-A21E-45E1-9F88-4059240B7DE3}"/>
    <cellStyle name="Millares 7 4 2 15" xfId="47514" xr:uid="{E5308194-0A1B-4FA2-BE63-1CAEA219112F}"/>
    <cellStyle name="Millares 7 4 2 2" xfId="526" xr:uid="{00000000-0005-0000-0000-0000A8020000}"/>
    <cellStyle name="Millares 7 4 2 2 10" xfId="17339" xr:uid="{4D4E4417-6BBE-4137-908A-7B044E649533}"/>
    <cellStyle name="Millares 7 4 2 2 11" xfId="22097" xr:uid="{1B0F3173-189A-45D6-9E84-AF52D29FD6D2}"/>
    <cellStyle name="Millares 7 4 2 2 12" xfId="18163" xr:uid="{50068F20-4BCC-4EC6-9769-0ECE04AB50D8}"/>
    <cellStyle name="Millares 7 4 2 2 13" xfId="42833" xr:uid="{0C3F7C89-D45D-41E0-909C-63F5AABF6411}"/>
    <cellStyle name="Millares 7 4 2 2 14" xfId="47726" xr:uid="{FB0DB6B9-2A12-4EBC-95D9-6693C7C617ED}"/>
    <cellStyle name="Millares 7 4 2 2 2" xfId="2342" xr:uid="{5CE6EE93-91D5-4799-AC0A-90BF90D76072}"/>
    <cellStyle name="Millares 7 4 2 2 2 2" xfId="10613" xr:uid="{DC945332-81E7-44CC-A516-7F6A829F1FCF}"/>
    <cellStyle name="Millares 7 4 2 2 2 2 2" xfId="45773" xr:uid="{C55D19E4-235F-4558-A173-3FDD5C16A863}"/>
    <cellStyle name="Millares 7 4 2 2 2 3" xfId="13453" xr:uid="{F03B4C5F-90DD-4A2B-8184-709D203D817A}"/>
    <cellStyle name="Millares 7 4 2 2 2 4" xfId="43377" xr:uid="{2327C813-731B-48CD-A5C4-B81FCF076125}"/>
    <cellStyle name="Millares 7 4 2 2 2 5" xfId="48270" xr:uid="{567D49D9-AE9B-4EF0-A123-51809741E6D5}"/>
    <cellStyle name="Millares 7 4 2 2 3" xfId="2760" xr:uid="{053437E8-0634-46F6-A06A-4898A8140016}"/>
    <cellStyle name="Millares 7 4 2 2 3 2" xfId="11031" xr:uid="{419FEEFB-6E94-4971-AAAB-F715D9FC360A}"/>
    <cellStyle name="Millares 7 4 2 2 3 2 2" xfId="46191" xr:uid="{D69A4E36-213C-4BCF-BB36-4D102DA95CC9}"/>
    <cellStyle name="Millares 7 4 2 2 3 3" xfId="13871" xr:uid="{3B9331D7-362C-45A1-B283-0736D65ACC5D}"/>
    <cellStyle name="Millares 7 4 2 2 3 4" xfId="43795" xr:uid="{12F425B6-0AA5-48B3-A07D-0B5D78A4EB01}"/>
    <cellStyle name="Millares 7 4 2 2 3 5" xfId="48688" xr:uid="{B0934B61-03C5-48B5-83CC-52C4FAA2C665}"/>
    <cellStyle name="Millares 7 4 2 2 4" xfId="3304" xr:uid="{68EA6E44-6C79-44EB-AF0F-FF863DD248CF}"/>
    <cellStyle name="Millares 7 4 2 2 4 2" xfId="11575" xr:uid="{BD45A740-8140-4F65-BCDD-FE38DF4286D6}"/>
    <cellStyle name="Millares 7 4 2 2 4 2 2" xfId="46735" xr:uid="{CB24724F-E7B5-440B-AAD8-63098FA133EC}"/>
    <cellStyle name="Millares 7 4 2 2 4 3" xfId="14415" xr:uid="{2B3BBD91-378B-49C2-897B-512DF3B7C002}"/>
    <cellStyle name="Millares 7 4 2 2 4 4" xfId="44339" xr:uid="{D2ED4A27-D276-4409-B996-0E8238DFB60A}"/>
    <cellStyle name="Millares 7 4 2 2 4 5" xfId="49232" xr:uid="{D53AFD82-E02A-4AB2-99B7-EAC22C0557AB}"/>
    <cellStyle name="Millares 7 4 2 2 5" xfId="3806" xr:uid="{F2DE61C8-A261-48AC-A26B-AC7483501218}"/>
    <cellStyle name="Millares 7 4 2 2 5 2" xfId="12047" xr:uid="{6327E4EA-84B1-4862-B923-4A6D25F7F0C9}"/>
    <cellStyle name="Millares 7 4 2 2 5 3" xfId="14887" xr:uid="{73EF56A0-053A-4561-B2FF-5791E0626CAA}"/>
    <cellStyle name="Millares 7 4 2 2 5 4" xfId="44811" xr:uid="{8D35B360-75B0-4CDD-AE13-6313D9F46597}"/>
    <cellStyle name="Millares 7 4 2 2 5 5" xfId="49704" xr:uid="{A4A25D13-5789-4E3B-959F-560350A539CE}"/>
    <cellStyle name="Millares 7 4 2 2 6" xfId="10069" xr:uid="{48C557AA-D833-45D8-B06C-C55C34F3BD72}"/>
    <cellStyle name="Millares 7 4 2 2 6 2" xfId="45229" xr:uid="{249EC5A8-C4FF-4FC7-A804-F1DC69DDA7CE}"/>
    <cellStyle name="Millares 7 4 2 2 7" xfId="12909" xr:uid="{A27E4290-4690-4C8D-9D61-4D7A4F2E3A69}"/>
    <cellStyle name="Millares 7 4 2 2 8" xfId="16252" xr:uid="{39AAD142-45F7-435D-B021-FE0DB4B46CB8}"/>
    <cellStyle name="Millares 7 4 2 2 9" xfId="16795" xr:uid="{CAE999D7-6EC3-42D5-8279-2CAEA58CF236}"/>
    <cellStyle name="Millares 7 4 2 3" xfId="2130" xr:uid="{7A32992E-A875-499D-B3D9-2ACDDC284FF7}"/>
    <cellStyle name="Millares 7 4 2 3 2" xfId="10401" xr:uid="{C3B5662B-E0AE-44A7-BF0A-DBADE46F3266}"/>
    <cellStyle name="Millares 7 4 2 3 2 2" xfId="45561" xr:uid="{183CD90E-EC6A-46C2-9187-CD9F90942CFA}"/>
    <cellStyle name="Millares 7 4 2 3 3" xfId="13241" xr:uid="{2152244D-DE44-40F9-8819-D1243939C015}"/>
    <cellStyle name="Millares 7 4 2 3 4" xfId="27940" xr:uid="{CEEEDA79-BC93-49DD-A278-9F6F43931CFF}"/>
    <cellStyle name="Millares 7 4 2 3 5" xfId="43165" xr:uid="{3EEFA036-5975-40B9-8A8A-1BDE0F3E7C91}"/>
    <cellStyle name="Millares 7 4 2 3 6" xfId="48058" xr:uid="{7AAC6304-3728-4F50-A7C6-8187C5A5B3D3}"/>
    <cellStyle name="Millares 7 4 2 4" xfId="2548" xr:uid="{B3ECCD19-96E9-4E39-887F-2B1E4B13B896}"/>
    <cellStyle name="Millares 7 4 2 4 2" xfId="10819" xr:uid="{ACCFCCB8-CBA9-4506-BB6C-C70F3E008C9C}"/>
    <cellStyle name="Millares 7 4 2 4 2 2" xfId="45979" xr:uid="{40497E8F-EEAE-4E9D-AAAD-7C838EC3785A}"/>
    <cellStyle name="Millares 7 4 2 4 3" xfId="13659" xr:uid="{5AACA983-1E44-439F-99D4-35B46EDA634C}"/>
    <cellStyle name="Millares 7 4 2 4 4" xfId="33822" xr:uid="{BC3DF095-6CDF-4517-AF78-037F76EDB5C5}"/>
    <cellStyle name="Millares 7 4 2 4 5" xfId="43583" xr:uid="{748D8AE9-312F-4E90-B943-DF1DFEEF0734}"/>
    <cellStyle name="Millares 7 4 2 4 6" xfId="48476" xr:uid="{F72CB24F-FE36-4F6C-A94F-32F91873D218}"/>
    <cellStyle name="Millares 7 4 2 5" xfId="3092" xr:uid="{6B2E1C01-749A-4CF7-8F89-A670794B477F}"/>
    <cellStyle name="Millares 7 4 2 5 2" xfId="11363" xr:uid="{66DE0DCD-258A-4C53-B4DD-5C063D020D4B}"/>
    <cellStyle name="Millares 7 4 2 5 2 2" xfId="46523" xr:uid="{34C8B891-E9B5-4B3D-B47C-131D50305554}"/>
    <cellStyle name="Millares 7 4 2 5 3" xfId="14203" xr:uid="{05813D4F-3CC3-4119-94A7-91086C344039}"/>
    <cellStyle name="Millares 7 4 2 5 4" xfId="39686" xr:uid="{2130CF72-77AB-4A3C-8D78-1B7FB14484FC}"/>
    <cellStyle name="Millares 7 4 2 5 5" xfId="44127" xr:uid="{8D55755D-FAC8-4113-A3AD-D7B3AEB76E09}"/>
    <cellStyle name="Millares 7 4 2 5 6" xfId="49020" xr:uid="{9782DBF1-AA98-4963-BD7A-A904C7E87196}"/>
    <cellStyle name="Millares 7 4 2 6" xfId="3594" xr:uid="{B7600965-8DA1-4A67-9CB3-21826F74AC89}"/>
    <cellStyle name="Millares 7 4 2 6 2" xfId="11835" xr:uid="{6809424C-7940-4FD8-B15E-6D0FB4746A7A}"/>
    <cellStyle name="Millares 7 4 2 6 3" xfId="14675" xr:uid="{D171EF22-AE7F-4676-A239-69932868271C}"/>
    <cellStyle name="Millares 7 4 2 6 4" xfId="44599" xr:uid="{08032289-EB12-42EF-9AA9-25FEC6B223D4}"/>
    <cellStyle name="Millares 7 4 2 6 5" xfId="49492" xr:uid="{2AA6FEF7-2A0F-42B1-A2FC-EBF1D08DBE1D}"/>
    <cellStyle name="Millares 7 4 2 7" xfId="7707" xr:uid="{7A5DC069-2992-40D1-A526-012EC7E2238A}"/>
    <cellStyle name="Millares 7 4 2 7 2" xfId="45017" xr:uid="{F5CABF48-1FB3-447C-B1B2-CA2D313D2052}"/>
    <cellStyle name="Millares 7 4 2 8" xfId="9857" xr:uid="{D5DAAA33-3FA2-4CC9-9954-6F2154B37B15}"/>
    <cellStyle name="Millares 7 4 2 9" xfId="12697" xr:uid="{43B3FEC9-414F-4D44-8F87-A673AE076F6F}"/>
    <cellStyle name="Millares 7 4 3" xfId="425" xr:uid="{00000000-0005-0000-0000-0000A9020000}"/>
    <cellStyle name="Millares 7 4 3 10" xfId="17239" xr:uid="{F60F53A1-6E86-4D63-B6D8-3283B7D60A41}"/>
    <cellStyle name="Millares 7 4 3 11" xfId="19323" xr:uid="{5FA0FEE8-7648-432B-9F2E-384A3DF2C15A}"/>
    <cellStyle name="Millares 7 4 3 12" xfId="21397" xr:uid="{74B66B5D-8FCC-44E4-9B0F-75F9C2342030}"/>
    <cellStyle name="Millares 7 4 3 13" xfId="42733" xr:uid="{E6795005-F5F1-4C42-8B7F-97E41585CE4B}"/>
    <cellStyle name="Millares 7 4 3 14" xfId="47626" xr:uid="{6545C549-F2BA-417B-BE12-09DED13A70B8}"/>
    <cellStyle name="Millares 7 4 3 2" xfId="2242" xr:uid="{E381CC78-9896-4E57-B75F-6F22E15C0EEE}"/>
    <cellStyle name="Millares 7 4 3 2 2" xfId="10513" xr:uid="{C97BE56B-F323-4C91-BECC-EE735F6D0BCD}"/>
    <cellStyle name="Millares 7 4 3 2 2 2" xfId="45673" xr:uid="{726D6197-C7F2-4D03-B980-55CA2600C75F}"/>
    <cellStyle name="Millares 7 4 3 2 3" xfId="13353" xr:uid="{CEA29A37-5EBA-42E2-8511-A685BFB6C9FE}"/>
    <cellStyle name="Millares 7 4 3 2 4" xfId="43277" xr:uid="{F33A4098-DCAA-4F65-B28B-4553BD9F59BC}"/>
    <cellStyle name="Millares 7 4 3 2 5" xfId="48170" xr:uid="{81D1C91D-119D-4C2C-833F-C99D93DC4773}"/>
    <cellStyle name="Millares 7 4 3 3" xfId="2660" xr:uid="{A14A565E-E37B-47FC-A060-66E95553BFAD}"/>
    <cellStyle name="Millares 7 4 3 3 2" xfId="10931" xr:uid="{BFCE8D0B-14BA-469D-8611-61B9DDE6E024}"/>
    <cellStyle name="Millares 7 4 3 3 2 2" xfId="46091" xr:uid="{2922741D-77DB-4FFC-8402-1FB17CA43F64}"/>
    <cellStyle name="Millares 7 4 3 3 3" xfId="13771" xr:uid="{A34BCC69-7A7D-4044-905B-298BB239B92A}"/>
    <cellStyle name="Millares 7 4 3 3 4" xfId="43695" xr:uid="{2D6D17D6-7C7B-4FD8-8C69-2B16ABF8F7EB}"/>
    <cellStyle name="Millares 7 4 3 3 5" xfId="48588" xr:uid="{0724C1AE-CC2F-4066-98D4-76B6EEA308FC}"/>
    <cellStyle name="Millares 7 4 3 4" xfId="3204" xr:uid="{A32410CF-55F0-4928-91C7-3286B9359C63}"/>
    <cellStyle name="Millares 7 4 3 4 2" xfId="11475" xr:uid="{EF0BE5F3-EBF6-4A6B-BACF-DDA2DE684A2C}"/>
    <cellStyle name="Millares 7 4 3 4 2 2" xfId="46635" xr:uid="{8FFBDCF2-2925-48F6-AB96-B2914508868E}"/>
    <cellStyle name="Millares 7 4 3 4 3" xfId="14315" xr:uid="{C3209352-C79A-4E05-9086-0573A8F1EE7A}"/>
    <cellStyle name="Millares 7 4 3 4 4" xfId="44239" xr:uid="{93732492-A1B8-434E-8708-6D0D539DC6C2}"/>
    <cellStyle name="Millares 7 4 3 4 5" xfId="49132" xr:uid="{27AA1DFF-961B-4403-8766-811B843FC70F}"/>
    <cellStyle name="Millares 7 4 3 5" xfId="3706" xr:uid="{9BCE7311-A82B-4EC4-A62B-F51E7932575F}"/>
    <cellStyle name="Millares 7 4 3 5 2" xfId="11947" xr:uid="{32B99CD8-FE29-41F6-9D0B-123623222763}"/>
    <cellStyle name="Millares 7 4 3 5 3" xfId="14787" xr:uid="{C12AEE8B-C3BE-4890-BDAC-7881E059671F}"/>
    <cellStyle name="Millares 7 4 3 5 4" xfId="44711" xr:uid="{DAF1745F-1A3F-4C8B-A8B4-DEECCF6362A8}"/>
    <cellStyle name="Millares 7 4 3 5 5" xfId="49604" xr:uid="{44FA4A7B-2157-4DF7-BFF9-15D2C8F16858}"/>
    <cellStyle name="Millares 7 4 3 6" xfId="9969" xr:uid="{A5A9EDF9-92CF-4B1E-B76A-7A72325BB123}"/>
    <cellStyle name="Millares 7 4 3 6 2" xfId="45129" xr:uid="{C54CC978-C06D-409F-A5F4-FAAF090CC480}"/>
    <cellStyle name="Millares 7 4 3 7" xfId="12809" xr:uid="{0490CFF6-E07C-404A-B136-C369E0368DDC}"/>
    <cellStyle name="Millares 7 4 3 8" xfId="16152" xr:uid="{6FC53EF7-4A31-48E2-AE0A-A79013AFB8AC}"/>
    <cellStyle name="Millares 7 4 3 9" xfId="16695" xr:uid="{83CC1F4B-C39D-41F1-8E24-CA277793B7F0}"/>
    <cellStyle name="Millares 7 4 4" xfId="628" xr:uid="{00000000-0005-0000-0000-0000AA020000}"/>
    <cellStyle name="Millares 7 4 4 10" xfId="42935" xr:uid="{5360E155-829E-4078-A093-C00D0196A9E5}"/>
    <cellStyle name="Millares 7 4 4 11" xfId="47828" xr:uid="{F35E1EE0-1367-4137-BE1D-F9C9E3F82612}"/>
    <cellStyle name="Millares 7 4 4 2" xfId="2862" xr:uid="{92BCF478-06DE-4F76-8C12-687B46176CF9}"/>
    <cellStyle name="Millares 7 4 4 2 2" xfId="11133" xr:uid="{1ABB3DDE-7F3B-44F0-8A7F-6B0588A74477}"/>
    <cellStyle name="Millares 7 4 4 2 2 2" xfId="46293" xr:uid="{E696FBD9-EF18-45C7-B295-3E5DE222A83A}"/>
    <cellStyle name="Millares 7 4 4 2 3" xfId="13973" xr:uid="{DE2DADE4-2AA1-476B-BC56-F13194E7800B}"/>
    <cellStyle name="Millares 7 4 4 2 4" xfId="43897" xr:uid="{0DA7B370-1831-4B1E-8339-5B862FE9A95A}"/>
    <cellStyle name="Millares 7 4 4 2 5" xfId="48790" xr:uid="{51F3DE4D-025B-4395-A276-CC893DD1CAD9}"/>
    <cellStyle name="Millares 7 4 4 3" xfId="10171" xr:uid="{3B5E4FFB-1840-4DE6-84FA-105061A8E7B8}"/>
    <cellStyle name="Millares 7 4 4 3 2" xfId="45331" xr:uid="{CA578137-AAF4-492E-86DE-8AC7B563CF6F}"/>
    <cellStyle name="Millares 7 4 4 4" xfId="13011" xr:uid="{149306A5-13AF-44F5-8DB5-694A8CB2968C}"/>
    <cellStyle name="Millares 7 4 4 5" xfId="16354" xr:uid="{4B42A515-8919-4D45-8F70-5C3428F58AD4}"/>
    <cellStyle name="Millares 7 4 4 6" xfId="16897" xr:uid="{FB5777D4-B9B3-4807-9B35-70F28555A478}"/>
    <cellStyle name="Millares 7 4 4 7" xfId="17441" xr:uid="{D378A3E3-F34D-40A9-A724-D3D544009581}"/>
    <cellStyle name="Millares 7 4 4 8" xfId="25091" xr:uid="{A7D7B3AC-EB30-4261-93A3-54729F9DCB2D}"/>
    <cellStyle name="Millares 7 4 4 9" xfId="41133" xr:uid="{CCC7D105-0989-4028-AF36-0D1ECBFE078F}"/>
    <cellStyle name="Millares 7 4 5" xfId="2026" xr:uid="{6162047B-069A-48B3-9924-5493C27DD859}"/>
    <cellStyle name="Millares 7 4 5 2" xfId="10297" xr:uid="{7AFAA914-D43C-4570-B982-B9729C6F6203}"/>
    <cellStyle name="Millares 7 4 5 2 2" xfId="45457" xr:uid="{7592CA80-D463-48A3-B7C0-035AA30120C6}"/>
    <cellStyle name="Millares 7 4 5 3" xfId="13137" xr:uid="{95FD75E9-3D30-4CF5-8E75-F631C868BED3}"/>
    <cellStyle name="Millares 7 4 5 4" xfId="30965" xr:uid="{1B4BFD26-6960-414D-9AFA-A1DD66CDF971}"/>
    <cellStyle name="Millares 7 4 5 5" xfId="43061" xr:uid="{B3AB2D07-6531-47B4-B8E7-19041BA0086F}"/>
    <cellStyle name="Millares 7 4 5 6" xfId="47954" xr:uid="{F6A696B2-4B95-41EF-AC2D-ACB748AAD1DE}"/>
    <cellStyle name="Millares 7 4 6" xfId="2444" xr:uid="{74265809-2EAB-49C9-A662-AB6ACFABF2E5}"/>
    <cellStyle name="Millares 7 4 6 2" xfId="10715" xr:uid="{A56234E5-9306-44E1-8A76-0278C84D932D}"/>
    <cellStyle name="Millares 7 4 6 2 2" xfId="45875" xr:uid="{A4E3E0F7-471F-4141-8F36-3E28727165F6}"/>
    <cellStyle name="Millares 7 4 6 3" xfId="13555" xr:uid="{6EB56F5F-926B-42A4-A226-45733C9C0CC9}"/>
    <cellStyle name="Millares 7 4 6 4" xfId="36844" xr:uid="{C0459D71-332A-499B-B638-40F1E9222265}"/>
    <cellStyle name="Millares 7 4 6 5" xfId="43479" xr:uid="{CDDD9A1F-6BDF-4930-9C41-6AAF49590394}"/>
    <cellStyle name="Millares 7 4 6 6" xfId="48372" xr:uid="{7F9705D0-50C8-45CB-8360-F8F69A221D15}"/>
    <cellStyle name="Millares 7 4 7" xfId="2988" xr:uid="{689CAB84-BE6A-49A0-93B8-79841795C612}"/>
    <cellStyle name="Millares 7 4 7 2" xfId="11259" xr:uid="{CE21F556-06BF-4A51-B934-5DDD76403BF7}"/>
    <cellStyle name="Millares 7 4 7 2 2" xfId="46419" xr:uid="{3F714B6A-70B3-4A46-9C39-67A8E45B2DC6}"/>
    <cellStyle name="Millares 7 4 7 3" xfId="14099" xr:uid="{6E688CAA-51A1-46F2-821E-86F5D9F42D38}"/>
    <cellStyle name="Millares 7 4 7 4" xfId="44023" xr:uid="{EB7B23F1-9465-41EC-B19F-BD1435CD3B1B}"/>
    <cellStyle name="Millares 7 4 7 5" xfId="48916" xr:uid="{CE15A338-2717-4567-A5D1-5BC65357C019}"/>
    <cellStyle name="Millares 7 4 8" xfId="3490" xr:uid="{7EB82032-C96E-4861-A857-4BE176E9C132}"/>
    <cellStyle name="Millares 7 4 8 2" xfId="11731" xr:uid="{E0C06513-50F6-4C64-B809-7E4B3DFC84ED}"/>
    <cellStyle name="Millares 7 4 8 3" xfId="14571" xr:uid="{9F744F49-A0D8-40CF-8BB5-9F277F123193}"/>
    <cellStyle name="Millares 7 4 8 4" xfId="44495" xr:uid="{8AD32925-6927-490D-899C-18B8CE28FE0F}"/>
    <cellStyle name="Millares 7 4 8 5" xfId="49388" xr:uid="{186020CD-7948-4F83-8588-9B3178ED29A6}"/>
    <cellStyle name="Millares 7 4 9" xfId="4841" xr:uid="{E87FC26D-1CB6-4031-A044-1382E6A4CF8C}"/>
    <cellStyle name="Millares 7 4 9 2" xfId="44913" xr:uid="{2D6E7103-C9E2-41D6-AB85-3167799B1486}"/>
    <cellStyle name="Millares 7 5" xfId="143" xr:uid="{00000000-0005-0000-0000-0000AB020000}"/>
    <cellStyle name="Millares 7 5 10" xfId="9711" xr:uid="{1B643C93-F23D-4CB5-B182-185D11113E18}"/>
    <cellStyle name="Millares 7 5 11" xfId="12551" xr:uid="{928D3813-FA3F-45E1-81F6-16DF899F0E6E}"/>
    <cellStyle name="Millares 7 5 12" xfId="15894" xr:uid="{D9D3CC33-5D40-4C58-B5C2-92D030908C21}"/>
    <cellStyle name="Millares 7 5 13" xfId="16437" xr:uid="{E7572D9A-591D-4FA5-A76D-3A761079641E}"/>
    <cellStyle name="Millares 7 5 14" xfId="16981" xr:uid="{88701228-4A70-4015-898E-8F22F8B5E376}"/>
    <cellStyle name="Millares 7 5 15" xfId="18150" xr:uid="{0CDA9C7A-0794-4114-8630-ACB99CDAB6C1}"/>
    <cellStyle name="Millares 7 5 16" xfId="42475" xr:uid="{D24692A4-658F-4F38-A4DE-2E117D1A19C6}"/>
    <cellStyle name="Millares 7 5 17" xfId="47368" xr:uid="{A999CD21-C18B-4ADA-A191-6EFD8568A2D5}"/>
    <cellStyle name="Millares 7 5 2" xfId="257" xr:uid="{00000000-0005-0000-0000-0000AC020000}"/>
    <cellStyle name="Millares 7 5 2 10" xfId="15998" xr:uid="{6CAD0306-FFFF-48D4-8F4A-56794D9BE952}"/>
    <cellStyle name="Millares 7 5 2 11" xfId="16541" xr:uid="{E54C0B32-1197-4655-ACB0-D927E99ED177}"/>
    <cellStyle name="Millares 7 5 2 12" xfId="17085" xr:uid="{2B239AFF-617A-424B-893E-95195594F255}"/>
    <cellStyle name="Millares 7 5 2 13" xfId="17963" xr:uid="{4B61BAD1-8D7C-48FD-B95A-F1B7D1CA2BAF}"/>
    <cellStyle name="Millares 7 5 2 14" xfId="42579" xr:uid="{9BEBB220-4F6E-4655-AFA7-0C90975E93F6}"/>
    <cellStyle name="Millares 7 5 2 15" xfId="47472" xr:uid="{2682223F-405A-434E-B4A4-F62D857CB7CF}"/>
    <cellStyle name="Millares 7 5 2 2" xfId="484" xr:uid="{00000000-0005-0000-0000-0000AD020000}"/>
    <cellStyle name="Millares 7 5 2 2 10" xfId="17297" xr:uid="{2F7238F5-7732-4E82-947F-D6449BE89308}"/>
    <cellStyle name="Millares 7 5 2 2 11" xfId="23087" xr:uid="{A02C5C1B-215D-4E87-AF75-7194E5A3DD40}"/>
    <cellStyle name="Millares 7 5 2 2 12" xfId="18127" xr:uid="{B2CCD1FF-24ED-4782-B74A-64115CCF5F3F}"/>
    <cellStyle name="Millares 7 5 2 2 13" xfId="42791" xr:uid="{251F46D9-2482-4383-B806-0108083D0C14}"/>
    <cellStyle name="Millares 7 5 2 2 14" xfId="47684" xr:uid="{28C6A09F-2976-42F3-B7ED-0F97F3D20726}"/>
    <cellStyle name="Millares 7 5 2 2 2" xfId="2300" xr:uid="{18FE9A14-5511-4320-819E-BCF69FC9A911}"/>
    <cellStyle name="Millares 7 5 2 2 2 2" xfId="10571" xr:uid="{DC9E1AE5-CF72-4844-B337-ED0EDFBA72CE}"/>
    <cellStyle name="Millares 7 5 2 2 2 2 2" xfId="45731" xr:uid="{4D4B5343-4155-4667-86BE-6627BE31D580}"/>
    <cellStyle name="Millares 7 5 2 2 2 3" xfId="13411" xr:uid="{DF3AF9BF-17DF-4660-A14E-F12AF16B4BD3}"/>
    <cellStyle name="Millares 7 5 2 2 2 4" xfId="43335" xr:uid="{58F4448E-A5EE-400F-A8D3-3DE9D528EE88}"/>
    <cellStyle name="Millares 7 5 2 2 2 5" xfId="48228" xr:uid="{2BE3D98C-9CFB-41E7-B2AE-F991AA512A17}"/>
    <cellStyle name="Millares 7 5 2 2 3" xfId="2718" xr:uid="{5364AF05-A83C-476C-A2A4-0D76C6649DE3}"/>
    <cellStyle name="Millares 7 5 2 2 3 2" xfId="10989" xr:uid="{85FBD10F-250C-40EC-BBDE-4C5A3D073CFD}"/>
    <cellStyle name="Millares 7 5 2 2 3 2 2" xfId="46149" xr:uid="{EB939311-5CC9-4897-97D8-BB22D36EE2E7}"/>
    <cellStyle name="Millares 7 5 2 2 3 3" xfId="13829" xr:uid="{A7A415D1-8AC9-4BCA-AB50-DB9AE8CAB034}"/>
    <cellStyle name="Millares 7 5 2 2 3 4" xfId="43753" xr:uid="{6D7943A5-B036-4C6F-B8F1-7E6B3F293388}"/>
    <cellStyle name="Millares 7 5 2 2 3 5" xfId="48646" xr:uid="{D1B64B3B-FBAA-4546-8F39-4A09D26C3E3B}"/>
    <cellStyle name="Millares 7 5 2 2 4" xfId="3262" xr:uid="{96B1285A-F07D-46D4-820B-46699C2F99FD}"/>
    <cellStyle name="Millares 7 5 2 2 4 2" xfId="11533" xr:uid="{0DEF9B9F-5B67-451E-B304-7AA7C38722F7}"/>
    <cellStyle name="Millares 7 5 2 2 4 2 2" xfId="46693" xr:uid="{C7E8BE36-2D6B-4428-82A7-9C2D178E4398}"/>
    <cellStyle name="Millares 7 5 2 2 4 3" xfId="14373" xr:uid="{A120275B-8661-425C-B06D-0A3CBF0F0D31}"/>
    <cellStyle name="Millares 7 5 2 2 4 4" xfId="44297" xr:uid="{B328CDF9-9BEE-4065-A018-5C217D12FE11}"/>
    <cellStyle name="Millares 7 5 2 2 4 5" xfId="49190" xr:uid="{37507E93-FF42-44D4-8399-69FA08AB878A}"/>
    <cellStyle name="Millares 7 5 2 2 5" xfId="3764" xr:uid="{97A90C5D-07DE-4032-A6D5-069AADAE2EDF}"/>
    <cellStyle name="Millares 7 5 2 2 5 2" xfId="12005" xr:uid="{168F2E54-7F20-46BA-8A0E-BB1FE1BC15D1}"/>
    <cellStyle name="Millares 7 5 2 2 5 3" xfId="14845" xr:uid="{3ED41C5D-2204-4489-9537-29FA5B594480}"/>
    <cellStyle name="Millares 7 5 2 2 5 4" xfId="44769" xr:uid="{CE1385BE-8BB1-46EF-90C5-B4EBC5CE5A2B}"/>
    <cellStyle name="Millares 7 5 2 2 5 5" xfId="49662" xr:uid="{81AC2A25-568A-4F63-AF60-E69C06CA9AA1}"/>
    <cellStyle name="Millares 7 5 2 2 6" xfId="10027" xr:uid="{38A3F28F-73DC-40ED-B230-D53081BFAE6E}"/>
    <cellStyle name="Millares 7 5 2 2 6 2" xfId="45187" xr:uid="{BC1AD6A2-D5A4-4BFA-BA7D-79AFE6EDEE90}"/>
    <cellStyle name="Millares 7 5 2 2 7" xfId="12867" xr:uid="{DA310A96-A694-4903-84CA-59D267B488A4}"/>
    <cellStyle name="Millares 7 5 2 2 8" xfId="16210" xr:uid="{8989A932-188F-48F4-BDA6-50911F9A535D}"/>
    <cellStyle name="Millares 7 5 2 2 9" xfId="16753" xr:uid="{4DC808C5-0BF6-4A00-B86C-CC152CD1A851}"/>
    <cellStyle name="Millares 7 5 2 3" xfId="2088" xr:uid="{BB8097A9-2A77-4272-8303-D8F5A37D7B6D}"/>
    <cellStyle name="Millares 7 5 2 3 2" xfId="10359" xr:uid="{5CB2BF1C-669D-47C9-9785-330F05A8E0C4}"/>
    <cellStyle name="Millares 7 5 2 3 2 2" xfId="45519" xr:uid="{5B486041-1E0A-4B6E-BBE4-847A99735A61}"/>
    <cellStyle name="Millares 7 5 2 3 3" xfId="13199" xr:uid="{63BD7A15-E7A6-41B9-820C-791A5097458E}"/>
    <cellStyle name="Millares 7 5 2 3 4" xfId="28951" xr:uid="{94555B73-F19A-4A71-BEF6-C656228E1147}"/>
    <cellStyle name="Millares 7 5 2 3 5" xfId="43123" xr:uid="{0E86F0C4-A30C-4B90-81E3-5F15BA34901D}"/>
    <cellStyle name="Millares 7 5 2 3 6" xfId="48016" xr:uid="{30875163-52EF-4F76-A4CC-6BA5F3531042}"/>
    <cellStyle name="Millares 7 5 2 4" xfId="2506" xr:uid="{EC20D893-1924-4FF1-A04A-4DE5AFDF4D2D}"/>
    <cellStyle name="Millares 7 5 2 4 2" xfId="10777" xr:uid="{1BF8E64C-EABE-47CA-933B-8FA1B5FC06AB}"/>
    <cellStyle name="Millares 7 5 2 4 2 2" xfId="45937" xr:uid="{C97528A0-2E80-43DB-AF73-DF7CFB381271}"/>
    <cellStyle name="Millares 7 5 2 4 3" xfId="13617" xr:uid="{C206D02D-EF0C-46EF-805C-C617EC9ADB02}"/>
    <cellStyle name="Millares 7 5 2 4 4" xfId="34833" xr:uid="{91CDEFCB-F41B-4197-90BC-49A415D98637}"/>
    <cellStyle name="Millares 7 5 2 4 5" xfId="43541" xr:uid="{DB40E91D-8906-4951-BAF5-97E5DDE8D051}"/>
    <cellStyle name="Millares 7 5 2 4 6" xfId="48434" xr:uid="{D55F9686-61D4-41DE-B7D0-178FF25413EB}"/>
    <cellStyle name="Millares 7 5 2 5" xfId="3050" xr:uid="{035A5823-50E2-48FA-BCA3-6EE94BD7BD31}"/>
    <cellStyle name="Millares 7 5 2 5 2" xfId="11321" xr:uid="{787EC55F-2D73-4B45-87C6-D00105D93300}"/>
    <cellStyle name="Millares 7 5 2 5 2 2" xfId="46481" xr:uid="{D7F7032D-C9F1-4875-9AC3-E8F24BDB1D97}"/>
    <cellStyle name="Millares 7 5 2 5 3" xfId="14161" xr:uid="{F55E9C5C-17C8-482B-9772-385C2E065D41}"/>
    <cellStyle name="Millares 7 5 2 5 4" xfId="40697" xr:uid="{3420E28E-629F-4C8D-8C1D-10272055433D}"/>
    <cellStyle name="Millares 7 5 2 5 5" xfId="44085" xr:uid="{A0B3EB42-2357-443B-BF13-91590396BE0E}"/>
    <cellStyle name="Millares 7 5 2 5 6" xfId="48978" xr:uid="{CC2F8B8F-050B-4EA6-ABBB-70007EE0E1F3}"/>
    <cellStyle name="Millares 7 5 2 6" xfId="3552" xr:uid="{C8B0BD04-F12E-4FDB-85D4-D7FFE78BD1AD}"/>
    <cellStyle name="Millares 7 5 2 6 2" xfId="11793" xr:uid="{A006248B-B3E6-435E-81F2-0047960A7F04}"/>
    <cellStyle name="Millares 7 5 2 6 3" xfId="14633" xr:uid="{6D2BB313-9F15-48B4-B1EF-F4A3C703FF9F}"/>
    <cellStyle name="Millares 7 5 2 6 4" xfId="44557" xr:uid="{A9FCB1BC-A81E-4643-B8F9-91C6EB55C5D2}"/>
    <cellStyle name="Millares 7 5 2 6 5" xfId="49450" xr:uid="{E95489C5-DC38-40EA-A6BD-FD077A194610}"/>
    <cellStyle name="Millares 7 5 2 7" xfId="8719" xr:uid="{764B7BBB-2071-4332-A6BE-E180EAE5BA29}"/>
    <cellStyle name="Millares 7 5 2 7 2" xfId="44975" xr:uid="{756FE391-EB31-4BD0-A8B7-AC8547C23205}"/>
    <cellStyle name="Millares 7 5 2 8" xfId="9815" xr:uid="{CAB453A9-40FB-421B-803C-4A0FDFB2F030}"/>
    <cellStyle name="Millares 7 5 2 9" xfId="12655" xr:uid="{6474847D-68F8-44D4-8657-8FC806E9D05B}"/>
    <cellStyle name="Millares 7 5 3" xfId="383" xr:uid="{00000000-0005-0000-0000-0000AE020000}"/>
    <cellStyle name="Millares 7 5 3 10" xfId="17197" xr:uid="{CACF077E-8FBC-4751-84CF-EDBE8DD9246A}"/>
    <cellStyle name="Millares 7 5 3 11" xfId="20302" xr:uid="{AFE09EA0-D7FE-48FF-8E87-87932235C749}"/>
    <cellStyle name="Millares 7 5 3 12" xfId="18185" xr:uid="{7FB80799-3181-4B26-9922-1F3D3779A49F}"/>
    <cellStyle name="Millares 7 5 3 13" xfId="42691" xr:uid="{80B5EF5E-B1A6-460E-A2CD-1D242D70702A}"/>
    <cellStyle name="Millares 7 5 3 14" xfId="47584" xr:uid="{E5A34DF3-FCA7-4738-9007-77BE862E6797}"/>
    <cellStyle name="Millares 7 5 3 2" xfId="2200" xr:uid="{041A4E44-E3B0-44CF-AF32-A891B83D0064}"/>
    <cellStyle name="Millares 7 5 3 2 2" xfId="10471" xr:uid="{050F8BD5-9618-43D6-8F67-3B36CDAB8169}"/>
    <cellStyle name="Millares 7 5 3 2 2 2" xfId="45631" xr:uid="{F9EB67FB-F829-413B-8C62-131F29BAE69C}"/>
    <cellStyle name="Millares 7 5 3 2 3" xfId="13311" xr:uid="{63CA3600-D17F-4E3F-8CE6-18C8877000AE}"/>
    <cellStyle name="Millares 7 5 3 2 4" xfId="43235" xr:uid="{6F11AEC2-1B56-4D59-86C4-5AF9BD161002}"/>
    <cellStyle name="Millares 7 5 3 2 5" xfId="48128" xr:uid="{42181C7C-30E7-45E3-9702-171CF48FB19B}"/>
    <cellStyle name="Millares 7 5 3 3" xfId="2618" xr:uid="{8AC1775E-7770-4A3B-A683-33CCDA395F3D}"/>
    <cellStyle name="Millares 7 5 3 3 2" xfId="10889" xr:uid="{2C1C0DF8-DEAC-43DC-8D27-74E78117AB6A}"/>
    <cellStyle name="Millares 7 5 3 3 2 2" xfId="46049" xr:uid="{2A67D99D-34A1-43FD-A125-2A09F2B5CD29}"/>
    <cellStyle name="Millares 7 5 3 3 3" xfId="13729" xr:uid="{587DE6A6-D9B9-4FDC-9F0A-45CD966BD6CB}"/>
    <cellStyle name="Millares 7 5 3 3 4" xfId="43653" xr:uid="{E08D8FEF-9516-4E1C-95F7-67BFA479FDBD}"/>
    <cellStyle name="Millares 7 5 3 3 5" xfId="48546" xr:uid="{13E410AB-6D4F-4753-BE6A-60FC8F6C936E}"/>
    <cellStyle name="Millares 7 5 3 4" xfId="3162" xr:uid="{FEB614E0-7AFD-4847-9A31-689394649D53}"/>
    <cellStyle name="Millares 7 5 3 4 2" xfId="11433" xr:uid="{1160DEDE-2FDB-4A98-A76F-5048D787ECA8}"/>
    <cellStyle name="Millares 7 5 3 4 2 2" xfId="46593" xr:uid="{E0F7FCC0-3718-4E7D-B3E7-5185BD2B4A39}"/>
    <cellStyle name="Millares 7 5 3 4 3" xfId="14273" xr:uid="{A05908FC-5D1D-4027-AE72-4772C3ACC37C}"/>
    <cellStyle name="Millares 7 5 3 4 4" xfId="44197" xr:uid="{B3EAA3EC-E268-4B7F-8537-E1CA15CF3554}"/>
    <cellStyle name="Millares 7 5 3 4 5" xfId="49090" xr:uid="{C59A66DE-C83C-4A87-8F3C-2D268640CA8A}"/>
    <cellStyle name="Millares 7 5 3 5" xfId="3664" xr:uid="{5F54C691-D818-4321-9ABB-1AE7DB282805}"/>
    <cellStyle name="Millares 7 5 3 5 2" xfId="11905" xr:uid="{337EDE13-5872-4D92-B65C-84D1A92C608C}"/>
    <cellStyle name="Millares 7 5 3 5 3" xfId="14745" xr:uid="{B83B89F1-5C82-4214-BC62-7159C1FD85DD}"/>
    <cellStyle name="Millares 7 5 3 5 4" xfId="44669" xr:uid="{830EFDAC-64FF-40A6-9731-F0106AB54D93}"/>
    <cellStyle name="Millares 7 5 3 5 5" xfId="49562" xr:uid="{3EA600A5-1C1E-4F6F-B292-2098EFF0E8EB}"/>
    <cellStyle name="Millares 7 5 3 6" xfId="9927" xr:uid="{F3930531-2168-468B-979D-69F4E42425AF}"/>
    <cellStyle name="Millares 7 5 3 6 2" xfId="45087" xr:uid="{E8E13611-EFDE-41C9-B8DF-3A11EE97215D}"/>
    <cellStyle name="Millares 7 5 3 7" xfId="12767" xr:uid="{8B5E5AEF-BF30-4C42-9D87-EA83A2A164BA}"/>
    <cellStyle name="Millares 7 5 3 8" xfId="16110" xr:uid="{184EAF2E-380D-4D4D-9CDE-73F4DCC28F86}"/>
    <cellStyle name="Millares 7 5 3 9" xfId="16653" xr:uid="{C41813C1-B428-40F9-BD88-505F8AE98AB7}"/>
    <cellStyle name="Millares 7 5 4" xfId="586" xr:uid="{00000000-0005-0000-0000-0000AF020000}"/>
    <cellStyle name="Millares 7 5 4 10" xfId="42893" xr:uid="{6281B773-D0D2-4546-94D2-5F195B0F56E7}"/>
    <cellStyle name="Millares 7 5 4 11" xfId="47786" xr:uid="{E2AB4D0B-EC55-4F7C-846E-6165A9F4501B}"/>
    <cellStyle name="Millares 7 5 4 2" xfId="2820" xr:uid="{A97186E9-F47F-42F3-AD3B-F71435851689}"/>
    <cellStyle name="Millares 7 5 4 2 2" xfId="11091" xr:uid="{2BDA5923-A374-4008-BEEE-3A5E04408E30}"/>
    <cellStyle name="Millares 7 5 4 2 2 2" xfId="46251" xr:uid="{7B3E6EC8-2D4F-4F10-80AA-B22E51C441A5}"/>
    <cellStyle name="Millares 7 5 4 2 3" xfId="13931" xr:uid="{3A2F298B-9B4B-417F-9484-1A2896DBD6A6}"/>
    <cellStyle name="Millares 7 5 4 2 4" xfId="43855" xr:uid="{65C4266D-4150-48F6-899C-CA1F89720E1A}"/>
    <cellStyle name="Millares 7 5 4 2 5" xfId="48748" xr:uid="{0B6A2300-437C-4108-9409-7E0DCB716D83}"/>
    <cellStyle name="Millares 7 5 4 3" xfId="10129" xr:uid="{F346E535-FD86-4664-8986-6C8C04451538}"/>
    <cellStyle name="Millares 7 5 4 3 2" xfId="45289" xr:uid="{E93DA934-F0D8-464D-8088-BFCA69F8B43C}"/>
    <cellStyle name="Millares 7 5 4 4" xfId="12969" xr:uid="{C3FD9E8C-5BFA-4D01-A0BE-47CD210949C8}"/>
    <cellStyle name="Millares 7 5 4 5" xfId="16312" xr:uid="{2124868A-7CC6-46F5-B6DD-8C03F5024ED3}"/>
    <cellStyle name="Millares 7 5 4 6" xfId="16855" xr:uid="{3A469753-B6D4-423D-BFA8-5E2753A6E53A}"/>
    <cellStyle name="Millares 7 5 4 7" xfId="17399" xr:uid="{87AE4012-ADE2-4FF6-B834-43042BC6C220}"/>
    <cellStyle name="Millares 7 5 4 8" xfId="26101" xr:uid="{C32814C0-819D-4D59-BECA-F8F396FBA7C7}"/>
    <cellStyle name="Millares 7 5 4 9" xfId="17578" xr:uid="{5DE92927-E717-44BB-826A-801F4A790511}"/>
    <cellStyle name="Millares 7 5 5" xfId="1984" xr:uid="{1595484C-0B9B-43A8-8186-1E5859AF4A23}"/>
    <cellStyle name="Millares 7 5 5 2" xfId="10255" xr:uid="{CBAA23BE-43D1-4C13-8C38-67D75CC49D45}"/>
    <cellStyle name="Millares 7 5 5 2 2" xfId="45415" xr:uid="{A409C75D-B22E-4A65-AA54-EA58F13A15AE}"/>
    <cellStyle name="Millares 7 5 5 3" xfId="13095" xr:uid="{4BD59E71-C51E-4A93-9E82-2FBEFFF11238}"/>
    <cellStyle name="Millares 7 5 5 4" xfId="31976" xr:uid="{CD66F47A-72FE-404B-B4F9-006A99981EA2}"/>
    <cellStyle name="Millares 7 5 5 5" xfId="43019" xr:uid="{762EDA43-936A-4B68-8F30-49F82F0BA5AC}"/>
    <cellStyle name="Millares 7 5 5 6" xfId="47912" xr:uid="{2856C032-B7BF-48C5-AFC0-EC6D843EFEAF}"/>
    <cellStyle name="Millares 7 5 6" xfId="2402" xr:uid="{C465EF55-1068-4B96-86D7-1CA6B808F7D6}"/>
    <cellStyle name="Millares 7 5 6 2" xfId="10673" xr:uid="{86ADA62C-3088-4E73-84AD-54D49DFDF51B}"/>
    <cellStyle name="Millares 7 5 6 2 2" xfId="45833" xr:uid="{BA7C1657-67C4-43E6-97C4-5AFA30C37C8F}"/>
    <cellStyle name="Millares 7 5 6 3" xfId="13513" xr:uid="{CBDC251C-992A-4DD4-B4E0-F3FE6961AAE3}"/>
    <cellStyle name="Millares 7 5 6 4" xfId="37842" xr:uid="{B9278838-C6F9-4007-B41F-8EB07F2548B9}"/>
    <cellStyle name="Millares 7 5 6 5" xfId="43437" xr:uid="{61DA4AA8-2E6B-4BA8-B265-3722CF715A76}"/>
    <cellStyle name="Millares 7 5 6 6" xfId="48330" xr:uid="{DFA3DE34-06C8-4DB5-A348-F66542829235}"/>
    <cellStyle name="Millares 7 5 7" xfId="2946" xr:uid="{0F7DA115-366E-41B3-850E-D468561BE035}"/>
    <cellStyle name="Millares 7 5 7 2" xfId="11217" xr:uid="{E898059E-1AF6-4AE2-80D5-0BB46D432BF9}"/>
    <cellStyle name="Millares 7 5 7 2 2" xfId="46377" xr:uid="{1642320A-DC6F-4E86-BADD-9145272BB6A4}"/>
    <cellStyle name="Millares 7 5 7 3" xfId="14057" xr:uid="{4DFF1D1F-76D8-4248-9175-6D78CA0784C4}"/>
    <cellStyle name="Millares 7 5 7 4" xfId="43981" xr:uid="{CDE5E0EA-46B7-4419-AC17-E6DCCF3F11A5}"/>
    <cellStyle name="Millares 7 5 7 5" xfId="48874" xr:uid="{098E11AE-DA4A-42BA-B986-A14EE2AACBFA}"/>
    <cellStyle name="Millares 7 5 8" xfId="3448" xr:uid="{91BCAD47-9E02-46CF-A73B-34D4B453765D}"/>
    <cellStyle name="Millares 7 5 8 2" xfId="11689" xr:uid="{9D11257A-E7E6-4555-A01E-A6233D679613}"/>
    <cellStyle name="Millares 7 5 8 3" xfId="14529" xr:uid="{F0096B1C-D55F-4E5E-AEDD-8170CC95DB4E}"/>
    <cellStyle name="Millares 7 5 8 4" xfId="44453" xr:uid="{C34E91D6-F660-422B-8EC3-51C36E7CD6ED}"/>
    <cellStyle name="Millares 7 5 8 5" xfId="49346" xr:uid="{596667D8-0251-4141-ACBE-B3EE10AF948A}"/>
    <cellStyle name="Millares 7 5 9" xfId="5850" xr:uid="{3551A819-0917-4017-A423-1D8ACF6CF76C}"/>
    <cellStyle name="Millares 7 5 9 2" xfId="44871" xr:uid="{D90E9263-4492-47D9-A1CF-446DB99ADE32}"/>
    <cellStyle name="Millares 7 6" xfId="95" xr:uid="{00000000-0005-0000-0000-0000B0020000}"/>
    <cellStyle name="Millares 7 6 10" xfId="9684" xr:uid="{33E68C2E-B4AC-4545-A1E7-D7D2A2999118}"/>
    <cellStyle name="Millares 7 6 11" xfId="12524" xr:uid="{7C47B63B-5F7C-470D-8EFB-AC5B7D1D8422}"/>
    <cellStyle name="Millares 7 6 12" xfId="15867" xr:uid="{FCFBD37F-4D2B-401D-B600-712DD23726E7}"/>
    <cellStyle name="Millares 7 6 13" xfId="16410" xr:uid="{73150B38-FD78-4E23-982A-44ACDFB4AFAF}"/>
    <cellStyle name="Millares 7 6 14" xfId="16954" xr:uid="{38EF57DE-AD92-4C51-925F-4FCC98F80072}"/>
    <cellStyle name="Millares 7 6 15" xfId="17542" xr:uid="{E81A1403-2E3A-4CBD-82AE-5F767CF05684}"/>
    <cellStyle name="Millares 7 6 16" xfId="42448" xr:uid="{22259C60-7435-40A9-8B97-87597310D979}"/>
    <cellStyle name="Millares 7 6 17" xfId="47341" xr:uid="{7D959376-527F-4A01-AD03-7BC0C837CF4B}"/>
    <cellStyle name="Millares 7 6 2" xfId="230" xr:uid="{00000000-0005-0000-0000-0000B1020000}"/>
    <cellStyle name="Millares 7 6 2 10" xfId="16514" xr:uid="{122CF8FF-FC95-4809-AEB4-3D6002CC3643}"/>
    <cellStyle name="Millares 7 6 2 11" xfId="17058" xr:uid="{21DCA0D8-9F36-443F-8502-B4C4AF62B7A8}"/>
    <cellStyle name="Millares 7 6 2 12" xfId="21160" xr:uid="{1313E6C4-34B8-4DB0-9129-2F5941BC2D35}"/>
    <cellStyle name="Millares 7 6 2 13" xfId="17617" xr:uid="{28159448-1F7D-4407-B7B6-3D0EEAD83707}"/>
    <cellStyle name="Millares 7 6 2 14" xfId="42552" xr:uid="{A779F7A0-2418-4AAD-8ED0-E758AD6D485F}"/>
    <cellStyle name="Millares 7 6 2 15" xfId="47445" xr:uid="{3B462D19-3109-4A2C-9403-D8C6A2E2CED5}"/>
    <cellStyle name="Millares 7 6 2 2" xfId="457" xr:uid="{00000000-0005-0000-0000-0000B2020000}"/>
    <cellStyle name="Millares 7 6 2 2 10" xfId="17270" xr:uid="{463D2163-ECEA-49DE-8CCA-22F05D73EACA}"/>
    <cellStyle name="Millares 7 6 2 2 11" xfId="17991" xr:uid="{5D4A76B0-6B15-4F24-96CD-A8AFBD8FAC8A}"/>
    <cellStyle name="Millares 7 6 2 2 12" xfId="42764" xr:uid="{C1DBF768-857B-42D4-BB94-307374D8214D}"/>
    <cellStyle name="Millares 7 6 2 2 13" xfId="47657" xr:uid="{2C6C069C-287C-49BE-BA78-7BDB568B7621}"/>
    <cellStyle name="Millares 7 6 2 2 2" xfId="2273" xr:uid="{7DAC297D-45EA-4EA7-8A36-093422E49027}"/>
    <cellStyle name="Millares 7 6 2 2 2 2" xfId="10544" xr:uid="{C80CF8A4-0E48-48DF-AA3C-68511FB58AE9}"/>
    <cellStyle name="Millares 7 6 2 2 2 2 2" xfId="45704" xr:uid="{E56C7F5F-08C0-4BAB-8101-C312FB29422B}"/>
    <cellStyle name="Millares 7 6 2 2 2 3" xfId="13384" xr:uid="{D175B7C4-2FBF-41FA-9215-619A43310D9D}"/>
    <cellStyle name="Millares 7 6 2 2 2 4" xfId="43308" xr:uid="{19476519-CD9B-46E5-9FC3-43572A4D629D}"/>
    <cellStyle name="Millares 7 6 2 2 2 5" xfId="48201" xr:uid="{8C14C620-F362-4AFF-AF21-97086105132C}"/>
    <cellStyle name="Millares 7 6 2 2 3" xfId="2691" xr:uid="{A7082898-2FF6-4D74-B0FC-595D920CB1DD}"/>
    <cellStyle name="Millares 7 6 2 2 3 2" xfId="10962" xr:uid="{82208939-B777-4B10-A8A3-81EA0CB95E88}"/>
    <cellStyle name="Millares 7 6 2 2 3 2 2" xfId="46122" xr:uid="{02505EFC-C22F-48B3-A3DB-0C23B33D5957}"/>
    <cellStyle name="Millares 7 6 2 2 3 3" xfId="13802" xr:uid="{26E7EBAB-CC30-414B-9291-56C313FBC6BF}"/>
    <cellStyle name="Millares 7 6 2 2 3 4" xfId="43726" xr:uid="{3020ACBB-F1CC-4B81-8AEE-9729F3A872E4}"/>
    <cellStyle name="Millares 7 6 2 2 3 5" xfId="48619" xr:uid="{987199B4-0FEC-40FB-8919-F5B8565C035F}"/>
    <cellStyle name="Millares 7 6 2 2 4" xfId="3235" xr:uid="{F2AFD463-F04F-46DB-B34E-FF64003C6AA0}"/>
    <cellStyle name="Millares 7 6 2 2 4 2" xfId="11506" xr:uid="{787CB102-7D97-4731-801E-8E1F6440758D}"/>
    <cellStyle name="Millares 7 6 2 2 4 2 2" xfId="46666" xr:uid="{72A9F010-812E-474A-B3B4-212A162249CE}"/>
    <cellStyle name="Millares 7 6 2 2 4 3" xfId="14346" xr:uid="{69338E66-4031-4A52-BB02-0B379F5A5CB6}"/>
    <cellStyle name="Millares 7 6 2 2 4 4" xfId="44270" xr:uid="{D996120C-7010-48BC-8BA7-C27B0C8D67FC}"/>
    <cellStyle name="Millares 7 6 2 2 4 5" xfId="49163" xr:uid="{C55C505C-AA97-46EB-82E2-81D12A471D86}"/>
    <cellStyle name="Millares 7 6 2 2 5" xfId="3737" xr:uid="{00D1EED4-7951-4155-BA94-80055252FCD2}"/>
    <cellStyle name="Millares 7 6 2 2 5 2" xfId="11978" xr:uid="{F5F781F1-CD2C-495D-8CAD-228237F45D58}"/>
    <cellStyle name="Millares 7 6 2 2 5 3" xfId="14818" xr:uid="{DC3A067D-F4DE-4AFD-AC5D-AD3B5F0D46AB}"/>
    <cellStyle name="Millares 7 6 2 2 5 4" xfId="44742" xr:uid="{095937FD-8061-4850-9965-267F8AA9E838}"/>
    <cellStyle name="Millares 7 6 2 2 5 5" xfId="49635" xr:uid="{9580DC5E-A900-4775-A2DB-B426222C69B7}"/>
    <cellStyle name="Millares 7 6 2 2 6" xfId="10000" xr:uid="{17955A07-2872-46F0-8DF7-23990664556C}"/>
    <cellStyle name="Millares 7 6 2 2 6 2" xfId="45160" xr:uid="{83C31E9F-1969-49BE-BB1E-D6F2C381F51C}"/>
    <cellStyle name="Millares 7 6 2 2 7" xfId="12840" xr:uid="{9138F4FB-F6CF-4F80-B058-BEA1BE9B4863}"/>
    <cellStyle name="Millares 7 6 2 2 8" xfId="16183" xr:uid="{C5D65210-467F-4E54-8DFA-1323C82B563E}"/>
    <cellStyle name="Millares 7 6 2 2 9" xfId="16726" xr:uid="{ABCF9B29-A37F-4E33-9241-865ECB5AB6A0}"/>
    <cellStyle name="Millares 7 6 2 3" xfId="2061" xr:uid="{DEB44A10-F98B-4D5A-B2D3-9790B39B2F9A}"/>
    <cellStyle name="Millares 7 6 2 3 2" xfId="10332" xr:uid="{69D698A6-EA01-4D4E-88AD-1953F8D827D7}"/>
    <cellStyle name="Millares 7 6 2 3 2 2" xfId="45492" xr:uid="{B0C0F578-9CF0-42C5-95F9-9317DBDB45E6}"/>
    <cellStyle name="Millares 7 6 2 3 3" xfId="13172" xr:uid="{661DEC9F-F85E-46AD-A5EA-E3B23EF272DF}"/>
    <cellStyle name="Millares 7 6 2 3 4" xfId="43096" xr:uid="{1D641B2E-82E0-4415-A2D6-8DD0676AB256}"/>
    <cellStyle name="Millares 7 6 2 3 5" xfId="47989" xr:uid="{B8C30D3B-942C-4F46-B7E7-C58C23BE5059}"/>
    <cellStyle name="Millares 7 6 2 4" xfId="2479" xr:uid="{4E25178D-6326-4211-A59A-E31D0B2EEFBF}"/>
    <cellStyle name="Millares 7 6 2 4 2" xfId="10750" xr:uid="{51B25940-10A8-4DD7-9A1A-173CAD2B25A9}"/>
    <cellStyle name="Millares 7 6 2 4 2 2" xfId="45910" xr:uid="{AA89D116-E225-4056-84B2-5486F21CBEF1}"/>
    <cellStyle name="Millares 7 6 2 4 3" xfId="13590" xr:uid="{1AB5887E-8484-448A-B68F-CC0E50D81DED}"/>
    <cellStyle name="Millares 7 6 2 4 4" xfId="43514" xr:uid="{30A8C54A-FA66-46D4-803D-1EA063C26705}"/>
    <cellStyle name="Millares 7 6 2 4 5" xfId="48407" xr:uid="{4B58E2B6-8AAE-4EA7-A0D1-0484913AC413}"/>
    <cellStyle name="Millares 7 6 2 5" xfId="3023" xr:uid="{B4BC32D7-D3F5-4BCC-9ADD-CB99DC776D7D}"/>
    <cellStyle name="Millares 7 6 2 5 2" xfId="11294" xr:uid="{B4636D3D-7F79-4683-847F-18BE5FED6B53}"/>
    <cellStyle name="Millares 7 6 2 5 2 2" xfId="46454" xr:uid="{9870BAEE-CCA4-421F-BB2C-B20C8F6588DA}"/>
    <cellStyle name="Millares 7 6 2 5 3" xfId="14134" xr:uid="{2ECAA177-AE22-45A8-9826-48454EA2EFE3}"/>
    <cellStyle name="Millares 7 6 2 5 4" xfId="44058" xr:uid="{E1E93828-CAFB-428E-A5B1-68CB2C81BA94}"/>
    <cellStyle name="Millares 7 6 2 5 5" xfId="48951" xr:uid="{059B963B-10D5-47F1-8FFF-54DA574937A6}"/>
    <cellStyle name="Millares 7 6 2 6" xfId="3525" xr:uid="{45EC13E6-66D4-4F9B-BAC0-E22C11DC0581}"/>
    <cellStyle name="Millares 7 6 2 6 2" xfId="11766" xr:uid="{E576A69C-64F0-417F-B8C6-4A2FECA8D6D0}"/>
    <cellStyle name="Millares 7 6 2 6 3" xfId="14606" xr:uid="{B4BEE914-06A3-4E1E-BABF-B6FE2DCA37C6}"/>
    <cellStyle name="Millares 7 6 2 6 4" xfId="44530" xr:uid="{523E3454-5D46-4E1C-8715-E0ED1A82DDDB}"/>
    <cellStyle name="Millares 7 6 2 6 5" xfId="49423" xr:uid="{39DCE1FA-26C2-4054-928C-23F0B92E04E1}"/>
    <cellStyle name="Millares 7 6 2 7" xfId="9788" xr:uid="{5D436AB0-0CE4-452E-91DE-C273BDB6CCDB}"/>
    <cellStyle name="Millares 7 6 2 7 2" xfId="44948" xr:uid="{24251AB2-A7D0-45A0-B657-675E6B1BD417}"/>
    <cellStyle name="Millares 7 6 2 8" xfId="12628" xr:uid="{48020AB1-6C75-4A43-AACE-62310FF8FFD6}"/>
    <cellStyle name="Millares 7 6 2 9" xfId="15971" xr:uid="{61903DFA-B7B7-4492-A6AF-E6737BD913F5}"/>
    <cellStyle name="Millares 7 6 3" xfId="356" xr:uid="{00000000-0005-0000-0000-0000B3020000}"/>
    <cellStyle name="Millares 7 6 3 10" xfId="17170" xr:uid="{2B4422A1-48AE-4E79-BEE9-DF4E7C79D5E3}"/>
    <cellStyle name="Millares 7 6 3 11" xfId="26975" xr:uid="{24CC8B9C-4964-4E19-B1F6-5B228906A46F}"/>
    <cellStyle name="Millares 7 6 3 12" xfId="17808" xr:uid="{3FAF2C07-7DA0-4E87-8C8C-C61812446C95}"/>
    <cellStyle name="Millares 7 6 3 13" xfId="42664" xr:uid="{88EC3107-3DE5-4361-9EE5-562528F48545}"/>
    <cellStyle name="Millares 7 6 3 14" xfId="47557" xr:uid="{A7D613E2-0868-4BD3-A1E5-D30AACC1791D}"/>
    <cellStyle name="Millares 7 6 3 2" xfId="2173" xr:uid="{65C3B1E1-F592-49B6-90A7-22D0C08B5572}"/>
    <cellStyle name="Millares 7 6 3 2 2" xfId="10444" xr:uid="{9B763930-D39D-4885-9A95-A1363472781A}"/>
    <cellStyle name="Millares 7 6 3 2 2 2" xfId="45604" xr:uid="{0199A9CD-34BF-4882-9EB5-881F586E1898}"/>
    <cellStyle name="Millares 7 6 3 2 3" xfId="13284" xr:uid="{24598540-28DB-4ABC-A131-567DE7323214}"/>
    <cellStyle name="Millares 7 6 3 2 4" xfId="43208" xr:uid="{A60E1AC4-7E5F-4FB6-88AD-366C1DF62A22}"/>
    <cellStyle name="Millares 7 6 3 2 5" xfId="48101" xr:uid="{074EB4A8-2D8C-4EAC-80C9-B7A1F5B8C549}"/>
    <cellStyle name="Millares 7 6 3 3" xfId="2591" xr:uid="{21CA5382-15D6-404D-B37F-BCE6CAAB51FE}"/>
    <cellStyle name="Millares 7 6 3 3 2" xfId="10862" xr:uid="{92878F10-0A4C-4C95-B9E9-BE086CD0BEA0}"/>
    <cellStyle name="Millares 7 6 3 3 2 2" xfId="46022" xr:uid="{607FE7F6-CFB9-4E18-8A31-767DD82D6030}"/>
    <cellStyle name="Millares 7 6 3 3 3" xfId="13702" xr:uid="{C2D15243-7A45-47D1-9700-3C7BD2A888EE}"/>
    <cellStyle name="Millares 7 6 3 3 4" xfId="43626" xr:uid="{1F6879DE-71D9-416F-95FF-4B5D4171BB0B}"/>
    <cellStyle name="Millares 7 6 3 3 5" xfId="48519" xr:uid="{551F6AC7-1D96-4AF1-87F4-0218B0EB7B5A}"/>
    <cellStyle name="Millares 7 6 3 4" xfId="3135" xr:uid="{61210643-A597-4865-9703-3EA1A10A0DE6}"/>
    <cellStyle name="Millares 7 6 3 4 2" xfId="11406" xr:uid="{5557D009-5BBE-4B80-BDAE-01F956E4892A}"/>
    <cellStyle name="Millares 7 6 3 4 2 2" xfId="46566" xr:uid="{0B240BA6-AA86-4224-9829-60716ACB6EAD}"/>
    <cellStyle name="Millares 7 6 3 4 3" xfId="14246" xr:uid="{95FE83A9-09BE-4117-AB85-27630BAF2F38}"/>
    <cellStyle name="Millares 7 6 3 4 4" xfId="44170" xr:uid="{6ACDA461-D5D2-45AE-9A84-F6AC7B823EFD}"/>
    <cellStyle name="Millares 7 6 3 4 5" xfId="49063" xr:uid="{1E6E69A6-7A45-4526-A033-EBAEBB1A578C}"/>
    <cellStyle name="Millares 7 6 3 5" xfId="3637" xr:uid="{6289A89F-8594-4B6C-94F2-D4849B04F9E1}"/>
    <cellStyle name="Millares 7 6 3 5 2" xfId="11878" xr:uid="{3C733ED2-38AD-4D06-AB94-78F4B6D975BC}"/>
    <cellStyle name="Millares 7 6 3 5 3" xfId="14718" xr:uid="{3C5DB8F7-4CAC-4E69-9511-00F7FABE0D3C}"/>
    <cellStyle name="Millares 7 6 3 5 4" xfId="44642" xr:uid="{F12AA282-5AEE-4B2E-B5BC-CAC6104C7D60}"/>
    <cellStyle name="Millares 7 6 3 5 5" xfId="49535" xr:uid="{158813B8-FAE2-4C66-8D4B-239A1A6B092F}"/>
    <cellStyle name="Millares 7 6 3 6" xfId="9900" xr:uid="{63012716-868A-4C1B-BBF8-F405283885AC}"/>
    <cellStyle name="Millares 7 6 3 6 2" xfId="45060" xr:uid="{C4A90009-DB5F-48A1-ACAB-978C4DA18C0D}"/>
    <cellStyle name="Millares 7 6 3 7" xfId="12740" xr:uid="{29F036E5-5BCE-4A8B-BED5-22B7DBE53A4A}"/>
    <cellStyle name="Millares 7 6 3 8" xfId="16083" xr:uid="{95CA073C-6310-463C-9F99-7FEBA85060A1}"/>
    <cellStyle name="Millares 7 6 3 9" xfId="16626" xr:uid="{1C57E05F-2AAE-49F6-89BD-5C670C168DF9}"/>
    <cellStyle name="Millares 7 6 4" xfId="559" xr:uid="{00000000-0005-0000-0000-0000B4020000}"/>
    <cellStyle name="Millares 7 6 4 10" xfId="42866" xr:uid="{9C2D6ED9-557D-44FB-AB5D-5694EF1FC547}"/>
    <cellStyle name="Millares 7 6 4 11" xfId="47759" xr:uid="{5F1D3E21-661E-4B4F-B54E-9F4C344EFB77}"/>
    <cellStyle name="Millares 7 6 4 2" xfId="2793" xr:uid="{6D8F8A38-3231-4E25-A969-96AAB6A62135}"/>
    <cellStyle name="Millares 7 6 4 2 2" xfId="11064" xr:uid="{C068E855-62E7-4BF3-AD73-03F084E15B2F}"/>
    <cellStyle name="Millares 7 6 4 2 2 2" xfId="46224" xr:uid="{FE8D43C6-CFE5-4C98-8E84-D7EFF39715F8}"/>
    <cellStyle name="Millares 7 6 4 2 3" xfId="13904" xr:uid="{6118899D-0087-41F3-AFAC-C53BA87D8064}"/>
    <cellStyle name="Millares 7 6 4 2 4" xfId="43828" xr:uid="{64BAACDC-3B70-420C-A6B5-01B0459DC908}"/>
    <cellStyle name="Millares 7 6 4 2 5" xfId="48721" xr:uid="{AC35B3B2-1B15-4BF0-8CCA-782AC04ED723}"/>
    <cellStyle name="Millares 7 6 4 3" xfId="10102" xr:uid="{344FA8F7-5610-45CE-803C-ED86A3B6BFF9}"/>
    <cellStyle name="Millares 7 6 4 3 2" xfId="45262" xr:uid="{F162DBCE-64C8-49AB-A942-E68ACAA2F54F}"/>
    <cellStyle name="Millares 7 6 4 4" xfId="12942" xr:uid="{6D8070F8-8B13-4F09-B51E-B9881D65EF2C}"/>
    <cellStyle name="Millares 7 6 4 5" xfId="16285" xr:uid="{5D5F35C7-FB3A-4430-880A-4E7FA7BE3E7D}"/>
    <cellStyle name="Millares 7 6 4 6" xfId="16828" xr:uid="{07AA6EB5-33C6-4ABC-8E83-0F4AB28A5F76}"/>
    <cellStyle name="Millares 7 6 4 7" xfId="17372" xr:uid="{01199341-D524-4468-9C75-6B7A1A3E0F06}"/>
    <cellStyle name="Millares 7 6 4 8" xfId="32851" xr:uid="{50B28F2F-BE50-45C6-84C8-E28B6639E6A6}"/>
    <cellStyle name="Millares 7 6 4 9" xfId="18244" xr:uid="{0C5607C7-41AF-47B6-B7CB-14EB10B0474D}"/>
    <cellStyle name="Millares 7 6 5" xfId="1957" xr:uid="{E702C5FF-DC5B-4554-9ADF-32ECF46DA063}"/>
    <cellStyle name="Millares 7 6 5 2" xfId="10228" xr:uid="{C2D411ED-917E-4CB1-B303-841E74B109AF}"/>
    <cellStyle name="Millares 7 6 5 2 2" xfId="45388" xr:uid="{A56DD676-B880-4FFC-A464-87606A3AB16F}"/>
    <cellStyle name="Millares 7 6 5 3" xfId="13068" xr:uid="{427E2793-5554-4337-A6FD-F8C655720760}"/>
    <cellStyle name="Millares 7 6 5 4" xfId="38715" xr:uid="{8FF08A9B-BC25-437D-83D3-6A2CB74B2601}"/>
    <cellStyle name="Millares 7 6 5 5" xfId="42992" xr:uid="{6BD719C7-6F89-4536-AB91-4B7FC0E1B851}"/>
    <cellStyle name="Millares 7 6 5 6" xfId="47885" xr:uid="{8C0D8A77-EB62-4453-B827-24D259E1DF9D}"/>
    <cellStyle name="Millares 7 6 6" xfId="2375" xr:uid="{A2AB1F98-F1BA-407C-A2BE-03DE5830AC63}"/>
    <cellStyle name="Millares 7 6 6 2" xfId="10646" xr:uid="{0E4DE43E-57E2-4C75-9202-7BF280400F7E}"/>
    <cellStyle name="Millares 7 6 6 2 2" xfId="45806" xr:uid="{9038D0E8-B102-4BBA-AE0B-617F0A120D27}"/>
    <cellStyle name="Millares 7 6 6 3" xfId="13486" xr:uid="{53D9B634-2349-4DD2-A501-DBA5952D51CC}"/>
    <cellStyle name="Millares 7 6 6 4" xfId="43410" xr:uid="{468006B2-43FE-47F9-A6C8-9362DB8FEFB3}"/>
    <cellStyle name="Millares 7 6 6 5" xfId="48303" xr:uid="{5197B222-682B-478A-ABED-286E33F68BFC}"/>
    <cellStyle name="Millares 7 6 7" xfId="2919" xr:uid="{C0C0D581-1F1E-4172-A5E3-B53835AA6767}"/>
    <cellStyle name="Millares 7 6 7 2" xfId="11190" xr:uid="{D3BAA936-F05E-461F-8D37-3DA238A34BC9}"/>
    <cellStyle name="Millares 7 6 7 2 2" xfId="46350" xr:uid="{96C8F0E7-6666-47F9-9C95-B724176FB241}"/>
    <cellStyle name="Millares 7 6 7 3" xfId="14030" xr:uid="{A6308A56-DF92-48B9-B37A-B9427845D603}"/>
    <cellStyle name="Millares 7 6 7 4" xfId="43954" xr:uid="{539BCD93-D0A0-4019-819C-501478604A85}"/>
    <cellStyle name="Millares 7 6 7 5" xfId="48847" xr:uid="{F3A930A9-5ED2-4A3B-8C08-DF765B859933}"/>
    <cellStyle name="Millares 7 6 8" xfId="3421" xr:uid="{16A50DEA-67DD-4A1B-8F27-498C00007450}"/>
    <cellStyle name="Millares 7 6 8 2" xfId="11662" xr:uid="{02A44EB2-A1C2-431A-889A-A4FC61CC9A50}"/>
    <cellStyle name="Millares 7 6 8 3" xfId="14502" xr:uid="{F47FB021-E09B-4CB4-8A30-720801EF889E}"/>
    <cellStyle name="Millares 7 6 8 4" xfId="44426" xr:uid="{2921919A-EBB7-4FD3-B332-118120369797}"/>
    <cellStyle name="Millares 7 6 8 5" xfId="49319" xr:uid="{9C73417C-9410-4A92-AA5F-9E1BA10C6585}"/>
    <cellStyle name="Millares 7 6 9" xfId="6736" xr:uid="{89E77D86-2822-44EA-8904-A6233A588050}"/>
    <cellStyle name="Millares 7 6 9 2" xfId="44844" xr:uid="{39817B5D-A71F-442D-9029-FF07073B4C27}"/>
    <cellStyle name="Millares 7 7" xfId="669" xr:uid="{00000000-0005-0000-0000-0000B5020000}"/>
    <cellStyle name="Millares 7 7 10" xfId="42963" xr:uid="{84539254-1F19-49F1-88C9-52A917D7BCBA}"/>
    <cellStyle name="Millares 7 7 11" xfId="47856" xr:uid="{1C59137C-6071-4C57-BD0A-6EB19BBF9D3E}"/>
    <cellStyle name="Millares 7 7 2" xfId="2890" xr:uid="{BD2D2944-543B-4AD0-8ECB-2F4693E42B1A}"/>
    <cellStyle name="Millares 7 7 2 2" xfId="11161" xr:uid="{6FBBADD5-7001-4A95-93E6-2A2974F6BF49}"/>
    <cellStyle name="Millares 7 7 2 2 2" xfId="46321" xr:uid="{2E295420-4612-4722-8782-2B8CF70A75F0}"/>
    <cellStyle name="Millares 7 7 2 3" xfId="14001" xr:uid="{E5CC9695-7F9A-4484-A5A1-796821A349FC}"/>
    <cellStyle name="Millares 7 7 2 4" xfId="43925" xr:uid="{0E443DCA-4803-43C9-A3B1-EA3EBD86960B}"/>
    <cellStyle name="Millares 7 7 2 5" xfId="48818" xr:uid="{94D60D06-0510-4ED1-94F8-263516C8C44F}"/>
    <cellStyle name="Millares 7 7 3" xfId="10199" xr:uid="{278A02E7-C4E5-4458-8661-4620A2676BD5}"/>
    <cellStyle name="Millares 7 7 3 2" xfId="45359" xr:uid="{9E1A9CA6-BFA9-40F3-A525-11FB9EA28CCC}"/>
    <cellStyle name="Millares 7 7 4" xfId="13039" xr:uid="{E951F94B-A8C5-45EC-85D4-B0D8E69E185E}"/>
    <cellStyle name="Millares 7 7 5" xfId="16382" xr:uid="{D65462C2-504C-4886-924F-EDFF5C0A8A7A}"/>
    <cellStyle name="Millares 7 7 6" xfId="16925" xr:uid="{8E144B87-1FB2-4B02-B277-EBE077270D91}"/>
    <cellStyle name="Millares 7 7 7" xfId="17469" xr:uid="{CC30AE23-7C37-4CA6-9857-1328F91E4105}"/>
    <cellStyle name="Millares 7 7 8" xfId="18401" xr:uid="{FD274FF7-2D83-4FF2-8B0E-13E7C0A22212}"/>
    <cellStyle name="Millares 7 7 9" xfId="18189" xr:uid="{E39470B9-7139-445F-8A14-6F0153DD9863}"/>
    <cellStyle name="Millares 7 8" xfId="1898" xr:uid="{00000000-0005-0000-0000-0000B6020000}"/>
    <cellStyle name="Millares 7 8 2" xfId="24110" xr:uid="{B3ECE963-5B6C-4B0D-B3A8-BFBAFBECAB13}"/>
    <cellStyle name="Millares 7 9" xfId="29988" xr:uid="{D14CB85E-5400-4481-9229-4C8E7077A3AE}"/>
    <cellStyle name="Millares 7 9 2" xfId="46969" xr:uid="{524C8DBA-42D9-4CF1-8140-7D042BB0CD2C}"/>
    <cellStyle name="Millares 7 9 3" xfId="47068" xr:uid="{2EAD7C67-2FF3-4D67-BF6B-B9143EEB1DAE}"/>
    <cellStyle name="Millares 70" xfId="6604" xr:uid="{5444A24F-4678-4245-8B77-E748DD2A6E2D}"/>
    <cellStyle name="Millares 70 2" xfId="9464" xr:uid="{7BF69C55-DCDB-4D98-885F-7CD2D4A07B0A}"/>
    <cellStyle name="Millares 70 2 2" xfId="23826" xr:uid="{B11EF85E-B248-442C-84AB-CA766A5CDEE2}"/>
    <cellStyle name="Millares 70 2 3" xfId="29695" xr:uid="{53DBD93D-3263-48C0-8E7E-A69CDC31EA16}"/>
    <cellStyle name="Millares 70 2 4" xfId="35577" xr:uid="{2F878616-B79F-482C-971A-AD962CC7EDCE}"/>
    <cellStyle name="Millares 70 2 5" xfId="41436" xr:uid="{0F33AE55-1EDB-455B-A5E1-0FE7795E2C52}"/>
    <cellStyle name="Millares 70 3" xfId="21042" xr:uid="{625AECB1-28D6-4F71-A6A4-D40DD892EC02}"/>
    <cellStyle name="Millares 70 4" xfId="26853" xr:uid="{910BB825-5292-442D-85ED-F1CC3AAA1B41}"/>
    <cellStyle name="Millares 70 5" xfId="32728" xr:uid="{C233480F-3476-4F14-9F97-FEA5F962C782}"/>
    <cellStyle name="Millares 70 6" xfId="38592" xr:uid="{EA018A36-A872-4913-8C60-DA5F38169D20}"/>
    <cellStyle name="Millares 71" xfId="6607" xr:uid="{8FE1527C-32BD-4E98-97FD-36A696BBC969}"/>
    <cellStyle name="Millares 71 2" xfId="9467" xr:uid="{D81C10D0-75BA-4955-808F-512A7C3C1B10}"/>
    <cellStyle name="Millares 71 2 2" xfId="23829" xr:uid="{D8275AFB-3F9A-4D3B-9DBA-8F90A5122977}"/>
    <cellStyle name="Millares 71 2 3" xfId="29698" xr:uid="{520ED080-3B28-4B2C-BE05-436C4CE9E3CC}"/>
    <cellStyle name="Millares 71 2 4" xfId="35580" xr:uid="{058B6C9C-4841-4FFB-97C9-6528C27C2DC0}"/>
    <cellStyle name="Millares 71 2 5" xfId="41439" xr:uid="{4FB6C436-15F7-46E0-A551-9E7C42544D8C}"/>
    <cellStyle name="Millares 71 3" xfId="21044" xr:uid="{F223281F-08A7-497B-834C-B7EE99D4599A}"/>
    <cellStyle name="Millares 71 4" xfId="26856" xr:uid="{70E674E0-F61C-4E02-B124-B8CF053AB5D4}"/>
    <cellStyle name="Millares 71 5" xfId="32731" xr:uid="{43C1BB8D-F39A-41DA-B430-B07816046545}"/>
    <cellStyle name="Millares 71 6" xfId="38595" xr:uid="{5DDB59F2-7D6F-4683-A16D-AEEFC3E4CE1E}"/>
    <cellStyle name="Millares 72" xfId="6583" xr:uid="{80F87104-AAFA-410F-8C35-F566B0CC1F26}"/>
    <cellStyle name="Millares 72 2" xfId="9443" xr:uid="{5CC62E0E-5456-4FBF-833C-ABBA311595D2}"/>
    <cellStyle name="Millares 72 2 2" xfId="23805" xr:uid="{5704FEE2-7754-4784-8BD4-011DDF0B53A7}"/>
    <cellStyle name="Millares 72 2 3" xfId="29674" xr:uid="{A8F90151-1020-4DA1-A698-5C29DC07B64F}"/>
    <cellStyle name="Millares 72 2 4" xfId="35556" xr:uid="{02A54F66-A547-441F-A01A-561365E1AB4D}"/>
    <cellStyle name="Millares 72 2 5" xfId="41415" xr:uid="{863ACF2B-1C38-47BF-A7DC-31225A349FFE}"/>
    <cellStyle name="Millares 72 3" xfId="21021" xr:uid="{D1E7582A-3849-4577-B764-69E5F0543F85}"/>
    <cellStyle name="Millares 72 4" xfId="26832" xr:uid="{49ADFD1A-5E93-4A32-A0EB-7D35FCDFB0E1}"/>
    <cellStyle name="Millares 72 5" xfId="32707" xr:uid="{F9071216-2D59-47F7-8CB7-BE02B0E3211A}"/>
    <cellStyle name="Millares 72 6" xfId="38571" xr:uid="{2A39BFCF-AA93-4BEA-AF86-CA22988AEA4B}"/>
    <cellStyle name="Millares 73" xfId="6606" xr:uid="{9DF2E061-C3A9-4330-B51E-29F7825C7C3D}"/>
    <cellStyle name="Millares 73 2" xfId="9466" xr:uid="{1F30FE30-2238-4480-93FE-B13D874D3F78}"/>
    <cellStyle name="Millares 73 2 2" xfId="23828" xr:uid="{CEE6EACF-D813-442B-A6C2-B59FEA5A3C37}"/>
    <cellStyle name="Millares 73 2 3" xfId="29697" xr:uid="{D819B32A-B85B-4B0D-AA2E-660DF286A517}"/>
    <cellStyle name="Millares 73 2 4" xfId="35579" xr:uid="{E9C8B664-F1DA-491E-A6A0-AC1256D0720C}"/>
    <cellStyle name="Millares 73 2 5" xfId="41438" xr:uid="{175BF242-934F-45A4-85B6-E8FD5B07E2A8}"/>
    <cellStyle name="Millares 73 3" xfId="21043" xr:uid="{B978B189-B10A-4923-9F40-265F0D9D6E35}"/>
    <cellStyle name="Millares 73 4" xfId="26855" xr:uid="{539254F6-B151-454E-BC2B-F769A40B9BC4}"/>
    <cellStyle name="Millares 73 5" xfId="32730" xr:uid="{DC18F158-A1A7-4041-A8FB-1FBF5A0BBD5E}"/>
    <cellStyle name="Millares 73 6" xfId="38594" xr:uid="{55AFFB27-7B7E-45A1-84B6-2AB31F720F82}"/>
    <cellStyle name="Millares 74" xfId="6603" xr:uid="{E9F503BB-B32D-495A-BEFE-05F5344522DB}"/>
    <cellStyle name="Millares 74 2" xfId="9463" xr:uid="{8B0453F9-585D-444B-8DAE-DF6C5603AF5D}"/>
    <cellStyle name="Millares 74 2 2" xfId="23825" xr:uid="{9F41F5FB-48BB-4C9E-BEA8-DB37E205125A}"/>
    <cellStyle name="Millares 74 2 3" xfId="29694" xr:uid="{69E2D567-3D69-4583-8ACC-83AA580D726A}"/>
    <cellStyle name="Millares 74 2 4" xfId="35576" xr:uid="{22141121-8AD1-48F4-ACC7-540DFF4AF56D}"/>
    <cellStyle name="Millares 74 2 5" xfId="41435" xr:uid="{11676CA1-7357-4CBC-BA69-AA24A1E60053}"/>
    <cellStyle name="Millares 74 3" xfId="21041" xr:uid="{AA97F4FC-978C-481C-A254-D61AEBE536BB}"/>
    <cellStyle name="Millares 74 4" xfId="26852" xr:uid="{D0CFB9C9-A4C7-4775-85BA-7CF34DC5445D}"/>
    <cellStyle name="Millares 74 5" xfId="32727" xr:uid="{ACACDF33-3AAB-4002-96A8-855B8D26DD44}"/>
    <cellStyle name="Millares 74 6" xfId="38591" xr:uid="{BBF194C8-5433-4F50-83F5-9BC38D072574}"/>
    <cellStyle name="Millares 75" xfId="6582" xr:uid="{B8945ED2-E242-413B-96D8-44CBD2576230}"/>
    <cellStyle name="Millares 75 2" xfId="9442" xr:uid="{36B4D0D7-779E-4C83-8AEB-E07104647A12}"/>
    <cellStyle name="Millares 75 2 2" xfId="23804" xr:uid="{FA27091B-7DCE-453F-8A72-1E08709E3FE2}"/>
    <cellStyle name="Millares 75 2 3" xfId="29673" xr:uid="{6F0F5737-40FC-4302-9562-C415934F568C}"/>
    <cellStyle name="Millares 75 2 4" xfId="35555" xr:uid="{F681376C-E6FA-405C-B62D-0F50D7412905}"/>
    <cellStyle name="Millares 75 2 5" xfId="41414" xr:uid="{96712E92-A939-45C2-8904-92E46BCC83FE}"/>
    <cellStyle name="Millares 75 3" xfId="21020" xr:uid="{336CC4E2-83F3-4ACB-A883-A0E5DC6B3D1B}"/>
    <cellStyle name="Millares 75 4" xfId="26831" xr:uid="{390A7E7B-5ED7-42D5-8CBE-6C6C77743170}"/>
    <cellStyle name="Millares 75 5" xfId="32706" xr:uid="{A116232A-7AF9-409B-B34E-505A2B870478}"/>
    <cellStyle name="Millares 75 6" xfId="38570" xr:uid="{14E42CD0-1C3F-4BF7-93D5-82ECA929D3A7}"/>
    <cellStyle name="Millares 76" xfId="6580" xr:uid="{C1DADEE5-8EF5-4265-8D75-E9B059D751FD}"/>
    <cellStyle name="Millares 76 2" xfId="9440" xr:uid="{3D36C14D-61E8-4242-9106-DD7CA447FB9A}"/>
    <cellStyle name="Millares 76 2 2" xfId="23802" xr:uid="{1E512B54-8B50-493E-8AAD-977555FE463C}"/>
    <cellStyle name="Millares 76 2 3" xfId="29671" xr:uid="{405CC2D9-F5C2-4219-9833-CA76EEB24708}"/>
    <cellStyle name="Millares 76 2 4" xfId="35553" xr:uid="{8E6AFF19-259B-498D-A923-157E848E7210}"/>
    <cellStyle name="Millares 76 2 5" xfId="41412" xr:uid="{DDF71F06-14F7-44B3-9868-4DC5D572B3DA}"/>
    <cellStyle name="Millares 76 3" xfId="21018" xr:uid="{C1CD5A40-47D1-4189-AB42-E5173329CCA2}"/>
    <cellStyle name="Millares 76 4" xfId="26829" xr:uid="{7FCEFDEC-37A6-4C27-A032-19BCACBC8BE6}"/>
    <cellStyle name="Millares 76 5" xfId="32704" xr:uid="{942F6394-A508-403A-8AC3-36BC32A32FBD}"/>
    <cellStyle name="Millares 76 6" xfId="38568" xr:uid="{C2ABB9B4-7260-408B-B912-570850856E59}"/>
    <cellStyle name="Millares 77" xfId="6629" xr:uid="{7579A440-9DBA-46FC-AE60-587C7BEB9FBB}"/>
    <cellStyle name="Millares 77 2" xfId="21066" xr:uid="{4106C5BC-C351-40D4-9C01-E2DEAEDE1910}"/>
    <cellStyle name="Millares 77 3" xfId="26878" xr:uid="{19B3C24D-8DF9-4C7F-BD6A-F06D53A28091}"/>
    <cellStyle name="Millares 77 4" xfId="32753" xr:uid="{712EF3BC-B33C-4558-B9E1-0FCDE77466E0}"/>
    <cellStyle name="Millares 77 5" xfId="38617" xr:uid="{D4933AB9-CF59-4A3B-A946-AB4C7A45EB59}"/>
    <cellStyle name="Millares 78" xfId="6687" xr:uid="{ECCA3D64-41CF-48C0-BA02-C423604685C3}"/>
    <cellStyle name="Millares 79" xfId="9549" xr:uid="{FC41A850-48D5-4D79-99AC-DD8B3515ED61}"/>
    <cellStyle name="Millares 79 2" xfId="23911" xr:uid="{BA676C75-5574-4358-9C58-F920EFB7F122}"/>
    <cellStyle name="Millares 79 3" xfId="29781" xr:uid="{58750A23-93D3-4D88-B2DD-DC556DEE9FCB}"/>
    <cellStyle name="Millares 79 4" xfId="35663" xr:uid="{2C0C92AC-B9FC-4FED-9450-53B7C26D33A0}"/>
    <cellStyle name="Millares 79 5" xfId="41522" xr:uid="{F698EF6C-2F4B-45FC-9CEF-6CC2820EDC9F}"/>
    <cellStyle name="Millares 8" xfId="61" xr:uid="{00000000-0005-0000-0000-0000B7020000}"/>
    <cellStyle name="Millares 8 10" xfId="35873" xr:uid="{F4AEC289-B5F8-4015-A546-598984C1E191}"/>
    <cellStyle name="Millares 8 11" xfId="42126" xr:uid="{3E0FFF21-4562-4103-9514-AE405B2ED0AF}"/>
    <cellStyle name="Millares 8 12" xfId="42342" xr:uid="{02A0E3A3-AF76-4909-BFC1-30A71FAC8136}"/>
    <cellStyle name="Millares 8 13" xfId="50211" xr:uid="{4607A58A-8BFB-473C-AAE1-97C07E9135BC}"/>
    <cellStyle name="Millares 8 14" xfId="50285" xr:uid="{7AFEB2E8-7E6A-4EFE-99F2-3FCF2A76E3A8}"/>
    <cellStyle name="Millares 8 2" xfId="131" xr:uid="{00000000-0005-0000-0000-0000B8020000}"/>
    <cellStyle name="Millares 8 2 10" xfId="50357" xr:uid="{3D60DF2B-59EA-4AA2-BB5B-05623F99618C}"/>
    <cellStyle name="Millares 8 2 2" xfId="4557" xr:uid="{195985AC-EE07-4367-8DA7-C00DD776CF60}"/>
    <cellStyle name="Millares 8 2 2 2" xfId="5525" xr:uid="{335DEF74-AB59-4DDF-9A36-7189FFC77151}"/>
    <cellStyle name="Millares 8 2 2 2 2" xfId="8392" xr:uid="{ED091DF5-F7EB-4CD3-9335-242F50353512}"/>
    <cellStyle name="Millares 8 2 2 2 2 2" xfId="22767" xr:uid="{0249CBAE-A792-4EE0-A7C2-F71F47397570}"/>
    <cellStyle name="Millares 8 2 2 2 2 3" xfId="28625" xr:uid="{BD7E7977-9F44-4210-BEB2-62F68E79BC36}"/>
    <cellStyle name="Millares 8 2 2 2 2 4" xfId="34507" xr:uid="{22751135-B530-45BB-BD9A-FB8ADB4014B0}"/>
    <cellStyle name="Millares 8 2 2 2 2 5" xfId="40371" xr:uid="{B75FBAE5-9A6B-4083-B608-02C1D8614C09}"/>
    <cellStyle name="Millares 8 2 2 2 3" xfId="19985" xr:uid="{B4730101-05D5-46C4-86A7-3E48DE965105}"/>
    <cellStyle name="Millares 8 2 2 2 4" xfId="25776" xr:uid="{E6EAA0CF-7C39-4E41-B943-47D7489147E4}"/>
    <cellStyle name="Millares 8 2 2 2 5" xfId="31650" xr:uid="{064A6BFE-5F24-45CC-9BB8-B91F2FAEAC4E}"/>
    <cellStyle name="Millares 8 2 2 2 6" xfId="37520" xr:uid="{AFBB566B-4DF5-449D-BB39-C508437F489B}"/>
    <cellStyle name="Millares 8 2 2 2 7" xfId="47312" xr:uid="{28DCF3E6-3913-4B71-9B76-EAA93E0F9E7B}"/>
    <cellStyle name="Millares 8 2 2 3" xfId="7420" xr:uid="{FD0A1D64-36FA-44CE-AF8C-469542032932}"/>
    <cellStyle name="Millares 8 2 2 3 2" xfId="21822" xr:uid="{37BF9443-132B-4CA1-BC9B-AE8344D0BC8F}"/>
    <cellStyle name="Millares 8 2 2 3 3" xfId="27654" xr:uid="{3BD4DE89-CE92-4DFF-B7B4-37A91661C521}"/>
    <cellStyle name="Millares 8 2 2 3 4" xfId="33536" xr:uid="{AF745013-CBF1-4666-8383-ECF48704CF2C}"/>
    <cellStyle name="Millares 8 2 2 3 5" xfId="39400" xr:uid="{705B8857-6463-44CA-BF12-47902A542E7A}"/>
    <cellStyle name="Millares 8 2 2 3 6" xfId="47224" xr:uid="{A81A49C0-43B7-4452-8AA1-3B535C12F248}"/>
    <cellStyle name="Millares 8 2 2 4" xfId="19053" xr:uid="{DB9F0B5F-CE02-42B2-BCAC-CE2647F844F4}"/>
    <cellStyle name="Millares 8 2 2 5" xfId="24805" xr:uid="{1AE42002-6FEC-44B9-A17E-B1699658D430}"/>
    <cellStyle name="Millares 8 2 2 6" xfId="30682" xr:uid="{C4607249-6139-4181-A348-B72CCC0AE9BB}"/>
    <cellStyle name="Millares 8 2 2 7" xfId="36563" xr:uid="{B6CD25E7-AD3E-4A88-81B2-0077AF4C937D}"/>
    <cellStyle name="Millares 8 2 2 8" xfId="46970" xr:uid="{D7F1F290-7DE5-4D5B-873D-397F8C63AEDC}"/>
    <cellStyle name="Millares 8 2 3" xfId="5040" xr:uid="{F4C18DEE-D6BC-4B0F-9360-1BB4D2C76456}"/>
    <cellStyle name="Millares 8 2 3 2" xfId="7907" xr:uid="{068581B5-C079-4842-89B5-46ACCDCC78B3}"/>
    <cellStyle name="Millares 8 2 3 2 2" xfId="22292" xr:uid="{CCDE3E51-E758-4AAE-8BF4-81A777FD0E55}"/>
    <cellStyle name="Millares 8 2 3 2 3" xfId="28140" xr:uid="{057F180A-A6D3-4296-9A95-EFA4F94D0539}"/>
    <cellStyle name="Millares 8 2 3 2 4" xfId="34022" xr:uid="{3DE461AC-EB93-4B37-BE03-BF443169D4E7}"/>
    <cellStyle name="Millares 8 2 3 2 5" xfId="39886" xr:uid="{28EFE6B3-C861-4845-A971-B7C861C779FB}"/>
    <cellStyle name="Millares 8 2 3 3" xfId="19517" xr:uid="{3E3A93D3-371B-4396-B87E-56845211FECB}"/>
    <cellStyle name="Millares 8 2 3 4" xfId="25291" xr:uid="{802D9E0D-DA17-4829-9CFB-D604CE841E0E}"/>
    <cellStyle name="Millares 8 2 3 5" xfId="31165" xr:uid="{785BBE30-C578-4FF4-806C-6692FD41C93B}"/>
    <cellStyle name="Millares 8 2 3 6" xfId="37043" xr:uid="{69BB8EC6-5314-410D-A3A1-796238036D7C}"/>
    <cellStyle name="Millares 8 2 3 7" xfId="46971" xr:uid="{E9E6C29A-1292-4E2F-A4C1-BFD20AC3EF91}"/>
    <cellStyle name="Millares 8 2 4" xfId="6935" xr:uid="{82E7EF6A-1E11-429B-A5DE-E8CB059BEA5D}"/>
    <cellStyle name="Millares 8 2 4 2" xfId="21355" xr:uid="{A97F5BA7-015F-4BDA-AD09-E4A7E12B5DA5}"/>
    <cellStyle name="Millares 8 2 4 3" xfId="27173" xr:uid="{686C185F-A1CD-49C5-90FC-B39404D73017}"/>
    <cellStyle name="Millares 8 2 4 4" xfId="33051" xr:uid="{0481B3D2-EF62-4EC9-A357-8C2244F5AE97}"/>
    <cellStyle name="Millares 8 2 4 5" xfId="38915" xr:uid="{568B289E-2957-480B-BA78-FCB32FE2CA16}"/>
    <cellStyle name="Millares 8 2 4 6" xfId="47272" xr:uid="{C4247CE9-1AE9-447C-AEAB-7F672DA91E2E}"/>
    <cellStyle name="Millares 8 2 5" xfId="4079" xr:uid="{5E598DDD-5D41-492E-B30E-B61B8AF4FD32}"/>
    <cellStyle name="Millares 8 2 5 2" xfId="47134" xr:uid="{A17C95C7-99E0-4B4D-9AC6-B1E04194EA5F}"/>
    <cellStyle name="Millares 8 2 6" xfId="24322" xr:uid="{265A9357-C0D0-4B58-A9EB-AF4BE69A1FBF}"/>
    <cellStyle name="Millares 8 2 7" xfId="30200" xr:uid="{2098B633-86A5-486E-8B50-BEADFA77AECD}"/>
    <cellStyle name="Millares 8 2 8" xfId="36079" xr:uid="{B24AB8E9-1E66-44EE-9201-59A072D3C8EC}"/>
    <cellStyle name="Millares 8 2 9" xfId="46972" xr:uid="{A3D37DF8-AD5F-4D9E-8CF9-64C9FA08968D}"/>
    <cellStyle name="Millares 8 3" xfId="106" xr:uid="{00000000-0005-0000-0000-0000B9020000}"/>
    <cellStyle name="Millares 8 3 2" xfId="5329" xr:uid="{41E7BEE7-00D1-4E17-9AC0-1A8F255E18FE}"/>
    <cellStyle name="Millares 8 3 2 2" xfId="8196" xr:uid="{2F050376-1774-4F23-97A0-12D1550BF5D7}"/>
    <cellStyle name="Millares 8 3 2 2 2" xfId="22572" xr:uid="{59710DD3-F2B7-45A3-962B-EE4AA09E5966}"/>
    <cellStyle name="Millares 8 3 2 2 3" xfId="28429" xr:uid="{BD1080BA-6343-4EB0-8563-9E96D5C2B068}"/>
    <cellStyle name="Millares 8 3 2 2 4" xfId="34311" xr:uid="{F232A0BD-1660-41DA-B2A7-DCACFB94BC7B}"/>
    <cellStyle name="Millares 8 3 2 2 5" xfId="40175" xr:uid="{05544CDD-C7B4-4944-A8F7-765B21E808C8}"/>
    <cellStyle name="Millares 8 3 2 3" xfId="19796" xr:uid="{F86F78AC-C5DC-4467-B26C-33E8A1AAF70D}"/>
    <cellStyle name="Millares 8 3 2 4" xfId="25580" xr:uid="{CA236A2F-0C98-4DB7-A1D9-CE9FE3FB4361}"/>
    <cellStyle name="Millares 8 3 2 5" xfId="31454" xr:uid="{E3C0E137-1A57-436A-8E96-4BB04B6043FB}"/>
    <cellStyle name="Millares 8 3 2 6" xfId="37325" xr:uid="{5282B202-F76A-4D82-999F-08AB666B0F3D}"/>
    <cellStyle name="Millares 8 3 3" xfId="7224" xr:uid="{E9F00C07-71F8-4060-94AA-2A0B762851E1}"/>
    <cellStyle name="Millares 8 3 3 2" xfId="21631" xr:uid="{B224751D-B3BD-4564-9216-7F5AE90483FC}"/>
    <cellStyle name="Millares 8 3 3 3" xfId="27458" xr:uid="{7544F792-39B3-4245-A4B8-100D7C3D8075}"/>
    <cellStyle name="Millares 8 3 3 4" xfId="33340" xr:uid="{1A0B5CE4-5AA4-4226-A2BA-69251DC6DE5D}"/>
    <cellStyle name="Millares 8 3 3 5" xfId="39204" xr:uid="{728334AA-F5FF-41B6-8816-1F09CFD3F36D}"/>
    <cellStyle name="Millares 8 3 4" xfId="4363" xr:uid="{9AE5450E-EABA-4B5A-BB3A-4825118FDC6B}"/>
    <cellStyle name="Millares 8 3 5" xfId="24609" xr:uid="{DB5F00E6-48A5-469D-AD71-A23183BA97DF}"/>
    <cellStyle name="Millares 8 3 6" xfId="30488" xr:uid="{3F98C5A2-AB6B-4141-B767-62295D49C339}"/>
    <cellStyle name="Millares 8 3 7" xfId="36368" xr:uid="{FB3B1CF0-72E7-4AAA-A28A-8D4ACA56CFCF}"/>
    <cellStyle name="Millares 8 4" xfId="4845" xr:uid="{BD3C2502-F4C4-4128-A81D-9053F1581FDD}"/>
    <cellStyle name="Millares 8 4 2" xfId="7711" xr:uid="{F2D81E97-CDDA-450F-B979-0A1E4A279F2A}"/>
    <cellStyle name="Millares 8 4 2 2" xfId="22101" xr:uid="{C27F3DD5-30C5-422F-9E78-1EEA2B991A56}"/>
    <cellStyle name="Millares 8 4 2 3" xfId="27944" xr:uid="{58EE32CE-7680-4E4F-85B0-14224C8C0EF6}"/>
    <cellStyle name="Millares 8 4 2 4" xfId="33826" xr:uid="{45EFCA90-09F3-48B6-AB3F-94325CEB4C7E}"/>
    <cellStyle name="Millares 8 4 2 5" xfId="39690" xr:uid="{BC06D9C1-30B2-4521-B619-F06FD210A367}"/>
    <cellStyle name="Millares 8 4 2 6" xfId="47296" xr:uid="{5B47B839-723F-4AD2-A228-8E4EA7465129}"/>
    <cellStyle name="Millares 8 4 3" xfId="19327" xr:uid="{661EC0FC-AFD2-40B3-BA11-0C7139C5C642}"/>
    <cellStyle name="Millares 8 4 3 2" xfId="47208" xr:uid="{610462AA-AD01-440E-9C3D-6AC2A2A99A0B}"/>
    <cellStyle name="Millares 8 4 4" xfId="25095" xr:uid="{50C9274A-DAA5-4777-9EC9-C2049AE248C8}"/>
    <cellStyle name="Millares 8 4 5" xfId="30969" xr:uid="{66E74F12-9120-4174-ABD6-95C7CCC01AE9}"/>
    <cellStyle name="Millares 8 4 6" xfId="36848" xr:uid="{BE444B21-3071-4675-8EB8-3BB25FB6B26E}"/>
    <cellStyle name="Millares 8 4 7" xfId="46973" xr:uid="{C0262D3F-AE94-41F2-BBD8-36B4EFD444F1}"/>
    <cellStyle name="Millares 8 5" xfId="5854" xr:uid="{BA0522D1-866A-4244-A8C2-31E1D1C7AE6A}"/>
    <cellStyle name="Millares 8 5 2" xfId="8723" xr:uid="{75464754-A4B4-48F2-A23C-4B58F56F2A45}"/>
    <cellStyle name="Millares 8 5 2 2" xfId="23091" xr:uid="{93967080-D2E6-494D-8B92-627770E11328}"/>
    <cellStyle name="Millares 8 5 2 3" xfId="28955" xr:uid="{3B978DC7-5087-4FA8-B3C2-09D43EE8DB40}"/>
    <cellStyle name="Millares 8 5 2 4" xfId="34837" xr:uid="{68C5477D-F8B3-498D-96DF-30806328F1B9}"/>
    <cellStyle name="Millares 8 5 2 5" xfId="40701" xr:uid="{90168360-AA6C-4E0B-A81A-C24E9A8E2E3C}"/>
    <cellStyle name="Millares 8 5 3" xfId="20306" xr:uid="{FDD32D23-A10A-402A-90A6-2B1953451E8E}"/>
    <cellStyle name="Millares 8 5 4" xfId="26105" xr:uid="{15EFA0B5-51C6-4595-9973-790A685C963A}"/>
    <cellStyle name="Millares 8 5 5" xfId="31980" xr:uid="{6D02C6B6-619D-4415-8E82-C8E6A2B749F6}"/>
    <cellStyle name="Millares 8 5 6" xfId="37846" xr:uid="{D89E8276-47E4-49C9-8241-D9DBE14F9906}"/>
    <cellStyle name="Millares 8 5 7" xfId="46974" xr:uid="{6E819B23-3187-494F-B76F-FFF67514FA45}"/>
    <cellStyle name="Millares 8 5 8" xfId="47071" xr:uid="{11148F21-A3D4-49EE-B9C1-E390907968A7}"/>
    <cellStyle name="Millares 8 6" xfId="6740" xr:uid="{32F756C2-FEE5-41C1-8F11-36BFF468A6A5}"/>
    <cellStyle name="Millares 8 6 2" xfId="21164" xr:uid="{973A336B-D845-41A5-B3B4-2618654BB0B7}"/>
    <cellStyle name="Millares 8 6 3" xfId="26979" xr:uid="{DD0B9247-2E40-4654-B327-C6CBB53EFD2D}"/>
    <cellStyle name="Millares 8 6 4" xfId="32855" xr:uid="{F4F3128E-0C3C-4312-B3CD-431B1BEE7A2A}"/>
    <cellStyle name="Millares 8 6 5" xfId="38719" xr:uid="{6958F360-16F6-497F-9595-4BCE0BF5C282}"/>
    <cellStyle name="Millares 8 6 6" xfId="46975" xr:uid="{5E19BB44-5FDA-42C2-ABF3-A7E067882E15}"/>
    <cellStyle name="Millares 8 6 7" xfId="47025" xr:uid="{C74A839D-B929-470B-AAAB-686344DC0609}"/>
    <cellStyle name="Millares 8 7" xfId="18405" xr:uid="{40B88D16-7D51-4AA3-BC00-FD05E75FF743}"/>
    <cellStyle name="Millares 8 7 2" xfId="47249" xr:uid="{61C732F9-3864-4158-BC08-7E56850286D9}"/>
    <cellStyle name="Millares 8 8" xfId="24114" xr:uid="{1B73E6C5-889F-4D92-BB91-4ABCF240E48B}"/>
    <cellStyle name="Millares 8 8 2" xfId="47110" xr:uid="{352FBDB9-2BEA-42CF-8BFC-CA021A5429F8}"/>
    <cellStyle name="Millares 8 9" xfId="29992" xr:uid="{1F3B287A-6813-44BC-919E-D20D963333FB}"/>
    <cellStyle name="Millares 80" xfId="9552" xr:uid="{23120514-F625-4DE7-B53C-F4718C07EADD}"/>
    <cellStyle name="Millares 80 2" xfId="23914" xr:uid="{DCF381B8-A049-440A-872C-E08745795EB2}"/>
    <cellStyle name="Millares 80 3" xfId="29784" xr:uid="{AE9F1718-EAD3-4DEF-A806-32E576BB0C42}"/>
    <cellStyle name="Millares 80 4" xfId="35666" xr:uid="{47F0D068-25A1-405E-8CA0-944A0E92CD3D}"/>
    <cellStyle name="Millares 80 5" xfId="41525" xr:uid="{AC63081F-C3D0-427B-B30F-8EC26404CAC3}"/>
    <cellStyle name="Millares 81" xfId="9577" xr:uid="{F3D725FF-B880-43FB-B5B0-8BAF6E0BC2D9}"/>
    <cellStyle name="Millares 81 2" xfId="23938" xr:uid="{A6817AEE-B398-40F4-9DCE-EF5B77128ED8}"/>
    <cellStyle name="Millares 81 3" xfId="29808" xr:uid="{35488A0E-8CC0-423A-9ED8-86AE64104F32}"/>
    <cellStyle name="Millares 81 4" xfId="35690" xr:uid="{A8AF0AEE-7C06-4D00-B176-48423095AE83}"/>
    <cellStyle name="Millares 81 5" xfId="41549" xr:uid="{DC92CE18-21D2-4CA2-805D-1F5446304A1B}"/>
    <cellStyle name="Millares 82" xfId="9584" xr:uid="{B139ED5A-C42B-4788-BE96-097E4998D79A}"/>
    <cellStyle name="Millares 82 2" xfId="23944" xr:uid="{27EAC7C4-CDB4-4813-8637-663709392186}"/>
    <cellStyle name="Millares 82 3" xfId="29814" xr:uid="{37365C5E-6E01-427B-99D6-5AB351A5A5F6}"/>
    <cellStyle name="Millares 82 4" xfId="35696" xr:uid="{736BF726-D6CB-46C0-A699-D8C177E23F1D}"/>
    <cellStyle name="Millares 82 5" xfId="41555" xr:uid="{A8E3F0C5-938A-469E-B263-550B38C73159}"/>
    <cellStyle name="Millares 83" xfId="9551" xr:uid="{54BB164D-88ED-410B-A3ED-CB4D0452D482}"/>
    <cellStyle name="Millares 83 2" xfId="23913" xr:uid="{7F46F987-270B-46FB-983C-739AAA798C59}"/>
    <cellStyle name="Millares 83 3" xfId="29783" xr:uid="{8C5369C8-C6CC-4C0C-BDBC-E7111C91C1F7}"/>
    <cellStyle name="Millares 83 4" xfId="35665" xr:uid="{E79FB5AA-025D-4263-9C19-D4592E905F60}"/>
    <cellStyle name="Millares 83 5" xfId="41524" xr:uid="{7F51F198-F412-430F-89BA-4792CC72229E}"/>
    <cellStyle name="Millares 84" xfId="9585" xr:uid="{A50944B9-66B9-4771-9868-94E3D96D679A}"/>
    <cellStyle name="Millares 84 2" xfId="23945" xr:uid="{3D3881CF-FFD1-4C5C-BE36-CF83163BC493}"/>
    <cellStyle name="Millares 84 3" xfId="29815" xr:uid="{A87291E1-6991-4B07-BA91-09EB681671BE}"/>
    <cellStyle name="Millares 84 4" xfId="35697" xr:uid="{052B36FB-8C53-4403-9B21-3AA24ABF033E}"/>
    <cellStyle name="Millares 84 5" xfId="41556" xr:uid="{D30A2691-D754-405D-8E51-772FE90E84C1}"/>
    <cellStyle name="Millares 85" xfId="9586" xr:uid="{36720C41-A023-457C-B11E-C358489112A4}"/>
    <cellStyle name="Millares 85 2" xfId="23946" xr:uid="{5610146E-D525-416E-A564-013DF2E729B2}"/>
    <cellStyle name="Millares 85 3" xfId="29816" xr:uid="{5B9E263A-9FBB-49FA-B093-450AD442D5C6}"/>
    <cellStyle name="Millares 85 4" xfId="35698" xr:uid="{7A50355C-5817-4CB7-9CF1-D6431ECB0CA9}"/>
    <cellStyle name="Millares 85 5" xfId="41557" xr:uid="{6BE846A9-4122-4FFD-B066-994189715BCF}"/>
    <cellStyle name="Millares 86" xfId="9587" xr:uid="{80A006DA-FE4E-4B17-9797-E68715A3FC65}"/>
    <cellStyle name="Millares 86 2" xfId="23947" xr:uid="{880F460A-7CD1-426E-8705-2030901A381E}"/>
    <cellStyle name="Millares 86 3" xfId="29817" xr:uid="{F4D4A6AA-56C0-49B7-B997-6235BD0B8063}"/>
    <cellStyle name="Millares 86 4" xfId="35699" xr:uid="{BCA3916C-2D75-4672-813A-51FC63F042E2}"/>
    <cellStyle name="Millares 86 5" xfId="41558" xr:uid="{B4EBF8F3-5E56-4BF2-A25E-FF411C309901}"/>
    <cellStyle name="Millares 87" xfId="9588" xr:uid="{3445BC0D-CFF0-466B-A9A7-285C02555177}"/>
    <cellStyle name="Millares 87 2" xfId="23948" xr:uid="{24C3A839-5B86-4500-85CC-8949A013E53D}"/>
    <cellStyle name="Millares 87 3" xfId="29818" xr:uid="{C135B905-43CC-46F5-AA35-72FD39179F13}"/>
    <cellStyle name="Millares 87 4" xfId="35700" xr:uid="{B8560329-60BF-4316-B90A-AE0AC26CF8A4}"/>
    <cellStyle name="Millares 87 5" xfId="41559" xr:uid="{AC24AF6C-DE0D-4D1B-B38B-8F3B3E5B4AE8}"/>
    <cellStyle name="Millares 88" xfId="9589" xr:uid="{6C46CA83-8431-4B69-96A1-4890F4CB3B55}"/>
    <cellStyle name="Millares 88 2" xfId="23949" xr:uid="{71ED5A65-ABCD-482B-8632-D1C47A73231D}"/>
    <cellStyle name="Millares 88 3" xfId="29819" xr:uid="{9716144C-66FD-4260-8F9B-4D966691C075}"/>
    <cellStyle name="Millares 88 4" xfId="35701" xr:uid="{860B77AD-D621-4C85-AEE8-49C5C12EFB2C}"/>
    <cellStyle name="Millares 88 5" xfId="41560" xr:uid="{2DD857D9-4D72-4A8F-9F3F-7ABD316D8595}"/>
    <cellStyle name="Millares 89" xfId="9590" xr:uid="{5FE9D877-56D9-4DF2-BFFF-86C540180635}"/>
    <cellStyle name="Millares 89 2" xfId="23950" xr:uid="{8E68B801-F9B0-4655-96C4-B07FD11A60D4}"/>
    <cellStyle name="Millares 89 3" xfId="29820" xr:uid="{21042278-C88A-451D-A6BD-440DFAD00768}"/>
    <cellStyle name="Millares 89 4" xfId="35702" xr:uid="{D46979CA-C1FD-438D-9913-8AED2D2AF8BB}"/>
    <cellStyle name="Millares 89 5" xfId="41561" xr:uid="{24B4A216-9AE2-4340-B59C-380ECF8C5221}"/>
    <cellStyle name="Millares 9" xfId="87" xr:uid="{00000000-0005-0000-0000-0000BA020000}"/>
    <cellStyle name="Millares 9 10" xfId="35899" xr:uid="{F13B5EA1-3177-4EEC-AB64-F16C79989DB9}"/>
    <cellStyle name="Millares 9 11" xfId="42127" xr:uid="{C8EFFE3D-BC5C-43EF-B80A-CE0DD532D36A}"/>
    <cellStyle name="Millares 9 12" xfId="50210" xr:uid="{F29FEFA1-ED9E-49C8-91FA-070FE0991769}"/>
    <cellStyle name="Millares 9 13" xfId="50284" xr:uid="{7A3848F3-70CB-41EE-A4DA-2BC58DAF854D}"/>
    <cellStyle name="Millares 9 2" xfId="121" xr:uid="{00000000-0005-0000-0000-0000BB020000}"/>
    <cellStyle name="Millares 9 2 10" xfId="46976" xr:uid="{51776373-2972-4884-9AF2-266CA6F205C6}"/>
    <cellStyle name="Millares 9 2 11" xfId="50356" xr:uid="{F54AB833-399F-4E34-949E-65850C1C1A75}"/>
    <cellStyle name="Millares 9 2 2" xfId="4579" xr:uid="{A733E025-1F8A-4967-B224-2A9D9D33A9FD}"/>
    <cellStyle name="Millares 9 2 2 2" xfId="5547" xr:uid="{658EC662-C5A7-45FA-9A92-1D0350747DF7}"/>
    <cellStyle name="Millares 9 2 2 2 2" xfId="8414" xr:uid="{2E6AF5D6-7EEB-4571-B77C-77DF6C6EC54B}"/>
    <cellStyle name="Millares 9 2 2 2 2 2" xfId="22789" xr:uid="{6D431FAD-3F97-4F4A-B18B-6D9D1E1BFFA6}"/>
    <cellStyle name="Millares 9 2 2 2 2 3" xfId="28647" xr:uid="{696912A9-1BED-41B1-8B56-927EBAEAA99D}"/>
    <cellStyle name="Millares 9 2 2 2 2 4" xfId="34529" xr:uid="{39CB60FF-917D-4874-B19E-95A0216DD6F9}"/>
    <cellStyle name="Millares 9 2 2 2 2 5" xfId="40393" xr:uid="{159D75A4-944C-4A65-BBF7-5A729A2E509F}"/>
    <cellStyle name="Millares 9 2 2 2 3" xfId="20007" xr:uid="{82F3D996-B6D8-4A4E-85E1-48413631D676}"/>
    <cellStyle name="Millares 9 2 2 2 4" xfId="25798" xr:uid="{08F381E0-528F-4A4D-A138-D9A7C3CF106D}"/>
    <cellStyle name="Millares 9 2 2 2 5" xfId="31672" xr:uid="{65726DD2-BD17-4A52-9D9E-FBE26F6C3C72}"/>
    <cellStyle name="Millares 9 2 2 2 6" xfId="37542" xr:uid="{23573F1B-2905-41BE-B412-9AA1831972A2}"/>
    <cellStyle name="Millares 9 2 2 2 7" xfId="47314" xr:uid="{403CB220-2289-4213-B2BA-8F5DACA5EB0A}"/>
    <cellStyle name="Millares 9 2 2 3" xfId="7442" xr:uid="{0DD7B650-DC8B-48E2-8B6D-A407DF47AD2C}"/>
    <cellStyle name="Millares 9 2 2 3 2" xfId="21844" xr:uid="{975C4DE9-ABA6-4CE6-A104-0102DF91DD18}"/>
    <cellStyle name="Millares 9 2 2 3 3" xfId="27676" xr:uid="{2CEB94E8-B62F-4E53-A81C-94311DAD1416}"/>
    <cellStyle name="Millares 9 2 2 3 4" xfId="33558" xr:uid="{BA78265E-3556-45E9-A962-D537EC9540AF}"/>
    <cellStyle name="Millares 9 2 2 3 5" xfId="39422" xr:uid="{9856B972-636C-452E-BDA3-73958AA2610A}"/>
    <cellStyle name="Millares 9 2 2 3 6" xfId="47226" xr:uid="{89A03FE8-F225-44B1-8A48-7F881AC1489F}"/>
    <cellStyle name="Millares 9 2 2 4" xfId="19074" xr:uid="{2F3DF381-164E-40D2-9EE1-2B19D4618689}"/>
    <cellStyle name="Millares 9 2 2 5" xfId="24827" xr:uid="{7D3C31B3-95CC-4910-9F03-B50CFA577ABF}"/>
    <cellStyle name="Millares 9 2 2 6" xfId="30704" xr:uid="{11019DD4-6432-4A83-A9DB-F570433F60DD}"/>
    <cellStyle name="Millares 9 2 2 7" xfId="36585" xr:uid="{1A9BD035-D3C3-4F10-8226-0C1A036567F6}"/>
    <cellStyle name="Millares 9 2 2 8" xfId="46977" xr:uid="{ED3A7915-7540-4D2C-BA22-96D1633E176E}"/>
    <cellStyle name="Millares 9 2 3" xfId="5062" xr:uid="{E76C2359-E613-4150-9072-77440984A0D2}"/>
    <cellStyle name="Millares 9 2 3 2" xfId="7929" xr:uid="{58AFCBBF-B257-429C-B095-E71C203D029B}"/>
    <cellStyle name="Millares 9 2 3 2 2" xfId="22314" xr:uid="{CB490EBA-B7F5-4CD6-AAF7-6475BBDBC3CF}"/>
    <cellStyle name="Millares 9 2 3 2 3" xfId="28162" xr:uid="{F4CDA105-7349-4344-9A5A-E3684C0F3ED7}"/>
    <cellStyle name="Millares 9 2 3 2 4" xfId="34044" xr:uid="{4B88E214-9DD9-41B0-849D-407FE230C3E8}"/>
    <cellStyle name="Millares 9 2 3 2 5" xfId="39908" xr:uid="{476624A1-C215-45D1-87AA-E170250A7ED1}"/>
    <cellStyle name="Millares 9 2 3 3" xfId="19539" xr:uid="{E004E0A6-70D7-4A57-AA0F-84F60F9BEE33}"/>
    <cellStyle name="Millares 9 2 3 4" xfId="25313" xr:uid="{D1B7C5A4-98A4-46BA-89C3-70D4320DE023}"/>
    <cellStyle name="Millares 9 2 3 5" xfId="31187" xr:uid="{4D0A7BAE-F4C6-4202-B3BA-C500C5A479FD}"/>
    <cellStyle name="Millares 9 2 3 6" xfId="37065" xr:uid="{9E165FBD-2538-447E-9890-AFA4D68D0324}"/>
    <cellStyle name="Millares 9 2 3 7" xfId="46978" xr:uid="{EC6845E4-37AC-4D61-A0CC-0C28D157AD51}"/>
    <cellStyle name="Millares 9 2 4" xfId="6957" xr:uid="{AC8F23D8-8952-49F4-AD93-6264CBCF087E}"/>
    <cellStyle name="Millares 9 2 4 2" xfId="21376" xr:uid="{79996DAB-8B5A-4E47-9C76-914BC6D1258F}"/>
    <cellStyle name="Millares 9 2 4 3" xfId="27195" xr:uid="{0730EC61-3CCA-4ADE-AF9B-65ED0533B068}"/>
    <cellStyle name="Millares 9 2 4 4" xfId="33073" xr:uid="{30331A61-37E3-4B46-A337-57B5FA4D208B}"/>
    <cellStyle name="Millares 9 2 4 5" xfId="38937" xr:uid="{90DED876-F174-4A17-8A55-1F47EC5249A9}"/>
    <cellStyle name="Millares 9 2 4 6" xfId="47271" xr:uid="{8612A8BF-0A63-4746-8298-41E6F5E590D8}"/>
    <cellStyle name="Millares 9 2 5" xfId="4101" xr:uid="{DA7F865D-6C2B-4ACB-914B-D92463282EBA}"/>
    <cellStyle name="Millares 9 2 5 2" xfId="47133" xr:uid="{9BD54C6A-DB63-4504-BBDB-E9484CB597DE}"/>
    <cellStyle name="Millares 9 2 6" xfId="24344" xr:uid="{4444CF2C-25F1-42AC-AC3B-11167B7CCE5B}"/>
    <cellStyle name="Millares 9 2 7" xfId="30222" xr:uid="{F02A5079-7F50-476F-B57F-60C186B93FA4}"/>
    <cellStyle name="Millares 9 2 8" xfId="36101" xr:uid="{9DA727C9-55A3-4A55-9C94-7B5DB79A3D01}"/>
    <cellStyle name="Millares 9 2 9" xfId="42343" xr:uid="{07BCF57F-E359-49C6-A5CA-2D46DBF63F77}"/>
    <cellStyle name="Millares 9 3" xfId="1899" xr:uid="{00000000-0005-0000-0000-0000BC020000}"/>
    <cellStyle name="Millares 9 3 2" xfId="5351" xr:uid="{3F85355B-09B8-4B18-B3F5-B54CBB204F02}"/>
    <cellStyle name="Millares 9 3 2 2" xfId="8218" xr:uid="{2A7F50F6-EB33-4544-A2AC-446F08EA9078}"/>
    <cellStyle name="Millares 9 3 2 2 2" xfId="22594" xr:uid="{E2F58EB8-3325-477F-98CE-F0119FB9F545}"/>
    <cellStyle name="Millares 9 3 2 2 3" xfId="28451" xr:uid="{76FDE1CB-AFE1-406E-AE07-1A675D905037}"/>
    <cellStyle name="Millares 9 3 2 2 4" xfId="34333" xr:uid="{649F2742-389A-4319-BCAF-F78D22D97855}"/>
    <cellStyle name="Millares 9 3 2 2 5" xfId="40197" xr:uid="{6E7B77C4-567D-4E46-8C93-BA9AD3229668}"/>
    <cellStyle name="Millares 9 3 2 2 6" xfId="47298" xr:uid="{EEE99BD7-3F64-453C-A3C6-2939C865F391}"/>
    <cellStyle name="Millares 9 3 2 3" xfId="19818" xr:uid="{3E84AE12-36CB-48E9-B8B2-7162F247732E}"/>
    <cellStyle name="Millares 9 3 2 3 2" xfId="47210" xr:uid="{578D6077-2E61-49F3-A049-2604AD857186}"/>
    <cellStyle name="Millares 9 3 2 4" xfId="25602" xr:uid="{AF9C38EF-75EF-4A9C-B08C-544FE8009D64}"/>
    <cellStyle name="Millares 9 3 2 5" xfId="31476" xr:uid="{F047610A-240B-4EED-A85C-076259FD1AE1}"/>
    <cellStyle name="Millares 9 3 2 6" xfId="37347" xr:uid="{CEEA0E9F-9FBE-4F74-B7F8-322A76A44AA1}"/>
    <cellStyle name="Millares 9 3 2 7" xfId="46979" xr:uid="{F86625C5-7D46-4EAC-9D1F-3F6361D56331}"/>
    <cellStyle name="Millares 9 3 3" xfId="7246" xr:uid="{E0E4D66D-4896-44EE-B4CC-A80CBF167CCD}"/>
    <cellStyle name="Millares 9 3 3 2" xfId="21653" xr:uid="{F2F13A4A-8B97-435C-B48E-215778BF86FF}"/>
    <cellStyle name="Millares 9 3 3 3" xfId="27480" xr:uid="{56A2C9FA-110D-4639-9772-B8425404EC76}"/>
    <cellStyle name="Millares 9 3 3 4" xfId="33362" xr:uid="{670ADB9C-978A-44D0-AB0A-75A6E131C748}"/>
    <cellStyle name="Millares 9 3 3 5" xfId="39226" xr:uid="{184DE4CC-ECF6-4ED3-A0E5-5FCB2CD83DA8}"/>
    <cellStyle name="Millares 9 3 4" xfId="4385" xr:uid="{FFC24375-A395-4A62-BE2F-F7DDE7160E02}"/>
    <cellStyle name="Millares 9 3 5" xfId="24631" xr:uid="{C2DE7BF2-C639-4DBC-A983-27D6A0CC8855}"/>
    <cellStyle name="Millares 9 3 6" xfId="30510" xr:uid="{3700BC88-309E-405E-952B-89B0AF42A50E}"/>
    <cellStyle name="Millares 9 3 7" xfId="36390" xr:uid="{CF4C5CEB-0BCD-462E-AEB5-98133E2C3E6B}"/>
    <cellStyle name="Millares 9 3 8" xfId="46980" xr:uid="{72575BFC-1628-4583-A907-CC2A1306499A}"/>
    <cellStyle name="Millares 9 3 9" xfId="47054" xr:uid="{A7D26EFC-E490-46D1-9883-907F74AB0538}"/>
    <cellStyle name="Millares 9 4" xfId="3343" xr:uid="{AE77D0DA-87EF-4907-A796-93166EDA2EAE}"/>
    <cellStyle name="Millares 9 4 2" xfId="7733" xr:uid="{DA397AFA-6317-4F9F-A00F-9BA899CBE518}"/>
    <cellStyle name="Millares 9 4 2 2" xfId="22123" xr:uid="{9C447809-35B6-4DB7-A5D5-E9AFAB60AD60}"/>
    <cellStyle name="Millares 9 4 2 3" xfId="27966" xr:uid="{339A80A7-D370-4899-AD62-9373BAE4E091}"/>
    <cellStyle name="Millares 9 4 2 4" xfId="33848" xr:uid="{188A5FF0-2A95-4DDC-B924-74E1CF0E2ECB}"/>
    <cellStyle name="Millares 9 4 2 5" xfId="39712" xr:uid="{D9310FCF-47FD-4356-BEC7-ABC90F4D088B}"/>
    <cellStyle name="Millares 9 4 3" xfId="19349" xr:uid="{8219B21A-9A74-491C-A58D-B5875E9BC71E}"/>
    <cellStyle name="Millares 9 4 4" xfId="25117" xr:uid="{3663B5BB-3C26-4D2C-8684-4721A089162F}"/>
    <cellStyle name="Millares 9 4 5" xfId="30991" xr:uid="{2AD2E6CD-605C-4429-A7BC-6E332CBC0800}"/>
    <cellStyle name="Millares 9 4 6" xfId="36870" xr:uid="{8BDF74DA-D1CD-4E94-899D-0E728F1872BD}"/>
    <cellStyle name="Millares 9 4 7" xfId="46981" xr:uid="{CCBBB8AF-53FB-4883-9E6A-B43E0D4983C7}"/>
    <cellStyle name="Millares 9 4 8" xfId="47059" xr:uid="{4A5E0DC5-0805-4DA3-809C-E2300A8DB3DA}"/>
    <cellStyle name="Millares 9 5" xfId="3398" xr:uid="{CDFA03F5-2BCA-428E-BC6F-0DE6A1725C43}"/>
    <cellStyle name="Millares 9 5 2" xfId="8745" xr:uid="{C340056B-0B1A-4BF7-A2D6-A7C7CC29E944}"/>
    <cellStyle name="Millares 9 5 2 2" xfId="23113" xr:uid="{AEB39A7A-137A-4740-B39D-442F095E1B05}"/>
    <cellStyle name="Millares 9 5 2 3" xfId="28977" xr:uid="{24B0D088-6EB2-4E50-9AF0-35942D94A119}"/>
    <cellStyle name="Millares 9 5 2 4" xfId="34859" xr:uid="{1598A49F-7D5F-4B64-A033-214D3E890861}"/>
    <cellStyle name="Millares 9 5 2 5" xfId="40723" xr:uid="{A16FA7F2-2363-48D1-8A9C-F9D645402E49}"/>
    <cellStyle name="Millares 9 5 2 6" xfId="46799" xr:uid="{F8644B98-FA7A-4DA8-A3BD-4E7D6364BC9E}"/>
    <cellStyle name="Millares 9 5 3" xfId="5876" xr:uid="{9E300267-F1BC-48C7-87DD-75802A3213A3}"/>
    <cellStyle name="Millares 9 5 3 2" xfId="47194" xr:uid="{25D6FD1C-54A0-4CA7-B491-65372B0C17BF}"/>
    <cellStyle name="Millares 9 5 4" xfId="11639" xr:uid="{97E89FA0-A2EB-40B9-9769-3FAF41849E39}"/>
    <cellStyle name="Millares 9 5 4 2" xfId="26127" xr:uid="{3A70E1CC-084C-4A2A-B7AB-547D3F15B9FA}"/>
    <cellStyle name="Millares 9 5 5" xfId="14479" xr:uid="{841F2318-DD6F-4A37-8D00-FEA9E6DAE850}"/>
    <cellStyle name="Millares 9 5 5 2" xfId="32002" xr:uid="{42A24E48-131E-4C4D-9DA5-0D5E83D60C62}"/>
    <cellStyle name="Millares 9 5 6" xfId="37868" xr:uid="{4BC52573-A596-4231-8FF4-D0CE52DB5B08}"/>
    <cellStyle name="Millares 9 5 7" xfId="44403" xr:uid="{2CEB858E-E71B-4740-8492-8DFA72E1DCC5}"/>
    <cellStyle name="Millares 9 5 8" xfId="49296" xr:uid="{1C9C31E3-5E0C-411D-A520-52A07DEC4D54}"/>
    <cellStyle name="Millares 9 6" xfId="6762" xr:uid="{0BB2C56B-9541-42F3-8253-C5386C1370AF}"/>
    <cellStyle name="Millares 9 6 2" xfId="21186" xr:uid="{A3B179D1-488A-475E-8BBC-FBFB070BAF0D}"/>
    <cellStyle name="Millares 9 6 3" xfId="27001" xr:uid="{9BEF9A4E-C72D-460C-AA7D-B93A95AF3AC6}"/>
    <cellStyle name="Millares 9 6 4" xfId="32877" xr:uid="{CD7AA58F-60A5-457F-A8FB-512DFBAE6D53}"/>
    <cellStyle name="Millares 9 6 5" xfId="38741" xr:uid="{9AD8E92C-A043-4AE8-B58A-1F75BD265BC3}"/>
    <cellStyle name="Millares 9 6 6" xfId="46982" xr:uid="{5752C7A9-6074-4182-B2B4-F0EFC5B145ED}"/>
    <cellStyle name="Millares 9 7" xfId="18431" xr:uid="{152A0E93-1F1C-4424-B86B-037F66246B6F}"/>
    <cellStyle name="Millares 9 7 2" xfId="47248" xr:uid="{B9EABC64-F372-4DF0-9192-EDD229D6FD1D}"/>
    <cellStyle name="Millares 9 8" xfId="24140" xr:uid="{3961AD10-5750-47EE-8CEA-1B1CBE44777B}"/>
    <cellStyle name="Millares 9 8 2" xfId="47109" xr:uid="{F8C746C9-9A4D-4CC5-A5E2-E0B853E03115}"/>
    <cellStyle name="Millares 9 9" xfId="30018" xr:uid="{FFB6AC4A-83AD-4387-BE26-127B2A85D73B}"/>
    <cellStyle name="Millares 90" xfId="9591" xr:uid="{62D1D7F2-DAE9-49BE-954D-DFC11887838B}"/>
    <cellStyle name="Millares 90 2" xfId="23951" xr:uid="{AD33ABC6-B821-4647-A45B-01BB74C91125}"/>
    <cellStyle name="Millares 90 3" xfId="29821" xr:uid="{34F56951-529F-4CE1-865F-C769E88EC0D0}"/>
    <cellStyle name="Millares 90 4" xfId="35703" xr:uid="{47CB0A3E-1184-446D-B5E8-048FB1242E7A}"/>
    <cellStyle name="Millares 90 5" xfId="41562" xr:uid="{3ECC5FB8-94D2-41E3-B0E2-D080A6229DC4}"/>
    <cellStyle name="Millares 91" xfId="9592" xr:uid="{7520FFCB-FDAC-433D-AF9D-AC1ED6A32524}"/>
    <cellStyle name="Millares 91 2" xfId="23952" xr:uid="{DDA7B406-46E0-4CE7-94B3-34F2AC3F3ADC}"/>
    <cellStyle name="Millares 91 3" xfId="29822" xr:uid="{D8C39EA5-556E-460B-9EBC-E28BD3170C33}"/>
    <cellStyle name="Millares 91 4" xfId="35704" xr:uid="{549AD76F-BAA4-4CA0-A342-0A47FF61154C}"/>
    <cellStyle name="Millares 91 5" xfId="41563" xr:uid="{F3CA52DC-C82A-449F-BD85-1E10C7EAE8E2}"/>
    <cellStyle name="Millares 92" xfId="9593" xr:uid="{8A3C65C8-4FE0-4BE0-8F32-702B5510D321}"/>
    <cellStyle name="Millares 92 2" xfId="23953" xr:uid="{46F472D7-9AD5-4B88-92EB-DF585A163685}"/>
    <cellStyle name="Millares 92 3" xfId="29823" xr:uid="{8AFED7F5-4A29-4121-A16A-DC6AFE41863F}"/>
    <cellStyle name="Millares 92 4" xfId="35705" xr:uid="{99DF1CCB-5FB1-40A5-A605-0FF1DCA9221C}"/>
    <cellStyle name="Millares 92 5" xfId="41564" xr:uid="{510B7EEC-95A8-43E0-9E07-E0AE3207085D}"/>
    <cellStyle name="Millares 93" xfId="9594" xr:uid="{D6765760-2952-4A62-B179-794B7D360094}"/>
    <cellStyle name="Millares 93 2" xfId="23954" xr:uid="{D57CCCF9-3295-4FA1-9EE5-383F5586C521}"/>
    <cellStyle name="Millares 93 3" xfId="29824" xr:uid="{0576C803-9F35-4516-88BF-14B16F868EF9}"/>
    <cellStyle name="Millares 93 4" xfId="35706" xr:uid="{968A5C65-916B-4AEF-91AC-6B822F0CFB6A}"/>
    <cellStyle name="Millares 93 5" xfId="41565" xr:uid="{88A6AE69-9561-4DAC-855B-DA94947DCEC6}"/>
    <cellStyle name="Millares 94" xfId="9595" xr:uid="{F6769A8F-DB61-4BF1-BB3D-D3FC9C392099}"/>
    <cellStyle name="Millares 94 2" xfId="23955" xr:uid="{5C394B52-CD27-4A00-8A26-F30EAA55BB0D}"/>
    <cellStyle name="Millares 94 3" xfId="29825" xr:uid="{083A2D3C-9E59-4007-8F53-13F52C43B197}"/>
    <cellStyle name="Millares 94 4" xfId="35707" xr:uid="{F0B0D192-A8CD-4226-983A-9EBE53765220}"/>
    <cellStyle name="Millares 94 5" xfId="41566" xr:uid="{3AA1560E-69FC-4BC8-9533-F732CA96032A}"/>
    <cellStyle name="Millares 95" xfId="9596" xr:uid="{55B448FE-C311-4B90-B727-D208BDA97434}"/>
    <cellStyle name="Millares 95 2" xfId="23956" xr:uid="{D04F8895-5332-47A6-946C-79C3F2F1589E}"/>
    <cellStyle name="Millares 95 3" xfId="29826" xr:uid="{76B3C679-324C-413E-BED8-215FF3D51B0E}"/>
    <cellStyle name="Millares 95 4" xfId="35708" xr:uid="{1C9D6881-59BA-43EC-8AD6-A57EAD4C111D}"/>
    <cellStyle name="Millares 95 5" xfId="41567" xr:uid="{7C0322C2-7B53-4E7C-86D7-BF4BFE9CAC2B}"/>
    <cellStyle name="Millares 96" xfId="9597" xr:uid="{EC67CD2B-8FDE-49FF-828F-D8D185A67076}"/>
    <cellStyle name="Millares 96 2" xfId="23957" xr:uid="{24B60465-D1A8-46F5-B096-70056DD51512}"/>
    <cellStyle name="Millares 96 3" xfId="29827" xr:uid="{6630496E-553A-49D3-80FB-8E0F7D2989E5}"/>
    <cellStyle name="Millares 96 4" xfId="35709" xr:uid="{0BCEEF63-CC04-4042-A100-C719B371F6C5}"/>
    <cellStyle name="Millares 96 5" xfId="41568" xr:uid="{3D14099E-231E-44DF-A661-2EC0EAB79EE2}"/>
    <cellStyle name="Millares 97" xfId="9598" xr:uid="{9A12FC76-4E32-4504-8009-A1A7CE5B182E}"/>
    <cellStyle name="Millares 97 2" xfId="23958" xr:uid="{9F245D46-13D5-4B1A-BDB8-C1B3CBC4AD91}"/>
    <cellStyle name="Millares 97 3" xfId="29828" xr:uid="{3794E774-A4B2-4490-8C4B-10CD3FDA43D5}"/>
    <cellStyle name="Millares 97 4" xfId="35710" xr:uid="{F56119D6-051E-4FE8-AEBC-85E441935A1F}"/>
    <cellStyle name="Millares 97 5" xfId="41569" xr:uid="{F8D7F108-B8AE-476C-86D3-AF8D58E6052B}"/>
    <cellStyle name="Millares 98" xfId="9599" xr:uid="{C3FA4B05-EE24-4173-A544-571A25426531}"/>
    <cellStyle name="Millares 98 2" xfId="23959" xr:uid="{9DDB28EE-EE51-475D-B5C5-EE358CCBE0CF}"/>
    <cellStyle name="Millares 98 3" xfId="29829" xr:uid="{AA693EC6-4F7E-400B-B278-EEC639AE59B3}"/>
    <cellStyle name="Millares 98 4" xfId="35711" xr:uid="{0303EC47-5B4E-4B7F-AB69-2D44587682F3}"/>
    <cellStyle name="Millares 98 5" xfId="41570" xr:uid="{147971C2-2691-4E95-868B-75A158DE8D96}"/>
    <cellStyle name="Millares 99" xfId="9600" xr:uid="{EBA1C70C-A9FE-4CFC-B1F4-1253B136B974}"/>
    <cellStyle name="Millares 99 2" xfId="23960" xr:uid="{41D61D51-7222-4F4D-8101-DE9325940956}"/>
    <cellStyle name="Millares 99 3" xfId="29830" xr:uid="{4434B78B-E064-498D-9C41-BEE8A6AC23C0}"/>
    <cellStyle name="Millares 99 4" xfId="35712" xr:uid="{E6AA6107-0159-4869-963C-FA1447A2F141}"/>
    <cellStyle name="Millares 99 5" xfId="41571" xr:uid="{343D0256-D533-4EFB-98E5-11ACDBDDEBD2}"/>
    <cellStyle name="Moneda [0]" xfId="42434" builtinId="7"/>
    <cellStyle name="Moneda 2" xfId="42344" xr:uid="{CDED4AD9-AB08-4A4E-B385-4D4D6A93EA00}"/>
    <cellStyle name="Neutral" xfId="8" builtinId="28" customBuiltin="1"/>
    <cellStyle name="Neutral 2" xfId="324" xr:uid="{00000000-0005-0000-0000-0000BE020000}"/>
    <cellStyle name="Neutral 2 2" xfId="3348" xr:uid="{7D6BC822-716A-46E7-A71A-A20116F60F5C}"/>
    <cellStyle name="Neutral 2 3" xfId="46983" xr:uid="{BBF01010-B420-4DF2-8B55-A67BAE2F4CA3}"/>
    <cellStyle name="Neutral 3" xfId="6443" xr:uid="{A28A0254-367B-4ECA-87B3-11880050AB35}"/>
    <cellStyle name="Normal" xfId="0" builtinId="0"/>
    <cellStyle name="Normal 10" xfId="86" xr:uid="{00000000-0005-0000-0000-0000C0020000}"/>
    <cellStyle name="Normal 10 10" xfId="670" xr:uid="{00000000-0005-0000-0000-0000C1020000}"/>
    <cellStyle name="Normal 10 10 2 2 2" xfId="1875" xr:uid="{00000000-0005-0000-0000-0000C2020000}"/>
    <cellStyle name="Normal 10 11" xfId="671" xr:uid="{00000000-0005-0000-0000-0000C3020000}"/>
    <cellStyle name="Normal 10 12" xfId="672" xr:uid="{00000000-0005-0000-0000-0000C4020000}"/>
    <cellStyle name="Normal 10 2" xfId="673" xr:uid="{00000000-0005-0000-0000-0000C5020000}"/>
    <cellStyle name="Normal 10 2 2" xfId="674" xr:uid="{00000000-0005-0000-0000-0000C6020000}"/>
    <cellStyle name="Normal 10 2 2 2" xfId="5591" xr:uid="{FA259B8B-0303-4765-A607-F275425B90EA}"/>
    <cellStyle name="Normal 10 2 2 2 2" xfId="8458" xr:uid="{2B141DEF-4540-4D81-BF99-226EEFB83BCA}"/>
    <cellStyle name="Normal 10 2 2 2 2 2" xfId="22833" xr:uid="{60E09CEE-226A-434E-9D01-470FEA66DDDA}"/>
    <cellStyle name="Normal 10 2 2 2 2 3" xfId="28691" xr:uid="{8670EB3A-8018-4635-9717-526BDB763525}"/>
    <cellStyle name="Normal 10 2 2 2 2 4" xfId="34573" xr:uid="{AA504803-6F9B-4CC7-82D4-425E5F6189B7}"/>
    <cellStyle name="Normal 10 2 2 2 2 5" xfId="40437" xr:uid="{A41D5A0D-54D4-42D1-B97B-B6DC36157F04}"/>
    <cellStyle name="Normal 10 2 2 2 3" xfId="20051" xr:uid="{1B6EC42B-8869-4D0F-90CA-3BF427E7798E}"/>
    <cellStyle name="Normal 10 2 2 2 4" xfId="25842" xr:uid="{5C405787-045C-4BE4-A62D-403865AFE8D9}"/>
    <cellStyle name="Normal 10 2 2 2 5" xfId="31716" xr:uid="{B66D2E35-12F7-436F-BB7E-B526D9E90342}"/>
    <cellStyle name="Normal 10 2 2 2 6" xfId="37586" xr:uid="{4F3A09DE-80E2-438F-BAAF-A977DB6738F5}"/>
    <cellStyle name="Normal 10 2 2 2 7" xfId="42345" xr:uid="{6B8DC133-84CE-417E-B2FC-94BC0923D68E}"/>
    <cellStyle name="Normal 10 2 2 3" xfId="7486" xr:uid="{46CA4D95-54EB-4CD6-A458-CD29FACD7F5B}"/>
    <cellStyle name="Normal 10 2 2 3 2" xfId="21888" xr:uid="{E3E64F67-C7A5-4BBB-92C3-16B2E8A85ADA}"/>
    <cellStyle name="Normal 10 2 2 3 3" xfId="27720" xr:uid="{99ABDF10-3588-405E-A1B8-444784032D86}"/>
    <cellStyle name="Normal 10 2 2 3 4" xfId="33602" xr:uid="{B79FA40F-3B7D-4860-97C0-8B0BD82739F5}"/>
    <cellStyle name="Normal 10 2 2 3 5" xfId="39466" xr:uid="{8A2AD6EE-CC09-4475-8CC3-310AAB164757}"/>
    <cellStyle name="Normal 10 2 2 4" xfId="4623" xr:uid="{2FDA7F3F-2FCC-4553-A5FE-58B18F3D60E6}"/>
    <cellStyle name="Normal 10 2 2 5" xfId="24871" xr:uid="{2E0702AA-48C9-4FAC-BD56-3EEB71A1B3DC}"/>
    <cellStyle name="Normal 10 2 2 6" xfId="30748" xr:uid="{E379EAC5-42C3-472F-A7C3-F82F03836DC7}"/>
    <cellStyle name="Normal 10 2 2 7" xfId="36629" xr:uid="{C930FD6C-05F3-4FEF-A8CB-0C0DDCD198BA}"/>
    <cellStyle name="Normal 10 2 3" xfId="675" xr:uid="{00000000-0005-0000-0000-0000C7020000}"/>
    <cellStyle name="Normal 10 2 3 2" xfId="7973" xr:uid="{B303995C-C4CC-4261-B175-70503128C4BF}"/>
    <cellStyle name="Normal 10 2 3 2 2" xfId="22358" xr:uid="{2BE407EC-2CDD-418F-BA15-A058122B4D47}"/>
    <cellStyle name="Normal 10 2 3 2 3" xfId="28206" xr:uid="{FD77F12E-0BB0-419A-9651-10C0DA7252A5}"/>
    <cellStyle name="Normal 10 2 3 2 4" xfId="34088" xr:uid="{6D3883F2-DEB4-4D65-A9E6-BD650161DA2B}"/>
    <cellStyle name="Normal 10 2 3 2 5" xfId="39952" xr:uid="{3A37D0BE-CD9D-4DD1-8B39-9F5FC3CA39C2}"/>
    <cellStyle name="Normal 10 2 3 3" xfId="5106" xr:uid="{5BB1D42F-518D-4E86-A491-CF92CEE38852}"/>
    <cellStyle name="Normal 10 2 3 4" xfId="25357" xr:uid="{987F24F9-4937-48F5-9163-A0975D6BC5C9}"/>
    <cellStyle name="Normal 10 2 3 5" xfId="31231" xr:uid="{99A821B6-1262-415A-9C2F-DA420482D973}"/>
    <cellStyle name="Normal 10 2 3 6" xfId="37109" xr:uid="{F689A866-C05D-415C-8DCB-F85FBBFAE8DB}"/>
    <cellStyle name="Normal 10 2 4" xfId="676" xr:uid="{00000000-0005-0000-0000-0000C8020000}"/>
    <cellStyle name="Normal 10 2 4 2" xfId="7001" xr:uid="{F828425A-6DB3-4FD4-9F31-FDA32A92623F}"/>
    <cellStyle name="Normal 10 2 4 3" xfId="27239" xr:uid="{9B614FA8-06F7-4057-879F-B8E724937AA9}"/>
    <cellStyle name="Normal 10 2 4 4" xfId="33117" xr:uid="{9B30F1EF-1E9C-4BAC-9032-BEC832DCF222}"/>
    <cellStyle name="Normal 10 2 4 5" xfId="38981" xr:uid="{D8718417-F9FC-432E-9492-DCB057D0363B}"/>
    <cellStyle name="Normal 10 2 5" xfId="677" xr:uid="{00000000-0005-0000-0000-0000C9020000}"/>
    <cellStyle name="Normal 10 2 5 2" xfId="18673" xr:uid="{57D1E8FF-868D-431A-B215-5F6691CAF654}"/>
    <cellStyle name="Normal 10 2 6" xfId="678" xr:uid="{00000000-0005-0000-0000-0000CA020000}"/>
    <cellStyle name="Normal 10 2 6 2" xfId="24388" xr:uid="{226352E0-106C-43E0-9160-CCF21D762374}"/>
    <cellStyle name="Normal 10 2 7" xfId="679" xr:uid="{00000000-0005-0000-0000-0000CB020000}"/>
    <cellStyle name="Normal 10 2 7 2" xfId="30266" xr:uid="{8600A763-BEA0-4F5F-BBFC-1FD6146174CB}"/>
    <cellStyle name="Normal 10 2 8" xfId="680" xr:uid="{00000000-0005-0000-0000-0000CC020000}"/>
    <cellStyle name="Normal 10 2 8 2" xfId="36145" xr:uid="{E54CF60E-86E1-4841-96B1-DDD0DD4B5845}"/>
    <cellStyle name="Normal 10 2 9" xfId="4145" xr:uid="{BB7CB927-3EFA-4BCB-8FAB-60748A71B0C3}"/>
    <cellStyle name="Normal 10 3" xfId="681" xr:uid="{00000000-0005-0000-0000-0000CD020000}"/>
    <cellStyle name="Normal 10 3 2" xfId="682" xr:uid="{00000000-0005-0000-0000-0000CE020000}"/>
    <cellStyle name="Normal 10 3 2 2" xfId="8262" xr:uid="{C3B98D73-41A2-4A15-A960-FC6C83DF5205}"/>
    <cellStyle name="Normal 10 3 2 2 2" xfId="22638" xr:uid="{3DE991EA-8E8E-4E4F-A172-7CA48BFAD70A}"/>
    <cellStyle name="Normal 10 3 2 2 3" xfId="28495" xr:uid="{345ED3DB-3507-4793-9B7B-750004A9675E}"/>
    <cellStyle name="Normal 10 3 2 2 4" xfId="34377" xr:uid="{17C4B6E6-D22F-42A5-8D11-E5A96BBCE4AD}"/>
    <cellStyle name="Normal 10 3 2 2 5" xfId="40241" xr:uid="{33657D23-A3F4-45F2-A308-9DAD49E37BB5}"/>
    <cellStyle name="Normal 10 3 2 3" xfId="5395" xr:uid="{D1B23A0B-7612-47F0-ABB7-8004CA270F11}"/>
    <cellStyle name="Normal 10 3 2 4" xfId="25646" xr:uid="{4E3D55DC-29DD-44CE-BC77-633F5751FD56}"/>
    <cellStyle name="Normal 10 3 2 5" xfId="31520" xr:uid="{3F8A87A8-A0A2-4709-942D-9C3D625C21C1}"/>
    <cellStyle name="Normal 10 3 2 6" xfId="37391" xr:uid="{6DF6717B-88E1-468D-93E3-3BECAB1D1190}"/>
    <cellStyle name="Normal 10 3 3" xfId="683" xr:uid="{00000000-0005-0000-0000-0000CF020000}"/>
    <cellStyle name="Normal 10 3 3 2" xfId="7290" xr:uid="{E62AF051-C96E-47A3-BBC4-054407739052}"/>
    <cellStyle name="Normal 10 3 3 3" xfId="27524" xr:uid="{352ECFDC-9A72-40DE-9137-1206623749A5}"/>
    <cellStyle name="Normal 10 3 3 4" xfId="33406" xr:uid="{FF766E3E-D8E8-4EA2-92B5-8550747BBC29}"/>
    <cellStyle name="Normal 10 3 3 5" xfId="39270" xr:uid="{DC837D0E-6C60-4694-951D-1C19C8D85A9F}"/>
    <cellStyle name="Normal 10 3 4" xfId="684" xr:uid="{00000000-0005-0000-0000-0000D0020000}"/>
    <cellStyle name="Normal 10 3 4 2" xfId="18931" xr:uid="{61F8DEE9-9F15-4997-BAD2-674EB04F1C03}"/>
    <cellStyle name="Normal 10 3 5" xfId="685" xr:uid="{00000000-0005-0000-0000-0000D1020000}"/>
    <cellStyle name="Normal 10 3 5 2" xfId="24675" xr:uid="{591357F3-06CC-447E-9B54-5EDE46BDDB01}"/>
    <cellStyle name="Normal 10 3 6" xfId="686" xr:uid="{00000000-0005-0000-0000-0000D2020000}"/>
    <cellStyle name="Normal 10 3 6 2" xfId="30554" xr:uid="{44303AA4-F9BB-43C8-BF32-2BD252511459}"/>
    <cellStyle name="Normal 10 3 7" xfId="687" xr:uid="{00000000-0005-0000-0000-0000D3020000}"/>
    <cellStyle name="Normal 10 3 7 2" xfId="36434" xr:uid="{B7EC56B4-9ED9-43B9-AC27-C91B2DB1B5CF}"/>
    <cellStyle name="Normal 10 3 8" xfId="688" xr:uid="{00000000-0005-0000-0000-0000D4020000}"/>
    <cellStyle name="Normal 10 3 9" xfId="4428" xr:uid="{FBF2E08C-9739-42FE-947E-A599E9CD1CB7}"/>
    <cellStyle name="Normal 10 4" xfId="689" xr:uid="{00000000-0005-0000-0000-0000D5020000}"/>
    <cellStyle name="Normal 10 4 2" xfId="690" xr:uid="{00000000-0005-0000-0000-0000D6020000}"/>
    <cellStyle name="Normal 10 4 2 2" xfId="7777" xr:uid="{2AEEBD8A-9004-4724-90D2-D3FF45B9C36B}"/>
    <cellStyle name="Normal 10 4 2 3" xfId="28010" xr:uid="{80A5050C-CF5D-4F8D-AD5F-ED2ADEB0C544}"/>
    <cellStyle name="Normal 10 4 2 4" xfId="33892" xr:uid="{856DE9CD-958F-4B01-953B-FABFE21744AB}"/>
    <cellStyle name="Normal 10 4 2 5" xfId="39756" xr:uid="{3DCE992C-E10E-4C6D-B85B-D50AB370EC5A}"/>
    <cellStyle name="Normal 10 4 3" xfId="691" xr:uid="{00000000-0005-0000-0000-0000D7020000}"/>
    <cellStyle name="Normal 10 4 3 2" xfId="19393" xr:uid="{99B4F42B-15E2-455C-A253-FB5991415A7B}"/>
    <cellStyle name="Normal 10 4 4" xfId="692" xr:uid="{00000000-0005-0000-0000-0000D8020000}"/>
    <cellStyle name="Normal 10 4 4 2" xfId="25161" xr:uid="{26328EE2-171F-4840-A23F-A0BA20F92D4B}"/>
    <cellStyle name="Normal 10 4 5" xfId="693" xr:uid="{00000000-0005-0000-0000-0000D9020000}"/>
    <cellStyle name="Normal 10 4 5 2" xfId="31035" xr:uid="{D0068108-82C4-45AA-85E1-266A24A3EB76}"/>
    <cellStyle name="Normal 10 4 6" xfId="694" xr:uid="{00000000-0005-0000-0000-0000DA020000}"/>
    <cellStyle name="Normal 10 4 6 2" xfId="36914" xr:uid="{425C5DE7-0548-4A1D-B9FF-CBFF26352C8F}"/>
    <cellStyle name="Normal 10 4 7" xfId="695" xr:uid="{00000000-0005-0000-0000-0000DB020000}"/>
    <cellStyle name="Normal 10 4 8" xfId="696" xr:uid="{00000000-0005-0000-0000-0000DC020000}"/>
    <cellStyle name="Normal 10 4 9" xfId="4910" xr:uid="{2A2B7716-8A57-447F-BE1F-BEFD1E612ACC}"/>
    <cellStyle name="Normal 10 5" xfId="697" xr:uid="{00000000-0005-0000-0000-0000DD020000}"/>
    <cellStyle name="Normal 10 5 2" xfId="698" xr:uid="{00000000-0005-0000-0000-0000DE020000}"/>
    <cellStyle name="Normal 10 5 2 2" xfId="8789" xr:uid="{DC2C3C56-F3CA-4058-B1AE-A2D61879443B}"/>
    <cellStyle name="Normal 10 5 2 3" xfId="29021" xr:uid="{13FF5FC3-E82F-4279-AF62-C744E9CD02C8}"/>
    <cellStyle name="Normal 10 5 2 4" xfId="34903" xr:uid="{00F65AB7-C4E7-4A03-A817-451B5EC49597}"/>
    <cellStyle name="Normal 10 5 2 5" xfId="40767" xr:uid="{E3CD062D-2FC3-4800-9CD1-D37420DCF75F}"/>
    <cellStyle name="Normal 10 5 3" xfId="699" xr:uid="{00000000-0005-0000-0000-0000DF020000}"/>
    <cellStyle name="Normal 10 5 3 2" xfId="20371" xr:uid="{23FA3B2A-3F92-4009-9112-207D5BDD1F66}"/>
    <cellStyle name="Normal 10 5 4" xfId="700" xr:uid="{00000000-0005-0000-0000-0000E0020000}"/>
    <cellStyle name="Normal 10 5 4 2" xfId="26171" xr:uid="{DEE6EC9B-0CA5-4B17-81AC-92457C6F1233}"/>
    <cellStyle name="Normal 10 5 5" xfId="701" xr:uid="{00000000-0005-0000-0000-0000E1020000}"/>
    <cellStyle name="Normal 10 5 5 2" xfId="32046" xr:uid="{DA0E08D2-B0C2-4C2D-9177-2686A3F98280}"/>
    <cellStyle name="Normal 10 5 6" xfId="702" xr:uid="{00000000-0005-0000-0000-0000E2020000}"/>
    <cellStyle name="Normal 10 5 6 2" xfId="37912" xr:uid="{F8189705-1C39-4AB2-B53E-222AB281CE40}"/>
    <cellStyle name="Normal 10 5 7" xfId="703" xr:uid="{00000000-0005-0000-0000-0000E3020000}"/>
    <cellStyle name="Normal 10 5 8" xfId="704" xr:uid="{00000000-0005-0000-0000-0000E4020000}"/>
    <cellStyle name="Normal 10 5 9" xfId="5920" xr:uid="{3558DA8B-B752-4B71-9EF0-340023B3B1B7}"/>
    <cellStyle name="Normal 10 6" xfId="705" xr:uid="{00000000-0005-0000-0000-0000E5020000}"/>
    <cellStyle name="Normal 10 6 2" xfId="706" xr:uid="{00000000-0005-0000-0000-0000E6020000}"/>
    <cellStyle name="Normal 10 6 3" xfId="707" xr:uid="{00000000-0005-0000-0000-0000E7020000}"/>
    <cellStyle name="Normal 10 6 4" xfId="708" xr:uid="{00000000-0005-0000-0000-0000E8020000}"/>
    <cellStyle name="Normal 10 6 5" xfId="709" xr:uid="{00000000-0005-0000-0000-0000E9020000}"/>
    <cellStyle name="Normal 10 6 6" xfId="710" xr:uid="{00000000-0005-0000-0000-0000EA020000}"/>
    <cellStyle name="Normal 10 6 7" xfId="711" xr:uid="{00000000-0005-0000-0000-0000EB020000}"/>
    <cellStyle name="Normal 10 6 8" xfId="712" xr:uid="{00000000-0005-0000-0000-0000EC020000}"/>
    <cellStyle name="Normal 10 6 9" xfId="6656" xr:uid="{63F21D8B-5681-49D9-8881-8839492FC779}"/>
    <cellStyle name="Normal 10 7" xfId="713" xr:uid="{00000000-0005-0000-0000-0000ED020000}"/>
    <cellStyle name="Normal 10 7 2" xfId="714" xr:uid="{00000000-0005-0000-0000-0000EE020000}"/>
    <cellStyle name="Normal 10 7 2 2" xfId="21230" xr:uid="{D92F1DB7-ADF7-49E8-B6E3-37BDB74A3236}"/>
    <cellStyle name="Normal 10 7 3" xfId="715" xr:uid="{00000000-0005-0000-0000-0000EF020000}"/>
    <cellStyle name="Normal 10 7 3 2" xfId="27045" xr:uid="{A435C2D5-0FEA-4342-9A9C-F0C3D22A6461}"/>
    <cellStyle name="Normal 10 7 4" xfId="716" xr:uid="{00000000-0005-0000-0000-0000F0020000}"/>
    <cellStyle name="Normal 10 7 4 2" xfId="32921" xr:uid="{DA49F48A-4A7D-422B-AD9E-25EB0087DB8D}"/>
    <cellStyle name="Normal 10 7 5" xfId="717" xr:uid="{00000000-0005-0000-0000-0000F1020000}"/>
    <cellStyle name="Normal 10 7 5 2" xfId="38785" xr:uid="{F748BADE-95F0-4C93-B444-15193C7F5DAB}"/>
    <cellStyle name="Normal 10 7 6" xfId="718" xr:uid="{00000000-0005-0000-0000-0000F2020000}"/>
    <cellStyle name="Normal 10 7 7" xfId="719" xr:uid="{00000000-0005-0000-0000-0000F3020000}"/>
    <cellStyle name="Normal 10 7 8" xfId="720" xr:uid="{00000000-0005-0000-0000-0000F4020000}"/>
    <cellStyle name="Normal 10 7 9" xfId="6806" xr:uid="{80A854F3-CB45-4A40-9E9C-14EB6B4FA870}"/>
    <cellStyle name="Normal 10 8" xfId="721" xr:uid="{00000000-0005-0000-0000-0000F5020000}"/>
    <cellStyle name="Normal 10 8 2" xfId="24186" xr:uid="{2069405C-CD23-406B-AACC-DC3EAED0A10F}"/>
    <cellStyle name="Normal 10 8 3" xfId="30064" xr:uid="{8E52759B-7465-4ED7-8265-FD041E438D14}"/>
    <cellStyle name="Normal 10 8 4" xfId="35945" xr:uid="{D93E16FC-9C69-4F08-9139-93C3D977152E}"/>
    <cellStyle name="Normal 10 8 5" xfId="18478" xr:uid="{BA4FEF3D-435A-4671-9DC2-D6C79B45D7DB}"/>
    <cellStyle name="Normal 10 9" xfId="722" xr:uid="{00000000-0005-0000-0000-0000F6020000}"/>
    <cellStyle name="Normal 1016" xfId="1813" xr:uid="{00000000-0005-0000-0000-0000F7020000}"/>
    <cellStyle name="Normal 1018" xfId="1843" xr:uid="{00000000-0005-0000-0000-0000F8020000}"/>
    <cellStyle name="Normal 1022" xfId="1867" xr:uid="{00000000-0005-0000-0000-0000F9020000}"/>
    <cellStyle name="Normal 1024" xfId="1820" xr:uid="{00000000-0005-0000-0000-0000FA020000}"/>
    <cellStyle name="Normal 1025" xfId="1870" xr:uid="{00000000-0005-0000-0000-0000FB020000}"/>
    <cellStyle name="Normal 1026" xfId="1869" xr:uid="{00000000-0005-0000-0000-0000FC020000}"/>
    <cellStyle name="Normal 1027" xfId="1871" xr:uid="{00000000-0005-0000-0000-0000FD020000}"/>
    <cellStyle name="Normal 105" xfId="1881" xr:uid="{00000000-0005-0000-0000-0000FE020000}"/>
    <cellStyle name="Normal 107" xfId="1885" xr:uid="{00000000-0005-0000-0000-0000FF020000}"/>
    <cellStyle name="Normal 109" xfId="1886" xr:uid="{00000000-0005-0000-0000-000000030000}"/>
    <cellStyle name="Normal 11" xfId="1922" xr:uid="{00000000-0005-0000-0000-000001030000}"/>
    <cellStyle name="Normal 11 10" xfId="723" xr:uid="{00000000-0005-0000-0000-000002030000}"/>
    <cellStyle name="Normal 11 11" xfId="724" xr:uid="{00000000-0005-0000-0000-000003030000}"/>
    <cellStyle name="Normal 11 12" xfId="725" xr:uid="{00000000-0005-0000-0000-000004030000}"/>
    <cellStyle name="Normal 11 13" xfId="3979" xr:uid="{22462390-7AB0-4121-812E-395644B1CD86}"/>
    <cellStyle name="Normal 11 2" xfId="726" xr:uid="{00000000-0005-0000-0000-000005030000}"/>
    <cellStyle name="Normal 11 2 2" xfId="727" xr:uid="{00000000-0005-0000-0000-000006030000}"/>
    <cellStyle name="Normal 11 2 2 2" xfId="5618" xr:uid="{AE3249ED-1020-447A-BDBA-DE19EA346E63}"/>
    <cellStyle name="Normal 11 2 2 2 2" xfId="8485" xr:uid="{6856A720-A78D-4994-B7D9-870715C143AF}"/>
    <cellStyle name="Normal 11 2 2 2 2 2" xfId="22859" xr:uid="{2F521182-43F8-417D-AD5E-30154A239ED1}"/>
    <cellStyle name="Normal 11 2 2 2 2 3" xfId="28718" xr:uid="{2970A132-7084-468A-B002-CDB93022894A}"/>
    <cellStyle name="Normal 11 2 2 2 2 4" xfId="34600" xr:uid="{5C5F9FA7-2D60-4714-8386-BE060B3407BE}"/>
    <cellStyle name="Normal 11 2 2 2 2 5" xfId="40464" xr:uid="{C99E62F4-8393-4F37-A490-5F81D19736F0}"/>
    <cellStyle name="Normal 11 2 2 2 3" xfId="20077" xr:uid="{7D85817B-0D26-401D-BD92-010E695422C2}"/>
    <cellStyle name="Normal 11 2 2 2 4" xfId="25869" xr:uid="{3EB49D8D-D829-4982-A75E-6A5708FA9ECB}"/>
    <cellStyle name="Normal 11 2 2 2 5" xfId="31743" xr:uid="{62EAE59F-9767-4FBA-A6DA-FE89AE746726}"/>
    <cellStyle name="Normal 11 2 2 2 6" xfId="37612" xr:uid="{1AE4284D-FE56-46AF-AB75-C210B774C7E7}"/>
    <cellStyle name="Normal 11 2 2 3" xfId="7513" xr:uid="{47FF20C1-D256-4692-88ED-4AED7081EE02}"/>
    <cellStyle name="Normal 11 2 2 3 2" xfId="21913" xr:uid="{D9C57E5D-936E-43A0-9B8B-B0168B03DCAC}"/>
    <cellStyle name="Normal 11 2 2 3 3" xfId="27747" xr:uid="{1EFD7346-2961-44C3-A9C4-A9C214BAE2CE}"/>
    <cellStyle name="Normal 11 2 2 3 4" xfId="33629" xr:uid="{47167AD1-9737-45B4-8EFF-515E0E41C669}"/>
    <cellStyle name="Normal 11 2 2 3 5" xfId="39493" xr:uid="{AFD0B681-01E2-4FB7-B8F0-34A2E22BF081}"/>
    <cellStyle name="Normal 11 2 2 4" xfId="4650" xr:uid="{66C2FA90-E22F-4871-ADAE-5B2D0FC16C07}"/>
    <cellStyle name="Normal 11 2 2 5" xfId="24898" xr:uid="{FB870C77-C660-42F7-BEE0-8B0406FFF574}"/>
    <cellStyle name="Normal 11 2 2 6" xfId="30774" xr:uid="{89DF4577-21D6-4D8F-A538-9ACA335E822C}"/>
    <cellStyle name="Normal 11 2 2 7" xfId="36655" xr:uid="{4EFC88EC-B6C1-4083-8C23-38669EC6F3CC}"/>
    <cellStyle name="Normal 11 2 3" xfId="728" xr:uid="{00000000-0005-0000-0000-000007030000}"/>
    <cellStyle name="Normal 11 2 3 2" xfId="8000" xr:uid="{2D23103D-A575-4476-8BB2-108E0E1E7D69}"/>
    <cellStyle name="Normal 11 2 3 2 2" xfId="22384" xr:uid="{D2CFBFBC-D1CB-4885-8ADE-0C0AFCC4E4F7}"/>
    <cellStyle name="Normal 11 2 3 2 3" xfId="28233" xr:uid="{A64F5609-0BE9-4C7D-A94F-DB8782C5D9E6}"/>
    <cellStyle name="Normal 11 2 3 2 4" xfId="34115" xr:uid="{BCE1DC7B-4906-4FB6-AECF-419EDB73582F}"/>
    <cellStyle name="Normal 11 2 3 2 5" xfId="39979" xr:uid="{ED897FE3-C248-4732-9D3C-634D8D50E0D0}"/>
    <cellStyle name="Normal 11 2 3 3" xfId="5133" xr:uid="{2E74AF77-042A-4250-9C67-760B9650C52B}"/>
    <cellStyle name="Normal 11 2 3 4" xfId="25384" xr:uid="{121122FB-EF7A-43F5-9CF6-1C02CFC67FAD}"/>
    <cellStyle name="Normal 11 2 3 5" xfId="31258" xr:uid="{5DE28B96-F47D-46BD-BA06-A7FE17B39689}"/>
    <cellStyle name="Normal 11 2 3 6" xfId="37135" xr:uid="{35314F31-7185-493D-8843-ED0775F6A0E8}"/>
    <cellStyle name="Normal 11 2 4" xfId="729" xr:uid="{00000000-0005-0000-0000-000008030000}"/>
    <cellStyle name="Normal 11 2 4 2" xfId="7028" xr:uid="{F2A78EC7-F452-4628-A614-7812649E6933}"/>
    <cellStyle name="Normal 11 2 4 3" xfId="27265" xr:uid="{2D98C282-899F-48C8-B7F4-9A18E66CF22C}"/>
    <cellStyle name="Normal 11 2 4 4" xfId="33144" xr:uid="{BB98810D-1863-490F-A837-62418D06DD83}"/>
    <cellStyle name="Normal 11 2 4 5" xfId="39008" xr:uid="{0C0043E9-4683-4FB3-9543-275ADA922BB7}"/>
    <cellStyle name="Normal 11 2 5" xfId="730" xr:uid="{00000000-0005-0000-0000-000009030000}"/>
    <cellStyle name="Normal 11 2 5 2" xfId="18699" xr:uid="{13BE5B66-A80F-43AE-BF36-9865A50BC32B}"/>
    <cellStyle name="Normal 11 2 6" xfId="731" xr:uid="{00000000-0005-0000-0000-00000A030000}"/>
    <cellStyle name="Normal 11 2 6 2" xfId="24415" xr:uid="{D7CA5B88-D7A2-4262-9BDF-3A88C4E34694}"/>
    <cellStyle name="Normal 11 2 7" xfId="732" xr:uid="{00000000-0005-0000-0000-00000B030000}"/>
    <cellStyle name="Normal 11 2 7 2" xfId="30292" xr:uid="{9BDB099B-7204-470B-BD90-1AD855E281DA}"/>
    <cellStyle name="Normal 11 2 8" xfId="733" xr:uid="{00000000-0005-0000-0000-00000C030000}"/>
    <cellStyle name="Normal 11 2 8 2" xfId="36172" xr:uid="{75348DDA-1441-477C-BBF5-7DA72BBF8F98}"/>
    <cellStyle name="Normal 11 2 9" xfId="4172" xr:uid="{44826828-5469-469C-88C0-71A02ED44E7A}"/>
    <cellStyle name="Normal 11 3" xfId="734" xr:uid="{00000000-0005-0000-0000-00000D030000}"/>
    <cellStyle name="Normal 11 3 2" xfId="735" xr:uid="{00000000-0005-0000-0000-00000E030000}"/>
    <cellStyle name="Normal 11 3 2 2" xfId="8289" xr:uid="{C06339DD-06CE-45FC-8C4E-9C1326E5857B}"/>
    <cellStyle name="Normal 11 3 2 2 2" xfId="22665" xr:uid="{35441429-DEB7-44BC-88D3-CBA2A38B0DCE}"/>
    <cellStyle name="Normal 11 3 2 2 3" xfId="28522" xr:uid="{C9FCCC6A-911E-4DEC-B37F-1821EA882F8E}"/>
    <cellStyle name="Normal 11 3 2 2 4" xfId="34404" xr:uid="{166451D0-79C5-4A30-B2AF-6BFA3150BBF1}"/>
    <cellStyle name="Normal 11 3 2 2 5" xfId="40268" xr:uid="{C5674407-AA36-44B6-855A-5FF94D429322}"/>
    <cellStyle name="Normal 11 3 2 3" xfId="5422" xr:uid="{063768D4-D4FE-4D28-9749-98A4130C2791}"/>
    <cellStyle name="Normal 11 3 2 4" xfId="25673" xr:uid="{39CBA88E-2D50-4562-96AC-3B4A55A48328}"/>
    <cellStyle name="Normal 11 3 2 5" xfId="31547" xr:uid="{0B2B713C-2193-443D-B28C-FF1B36AAE38D}"/>
    <cellStyle name="Normal 11 3 2 6" xfId="37418" xr:uid="{8425B71E-EA53-4AA0-84A9-2814CAC20376}"/>
    <cellStyle name="Normal 11 3 3" xfId="736" xr:uid="{00000000-0005-0000-0000-00000F030000}"/>
    <cellStyle name="Normal 11 3 3 2" xfId="7317" xr:uid="{9B40A1D0-C503-47EE-857E-7B5EAF9D08C0}"/>
    <cellStyle name="Normal 11 3 3 3" xfId="27551" xr:uid="{C6B78CC8-36D2-4239-8860-7D4F57A153DC}"/>
    <cellStyle name="Normal 11 3 3 4" xfId="33433" xr:uid="{ECF7E9E4-E0E0-4E8D-803A-AB6603F73E88}"/>
    <cellStyle name="Normal 11 3 3 5" xfId="39297" xr:uid="{4840C68E-EED8-4194-85A6-58E724662415}"/>
    <cellStyle name="Normal 11 3 4" xfId="737" xr:uid="{00000000-0005-0000-0000-000010030000}"/>
    <cellStyle name="Normal 11 3 4 2" xfId="18958" xr:uid="{FD125B2E-3E80-4FCD-ABF2-9E6A88282EE8}"/>
    <cellStyle name="Normal 11 3 5" xfId="738" xr:uid="{00000000-0005-0000-0000-000011030000}"/>
    <cellStyle name="Normal 11 3 5 2" xfId="24702" xr:uid="{35284B5C-E63C-48FF-9E45-50AD0B6E42E6}"/>
    <cellStyle name="Normal 11 3 6" xfId="739" xr:uid="{00000000-0005-0000-0000-000012030000}"/>
    <cellStyle name="Normal 11 3 6 2" xfId="30580" xr:uid="{E4BA9043-2F7B-4597-A160-552CEC98006B}"/>
    <cellStyle name="Normal 11 3 7" xfId="740" xr:uid="{00000000-0005-0000-0000-000013030000}"/>
    <cellStyle name="Normal 11 3 7 2" xfId="36461" xr:uid="{A8446D79-9AE6-4F89-B77A-EFCDADFF344F}"/>
    <cellStyle name="Normal 11 3 8" xfId="741" xr:uid="{00000000-0005-0000-0000-000014030000}"/>
    <cellStyle name="Normal 11 3 9" xfId="4454" xr:uid="{10EEA199-D7BD-41EF-9440-29DFE59DB265}"/>
    <cellStyle name="Normal 11 4" xfId="742" xr:uid="{00000000-0005-0000-0000-000015030000}"/>
    <cellStyle name="Normal 11 4 2" xfId="743" xr:uid="{00000000-0005-0000-0000-000016030000}"/>
    <cellStyle name="Normal 11 4 2 2" xfId="7804" xr:uid="{242A5CE9-F29E-4CE9-8A3C-6E15932D9511}"/>
    <cellStyle name="Normal 11 4 2 3" xfId="28037" xr:uid="{A7C8484B-0059-417A-882A-6D8E6A88262D}"/>
    <cellStyle name="Normal 11 4 2 4" xfId="33919" xr:uid="{2653329D-7393-4096-B2FA-4178D749D715}"/>
    <cellStyle name="Normal 11 4 2 5" xfId="39783" xr:uid="{66AE11C7-9D3D-4B1C-9266-CD7AD5F0F95D}"/>
    <cellStyle name="Normal 11 4 3" xfId="744" xr:uid="{00000000-0005-0000-0000-000017030000}"/>
    <cellStyle name="Normal 11 4 3 2" xfId="19419" xr:uid="{543F6ABD-CFC8-4D72-8B55-ACCB001F3B36}"/>
    <cellStyle name="Normal 11 4 4" xfId="745" xr:uid="{00000000-0005-0000-0000-000018030000}"/>
    <cellStyle name="Normal 11 4 4 2" xfId="25188" xr:uid="{E8C2CFB2-85A6-44A2-9DAF-4494C22FF642}"/>
    <cellStyle name="Normal 11 4 5" xfId="746" xr:uid="{00000000-0005-0000-0000-000019030000}"/>
    <cellStyle name="Normal 11 4 5 2" xfId="31062" xr:uid="{C85BB6BD-197B-470A-9C27-08E1C97E1141}"/>
    <cellStyle name="Normal 11 4 6" xfId="747" xr:uid="{00000000-0005-0000-0000-00001A030000}"/>
    <cellStyle name="Normal 11 4 6 2" xfId="36941" xr:uid="{9B5579C7-3C91-4EA3-B2A3-6094AAEB656D}"/>
    <cellStyle name="Normal 11 4 7" xfId="748" xr:uid="{00000000-0005-0000-0000-00001B030000}"/>
    <cellStyle name="Normal 11 4 8" xfId="749" xr:uid="{00000000-0005-0000-0000-00001C030000}"/>
    <cellStyle name="Normal 11 4 9" xfId="4937" xr:uid="{F4D404D3-8417-4658-A683-F2C2D8F5E4DD}"/>
    <cellStyle name="Normal 11 5" xfId="750" xr:uid="{00000000-0005-0000-0000-00001D030000}"/>
    <cellStyle name="Normal 11 5 2" xfId="751" xr:uid="{00000000-0005-0000-0000-00001E030000}"/>
    <cellStyle name="Normal 11 5 2 2" xfId="8816" xr:uid="{CC47D0D9-9709-4726-93F7-8AD3EFF39956}"/>
    <cellStyle name="Normal 11 5 2 3" xfId="29048" xr:uid="{B3D39B34-17FE-4A01-9EBD-A12BBDDE8B84}"/>
    <cellStyle name="Normal 11 5 2 4" xfId="34930" xr:uid="{9B199523-78D7-48F9-A2D6-0162826FBBEE}"/>
    <cellStyle name="Normal 11 5 2 5" xfId="40794" xr:uid="{5B36E7A4-D379-47D5-B180-BCA0EFF43A11}"/>
    <cellStyle name="Normal 11 5 3" xfId="752" xr:uid="{00000000-0005-0000-0000-00001F030000}"/>
    <cellStyle name="Normal 11 5 3 2" xfId="20397" xr:uid="{CD6CC952-15D9-4384-ACD8-0D50A24EBAC5}"/>
    <cellStyle name="Normal 11 5 4" xfId="753" xr:uid="{00000000-0005-0000-0000-000020030000}"/>
    <cellStyle name="Normal 11 5 4 2" xfId="26198" xr:uid="{9D318251-D1BB-48E5-9587-A507C41D59FB}"/>
    <cellStyle name="Normal 11 5 5" xfId="754" xr:uid="{00000000-0005-0000-0000-000021030000}"/>
    <cellStyle name="Normal 11 5 5 2" xfId="32073" xr:uid="{3880EF20-B3E4-47E6-B4D6-8ABB7035E8AB}"/>
    <cellStyle name="Normal 11 5 6" xfId="755" xr:uid="{00000000-0005-0000-0000-000022030000}"/>
    <cellStyle name="Normal 11 5 6 2" xfId="37938" xr:uid="{14EC55BF-803D-472E-AA06-00BB2A3EABA0}"/>
    <cellStyle name="Normal 11 5 7" xfId="756" xr:uid="{00000000-0005-0000-0000-000023030000}"/>
    <cellStyle name="Normal 11 5 8" xfId="757" xr:uid="{00000000-0005-0000-0000-000024030000}"/>
    <cellStyle name="Normal 11 5 9" xfId="5947" xr:uid="{7C78DB9E-52D1-4931-8331-F75B21EE1C98}"/>
    <cellStyle name="Normal 11 6" xfId="758" xr:uid="{00000000-0005-0000-0000-000025030000}"/>
    <cellStyle name="Normal 11 6 2" xfId="759" xr:uid="{00000000-0005-0000-0000-000026030000}"/>
    <cellStyle name="Normal 11 6 3" xfId="760" xr:uid="{00000000-0005-0000-0000-000027030000}"/>
    <cellStyle name="Normal 11 6 4" xfId="761" xr:uid="{00000000-0005-0000-0000-000028030000}"/>
    <cellStyle name="Normal 11 6 5" xfId="762" xr:uid="{00000000-0005-0000-0000-000029030000}"/>
    <cellStyle name="Normal 11 6 6" xfId="763" xr:uid="{00000000-0005-0000-0000-00002A030000}"/>
    <cellStyle name="Normal 11 6 7" xfId="764" xr:uid="{00000000-0005-0000-0000-00002B030000}"/>
    <cellStyle name="Normal 11 6 8" xfId="765" xr:uid="{00000000-0005-0000-0000-00002C030000}"/>
    <cellStyle name="Normal 11 6 9" xfId="6657" xr:uid="{BEEF7696-F9D5-407C-9993-A0B01FCDDED7}"/>
    <cellStyle name="Normal 11 7" xfId="766" xr:uid="{00000000-0005-0000-0000-00002D030000}"/>
    <cellStyle name="Normal 11 7 2" xfId="767" xr:uid="{00000000-0005-0000-0000-00002E030000}"/>
    <cellStyle name="Normal 11 7 2 2" xfId="21256" xr:uid="{553C313C-79E1-47AE-AC4E-755F9B09CB5E}"/>
    <cellStyle name="Normal 11 7 3" xfId="768" xr:uid="{00000000-0005-0000-0000-00002F030000}"/>
    <cellStyle name="Normal 11 7 3 2" xfId="27071" xr:uid="{7093685D-0775-460A-879E-D318F5B88C85}"/>
    <cellStyle name="Normal 11 7 4" xfId="769" xr:uid="{00000000-0005-0000-0000-000030030000}"/>
    <cellStyle name="Normal 11 7 4 2" xfId="32948" xr:uid="{3698E3F3-B1CC-495E-A441-BEFB872B8476}"/>
    <cellStyle name="Normal 11 7 5" xfId="770" xr:uid="{00000000-0005-0000-0000-000031030000}"/>
    <cellStyle name="Normal 11 7 5 2" xfId="38812" xr:uid="{416D61C7-8CBB-4B2E-BBCE-06522F43F690}"/>
    <cellStyle name="Normal 11 7 6" xfId="771" xr:uid="{00000000-0005-0000-0000-000032030000}"/>
    <cellStyle name="Normal 11 7 7" xfId="772" xr:uid="{00000000-0005-0000-0000-000033030000}"/>
    <cellStyle name="Normal 11 7 8" xfId="773" xr:uid="{00000000-0005-0000-0000-000034030000}"/>
    <cellStyle name="Normal 11 7 9" xfId="6833" xr:uid="{A34CF231-F9FE-4594-BEA1-308C653F7895}"/>
    <cellStyle name="Normal 11 8" xfId="774" xr:uid="{00000000-0005-0000-0000-000035030000}"/>
    <cellStyle name="Normal 11 8 2" xfId="775" xr:uid="{00000000-0005-0000-0000-000036030000}"/>
    <cellStyle name="Normal 11 8 2 2" xfId="24215" xr:uid="{712C9985-3414-49AC-8939-602A41F00A06}"/>
    <cellStyle name="Normal 11 8 3" xfId="776" xr:uid="{00000000-0005-0000-0000-000037030000}"/>
    <cellStyle name="Normal 11 8 3 2" xfId="30093" xr:uid="{3A1ABC0B-B324-4B49-BC4A-94D72126E096}"/>
    <cellStyle name="Normal 11 8 4" xfId="777" xr:uid="{00000000-0005-0000-0000-000038030000}"/>
    <cellStyle name="Normal 11 8 4 2" xfId="35973" xr:uid="{795EDBE3-30A0-4349-852C-D0F6F96B3AAE}"/>
    <cellStyle name="Normal 11 8 5" xfId="18506" xr:uid="{A1AA3D87-1E13-44B0-A2CB-309822EBE34A}"/>
    <cellStyle name="Normal 11 9" xfId="778" xr:uid="{00000000-0005-0000-0000-000039030000}"/>
    <cellStyle name="Normal 12" xfId="46" xr:uid="{00000000-0005-0000-0000-00003A030000}"/>
    <cellStyle name="Normal 12 10" xfId="779" xr:uid="{00000000-0005-0000-0000-00003B030000}"/>
    <cellStyle name="Normal 12 10 2" xfId="1808" xr:uid="{00000000-0005-0000-0000-00003C030000}"/>
    <cellStyle name="Normal 12 10 3" xfId="46984" xr:uid="{2191A2F3-B062-44FC-8F6B-699C46D91A54}"/>
    <cellStyle name="Normal 12 11" xfId="780" xr:uid="{00000000-0005-0000-0000-00003D030000}"/>
    <cellStyle name="Normal 12 2" xfId="781" xr:uid="{00000000-0005-0000-0000-00003E030000}"/>
    <cellStyle name="Normal 12 2 10" xfId="1804" xr:uid="{00000000-0005-0000-0000-00003F030000}"/>
    <cellStyle name="Normal 12 2 2" xfId="782" xr:uid="{00000000-0005-0000-0000-000040030000}"/>
    <cellStyle name="Normal 12 2 2 2" xfId="8510" xr:uid="{2C204747-994E-472E-B80F-BD52FD8FB2BE}"/>
    <cellStyle name="Normal 12 2 2 2 2" xfId="22884" xr:uid="{3292E60D-8457-4025-B641-AEBDBE5B031F}"/>
    <cellStyle name="Normal 12 2 2 2 3" xfId="28743" xr:uid="{344F2495-B9EF-49C3-9F88-796F63BE38E4}"/>
    <cellStyle name="Normal 12 2 2 2 4" xfId="34625" xr:uid="{E67B4831-00E5-461A-BE1C-5C9087E58729}"/>
    <cellStyle name="Normal 12 2 2 2 5" xfId="40489" xr:uid="{EAD53626-2ACE-4AFE-8903-AB35861D8435}"/>
    <cellStyle name="Normal 12 2 2 3" xfId="20101" xr:uid="{35EE99A0-2935-47A5-BFE6-C7A145A7A2D6}"/>
    <cellStyle name="Normal 12 2 2 4" xfId="1811" xr:uid="{00000000-0005-0000-0000-000041030000}"/>
    <cellStyle name="Normal 12 2 2 5" xfId="31768" xr:uid="{112325A4-9A0F-44A5-B06D-13B26F552CD2}"/>
    <cellStyle name="Normal 12 2 2 6" xfId="37637" xr:uid="{20041155-74CF-4360-86FA-415A340CFF99}"/>
    <cellStyle name="Normal 12 2 3" xfId="783" xr:uid="{00000000-0005-0000-0000-000042030000}"/>
    <cellStyle name="Normal 12 2 3 2" xfId="7538" xr:uid="{A3C0A1F4-9A20-4F36-A16E-BED6EE245BE8}"/>
    <cellStyle name="Normal 12 2 3 3" xfId="27772" xr:uid="{B3042F23-1569-4A61-85F9-43CBF8D91D5E}"/>
    <cellStyle name="Normal 12 2 3 4" xfId="33654" xr:uid="{FC5B37C9-7FD2-4006-BBED-3AFF9E12E0DF}"/>
    <cellStyle name="Normal 12 2 3 5" xfId="39518" xr:uid="{E3B3F0AC-B1E6-40A7-A09D-8E4423FB408C}"/>
    <cellStyle name="Normal 12 2 4" xfId="784" xr:uid="{00000000-0005-0000-0000-000043030000}"/>
    <cellStyle name="Normal 12 2 4 2" xfId="19167" xr:uid="{194BA761-2548-4DD3-A18F-E75891D485F6}"/>
    <cellStyle name="Normal 12 2 5" xfId="785" xr:uid="{00000000-0005-0000-0000-000044030000}"/>
    <cellStyle name="Normal 12 2 5 2" xfId="24923" xr:uid="{0CBAB1ED-163A-44C2-BF9D-72E379166431}"/>
    <cellStyle name="Normal 12 2 6" xfId="786" xr:uid="{00000000-0005-0000-0000-000045030000}"/>
    <cellStyle name="Normal 12 2 6 2" xfId="30798" xr:uid="{14F0E6A2-567A-4DDB-A416-FD58395496BD}"/>
    <cellStyle name="Normal 12 2 7" xfId="787" xr:uid="{00000000-0005-0000-0000-000046030000}"/>
    <cellStyle name="Normal 12 2 7 2" xfId="36680" xr:uid="{8346FB1C-F16E-421B-840D-18B2A1B59CAA}"/>
    <cellStyle name="Normal 12 2 8" xfId="788" xr:uid="{00000000-0005-0000-0000-000047030000}"/>
    <cellStyle name="Normal 12 3" xfId="789" xr:uid="{00000000-0005-0000-0000-000048030000}"/>
    <cellStyle name="Normal 12 3 2" xfId="790" xr:uid="{00000000-0005-0000-0000-000049030000}"/>
    <cellStyle name="Normal 12 3 2 2" xfId="8025" xr:uid="{2A48C0D5-4B81-4A0D-ACF0-9AA7BDAE02D0}"/>
    <cellStyle name="Normal 12 3 2 3" xfId="28258" xr:uid="{05AEB160-DBE1-46CD-BC66-C300543B0EE4}"/>
    <cellStyle name="Normal 12 3 2 4" xfId="34140" xr:uid="{AF3F3327-E75C-4A03-BB49-3EB7BB119AD8}"/>
    <cellStyle name="Normal 12 3 2 5" xfId="40004" xr:uid="{9EAD5EF6-8597-4C55-91EA-62442B473FB5}"/>
    <cellStyle name="Normal 12 3 3" xfId="791" xr:uid="{00000000-0005-0000-0000-00004A030000}"/>
    <cellStyle name="Normal 12 3 3 2" xfId="19631" xr:uid="{3BF130A6-3080-4FA7-97B8-65BE3F120B0A}"/>
    <cellStyle name="Normal 12 3 4" xfId="792" xr:uid="{00000000-0005-0000-0000-00004B030000}"/>
    <cellStyle name="Normal 12 3 4 2" xfId="25409" xr:uid="{6F9C6140-6590-4968-A71D-F303EB0D9863}"/>
    <cellStyle name="Normal 12 3 5" xfId="793" xr:uid="{00000000-0005-0000-0000-00004C030000}"/>
    <cellStyle name="Normal 12 3 5 2" xfId="31283" xr:uid="{9B2D963D-B565-45C3-8D77-5C7386D95E17}"/>
    <cellStyle name="Normal 12 3 6" xfId="794" xr:uid="{00000000-0005-0000-0000-00004D030000}"/>
    <cellStyle name="Normal 12 3 6 2" xfId="37160" xr:uid="{59F2D0AF-A969-495B-9CAE-DF372250D650}"/>
    <cellStyle name="Normal 12 3 7" xfId="795" xr:uid="{00000000-0005-0000-0000-00004E030000}"/>
    <cellStyle name="Normal 12 3 8" xfId="796" xr:uid="{00000000-0005-0000-0000-00004F030000}"/>
    <cellStyle name="Normal 12 3 9" xfId="5158" xr:uid="{A4CFA4A2-A45E-451E-8D5D-27CE0FE9DD2E}"/>
    <cellStyle name="Normal 12 4" xfId="797" xr:uid="{00000000-0005-0000-0000-000050030000}"/>
    <cellStyle name="Normal 12 4 2" xfId="798" xr:uid="{00000000-0005-0000-0000-000051030000}"/>
    <cellStyle name="Normal 12 4 3" xfId="799" xr:uid="{00000000-0005-0000-0000-000052030000}"/>
    <cellStyle name="Normal 12 4 4" xfId="800" xr:uid="{00000000-0005-0000-0000-000053030000}"/>
    <cellStyle name="Normal 12 4 5" xfId="801" xr:uid="{00000000-0005-0000-0000-000054030000}"/>
    <cellStyle name="Normal 12 4 6" xfId="802" xr:uid="{00000000-0005-0000-0000-000055030000}"/>
    <cellStyle name="Normal 12 4 7" xfId="803" xr:uid="{00000000-0005-0000-0000-000056030000}"/>
    <cellStyle name="Normal 12 4 8" xfId="804" xr:uid="{00000000-0005-0000-0000-000057030000}"/>
    <cellStyle name="Normal 12 4 9" xfId="6658" xr:uid="{BAB58346-3CF8-4173-9DD8-A5ADA537EFB7}"/>
    <cellStyle name="Normal 12 5" xfId="805" xr:uid="{00000000-0005-0000-0000-000058030000}"/>
    <cellStyle name="Normal 12 5 2" xfId="806" xr:uid="{00000000-0005-0000-0000-000059030000}"/>
    <cellStyle name="Normal 12 5 2 2" xfId="21468" xr:uid="{0C69F428-1D14-4065-A533-223C119E6442}"/>
    <cellStyle name="Normal 12 5 3" xfId="807" xr:uid="{00000000-0005-0000-0000-00005A030000}"/>
    <cellStyle name="Normal 12 5 3 2" xfId="27290" xr:uid="{9B05E639-04B0-4097-A513-A2BDD2C21A37}"/>
    <cellStyle name="Normal 12 5 4" xfId="808" xr:uid="{00000000-0005-0000-0000-00005B030000}"/>
    <cellStyle name="Normal 12 5 4 2" xfId="33169" xr:uid="{E406BB0D-21ED-4A39-B388-220A43DBD09A}"/>
    <cellStyle name="Normal 12 5 5" xfId="809" xr:uid="{00000000-0005-0000-0000-00005C030000}"/>
    <cellStyle name="Normal 12 5 5 2" xfId="39033" xr:uid="{C8713304-496E-4512-A4A2-6AA2F1EED2B7}"/>
    <cellStyle name="Normal 12 5 6" xfId="810" xr:uid="{00000000-0005-0000-0000-00005D030000}"/>
    <cellStyle name="Normal 12 5 7" xfId="811" xr:uid="{00000000-0005-0000-0000-00005E030000}"/>
    <cellStyle name="Normal 12 5 8" xfId="812" xr:uid="{00000000-0005-0000-0000-00005F030000}"/>
    <cellStyle name="Normal 12 5 9" xfId="7053" xr:uid="{E071D865-1C36-4EB6-8DE2-2A3561175A36}"/>
    <cellStyle name="Normal 12 6" xfId="813" xr:uid="{00000000-0005-0000-0000-000060030000}"/>
    <cellStyle name="Normal 12 6 2" xfId="814" xr:uid="{00000000-0005-0000-0000-000061030000}"/>
    <cellStyle name="Normal 12 6 2 2" xfId="24440" xr:uid="{5CAD1341-2587-494D-BCC5-F5E649CA6ABA}"/>
    <cellStyle name="Normal 12 6 3" xfId="815" xr:uid="{00000000-0005-0000-0000-000062030000}"/>
    <cellStyle name="Normal 12 6 3 2" xfId="30316" xr:uid="{9D947D05-B941-46DC-AE5D-5ADBC7D8EE4E}"/>
    <cellStyle name="Normal 12 6 4" xfId="816" xr:uid="{00000000-0005-0000-0000-000063030000}"/>
    <cellStyle name="Normal 12 6 4 2" xfId="36197" xr:uid="{48A316C9-D5BF-4C31-BB89-A0C5081E87B2}"/>
    <cellStyle name="Normal 12 6 5" xfId="817" xr:uid="{00000000-0005-0000-0000-000064030000}"/>
    <cellStyle name="Normal 12 6 6" xfId="818" xr:uid="{00000000-0005-0000-0000-000065030000}"/>
    <cellStyle name="Normal 12 6 7" xfId="819" xr:uid="{00000000-0005-0000-0000-000066030000}"/>
    <cellStyle name="Normal 12 6 8" xfId="820" xr:uid="{00000000-0005-0000-0000-000067030000}"/>
    <cellStyle name="Normal 12 6 9" xfId="18724" xr:uid="{0065356D-BB30-474E-B4AD-64746E40723C}"/>
    <cellStyle name="Normal 12 7" xfId="821" xr:uid="{00000000-0005-0000-0000-000068030000}"/>
    <cellStyle name="Normal 12 7 2" xfId="822" xr:uid="{00000000-0005-0000-0000-000069030000}"/>
    <cellStyle name="Normal 12 7 3" xfId="823" xr:uid="{00000000-0005-0000-0000-00006A030000}"/>
    <cellStyle name="Normal 12 7 4" xfId="824" xr:uid="{00000000-0005-0000-0000-00006B030000}"/>
    <cellStyle name="Normal 12 7 5" xfId="825" xr:uid="{00000000-0005-0000-0000-00006C030000}"/>
    <cellStyle name="Normal 12 7 6" xfId="826" xr:uid="{00000000-0005-0000-0000-00006D030000}"/>
    <cellStyle name="Normal 12 7 7" xfId="827" xr:uid="{00000000-0005-0000-0000-00006E030000}"/>
    <cellStyle name="Normal 12 7 8" xfId="828" xr:uid="{00000000-0005-0000-0000-00006F030000}"/>
    <cellStyle name="Normal 12 7 9" xfId="42052" xr:uid="{42A0D823-6F33-4516-93C8-C64DEE231978}"/>
    <cellStyle name="Normal 12 8" xfId="829" xr:uid="{00000000-0005-0000-0000-000070030000}"/>
    <cellStyle name="Normal 12 9" xfId="830" xr:uid="{00000000-0005-0000-0000-000071030000}"/>
    <cellStyle name="Normal 125" xfId="1806" xr:uid="{00000000-0005-0000-0000-000072030000}"/>
    <cellStyle name="Normal 126" xfId="1873" xr:uid="{00000000-0005-0000-0000-000073030000}"/>
    <cellStyle name="Normal 126 3" xfId="6577" xr:uid="{B3F79AAA-1CCA-4073-9CD8-563361C1F39E}"/>
    <cellStyle name="Normal 13" xfId="3329" xr:uid="{1205C40A-45FD-4A49-9C05-B56CB157605C}"/>
    <cellStyle name="Normal 13 10" xfId="831" xr:uid="{00000000-0005-0000-0000-000074030000}"/>
    <cellStyle name="Normal 13 11" xfId="832" xr:uid="{00000000-0005-0000-0000-000075030000}"/>
    <cellStyle name="Normal 13 12" xfId="42346" xr:uid="{94B2F701-4FE8-4356-A903-D7CEE66C5B9C}"/>
    <cellStyle name="Normal 13 2" xfId="833" xr:uid="{00000000-0005-0000-0000-000076030000}"/>
    <cellStyle name="Normal 13 2 2" xfId="834" xr:uid="{00000000-0005-0000-0000-000077030000}"/>
    <cellStyle name="Normal 13 2 2 2" xfId="8539" xr:uid="{2768B207-B564-4072-99A6-45650D656513}"/>
    <cellStyle name="Normal 13 2 2 2 2" xfId="22911" xr:uid="{E714828F-1062-4209-8FE4-42657DDACE98}"/>
    <cellStyle name="Normal 13 2 2 2 3" xfId="28772" xr:uid="{AE7AC3DF-BE41-4A51-B49E-BC2868560355}"/>
    <cellStyle name="Normal 13 2 2 2 4" xfId="34654" xr:uid="{5C94C802-51DF-41FA-96CE-9A1EB02CB0F2}"/>
    <cellStyle name="Normal 13 2 2 2 5" xfId="40518" xr:uid="{E57E5636-56AD-407A-82C4-33BE935801B8}"/>
    <cellStyle name="Normal 13 2 2 3" xfId="5671" xr:uid="{4DD56D06-7148-4457-91F4-149882B0117C}"/>
    <cellStyle name="Normal 13 2 2 4" xfId="25922" xr:uid="{5E8222B0-11DB-423D-8009-8EBC910B20CC}"/>
    <cellStyle name="Normal 13 2 2 5" xfId="31797" xr:uid="{3AF93A38-D533-4950-BD61-7E92F4DDC33C}"/>
    <cellStyle name="Normal 13 2 2 6" xfId="37664" xr:uid="{0DA8C2C7-157E-4FD6-B98C-6146CAF70BBA}"/>
    <cellStyle name="Normal 13 2 3" xfId="835" xr:uid="{00000000-0005-0000-0000-000078030000}"/>
    <cellStyle name="Normal 13 2 3 2" xfId="7567" xr:uid="{AE3FF759-29F9-42F2-B214-907EC1E57990}"/>
    <cellStyle name="Normal 13 2 3 3" xfId="27801" xr:uid="{208B797A-C351-454C-88CC-A82CA47ECD69}"/>
    <cellStyle name="Normal 13 2 3 4" xfId="33683" xr:uid="{71A1E202-8B67-4222-878C-A447CB82C0AB}"/>
    <cellStyle name="Normal 13 2 3 5" xfId="39547" xr:uid="{57024E0A-7B13-442D-BD79-3634AE7E4E9A}"/>
    <cellStyle name="Normal 13 2 4" xfId="836" xr:uid="{00000000-0005-0000-0000-000079030000}"/>
    <cellStyle name="Normal 13 2 4 2" xfId="19193" xr:uid="{F9D61ABC-9E5E-4524-AA17-32DCB9038BFF}"/>
    <cellStyle name="Normal 13 2 5" xfId="837" xr:uid="{00000000-0005-0000-0000-00007A030000}"/>
    <cellStyle name="Normal 13 2 5 2" xfId="24952" xr:uid="{B31A4C34-510A-4BAD-AB36-692757539079}"/>
    <cellStyle name="Normal 13 2 6" xfId="838" xr:uid="{00000000-0005-0000-0000-00007B030000}"/>
    <cellStyle name="Normal 13 2 6 2" xfId="30826" xr:uid="{F6DD7CAE-09AC-42B9-8D1F-AFA86190355E}"/>
    <cellStyle name="Normal 13 2 7" xfId="839" xr:uid="{00000000-0005-0000-0000-00007C030000}"/>
    <cellStyle name="Normal 13 2 7 2" xfId="36707" xr:uid="{3712EB65-8075-4805-AA12-1D2C6099D570}"/>
    <cellStyle name="Normal 13 2 8" xfId="840" xr:uid="{00000000-0005-0000-0000-00007D030000}"/>
    <cellStyle name="Normal 13 2 9" xfId="4703" xr:uid="{DC944AF4-7998-4B85-BCC1-753B909B72D3}"/>
    <cellStyle name="Normal 13 3" xfId="841" xr:uid="{00000000-0005-0000-0000-00007E030000}"/>
    <cellStyle name="Normal 13 3 2" xfId="842" xr:uid="{00000000-0005-0000-0000-00007F030000}"/>
    <cellStyle name="Normal 13 3 2 2" xfId="8054" xr:uid="{F058559F-16B8-406A-88A3-57C2B6CA3097}"/>
    <cellStyle name="Normal 13 3 2 3" xfId="28287" xr:uid="{00035854-6F9A-4A13-8366-4A646407A9B3}"/>
    <cellStyle name="Normal 13 3 2 4" xfId="34169" xr:uid="{181AC73A-C57C-41E4-95EC-9D2B1915CF94}"/>
    <cellStyle name="Normal 13 3 2 5" xfId="40033" xr:uid="{7CFA4906-9989-45D7-8EF6-81027CA63CB7}"/>
    <cellStyle name="Normal 13 3 3" xfId="843" xr:uid="{00000000-0005-0000-0000-000080030000}"/>
    <cellStyle name="Normal 13 3 3 2" xfId="19658" xr:uid="{772D497A-A3F2-4C00-913D-29B6A1AAE625}"/>
    <cellStyle name="Normal 13 3 4" xfId="844" xr:uid="{00000000-0005-0000-0000-000081030000}"/>
    <cellStyle name="Normal 13 3 4 2" xfId="25438" xr:uid="{4B2E04D5-E931-4A29-829F-2D9B70A518CE}"/>
    <cellStyle name="Normal 13 3 5" xfId="845" xr:uid="{00000000-0005-0000-0000-000082030000}"/>
    <cellStyle name="Normal 13 3 5 2" xfId="31312" xr:uid="{863596C8-F0C2-46DD-B62C-6A9041BA5C49}"/>
    <cellStyle name="Normal 13 3 6" xfId="846" xr:uid="{00000000-0005-0000-0000-000083030000}"/>
    <cellStyle name="Normal 13 3 6 2" xfId="37185" xr:uid="{349DBC6C-CBB4-41F8-BFCD-2291ECDC0094}"/>
    <cellStyle name="Normal 13 3 7" xfId="847" xr:uid="{00000000-0005-0000-0000-000084030000}"/>
    <cellStyle name="Normal 13 3 8" xfId="848" xr:uid="{00000000-0005-0000-0000-000085030000}"/>
    <cellStyle name="Normal 13 3 9" xfId="5187" xr:uid="{D39F2763-24E1-4F7F-9983-FA56293A7BB9}"/>
    <cellStyle name="Normal 13 4" xfId="849" xr:uid="{00000000-0005-0000-0000-000086030000}"/>
    <cellStyle name="Normal 13 4 2" xfId="850" xr:uid="{00000000-0005-0000-0000-000087030000}"/>
    <cellStyle name="Normal 13 4 2 2" xfId="21088" xr:uid="{C3C3689C-2AD2-4BB4-8A30-E738EAD51893}"/>
    <cellStyle name="Normal 13 4 3" xfId="851" xr:uid="{00000000-0005-0000-0000-000088030000}"/>
    <cellStyle name="Normal 13 4 4" xfId="852" xr:uid="{00000000-0005-0000-0000-000089030000}"/>
    <cellStyle name="Normal 13 4 5" xfId="853" xr:uid="{00000000-0005-0000-0000-00008A030000}"/>
    <cellStyle name="Normal 13 4 6" xfId="854" xr:uid="{00000000-0005-0000-0000-00008B030000}"/>
    <cellStyle name="Normal 13 4 7" xfId="855" xr:uid="{00000000-0005-0000-0000-00008C030000}"/>
    <cellStyle name="Normal 13 4 8" xfId="856" xr:uid="{00000000-0005-0000-0000-00008D030000}"/>
    <cellStyle name="Normal 13 4 9" xfId="6659" xr:uid="{5647CD68-06F9-4397-BE74-656118FF8EA6}"/>
    <cellStyle name="Normal 13 5" xfId="857" xr:uid="{00000000-0005-0000-0000-00008E030000}"/>
    <cellStyle name="Normal 13 5 2" xfId="858" xr:uid="{00000000-0005-0000-0000-00008F030000}"/>
    <cellStyle name="Normal 13 5 2 2" xfId="21494" xr:uid="{BD97691B-D0F8-4D69-BA2E-30B5E635738B}"/>
    <cellStyle name="Normal 13 5 3" xfId="859" xr:uid="{00000000-0005-0000-0000-000090030000}"/>
    <cellStyle name="Normal 13 5 3 2" xfId="27317" xr:uid="{220D07B7-5DAC-4F3C-A8D0-7044DF608705}"/>
    <cellStyle name="Normal 13 5 4" xfId="860" xr:uid="{00000000-0005-0000-0000-000091030000}"/>
    <cellStyle name="Normal 13 5 4 2" xfId="33198" xr:uid="{BFA58A51-F54B-46D9-8F30-AABB14B27991}"/>
    <cellStyle name="Normal 13 5 5" xfId="861" xr:uid="{00000000-0005-0000-0000-000092030000}"/>
    <cellStyle name="Normal 13 5 5 2" xfId="39062" xr:uid="{6B6FEF72-E2FE-4F0A-8122-2D93C8D98979}"/>
    <cellStyle name="Normal 13 5 6" xfId="862" xr:uid="{00000000-0005-0000-0000-000093030000}"/>
    <cellStyle name="Normal 13 5 7" xfId="863" xr:uid="{00000000-0005-0000-0000-000094030000}"/>
    <cellStyle name="Normal 13 5 8" xfId="864" xr:uid="{00000000-0005-0000-0000-000095030000}"/>
    <cellStyle name="Normal 13 5 9" xfId="7082" xr:uid="{342C3F60-2CE6-4BF6-92AE-10A6FDF37847}"/>
    <cellStyle name="Normal 13 6" xfId="865" xr:uid="{00000000-0005-0000-0000-000096030000}"/>
    <cellStyle name="Normal 13 6 2" xfId="866" xr:uid="{00000000-0005-0000-0000-000097030000}"/>
    <cellStyle name="Normal 13 6 3" xfId="867" xr:uid="{00000000-0005-0000-0000-000098030000}"/>
    <cellStyle name="Normal 13 6 4" xfId="868" xr:uid="{00000000-0005-0000-0000-000099030000}"/>
    <cellStyle name="Normal 13 6 5" xfId="869" xr:uid="{00000000-0005-0000-0000-00009A030000}"/>
    <cellStyle name="Normal 13 6 6" xfId="870" xr:uid="{00000000-0005-0000-0000-00009B030000}"/>
    <cellStyle name="Normal 13 6 7" xfId="871" xr:uid="{00000000-0005-0000-0000-00009C030000}"/>
    <cellStyle name="Normal 13 6 8" xfId="872" xr:uid="{00000000-0005-0000-0000-00009D030000}"/>
    <cellStyle name="Normal 13 6 9" xfId="9579" xr:uid="{6E31DD63-7145-4AFB-ADC6-6B55C8663C05}"/>
    <cellStyle name="Normal 13 7" xfId="873" xr:uid="{00000000-0005-0000-0000-00009E030000}"/>
    <cellStyle name="Normal 13 7 2" xfId="874" xr:uid="{00000000-0005-0000-0000-00009F030000}"/>
    <cellStyle name="Normal 13 7 2 2" xfId="24467" xr:uid="{22DF8291-DBA1-40BB-B26B-7A507EECA72D}"/>
    <cellStyle name="Normal 13 7 3" xfId="875" xr:uid="{00000000-0005-0000-0000-0000A0030000}"/>
    <cellStyle name="Normal 13 7 3 2" xfId="30345" xr:uid="{7C0FF9F2-1ABD-4A7F-AC68-DA231E7AACD8}"/>
    <cellStyle name="Normal 13 7 4" xfId="876" xr:uid="{00000000-0005-0000-0000-0000A1030000}"/>
    <cellStyle name="Normal 13 7 4 2" xfId="36226" xr:uid="{BB68221F-5464-4173-AB73-9F6B5373A487}"/>
    <cellStyle name="Normal 13 7 5" xfId="877" xr:uid="{00000000-0005-0000-0000-0000A2030000}"/>
    <cellStyle name="Normal 13 7 6" xfId="878" xr:uid="{00000000-0005-0000-0000-0000A3030000}"/>
    <cellStyle name="Normal 13 7 7" xfId="879" xr:uid="{00000000-0005-0000-0000-0000A4030000}"/>
    <cellStyle name="Normal 13 7 8" xfId="880" xr:uid="{00000000-0005-0000-0000-0000A5030000}"/>
    <cellStyle name="Normal 13 7 9" xfId="18751" xr:uid="{4FE6C32E-5085-457A-84CC-0E3F8434894A}"/>
    <cellStyle name="Normal 13 8" xfId="881" xr:uid="{00000000-0005-0000-0000-0000A6030000}"/>
    <cellStyle name="Normal 13 9" xfId="882" xr:uid="{00000000-0005-0000-0000-0000A7030000}"/>
    <cellStyle name="Normal 14" xfId="3328" xr:uid="{D22B6CC5-83F3-4D47-9B93-A12FEE11C13E}"/>
    <cellStyle name="Normal 14 10" xfId="883" xr:uid="{00000000-0005-0000-0000-0000A8030000}"/>
    <cellStyle name="Normal 14 11" xfId="884" xr:uid="{00000000-0005-0000-0000-0000A9030000}"/>
    <cellStyle name="Normal 14 12" xfId="42347" xr:uid="{9C994318-15D6-4CE9-B233-22734CE64A31}"/>
    <cellStyle name="Normal 14 2" xfId="885" xr:uid="{00000000-0005-0000-0000-0000AA030000}"/>
    <cellStyle name="Normal 14 2 2" xfId="886" xr:uid="{00000000-0005-0000-0000-0000AB030000}"/>
    <cellStyle name="Normal 14 2 2 2" xfId="22974" xr:uid="{4B291653-232C-4110-A193-7DC1AB492ABD}"/>
    <cellStyle name="Normal 14 2 3" xfId="887" xr:uid="{00000000-0005-0000-0000-0000AC030000}"/>
    <cellStyle name="Normal 14 2 3 2" xfId="28836" xr:uid="{884DFF84-C6EC-4228-8216-81A58875C088}"/>
    <cellStyle name="Normal 14 2 4" xfId="888" xr:uid="{00000000-0005-0000-0000-0000AD030000}"/>
    <cellStyle name="Normal 14 2 4 2" xfId="34718" xr:uid="{11CEA5C7-A371-41B7-A579-E8FD03A897C6}"/>
    <cellStyle name="Normal 14 2 5" xfId="889" xr:uid="{00000000-0005-0000-0000-0000AE030000}"/>
    <cellStyle name="Normal 14 2 5 2" xfId="40582" xr:uid="{011BEF59-F5A7-44B3-B166-1274E9363058}"/>
    <cellStyle name="Normal 14 2 6" xfId="890" xr:uid="{00000000-0005-0000-0000-0000AF030000}"/>
    <cellStyle name="Normal 14 2 7" xfId="891" xr:uid="{00000000-0005-0000-0000-0000B0030000}"/>
    <cellStyle name="Normal 14 2 8" xfId="892" xr:uid="{00000000-0005-0000-0000-0000B1030000}"/>
    <cellStyle name="Normal 14 2 9" xfId="8603" xr:uid="{C512DA85-E4FF-4401-9039-033DE09577A8}"/>
    <cellStyle name="Normal 14 3" xfId="893" xr:uid="{00000000-0005-0000-0000-0000B2030000}"/>
    <cellStyle name="Normal 14 3 2" xfId="894" xr:uid="{00000000-0005-0000-0000-0000B3030000}"/>
    <cellStyle name="Normal 14 3 3" xfId="895" xr:uid="{00000000-0005-0000-0000-0000B4030000}"/>
    <cellStyle name="Normal 14 3 4" xfId="896" xr:uid="{00000000-0005-0000-0000-0000B5030000}"/>
    <cellStyle name="Normal 14 3 5" xfId="897" xr:uid="{00000000-0005-0000-0000-0000B6030000}"/>
    <cellStyle name="Normal 14 3 6" xfId="898" xr:uid="{00000000-0005-0000-0000-0000B7030000}"/>
    <cellStyle name="Normal 14 3 7" xfId="899" xr:uid="{00000000-0005-0000-0000-0000B8030000}"/>
    <cellStyle name="Normal 14 3 8" xfId="900" xr:uid="{00000000-0005-0000-0000-0000B9030000}"/>
    <cellStyle name="Normal 14 3 9" xfId="20192" xr:uid="{1C6B59B9-014E-467F-BDF2-9590055133FB}"/>
    <cellStyle name="Normal 14 4" xfId="901" xr:uid="{00000000-0005-0000-0000-0000BA030000}"/>
    <cellStyle name="Normal 14 4 2" xfId="902" xr:uid="{00000000-0005-0000-0000-0000BB030000}"/>
    <cellStyle name="Normal 14 4 3" xfId="903" xr:uid="{00000000-0005-0000-0000-0000BC030000}"/>
    <cellStyle name="Normal 14 4 4" xfId="904" xr:uid="{00000000-0005-0000-0000-0000BD030000}"/>
    <cellStyle name="Normal 14 4 5" xfId="905" xr:uid="{00000000-0005-0000-0000-0000BE030000}"/>
    <cellStyle name="Normal 14 4 6" xfId="906" xr:uid="{00000000-0005-0000-0000-0000BF030000}"/>
    <cellStyle name="Normal 14 4 7" xfId="907" xr:uid="{00000000-0005-0000-0000-0000C0030000}"/>
    <cellStyle name="Normal 14 4 8" xfId="908" xr:uid="{00000000-0005-0000-0000-0000C1030000}"/>
    <cellStyle name="Normal 14 4 9" xfId="25986" xr:uid="{C2B832B4-D81C-42BA-A075-A2DCD62FA32F}"/>
    <cellStyle name="Normal 14 5" xfId="909" xr:uid="{00000000-0005-0000-0000-0000C2030000}"/>
    <cellStyle name="Normal 14 5 2" xfId="910" xr:uid="{00000000-0005-0000-0000-0000C3030000}"/>
    <cellStyle name="Normal 14 5 3" xfId="911" xr:uid="{00000000-0005-0000-0000-0000C4030000}"/>
    <cellStyle name="Normal 14 5 4" xfId="912" xr:uid="{00000000-0005-0000-0000-0000C5030000}"/>
    <cellStyle name="Normal 14 5 5" xfId="913" xr:uid="{00000000-0005-0000-0000-0000C6030000}"/>
    <cellStyle name="Normal 14 5 6" xfId="914" xr:uid="{00000000-0005-0000-0000-0000C7030000}"/>
    <cellStyle name="Normal 14 5 7" xfId="915" xr:uid="{00000000-0005-0000-0000-0000C8030000}"/>
    <cellStyle name="Normal 14 5 8" xfId="916" xr:uid="{00000000-0005-0000-0000-0000C9030000}"/>
    <cellStyle name="Normal 14 5 9" xfId="31861" xr:uid="{22C4CBC1-413F-424C-A737-6984E7D2F3E5}"/>
    <cellStyle name="Normal 14 6" xfId="917" xr:uid="{00000000-0005-0000-0000-0000CA030000}"/>
    <cellStyle name="Normal 14 6 2" xfId="918" xr:uid="{00000000-0005-0000-0000-0000CB030000}"/>
    <cellStyle name="Normal 14 6 3" xfId="919" xr:uid="{00000000-0005-0000-0000-0000CC030000}"/>
    <cellStyle name="Normal 14 6 4" xfId="920" xr:uid="{00000000-0005-0000-0000-0000CD030000}"/>
    <cellStyle name="Normal 14 6 5" xfId="921" xr:uid="{00000000-0005-0000-0000-0000CE030000}"/>
    <cellStyle name="Normal 14 6 6" xfId="922" xr:uid="{00000000-0005-0000-0000-0000CF030000}"/>
    <cellStyle name="Normal 14 6 7" xfId="923" xr:uid="{00000000-0005-0000-0000-0000D0030000}"/>
    <cellStyle name="Normal 14 6 8" xfId="924" xr:uid="{00000000-0005-0000-0000-0000D1030000}"/>
    <cellStyle name="Normal 14 6 9" xfId="37727" xr:uid="{8D09CD74-2963-48B6-BCA8-03A493E902F5}"/>
    <cellStyle name="Normal 14 7" xfId="925" xr:uid="{00000000-0005-0000-0000-0000D2030000}"/>
    <cellStyle name="Normal 14 7 2" xfId="926" xr:uid="{00000000-0005-0000-0000-0000D3030000}"/>
    <cellStyle name="Normal 14 7 3" xfId="927" xr:uid="{00000000-0005-0000-0000-0000D4030000}"/>
    <cellStyle name="Normal 14 7 4" xfId="928" xr:uid="{00000000-0005-0000-0000-0000D5030000}"/>
    <cellStyle name="Normal 14 7 5" xfId="929" xr:uid="{00000000-0005-0000-0000-0000D6030000}"/>
    <cellStyle name="Normal 14 7 6" xfId="930" xr:uid="{00000000-0005-0000-0000-0000D7030000}"/>
    <cellStyle name="Normal 14 7 7" xfId="931" xr:uid="{00000000-0005-0000-0000-0000D8030000}"/>
    <cellStyle name="Normal 14 7 8" xfId="932" xr:uid="{00000000-0005-0000-0000-0000D9030000}"/>
    <cellStyle name="Normal 14 8" xfId="933" xr:uid="{00000000-0005-0000-0000-0000DA030000}"/>
    <cellStyle name="Normal 14 9" xfId="934" xr:uid="{00000000-0005-0000-0000-0000DB030000}"/>
    <cellStyle name="Normal 15" xfId="47" xr:uid="{00000000-0005-0000-0000-0000DC030000}"/>
    <cellStyle name="Normal 15 2" xfId="8623" xr:uid="{3F24B92E-E7BA-4D22-BFAC-469A59192D00}"/>
    <cellStyle name="Normal 15 2 2" xfId="22994" xr:uid="{E4DA349B-F6D0-49BF-BD35-E7825175ABC0}"/>
    <cellStyle name="Normal 15 2 3" xfId="28856" xr:uid="{B9EAA1E3-6C6C-4346-B1CA-39173FF7B9A3}"/>
    <cellStyle name="Normal 15 2 4" xfId="34738" xr:uid="{9AB57DD7-6C7B-4087-ABBD-BCFDFA1C5D67}"/>
    <cellStyle name="Normal 15 2 5" xfId="40602" xr:uid="{1B321A03-644B-4AF0-AE9C-A4F6AFFA8379}"/>
    <cellStyle name="Normal 15 3" xfId="5754" xr:uid="{12AEBB08-D9CD-4258-925E-DC9A0C7266AE}"/>
    <cellStyle name="Normal 15 4" xfId="26006" xr:uid="{6852D614-20C7-4638-9D18-C554F4E1C77C}"/>
    <cellStyle name="Normal 15 5" xfId="31881" xr:uid="{9C789BAB-3C93-42C8-BC3D-4ADE46D83635}"/>
    <cellStyle name="Normal 15 6" xfId="37747" xr:uid="{C636F58C-2834-44FE-B200-A78900086DDB}"/>
    <cellStyle name="Normal 15 7" xfId="42348" xr:uid="{85D57CFA-227C-47EB-824D-0400845BD7AE}"/>
    <cellStyle name="Normal 16" xfId="1764" xr:uid="{00000000-0005-0000-0000-0000DD030000}"/>
    <cellStyle name="Normal 16 10" xfId="935" xr:uid="{00000000-0005-0000-0000-0000DE030000}"/>
    <cellStyle name="Normal 16 11" xfId="5973" xr:uid="{52B62890-B015-4A83-92AB-542D113648D5}"/>
    <cellStyle name="Normal 16 2" xfId="936" xr:uid="{00000000-0005-0000-0000-0000DF030000}"/>
    <cellStyle name="Normal 16 2 2" xfId="937" xr:uid="{00000000-0005-0000-0000-0000E0030000}"/>
    <cellStyle name="Normal 16 2 2 2" xfId="23206" xr:uid="{868D9AAD-D713-4C88-BE06-6CF43C2FD67F}"/>
    <cellStyle name="Normal 16 2 3" xfId="938" xr:uid="{00000000-0005-0000-0000-0000E1030000}"/>
    <cellStyle name="Normal 16 2 3 2" xfId="29073" xr:uid="{3EE35F4E-1A90-4CE1-9E89-F18615FD1658}"/>
    <cellStyle name="Normal 16 2 4" xfId="939" xr:uid="{00000000-0005-0000-0000-0000E2030000}"/>
    <cellStyle name="Normal 16 2 4 2" xfId="34955" xr:uid="{F4AD5F98-2572-4FCB-ADE8-7D1486B9D648}"/>
    <cellStyle name="Normal 16 2 5" xfId="940" xr:uid="{00000000-0005-0000-0000-0000E3030000}"/>
    <cellStyle name="Normal 16 2 5 2" xfId="40819" xr:uid="{BF712352-D6A0-4759-A7E4-2A5730513EFF}"/>
    <cellStyle name="Normal 16 2 6" xfId="941" xr:uid="{00000000-0005-0000-0000-0000E4030000}"/>
    <cellStyle name="Normal 16 2 7" xfId="942" xr:uid="{00000000-0005-0000-0000-0000E5030000}"/>
    <cellStyle name="Normal 16 2 8" xfId="943" xr:uid="{00000000-0005-0000-0000-0000E6030000}"/>
    <cellStyle name="Normal 16 2 9" xfId="8842" xr:uid="{B84DA5DD-8E6F-4652-BA36-92DAFBBB40F7}"/>
    <cellStyle name="Normal 16 3" xfId="944" xr:uid="{00000000-0005-0000-0000-0000E7030000}"/>
    <cellStyle name="Normal 16 3 2" xfId="945" xr:uid="{00000000-0005-0000-0000-0000E8030000}"/>
    <cellStyle name="Normal 16 3 3" xfId="946" xr:uid="{00000000-0005-0000-0000-0000E9030000}"/>
    <cellStyle name="Normal 16 3 4" xfId="947" xr:uid="{00000000-0005-0000-0000-0000EA030000}"/>
    <cellStyle name="Normal 16 3 5" xfId="20421" xr:uid="{C6D8989C-7F4C-40EC-AAC2-0D857A2E8EDB}"/>
    <cellStyle name="Normal 16 4" xfId="948" xr:uid="{00000000-0005-0000-0000-0000EB030000}"/>
    <cellStyle name="Normal 16 4 2" xfId="26223" xr:uid="{2AEC1A32-F177-43EF-B606-95B344EA2006}"/>
    <cellStyle name="Normal 16 5" xfId="949" xr:uid="{00000000-0005-0000-0000-0000EC030000}"/>
    <cellStyle name="Normal 16 5 2" xfId="32098" xr:uid="{44D42F59-24FF-46AD-BE4E-286735EACFB0}"/>
    <cellStyle name="Normal 16 6" xfId="950" xr:uid="{00000000-0005-0000-0000-0000ED030000}"/>
    <cellStyle name="Normal 16 6 2" xfId="37963" xr:uid="{E6994123-645F-4398-8A09-01EA4C014E8D}"/>
    <cellStyle name="Normal 16 7" xfId="951" xr:uid="{00000000-0005-0000-0000-0000EE030000}"/>
    <cellStyle name="Normal 16 8" xfId="952" xr:uid="{00000000-0005-0000-0000-0000EF030000}"/>
    <cellStyle name="Normal 16 9" xfId="953" xr:uid="{00000000-0005-0000-0000-0000F0030000}"/>
    <cellStyle name="Normal 17" xfId="1765" xr:uid="{00000000-0005-0000-0000-0000F1030000}"/>
    <cellStyle name="Normal 17 10" xfId="954" xr:uid="{00000000-0005-0000-0000-0000F2030000}"/>
    <cellStyle name="Normal 17 11" xfId="5993" xr:uid="{DD90694C-89FC-478F-BDDD-43A9A64F6AB7}"/>
    <cellStyle name="Normal 17 2" xfId="955" xr:uid="{00000000-0005-0000-0000-0000F3030000}"/>
    <cellStyle name="Normal 17 2 2" xfId="956" xr:uid="{00000000-0005-0000-0000-0000F4030000}"/>
    <cellStyle name="Normal 17 2 2 2" xfId="23226" xr:uid="{9EB6A848-34B8-4E9B-9F52-915249AC3031}"/>
    <cellStyle name="Normal 17 2 3" xfId="957" xr:uid="{00000000-0005-0000-0000-0000F5030000}"/>
    <cellStyle name="Normal 17 2 3 2" xfId="29093" xr:uid="{53D687D6-2FEB-4184-B294-7E864D55A322}"/>
    <cellStyle name="Normal 17 2 4" xfId="958" xr:uid="{00000000-0005-0000-0000-0000F6030000}"/>
    <cellStyle name="Normal 17 2 4 2" xfId="34975" xr:uid="{A595A9E6-4063-4237-B162-BDEAEAD3B9B0}"/>
    <cellStyle name="Normal 17 2 5" xfId="959" xr:uid="{00000000-0005-0000-0000-0000F7030000}"/>
    <cellStyle name="Normal 17 2 5 2" xfId="40839" xr:uid="{35E0C27E-0D02-4424-B9D8-FE2628157506}"/>
    <cellStyle name="Normal 17 2 6" xfId="960" xr:uid="{00000000-0005-0000-0000-0000F8030000}"/>
    <cellStyle name="Normal 17 2 7" xfId="961" xr:uid="{00000000-0005-0000-0000-0000F9030000}"/>
    <cellStyle name="Normal 17 2 8" xfId="962" xr:uid="{00000000-0005-0000-0000-0000FA030000}"/>
    <cellStyle name="Normal 17 2 9" xfId="8862" xr:uid="{3AA90984-73D4-4716-BE88-C243EE074335}"/>
    <cellStyle name="Normal 17 3" xfId="963" xr:uid="{00000000-0005-0000-0000-0000FB030000}"/>
    <cellStyle name="Normal 17 3 2" xfId="964" xr:uid="{00000000-0005-0000-0000-0000FC030000}"/>
    <cellStyle name="Normal 17 3 3" xfId="965" xr:uid="{00000000-0005-0000-0000-0000FD030000}"/>
    <cellStyle name="Normal 17 3 4" xfId="966" xr:uid="{00000000-0005-0000-0000-0000FE030000}"/>
    <cellStyle name="Normal 17 3 5" xfId="20441" xr:uid="{EC507A62-E661-4A28-9D7D-F13A3440FA97}"/>
    <cellStyle name="Normal 17 4" xfId="967" xr:uid="{00000000-0005-0000-0000-0000FF030000}"/>
    <cellStyle name="Normal 17 4 2" xfId="26243" xr:uid="{99D5CB37-A94C-4D7C-BCF1-6B79F44C2A5C}"/>
    <cellStyle name="Normal 17 5" xfId="968" xr:uid="{00000000-0005-0000-0000-000000040000}"/>
    <cellStyle name="Normal 17 5 2" xfId="32118" xr:uid="{4CB5334A-EF48-4439-8F34-0C5517D2F19A}"/>
    <cellStyle name="Normal 17 6" xfId="969" xr:uid="{00000000-0005-0000-0000-000001040000}"/>
    <cellStyle name="Normal 17 6 2" xfId="37983" xr:uid="{C43B4612-0EA6-4FBC-90AA-CAE8E06CD883}"/>
    <cellStyle name="Normal 17 7" xfId="970" xr:uid="{00000000-0005-0000-0000-000002040000}"/>
    <cellStyle name="Normal 17 8" xfId="971" xr:uid="{00000000-0005-0000-0000-000003040000}"/>
    <cellStyle name="Normal 17 9" xfId="972" xr:uid="{00000000-0005-0000-0000-000004040000}"/>
    <cellStyle name="Normal 18" xfId="6013" xr:uid="{77E0457E-B067-4BE0-9931-D072384C5371}"/>
    <cellStyle name="Normal 18 2" xfId="8882" xr:uid="{1386F0C0-6756-4623-B7D6-F6426EE53D9F}"/>
    <cellStyle name="Normal 18 2 2" xfId="23246" xr:uid="{9AEDC948-AF00-459D-8779-7B93B13EA819}"/>
    <cellStyle name="Normal 18 2 3" xfId="29113" xr:uid="{E026408F-C6E8-4341-8A0E-AF228D4BA80D}"/>
    <cellStyle name="Normal 18 2 4" xfId="34995" xr:uid="{6DF994DC-FC7A-4F52-B00A-3D2ADABA8E78}"/>
    <cellStyle name="Normal 18 2 5" xfId="40859" xr:uid="{DB52B2D2-6CA8-4E7E-9C0B-8C0EEF7F3CA0}"/>
    <cellStyle name="Normal 18 3" xfId="20461" xr:uid="{0EDBD7CE-48C4-4826-8DDC-5390E45A6E41}"/>
    <cellStyle name="Normal 18 4" xfId="26263" xr:uid="{1CEB5272-EF46-419D-9CCA-CC83B72A865D}"/>
    <cellStyle name="Normal 18 5" xfId="32138" xr:uid="{75F45448-5A27-4720-9CD0-7E7EDC808C3A}"/>
    <cellStyle name="Normal 18 6" xfId="38003" xr:uid="{A0FF3C5A-54BD-4DF1-9963-1AEC1091A32E}"/>
    <cellStyle name="Normal 19" xfId="6033" xr:uid="{12B0ADEB-ABAE-476E-B783-71AA071A2C8A}"/>
    <cellStyle name="Normal 19 2" xfId="8902" xr:uid="{97A8B1CD-42CC-42E5-BD94-48361B08DB48}"/>
    <cellStyle name="Normal 19 2 2" xfId="23266" xr:uid="{F8B0C2F8-7935-48A3-9892-194931DF0F4F}"/>
    <cellStyle name="Normal 19 2 3" xfId="29133" xr:uid="{3DE86A49-1653-4BBA-B7F3-FAB78119184B}"/>
    <cellStyle name="Normal 19 2 4" xfId="35015" xr:uid="{66FC7467-4BD4-4E56-AB08-21AF9595CE49}"/>
    <cellStyle name="Normal 19 2 5" xfId="40879" xr:uid="{CB138A8A-7A38-45F9-AA31-742E97DC7106}"/>
    <cellStyle name="Normal 19 3" xfId="20481" xr:uid="{A5A3C45E-B12E-4C83-9428-48EABBF55A32}"/>
    <cellStyle name="Normal 19 4" xfId="26283" xr:uid="{07DE563E-790D-4D19-BAAC-AA3F99A6D58E}"/>
    <cellStyle name="Normal 19 5" xfId="32158" xr:uid="{22208055-D12D-40FC-954D-E86F5ACEF594}"/>
    <cellStyle name="Normal 19 6" xfId="38023" xr:uid="{BBEA7B97-E4B5-4624-8CE4-599A97F68AE3}"/>
    <cellStyle name="Normal 199 2 2" xfId="1878" xr:uid="{00000000-0005-0000-0000-000005040000}"/>
    <cellStyle name="Normal 2" xfId="49" xr:uid="{00000000-0005-0000-0000-000006040000}"/>
    <cellStyle name="Normal 2 10" xfId="85" xr:uid="{00000000-0005-0000-0000-000007040000}"/>
    <cellStyle name="Normal 2 10 2" xfId="973" xr:uid="{00000000-0005-0000-0000-000008040000}"/>
    <cellStyle name="Normal 2 10 2 2 2" xfId="1882" xr:uid="{00000000-0005-0000-0000-000009040000}"/>
    <cellStyle name="Normal 2 11" xfId="974" xr:uid="{00000000-0005-0000-0000-00000A040000}"/>
    <cellStyle name="Normal 2 12" xfId="975" xr:uid="{00000000-0005-0000-0000-00000B040000}"/>
    <cellStyle name="Normal 2 12 2" xfId="976" xr:uid="{00000000-0005-0000-0000-00000C040000}"/>
    <cellStyle name="Normal 2 13" xfId="977" xr:uid="{00000000-0005-0000-0000-00000D040000}"/>
    <cellStyle name="Normal 2 13 2" xfId="978" xr:uid="{00000000-0005-0000-0000-00000E040000}"/>
    <cellStyle name="Normal 2 14" xfId="216" xr:uid="{00000000-0005-0000-0000-00000F040000}"/>
    <cellStyle name="Normal 2 14 2" xfId="979" xr:uid="{00000000-0005-0000-0000-000010040000}"/>
    <cellStyle name="Normal 2 15" xfId="980" xr:uid="{00000000-0005-0000-0000-000011040000}"/>
    <cellStyle name="Normal 2 15 2" xfId="1767" xr:uid="{00000000-0005-0000-0000-000012040000}"/>
    <cellStyle name="Normal 2 15 3" xfId="1766" xr:uid="{00000000-0005-0000-0000-000013040000}"/>
    <cellStyle name="Normal 2 16" xfId="981" xr:uid="{00000000-0005-0000-0000-000014040000}"/>
    <cellStyle name="Normal 2 16 2" xfId="1768" xr:uid="{00000000-0005-0000-0000-000015040000}"/>
    <cellStyle name="Normal 2 17" xfId="1803" xr:uid="{00000000-0005-0000-0000-000016040000}"/>
    <cellStyle name="Normal 2 18" xfId="42349" xr:uid="{77C0F543-6AD3-42DA-AED9-6721D82119E1}"/>
    <cellStyle name="Normal 2 2" xfId="71" xr:uid="{00000000-0005-0000-0000-000017040000}"/>
    <cellStyle name="Normal 2 2 10" xfId="1892" xr:uid="{00000000-0005-0000-0000-000018040000}"/>
    <cellStyle name="Normal 2 2 11" xfId="3364" xr:uid="{4EA45465-F296-486A-A538-207E7B2585B2}"/>
    <cellStyle name="Normal 2 2 12" xfId="42350" xr:uid="{4B9E892E-77DE-4708-806B-1A632DFAB06B}"/>
    <cellStyle name="Normal 2 2 2" xfId="91" xr:uid="{00000000-0005-0000-0000-000019040000}"/>
    <cellStyle name="Normal 2 2 2 2" xfId="983" xr:uid="{00000000-0005-0000-0000-00001A040000}"/>
    <cellStyle name="Normal 2 2 2 3" xfId="1805" xr:uid="{00000000-0005-0000-0000-00001B040000}"/>
    <cellStyle name="Normal 2 2 2 4" xfId="3385" xr:uid="{7FC8F099-DC0A-44F1-A0AD-B47273159263}"/>
    <cellStyle name="Normal 2 2 2 5" xfId="3928" xr:uid="{B2908EF6-C378-458B-872E-D6AD68DB59CF}"/>
    <cellStyle name="Normal 2 2 2 6" xfId="42351" xr:uid="{01AA8933-BDEA-481F-B0A0-717269970463}"/>
    <cellStyle name="Normal 2 2 3" xfId="322" xr:uid="{00000000-0005-0000-0000-00001C040000}"/>
    <cellStyle name="Normal 2 2 3 2" xfId="984" xr:uid="{00000000-0005-0000-0000-00001D040000}"/>
    <cellStyle name="Normal 2 2 3 3" xfId="42352" xr:uid="{B8CD05F9-A17D-4524-B9BE-E60BAAAD114A}"/>
    <cellStyle name="Normal 2 2 4" xfId="985" xr:uid="{00000000-0005-0000-0000-00001E040000}"/>
    <cellStyle name="Normal 2 2 5" xfId="986" xr:uid="{00000000-0005-0000-0000-00001F040000}"/>
    <cellStyle name="Normal 2 2 6" xfId="987" xr:uid="{00000000-0005-0000-0000-000020040000}"/>
    <cellStyle name="Normal 2 2 7" xfId="988" xr:uid="{00000000-0005-0000-0000-000021040000}"/>
    <cellStyle name="Normal 2 2 8" xfId="989" xr:uid="{00000000-0005-0000-0000-000022040000}"/>
    <cellStyle name="Normal 2 2 9" xfId="982" xr:uid="{00000000-0005-0000-0000-000023040000}"/>
    <cellStyle name="Normal 2 3" xfId="90" xr:uid="{00000000-0005-0000-0000-000024040000}"/>
    <cellStyle name="Normal 2 3 10" xfId="1935" xr:uid="{00000000-0005-0000-0000-000025040000}"/>
    <cellStyle name="Normal 2 3 11" xfId="3829" xr:uid="{90129807-DCEB-4E12-95FB-6216127254CB}"/>
    <cellStyle name="Normal 2 3 12" xfId="42353" xr:uid="{39D45D19-9061-480D-82A2-1CEB929B3068}"/>
    <cellStyle name="Normal 2 3 2" xfId="991" xr:uid="{00000000-0005-0000-0000-000026040000}"/>
    <cellStyle name="Normal 2 3 2 2" xfId="1936" xr:uid="{00000000-0005-0000-0000-000027040000}"/>
    <cellStyle name="Normal 2 3 2 3" xfId="42354" xr:uid="{A7516694-31F1-4CB1-91F5-CCA1D7327257}"/>
    <cellStyle name="Normal 2 3 3" xfId="992" xr:uid="{00000000-0005-0000-0000-000028040000}"/>
    <cellStyle name="Normal 2 3 4" xfId="993" xr:uid="{00000000-0005-0000-0000-000029040000}"/>
    <cellStyle name="Normal 2 3 5" xfId="994" xr:uid="{00000000-0005-0000-0000-00002A040000}"/>
    <cellStyle name="Normal 2 3 6" xfId="995" xr:uid="{00000000-0005-0000-0000-00002B040000}"/>
    <cellStyle name="Normal 2 3 7" xfId="996" xr:uid="{00000000-0005-0000-0000-00002C040000}"/>
    <cellStyle name="Normal 2 3 8" xfId="997" xr:uid="{00000000-0005-0000-0000-00002D040000}"/>
    <cellStyle name="Normal 2 3 9" xfId="990" xr:uid="{00000000-0005-0000-0000-00002E040000}"/>
    <cellStyle name="Normal 2 4" xfId="48" xr:uid="{00000000-0005-0000-0000-00002F040000}"/>
    <cellStyle name="Normal 2 4 10" xfId="1934" xr:uid="{00000000-0005-0000-0000-000030040000}"/>
    <cellStyle name="Normal 2 4 11" xfId="3908" xr:uid="{764F00FC-1136-4544-A3E5-EF671959844A}"/>
    <cellStyle name="Normal 2 4 12" xfId="42355" xr:uid="{1C4F8101-86E0-4E6E-88D2-1690F3B6FB2C}"/>
    <cellStyle name="Normal 2 4 2" xfId="999" xr:uid="{00000000-0005-0000-0000-000031040000}"/>
    <cellStyle name="Normal 2 4 3" xfId="1000" xr:uid="{00000000-0005-0000-0000-000032040000}"/>
    <cellStyle name="Normal 2 4 4" xfId="1001" xr:uid="{00000000-0005-0000-0000-000033040000}"/>
    <cellStyle name="Normal 2 4 5" xfId="1002" xr:uid="{00000000-0005-0000-0000-000034040000}"/>
    <cellStyle name="Normal 2 4 6" xfId="1003" xr:uid="{00000000-0005-0000-0000-000035040000}"/>
    <cellStyle name="Normal 2 4 7" xfId="1004" xr:uid="{00000000-0005-0000-0000-000036040000}"/>
    <cellStyle name="Normal 2 4 8" xfId="1005" xr:uid="{00000000-0005-0000-0000-000037040000}"/>
    <cellStyle name="Normal 2 4 9" xfId="998" xr:uid="{00000000-0005-0000-0000-000038040000}"/>
    <cellStyle name="Normal 2 5" xfId="319" xr:uid="{00000000-0005-0000-0000-000039040000}"/>
    <cellStyle name="Normal 2 5 10" xfId="18336" xr:uid="{F2E66D7F-68F0-4EF1-9679-92CB54EB9970}"/>
    <cellStyle name="Normal 2 5 2" xfId="1007" xr:uid="{00000000-0005-0000-0000-00003A040000}"/>
    <cellStyle name="Normal 2 5 3" xfId="1008" xr:uid="{00000000-0005-0000-0000-00003B040000}"/>
    <cellStyle name="Normal 2 5 4" xfId="1009" xr:uid="{00000000-0005-0000-0000-00003C040000}"/>
    <cellStyle name="Normal 2 5 5" xfId="1010" xr:uid="{00000000-0005-0000-0000-00003D040000}"/>
    <cellStyle name="Normal 2 5 6" xfId="1011" xr:uid="{00000000-0005-0000-0000-00003E040000}"/>
    <cellStyle name="Normal 2 5 7" xfId="1012" xr:uid="{00000000-0005-0000-0000-00003F040000}"/>
    <cellStyle name="Normal 2 5 8" xfId="1013" xr:uid="{00000000-0005-0000-0000-000040040000}"/>
    <cellStyle name="Normal 2 5 9" xfId="1006" xr:uid="{00000000-0005-0000-0000-000041040000}"/>
    <cellStyle name="Normal 2 6" xfId="1014" xr:uid="{00000000-0005-0000-0000-000042040000}"/>
    <cellStyle name="Normal 2 6 2" xfId="1015" xr:uid="{00000000-0005-0000-0000-000043040000}"/>
    <cellStyle name="Normal 2 6 3" xfId="1016" xr:uid="{00000000-0005-0000-0000-000044040000}"/>
    <cellStyle name="Normal 2 6 4" xfId="1017" xr:uid="{00000000-0005-0000-0000-000045040000}"/>
    <cellStyle name="Normal 2 7" xfId="1018" xr:uid="{00000000-0005-0000-0000-000046040000}"/>
    <cellStyle name="Normal 2 7 2" xfId="1019" xr:uid="{00000000-0005-0000-0000-000047040000}"/>
    <cellStyle name="Normal 2 7 3" xfId="1020" xr:uid="{00000000-0005-0000-0000-000048040000}"/>
    <cellStyle name="Normal 2 7 4" xfId="1021" xr:uid="{00000000-0005-0000-0000-000049040000}"/>
    <cellStyle name="Normal 2 8" xfId="1022" xr:uid="{00000000-0005-0000-0000-00004A040000}"/>
    <cellStyle name="Normal 2 9" xfId="1023" xr:uid="{00000000-0005-0000-0000-00004B040000}"/>
    <cellStyle name="Normal 20" xfId="6053" xr:uid="{48DE1BD8-A1AE-484F-AFC4-73C0B4392C4C}"/>
    <cellStyle name="Normal 20 2" xfId="8922" xr:uid="{8C13519A-0DEF-4967-BE69-379361D06EE3}"/>
    <cellStyle name="Normal 20 2 2" xfId="23286" xr:uid="{14CBCA39-9313-4022-99B0-D9B31A0508AA}"/>
    <cellStyle name="Normal 20 2 3" xfId="29153" xr:uid="{41805777-F86E-4D8E-89D8-484D0C8A403A}"/>
    <cellStyle name="Normal 20 2 4" xfId="35035" xr:uid="{27902995-FD87-494B-A36E-91C1DA9039D3}"/>
    <cellStyle name="Normal 20 2 5" xfId="40899" xr:uid="{78907941-F1F7-4EBC-A2BA-52C3D5C22B15}"/>
    <cellStyle name="Normal 20 3" xfId="20501" xr:uid="{83BA6AF7-0CC9-404C-8CA3-2909F31C3E57}"/>
    <cellStyle name="Normal 20 4" xfId="26303" xr:uid="{28714D13-30B6-4F92-BE12-DFF458A1316C}"/>
    <cellStyle name="Normal 20 5" xfId="32178" xr:uid="{BE6801A7-209C-49ED-9B1B-13158B99DA8D}"/>
    <cellStyle name="Normal 20 6" xfId="38043" xr:uid="{230C5B87-020D-40C4-B245-5A21679B9543}"/>
    <cellStyle name="Normal 21" xfId="6073" xr:uid="{89ECBE18-B4F8-440C-B66F-E9AFBC23B11D}"/>
    <cellStyle name="Normal 21 2" xfId="8942" xr:uid="{31B2E22E-066B-4D94-AC10-E226657ED9DC}"/>
    <cellStyle name="Normal 21 2 2" xfId="23306" xr:uid="{C24C3A9B-D8AE-492D-8D03-B905C7D6D471}"/>
    <cellStyle name="Normal 21 2 3" xfId="29173" xr:uid="{60C92F1B-6AA5-410E-A100-70241D77DB89}"/>
    <cellStyle name="Normal 21 2 4" xfId="35055" xr:uid="{516412F5-6218-4DCB-9DA2-0136D6025200}"/>
    <cellStyle name="Normal 21 2 5" xfId="40919" xr:uid="{C18F7442-7B7F-44D9-9618-BCF3CCFD12DE}"/>
    <cellStyle name="Normal 21 3" xfId="20521" xr:uid="{E2397372-3BE6-4213-82C0-6908C7479F73}"/>
    <cellStyle name="Normal 21 4" xfId="26323" xr:uid="{2CD2CC49-780C-43B3-9B21-89A496287732}"/>
    <cellStyle name="Normal 21 5" xfId="32198" xr:uid="{3076F8C6-96E2-4834-BE70-42F8811EA54D}"/>
    <cellStyle name="Normal 21 6" xfId="38063" xr:uid="{28EC010F-BF08-41DB-88A7-AB775E55B178}"/>
    <cellStyle name="Normal 22" xfId="6093" xr:uid="{D38DDF86-ED94-4077-9957-6202DE3D68CB}"/>
    <cellStyle name="Normal 22 2" xfId="8962" xr:uid="{4705E819-6CB8-450A-A1F8-4E370DDB99B6}"/>
    <cellStyle name="Normal 22 2 2" xfId="23326" xr:uid="{4B2DD488-7B2D-4CBA-9278-73CAACD382B7}"/>
    <cellStyle name="Normal 22 2 3" xfId="29193" xr:uid="{B1F0C3B1-E466-476C-9A08-488786BC5B75}"/>
    <cellStyle name="Normal 22 2 4" xfId="35075" xr:uid="{617E1FB9-67BB-42E3-B44A-CC0010451002}"/>
    <cellStyle name="Normal 22 2 5" xfId="40939" xr:uid="{C48FBCF8-A2D3-4792-8632-E9C37F689799}"/>
    <cellStyle name="Normal 22 3" xfId="20541" xr:uid="{B271C376-2A7B-45C4-BF71-4F2F8712C540}"/>
    <cellStyle name="Normal 22 4" xfId="26343" xr:uid="{6E2296B1-F73D-4025-9DCF-0E648667A70B}"/>
    <cellStyle name="Normal 22 5" xfId="32218" xr:uid="{0958C29F-270D-42E7-8073-24E6AD14CFEB}"/>
    <cellStyle name="Normal 22 6" xfId="38083" xr:uid="{9F4CB66D-BB0B-4067-9AB0-E907F06CE0EB}"/>
    <cellStyle name="Normal 23" xfId="1769" xr:uid="{00000000-0005-0000-0000-00004C040000}"/>
    <cellStyle name="Normal 23 10" xfId="6113" xr:uid="{B8032700-12ED-4DBA-BFF3-3E2B8F38335B}"/>
    <cellStyle name="Normal 23 2" xfId="1024" xr:uid="{00000000-0005-0000-0000-00004D040000}"/>
    <cellStyle name="Normal 23 2 2" xfId="1025" xr:uid="{00000000-0005-0000-0000-00004E040000}"/>
    <cellStyle name="Normal 23 2 2 2" xfId="23346" xr:uid="{070A378B-2FE7-4AAD-8E7C-277534109A2D}"/>
    <cellStyle name="Normal 23 2 3" xfId="1026" xr:uid="{00000000-0005-0000-0000-00004F040000}"/>
    <cellStyle name="Normal 23 2 3 2" xfId="29213" xr:uid="{434BFC82-6FD4-48BC-BE7B-6147432F1245}"/>
    <cellStyle name="Normal 23 2 4" xfId="1027" xr:uid="{00000000-0005-0000-0000-000050040000}"/>
    <cellStyle name="Normal 23 2 4 2" xfId="35095" xr:uid="{8ECFBF32-A511-4387-8618-BA5717DECBC3}"/>
    <cellStyle name="Normal 23 2 5" xfId="8982" xr:uid="{4B75C98B-7D2D-4B07-AF82-96946B1792E1}"/>
    <cellStyle name="Normal 23 3" xfId="1028" xr:uid="{00000000-0005-0000-0000-000051040000}"/>
    <cellStyle name="Normal 23 3 2" xfId="20561" xr:uid="{57FFB9A4-EE82-4313-8C63-E7C9CA0772E3}"/>
    <cellStyle name="Normal 23 4" xfId="1029" xr:uid="{00000000-0005-0000-0000-000052040000}"/>
    <cellStyle name="Normal 23 4 2" xfId="26363" xr:uid="{F80E77E6-C549-4E21-A9EA-B7F20AE29126}"/>
    <cellStyle name="Normal 23 5" xfId="1030" xr:uid="{00000000-0005-0000-0000-000053040000}"/>
    <cellStyle name="Normal 23 5 2" xfId="32238" xr:uid="{BD40DDF4-A0F7-4ABC-BC5F-B3E25865A8A5}"/>
    <cellStyle name="Normal 23 6" xfId="1031" xr:uid="{00000000-0005-0000-0000-000054040000}"/>
    <cellStyle name="Normal 23 6 2" xfId="38103" xr:uid="{F64331D3-5667-4E1D-9755-5A9B04B1CD1A}"/>
    <cellStyle name="Normal 23 7" xfId="1032" xr:uid="{00000000-0005-0000-0000-000055040000}"/>
    <cellStyle name="Normal 23 8" xfId="1033" xr:uid="{00000000-0005-0000-0000-000056040000}"/>
    <cellStyle name="Normal 23 9" xfId="1034" xr:uid="{00000000-0005-0000-0000-000057040000}"/>
    <cellStyle name="Normal 24" xfId="1770" xr:uid="{00000000-0005-0000-0000-000058040000}"/>
    <cellStyle name="Normal 24 10" xfId="6133" xr:uid="{6CAF94EC-95F7-4717-9C09-DE12A894B501}"/>
    <cellStyle name="Normal 24 2" xfId="1035" xr:uid="{00000000-0005-0000-0000-000059040000}"/>
    <cellStyle name="Normal 24 2 2" xfId="1036" xr:uid="{00000000-0005-0000-0000-00005A040000}"/>
    <cellStyle name="Normal 24 2 2 2" xfId="23366" xr:uid="{11F45216-E7C3-497C-93C6-6FFD16F40D60}"/>
    <cellStyle name="Normal 24 2 3" xfId="1037" xr:uid="{00000000-0005-0000-0000-00005B040000}"/>
    <cellStyle name="Normal 24 2 3 2" xfId="29233" xr:uid="{5EF33D7D-26DF-4E44-A03B-9FBDD349F6B6}"/>
    <cellStyle name="Normal 24 2 4" xfId="1038" xr:uid="{00000000-0005-0000-0000-00005C040000}"/>
    <cellStyle name="Normal 24 2 4 2" xfId="35115" xr:uid="{A9196816-F22D-4630-B466-4275EE2CB0AC}"/>
    <cellStyle name="Normal 24 2 5" xfId="9002" xr:uid="{678F71A2-97BE-4247-A0C2-A1A7354CDEC8}"/>
    <cellStyle name="Normal 24 3" xfId="1039" xr:uid="{00000000-0005-0000-0000-00005D040000}"/>
    <cellStyle name="Normal 24 3 2" xfId="20581" xr:uid="{79CC7FDA-0CF8-498A-985D-D047D30DC43A}"/>
    <cellStyle name="Normal 24 4" xfId="1040" xr:uid="{00000000-0005-0000-0000-00005E040000}"/>
    <cellStyle name="Normal 24 4 2" xfId="26383" xr:uid="{D1F8F4BA-E274-42E8-9905-5952095297CC}"/>
    <cellStyle name="Normal 24 5" xfId="1041" xr:uid="{00000000-0005-0000-0000-00005F040000}"/>
    <cellStyle name="Normal 24 5 2" xfId="32258" xr:uid="{E1CE92A2-98E5-4889-A69C-ECEAD618AC43}"/>
    <cellStyle name="Normal 24 6" xfId="1042" xr:uid="{00000000-0005-0000-0000-000060040000}"/>
    <cellStyle name="Normal 24 6 2" xfId="38123" xr:uid="{392C4EA7-DD0B-417C-A5CF-ED433E80C6E4}"/>
    <cellStyle name="Normal 24 7" xfId="1043" xr:uid="{00000000-0005-0000-0000-000061040000}"/>
    <cellStyle name="Normal 24 8" xfId="1044" xr:uid="{00000000-0005-0000-0000-000062040000}"/>
    <cellStyle name="Normal 24 9" xfId="1045" xr:uid="{00000000-0005-0000-0000-000063040000}"/>
    <cellStyle name="Normal 25" xfId="1771" xr:uid="{00000000-0005-0000-0000-000064040000}"/>
    <cellStyle name="Normal 25 10" xfId="6153" xr:uid="{396C36B3-92F8-4ABB-AFB7-2D99B3EF8EBC}"/>
    <cellStyle name="Normal 25 2" xfId="1046" xr:uid="{00000000-0005-0000-0000-000065040000}"/>
    <cellStyle name="Normal 25 2 2" xfId="1047" xr:uid="{00000000-0005-0000-0000-000066040000}"/>
    <cellStyle name="Normal 25 2 2 2" xfId="23386" xr:uid="{0B46F9B9-1AA0-4C0B-A369-D888955CDFA1}"/>
    <cellStyle name="Normal 25 2 3" xfId="1048" xr:uid="{00000000-0005-0000-0000-000067040000}"/>
    <cellStyle name="Normal 25 2 3 2" xfId="29253" xr:uid="{019EC162-C41C-43EA-AA84-CF0AC96EE581}"/>
    <cellStyle name="Normal 25 2 4" xfId="1049" xr:uid="{00000000-0005-0000-0000-000068040000}"/>
    <cellStyle name="Normal 25 2 4 2" xfId="35135" xr:uid="{E587CAD0-BBAA-4DEB-A4A9-4F6D0A42AF3C}"/>
    <cellStyle name="Normal 25 2 5" xfId="9022" xr:uid="{FB021072-7FA1-4229-8113-76F980E79B81}"/>
    <cellStyle name="Normal 25 3" xfId="1050" xr:uid="{00000000-0005-0000-0000-000069040000}"/>
    <cellStyle name="Normal 25 3 2" xfId="20601" xr:uid="{065FC235-9C88-4D55-BC22-18FC8D93AF56}"/>
    <cellStyle name="Normal 25 4" xfId="1051" xr:uid="{00000000-0005-0000-0000-00006A040000}"/>
    <cellStyle name="Normal 25 4 2" xfId="26403" xr:uid="{F0504F6A-CBD8-43B4-B943-F74DF4A07484}"/>
    <cellStyle name="Normal 25 5" xfId="1052" xr:uid="{00000000-0005-0000-0000-00006B040000}"/>
    <cellStyle name="Normal 25 5 2" xfId="32278" xr:uid="{7E620764-85EE-4313-80A0-7D8F9544E677}"/>
    <cellStyle name="Normal 25 6" xfId="1053" xr:uid="{00000000-0005-0000-0000-00006C040000}"/>
    <cellStyle name="Normal 25 6 2" xfId="38143" xr:uid="{EAB04362-98A0-4FFB-AEAF-0F2DDC5E5E59}"/>
    <cellStyle name="Normal 25 7" xfId="1054" xr:uid="{00000000-0005-0000-0000-00006D040000}"/>
    <cellStyle name="Normal 25 8" xfId="1055" xr:uid="{00000000-0005-0000-0000-00006E040000}"/>
    <cellStyle name="Normal 25 9" xfId="1056" xr:uid="{00000000-0005-0000-0000-00006F040000}"/>
    <cellStyle name="Normal 26" xfId="1772" xr:uid="{00000000-0005-0000-0000-000070040000}"/>
    <cellStyle name="Normal 26 2" xfId="1057" xr:uid="{00000000-0005-0000-0000-000071040000}"/>
    <cellStyle name="Normal 26 2 2" xfId="1058" xr:uid="{00000000-0005-0000-0000-000072040000}"/>
    <cellStyle name="Normal 26 2 2 2" xfId="23406" xr:uid="{7037A068-CEFA-4C22-951E-C6A4FB9E0C46}"/>
    <cellStyle name="Normal 26 2 3" xfId="1059" xr:uid="{00000000-0005-0000-0000-000073040000}"/>
    <cellStyle name="Normal 26 2 3 2" xfId="29273" xr:uid="{098C8388-D596-47A3-A24C-0E5B7E404A90}"/>
    <cellStyle name="Normal 26 2 4" xfId="1060" xr:uid="{00000000-0005-0000-0000-000074040000}"/>
    <cellStyle name="Normal 26 2 4 2" xfId="35155" xr:uid="{AF720E27-E018-438B-8443-1CD504D2EEC2}"/>
    <cellStyle name="Normal 26 2 5" xfId="9042" xr:uid="{AEB2F53B-6978-4856-A2D9-B839CB87F1A9}"/>
    <cellStyle name="Normal 26 3" xfId="1061" xr:uid="{00000000-0005-0000-0000-000075040000}"/>
    <cellStyle name="Normal 26 3 2" xfId="20621" xr:uid="{503821B6-ED22-4E36-BD99-8CD7B0CE92EB}"/>
    <cellStyle name="Normal 26 4" xfId="1062" xr:uid="{00000000-0005-0000-0000-000076040000}"/>
    <cellStyle name="Normal 26 4 2" xfId="26423" xr:uid="{F636FB38-6FF6-4F66-B919-96596C86DEF9}"/>
    <cellStyle name="Normal 26 5" xfId="1063" xr:uid="{00000000-0005-0000-0000-000077040000}"/>
    <cellStyle name="Normal 26 5 2" xfId="32298" xr:uid="{2EF46A1E-30B3-4E41-8116-28A4F36E43F9}"/>
    <cellStyle name="Normal 26 6" xfId="1064" xr:uid="{00000000-0005-0000-0000-000078040000}"/>
    <cellStyle name="Normal 26 6 2" xfId="38163" xr:uid="{216E36C8-131C-4B14-AF8C-402F189739DF}"/>
    <cellStyle name="Normal 26 7" xfId="1065" xr:uid="{00000000-0005-0000-0000-000079040000}"/>
    <cellStyle name="Normal 26 8" xfId="6173" xr:uid="{346FACD2-BEFF-41C1-AA1C-DB919BF71E7C}"/>
    <cellStyle name="Normal 27" xfId="1773" xr:uid="{00000000-0005-0000-0000-00007A040000}"/>
    <cellStyle name="Normal 27 10" xfId="6193" xr:uid="{CB87FDC1-7153-4599-A925-464966FB78BE}"/>
    <cellStyle name="Normal 27 2" xfId="1066" xr:uid="{00000000-0005-0000-0000-00007B040000}"/>
    <cellStyle name="Normal 27 2 2" xfId="1067" xr:uid="{00000000-0005-0000-0000-00007C040000}"/>
    <cellStyle name="Normal 27 2 2 2" xfId="23426" xr:uid="{8EA515F0-C310-4EF6-ADF2-3D1B0D8E9E76}"/>
    <cellStyle name="Normal 27 2 3" xfId="1068" xr:uid="{00000000-0005-0000-0000-00007D040000}"/>
    <cellStyle name="Normal 27 2 3 2" xfId="29293" xr:uid="{5826A10D-867B-42ED-A412-AC437A686752}"/>
    <cellStyle name="Normal 27 2 4" xfId="1069" xr:uid="{00000000-0005-0000-0000-00007E040000}"/>
    <cellStyle name="Normal 27 2 4 2" xfId="35175" xr:uid="{84BD863C-04EA-41AC-89E5-F9E466F7B351}"/>
    <cellStyle name="Normal 27 2 5" xfId="9062" xr:uid="{4FE2F053-D8D1-4AA4-A28F-067C1087A301}"/>
    <cellStyle name="Normal 27 3" xfId="1070" xr:uid="{00000000-0005-0000-0000-00007F040000}"/>
    <cellStyle name="Normal 27 3 2" xfId="20641" xr:uid="{5F44A9D8-4E36-4C54-90C2-4AEFAF9C3FA7}"/>
    <cellStyle name="Normal 27 4" xfId="1071" xr:uid="{00000000-0005-0000-0000-000080040000}"/>
    <cellStyle name="Normal 27 4 2" xfId="26443" xr:uid="{C405CC85-FA2B-4CAD-9564-AAAE21F993E5}"/>
    <cellStyle name="Normal 27 5" xfId="1072" xr:uid="{00000000-0005-0000-0000-000081040000}"/>
    <cellStyle name="Normal 27 5 2" xfId="32318" xr:uid="{28B2018F-B46D-4E69-89DE-314729603AE0}"/>
    <cellStyle name="Normal 27 6" xfId="1073" xr:uid="{00000000-0005-0000-0000-000082040000}"/>
    <cellStyle name="Normal 27 6 2" xfId="38183" xr:uid="{5018D213-F000-417C-9407-CCD666A4898A}"/>
    <cellStyle name="Normal 27 7" xfId="1074" xr:uid="{00000000-0005-0000-0000-000083040000}"/>
    <cellStyle name="Normal 27 8" xfId="1075" xr:uid="{00000000-0005-0000-0000-000084040000}"/>
    <cellStyle name="Normal 27 9" xfId="1076" xr:uid="{00000000-0005-0000-0000-000085040000}"/>
    <cellStyle name="Normal 28" xfId="1774" xr:uid="{00000000-0005-0000-0000-000086040000}"/>
    <cellStyle name="Normal 28 10" xfId="6232" xr:uid="{398496C1-36C3-4E91-B8BA-7381D29B9751}"/>
    <cellStyle name="Normal 28 2" xfId="1077" xr:uid="{00000000-0005-0000-0000-000087040000}"/>
    <cellStyle name="Normal 28 2 2" xfId="1078" xr:uid="{00000000-0005-0000-0000-000088040000}"/>
    <cellStyle name="Normal 28 2 2 2" xfId="23465" xr:uid="{AA220390-09C7-4999-9121-168ACFEC3667}"/>
    <cellStyle name="Normal 28 2 3" xfId="1079" xr:uid="{00000000-0005-0000-0000-000089040000}"/>
    <cellStyle name="Normal 28 2 3 2" xfId="29332" xr:uid="{16803B7A-907B-4ACB-BBE7-CF9C0E859BA2}"/>
    <cellStyle name="Normal 28 2 4" xfId="1080" xr:uid="{00000000-0005-0000-0000-00008A040000}"/>
    <cellStyle name="Normal 28 2 4 2" xfId="35214" xr:uid="{18F04F51-D627-4284-8606-D337D4F910AB}"/>
    <cellStyle name="Normal 28 2 5" xfId="9101" xr:uid="{5FEA303D-D276-45D8-BFC6-27779508400E}"/>
    <cellStyle name="Normal 28 3" xfId="1081" xr:uid="{00000000-0005-0000-0000-00008B040000}"/>
    <cellStyle name="Normal 28 3 2" xfId="20673" xr:uid="{B21F4D6E-4293-40E8-BFBA-0E21FDCD2B01}"/>
    <cellStyle name="Normal 28 4" xfId="1082" xr:uid="{00000000-0005-0000-0000-00008C040000}"/>
    <cellStyle name="Normal 28 4 2" xfId="26482" xr:uid="{D6700DA9-0D9A-4431-ADC8-B36D2C20329B}"/>
    <cellStyle name="Normal 28 5" xfId="1083" xr:uid="{00000000-0005-0000-0000-00008D040000}"/>
    <cellStyle name="Normal 28 5 2" xfId="32357" xr:uid="{21D2E703-87E8-439E-9DBE-8194FECBED75}"/>
    <cellStyle name="Normal 28 6" xfId="1084" xr:uid="{00000000-0005-0000-0000-00008E040000}"/>
    <cellStyle name="Normal 28 6 2" xfId="38222" xr:uid="{7683AE6D-940D-4C73-B226-F34D7F21D5FC}"/>
    <cellStyle name="Normal 28 7" xfId="1085" xr:uid="{00000000-0005-0000-0000-00008F040000}"/>
    <cellStyle name="Normal 28 8" xfId="1086" xr:uid="{00000000-0005-0000-0000-000090040000}"/>
    <cellStyle name="Normal 28 9" xfId="1087" xr:uid="{00000000-0005-0000-0000-000091040000}"/>
    <cellStyle name="Normal 29" xfId="1775" xr:uid="{00000000-0005-0000-0000-000092040000}"/>
    <cellStyle name="Normal 29 10" xfId="6252" xr:uid="{5250A5C7-945E-45AD-8521-EA4DCD2AEB3B}"/>
    <cellStyle name="Normal 29 2" xfId="1088" xr:uid="{00000000-0005-0000-0000-000093040000}"/>
    <cellStyle name="Normal 29 2 2" xfId="1089" xr:uid="{00000000-0005-0000-0000-000094040000}"/>
    <cellStyle name="Normal 29 2 2 2" xfId="23485" xr:uid="{CC122007-25A2-42BC-B392-7A7FE55C2AF1}"/>
    <cellStyle name="Normal 29 2 3" xfId="1090" xr:uid="{00000000-0005-0000-0000-000095040000}"/>
    <cellStyle name="Normal 29 2 3 2" xfId="29352" xr:uid="{F8BC6EF9-7865-4876-9F84-3A5387C6FE16}"/>
    <cellStyle name="Normal 29 2 4" xfId="1091" xr:uid="{00000000-0005-0000-0000-000096040000}"/>
    <cellStyle name="Normal 29 2 4 2" xfId="35234" xr:uid="{FEEADAC6-F324-487F-9299-C8CD3DCE65C8}"/>
    <cellStyle name="Normal 29 2 5" xfId="9121" xr:uid="{DCA37742-F508-41A9-9970-B6E4398183B7}"/>
    <cellStyle name="Normal 29 3" xfId="1092" xr:uid="{00000000-0005-0000-0000-000097040000}"/>
    <cellStyle name="Normal 29 3 2" xfId="20693" xr:uid="{FD009C61-0976-4EE5-A76E-E68431D8E063}"/>
    <cellStyle name="Normal 29 4" xfId="1093" xr:uid="{00000000-0005-0000-0000-000098040000}"/>
    <cellStyle name="Normal 29 4 2" xfId="26502" xr:uid="{E5F26494-6F88-4590-8FDB-4708F413C09F}"/>
    <cellStyle name="Normal 29 5" xfId="1094" xr:uid="{00000000-0005-0000-0000-000099040000}"/>
    <cellStyle name="Normal 29 5 2" xfId="32377" xr:uid="{C9104DB6-4CE5-4720-A2CC-DE468AE94A2F}"/>
    <cellStyle name="Normal 29 6" xfId="1095" xr:uid="{00000000-0005-0000-0000-00009A040000}"/>
    <cellStyle name="Normal 29 6 2" xfId="38242" xr:uid="{49F44766-70ED-4C76-9642-25B285F5B2C6}"/>
    <cellStyle name="Normal 29 7" xfId="1096" xr:uid="{00000000-0005-0000-0000-00009B040000}"/>
    <cellStyle name="Normal 29 8" xfId="1097" xr:uid="{00000000-0005-0000-0000-00009C040000}"/>
    <cellStyle name="Normal 29 9" xfId="1098" xr:uid="{00000000-0005-0000-0000-00009D040000}"/>
    <cellStyle name="Normal 3" xfId="72" xr:uid="{00000000-0005-0000-0000-00009E040000}"/>
    <cellStyle name="Normal 3 10" xfId="1099" xr:uid="{00000000-0005-0000-0000-00009F040000}"/>
    <cellStyle name="Normal 3 11" xfId="1100" xr:uid="{00000000-0005-0000-0000-0000A0040000}"/>
    <cellStyle name="Normal 3 12" xfId="1101" xr:uid="{00000000-0005-0000-0000-0000A1040000}"/>
    <cellStyle name="Normal 3 13" xfId="1776" xr:uid="{00000000-0005-0000-0000-0000A2040000}"/>
    <cellStyle name="Normal 3 2" xfId="73" xr:uid="{00000000-0005-0000-0000-0000A3040000}"/>
    <cellStyle name="Normal 3 2 10" xfId="1905" xr:uid="{00000000-0005-0000-0000-0000A4040000}"/>
    <cellStyle name="Normal 3 2 11" xfId="42356" xr:uid="{D2099BBA-5BAE-46F6-8F7E-C27317F30810}"/>
    <cellStyle name="Normal 3 2 2" xfId="1103" xr:uid="{00000000-0005-0000-0000-0000A5040000}"/>
    <cellStyle name="Normal 3 2 2 2" xfId="1909" xr:uid="{00000000-0005-0000-0000-0000A6040000}"/>
    <cellStyle name="Normal 3 2 2 2 2" xfId="5703" xr:uid="{10E25A5C-A2B3-4DDB-9D57-7C4615412320}"/>
    <cellStyle name="Normal 3 2 2 2 2 2" xfId="8571" xr:uid="{C07386D7-5D05-40B3-B1A2-4680B9ECAB74}"/>
    <cellStyle name="Normal 3 2 2 2 2 2 2" xfId="22943" xr:uid="{225B1128-F6EB-4FC3-93E7-6FA7717CCC75}"/>
    <cellStyle name="Normal 3 2 2 2 2 2 3" xfId="28804" xr:uid="{9D05FDF3-9795-4962-9A4D-105FEF3E5A8F}"/>
    <cellStyle name="Normal 3 2 2 2 2 2 4" xfId="34686" xr:uid="{7F229029-889E-47C2-8B6D-816D32E12706}"/>
    <cellStyle name="Normal 3 2 2 2 2 2 5" xfId="40550" xr:uid="{227961FC-7F6C-467C-A524-FB034EBA8A4A}"/>
    <cellStyle name="Normal 3 2 2 2 2 3" xfId="20160" xr:uid="{05BA6D47-E251-4C95-884F-034A0640A217}"/>
    <cellStyle name="Normal 3 2 2 2 2 4" xfId="25954" xr:uid="{290980CA-2DFC-4AB6-9C06-1EEFE3EF9F79}"/>
    <cellStyle name="Normal 3 2 2 2 2 5" xfId="31829" xr:uid="{82C88253-E485-42EF-8708-6A8E200CF530}"/>
    <cellStyle name="Normal 3 2 2 2 2 6" xfId="37696" xr:uid="{E29C70BC-BA70-462D-8DE1-06755000CCCB}"/>
    <cellStyle name="Normal 3 2 2 2 3" xfId="7599" xr:uid="{F761AC10-9AE4-4509-8959-5DD66C40D023}"/>
    <cellStyle name="Normal 3 2 2 2 3 2" xfId="21993" xr:uid="{E1307ACB-882F-43DC-857A-E462E0832F7D}"/>
    <cellStyle name="Normal 3 2 2 2 3 3" xfId="27833" xr:uid="{7F13716D-5158-4BB8-A290-14103E13B6E9}"/>
    <cellStyle name="Normal 3 2 2 2 3 4" xfId="33715" xr:uid="{08250C76-9664-4D9D-A0CA-42922BAE4FD9}"/>
    <cellStyle name="Normal 3 2 2 2 3 5" xfId="39579" xr:uid="{3050B6F3-97F6-4B1C-81A0-4C2C2B233A86}"/>
    <cellStyle name="Normal 3 2 2 2 4" xfId="4735" xr:uid="{5CA4E443-374D-4718-BA1E-FBC5E14FB0ED}"/>
    <cellStyle name="Normal 3 2 2 2 5" xfId="24984" xr:uid="{52692844-4973-4CAD-BD70-653AFFF88BF5}"/>
    <cellStyle name="Normal 3 2 2 2 6" xfId="30858" xr:uid="{7CF3027D-1A5C-4D26-8D40-E0858E8445BF}"/>
    <cellStyle name="Normal 3 2 2 2 7" xfId="36739" xr:uid="{EC2EC2B3-9708-4771-B3DF-2527352A92AE}"/>
    <cellStyle name="Normal 3 2 2 3" xfId="5219" xr:uid="{01D0FDCA-73C7-4A06-9802-D06A2D7D201D}"/>
    <cellStyle name="Normal 3 2 2 3 2" xfId="8086" xr:uid="{863203CB-F5EE-45D1-B0C2-B2800BAA7104}"/>
    <cellStyle name="Normal 3 2 2 3 2 2" xfId="22464" xr:uid="{C597EC22-FC4C-41C8-8447-5F24AEBCFC33}"/>
    <cellStyle name="Normal 3 2 2 3 2 3" xfId="28319" xr:uid="{D7C20C5C-6751-4ED8-BAF4-C7B527DD6B9E}"/>
    <cellStyle name="Normal 3 2 2 3 2 4" xfId="34201" xr:uid="{0E157E43-300C-45B1-BE8B-17E5E03AEAD0}"/>
    <cellStyle name="Normal 3 2 2 3 2 5" xfId="40065" xr:uid="{0F2AACF3-D427-4165-9E35-4CC389F502B7}"/>
    <cellStyle name="Normal 3 2 2 3 3" xfId="19689" xr:uid="{DC965B8F-73D6-4B35-B528-40C88017BAD8}"/>
    <cellStyle name="Normal 3 2 2 3 4" xfId="25470" xr:uid="{E5BCAC89-EA61-4DEF-9D4F-A6050FB4024A}"/>
    <cellStyle name="Normal 3 2 2 3 5" xfId="31344" xr:uid="{17D7D874-691D-42D6-9ADA-4501C4988B5B}"/>
    <cellStyle name="Normal 3 2 2 3 6" xfId="37217" xr:uid="{E754F311-53BA-4DFE-9506-E93424A5AEAA}"/>
    <cellStyle name="Normal 3 2 2 4" xfId="7114" xr:uid="{5DB93575-DD0D-4047-BB76-B73963B8A79B}"/>
    <cellStyle name="Normal 3 2 2 4 2" xfId="21525" xr:uid="{6584E605-14C8-45A7-8E0C-E0EDD08BEE41}"/>
    <cellStyle name="Normal 3 2 2 4 3" xfId="27349" xr:uid="{AE471000-9596-4305-BB28-A4E0D19D15AE}"/>
    <cellStyle name="Normal 3 2 2 4 4" xfId="33230" xr:uid="{10898D26-3782-4054-B269-72FD072C3103}"/>
    <cellStyle name="Normal 3 2 2 4 5" xfId="39094" xr:uid="{15A44B86-D6D1-4E28-88CA-3C930C0C8264}"/>
    <cellStyle name="Normal 3 2 2 5" xfId="4255" xr:uid="{9F1F8543-6B43-457B-91D0-D806B6E41AD0}"/>
    <cellStyle name="Normal 3 2 2 6" xfId="24498" xr:uid="{4B211287-3A15-4B77-8472-D160DEE07884}"/>
    <cellStyle name="Normal 3 2 2 7" xfId="30377" xr:uid="{DBBAE1C8-74B7-434E-944D-66F75967BC8E}"/>
    <cellStyle name="Normal 3 2 2 8" xfId="36258" xr:uid="{2BA5C446-38C7-4203-9523-D948D4639C5A}"/>
    <cellStyle name="Normal 3 2 3" xfId="1104" xr:uid="{00000000-0005-0000-0000-0000A7040000}"/>
    <cellStyle name="Normal 3 2 3 2" xfId="9086" xr:uid="{F7D0E811-7DFB-4E63-8A8C-90CCE513745B}"/>
    <cellStyle name="Normal 3 2 3 2 2" xfId="23450" xr:uid="{8FCE3CD0-FDCB-4B22-B85E-C56C54E01B6C}"/>
    <cellStyle name="Normal 3 2 3 2 3" xfId="29317" xr:uid="{4A0ED1EC-BF0B-4B69-80B7-88E1292A775E}"/>
    <cellStyle name="Normal 3 2 3 2 4" xfId="35199" xr:uid="{600E67AD-2DBE-432F-9DEC-D5D8B50EA08C}"/>
    <cellStyle name="Normal 3 2 3 2 5" xfId="41060" xr:uid="{BC2133D6-2BEF-4037-94AD-41D29E279C88}"/>
    <cellStyle name="Normal 3 2 3 3" xfId="6217" xr:uid="{ECF3CCF6-194A-4DBD-8CCE-B7944447D462}"/>
    <cellStyle name="Normal 3 2 3 4" xfId="26467" xr:uid="{F476B82D-3068-4819-8FD9-39DC3B37ED25}"/>
    <cellStyle name="Normal 3 2 3 5" xfId="32342" xr:uid="{36393C1B-CA6A-451C-87DD-11E29E01C483}"/>
    <cellStyle name="Normal 3 2 3 6" xfId="38207" xr:uid="{02DF4936-0D96-414B-9438-602C41AA5D59}"/>
    <cellStyle name="Normal 3 2 4" xfId="1105" xr:uid="{00000000-0005-0000-0000-0000A8040000}"/>
    <cellStyle name="Normal 3 2 5" xfId="1106" xr:uid="{00000000-0005-0000-0000-0000A9040000}"/>
    <cellStyle name="Normal 3 2 6" xfId="1107" xr:uid="{00000000-0005-0000-0000-0000AA040000}"/>
    <cellStyle name="Normal 3 2 7" xfId="1108" xr:uid="{00000000-0005-0000-0000-0000AB040000}"/>
    <cellStyle name="Normal 3 2 8" xfId="1109" xr:uid="{00000000-0005-0000-0000-0000AC040000}"/>
    <cellStyle name="Normal 3 2 9" xfId="1102" xr:uid="{00000000-0005-0000-0000-0000AD040000}"/>
    <cellStyle name="Normal 3 3" xfId="43" xr:uid="{00000000-0005-0000-0000-0000AE040000}"/>
    <cellStyle name="Normal 3 3 10" xfId="1924" xr:uid="{00000000-0005-0000-0000-0000AF040000}"/>
    <cellStyle name="Normal 3 3 2" xfId="1111" xr:uid="{00000000-0005-0000-0000-0000B0040000}"/>
    <cellStyle name="Normal 3 3 3" xfId="1112" xr:uid="{00000000-0005-0000-0000-0000B1040000}"/>
    <cellStyle name="Normal 3 3 4" xfId="1113" xr:uid="{00000000-0005-0000-0000-0000B2040000}"/>
    <cellStyle name="Normal 3 3 5" xfId="1114" xr:uid="{00000000-0005-0000-0000-0000B3040000}"/>
    <cellStyle name="Normal 3 3 6" xfId="1115" xr:uid="{00000000-0005-0000-0000-0000B4040000}"/>
    <cellStyle name="Normal 3 3 7" xfId="1116" xr:uid="{00000000-0005-0000-0000-0000B5040000}"/>
    <cellStyle name="Normal 3 3 8" xfId="1117" xr:uid="{00000000-0005-0000-0000-0000B6040000}"/>
    <cellStyle name="Normal 3 3 9" xfId="1110" xr:uid="{00000000-0005-0000-0000-0000B7040000}"/>
    <cellStyle name="Normal 3 4" xfId="348" xr:uid="{00000000-0005-0000-0000-0000B8040000}"/>
    <cellStyle name="Normal 3 4 2" xfId="1119" xr:uid="{00000000-0005-0000-0000-0000B9040000}"/>
    <cellStyle name="Normal 3 4 2 2" xfId="46985" xr:uid="{746EBE23-F823-4E61-A03A-AEACCB7B7D65}"/>
    <cellStyle name="Normal 3 4 3" xfId="1120" xr:uid="{00000000-0005-0000-0000-0000BA040000}"/>
    <cellStyle name="Normal 3 4 4" xfId="1121" xr:uid="{00000000-0005-0000-0000-0000BB040000}"/>
    <cellStyle name="Normal 3 4 5" xfId="1122" xr:uid="{00000000-0005-0000-0000-0000BC040000}"/>
    <cellStyle name="Normal 3 4 6" xfId="1123" xr:uid="{00000000-0005-0000-0000-0000BD040000}"/>
    <cellStyle name="Normal 3 4 7" xfId="1124" xr:uid="{00000000-0005-0000-0000-0000BE040000}"/>
    <cellStyle name="Normal 3 4 8" xfId="1125" xr:uid="{00000000-0005-0000-0000-0000BF040000}"/>
    <cellStyle name="Normal 3 4 9" xfId="1118" xr:uid="{00000000-0005-0000-0000-0000C0040000}"/>
    <cellStyle name="Normal 3 5" xfId="1126" xr:uid="{00000000-0005-0000-0000-0000C1040000}"/>
    <cellStyle name="Normal 3 5 2" xfId="1127" xr:uid="{00000000-0005-0000-0000-0000C2040000}"/>
    <cellStyle name="Normal 3 5 3" xfId="1128" xr:uid="{00000000-0005-0000-0000-0000C3040000}"/>
    <cellStyle name="Normal 3 5 4" xfId="1129" xr:uid="{00000000-0005-0000-0000-0000C4040000}"/>
    <cellStyle name="Normal 3 5 5" xfId="1130" xr:uid="{00000000-0005-0000-0000-0000C5040000}"/>
    <cellStyle name="Normal 3 5 6" xfId="1131" xr:uid="{00000000-0005-0000-0000-0000C6040000}"/>
    <cellStyle name="Normal 3 5 7" xfId="1132" xr:uid="{00000000-0005-0000-0000-0000C7040000}"/>
    <cellStyle name="Normal 3 5 8" xfId="1133" xr:uid="{00000000-0005-0000-0000-0000C8040000}"/>
    <cellStyle name="Normal 3 6" xfId="1134" xr:uid="{00000000-0005-0000-0000-0000C9040000}"/>
    <cellStyle name="Normal 3 6 2" xfId="1135" xr:uid="{00000000-0005-0000-0000-0000CA040000}"/>
    <cellStyle name="Normal 3 6 3" xfId="1136" xr:uid="{00000000-0005-0000-0000-0000CB040000}"/>
    <cellStyle name="Normal 3 6 4" xfId="1137" xr:uid="{00000000-0005-0000-0000-0000CC040000}"/>
    <cellStyle name="Normal 3 6 5" xfId="1138" xr:uid="{00000000-0005-0000-0000-0000CD040000}"/>
    <cellStyle name="Normal 3 6 6" xfId="1139" xr:uid="{00000000-0005-0000-0000-0000CE040000}"/>
    <cellStyle name="Normal 3 6 7" xfId="1140" xr:uid="{00000000-0005-0000-0000-0000CF040000}"/>
    <cellStyle name="Normal 3 6 8" xfId="1141" xr:uid="{00000000-0005-0000-0000-0000D0040000}"/>
    <cellStyle name="Normal 3 7" xfId="1142" xr:uid="{00000000-0005-0000-0000-0000D1040000}"/>
    <cellStyle name="Normal 3 7 2" xfId="1143" xr:uid="{00000000-0005-0000-0000-0000D2040000}"/>
    <cellStyle name="Normal 3 7 3" xfId="1144" xr:uid="{00000000-0005-0000-0000-0000D3040000}"/>
    <cellStyle name="Normal 3 7 4" xfId="1145" xr:uid="{00000000-0005-0000-0000-0000D4040000}"/>
    <cellStyle name="Normal 3 7 5" xfId="1146" xr:uid="{00000000-0005-0000-0000-0000D5040000}"/>
    <cellStyle name="Normal 3 7 6" xfId="1147" xr:uid="{00000000-0005-0000-0000-0000D6040000}"/>
    <cellStyle name="Normal 3 7 7" xfId="1148" xr:uid="{00000000-0005-0000-0000-0000D7040000}"/>
    <cellStyle name="Normal 3 7 8" xfId="1149" xr:uid="{00000000-0005-0000-0000-0000D8040000}"/>
    <cellStyle name="Normal 3 8" xfId="1150" xr:uid="{00000000-0005-0000-0000-0000D9040000}"/>
    <cellStyle name="Normal 3 8 2" xfId="1151" xr:uid="{00000000-0005-0000-0000-0000DA040000}"/>
    <cellStyle name="Normal 3 8 3" xfId="1152" xr:uid="{00000000-0005-0000-0000-0000DB040000}"/>
    <cellStyle name="Normal 3 8 4" xfId="1153" xr:uid="{00000000-0005-0000-0000-0000DC040000}"/>
    <cellStyle name="Normal 3 8 5" xfId="1154" xr:uid="{00000000-0005-0000-0000-0000DD040000}"/>
    <cellStyle name="Normal 3 8 6" xfId="1155" xr:uid="{00000000-0005-0000-0000-0000DE040000}"/>
    <cellStyle name="Normal 3 9" xfId="1156" xr:uid="{00000000-0005-0000-0000-0000DF040000}"/>
    <cellStyle name="Normal 30" xfId="1777" xr:uid="{00000000-0005-0000-0000-0000E0040000}"/>
    <cellStyle name="Normal 30 10" xfId="6272" xr:uid="{7838645B-0F44-4B67-9231-0AECEFE89198}"/>
    <cellStyle name="Normal 30 2" xfId="1157" xr:uid="{00000000-0005-0000-0000-0000E1040000}"/>
    <cellStyle name="Normal 30 2 2" xfId="1158" xr:uid="{00000000-0005-0000-0000-0000E2040000}"/>
    <cellStyle name="Normal 30 2 2 2" xfId="23505" xr:uid="{84B92669-B7FC-475F-A890-68FE95D29744}"/>
    <cellStyle name="Normal 30 2 3" xfId="1159" xr:uid="{00000000-0005-0000-0000-0000E3040000}"/>
    <cellStyle name="Normal 30 2 3 2" xfId="29372" xr:uid="{6407C330-3E8C-48D6-878E-68489B477873}"/>
    <cellStyle name="Normal 30 2 4" xfId="1160" xr:uid="{00000000-0005-0000-0000-0000E4040000}"/>
    <cellStyle name="Normal 30 2 4 2" xfId="35254" xr:uid="{E5CF54F8-2CE1-4818-B419-4AD9288E5D7C}"/>
    <cellStyle name="Normal 30 2 5" xfId="9141" xr:uid="{DF1AA768-BE49-4896-918E-2ED78226F36D}"/>
    <cellStyle name="Normal 30 3" xfId="1161" xr:uid="{00000000-0005-0000-0000-0000E5040000}"/>
    <cellStyle name="Normal 30 3 2" xfId="20713" xr:uid="{BD111777-9118-4DA0-8A94-DB93E9930706}"/>
    <cellStyle name="Normal 30 4" xfId="1162" xr:uid="{00000000-0005-0000-0000-0000E6040000}"/>
    <cellStyle name="Normal 30 4 2" xfId="26522" xr:uid="{0B549A92-40C0-498C-8FC1-DDDA7FED094A}"/>
    <cellStyle name="Normal 30 5" xfId="1163" xr:uid="{00000000-0005-0000-0000-0000E7040000}"/>
    <cellStyle name="Normal 30 5 2" xfId="32397" xr:uid="{511F1598-34D3-426D-8509-3E8F00CADE42}"/>
    <cellStyle name="Normal 30 6" xfId="1164" xr:uid="{00000000-0005-0000-0000-0000E8040000}"/>
    <cellStyle name="Normal 30 6 2" xfId="38262" xr:uid="{8498CFB3-FA9E-4F53-AA8C-36E398F4B4D1}"/>
    <cellStyle name="Normal 30 7" xfId="1165" xr:uid="{00000000-0005-0000-0000-0000E9040000}"/>
    <cellStyle name="Normal 30 8" xfId="1166" xr:uid="{00000000-0005-0000-0000-0000EA040000}"/>
    <cellStyle name="Normal 30 9" xfId="1167" xr:uid="{00000000-0005-0000-0000-0000EB040000}"/>
    <cellStyle name="Normal 31" xfId="1778" xr:uid="{00000000-0005-0000-0000-0000EC040000}"/>
    <cellStyle name="Normal 31 10" xfId="6292" xr:uid="{73D8191C-7052-4784-A9CB-406FEB4919EC}"/>
    <cellStyle name="Normal 31 2" xfId="1168" xr:uid="{00000000-0005-0000-0000-0000ED040000}"/>
    <cellStyle name="Normal 31 2 2" xfId="1169" xr:uid="{00000000-0005-0000-0000-0000EE040000}"/>
    <cellStyle name="Normal 31 2 2 2" xfId="23525" xr:uid="{38DB3335-A96C-4F45-B2B4-5CCD283070BD}"/>
    <cellStyle name="Normal 31 2 3" xfId="1170" xr:uid="{00000000-0005-0000-0000-0000EF040000}"/>
    <cellStyle name="Normal 31 2 3 2" xfId="29392" xr:uid="{746202A8-08BE-4394-BC7E-EB56BF94356D}"/>
    <cellStyle name="Normal 31 2 4" xfId="1171" xr:uid="{00000000-0005-0000-0000-0000F0040000}"/>
    <cellStyle name="Normal 31 2 4 2" xfId="35274" xr:uid="{2BDE337C-C3E6-4AF3-AE56-8322E184E334}"/>
    <cellStyle name="Normal 31 2 5" xfId="9161" xr:uid="{AF543702-0D6F-4C31-9FA3-9C4C904F049A}"/>
    <cellStyle name="Normal 31 3" xfId="1172" xr:uid="{00000000-0005-0000-0000-0000F1040000}"/>
    <cellStyle name="Normal 31 3 2" xfId="20733" xr:uid="{AAE728BE-00A8-472A-B393-9416CEE2D37E}"/>
    <cellStyle name="Normal 31 4" xfId="1173" xr:uid="{00000000-0005-0000-0000-0000F2040000}"/>
    <cellStyle name="Normal 31 4 2" xfId="26542" xr:uid="{C211D338-6D7F-4795-9B60-67834DFF074B}"/>
    <cellStyle name="Normal 31 5" xfId="1174" xr:uid="{00000000-0005-0000-0000-0000F3040000}"/>
    <cellStyle name="Normal 31 5 2" xfId="32417" xr:uid="{ADE387F4-FD61-41D9-841C-4A619F11693F}"/>
    <cellStyle name="Normal 31 6" xfId="1175" xr:uid="{00000000-0005-0000-0000-0000F4040000}"/>
    <cellStyle name="Normal 31 6 2" xfId="38282" xr:uid="{37930E40-4B49-4AAD-97E2-330556DC6CB5}"/>
    <cellStyle name="Normal 31 7" xfId="1176" xr:uid="{00000000-0005-0000-0000-0000F5040000}"/>
    <cellStyle name="Normal 31 8" xfId="1177" xr:uid="{00000000-0005-0000-0000-0000F6040000}"/>
    <cellStyle name="Normal 31 9" xfId="1178" xr:uid="{00000000-0005-0000-0000-0000F7040000}"/>
    <cellStyle name="Normal 32" xfId="1779" xr:uid="{00000000-0005-0000-0000-0000F8040000}"/>
    <cellStyle name="Normal 32 10" xfId="6328" xr:uid="{B108FA6F-0BF8-48BA-AEFD-AD4E8D4F1862}"/>
    <cellStyle name="Normal 32 2" xfId="1179" xr:uid="{00000000-0005-0000-0000-0000F9040000}"/>
    <cellStyle name="Normal 32 2 2" xfId="1180" xr:uid="{00000000-0005-0000-0000-0000FA040000}"/>
    <cellStyle name="Normal 32 2 2 2" xfId="23556" xr:uid="{A586AB70-3C9A-4E97-9B05-A8AE68B8D33D}"/>
    <cellStyle name="Normal 32 2 3" xfId="1181" xr:uid="{00000000-0005-0000-0000-0000FB040000}"/>
    <cellStyle name="Normal 32 2 3 2" xfId="29424" xr:uid="{8BA8224B-1BD6-4F30-B51D-EE631932B60D}"/>
    <cellStyle name="Normal 32 2 4" xfId="1182" xr:uid="{00000000-0005-0000-0000-0000FC040000}"/>
    <cellStyle name="Normal 32 2 4 2" xfId="35306" xr:uid="{FA42CE0C-AC80-412A-BC49-B4EFDEE1C259}"/>
    <cellStyle name="Normal 32 2 5" xfId="9193" xr:uid="{5723B517-148A-40F7-B113-19BE79AB4AF0}"/>
    <cellStyle name="Normal 32 3" xfId="1183" xr:uid="{00000000-0005-0000-0000-0000FD040000}"/>
    <cellStyle name="Normal 32 3 2" xfId="20769" xr:uid="{63A16786-314C-43A1-9CB9-7271C7586761}"/>
    <cellStyle name="Normal 32 4" xfId="1184" xr:uid="{00000000-0005-0000-0000-0000FE040000}"/>
    <cellStyle name="Normal 32 4 2" xfId="26578" xr:uid="{8D3C4AC0-1899-4A70-B787-8D025054FDA5}"/>
    <cellStyle name="Normal 32 5" xfId="1185" xr:uid="{00000000-0005-0000-0000-0000FF040000}"/>
    <cellStyle name="Normal 32 5 2" xfId="32453" xr:uid="{0DD74839-89A7-4006-A476-769BD3C777A9}"/>
    <cellStyle name="Normal 32 6" xfId="1186" xr:uid="{00000000-0005-0000-0000-000000050000}"/>
    <cellStyle name="Normal 32 6 2" xfId="38317" xr:uid="{C4AF3533-52B5-4227-8D19-60B971ADE59B}"/>
    <cellStyle name="Normal 32 7" xfId="1187" xr:uid="{00000000-0005-0000-0000-000001050000}"/>
    <cellStyle name="Normal 32 8" xfId="1188" xr:uid="{00000000-0005-0000-0000-000002050000}"/>
    <cellStyle name="Normal 32 9" xfId="1189" xr:uid="{00000000-0005-0000-0000-000003050000}"/>
    <cellStyle name="Normal 33" xfId="6348" xr:uid="{2E5323C3-162A-46B4-8EAA-8683CEDACCDC}"/>
    <cellStyle name="Normal 33 2" xfId="9213" xr:uid="{F9AB6130-5D7C-4F9D-AB4B-4F8F060212D5}"/>
    <cellStyle name="Normal 33 2 2" xfId="23576" xr:uid="{3D09A7C3-FB94-4233-879F-CC9D13F1667C}"/>
    <cellStyle name="Normal 33 2 3" xfId="29444" xr:uid="{B3248247-58B3-44D2-850C-1B889BF0D037}"/>
    <cellStyle name="Normal 33 2 4" xfId="35326" xr:uid="{7618E350-D950-4B74-84F4-101BB5D782B2}"/>
    <cellStyle name="Normal 33 2 5" xfId="41185" xr:uid="{C3190B25-35DA-4907-8037-BCE3E292FD0E}"/>
    <cellStyle name="Normal 33 3" xfId="20789" xr:uid="{D2E5E8F5-7F09-4B2A-A4C7-FC1D3A68E055}"/>
    <cellStyle name="Normal 33 4" xfId="26598" xr:uid="{E97EF13E-4936-4E99-82F6-D0D3ABEC4329}"/>
    <cellStyle name="Normal 33 5" xfId="32473" xr:uid="{55ADB2CD-FEC5-4AD2-931C-98A07236FF3E}"/>
    <cellStyle name="Normal 33 6" xfId="38337" xr:uid="{A6913D18-62DB-43C6-93D7-00F50CA225E0}"/>
    <cellStyle name="Normal 34" xfId="6368" xr:uid="{A3B8748A-0D8C-4D97-9968-C7278A48A210}"/>
    <cellStyle name="Normal 34 2" xfId="9233" xr:uid="{3248D64F-C441-4993-B295-F7FFFD73AC82}"/>
    <cellStyle name="Normal 34 2 2" xfId="23596" xr:uid="{EF143383-A092-4843-B226-EF300E40ABC4}"/>
    <cellStyle name="Normal 34 2 3" xfId="29464" xr:uid="{0EEF1635-8C9B-471B-9662-44FD5D8C5C64}"/>
    <cellStyle name="Normal 34 2 4" xfId="35346" xr:uid="{D421C7A2-6B2E-47F0-ABE2-8A743AC7A9E6}"/>
    <cellStyle name="Normal 34 2 5" xfId="41205" xr:uid="{8370C1CA-90D2-4849-80F5-6D9DC8C4EB84}"/>
    <cellStyle name="Normal 34 3" xfId="20809" xr:uid="{7A95277D-1942-43AD-BB1A-94D1B5EE50BB}"/>
    <cellStyle name="Normal 34 4" xfId="26618" xr:uid="{09C79954-5F39-4B7B-9949-45ABA3BA8C6A}"/>
    <cellStyle name="Normal 34 5" xfId="32493" xr:uid="{C3DA6A13-5598-487D-B85C-AE5AD1BA7AB7}"/>
    <cellStyle name="Normal 34 6" xfId="38357" xr:uid="{426DB4F2-D8CB-435B-8E0E-D1047BC024BC}"/>
    <cellStyle name="Normal 35" xfId="6388" xr:uid="{CA40A58D-249D-4A36-A3B0-68DD9C31B5B4}"/>
    <cellStyle name="Normal 35 2" xfId="9253" xr:uid="{0922DFD3-CB43-42C6-A183-8DE86882997F}"/>
    <cellStyle name="Normal 35 2 2" xfId="23616" xr:uid="{B1862110-D122-462C-8370-D76E346514E9}"/>
    <cellStyle name="Normal 35 2 3" xfId="29484" xr:uid="{B9229CB9-6527-4D28-895B-8D8454F81ED0}"/>
    <cellStyle name="Normal 35 2 4" xfId="35366" xr:uid="{4C9371DE-8FDC-4AEA-875D-4F518938FA89}"/>
    <cellStyle name="Normal 35 2 5" xfId="41225" xr:uid="{51FEC7FC-E364-4BF9-B4D9-D49E98C08ADA}"/>
    <cellStyle name="Normal 35 3" xfId="20829" xr:uid="{AB4E0125-7B82-40B1-BAD5-72FDE893D7C0}"/>
    <cellStyle name="Normal 35 4" xfId="26638" xr:uid="{E90ECD36-1BBD-47E2-BCF5-8F74344DCC50}"/>
    <cellStyle name="Normal 35 5" xfId="32513" xr:uid="{7DEDB5BA-0128-4B0A-B536-BE035CCED61B}"/>
    <cellStyle name="Normal 35 6" xfId="38377" xr:uid="{949CBA8B-F0FA-415A-B9F7-1DD210219CC9}"/>
    <cellStyle name="Normal 36" xfId="6415" xr:uid="{20C6EA29-5327-49ED-9262-1A157608138E}"/>
    <cellStyle name="Normal 36 2" xfId="9278" xr:uid="{F214FC72-EC00-4DCB-B814-AA477CBF95C7}"/>
    <cellStyle name="Normal 36 2 2" xfId="23641" xr:uid="{BBA48F0A-BC98-4F91-9876-C745E0928617}"/>
    <cellStyle name="Normal 36 2 3" xfId="29509" xr:uid="{C4C052E0-2544-4EA6-AA51-E4ECFAB00762}"/>
    <cellStyle name="Normal 36 2 4" xfId="35391" xr:uid="{A03D72E2-B714-472E-9A11-1B85A66FBB14}"/>
    <cellStyle name="Normal 36 2 5" xfId="41250" xr:uid="{73DE65FA-062A-4B1C-B555-EB2725D72187}"/>
    <cellStyle name="Normal 36 3" xfId="20856" xr:uid="{88F0833D-35AD-4626-B987-DE1149E26868}"/>
    <cellStyle name="Normal 36 4" xfId="26665" xr:uid="{B8F0A4AC-F0C3-45CC-84AC-58569F74B30C}"/>
    <cellStyle name="Normal 36 5" xfId="32540" xr:uid="{1D5C120B-CDEF-43DA-BF07-A019E1FD19E8}"/>
    <cellStyle name="Normal 36 6" xfId="38404" xr:uid="{446DFED0-D65B-4138-AB70-F066BD2A923E}"/>
    <cellStyle name="Normal 37" xfId="6452" xr:uid="{E07022A7-FA10-426F-9C18-A5B0AF723AE8}"/>
    <cellStyle name="Normal 37 2" xfId="9312" xr:uid="{3DD64975-9CB0-4314-A321-6A4CE6CCC56F}"/>
    <cellStyle name="Normal 37 2 2" xfId="23675" xr:uid="{7C9E965B-FA57-43FA-BEEF-5050D8FBE669}"/>
    <cellStyle name="Normal 37 2 3" xfId="29543" xr:uid="{AE7F9332-DE8D-4832-A094-798F09FCFC48}"/>
    <cellStyle name="Normal 37 2 4" xfId="35425" xr:uid="{E06B4BD6-3745-4FF2-B87A-60B18DB195A8}"/>
    <cellStyle name="Normal 37 2 5" xfId="41284" xr:uid="{CC9A590D-F645-427B-B4FA-0BCB5E08B00C}"/>
    <cellStyle name="Normal 37 3" xfId="20890" xr:uid="{FE840724-1944-42CE-AC39-2FF69DB45DF8}"/>
    <cellStyle name="Normal 37 4" xfId="26701" xr:uid="{8A8018A7-D0EE-4294-A73B-67AEA68733D5}"/>
    <cellStyle name="Normal 37 5" xfId="32576" xr:uid="{81ECB814-B8E0-4D7B-AA7B-0D5FFCB29DD6}"/>
    <cellStyle name="Normal 37 6" xfId="38440" xr:uid="{AE20D953-9FD3-483B-9550-9DFB7C01163B}"/>
    <cellStyle name="Normal 38" xfId="6472" xr:uid="{2C0F0E46-34AC-4627-BB1B-D961D29E7956}"/>
    <cellStyle name="Normal 38 2" xfId="9332" xr:uid="{6824B33C-5138-4E92-96C5-198144E8E501}"/>
    <cellStyle name="Normal 38 2 2" xfId="23695" xr:uid="{E97F7638-0980-48AA-BF7B-97B89FAEECAF}"/>
    <cellStyle name="Normal 38 2 3" xfId="29563" xr:uid="{4A9AA52F-83B2-4211-BF79-AD483395B39E}"/>
    <cellStyle name="Normal 38 2 4" xfId="35445" xr:uid="{36BC6985-422B-4C46-889B-996EF98D40F2}"/>
    <cellStyle name="Normal 38 2 5" xfId="41304" xr:uid="{4DED6E7A-2EA2-4790-9559-A5AEC2F67019}"/>
    <cellStyle name="Normal 38 3" xfId="20910" xr:uid="{3FB3E977-4955-4297-BD90-D26BD045D89E}"/>
    <cellStyle name="Normal 38 4" xfId="26721" xr:uid="{B80DA326-7E47-4283-8ED6-4AC62A612EAD}"/>
    <cellStyle name="Normal 38 5" xfId="32596" xr:uid="{FCFABA48-1CB0-455D-B5B8-FC4D4396E50D}"/>
    <cellStyle name="Normal 38 6" xfId="38460" xr:uid="{984AB7B0-A9BE-4C71-83D4-16DCEEEA9AED}"/>
    <cellStyle name="Normal 39" xfId="6492" xr:uid="{BB7837EA-CD1E-48AC-9C97-71922D857843}"/>
    <cellStyle name="Normal 39 2" xfId="9352" xr:uid="{D2F29488-D3AB-4DB9-8A7E-36043BA52269}"/>
    <cellStyle name="Normal 39 2 2" xfId="23715" xr:uid="{3E9D8A7B-5072-4D90-A777-86299E9729EC}"/>
    <cellStyle name="Normal 39 2 3" xfId="29583" xr:uid="{AA083EA3-CD60-46A7-8300-54D7B660DB9C}"/>
    <cellStyle name="Normal 39 2 4" xfId="35465" xr:uid="{3D9532B0-4776-49A5-BBC0-2960BDD2CA94}"/>
    <cellStyle name="Normal 39 2 5" xfId="41324" xr:uid="{3007EA39-FDFA-44AD-BA88-5560695B486E}"/>
    <cellStyle name="Normal 39 3" xfId="20930" xr:uid="{542C508E-D5EC-470E-84BD-2E69C01CBF0A}"/>
    <cellStyle name="Normal 39 4" xfId="26741" xr:uid="{100C28B8-563C-4575-A054-6817C13FDEBC}"/>
    <cellStyle name="Normal 39 5" xfId="32616" xr:uid="{0B1F18DA-AE14-470C-B3E3-5367ACA33CA8}"/>
    <cellStyle name="Normal 39 6" xfId="38480" xr:uid="{11E3B20D-111A-4538-9196-44C66978DAC6}"/>
    <cellStyle name="Normal 4" xfId="443" xr:uid="{00000000-0005-0000-0000-000004050000}"/>
    <cellStyle name="Normal 4 10" xfId="1190" xr:uid="{00000000-0005-0000-0000-000005050000}"/>
    <cellStyle name="Normal 4 10 2" xfId="1191" xr:uid="{00000000-0005-0000-0000-000006050000}"/>
    <cellStyle name="Normal 4 10 2 2" xfId="24047" xr:uid="{E3ED7527-E488-4D34-8F30-9E5055CBF1A6}"/>
    <cellStyle name="Normal 4 10 3" xfId="1192" xr:uid="{00000000-0005-0000-0000-000007050000}"/>
    <cellStyle name="Normal 4 10 3 2" xfId="29925" xr:uid="{C32CC487-E9E4-4646-9B86-C31C562404CF}"/>
    <cellStyle name="Normal 4 10 4" xfId="1193" xr:uid="{00000000-0005-0000-0000-000008050000}"/>
    <cellStyle name="Normal 4 10 4 2" xfId="35806" xr:uid="{58FC157D-0ADB-4EB6-9592-22BC64649484}"/>
    <cellStyle name="Normal 4 10 5" xfId="1194" xr:uid="{00000000-0005-0000-0000-000009050000}"/>
    <cellStyle name="Normal 4 10 6" xfId="1195" xr:uid="{00000000-0005-0000-0000-00000A050000}"/>
    <cellStyle name="Normal 4 10 7" xfId="1196" xr:uid="{00000000-0005-0000-0000-00000B050000}"/>
    <cellStyle name="Normal 4 10 8" xfId="1197" xr:uid="{00000000-0005-0000-0000-00000C050000}"/>
    <cellStyle name="Normal 4 10 9" xfId="18338" xr:uid="{90D0706D-CFC9-4100-923D-8C76642A594B}"/>
    <cellStyle name="Normal 4 11" xfId="1198" xr:uid="{00000000-0005-0000-0000-00000D050000}"/>
    <cellStyle name="Normal 4 11 2" xfId="1199" xr:uid="{00000000-0005-0000-0000-00000E050000}"/>
    <cellStyle name="Normal 4 11 3" xfId="1200" xr:uid="{00000000-0005-0000-0000-00000F050000}"/>
    <cellStyle name="Normal 4 11 4" xfId="1201" xr:uid="{00000000-0005-0000-0000-000010050000}"/>
    <cellStyle name="Normal 4 11 5" xfId="1202" xr:uid="{00000000-0005-0000-0000-000011050000}"/>
    <cellStyle name="Normal 4 11 6" xfId="1203" xr:uid="{00000000-0005-0000-0000-000012050000}"/>
    <cellStyle name="Normal 4 11 7" xfId="1204" xr:uid="{00000000-0005-0000-0000-000013050000}"/>
    <cellStyle name="Normal 4 11 8" xfId="1205" xr:uid="{00000000-0005-0000-0000-000014050000}"/>
    <cellStyle name="Normal 4 12" xfId="1206" xr:uid="{00000000-0005-0000-0000-000015050000}"/>
    <cellStyle name="Normal 4 12 2" xfId="1207" xr:uid="{00000000-0005-0000-0000-000016050000}"/>
    <cellStyle name="Normal 4 12 3" xfId="1208" xr:uid="{00000000-0005-0000-0000-000017050000}"/>
    <cellStyle name="Normal 4 12 4" xfId="1209" xr:uid="{00000000-0005-0000-0000-000018050000}"/>
    <cellStyle name="Normal 4 12 5" xfId="1210" xr:uid="{00000000-0005-0000-0000-000019050000}"/>
    <cellStyle name="Normal 4 12 6" xfId="1211" xr:uid="{00000000-0005-0000-0000-00001A050000}"/>
    <cellStyle name="Normal 4 12 7" xfId="1212" xr:uid="{00000000-0005-0000-0000-00001B050000}"/>
    <cellStyle name="Normal 4 12 8" xfId="1213" xr:uid="{00000000-0005-0000-0000-00001C050000}"/>
    <cellStyle name="Normal 4 13" xfId="1214" xr:uid="{00000000-0005-0000-0000-00001D050000}"/>
    <cellStyle name="Normal 4 13 2" xfId="1215" xr:uid="{00000000-0005-0000-0000-00001E050000}"/>
    <cellStyle name="Normal 4 13 3" xfId="1216" xr:uid="{00000000-0005-0000-0000-00001F050000}"/>
    <cellStyle name="Normal 4 13 4" xfId="1217" xr:uid="{00000000-0005-0000-0000-000020050000}"/>
    <cellStyle name="Normal 4 13 5" xfId="1218" xr:uid="{00000000-0005-0000-0000-000021050000}"/>
    <cellStyle name="Normal 4 13 6" xfId="1219" xr:uid="{00000000-0005-0000-0000-000022050000}"/>
    <cellStyle name="Normal 4 13 7" xfId="1220" xr:uid="{00000000-0005-0000-0000-000023050000}"/>
    <cellStyle name="Normal 4 13 8" xfId="1221" xr:uid="{00000000-0005-0000-0000-000024050000}"/>
    <cellStyle name="Normal 4 14" xfId="1222" xr:uid="{00000000-0005-0000-0000-000025050000}"/>
    <cellStyle name="Normal 4 14 2" xfId="1223" xr:uid="{00000000-0005-0000-0000-000026050000}"/>
    <cellStyle name="Normal 4 14 3" xfId="1224" xr:uid="{00000000-0005-0000-0000-000027050000}"/>
    <cellStyle name="Normal 4 14 4" xfId="1225" xr:uid="{00000000-0005-0000-0000-000028050000}"/>
    <cellStyle name="Normal 4 14 5" xfId="1226" xr:uid="{00000000-0005-0000-0000-000029050000}"/>
    <cellStyle name="Normal 4 14 6" xfId="1227" xr:uid="{00000000-0005-0000-0000-00002A050000}"/>
    <cellStyle name="Normal 4 14 7" xfId="1228" xr:uid="{00000000-0005-0000-0000-00002B050000}"/>
    <cellStyle name="Normal 4 14 8" xfId="1229" xr:uid="{00000000-0005-0000-0000-00002C050000}"/>
    <cellStyle name="Normal 4 15" xfId="1230" xr:uid="{00000000-0005-0000-0000-00002D050000}"/>
    <cellStyle name="Normal 4 15 2" xfId="1231" xr:uid="{00000000-0005-0000-0000-00002E050000}"/>
    <cellStyle name="Normal 4 15 3" xfId="1232" xr:uid="{00000000-0005-0000-0000-00002F050000}"/>
    <cellStyle name="Normal 4 15 4" xfId="1233" xr:uid="{00000000-0005-0000-0000-000030050000}"/>
    <cellStyle name="Normal 4 15 5" xfId="1234" xr:uid="{00000000-0005-0000-0000-000031050000}"/>
    <cellStyle name="Normal 4 15 6" xfId="1235" xr:uid="{00000000-0005-0000-0000-000032050000}"/>
    <cellStyle name="Normal 4 15 7" xfId="1236" xr:uid="{00000000-0005-0000-0000-000033050000}"/>
    <cellStyle name="Normal 4 15 8" xfId="1237" xr:uid="{00000000-0005-0000-0000-000034050000}"/>
    <cellStyle name="Normal 4 16" xfId="1238" xr:uid="{00000000-0005-0000-0000-000035050000}"/>
    <cellStyle name="Normal 4 16 2" xfId="1239" xr:uid="{00000000-0005-0000-0000-000036050000}"/>
    <cellStyle name="Normal 4 16 3" xfId="1240" xr:uid="{00000000-0005-0000-0000-000037050000}"/>
    <cellStyle name="Normal 4 16 4" xfId="1241" xr:uid="{00000000-0005-0000-0000-000038050000}"/>
    <cellStyle name="Normal 4 16 5" xfId="1242" xr:uid="{00000000-0005-0000-0000-000039050000}"/>
    <cellStyle name="Normal 4 16 6" xfId="1243" xr:uid="{00000000-0005-0000-0000-00003A050000}"/>
    <cellStyle name="Normal 4 16 7" xfId="1244" xr:uid="{00000000-0005-0000-0000-00003B050000}"/>
    <cellStyle name="Normal 4 16 8" xfId="1245" xr:uid="{00000000-0005-0000-0000-00003C050000}"/>
    <cellStyle name="Normal 4 17" xfId="1246" xr:uid="{00000000-0005-0000-0000-00003D050000}"/>
    <cellStyle name="Normal 4 17 2" xfId="1247" xr:uid="{00000000-0005-0000-0000-00003E050000}"/>
    <cellStyle name="Normal 4 17 3" xfId="1248" xr:uid="{00000000-0005-0000-0000-00003F050000}"/>
    <cellStyle name="Normal 4 17 4" xfId="1249" xr:uid="{00000000-0005-0000-0000-000040050000}"/>
    <cellStyle name="Normal 4 17 5" xfId="1250" xr:uid="{00000000-0005-0000-0000-000041050000}"/>
    <cellStyle name="Normal 4 17 6" xfId="1251" xr:uid="{00000000-0005-0000-0000-000042050000}"/>
    <cellStyle name="Normal 4 17 7" xfId="1252" xr:uid="{00000000-0005-0000-0000-000043050000}"/>
    <cellStyle name="Normal 4 17 8" xfId="1253" xr:uid="{00000000-0005-0000-0000-000044050000}"/>
    <cellStyle name="Normal 4 18" xfId="1254" xr:uid="{00000000-0005-0000-0000-000045050000}"/>
    <cellStyle name="Normal 4 18 2" xfId="1255" xr:uid="{00000000-0005-0000-0000-000046050000}"/>
    <cellStyle name="Normal 4 18 3" xfId="1256" xr:uid="{00000000-0005-0000-0000-000047050000}"/>
    <cellStyle name="Normal 4 18 4" xfId="1257" xr:uid="{00000000-0005-0000-0000-000048050000}"/>
    <cellStyle name="Normal 4 18 5" xfId="1258" xr:uid="{00000000-0005-0000-0000-000049050000}"/>
    <cellStyle name="Normal 4 18 6" xfId="1259" xr:uid="{00000000-0005-0000-0000-00004A050000}"/>
    <cellStyle name="Normal 4 18 7" xfId="1260" xr:uid="{00000000-0005-0000-0000-00004B050000}"/>
    <cellStyle name="Normal 4 18 8" xfId="1261" xr:uid="{00000000-0005-0000-0000-00004C050000}"/>
    <cellStyle name="Normal 4 19" xfId="1262" xr:uid="{00000000-0005-0000-0000-00004D050000}"/>
    <cellStyle name="Normal 4 19 2" xfId="1263" xr:uid="{00000000-0005-0000-0000-00004E050000}"/>
    <cellStyle name="Normal 4 19 3" xfId="1264" xr:uid="{00000000-0005-0000-0000-00004F050000}"/>
    <cellStyle name="Normal 4 19 4" xfId="1265" xr:uid="{00000000-0005-0000-0000-000050050000}"/>
    <cellStyle name="Normal 4 19 5" xfId="1266" xr:uid="{00000000-0005-0000-0000-000051050000}"/>
    <cellStyle name="Normal 4 19 6" xfId="1267" xr:uid="{00000000-0005-0000-0000-000052050000}"/>
    <cellStyle name="Normal 4 19 7" xfId="1268" xr:uid="{00000000-0005-0000-0000-000053050000}"/>
    <cellStyle name="Normal 4 19 8" xfId="1269" xr:uid="{00000000-0005-0000-0000-000054050000}"/>
    <cellStyle name="Normal 4 2" xfId="1270" xr:uid="{00000000-0005-0000-0000-000055050000}"/>
    <cellStyle name="Normal 4 2 10" xfId="46986" xr:uid="{8386A1EB-956C-45B7-9666-D5E579C652C5}"/>
    <cellStyle name="Normal 4 2 2" xfId="1271" xr:uid="{00000000-0005-0000-0000-000056050000}"/>
    <cellStyle name="Normal 4 2 3" xfId="1272" xr:uid="{00000000-0005-0000-0000-000057050000}"/>
    <cellStyle name="Normal 4 2 4" xfId="1273" xr:uid="{00000000-0005-0000-0000-000058050000}"/>
    <cellStyle name="Normal 4 2 5" xfId="1274" xr:uid="{00000000-0005-0000-0000-000059050000}"/>
    <cellStyle name="Normal 4 2 6" xfId="1275" xr:uid="{00000000-0005-0000-0000-00005A050000}"/>
    <cellStyle name="Normal 4 2 7" xfId="1276" xr:uid="{00000000-0005-0000-0000-00005B050000}"/>
    <cellStyle name="Normal 4 2 8" xfId="1277" xr:uid="{00000000-0005-0000-0000-00005C050000}"/>
    <cellStyle name="Normal 4 2 9" xfId="1897" xr:uid="{00000000-0005-0000-0000-00005D050000}"/>
    <cellStyle name="Normal 4 20" xfId="1278" xr:uid="{00000000-0005-0000-0000-00005E050000}"/>
    <cellStyle name="Normal 4 20 2" xfId="1279" xr:uid="{00000000-0005-0000-0000-00005F050000}"/>
    <cellStyle name="Normal 4 20 3" xfId="1280" xr:uid="{00000000-0005-0000-0000-000060050000}"/>
    <cellStyle name="Normal 4 20 4" xfId="1281" xr:uid="{00000000-0005-0000-0000-000061050000}"/>
    <cellStyle name="Normal 4 20 5" xfId="1282" xr:uid="{00000000-0005-0000-0000-000062050000}"/>
    <cellStyle name="Normal 4 20 6" xfId="1283" xr:uid="{00000000-0005-0000-0000-000063050000}"/>
    <cellStyle name="Normal 4 20 7" xfId="1284" xr:uid="{00000000-0005-0000-0000-000064050000}"/>
    <cellStyle name="Normal 4 20 8" xfId="1285" xr:uid="{00000000-0005-0000-0000-000065050000}"/>
    <cellStyle name="Normal 4 21" xfId="1286" xr:uid="{00000000-0005-0000-0000-000066050000}"/>
    <cellStyle name="Normal 4 21 2" xfId="1287" xr:uid="{00000000-0005-0000-0000-000067050000}"/>
    <cellStyle name="Normal 4 21 3" xfId="1288" xr:uid="{00000000-0005-0000-0000-000068050000}"/>
    <cellStyle name="Normal 4 21 4" xfId="1289" xr:uid="{00000000-0005-0000-0000-000069050000}"/>
    <cellStyle name="Normal 4 21 5" xfId="1290" xr:uid="{00000000-0005-0000-0000-00006A050000}"/>
    <cellStyle name="Normal 4 21 6" xfId="1291" xr:uid="{00000000-0005-0000-0000-00006B050000}"/>
    <cellStyle name="Normal 4 21 7" xfId="1292" xr:uid="{00000000-0005-0000-0000-00006C050000}"/>
    <cellStyle name="Normal 4 21 8" xfId="1293" xr:uid="{00000000-0005-0000-0000-00006D050000}"/>
    <cellStyle name="Normal 4 22" xfId="1294" xr:uid="{00000000-0005-0000-0000-00006E050000}"/>
    <cellStyle name="Normal 4 22 2" xfId="1295" xr:uid="{00000000-0005-0000-0000-00006F050000}"/>
    <cellStyle name="Normal 4 22 3" xfId="1296" xr:uid="{00000000-0005-0000-0000-000070050000}"/>
    <cellStyle name="Normal 4 22 4" xfId="1297" xr:uid="{00000000-0005-0000-0000-000071050000}"/>
    <cellStyle name="Normal 4 22 5" xfId="1298" xr:uid="{00000000-0005-0000-0000-000072050000}"/>
    <cellStyle name="Normal 4 22 6" xfId="1299" xr:uid="{00000000-0005-0000-0000-000073050000}"/>
    <cellStyle name="Normal 4 22 7" xfId="1300" xr:uid="{00000000-0005-0000-0000-000074050000}"/>
    <cellStyle name="Normal 4 22 8" xfId="1301" xr:uid="{00000000-0005-0000-0000-000075050000}"/>
    <cellStyle name="Normal 4 23" xfId="1302" xr:uid="{00000000-0005-0000-0000-000076050000}"/>
    <cellStyle name="Normal 4 23 2" xfId="1303" xr:uid="{00000000-0005-0000-0000-000077050000}"/>
    <cellStyle name="Normal 4 23 3" xfId="1304" xr:uid="{00000000-0005-0000-0000-000078050000}"/>
    <cellStyle name="Normal 4 23 4" xfId="1305" xr:uid="{00000000-0005-0000-0000-000079050000}"/>
    <cellStyle name="Normal 4 23 5" xfId="1306" xr:uid="{00000000-0005-0000-0000-00007A050000}"/>
    <cellStyle name="Normal 4 23 6" xfId="1307" xr:uid="{00000000-0005-0000-0000-00007B050000}"/>
    <cellStyle name="Normal 4 23 7" xfId="1308" xr:uid="{00000000-0005-0000-0000-00007C050000}"/>
    <cellStyle name="Normal 4 23 8" xfId="1309" xr:uid="{00000000-0005-0000-0000-00007D050000}"/>
    <cellStyle name="Normal 4 24" xfId="1310" xr:uid="{00000000-0005-0000-0000-00007E050000}"/>
    <cellStyle name="Normal 4 24 2" xfId="1311" xr:uid="{00000000-0005-0000-0000-00007F050000}"/>
    <cellStyle name="Normal 4 24 3" xfId="1312" xr:uid="{00000000-0005-0000-0000-000080050000}"/>
    <cellStyle name="Normal 4 24 4" xfId="1313" xr:uid="{00000000-0005-0000-0000-000081050000}"/>
    <cellStyle name="Normal 4 24 5" xfId="1314" xr:uid="{00000000-0005-0000-0000-000082050000}"/>
    <cellStyle name="Normal 4 24 6" xfId="1315" xr:uid="{00000000-0005-0000-0000-000083050000}"/>
    <cellStyle name="Normal 4 24 7" xfId="1316" xr:uid="{00000000-0005-0000-0000-000084050000}"/>
    <cellStyle name="Normal 4 24 8" xfId="1317" xr:uid="{00000000-0005-0000-0000-000085050000}"/>
    <cellStyle name="Normal 4 25" xfId="1318" xr:uid="{00000000-0005-0000-0000-000086050000}"/>
    <cellStyle name="Normal 4 25 2" xfId="1319" xr:uid="{00000000-0005-0000-0000-000087050000}"/>
    <cellStyle name="Normal 4 25 3" xfId="1320" xr:uid="{00000000-0005-0000-0000-000088050000}"/>
    <cellStyle name="Normal 4 25 4" xfId="1321" xr:uid="{00000000-0005-0000-0000-000089050000}"/>
    <cellStyle name="Normal 4 26" xfId="1322" xr:uid="{00000000-0005-0000-0000-00008A050000}"/>
    <cellStyle name="Normal 4 27" xfId="1323" xr:uid="{00000000-0005-0000-0000-00008B050000}"/>
    <cellStyle name="Normal 4 28" xfId="1324" xr:uid="{00000000-0005-0000-0000-00008C050000}"/>
    <cellStyle name="Normal 4 29" xfId="1325" xr:uid="{00000000-0005-0000-0000-00008D050000}"/>
    <cellStyle name="Normal 4 3" xfId="1326" xr:uid="{00000000-0005-0000-0000-00008E050000}"/>
    <cellStyle name="Normal 4 3 10" xfId="4026" xr:uid="{A5556654-A449-4A0B-B624-94A57929EB5B}"/>
    <cellStyle name="Normal 4 3 10 2" xfId="46987" xr:uid="{566577A7-5379-4A79-A364-8C3FE4EC0F1B}"/>
    <cellStyle name="Normal 4 3 2" xfId="1327" xr:uid="{00000000-0005-0000-0000-00008F050000}"/>
    <cellStyle name="Normal 4 3 2 2" xfId="5466" xr:uid="{72ED2642-C955-4F4F-9702-C593CD8E5117}"/>
    <cellStyle name="Normal 4 3 2 2 2" xfId="8333" xr:uid="{563B3813-F466-4576-B6D1-FC72117C4BD0}"/>
    <cellStyle name="Normal 4 3 2 2 2 2" xfId="22709" xr:uid="{58A1731E-136F-4CC6-97DC-84C8950040F6}"/>
    <cellStyle name="Normal 4 3 2 2 2 3" xfId="28566" xr:uid="{A6A726E4-A08C-40DA-9442-6C274E11119B}"/>
    <cellStyle name="Normal 4 3 2 2 2 4" xfId="34448" xr:uid="{A46A3BEE-12F6-4AC9-A250-85BEA505A484}"/>
    <cellStyle name="Normal 4 3 2 2 2 5" xfId="40312" xr:uid="{3FBEA819-1FBE-45A2-80D0-5FDA904B4B39}"/>
    <cellStyle name="Normal 4 3 2 2 3" xfId="19928" xr:uid="{25E4CC87-D307-4D1E-BFE5-723A517FB35D}"/>
    <cellStyle name="Normal 4 3 2 2 4" xfId="25717" xr:uid="{6E21BE64-C964-4497-9586-FBCAFFC95DD6}"/>
    <cellStyle name="Normal 4 3 2 2 5" xfId="31591" xr:uid="{FBA64599-3EC6-4513-BB98-8DCB81FA683A}"/>
    <cellStyle name="Normal 4 3 2 2 6" xfId="37462" xr:uid="{7975CBE4-D48F-4358-9833-D1F7BFC2B786}"/>
    <cellStyle name="Normal 4 3 2 3" xfId="7361" xr:uid="{F1454654-D63B-4D7E-A752-832ADF7F2498}"/>
    <cellStyle name="Normal 4 3 2 3 2" xfId="21764" xr:uid="{A201C578-1C52-47AD-8EBC-E4B2B2805E0E}"/>
    <cellStyle name="Normal 4 3 2 3 3" xfId="27595" xr:uid="{17C2DDDB-80E0-4695-87D7-DFF442496AE8}"/>
    <cellStyle name="Normal 4 3 2 3 4" xfId="33477" xr:uid="{0145AB36-A013-46C2-9E81-B6F6D7CA1DBE}"/>
    <cellStyle name="Normal 4 3 2 3 5" xfId="39341" xr:uid="{10982564-4438-4A66-9318-A39102FF7178}"/>
    <cellStyle name="Normal 4 3 2 4" xfId="4498" xr:uid="{218C5831-92AA-4F31-8D77-83C291568B58}"/>
    <cellStyle name="Normal 4 3 2 5" xfId="24746" xr:uid="{240C0832-983C-425B-BBEF-0056F36E027A}"/>
    <cellStyle name="Normal 4 3 2 6" xfId="30623" xr:uid="{885A1465-8041-405D-8F37-98A7C734651C}"/>
    <cellStyle name="Normal 4 3 2 7" xfId="36505" xr:uid="{1435C2B4-025F-4007-BA20-D44A006D1797}"/>
    <cellStyle name="Normal 4 3 3" xfId="1328" xr:uid="{00000000-0005-0000-0000-000090050000}"/>
    <cellStyle name="Normal 4 3 3 2" xfId="7848" xr:uid="{E7071AF8-DA6D-4D02-92B7-10D6228CB922}"/>
    <cellStyle name="Normal 4 3 3 2 2" xfId="22234" xr:uid="{CE16380E-659F-4859-8E5D-CDB65A55879E}"/>
    <cellStyle name="Normal 4 3 3 2 3" xfId="28081" xr:uid="{119EFF7F-3778-44D6-903D-CB71BBA42CA3}"/>
    <cellStyle name="Normal 4 3 3 2 4" xfId="33963" xr:uid="{692A8718-B724-44CA-87C6-1B231024EE72}"/>
    <cellStyle name="Normal 4 3 3 2 5" xfId="39827" xr:uid="{77569FF4-E063-451E-B2CF-8CF8D1999F3F}"/>
    <cellStyle name="Normal 4 3 3 3" xfId="4981" xr:uid="{AB299F45-2799-487D-B5ED-B955A27F663B}"/>
    <cellStyle name="Normal 4 3 3 4" xfId="25232" xr:uid="{5D582CCD-C03A-484C-A300-1E27FA3F6BB0}"/>
    <cellStyle name="Normal 4 3 3 5" xfId="31106" xr:uid="{659B76F3-E4C8-41E7-97FE-19829C3A4115}"/>
    <cellStyle name="Normal 4 3 3 6" xfId="36985" xr:uid="{4EB265BD-8C42-40E2-801D-71BA8248DA88}"/>
    <cellStyle name="Normal 4 3 4" xfId="1329" xr:uid="{00000000-0005-0000-0000-000091050000}"/>
    <cellStyle name="Normal 4 3 4 2" xfId="6876" xr:uid="{55B5CB48-FE90-4522-963F-358A95060DC5}"/>
    <cellStyle name="Normal 4 3 4 3" xfId="27115" xr:uid="{511FC3FF-8259-4785-8233-30BE19FD3C4C}"/>
    <cellStyle name="Normal 4 3 4 4" xfId="32992" xr:uid="{0C328B90-893A-424D-9F25-AE35BFEF10A3}"/>
    <cellStyle name="Normal 4 3 4 5" xfId="38856" xr:uid="{2828D159-73C2-4A79-AA78-19E2A1CFD166}"/>
    <cellStyle name="Normal 4 3 5" xfId="1330" xr:uid="{00000000-0005-0000-0000-000092050000}"/>
    <cellStyle name="Normal 4 3 5 2" xfId="18553" xr:uid="{A15CE21F-5CA6-4ED9-AABA-36A45628C91A}"/>
    <cellStyle name="Normal 4 3 6" xfId="1331" xr:uid="{00000000-0005-0000-0000-000093050000}"/>
    <cellStyle name="Normal 4 3 6 2" xfId="24263" xr:uid="{046C976D-5A97-47DF-8B55-E5E10B4ACF41}"/>
    <cellStyle name="Normal 4 3 7" xfId="1332" xr:uid="{00000000-0005-0000-0000-000094050000}"/>
    <cellStyle name="Normal 4 3 7 2" xfId="30141" xr:uid="{41F0955D-78A7-47D1-A325-4BB30E46A1CB}"/>
    <cellStyle name="Normal 4 3 8" xfId="1333" xr:uid="{00000000-0005-0000-0000-000095050000}"/>
    <cellStyle name="Normal 4 3 8 2" xfId="36020" xr:uid="{95F526A9-9C57-496A-8AB0-3829797C063B}"/>
    <cellStyle name="Normal 4 3 9" xfId="1937" xr:uid="{00000000-0005-0000-0000-000096050000}"/>
    <cellStyle name="Normal 4 30" xfId="1334" xr:uid="{00000000-0005-0000-0000-000097050000}"/>
    <cellStyle name="Normal 4 31" xfId="1335" xr:uid="{00000000-0005-0000-0000-000098050000}"/>
    <cellStyle name="Normal 4 32" xfId="1781" xr:uid="{00000000-0005-0000-0000-000099050000}"/>
    <cellStyle name="Normal 4 33" xfId="3828" xr:uid="{EF26B283-61F1-4B5D-8B06-B79D397B6D8B}"/>
    <cellStyle name="Normal 4 34" xfId="42357" xr:uid="{8AEB1E28-A942-4671-8CEC-04E7546BE0A8}"/>
    <cellStyle name="Normal 4 4" xfId="1336" xr:uid="{00000000-0005-0000-0000-00009A050000}"/>
    <cellStyle name="Normal 4 4 2" xfId="1337" xr:uid="{00000000-0005-0000-0000-00009B050000}"/>
    <cellStyle name="Normal 4 4 2 2" xfId="5708" xr:uid="{011332FD-FDCA-484D-9F4B-341D15E1DA6E}"/>
    <cellStyle name="Normal 4 4 2 2 2" xfId="8576" xr:uid="{E4D05CFE-137A-4A17-B31D-416A282A8C7E}"/>
    <cellStyle name="Normal 4 4 2 2 2 2" xfId="22948" xr:uid="{63BF87D4-7E58-4135-8441-B321549FE85D}"/>
    <cellStyle name="Normal 4 4 2 2 2 3" xfId="28809" xr:uid="{36DEEE45-2695-4549-B33C-0B9967E497AA}"/>
    <cellStyle name="Normal 4 4 2 2 2 4" xfId="34691" xr:uid="{CCFCC984-C870-40EA-90CC-4600A2E00DFB}"/>
    <cellStyle name="Normal 4 4 2 2 2 5" xfId="40555" xr:uid="{249DA98B-EAFF-4508-8BEC-DCDB9F1A7FD2}"/>
    <cellStyle name="Normal 4 4 2 2 3" xfId="20165" xr:uid="{2A49D6FC-F17C-4FE2-92E8-0CAF31448AEB}"/>
    <cellStyle name="Normal 4 4 2 2 4" xfId="25959" xr:uid="{ABC3FBD4-0DF8-4711-B7A3-0A1DDECDA6C6}"/>
    <cellStyle name="Normal 4 4 2 2 5" xfId="31834" xr:uid="{346C1226-F93E-4D47-814E-529CCC6C2812}"/>
    <cellStyle name="Normal 4 4 2 2 6" xfId="37701" xr:uid="{0A2435C1-BCDE-45B2-8FD2-E12343B942EC}"/>
    <cellStyle name="Normal 4 4 2 3" xfId="7604" xr:uid="{77F6BD28-F2D1-4CC4-B427-F32DBE4AF3F3}"/>
    <cellStyle name="Normal 4 4 2 3 2" xfId="21998" xr:uid="{38B2A6F4-A2AF-482A-88E0-F3D2A10B881A}"/>
    <cellStyle name="Normal 4 4 2 3 3" xfId="27838" xr:uid="{BCF8900C-6F82-47BC-BBCB-86AA4035B900}"/>
    <cellStyle name="Normal 4 4 2 3 4" xfId="33720" xr:uid="{923BCA7D-FCFA-4530-87F5-3CF52AACFA1A}"/>
    <cellStyle name="Normal 4 4 2 3 5" xfId="39584" xr:uid="{C595BE98-43EA-4277-AF35-64BC607ED47F}"/>
    <cellStyle name="Normal 4 4 2 4" xfId="4740" xr:uid="{38DEF01A-221B-4BDA-A6F3-B7F43EB8797A}"/>
    <cellStyle name="Normal 4 4 2 5" xfId="24989" xr:uid="{560A41B8-5BF2-46ED-A7FF-3CA3A4A1CA06}"/>
    <cellStyle name="Normal 4 4 2 6" xfId="30863" xr:uid="{F0B1D135-913D-40D3-9001-B497509AF149}"/>
    <cellStyle name="Normal 4 4 2 7" xfId="36744" xr:uid="{F72E9A90-9E8B-431E-B0B0-C9F4CB15387E}"/>
    <cellStyle name="Normal 4 4 3" xfId="1338" xr:uid="{00000000-0005-0000-0000-00009C050000}"/>
    <cellStyle name="Normal 4 4 3 2" xfId="8091" xr:uid="{3677E61D-0EC2-4249-8F72-511D7EC55537}"/>
    <cellStyle name="Normal 4 4 3 2 2" xfId="22469" xr:uid="{1AAD9C40-6518-473A-BDD4-6AFD0E447FDF}"/>
    <cellStyle name="Normal 4 4 3 2 3" xfId="28324" xr:uid="{466EF86A-6308-4B79-ADEA-69D33FBA80C9}"/>
    <cellStyle name="Normal 4 4 3 2 4" xfId="34206" xr:uid="{35B98B9A-BFCF-44D8-A0AC-0CEB520ED988}"/>
    <cellStyle name="Normal 4 4 3 2 5" xfId="40070" xr:uid="{CC95C81B-E9DE-4D7B-B02C-D94A221EF419}"/>
    <cellStyle name="Normal 4 4 3 3" xfId="5224" xr:uid="{F6AF6BBA-F910-4283-B44B-D1C3995B6453}"/>
    <cellStyle name="Normal 4 4 3 4" xfId="25475" xr:uid="{B1DF7911-35FE-4BAA-BD63-717DC78ACEBB}"/>
    <cellStyle name="Normal 4 4 3 5" xfId="31349" xr:uid="{0679C49F-670C-4E0C-B88E-E8B08EE9DB6E}"/>
    <cellStyle name="Normal 4 4 3 6" xfId="37222" xr:uid="{90F8D73A-7AF7-4A14-B286-23772024CF22}"/>
    <cellStyle name="Normal 4 4 4" xfId="1339" xr:uid="{00000000-0005-0000-0000-00009D050000}"/>
    <cellStyle name="Normal 4 4 4 2" xfId="7119" xr:uid="{76A9A27C-A359-4332-BF7A-09B787A86B1E}"/>
    <cellStyle name="Normal 4 4 4 3" xfId="27354" xr:uid="{02F3A74A-210B-481F-8318-8983C4A3D2A0}"/>
    <cellStyle name="Normal 4 4 4 4" xfId="33235" xr:uid="{24D1697B-BFEA-47C7-9E86-0B7FE6E9D2F2}"/>
    <cellStyle name="Normal 4 4 4 5" xfId="39099" xr:uid="{2A0B6EFB-5EBC-48A9-B82E-F57CD3B3CAA6}"/>
    <cellStyle name="Normal 4 4 5" xfId="1340" xr:uid="{00000000-0005-0000-0000-00009E050000}"/>
    <cellStyle name="Normal 4 4 5 2" xfId="18781" xr:uid="{E7C6E733-DCDE-4545-AAF8-17F1A84C3B1A}"/>
    <cellStyle name="Normal 4 4 6" xfId="1341" xr:uid="{00000000-0005-0000-0000-00009F050000}"/>
    <cellStyle name="Normal 4 4 6 2" xfId="24503" xr:uid="{2E04303B-2050-4A2A-8555-DB8EBBCC7E55}"/>
    <cellStyle name="Normal 4 4 7" xfId="1342" xr:uid="{00000000-0005-0000-0000-0000A0050000}"/>
    <cellStyle name="Normal 4 4 7 2" xfId="30382" xr:uid="{80B02498-9F6C-4F06-9CD2-E2AC71364B53}"/>
    <cellStyle name="Normal 4 4 8" xfId="1343" xr:uid="{00000000-0005-0000-0000-0000A1050000}"/>
    <cellStyle name="Normal 4 4 8 2" xfId="36263" xr:uid="{02071F06-735B-4987-93CD-7E5D7B29E2CE}"/>
    <cellStyle name="Normal 4 4 9" xfId="4260" xr:uid="{850674E5-658D-496B-B4C3-63AE73924E57}"/>
    <cellStyle name="Normal 4 5" xfId="1344" xr:uid="{00000000-0005-0000-0000-0000A2050000}"/>
    <cellStyle name="Normal 4 5 2" xfId="1345" xr:uid="{00000000-0005-0000-0000-0000A3050000}"/>
    <cellStyle name="Normal 4 5 2 2" xfId="8137" xr:uid="{06BF6291-2F2F-4E59-9A46-64D63512C273}"/>
    <cellStyle name="Normal 4 5 2 2 2" xfId="22514" xr:uid="{1933B979-D9A9-498C-A1E4-6069DA94BB14}"/>
    <cellStyle name="Normal 4 5 2 2 3" xfId="28370" xr:uid="{3E9189B8-ABE5-4A8B-835A-9BCE48B6F3ED}"/>
    <cellStyle name="Normal 4 5 2 2 4" xfId="34252" xr:uid="{824F74D1-3B4B-402A-A064-F81A26EE12BB}"/>
    <cellStyle name="Normal 4 5 2 2 5" xfId="40116" xr:uid="{06608789-845F-47A4-BDB5-52CBFD247445}"/>
    <cellStyle name="Normal 4 5 2 3" xfId="5270" xr:uid="{8B380AEB-DE8E-4769-A44B-9FC114C27FBC}"/>
    <cellStyle name="Normal 4 5 2 4" xfId="25521" xr:uid="{7442AA75-CEAC-4C5B-83FB-DE57513625A9}"/>
    <cellStyle name="Normal 4 5 2 5" xfId="31395" xr:uid="{E9A75B3E-FE98-4FBB-9724-CBAAC17BD9CB}"/>
    <cellStyle name="Normal 4 5 2 6" xfId="37267" xr:uid="{0E321E19-4A3F-4C67-9E92-02FA3D389135}"/>
    <cellStyle name="Normal 4 5 3" xfId="1346" xr:uid="{00000000-0005-0000-0000-0000A4050000}"/>
    <cellStyle name="Normal 4 5 3 2" xfId="7165" xr:uid="{12AD7B93-2798-4346-A4A8-BCF5C727BC36}"/>
    <cellStyle name="Normal 4 5 3 3" xfId="27399" xr:uid="{4816405C-26D7-4F51-9C10-FF5BCF73C8A7}"/>
    <cellStyle name="Normal 4 5 3 4" xfId="33281" xr:uid="{1A86C4FC-1A77-4A0E-9DC8-C9FE9AE33346}"/>
    <cellStyle name="Normal 4 5 3 5" xfId="39145" xr:uid="{D365004F-B0EC-44DE-B561-FD2B9FEE33B3}"/>
    <cellStyle name="Normal 4 5 4" xfId="1347" xr:uid="{00000000-0005-0000-0000-0000A5050000}"/>
    <cellStyle name="Normal 4 5 4 2" xfId="18811" xr:uid="{B6FD3D20-8242-4290-8E3F-FE55E7D5D4D0}"/>
    <cellStyle name="Normal 4 5 5" xfId="1348" xr:uid="{00000000-0005-0000-0000-0000A6050000}"/>
    <cellStyle name="Normal 4 5 5 2" xfId="24550" xr:uid="{01ED8680-E2DE-4337-B2C0-A20223625F2F}"/>
    <cellStyle name="Normal 4 5 6" xfId="1349" xr:uid="{00000000-0005-0000-0000-0000A7050000}"/>
    <cellStyle name="Normal 4 5 6 2" xfId="30429" xr:uid="{A9A249BB-5C82-4712-9615-E87199433EC6}"/>
    <cellStyle name="Normal 4 5 7" xfId="1350" xr:uid="{00000000-0005-0000-0000-0000A8050000}"/>
    <cellStyle name="Normal 4 5 7 2" xfId="36310" xr:uid="{942F4300-D97F-4792-9C23-D5D85080CFC7}"/>
    <cellStyle name="Normal 4 5 8" xfId="1351" xr:uid="{00000000-0005-0000-0000-0000A9050000}"/>
    <cellStyle name="Normal 4 5 9" xfId="4304" xr:uid="{B072A3A3-6D04-4A19-AE21-8E2EA599D2CB}"/>
    <cellStyle name="Normal 4 6" xfId="1352" xr:uid="{00000000-0005-0000-0000-0000AA050000}"/>
    <cellStyle name="Normal 4 6 2" xfId="1353" xr:uid="{00000000-0005-0000-0000-0000AB050000}"/>
    <cellStyle name="Normal 4 6 2 2" xfId="7651" xr:uid="{A5B46975-C310-4C1D-9118-4AC1ABBEA1F3}"/>
    <cellStyle name="Normal 4 6 2 3" xfId="27885" xr:uid="{817AE0BB-D93C-44D8-AE49-E8AA9989703E}"/>
    <cellStyle name="Normal 4 6 2 4" xfId="33767" xr:uid="{C0D0D75E-09F6-4F04-A1F1-B6A8A3EAB67E}"/>
    <cellStyle name="Normal 4 6 2 5" xfId="39631" xr:uid="{58075D78-48B0-47BB-A50B-9E5D750CB5DF}"/>
    <cellStyle name="Normal 4 6 3" xfId="1354" xr:uid="{00000000-0005-0000-0000-0000AC050000}"/>
    <cellStyle name="Normal 4 6 3 2" xfId="19270" xr:uid="{23A7ECCB-238F-4922-A9B8-CF7E9B834021}"/>
    <cellStyle name="Normal 4 6 4" xfId="1355" xr:uid="{00000000-0005-0000-0000-0000AD050000}"/>
    <cellStyle name="Normal 4 6 4 2" xfId="25036" xr:uid="{8B925E0D-31E5-4807-B36A-911D2B238585}"/>
    <cellStyle name="Normal 4 6 5" xfId="1356" xr:uid="{00000000-0005-0000-0000-0000AE050000}"/>
    <cellStyle name="Normal 4 6 5 2" xfId="30910" xr:uid="{FBF34A9E-A9C2-4A69-8AE5-5691F7D10256}"/>
    <cellStyle name="Normal 4 6 6" xfId="1357" xr:uid="{00000000-0005-0000-0000-0000AF050000}"/>
    <cellStyle name="Normal 4 6 6 2" xfId="36790" xr:uid="{A3483A21-10FF-4BCD-8F4D-D10E0CE7E6B4}"/>
    <cellStyle name="Normal 4 6 7" xfId="1358" xr:uid="{00000000-0005-0000-0000-0000B0050000}"/>
    <cellStyle name="Normal 4 6 8" xfId="1359" xr:uid="{00000000-0005-0000-0000-0000B1050000}"/>
    <cellStyle name="Normal 4 6 9" xfId="4788" xr:uid="{0D4D553E-68A0-4B8E-8C3E-C39E424C0E20}"/>
    <cellStyle name="Normal 4 7" xfId="1360" xr:uid="{00000000-0005-0000-0000-0000B2050000}"/>
    <cellStyle name="Normal 4 7 2" xfId="1361" xr:uid="{00000000-0005-0000-0000-0000B3050000}"/>
    <cellStyle name="Normal 4 7 2 2" xfId="8663" xr:uid="{5E918773-1E04-4C2A-A4DA-1CE747AF7964}"/>
    <cellStyle name="Normal 4 7 2 3" xfId="28896" xr:uid="{50049F59-54FF-42AC-8C8B-6541BCAC2F21}"/>
    <cellStyle name="Normal 4 7 2 4" xfId="34778" xr:uid="{D9D10E6B-478B-4117-921F-FD321A4399EA}"/>
    <cellStyle name="Normal 4 7 2 5" xfId="40642" xr:uid="{4567C58E-9268-494A-9D52-08D4A5EF46CE}"/>
    <cellStyle name="Normal 4 7 3" xfId="1362" xr:uid="{00000000-0005-0000-0000-0000B4050000}"/>
    <cellStyle name="Normal 4 7 3 2" xfId="20249" xr:uid="{D3401BD6-1BCE-4A6A-A5A7-84E135C2B894}"/>
    <cellStyle name="Normal 4 7 4" xfId="1363" xr:uid="{00000000-0005-0000-0000-0000B5050000}"/>
    <cellStyle name="Normal 4 7 4 2" xfId="26046" xr:uid="{25982814-A98D-435D-AE94-227189855BCF}"/>
    <cellStyle name="Normal 4 7 5" xfId="1364" xr:uid="{00000000-0005-0000-0000-0000B6050000}"/>
    <cellStyle name="Normal 4 7 5 2" xfId="31921" xr:uid="{00044096-7913-4A77-B55C-7A996AE39592}"/>
    <cellStyle name="Normal 4 7 6" xfId="1365" xr:uid="{00000000-0005-0000-0000-0000B7050000}"/>
    <cellStyle name="Normal 4 7 6 2" xfId="37787" xr:uid="{6E47969C-DF7D-49EB-BE7B-7CCBE8076DAD}"/>
    <cellStyle name="Normal 4 7 7" xfId="1366" xr:uid="{00000000-0005-0000-0000-0000B8050000}"/>
    <cellStyle name="Normal 4 7 8" xfId="1367" xr:uid="{00000000-0005-0000-0000-0000B9050000}"/>
    <cellStyle name="Normal 4 7 9" xfId="5794" xr:uid="{330073F2-EAF2-435C-A3BE-7DEF7F94DCFC}"/>
    <cellStyle name="Normal 4 8" xfId="1368" xr:uid="{00000000-0005-0000-0000-0000BA050000}"/>
    <cellStyle name="Normal 4 8 2" xfId="1369" xr:uid="{00000000-0005-0000-0000-0000BB050000}"/>
    <cellStyle name="Normal 4 8 2 2" xfId="9091" xr:uid="{85907C79-D42B-48E1-8154-AF2CC2320A4E}"/>
    <cellStyle name="Normal 4 8 2 3" xfId="29322" xr:uid="{5E8D6A16-6F5D-459E-BB48-116F768F4BCB}"/>
    <cellStyle name="Normal 4 8 2 4" xfId="35204" xr:uid="{76819C75-F697-4FCC-9916-22369D81E9EE}"/>
    <cellStyle name="Normal 4 8 2 5" xfId="41065" xr:uid="{15BF56C7-E570-4C90-B474-9EACC7711AFD}"/>
    <cellStyle name="Normal 4 8 3" xfId="1370" xr:uid="{00000000-0005-0000-0000-0000BC050000}"/>
    <cellStyle name="Normal 4 8 3 2" xfId="20668" xr:uid="{1DE1AD9B-65D4-428F-B3A4-3CED0D58270A}"/>
    <cellStyle name="Normal 4 8 4" xfId="1371" xr:uid="{00000000-0005-0000-0000-0000BD050000}"/>
    <cellStyle name="Normal 4 8 4 2" xfId="26472" xr:uid="{4136EE07-0765-4945-A6D8-91C264540773}"/>
    <cellStyle name="Normal 4 8 5" xfId="1372" xr:uid="{00000000-0005-0000-0000-0000BE050000}"/>
    <cellStyle name="Normal 4 8 5 2" xfId="32347" xr:uid="{264AC54F-51E1-4C3A-A5CF-554F8C10950B}"/>
    <cellStyle name="Normal 4 8 6" xfId="1373" xr:uid="{00000000-0005-0000-0000-0000BF050000}"/>
    <cellStyle name="Normal 4 8 6 2" xfId="38212" xr:uid="{299EEA56-CFD6-48F4-9B57-3475235BAFA0}"/>
    <cellStyle name="Normal 4 8 7" xfId="1374" xr:uid="{00000000-0005-0000-0000-0000C0050000}"/>
    <cellStyle name="Normal 4 8 8" xfId="1375" xr:uid="{00000000-0005-0000-0000-0000C1050000}"/>
    <cellStyle name="Normal 4 8 9" xfId="6222" xr:uid="{E85D5677-17C1-4113-847B-D4963F609402}"/>
    <cellStyle name="Normal 4 9" xfId="1376" xr:uid="{00000000-0005-0000-0000-0000C2050000}"/>
    <cellStyle name="Normal 4 9 2" xfId="1377" xr:uid="{00000000-0005-0000-0000-0000C3050000}"/>
    <cellStyle name="Normal 4 9 2 2" xfId="21109" xr:uid="{9F102E14-8AD8-4DE8-8B54-062D7F01C1BE}"/>
    <cellStyle name="Normal 4 9 3" xfId="1378" xr:uid="{00000000-0005-0000-0000-0000C4050000}"/>
    <cellStyle name="Normal 4 9 3 2" xfId="26921" xr:uid="{085FD47D-14A8-4CD6-9F2A-2035B553F578}"/>
    <cellStyle name="Normal 4 9 4" xfId="1379" xr:uid="{00000000-0005-0000-0000-0000C5050000}"/>
    <cellStyle name="Normal 4 9 4 2" xfId="32796" xr:uid="{9CDA0EDF-4346-4AE2-919A-BC4068EAFC1B}"/>
    <cellStyle name="Normal 4 9 5" xfId="1380" xr:uid="{00000000-0005-0000-0000-0000C6050000}"/>
    <cellStyle name="Normal 4 9 5 2" xfId="38660" xr:uid="{9728268C-3342-4C75-9755-DBD3BBFE0BD1}"/>
    <cellStyle name="Normal 4 9 6" xfId="1381" xr:uid="{00000000-0005-0000-0000-0000C7050000}"/>
    <cellStyle name="Normal 4 9 7" xfId="1382" xr:uid="{00000000-0005-0000-0000-0000C8050000}"/>
    <cellStyle name="Normal 4 9 8" xfId="1383" xr:uid="{00000000-0005-0000-0000-0000C9050000}"/>
    <cellStyle name="Normal 4 9 9" xfId="6680" xr:uid="{E0B35FB1-BDE5-4B6C-931C-EBB3025E6511}"/>
    <cellStyle name="Normal 40" xfId="6512" xr:uid="{1DB604D9-0478-417C-B569-DF3F7DC22480}"/>
    <cellStyle name="Normal 40 2" xfId="9372" xr:uid="{FA520C4E-318E-4C71-8CF8-8124C70D6D14}"/>
    <cellStyle name="Normal 40 2 2" xfId="23735" xr:uid="{80E72876-C9A7-4A85-8F1E-3E17F48C6BF9}"/>
    <cellStyle name="Normal 40 2 3" xfId="29603" xr:uid="{7D135378-CA93-47E7-B83C-903AAD651F14}"/>
    <cellStyle name="Normal 40 2 4" xfId="35485" xr:uid="{1F13830E-C627-4771-9F8A-F512BF3D1FE5}"/>
    <cellStyle name="Normal 40 2 5" xfId="41344" xr:uid="{E545A989-49F9-4EEF-A2E9-50AAD3A5844D}"/>
    <cellStyle name="Normal 40 3" xfId="20950" xr:uid="{D42C103B-7E9B-437C-9D73-EE19796BA88A}"/>
    <cellStyle name="Normal 40 4" xfId="26761" xr:uid="{A248AA0B-AA53-42A8-948D-BBFD1D7BEEC1}"/>
    <cellStyle name="Normal 40 5" xfId="32636" xr:uid="{D2EDBBAB-AE5D-4B5A-85AB-9EBD6DC369DB}"/>
    <cellStyle name="Normal 40 6" xfId="38500" xr:uid="{50A0D9DD-180B-481D-960E-4133B9BDFDD3}"/>
    <cellStyle name="Normal 41" xfId="6532" xr:uid="{5A24008B-C6CE-4D5C-83FE-987A9A8CEBE8}"/>
    <cellStyle name="Normal 41 2" xfId="9392" xr:uid="{5B4AE23A-FC5E-4E42-9501-0F8F2EFDC70A}"/>
    <cellStyle name="Normal 41 2 2" xfId="23755" xr:uid="{0BB260CB-E551-48BC-BE0D-907AA8FB876A}"/>
    <cellStyle name="Normal 41 2 3" xfId="29623" xr:uid="{4D9C607D-059E-46A1-A3A8-62D09CDAEEDD}"/>
    <cellStyle name="Normal 41 2 4" xfId="35505" xr:uid="{C551EC2D-B054-4883-8036-00401A3109DD}"/>
    <cellStyle name="Normal 41 2 5" xfId="41364" xr:uid="{C2BFED0F-4859-4B93-833D-C91EF8C2EB82}"/>
    <cellStyle name="Normal 41 3" xfId="20970" xr:uid="{081A01C5-04B2-4B44-BFD9-450B3203B203}"/>
    <cellStyle name="Normal 41 4" xfId="26781" xr:uid="{6B7ADAAB-356B-4397-93F5-E232764766BA}"/>
    <cellStyle name="Normal 41 5" xfId="32656" xr:uid="{9EC0F816-D1CF-4CDE-9560-2C0EC24CDF88}"/>
    <cellStyle name="Normal 41 6" xfId="38520" xr:uid="{1F54D5C4-8B1A-4629-93EB-4AD0B1C99447}"/>
    <cellStyle name="Normal 42" xfId="1782" xr:uid="{00000000-0005-0000-0000-0000CA050000}"/>
    <cellStyle name="Normal 42 2" xfId="9412" xr:uid="{838BB0B2-BBF5-41AA-8EDD-D8E4BA4A3613}"/>
    <cellStyle name="Normal 42 2 2" xfId="23775" xr:uid="{B37D8F25-A8E7-442E-B34B-B337AEC74565}"/>
    <cellStyle name="Normal 42 2 3" xfId="29643" xr:uid="{A4D516D4-1D0D-41FB-AB8D-EF4D4516207D}"/>
    <cellStyle name="Normal 42 2 4" xfId="35525" xr:uid="{0D4A5E98-F5A1-4171-B1C0-9CE1239D2CA9}"/>
    <cellStyle name="Normal 42 2 5" xfId="41384" xr:uid="{1913BDAC-2694-4655-8DB5-C4078E689237}"/>
    <cellStyle name="Normal 42 3" xfId="20990" xr:uid="{84619F26-B4BD-4E66-AC01-2538D6C25F6F}"/>
    <cellStyle name="Normal 42 4" xfId="26801" xr:uid="{8A0CEE07-7049-4170-B57D-994BC0A258C0}"/>
    <cellStyle name="Normal 42 5" xfId="32676" xr:uid="{B00272A7-DDD8-4A1B-884A-46A569A57F10}"/>
    <cellStyle name="Normal 42 6" xfId="38540" xr:uid="{02D7AEF4-06DE-42AD-BBAB-A2149697957B}"/>
    <cellStyle name="Normal 43" xfId="1783" xr:uid="{00000000-0005-0000-0000-0000CB050000}"/>
    <cellStyle name="Normal 43 2" xfId="1384" xr:uid="{00000000-0005-0000-0000-0000CC050000}"/>
    <cellStyle name="Normal 43 2 2" xfId="9437" xr:uid="{F54E0F34-8319-426F-AF59-3E367DA4D1C0}"/>
    <cellStyle name="Normal 43 2 3" xfId="29668" xr:uid="{EAC4A6DF-E379-4947-BF86-86235915711D}"/>
    <cellStyle name="Normal 43 2 4" xfId="35550" xr:uid="{DAFDC7B4-26EA-4908-AA0B-2C9F7336A122}"/>
    <cellStyle name="Normal 43 2 5" xfId="41409" xr:uid="{DAB4CEF3-9672-43EF-8A9C-F4ECFD87D240}"/>
    <cellStyle name="Normal 43 3" xfId="6576" xr:uid="{5C3BBB12-48D6-4FCD-99A2-B62150CBEAAB}"/>
    <cellStyle name="Normal 43 4" xfId="26826" xr:uid="{74E582AF-3EBB-400F-8247-6672A2760C0F}"/>
    <cellStyle name="Normal 43 5" xfId="32701" xr:uid="{B3849A74-21AB-4E42-A829-FCEF334A2A9A}"/>
    <cellStyle name="Normal 43 6" xfId="38565" xr:uid="{B81A4AC2-D969-488C-97F7-3C1E780C3E3F}"/>
    <cellStyle name="Normal 44" xfId="1784" xr:uid="{00000000-0005-0000-0000-0000CD050000}"/>
    <cellStyle name="Normal 44 2" xfId="1385" xr:uid="{00000000-0005-0000-0000-0000CE050000}"/>
    <cellStyle name="Normal 44 2 2" xfId="9438" xr:uid="{484F2803-3B7B-4A62-B871-9A265EAB1C91}"/>
    <cellStyle name="Normal 44 2 3" xfId="29669" xr:uid="{B149187F-DD8B-4969-9FF9-2F33E936695B}"/>
    <cellStyle name="Normal 44 2 4" xfId="35551" xr:uid="{7431A41F-0943-40E5-B975-3861538EA8E8}"/>
    <cellStyle name="Normal 44 2 5" xfId="41410" xr:uid="{63A23B76-B2CA-4FF9-9391-C58F5041A833}"/>
    <cellStyle name="Normal 44 3" xfId="1386" xr:uid="{00000000-0005-0000-0000-0000CF050000}"/>
    <cellStyle name="Normal 44 3 2" xfId="21016" xr:uid="{E4712245-D0A8-409D-B836-57664D9CD372}"/>
    <cellStyle name="Normal 44 4" xfId="1387" xr:uid="{00000000-0005-0000-0000-0000D0050000}"/>
    <cellStyle name="Normal 44 4 2" xfId="26827" xr:uid="{79F8BEF9-9E8C-4ADA-B42F-62521DC53EB9}"/>
    <cellStyle name="Normal 44 5" xfId="1388" xr:uid="{00000000-0005-0000-0000-0000D1050000}"/>
    <cellStyle name="Normal 44 5 2" xfId="32702" xr:uid="{54C23478-B2D6-44C4-AB71-7FC04A9FF344}"/>
    <cellStyle name="Normal 44 6" xfId="1389" xr:uid="{00000000-0005-0000-0000-0000D2050000}"/>
    <cellStyle name="Normal 44 6 2" xfId="38566" xr:uid="{639307DC-E3F9-49B2-96E7-F73A7E49EF6F}"/>
    <cellStyle name="Normal 44 7" xfId="6578" xr:uid="{9FFB9863-37B7-4180-BE63-1FDBF1D4DB13}"/>
    <cellStyle name="Normal 45" xfId="6608" xr:uid="{517B17E6-88F9-49FD-B046-0213D6CBC76C}"/>
    <cellStyle name="Normal 45 2" xfId="9468" xr:uid="{840E331B-488F-4F3F-BDCC-75EAA6DB81BC}"/>
    <cellStyle name="Normal 45 2 2" xfId="23830" xr:uid="{C9EE1217-83EF-4F19-9823-7F6CA5D1D17F}"/>
    <cellStyle name="Normal 45 2 3" xfId="29699" xr:uid="{16E480D9-AA9C-4396-A825-6FC2D625E391}"/>
    <cellStyle name="Normal 45 2 4" xfId="35581" xr:uid="{47DA6FE2-44AB-4785-881C-F22BC53C03EC}"/>
    <cellStyle name="Normal 45 2 5" xfId="41440" xr:uid="{F068BC1F-DE80-4568-8175-1FE37F1F8D3C}"/>
    <cellStyle name="Normal 45 3" xfId="21045" xr:uid="{48DAC89D-E061-4193-B4C3-2076CB0B4284}"/>
    <cellStyle name="Normal 45 4" xfId="26857" xr:uid="{150BB38E-3802-4DFA-AD65-D5CF6FDF02E7}"/>
    <cellStyle name="Normal 45 5" xfId="32732" xr:uid="{FEFADE26-BCC1-49E9-9649-F044B15B9AAA}"/>
    <cellStyle name="Normal 45 6" xfId="38596" xr:uid="{D0E82D0B-173C-4D1F-A718-0505DB2FEA6D}"/>
    <cellStyle name="Normal 46" xfId="6628" xr:uid="{442894F8-8AF3-48D5-B145-01FED3669603}"/>
    <cellStyle name="Normal 46 2" xfId="21065" xr:uid="{F65A1552-E556-4654-9120-FB5490BDB821}"/>
    <cellStyle name="Normal 46 3" xfId="26877" xr:uid="{371F5414-101D-4E70-8A0B-363F9C55835E}"/>
    <cellStyle name="Normal 46 4" xfId="32752" xr:uid="{BE1A78B6-CADD-4760-8612-C3852F21FB52}"/>
    <cellStyle name="Normal 46 5" xfId="38616" xr:uid="{8BBAA935-DE9E-40E8-ABCA-2153D674D8EB}"/>
    <cellStyle name="Normal 47" xfId="1390" xr:uid="{00000000-0005-0000-0000-0000D3050000}"/>
    <cellStyle name="Normal 47 2" xfId="9506" xr:uid="{48759771-9148-445A-A236-C45E109898FD}"/>
    <cellStyle name="Normal 47 3" xfId="29737" xr:uid="{C4478445-27DE-4FEB-9EEE-C0954B37A0E9}"/>
    <cellStyle name="Normal 47 4" xfId="35619" xr:uid="{2511B037-6E0E-422E-964D-C0E4B7A14B49}"/>
    <cellStyle name="Normal 47 5" xfId="41478" xr:uid="{D0E2CBB8-94F8-4D0F-9F53-1E5B3434D100}"/>
    <cellStyle name="Normal 48" xfId="1391" xr:uid="{00000000-0005-0000-0000-0000D4050000}"/>
    <cellStyle name="Normal 48 2" xfId="9508" xr:uid="{3BF66260-8F17-4247-A44C-06254C5F1B3A}"/>
    <cellStyle name="Normal 48 3" xfId="29739" xr:uid="{2E57F964-717F-4FBD-BFC9-0F233FD16B85}"/>
    <cellStyle name="Normal 48 4" xfId="35621" xr:uid="{A345D653-C875-466D-AD22-9B710F32EA03}"/>
    <cellStyle name="Normal 48 5" xfId="41480" xr:uid="{CCF25962-2037-4968-B18B-5388E1E17C15}"/>
    <cellStyle name="Normal 49" xfId="1392" xr:uid="{00000000-0005-0000-0000-0000D5050000}"/>
    <cellStyle name="Normal 49 2" xfId="9509" xr:uid="{6A824605-16F0-4160-8608-4B7B9441EABF}"/>
    <cellStyle name="Normal 49 3" xfId="29740" xr:uid="{698B3006-4417-4A55-BCED-3FE530C6FCC4}"/>
    <cellStyle name="Normal 49 4" xfId="35622" xr:uid="{92C7247B-AEB2-49F0-8649-214578ED388E}"/>
    <cellStyle name="Normal 49 5" xfId="41481" xr:uid="{BC8CFD68-9EF2-48B0-A5E6-4E45411FB4EC}"/>
    <cellStyle name="Normal 5" xfId="76" xr:uid="{00000000-0005-0000-0000-0000D6050000}"/>
    <cellStyle name="Normal 5 10" xfId="1393" xr:uid="{00000000-0005-0000-0000-0000D7050000}"/>
    <cellStyle name="Normal 5 11" xfId="1394" xr:uid="{00000000-0005-0000-0000-0000D8050000}"/>
    <cellStyle name="Normal 5 12" xfId="1395" xr:uid="{00000000-0005-0000-0000-0000D9050000}"/>
    <cellStyle name="Normal 5 13" xfId="1785" xr:uid="{00000000-0005-0000-0000-0000DA050000}"/>
    <cellStyle name="Normal 5 14" xfId="1893" xr:uid="{00000000-0005-0000-0000-0000DB050000}"/>
    <cellStyle name="Normal 5 15" xfId="3370" xr:uid="{268625BD-E30F-4C47-80FE-7BA8B41A7CEB}"/>
    <cellStyle name="Normal 5 16" xfId="3347" xr:uid="{58F80A51-CFFB-4EE8-ADCF-FE3F2D011CFF}"/>
    <cellStyle name="Normal 5 17" xfId="42358" xr:uid="{B8386430-FA8D-4A5A-8457-9DF9FD49D379}"/>
    <cellStyle name="Normal 5 17 2" xfId="46988" xr:uid="{51A4DB43-3E12-4498-A829-4DF0E20B4E63}"/>
    <cellStyle name="Normal 5 2" xfId="1396" xr:uid="{00000000-0005-0000-0000-0000DC050000}"/>
    <cellStyle name="Normal 5 2 10" xfId="3384" xr:uid="{C0D83040-C0AF-4EEB-89EF-0A5DEE1AE5ED}"/>
    <cellStyle name="Normal 5 2 11" xfId="4031" xr:uid="{77D027C0-35AC-45B8-B193-D05A67C51C9B}"/>
    <cellStyle name="Normal 5 2 11 2" xfId="46989" xr:uid="{7ACB8629-3D87-494E-B7F4-AA05489EA0BE}"/>
    <cellStyle name="Normal 5 2 12" xfId="42359" xr:uid="{D51243F2-AC8C-4962-8B23-725903542B85}"/>
    <cellStyle name="Normal 5 2 12 2" xfId="46990" xr:uid="{C35DF913-507E-4DBA-9667-201A6E50BF3B}"/>
    <cellStyle name="Normal 5 2 2" xfId="1397" xr:uid="{00000000-0005-0000-0000-0000DD050000}"/>
    <cellStyle name="Normal 5 2 2 2" xfId="5473" xr:uid="{E2AD4E09-8ABC-4493-936B-F45AADF9D1E9}"/>
    <cellStyle name="Normal 5 2 2 2 2" xfId="8340" xr:uid="{E100AE25-ED96-4629-882C-8D0224FDF878}"/>
    <cellStyle name="Normal 5 2 2 2 2 2" xfId="22715" xr:uid="{AD002E3B-CDB4-4F37-A8F9-D8192088D779}"/>
    <cellStyle name="Normal 5 2 2 2 2 3" xfId="28573" xr:uid="{6F46FB1B-253A-4002-9D42-CCCFC9EDFF55}"/>
    <cellStyle name="Normal 5 2 2 2 2 4" xfId="34455" xr:uid="{2AF31D82-E554-4BAA-8532-3E3AE1408F7C}"/>
    <cellStyle name="Normal 5 2 2 2 2 5" xfId="40319" xr:uid="{6C7800FB-9DCA-4C3A-9851-98C2381879D2}"/>
    <cellStyle name="Normal 5 2 2 2 3" xfId="19934" xr:uid="{05C1D9C9-304A-4EFF-A3C0-0E3143272E05}"/>
    <cellStyle name="Normal 5 2 2 2 4" xfId="25724" xr:uid="{24C127F2-77AD-4E72-BEE8-E9566940D001}"/>
    <cellStyle name="Normal 5 2 2 2 5" xfId="31598" xr:uid="{78BFD881-2932-4CD9-AEEE-9E8923BD62BA}"/>
    <cellStyle name="Normal 5 2 2 2 6" xfId="37468" xr:uid="{35B54427-0CF3-4ABC-B991-84F472DC1EBD}"/>
    <cellStyle name="Normal 5 2 2 3" xfId="7368" xr:uid="{A8716CA5-4A90-4FDE-9034-AFE9F2A516D1}"/>
    <cellStyle name="Normal 5 2 2 3 2" xfId="21770" xr:uid="{D31596E0-7628-4314-9670-17726EB8BB81}"/>
    <cellStyle name="Normal 5 2 2 3 3" xfId="27602" xr:uid="{1E000694-578D-4512-8E27-C7C2E45F9103}"/>
    <cellStyle name="Normal 5 2 2 3 4" xfId="33484" xr:uid="{5AF6764F-EF87-4510-844A-AA9C244EDC50}"/>
    <cellStyle name="Normal 5 2 2 3 5" xfId="39348" xr:uid="{FCE745B3-8CFB-4DB1-A32F-9E5D58D263B9}"/>
    <cellStyle name="Normal 5 2 2 4" xfId="4505" xr:uid="{E59BA6EC-0FEF-4907-B1F6-97D69EE71AA7}"/>
    <cellStyle name="Normal 5 2 2 5" xfId="24753" xr:uid="{C31F7A44-9032-473A-81C9-C43F83477595}"/>
    <cellStyle name="Normal 5 2 2 6" xfId="30630" xr:uid="{B4C25AA1-5116-47C2-B95E-5638F2197599}"/>
    <cellStyle name="Normal 5 2 2 7" xfId="36511" xr:uid="{C2857B41-4628-4FB8-AE71-B6AE52367E24}"/>
    <cellStyle name="Normal 5 2 3" xfId="1398" xr:uid="{00000000-0005-0000-0000-0000DE050000}"/>
    <cellStyle name="Normal 5 2 3 2" xfId="7855" xr:uid="{B5AF94D6-19AE-4DAC-8888-8D7A60530788}"/>
    <cellStyle name="Normal 5 2 3 2 2" xfId="22240" xr:uid="{D28528FE-F119-4E64-B152-B25067AAD232}"/>
    <cellStyle name="Normal 5 2 3 2 3" xfId="28088" xr:uid="{64E6A7CD-5ACF-437F-A131-B45E1736AC55}"/>
    <cellStyle name="Normal 5 2 3 2 4" xfId="33970" xr:uid="{2388DFE9-BC29-4C4A-9A81-EBD4E6040F41}"/>
    <cellStyle name="Normal 5 2 3 2 5" xfId="39834" xr:uid="{DB929C50-D371-45FA-8D8F-6FD0BC5B1ABC}"/>
    <cellStyle name="Normal 5 2 3 3" xfId="4988" xr:uid="{385EFE2C-A3CE-4FC3-9E76-4C4B6A1B72A4}"/>
    <cellStyle name="Normal 5 2 3 4" xfId="25239" xr:uid="{86C77056-12B7-40C4-B417-1ED1F46F32AA}"/>
    <cellStyle name="Normal 5 2 3 5" xfId="31113" xr:uid="{5856556E-333F-4CBD-BC3A-3B0EAF949847}"/>
    <cellStyle name="Normal 5 2 3 6" xfId="36991" xr:uid="{5442D773-B0CB-4082-BD68-E572B9894623}"/>
    <cellStyle name="Normal 5 2 4" xfId="1399" xr:uid="{00000000-0005-0000-0000-0000DF050000}"/>
    <cellStyle name="Normal 5 2 4 2" xfId="6883" xr:uid="{DE6A19BA-6BCD-49A1-ADCF-7BC5EAB89997}"/>
    <cellStyle name="Normal 5 2 4 3" xfId="27121" xr:uid="{89228DD5-3B1E-48E4-933A-78886638CF9C}"/>
    <cellStyle name="Normal 5 2 4 4" xfId="32999" xr:uid="{30DC1189-7AF7-4B87-83CC-25D66CFD3DE4}"/>
    <cellStyle name="Normal 5 2 4 5" xfId="38863" xr:uid="{6A7D251A-6632-4D7E-926A-6F6151D1F217}"/>
    <cellStyle name="Normal 5 2 5" xfId="1400" xr:uid="{00000000-0005-0000-0000-0000E0050000}"/>
    <cellStyle name="Normal 5 2 5 2" xfId="18559" xr:uid="{C64D91C0-8596-47D0-91C2-5A2D70B6955F}"/>
    <cellStyle name="Normal 5 2 6" xfId="1401" xr:uid="{00000000-0005-0000-0000-0000E1050000}"/>
    <cellStyle name="Normal 5 2 6 2" xfId="24270" xr:uid="{E048B433-B044-4143-ABD8-EA927F5A2022}"/>
    <cellStyle name="Normal 5 2 7" xfId="1402" xr:uid="{00000000-0005-0000-0000-0000E2050000}"/>
    <cellStyle name="Normal 5 2 7 2" xfId="30148" xr:uid="{2920CD0C-1D46-480E-B28A-4747B0F5DF51}"/>
    <cellStyle name="Normal 5 2 8" xfId="1403" xr:uid="{00000000-0005-0000-0000-0000E3050000}"/>
    <cellStyle name="Normal 5 2 8 2" xfId="36027" xr:uid="{FE8DAC52-ADB5-4603-AF96-9DCC23B3A6DA}"/>
    <cellStyle name="Normal 5 2 9" xfId="1938" xr:uid="{00000000-0005-0000-0000-0000E4050000}"/>
    <cellStyle name="Normal 5 3" xfId="1404" xr:uid="{00000000-0005-0000-0000-0000E5050000}"/>
    <cellStyle name="Normal 5 3 2" xfId="1405" xr:uid="{00000000-0005-0000-0000-0000E6050000}"/>
    <cellStyle name="Normal 5 3 2 2" xfId="8144" xr:uid="{72084532-F3EC-48C9-9EE0-8458E7544F3F}"/>
    <cellStyle name="Normal 5 3 2 2 2" xfId="22520" xr:uid="{8832997D-31E4-4C42-9B51-F67CC142A5C4}"/>
    <cellStyle name="Normal 5 3 2 2 3" xfId="28377" xr:uid="{5D31A6D5-5B29-4B6F-B718-EAE5E6B48FB4}"/>
    <cellStyle name="Normal 5 3 2 2 4" xfId="34259" xr:uid="{FA4A6203-6BB8-4038-A712-177BFE6DBC6F}"/>
    <cellStyle name="Normal 5 3 2 2 5" xfId="40123" xr:uid="{58A2AA97-CBFF-4EC7-B6DD-5D6C694DBE5D}"/>
    <cellStyle name="Normal 5 3 2 3" xfId="5277" xr:uid="{D5096954-B4F1-4075-9AEB-C55239E89E61}"/>
    <cellStyle name="Normal 5 3 2 4" xfId="25528" xr:uid="{693D27DD-2DFA-48D1-812E-BA610BAC7E4C}"/>
    <cellStyle name="Normal 5 3 2 5" xfId="31402" xr:uid="{2C9EB93B-97B6-4474-8BF0-C7A3C5E98B47}"/>
    <cellStyle name="Normal 5 3 2 6" xfId="37273" xr:uid="{14AF2628-FCE9-4DC1-A039-3B7C8A403F97}"/>
    <cellStyle name="Normal 5 3 3" xfId="1406" xr:uid="{00000000-0005-0000-0000-0000E7050000}"/>
    <cellStyle name="Normal 5 3 3 2" xfId="7172" xr:uid="{68CE60C4-ED10-47C5-8EF9-246859A6F56E}"/>
    <cellStyle name="Normal 5 3 3 3" xfId="27406" xr:uid="{467D69ED-7AE4-47B9-9FA9-BB5784D34D00}"/>
    <cellStyle name="Normal 5 3 3 4" xfId="33288" xr:uid="{7547BED4-80F4-4601-95C1-29A7EEECC590}"/>
    <cellStyle name="Normal 5 3 3 5" xfId="39152" xr:uid="{57894449-2A0E-4FFF-8C6F-A9732E372BA6}"/>
    <cellStyle name="Normal 5 3 4" xfId="1407" xr:uid="{00000000-0005-0000-0000-0000E8050000}"/>
    <cellStyle name="Normal 5 3 4 2" xfId="18816" xr:uid="{808AEFA3-8822-426B-9516-4D313AFDC154}"/>
    <cellStyle name="Normal 5 3 5" xfId="1408" xr:uid="{00000000-0005-0000-0000-0000E9050000}"/>
    <cellStyle name="Normal 5 3 5 2" xfId="24557" xr:uid="{351FC18D-0564-4E96-AACE-33DDE7CFC568}"/>
    <cellStyle name="Normal 5 3 6" xfId="1409" xr:uid="{00000000-0005-0000-0000-0000EA050000}"/>
    <cellStyle name="Normal 5 3 6 2" xfId="30436" xr:uid="{2521277D-68DD-42C5-9B43-2C555ED662D8}"/>
    <cellStyle name="Normal 5 3 7" xfId="1410" xr:uid="{00000000-0005-0000-0000-0000EB050000}"/>
    <cellStyle name="Normal 5 3 7 2" xfId="36316" xr:uid="{C9718E3E-3D42-4611-9838-C3711359268B}"/>
    <cellStyle name="Normal 5 3 8" xfId="1411" xr:uid="{00000000-0005-0000-0000-0000EC050000}"/>
    <cellStyle name="Normal 5 3 9" xfId="4311" xr:uid="{5475FA1F-50F3-4C1E-9A6C-D3BAFE4EEBA9}"/>
    <cellStyle name="Normal 5 4" xfId="1412" xr:uid="{00000000-0005-0000-0000-0000ED050000}"/>
    <cellStyle name="Normal 5 4 2" xfId="1413" xr:uid="{00000000-0005-0000-0000-0000EE050000}"/>
    <cellStyle name="Normal 5 4 2 2" xfId="7659" xr:uid="{7787B9E3-AC82-4263-9432-19E5804CD75D}"/>
    <cellStyle name="Normal 5 4 2 3" xfId="27892" xr:uid="{0CB760CE-EBA4-4648-A2DE-6D57DC849A92}"/>
    <cellStyle name="Normal 5 4 2 4" xfId="33774" xr:uid="{EFF532E9-C0DB-479B-BAAE-0C5FC59BF1AB}"/>
    <cellStyle name="Normal 5 4 2 5" xfId="39638" xr:uid="{0C0568FF-EEB0-4EF7-93A8-0311AF0D8AE7}"/>
    <cellStyle name="Normal 5 4 3" xfId="1414" xr:uid="{00000000-0005-0000-0000-0000EF050000}"/>
    <cellStyle name="Normal 5 4 3 2" xfId="19275" xr:uid="{42B95CD5-81F3-42C8-8CDA-324E6AC828CB}"/>
    <cellStyle name="Normal 5 4 4" xfId="1415" xr:uid="{00000000-0005-0000-0000-0000F0050000}"/>
    <cellStyle name="Normal 5 4 4 2" xfId="25043" xr:uid="{E55E44F8-3BBA-400A-BAD4-151E8364C035}"/>
    <cellStyle name="Normal 5 4 5" xfId="1416" xr:uid="{00000000-0005-0000-0000-0000F1050000}"/>
    <cellStyle name="Normal 5 4 5 2" xfId="30917" xr:uid="{7F62D6A5-19C8-42B6-AC6B-D9732DA2B810}"/>
    <cellStyle name="Normal 5 4 6" xfId="1417" xr:uid="{00000000-0005-0000-0000-0000F2050000}"/>
    <cellStyle name="Normal 5 4 6 2" xfId="36796" xr:uid="{B531FE38-C564-472E-881B-4D68588F35D6}"/>
    <cellStyle name="Normal 5 4 7" xfId="1418" xr:uid="{00000000-0005-0000-0000-0000F3050000}"/>
    <cellStyle name="Normal 5 4 8" xfId="1419" xr:uid="{00000000-0005-0000-0000-0000F4050000}"/>
    <cellStyle name="Normal 5 4 9" xfId="4796" xr:uid="{E0F29210-A09F-400E-99AC-C60122BFEEEA}"/>
    <cellStyle name="Normal 5 5" xfId="1420" xr:uid="{00000000-0005-0000-0000-0000F5050000}"/>
    <cellStyle name="Normal 5 5 2" xfId="1421" xr:uid="{00000000-0005-0000-0000-0000F6050000}"/>
    <cellStyle name="Normal 5 5 2 2" xfId="8671" xr:uid="{EF46245E-2777-4234-A192-E88355D03440}"/>
    <cellStyle name="Normal 5 5 2 3" xfId="28903" xr:uid="{C7CD19E9-B7D9-416D-A3C2-69D08F9FE5A6}"/>
    <cellStyle name="Normal 5 5 2 4" xfId="34785" xr:uid="{C1A2B850-4938-42E6-B4F8-8DB363BEB824}"/>
    <cellStyle name="Normal 5 5 2 5" xfId="40649" xr:uid="{08D5E3F5-6F30-4F9D-BA21-3DBA6D5F9145}"/>
    <cellStyle name="Normal 5 5 3" xfId="1422" xr:uid="{00000000-0005-0000-0000-0000F7050000}"/>
    <cellStyle name="Normal 5 5 3 2" xfId="20254" xr:uid="{094F17AD-A12B-4ACB-B4B8-52BD323BDA99}"/>
    <cellStyle name="Normal 5 5 4" xfId="1423" xr:uid="{00000000-0005-0000-0000-0000F8050000}"/>
    <cellStyle name="Normal 5 5 4 2" xfId="26053" xr:uid="{FD041150-0188-442C-89B6-DE24DBEC3660}"/>
    <cellStyle name="Normal 5 5 5" xfId="1424" xr:uid="{00000000-0005-0000-0000-0000F9050000}"/>
    <cellStyle name="Normal 5 5 5 2" xfId="31928" xr:uid="{B84062C1-D030-46EE-A8AF-D09F5D370691}"/>
    <cellStyle name="Normal 5 5 6" xfId="1425" xr:uid="{00000000-0005-0000-0000-0000FA050000}"/>
    <cellStyle name="Normal 5 5 6 2" xfId="37794" xr:uid="{F2E33A5A-6C90-4943-B60A-D2565AD72D1E}"/>
    <cellStyle name="Normal 5 5 7" xfId="1426" xr:uid="{00000000-0005-0000-0000-0000FB050000}"/>
    <cellStyle name="Normal 5 5 8" xfId="1427" xr:uid="{00000000-0005-0000-0000-0000FC050000}"/>
    <cellStyle name="Normal 5 5 9" xfId="5802" xr:uid="{715B75DD-7BAB-45C7-BFE8-2D080041D217}"/>
    <cellStyle name="Normal 5 6" xfId="1428" xr:uid="{00000000-0005-0000-0000-0000FD050000}"/>
    <cellStyle name="Normal 5 6 2" xfId="1429" xr:uid="{00000000-0005-0000-0000-0000FE050000}"/>
    <cellStyle name="Normal 5 6 3" xfId="1430" xr:uid="{00000000-0005-0000-0000-0000FF050000}"/>
    <cellStyle name="Normal 5 6 4" xfId="1431" xr:uid="{00000000-0005-0000-0000-000000060000}"/>
    <cellStyle name="Normal 5 6 5" xfId="1432" xr:uid="{00000000-0005-0000-0000-000001060000}"/>
    <cellStyle name="Normal 5 6 6" xfId="1433" xr:uid="{00000000-0005-0000-0000-000002060000}"/>
    <cellStyle name="Normal 5 6 7" xfId="1434" xr:uid="{00000000-0005-0000-0000-000003060000}"/>
    <cellStyle name="Normal 5 6 8" xfId="1435" xr:uid="{00000000-0005-0000-0000-000004060000}"/>
    <cellStyle name="Normal 5 6 9" xfId="6650" xr:uid="{31ABB774-AFD2-4CFB-8D46-49733C4E8298}"/>
    <cellStyle name="Normal 5 7" xfId="1436" xr:uid="{00000000-0005-0000-0000-000005060000}"/>
    <cellStyle name="Normal 5 7 2" xfId="1437" xr:uid="{00000000-0005-0000-0000-000006060000}"/>
    <cellStyle name="Normal 5 7 2 2" xfId="21115" xr:uid="{4CC3640A-F100-4F5C-BDE6-2196B52D5EEC}"/>
    <cellStyle name="Normal 5 7 3" xfId="1438" xr:uid="{00000000-0005-0000-0000-000007060000}"/>
    <cellStyle name="Normal 5 7 3 2" xfId="26927" xr:uid="{5F228AB3-EC80-472A-96FE-CFCC74D3AFAE}"/>
    <cellStyle name="Normal 5 7 4" xfId="1439" xr:uid="{00000000-0005-0000-0000-000008060000}"/>
    <cellStyle name="Normal 5 7 4 2" xfId="32803" xr:uid="{45911A89-7B18-4544-98C9-74D783578F5E}"/>
    <cellStyle name="Normal 5 7 5" xfId="1440" xr:uid="{00000000-0005-0000-0000-000009060000}"/>
    <cellStyle name="Normal 5 7 5 2" xfId="38667" xr:uid="{16A4BB1A-49B4-4E06-BA58-054E2DFDCF22}"/>
    <cellStyle name="Normal 5 7 6" xfId="1441" xr:uid="{00000000-0005-0000-0000-00000A060000}"/>
    <cellStyle name="Normal 5 7 7" xfId="1442" xr:uid="{00000000-0005-0000-0000-00000B060000}"/>
    <cellStyle name="Normal 5 7 8" xfId="1443" xr:uid="{00000000-0005-0000-0000-00000C060000}"/>
    <cellStyle name="Normal 5 7 9" xfId="6688" xr:uid="{0D3FFAD6-DF89-4531-BD59-5BE6AECD8EE0}"/>
    <cellStyle name="Normal 5 8" xfId="1444" xr:uid="{00000000-0005-0000-0000-00000D060000}"/>
    <cellStyle name="Normal 5 8 2" xfId="1445" xr:uid="{00000000-0005-0000-0000-00000E060000}"/>
    <cellStyle name="Normal 5 8 2 2" xfId="24056" xr:uid="{F91F963D-B011-462C-A1D3-55F00AA81863}"/>
    <cellStyle name="Normal 5 8 3" xfId="1446" xr:uid="{00000000-0005-0000-0000-00000F060000}"/>
    <cellStyle name="Normal 5 8 3 2" xfId="29934" xr:uid="{20594B80-32EC-4A6D-B179-A1361B1D2922}"/>
    <cellStyle name="Normal 5 8 4" xfId="1447" xr:uid="{00000000-0005-0000-0000-000010060000}"/>
    <cellStyle name="Normal 5 8 4 2" xfId="35815" xr:uid="{0E6692D1-3368-4E83-86B5-26B5AC9A5140}"/>
    <cellStyle name="Normal 5 8 5" xfId="18348" xr:uid="{A9AC3B29-A8F6-456C-BE15-6B983DA2BDD6}"/>
    <cellStyle name="Normal 5 9" xfId="1448" xr:uid="{00000000-0005-0000-0000-000011060000}"/>
    <cellStyle name="Normal 50" xfId="1449" xr:uid="{00000000-0005-0000-0000-000012060000}"/>
    <cellStyle name="Normal 50 2" xfId="23890" xr:uid="{2F7C1766-F5C0-4E41-BC2E-6675CC9F46E9}"/>
    <cellStyle name="Normal 50 3" xfId="29760" xr:uid="{99E94BA7-CA0C-4383-8254-F70F6ACC6F35}"/>
    <cellStyle name="Normal 50 4" xfId="35642" xr:uid="{B32D3F8E-7A46-4DD6-96CA-1F07F5C4218C}"/>
    <cellStyle name="Normal 50 5" xfId="41501" xr:uid="{1EE4FD7C-C8BE-4B5C-8E2E-8A52D85E32AF}"/>
    <cellStyle name="Normal 51" xfId="1450" xr:uid="{00000000-0005-0000-0000-000013060000}"/>
    <cellStyle name="Normal 51 2" xfId="9548" xr:uid="{ABE79EDF-351B-48A2-978F-468265B68ECA}"/>
    <cellStyle name="Normal 51 3" xfId="29780" xr:uid="{08248267-BBED-4D28-8763-8BE0EC840E38}"/>
    <cellStyle name="Normal 51 4" xfId="35662" xr:uid="{5569B1BF-AA46-4A42-9DDA-04F8EC37AF3F}"/>
    <cellStyle name="Normal 51 5" xfId="41521" xr:uid="{6240DC4A-2818-4146-A2FD-5540F1CAEE17}"/>
    <cellStyle name="Normal 52" xfId="1451" xr:uid="{00000000-0005-0000-0000-000014060000}"/>
    <cellStyle name="Normal 52 2" xfId="15753" xr:uid="{E27D5812-5138-4BB1-8769-7A41B91AF6C8}"/>
    <cellStyle name="Normal 52 3" xfId="29845" xr:uid="{CA5D34CE-9F87-4513-8050-B409FFDCB5F7}"/>
    <cellStyle name="Normal 52 4" xfId="35727" xr:uid="{C9627BE4-9156-4258-AEC3-E825BC136888}"/>
    <cellStyle name="Normal 52 5" xfId="41586" xr:uid="{B7F19B67-8B90-4095-B2CB-A123F6C92476}"/>
    <cellStyle name="Normal 53" xfId="1452" xr:uid="{00000000-0005-0000-0000-000015060000}"/>
    <cellStyle name="Normal 53 2" xfId="15777" xr:uid="{69F06DF5-38B7-4EF5-9C76-17AC19C74E6E}"/>
    <cellStyle name="Normal 53 3" xfId="29869" xr:uid="{D0C7182B-DD1D-4BA1-8B70-835DD0E5C84A}"/>
    <cellStyle name="Normal 53 4" xfId="35751" xr:uid="{76B746BF-BB49-4A59-948C-63A454BEF905}"/>
    <cellStyle name="Normal 53 5" xfId="41610" xr:uid="{19D97CE9-AC28-4E7A-A332-17A7981FD8FC}"/>
    <cellStyle name="Normal 54" xfId="1453" xr:uid="{00000000-0005-0000-0000-000016060000}"/>
    <cellStyle name="Normal 54 2" xfId="15808" xr:uid="{0B6547BE-A680-44BC-B0C1-EE0994887917}"/>
    <cellStyle name="Normal 54 2 2" xfId="18334" xr:uid="{D5F4BCB7-BDA5-42A3-A492-50FB417BB44C}"/>
    <cellStyle name="Normal 55" xfId="1454" xr:uid="{00000000-0005-0000-0000-000017060000}"/>
    <cellStyle name="Normal 55 2" xfId="24019" xr:uid="{5797243C-D3C4-4F69-8C3E-FEEFF93A49E8}"/>
    <cellStyle name="Normal 55 3" xfId="18290" xr:uid="{8C3FE027-A0F9-4C28-8D65-E7FC271FE7F1}"/>
    <cellStyle name="Normal 56" xfId="1455" xr:uid="{00000000-0005-0000-0000-000018060000}"/>
    <cellStyle name="Normal 56 2" xfId="24021" xr:uid="{6E971678-F394-41EB-AE60-D1567FD093B8}"/>
    <cellStyle name="Normal 56 3" xfId="24020" xr:uid="{6C8D218C-0D60-436C-AC71-E74B80F1FFA8}"/>
    <cellStyle name="Normal 57" xfId="1456" xr:uid="{00000000-0005-0000-0000-000019060000}"/>
    <cellStyle name="Normal 57 2" xfId="29899" xr:uid="{2A17D63C-7DA4-4F37-86BD-181E6AF17CD0}"/>
    <cellStyle name="Normal 57 3" xfId="18310" xr:uid="{C4123F73-3519-456C-B7E4-29F69DA20671}"/>
    <cellStyle name="Normal 58" xfId="1457" xr:uid="{00000000-0005-0000-0000-00001A060000}"/>
    <cellStyle name="Normal 58 2" xfId="24022" xr:uid="{F21774E6-E8E7-448B-ABA4-C59484B85121}"/>
    <cellStyle name="Normal 59" xfId="3826" xr:uid="{FB664EC8-491B-4730-94DE-A4DDAD5F6924}"/>
    <cellStyle name="Normal 59 2" xfId="14907" xr:uid="{DEC97680-0B33-4972-9BE2-959787BF4C3F}"/>
    <cellStyle name="Normal 59 3" xfId="29900" xr:uid="{25DF3F36-0DCD-4375-9150-B7217545228A}"/>
    <cellStyle name="Normal 6" xfId="655" xr:uid="{00000000-0005-0000-0000-00001B060000}"/>
    <cellStyle name="Normal 6 10" xfId="1458" xr:uid="{00000000-0005-0000-0000-00001C060000}"/>
    <cellStyle name="Normal 6 11" xfId="1459" xr:uid="{00000000-0005-0000-0000-00001D060000}"/>
    <cellStyle name="Normal 6 12" xfId="1460" xr:uid="{00000000-0005-0000-0000-00001E060000}"/>
    <cellStyle name="Normal 6 13" xfId="1786" xr:uid="{00000000-0005-0000-0000-00001F060000}"/>
    <cellStyle name="Normal 6 14" xfId="1888" xr:uid="{00000000-0005-0000-0000-000020060000}"/>
    <cellStyle name="Normal 6 15" xfId="3371" xr:uid="{6F15D44A-B18B-40B7-A573-90E3E6C73966}"/>
    <cellStyle name="Normal 6 16" xfId="42360" xr:uid="{3A86F426-8903-4C9B-A8B2-E751B6914AA8}"/>
    <cellStyle name="Normal 6 16 2" xfId="46991" xr:uid="{45D25616-EE17-452E-903D-788F7CC68A31}"/>
    <cellStyle name="Normal 6 2" xfId="1461" xr:uid="{00000000-0005-0000-0000-000021060000}"/>
    <cellStyle name="Normal 6 2 10" xfId="42361" xr:uid="{45593B7E-6223-44C0-AC7C-E44D25C7214F}"/>
    <cellStyle name="Normal 6 2 2" xfId="1462" xr:uid="{00000000-0005-0000-0000-000022060000}"/>
    <cellStyle name="Normal 6 2 2 2" xfId="5495" xr:uid="{C9410A26-B8CB-49AA-8C92-E707E5E66132}"/>
    <cellStyle name="Normal 6 2 2 2 2" xfId="8362" xr:uid="{4C82DC79-D3A4-4E64-A2BF-807C54B8E337}"/>
    <cellStyle name="Normal 6 2 2 2 2 2" xfId="22737" xr:uid="{026A3C43-FAA7-4AA1-A44D-DC24B771D278}"/>
    <cellStyle name="Normal 6 2 2 2 2 3" xfId="28595" xr:uid="{162EE3A7-A662-41DF-A156-6C11102A791B}"/>
    <cellStyle name="Normal 6 2 2 2 2 4" xfId="34477" xr:uid="{E7747D7F-F083-4A42-8F03-1CEBB03CEEF8}"/>
    <cellStyle name="Normal 6 2 2 2 2 5" xfId="40341" xr:uid="{A64C9C56-62CA-477E-9933-0153F0C2430D}"/>
    <cellStyle name="Normal 6 2 2 2 3" xfId="19956" xr:uid="{D0E44DAF-E562-432C-AD0D-8D56A7FD1CF9}"/>
    <cellStyle name="Normal 6 2 2 2 4" xfId="25746" xr:uid="{A1115E8A-10FC-4D2E-83CA-FAD9222DA906}"/>
    <cellStyle name="Normal 6 2 2 2 5" xfId="31620" xr:uid="{97F9959C-F096-4DB8-A4B1-E643CFF26443}"/>
    <cellStyle name="Normal 6 2 2 2 6" xfId="37490" xr:uid="{CB1BB632-A487-41DE-943C-DDCECD4E4AE7}"/>
    <cellStyle name="Normal 6 2 2 3" xfId="7390" xr:uid="{D25559CB-66A9-4355-B1EB-ACCB886249B5}"/>
    <cellStyle name="Normal 6 2 2 3 2" xfId="21792" xr:uid="{74C070C7-63AC-42F0-9A02-4FEBF1C2B524}"/>
    <cellStyle name="Normal 6 2 2 3 3" xfId="27624" xr:uid="{DB54BEA0-EDEA-4CB0-BC5A-2DB80E637FB5}"/>
    <cellStyle name="Normal 6 2 2 3 4" xfId="33506" xr:uid="{B207CC3E-2FB3-454E-9133-7F7F076998EC}"/>
    <cellStyle name="Normal 6 2 2 3 5" xfId="39370" xr:uid="{1E4AAFA4-6AFC-4E36-BF0F-EFBC6108CC5D}"/>
    <cellStyle name="Normal 6 2 2 4" xfId="4527" xr:uid="{3B1BA161-CC5F-41C1-85BF-1F0AD5B32D07}"/>
    <cellStyle name="Normal 6 2 2 5" xfId="24775" xr:uid="{1A553CC4-8E76-44B1-8E06-96F60D4C77F0}"/>
    <cellStyle name="Normal 6 2 2 6" xfId="30652" xr:uid="{94A33966-0574-4BBC-976B-98F79AE63B78}"/>
    <cellStyle name="Normal 6 2 2 7" xfId="36533" xr:uid="{5B478506-23BE-42EC-BE53-A7E404D65C73}"/>
    <cellStyle name="Normal 6 2 3" xfId="1463" xr:uid="{00000000-0005-0000-0000-000023060000}"/>
    <cellStyle name="Normal 6 2 3 2" xfId="7877" xr:uid="{B186BD6B-7C43-4344-AB9A-57D1A6C94495}"/>
    <cellStyle name="Normal 6 2 3 2 2" xfId="22262" xr:uid="{018CD087-7B31-4CC7-A612-0EC0C11D8D6B}"/>
    <cellStyle name="Normal 6 2 3 2 3" xfId="28110" xr:uid="{3FBBE09D-3ADD-4787-AED4-0B818C3DB251}"/>
    <cellStyle name="Normal 6 2 3 2 4" xfId="33992" xr:uid="{F75F2B61-DB96-4914-8436-91B54FA26F1B}"/>
    <cellStyle name="Normal 6 2 3 2 5" xfId="39856" xr:uid="{432C2952-96EE-4EF3-A163-6CDCC92BE522}"/>
    <cellStyle name="Normal 6 2 3 3" xfId="5010" xr:uid="{F673910D-5907-4DF8-85AE-A804C8372029}"/>
    <cellStyle name="Normal 6 2 3 4" xfId="25261" xr:uid="{6D863B80-5278-4310-A096-5273EF313B4A}"/>
    <cellStyle name="Normal 6 2 3 5" xfId="31135" xr:uid="{85ACD85D-9BF5-43B6-9A4F-7DA499AC3E04}"/>
    <cellStyle name="Normal 6 2 3 6" xfId="37013" xr:uid="{56A89281-8199-4C03-9C3C-E2752D87D9D8}"/>
    <cellStyle name="Normal 6 2 4" xfId="1464" xr:uid="{00000000-0005-0000-0000-000024060000}"/>
    <cellStyle name="Normal 6 2 4 2" xfId="6905" xr:uid="{92D55D23-9341-4866-8618-7BBE83E0CDF2}"/>
    <cellStyle name="Normal 6 2 4 3" xfId="27143" xr:uid="{30B1F40A-7F62-4C8C-8CAE-56C292CCAFEF}"/>
    <cellStyle name="Normal 6 2 4 4" xfId="33021" xr:uid="{1473E0BF-779D-434C-80A7-A6D2AADEBCFF}"/>
    <cellStyle name="Normal 6 2 4 5" xfId="38885" xr:uid="{2001BADE-ABD5-407D-9EE9-C72D61379E52}"/>
    <cellStyle name="Normal 6 2 5" xfId="1465" xr:uid="{00000000-0005-0000-0000-000025060000}"/>
    <cellStyle name="Normal 6 2 5 2" xfId="18580" xr:uid="{6F98035C-5E38-48DE-8543-F70F01763EEE}"/>
    <cellStyle name="Normal 6 2 6" xfId="1466" xr:uid="{00000000-0005-0000-0000-000026060000}"/>
    <cellStyle name="Normal 6 2 6 2" xfId="24292" xr:uid="{007C63AA-86F2-4619-A629-DE257A993D3F}"/>
    <cellStyle name="Normal 6 2 7" xfId="1467" xr:uid="{00000000-0005-0000-0000-000027060000}"/>
    <cellStyle name="Normal 6 2 7 2" xfId="30170" xr:uid="{14B7ECA0-6709-4737-8866-8C0FC841D6B3}"/>
    <cellStyle name="Normal 6 2 8" xfId="1468" xr:uid="{00000000-0005-0000-0000-000028060000}"/>
    <cellStyle name="Normal 6 2 8 2" xfId="36049" xr:uid="{8AFE74D1-2388-4E2D-82D1-8778F66B6A61}"/>
    <cellStyle name="Normal 6 2 9" xfId="1910" xr:uid="{00000000-0005-0000-0000-000029060000}"/>
    <cellStyle name="Normal 6 3" xfId="1469" xr:uid="{00000000-0005-0000-0000-00002A060000}"/>
    <cellStyle name="Normal 6 3 2" xfId="1470" xr:uid="{00000000-0005-0000-0000-00002B060000}"/>
    <cellStyle name="Normal 6 3 2 2" xfId="8166" xr:uid="{12BD4C22-FD9E-46AB-A923-AF0DC4421E53}"/>
    <cellStyle name="Normal 6 3 2 2 2" xfId="22542" xr:uid="{7E9B0486-3B68-4704-B717-6C9CF64D1DBE}"/>
    <cellStyle name="Normal 6 3 2 2 3" xfId="28399" xr:uid="{5B54746A-9C63-466D-95F9-E8E75E888BAB}"/>
    <cellStyle name="Normal 6 3 2 2 4" xfId="34281" xr:uid="{D04C768E-BC12-4B75-BBB0-0F19A5FAE7F8}"/>
    <cellStyle name="Normal 6 3 2 2 5" xfId="40145" xr:uid="{FDF47CF5-87E6-49AD-BACD-31AE1B3BF906}"/>
    <cellStyle name="Normal 6 3 2 3" xfId="5299" xr:uid="{5CAD17EF-5B71-40A6-8CE0-8ADCC2B94CE9}"/>
    <cellStyle name="Normal 6 3 2 4" xfId="25550" xr:uid="{584679EB-AD26-4B10-9A63-F8B87A29EDD5}"/>
    <cellStyle name="Normal 6 3 2 5" xfId="31424" xr:uid="{5BEB29A3-9313-40CD-8527-D275E67EB4A4}"/>
    <cellStyle name="Normal 6 3 2 6" xfId="37295" xr:uid="{E260C82F-0BA9-41E1-87C1-57CC5562A777}"/>
    <cellStyle name="Normal 6 3 3" xfId="1471" xr:uid="{00000000-0005-0000-0000-00002C060000}"/>
    <cellStyle name="Normal 6 3 3 2" xfId="7194" xr:uid="{E78EC584-5DC7-422F-9CBD-88EC3A01D1A7}"/>
    <cellStyle name="Normal 6 3 3 3" xfId="27428" xr:uid="{28DC1E64-AE61-4BAF-A1E8-D4467DC9EA99}"/>
    <cellStyle name="Normal 6 3 3 4" xfId="33310" xr:uid="{A8B0FFFA-DFEB-45EA-A231-490EC45F9D47}"/>
    <cellStyle name="Normal 6 3 3 5" xfId="39174" xr:uid="{3534ED78-0057-45B0-A4C3-7914D802345B}"/>
    <cellStyle name="Normal 6 3 4" xfId="1472" xr:uid="{00000000-0005-0000-0000-00002D060000}"/>
    <cellStyle name="Normal 6 3 4 2" xfId="18838" xr:uid="{CCE9155C-68C6-45B8-83E9-46013CC63C55}"/>
    <cellStyle name="Normal 6 3 5" xfId="1473" xr:uid="{00000000-0005-0000-0000-00002E060000}"/>
    <cellStyle name="Normal 6 3 5 2" xfId="24579" xr:uid="{57A3274C-BFB0-4ED6-A042-16D2A23BE8B2}"/>
    <cellStyle name="Normal 6 3 6" xfId="1474" xr:uid="{00000000-0005-0000-0000-00002F060000}"/>
    <cellStyle name="Normal 6 3 6 2" xfId="30458" xr:uid="{189EBA84-2575-43A1-BDAD-6F91E7831277}"/>
    <cellStyle name="Normal 6 3 7" xfId="1475" xr:uid="{00000000-0005-0000-0000-000030060000}"/>
    <cellStyle name="Normal 6 3 7 2" xfId="36338" xr:uid="{70B5FD3B-20F3-4D09-A2AA-4B6BEB883FB0}"/>
    <cellStyle name="Normal 6 3 8" xfId="1476" xr:uid="{00000000-0005-0000-0000-000031060000}"/>
    <cellStyle name="Normal 6 3 9" xfId="4333" xr:uid="{78B276F8-433C-4C11-8DA9-713C46F7CE03}"/>
    <cellStyle name="Normal 6 4" xfId="1477" xr:uid="{00000000-0005-0000-0000-000032060000}"/>
    <cellStyle name="Normal 6 4 2" xfId="1478" xr:uid="{00000000-0005-0000-0000-000033060000}"/>
    <cellStyle name="Normal 6 4 2 2" xfId="7681" xr:uid="{EC52588E-46E3-414C-82CC-51572DCCB655}"/>
    <cellStyle name="Normal 6 4 2 3" xfId="27914" xr:uid="{DE578B6F-A109-4F8A-B1B5-92F1F6440177}"/>
    <cellStyle name="Normal 6 4 2 4" xfId="33796" xr:uid="{7936BDCB-3293-4E83-BF55-9912105E5FBB}"/>
    <cellStyle name="Normal 6 4 2 5" xfId="39660" xr:uid="{4C387FA3-3E48-4813-BBB6-3AEA4A73A769}"/>
    <cellStyle name="Normal 6 4 3" xfId="1479" xr:uid="{00000000-0005-0000-0000-000034060000}"/>
    <cellStyle name="Normal 6 4 3 2" xfId="19297" xr:uid="{E559BA6D-2140-4136-8AD4-B5433AE9D884}"/>
    <cellStyle name="Normal 6 4 4" xfId="1480" xr:uid="{00000000-0005-0000-0000-000035060000}"/>
    <cellStyle name="Normal 6 4 4 2" xfId="25065" xr:uid="{B1C1AD6B-E1E3-45DE-BE81-8F45BC22A94B}"/>
    <cellStyle name="Normal 6 4 5" xfId="1481" xr:uid="{00000000-0005-0000-0000-000036060000}"/>
    <cellStyle name="Normal 6 4 5 2" xfId="30939" xr:uid="{28F34715-E17B-484E-8223-546D8D6C5304}"/>
    <cellStyle name="Normal 6 4 6" xfId="1482" xr:uid="{00000000-0005-0000-0000-000037060000}"/>
    <cellStyle name="Normal 6 4 6 2" xfId="36818" xr:uid="{F8070314-11C9-4955-90DC-9DC9C1C69EC9}"/>
    <cellStyle name="Normal 6 4 7" xfId="1483" xr:uid="{00000000-0005-0000-0000-000038060000}"/>
    <cellStyle name="Normal 6 4 8" xfId="1484" xr:uid="{00000000-0005-0000-0000-000039060000}"/>
    <cellStyle name="Normal 6 4 9" xfId="4818" xr:uid="{E2CB9667-C9F5-4517-9B33-4F88BB557433}"/>
    <cellStyle name="Normal 6 5" xfId="1485" xr:uid="{00000000-0005-0000-0000-00003A060000}"/>
    <cellStyle name="Normal 6 5 2" xfId="1486" xr:uid="{00000000-0005-0000-0000-00003B060000}"/>
    <cellStyle name="Normal 6 5 2 2" xfId="8693" xr:uid="{7298554E-B756-448F-B4F7-77A77189368E}"/>
    <cellStyle name="Normal 6 5 2 3" xfId="28925" xr:uid="{68FB8774-A166-4DB4-B1FC-7484D9CEBB46}"/>
    <cellStyle name="Normal 6 5 2 4" xfId="34807" xr:uid="{8F5A5B2E-2286-4A6C-9CDB-6633A834AA09}"/>
    <cellStyle name="Normal 6 5 2 5" xfId="40671" xr:uid="{C86F7062-C07F-41D7-BA05-3B1DB658C85F}"/>
    <cellStyle name="Normal 6 5 3" xfId="1487" xr:uid="{00000000-0005-0000-0000-00003C060000}"/>
    <cellStyle name="Normal 6 5 3 2" xfId="20276" xr:uid="{8F1AB26A-D06C-45C6-A7C4-7D7090F83962}"/>
    <cellStyle name="Normal 6 5 4" xfId="1488" xr:uid="{00000000-0005-0000-0000-00003D060000}"/>
    <cellStyle name="Normal 6 5 4 2" xfId="26075" xr:uid="{098DF1E5-9115-4FBD-8292-D10CB4B67AAA}"/>
    <cellStyle name="Normal 6 5 5" xfId="1489" xr:uid="{00000000-0005-0000-0000-00003E060000}"/>
    <cellStyle name="Normal 6 5 5 2" xfId="31950" xr:uid="{891E289D-4527-4A36-8822-2F80D194699F}"/>
    <cellStyle name="Normal 6 5 6" xfId="1490" xr:uid="{00000000-0005-0000-0000-00003F060000}"/>
    <cellStyle name="Normal 6 5 6 2" xfId="37816" xr:uid="{4464DA60-3D3E-40C3-B232-EC1A6C59B29F}"/>
    <cellStyle name="Normal 6 5 7" xfId="1491" xr:uid="{00000000-0005-0000-0000-000040060000}"/>
    <cellStyle name="Normal 6 5 8" xfId="1492" xr:uid="{00000000-0005-0000-0000-000041060000}"/>
    <cellStyle name="Normal 6 5 9" xfId="5824" xr:uid="{407AA107-DC5A-462D-A967-A53BF9F11026}"/>
    <cellStyle name="Normal 6 6" xfId="1493" xr:uid="{00000000-0005-0000-0000-000042060000}"/>
    <cellStyle name="Normal 6 6 2" xfId="1494" xr:uid="{00000000-0005-0000-0000-000043060000}"/>
    <cellStyle name="Normal 6 6 3" xfId="1495" xr:uid="{00000000-0005-0000-0000-000044060000}"/>
    <cellStyle name="Normal 6 6 4" xfId="1496" xr:uid="{00000000-0005-0000-0000-000045060000}"/>
    <cellStyle name="Normal 6 6 5" xfId="1497" xr:uid="{00000000-0005-0000-0000-000046060000}"/>
    <cellStyle name="Normal 6 6 6" xfId="1498" xr:uid="{00000000-0005-0000-0000-000047060000}"/>
    <cellStyle name="Normal 6 6 7" xfId="1499" xr:uid="{00000000-0005-0000-0000-000048060000}"/>
    <cellStyle name="Normal 6 6 8" xfId="1500" xr:uid="{00000000-0005-0000-0000-000049060000}"/>
    <cellStyle name="Normal 6 6 9" xfId="6652" xr:uid="{F553F455-E58C-49F9-9B99-6FC170B2D3E5}"/>
    <cellStyle name="Normal 6 7" xfId="1501" xr:uid="{00000000-0005-0000-0000-00004A060000}"/>
    <cellStyle name="Normal 6 7 2" xfId="1502" xr:uid="{00000000-0005-0000-0000-00004B060000}"/>
    <cellStyle name="Normal 6 7 2 2" xfId="21137" xr:uid="{5E482218-8AB6-4E27-952B-224593F91B5B}"/>
    <cellStyle name="Normal 6 7 3" xfId="1503" xr:uid="{00000000-0005-0000-0000-00004C060000}"/>
    <cellStyle name="Normal 6 7 3 2" xfId="26949" xr:uid="{1C8E9E51-1CC7-49BF-B59C-AFA6A03FCD69}"/>
    <cellStyle name="Normal 6 7 4" xfId="1504" xr:uid="{00000000-0005-0000-0000-00004D060000}"/>
    <cellStyle name="Normal 6 7 4 2" xfId="32825" xr:uid="{C4712110-CFDF-41F7-9450-47CD86F929F0}"/>
    <cellStyle name="Normal 6 7 5" xfId="1505" xr:uid="{00000000-0005-0000-0000-00004E060000}"/>
    <cellStyle name="Normal 6 7 5 2" xfId="38689" xr:uid="{D9158487-BEF5-43CB-A6DD-5A69F8B18D9B}"/>
    <cellStyle name="Normal 6 7 6" xfId="1506" xr:uid="{00000000-0005-0000-0000-00004F060000}"/>
    <cellStyle name="Normal 6 7 7" xfId="1507" xr:uid="{00000000-0005-0000-0000-000050060000}"/>
    <cellStyle name="Normal 6 7 8" xfId="1508" xr:uid="{00000000-0005-0000-0000-000051060000}"/>
    <cellStyle name="Normal 6 7 9" xfId="6710" xr:uid="{727A2130-4646-4392-98AC-6FFC1CD89244}"/>
    <cellStyle name="Normal 6 8" xfId="1509" xr:uid="{00000000-0005-0000-0000-000052060000}"/>
    <cellStyle name="Normal 6 8 2" xfId="1510" xr:uid="{00000000-0005-0000-0000-000053060000}"/>
    <cellStyle name="Normal 6 8 2 2" xfId="24080" xr:uid="{7701BD77-150A-4CD7-89A9-862D6EA6A0E9}"/>
    <cellStyle name="Normal 6 8 3" xfId="1511" xr:uid="{00000000-0005-0000-0000-000054060000}"/>
    <cellStyle name="Normal 6 8 3 2" xfId="29958" xr:uid="{A22D7CA8-A631-466D-8F79-D9C624E88EDF}"/>
    <cellStyle name="Normal 6 8 4" xfId="1512" xr:uid="{00000000-0005-0000-0000-000055060000}"/>
    <cellStyle name="Normal 6 8 4 2" xfId="35839" xr:uid="{375AB377-6F0D-4381-894E-CEA8B3265209}"/>
    <cellStyle name="Normal 6 8 5" xfId="18372" xr:uid="{F4177129-71DB-48D1-ABC7-CE1C09A37635}"/>
    <cellStyle name="Normal 6 9" xfId="1513" xr:uid="{00000000-0005-0000-0000-000056060000}"/>
    <cellStyle name="Normal 60" xfId="35781" xr:uid="{E96842DD-211E-4206-A42C-0E242A7E41BE}"/>
    <cellStyle name="Normal 601" xfId="1862" xr:uid="{00000000-0005-0000-0000-000057060000}"/>
    <cellStyle name="Normal 605" xfId="1818" xr:uid="{00000000-0005-0000-0000-000058060000}"/>
    <cellStyle name="Normal 606" xfId="1817" xr:uid="{00000000-0005-0000-0000-000059060000}"/>
    <cellStyle name="Normal 61" xfId="42053" xr:uid="{D6386B28-7B51-4D0D-AC21-52B395EC52F3}"/>
    <cellStyle name="Normal 62" xfId="17486" xr:uid="{54954572-5BCF-4CDB-914A-AF46A01B3B2F}"/>
    <cellStyle name="Normal 63" xfId="50168" xr:uid="{0CE94E1C-6939-41E0-9D6E-E270F1929CB2}"/>
    <cellStyle name="Normal 636" xfId="1815" xr:uid="{00000000-0005-0000-0000-00005A060000}"/>
    <cellStyle name="Normal 640" xfId="1816" xr:uid="{00000000-0005-0000-0000-00005B060000}"/>
    <cellStyle name="Normal 643" xfId="1819" xr:uid="{00000000-0005-0000-0000-00005C060000}"/>
    <cellStyle name="Normal 646" xfId="1821" xr:uid="{00000000-0005-0000-0000-00005D060000}"/>
    <cellStyle name="Normal 647" xfId="1822" xr:uid="{00000000-0005-0000-0000-00005E060000}"/>
    <cellStyle name="Normal 649" xfId="1823" xr:uid="{00000000-0005-0000-0000-00005F060000}"/>
    <cellStyle name="Normal 650" xfId="1824" xr:uid="{00000000-0005-0000-0000-000060060000}"/>
    <cellStyle name="Normal 651" xfId="1825" xr:uid="{00000000-0005-0000-0000-000061060000}"/>
    <cellStyle name="Normal 652" xfId="1826" xr:uid="{00000000-0005-0000-0000-000062060000}"/>
    <cellStyle name="Normal 653" xfId="1827" xr:uid="{00000000-0005-0000-0000-000063060000}"/>
    <cellStyle name="Normal 654" xfId="1828" xr:uid="{00000000-0005-0000-0000-000064060000}"/>
    <cellStyle name="Normal 655" xfId="1829" xr:uid="{00000000-0005-0000-0000-000065060000}"/>
    <cellStyle name="Normal 656" xfId="1830" xr:uid="{00000000-0005-0000-0000-000066060000}"/>
    <cellStyle name="Normal 657" xfId="1831" xr:uid="{00000000-0005-0000-0000-000067060000}"/>
    <cellStyle name="Normal 658" xfId="1833" xr:uid="{00000000-0005-0000-0000-000068060000}"/>
    <cellStyle name="Normal 659" xfId="1834" xr:uid="{00000000-0005-0000-0000-000069060000}"/>
    <cellStyle name="Normal 660" xfId="1836" xr:uid="{00000000-0005-0000-0000-00006A060000}"/>
    <cellStyle name="Normal 662" xfId="1837" xr:uid="{00000000-0005-0000-0000-00006B060000}"/>
    <cellStyle name="Normal 663" xfId="1838" xr:uid="{00000000-0005-0000-0000-00006C060000}"/>
    <cellStyle name="Normal 664" xfId="1839" xr:uid="{00000000-0005-0000-0000-00006D060000}"/>
    <cellStyle name="Normal 665" xfId="1840" xr:uid="{00000000-0005-0000-0000-00006E060000}"/>
    <cellStyle name="Normal 667" xfId="1841" xr:uid="{00000000-0005-0000-0000-00006F060000}"/>
    <cellStyle name="Normal 673" xfId="1844" xr:uid="{00000000-0005-0000-0000-000070060000}"/>
    <cellStyle name="Normal 674" xfId="1845" xr:uid="{00000000-0005-0000-0000-000071060000}"/>
    <cellStyle name="Normal 675" xfId="1846" xr:uid="{00000000-0005-0000-0000-000072060000}"/>
    <cellStyle name="Normal 676" xfId="1847" xr:uid="{00000000-0005-0000-0000-000073060000}"/>
    <cellStyle name="Normal 677" xfId="1851" xr:uid="{00000000-0005-0000-0000-000074060000}"/>
    <cellStyle name="Normal 678" xfId="1852" xr:uid="{00000000-0005-0000-0000-000075060000}"/>
    <cellStyle name="Normal 679" xfId="1853" xr:uid="{00000000-0005-0000-0000-000076060000}"/>
    <cellStyle name="Normal 684" xfId="1858" xr:uid="{00000000-0005-0000-0000-000077060000}"/>
    <cellStyle name="Normal 7" xfId="1787" xr:uid="{00000000-0005-0000-0000-000078060000}"/>
    <cellStyle name="Normal 7 10" xfId="1514" xr:uid="{00000000-0005-0000-0000-000079060000}"/>
    <cellStyle name="Normal 7 11" xfId="1515" xr:uid="{00000000-0005-0000-0000-00007A060000}"/>
    <cellStyle name="Normal 7 12" xfId="1516" xr:uid="{00000000-0005-0000-0000-00007B060000}"/>
    <cellStyle name="Normal 7 13" xfId="3879" xr:uid="{73129568-F850-46DA-A08C-C8EE94CF32DA}"/>
    <cellStyle name="Normal 7 13 2" xfId="46992" xr:uid="{859E1850-C11D-4716-BC89-8291457E1D2E}"/>
    <cellStyle name="Normal 7 14" xfId="42362" xr:uid="{91F0C36B-8070-447C-B6D4-FB2C3045E890}"/>
    <cellStyle name="Normal 7 2" xfId="1517" xr:uid="{00000000-0005-0000-0000-00007C060000}"/>
    <cellStyle name="Normal 7 2 10" xfId="46993" xr:uid="{E5AFA59E-BAAC-48F6-B6F1-59C6CDD3747D}"/>
    <cellStyle name="Normal 7 2 2" xfId="1518" xr:uid="{00000000-0005-0000-0000-00007D060000}"/>
    <cellStyle name="Normal 7 2 2 2" xfId="5522" xr:uid="{CD7F2D5C-9F56-4DB5-86FB-C68BFCCAD487}"/>
    <cellStyle name="Normal 7 2 2 2 2" xfId="8389" xr:uid="{47E64E31-874A-4B40-A49A-D25F27F77D65}"/>
    <cellStyle name="Normal 7 2 2 2 2 2" xfId="22764" xr:uid="{5116F499-689B-4A62-945F-73839E8DE6AF}"/>
    <cellStyle name="Normal 7 2 2 2 2 3" xfId="28622" xr:uid="{D0225850-9092-4ABD-8297-C5981CC4654C}"/>
    <cellStyle name="Normal 7 2 2 2 2 4" xfId="34504" xr:uid="{8688D490-4DBB-405F-B074-B106FC3C312D}"/>
    <cellStyle name="Normal 7 2 2 2 2 5" xfId="40368" xr:uid="{F8D98AC2-3540-467D-88EA-892400020EF3}"/>
    <cellStyle name="Normal 7 2 2 2 3" xfId="19982" xr:uid="{6C7EFAAF-6139-4C9D-B4D7-078915E8EEB1}"/>
    <cellStyle name="Normal 7 2 2 2 4" xfId="25773" xr:uid="{26075790-D2E1-40B2-B982-26ED4EE0B387}"/>
    <cellStyle name="Normal 7 2 2 2 5" xfId="31647" xr:uid="{EB5F4419-8599-472A-B906-D7BE0ABB7A1A}"/>
    <cellStyle name="Normal 7 2 2 2 6" xfId="37517" xr:uid="{7E49EEFE-0A75-4B18-AEFC-2D2E034937AB}"/>
    <cellStyle name="Normal 7 2 2 3" xfId="7417" xr:uid="{1C13853D-23EC-440A-A431-B024B28F7ADD}"/>
    <cellStyle name="Normal 7 2 2 3 2" xfId="21819" xr:uid="{AE939DAA-22FB-4A12-AA79-89BA546DA97D}"/>
    <cellStyle name="Normal 7 2 2 3 3" xfId="27651" xr:uid="{E78BFD21-889C-4B98-9E07-93EB7465D878}"/>
    <cellStyle name="Normal 7 2 2 3 4" xfId="33533" xr:uid="{931391E6-FD0B-4786-A52C-FC015AF5AFBB}"/>
    <cellStyle name="Normal 7 2 2 3 5" xfId="39397" xr:uid="{4D872D67-BC5D-438B-8883-D0F40A9A280B}"/>
    <cellStyle name="Normal 7 2 2 4" xfId="4554" xr:uid="{35BF5951-DC9F-4739-9195-236D1E86555E}"/>
    <cellStyle name="Normal 7 2 2 5" xfId="24802" xr:uid="{E4A5EA99-0ACF-467E-95CD-999666625931}"/>
    <cellStyle name="Normal 7 2 2 6" xfId="30679" xr:uid="{83BB4F1A-907C-468C-AC65-7B9C696611CB}"/>
    <cellStyle name="Normal 7 2 2 7" xfId="36560" xr:uid="{12B8A451-B221-4866-9670-F7F4387E386A}"/>
    <cellStyle name="Normal 7 2 3" xfId="1519" xr:uid="{00000000-0005-0000-0000-00007E060000}"/>
    <cellStyle name="Normal 7 2 3 2" xfId="7904" xr:uid="{40D57A09-8830-442C-858C-6B151BBC9207}"/>
    <cellStyle name="Normal 7 2 3 2 2" xfId="22289" xr:uid="{7C4E231B-3A1F-413C-B4AB-F93E4655C195}"/>
    <cellStyle name="Normal 7 2 3 2 3" xfId="28137" xr:uid="{1A1EC527-0C08-4E69-8176-7030EAFEC79E}"/>
    <cellStyle name="Normal 7 2 3 2 4" xfId="34019" xr:uid="{D23E0053-CE46-4CA9-A0B8-A7C739111816}"/>
    <cellStyle name="Normal 7 2 3 2 5" xfId="39883" xr:uid="{050CE66D-C028-474E-A81A-26BC2379F790}"/>
    <cellStyle name="Normal 7 2 3 3" xfId="5037" xr:uid="{0CD39E63-37E0-4AC3-B89B-E4E18DBCC07D}"/>
    <cellStyle name="Normal 7 2 3 4" xfId="25288" xr:uid="{A25D04C9-3401-4840-9DBC-0A5C663B47A4}"/>
    <cellStyle name="Normal 7 2 3 5" xfId="31162" xr:uid="{91B31985-4F1F-4C14-9CCC-E770C480470A}"/>
    <cellStyle name="Normal 7 2 3 6" xfId="37040" xr:uid="{43807440-B2C2-4E4E-9D3E-69835561592C}"/>
    <cellStyle name="Normal 7 2 4" xfId="1520" xr:uid="{00000000-0005-0000-0000-00007F060000}"/>
    <cellStyle name="Normal 7 2 4 2" xfId="6932" xr:uid="{0B58D109-0A65-438F-B04E-3EA98301D4E7}"/>
    <cellStyle name="Normal 7 2 4 3" xfId="27170" xr:uid="{24943C1D-EC3A-4571-96B4-6868444620EB}"/>
    <cellStyle name="Normal 7 2 4 4" xfId="33048" xr:uid="{1332DB62-8D68-4C66-8E9C-901766737715}"/>
    <cellStyle name="Normal 7 2 4 5" xfId="38912" xr:uid="{621AA0F5-3A06-49D2-BFA0-D40AA8F81C11}"/>
    <cellStyle name="Normal 7 2 5" xfId="1521" xr:uid="{00000000-0005-0000-0000-000080060000}"/>
    <cellStyle name="Normal 7 2 5 2" xfId="18607" xr:uid="{3245784B-66D7-40D9-9A35-48CED5340388}"/>
    <cellStyle name="Normal 7 2 6" xfId="1522" xr:uid="{00000000-0005-0000-0000-000081060000}"/>
    <cellStyle name="Normal 7 2 6 2" xfId="24319" xr:uid="{3CE4697D-619E-4006-97E5-F4542F818F75}"/>
    <cellStyle name="Normal 7 2 7" xfId="1523" xr:uid="{00000000-0005-0000-0000-000082060000}"/>
    <cellStyle name="Normal 7 2 7 2" xfId="30197" xr:uid="{85562A93-1EA6-4FA1-BA9A-5E1A5664D6B2}"/>
    <cellStyle name="Normal 7 2 8" xfId="1524" xr:uid="{00000000-0005-0000-0000-000083060000}"/>
    <cellStyle name="Normal 7 2 8 2" xfId="36076" xr:uid="{07EF8436-74C1-4BFA-8E75-6CE31D0CE0D8}"/>
    <cellStyle name="Normal 7 2 9" xfId="4076" xr:uid="{99420177-1DE3-45B9-9C20-123EA121B636}"/>
    <cellStyle name="Normal 7 2 9 2" xfId="46994" xr:uid="{9742EC04-7484-40A2-91F5-260F855CCA2A}"/>
    <cellStyle name="Normal 7 3" xfId="1525" xr:uid="{00000000-0005-0000-0000-000084060000}"/>
    <cellStyle name="Normal 7 3 2" xfId="1526" xr:uid="{00000000-0005-0000-0000-000085060000}"/>
    <cellStyle name="Normal 7 3 2 2" xfId="8193" xr:uid="{F500D06A-A18A-42D6-BDF2-9F945609F1FA}"/>
    <cellStyle name="Normal 7 3 2 2 2" xfId="22569" xr:uid="{814B5D57-ED61-4582-9A17-060C48ACD7D6}"/>
    <cellStyle name="Normal 7 3 2 2 3" xfId="28426" xr:uid="{29D586CD-6B17-43CD-B765-DDA5727813D9}"/>
    <cellStyle name="Normal 7 3 2 2 4" xfId="34308" xr:uid="{C98DA485-FF5C-4602-8B1C-D2CAD7C82FDB}"/>
    <cellStyle name="Normal 7 3 2 2 5" xfId="40172" xr:uid="{1AA2BB3A-D9FB-4D45-8E84-368BCB318CB1}"/>
    <cellStyle name="Normal 7 3 2 3" xfId="5326" xr:uid="{87D1EFCF-CD1C-48E0-B421-F3CC71D66EF7}"/>
    <cellStyle name="Normal 7 3 2 4" xfId="25577" xr:uid="{7840DEA1-6829-4249-844B-0E6EE6F38A11}"/>
    <cellStyle name="Normal 7 3 2 5" xfId="31451" xr:uid="{9E4180BE-DB02-4677-84D7-CE1ADB9602CA}"/>
    <cellStyle name="Normal 7 3 2 6" xfId="37322" xr:uid="{728A3D8F-F2B0-4974-95FF-5D9BABEEA67C}"/>
    <cellStyle name="Normal 7 3 3" xfId="1527" xr:uid="{00000000-0005-0000-0000-000086060000}"/>
    <cellStyle name="Normal 7 3 3 2" xfId="7221" xr:uid="{3094FCA5-E424-4E2A-86B6-5A3E67C1F077}"/>
    <cellStyle name="Normal 7 3 3 3" xfId="27455" xr:uid="{B721C326-D82F-4E97-8458-05DCB10B2517}"/>
    <cellStyle name="Normal 7 3 3 4" xfId="33337" xr:uid="{0EDAE2A1-6914-44E8-9EF3-E1C8D2055D80}"/>
    <cellStyle name="Normal 7 3 3 5" xfId="39201" xr:uid="{71F1C7AE-E5F7-4253-BC07-A2622737687E}"/>
    <cellStyle name="Normal 7 3 4" xfId="1528" xr:uid="{00000000-0005-0000-0000-000087060000}"/>
    <cellStyle name="Normal 7 3 4 2" xfId="18864" xr:uid="{409EAB51-5290-4E99-BE6B-6F21AD7A062D}"/>
    <cellStyle name="Normal 7 3 5" xfId="1529" xr:uid="{00000000-0005-0000-0000-000088060000}"/>
    <cellStyle name="Normal 7 3 5 2" xfId="24606" xr:uid="{5319B397-AA85-4B8D-95E2-E59C7B1C18DC}"/>
    <cellStyle name="Normal 7 3 6" xfId="1530" xr:uid="{00000000-0005-0000-0000-000089060000}"/>
    <cellStyle name="Normal 7 3 6 2" xfId="30485" xr:uid="{E5CFB6C8-58FA-4F8F-ACB7-FD633E34F969}"/>
    <cellStyle name="Normal 7 3 7" xfId="1531" xr:uid="{00000000-0005-0000-0000-00008A060000}"/>
    <cellStyle name="Normal 7 3 7 2" xfId="36365" xr:uid="{4258443C-B12F-4231-AEEF-2E9B675A6C20}"/>
    <cellStyle name="Normal 7 3 8" xfId="1532" xr:uid="{00000000-0005-0000-0000-00008B060000}"/>
    <cellStyle name="Normal 7 3 9" xfId="4360" xr:uid="{F16C58A5-E9DF-42C3-A7E8-69A2B4C90485}"/>
    <cellStyle name="Normal 7 4" xfId="1533" xr:uid="{00000000-0005-0000-0000-00008C060000}"/>
    <cellStyle name="Normal 7 4 2" xfId="1534" xr:uid="{00000000-0005-0000-0000-00008D060000}"/>
    <cellStyle name="Normal 7 4 2 2" xfId="7708" xr:uid="{698C5BF8-A535-4779-A8B4-5A2942C071C7}"/>
    <cellStyle name="Normal 7 4 2 3" xfId="27941" xr:uid="{B2DF5C87-3D74-448A-8C49-A5D5DFEAAA30}"/>
    <cellStyle name="Normal 7 4 2 4" xfId="33823" xr:uid="{D8295463-3103-4124-8879-1155BA7DEB34}"/>
    <cellStyle name="Normal 7 4 2 5" xfId="39687" xr:uid="{72A2356A-C01C-4192-8F30-D81DD511DB09}"/>
    <cellStyle name="Normal 7 4 3" xfId="1535" xr:uid="{00000000-0005-0000-0000-00008E060000}"/>
    <cellStyle name="Normal 7 4 3 2" xfId="19324" xr:uid="{2FF88168-656F-4BE8-8824-74F84B9B95A0}"/>
    <cellStyle name="Normal 7 4 4" xfId="1536" xr:uid="{00000000-0005-0000-0000-00008F060000}"/>
    <cellStyle name="Normal 7 4 4 2" xfId="25092" xr:uid="{8F80430D-771D-49F8-AB18-25831AAB1231}"/>
    <cellStyle name="Normal 7 4 5" xfId="1537" xr:uid="{00000000-0005-0000-0000-000090060000}"/>
    <cellStyle name="Normal 7 4 5 2" xfId="30966" xr:uid="{2BD3DE85-8395-47DF-9C61-35DF508AA29F}"/>
    <cellStyle name="Normal 7 4 6" xfId="1538" xr:uid="{00000000-0005-0000-0000-000091060000}"/>
    <cellStyle name="Normal 7 4 6 2" xfId="36845" xr:uid="{251D8995-6C2C-402F-AF2C-A0FEDC8C21FF}"/>
    <cellStyle name="Normal 7 4 7" xfId="1539" xr:uid="{00000000-0005-0000-0000-000092060000}"/>
    <cellStyle name="Normal 7 4 8" xfId="1540" xr:uid="{00000000-0005-0000-0000-000093060000}"/>
    <cellStyle name="Normal 7 4 9" xfId="4842" xr:uid="{A83269F4-A080-46B5-B012-78531BDED82D}"/>
    <cellStyle name="Normal 7 5" xfId="1541" xr:uid="{00000000-0005-0000-0000-000094060000}"/>
    <cellStyle name="Normal 7 5 2" xfId="1542" xr:uid="{00000000-0005-0000-0000-000095060000}"/>
    <cellStyle name="Normal 7 5 2 2" xfId="8720" xr:uid="{16CACD86-2667-41F6-8885-B589941831C1}"/>
    <cellStyle name="Normal 7 5 2 3" xfId="28952" xr:uid="{2DD36B87-D891-4CA5-9206-F84D500291E4}"/>
    <cellStyle name="Normal 7 5 2 4" xfId="34834" xr:uid="{F55A871D-94D0-4380-8796-7DD652AD35AC}"/>
    <cellStyle name="Normal 7 5 2 5" xfId="40698" xr:uid="{42AF0B0A-7B4E-40D5-8760-BED758F20852}"/>
    <cellStyle name="Normal 7 5 3" xfId="1543" xr:uid="{00000000-0005-0000-0000-000096060000}"/>
    <cellStyle name="Normal 7 5 3 2" xfId="20303" xr:uid="{BE07661C-D1A7-4A64-B857-88B09B1EB98A}"/>
    <cellStyle name="Normal 7 5 4" xfId="1544" xr:uid="{00000000-0005-0000-0000-000097060000}"/>
    <cellStyle name="Normal 7 5 4 2" xfId="26102" xr:uid="{9CBA00CA-DF32-4F1B-96E4-778F1B418A20}"/>
    <cellStyle name="Normal 7 5 5" xfId="1545" xr:uid="{00000000-0005-0000-0000-000098060000}"/>
    <cellStyle name="Normal 7 5 5 2" xfId="31977" xr:uid="{50F74431-5FA7-474D-8A1D-DFC16524FBE7}"/>
    <cellStyle name="Normal 7 5 6" xfId="1546" xr:uid="{00000000-0005-0000-0000-000099060000}"/>
    <cellStyle name="Normal 7 5 6 2" xfId="37843" xr:uid="{81A5358C-6854-4159-A75F-3A1C7690ED0A}"/>
    <cellStyle name="Normal 7 5 7" xfId="1547" xr:uid="{00000000-0005-0000-0000-00009A060000}"/>
    <cellStyle name="Normal 7 5 8" xfId="1548" xr:uid="{00000000-0005-0000-0000-00009B060000}"/>
    <cellStyle name="Normal 7 5 9" xfId="5851" xr:uid="{3918C0C7-0F8F-4F97-B334-C035C49E0E45}"/>
    <cellStyle name="Normal 7 6" xfId="1549" xr:uid="{00000000-0005-0000-0000-00009C060000}"/>
    <cellStyle name="Normal 7 6 2" xfId="1550" xr:uid="{00000000-0005-0000-0000-00009D060000}"/>
    <cellStyle name="Normal 7 6 3" xfId="1551" xr:uid="{00000000-0005-0000-0000-00009E060000}"/>
    <cellStyle name="Normal 7 6 4" xfId="1552" xr:uid="{00000000-0005-0000-0000-00009F060000}"/>
    <cellStyle name="Normal 7 6 5" xfId="1553" xr:uid="{00000000-0005-0000-0000-0000A0060000}"/>
    <cellStyle name="Normal 7 6 6" xfId="1554" xr:uid="{00000000-0005-0000-0000-0000A1060000}"/>
    <cellStyle name="Normal 7 6 7" xfId="1555" xr:uid="{00000000-0005-0000-0000-0000A2060000}"/>
    <cellStyle name="Normal 7 6 8" xfId="1556" xr:uid="{00000000-0005-0000-0000-0000A3060000}"/>
    <cellStyle name="Normal 7 6 9" xfId="6653" xr:uid="{357F7373-7737-4324-AF27-681DB4ECB265}"/>
    <cellStyle name="Normal 7 7" xfId="1557" xr:uid="{00000000-0005-0000-0000-0000A4060000}"/>
    <cellStyle name="Normal 7 7 2" xfId="1558" xr:uid="{00000000-0005-0000-0000-0000A5060000}"/>
    <cellStyle name="Normal 7 7 2 2" xfId="21161" xr:uid="{77C3F31B-97AA-4356-A2AF-9B88FEB02D59}"/>
    <cellStyle name="Normal 7 7 3" xfId="1559" xr:uid="{00000000-0005-0000-0000-0000A6060000}"/>
    <cellStyle name="Normal 7 7 3 2" xfId="26976" xr:uid="{5993F084-47F8-4090-9ED4-818DD48ABA9E}"/>
    <cellStyle name="Normal 7 7 4" xfId="1560" xr:uid="{00000000-0005-0000-0000-0000A7060000}"/>
    <cellStyle name="Normal 7 7 4 2" xfId="32852" xr:uid="{C61604D1-F73B-4137-8E8B-53EAB5411387}"/>
    <cellStyle name="Normal 7 7 5" xfId="1561" xr:uid="{00000000-0005-0000-0000-0000A8060000}"/>
    <cellStyle name="Normal 7 7 5 2" xfId="38716" xr:uid="{C7EFCC2C-4DF6-42F9-BF74-BBC6CE9BFD28}"/>
    <cellStyle name="Normal 7 7 6" xfId="1562" xr:uid="{00000000-0005-0000-0000-0000A9060000}"/>
    <cellStyle name="Normal 7 7 7" xfId="1563" xr:uid="{00000000-0005-0000-0000-0000AA060000}"/>
    <cellStyle name="Normal 7 7 8" xfId="1564" xr:uid="{00000000-0005-0000-0000-0000AB060000}"/>
    <cellStyle name="Normal 7 7 9" xfId="6737" xr:uid="{1697E02F-60FB-4BD1-A8B7-7444E0ADE94C}"/>
    <cellStyle name="Normal 7 8" xfId="1565" xr:uid="{00000000-0005-0000-0000-0000AC060000}"/>
    <cellStyle name="Normal 7 8 2" xfId="1566" xr:uid="{00000000-0005-0000-0000-0000AD060000}"/>
    <cellStyle name="Normal 7 8 2 2" xfId="24111" xr:uid="{3F4A2141-D200-4F39-9C70-160CEBAA04AC}"/>
    <cellStyle name="Normal 7 8 3" xfId="1567" xr:uid="{00000000-0005-0000-0000-0000AE060000}"/>
    <cellStyle name="Normal 7 8 3 2" xfId="29989" xr:uid="{481E77FB-F1F0-48B4-BA8D-AF06459A27B3}"/>
    <cellStyle name="Normal 7 8 4" xfId="1568" xr:uid="{00000000-0005-0000-0000-0000AF060000}"/>
    <cellStyle name="Normal 7 8 4 2" xfId="35870" xr:uid="{33080F46-5138-437C-9CD9-30CA73DE509B}"/>
    <cellStyle name="Normal 7 8 5" xfId="18402" xr:uid="{F9AFC0F5-763F-429B-A014-82489DE97490}"/>
    <cellStyle name="Normal 7 9" xfId="1569" xr:uid="{00000000-0005-0000-0000-0000B0060000}"/>
    <cellStyle name="Normal 713" xfId="1848" xr:uid="{00000000-0005-0000-0000-0000B1060000}"/>
    <cellStyle name="Normal 714" xfId="1849" xr:uid="{00000000-0005-0000-0000-0000B2060000}"/>
    <cellStyle name="Normal 715" xfId="1850" xr:uid="{00000000-0005-0000-0000-0000B3060000}"/>
    <cellStyle name="Normal 744" xfId="1868" xr:uid="{00000000-0005-0000-0000-0000B4060000}"/>
    <cellStyle name="Normal 8" xfId="1788" xr:uid="{00000000-0005-0000-0000-0000B5060000}"/>
    <cellStyle name="Normal 8 10" xfId="1570" xr:uid="{00000000-0005-0000-0000-0000B6060000}"/>
    <cellStyle name="Normal 8 11" xfId="1571" xr:uid="{00000000-0005-0000-0000-0000B7060000}"/>
    <cellStyle name="Normal 8 12" xfId="1572" xr:uid="{00000000-0005-0000-0000-0000B8060000}"/>
    <cellStyle name="Normal 8 13" xfId="3906" xr:uid="{5FFA22B0-CDE9-43E8-8FF6-A98031E04550}"/>
    <cellStyle name="Normal 8 2" xfId="1573" xr:uid="{00000000-0005-0000-0000-0000B9060000}"/>
    <cellStyle name="Normal 8 2 2" xfId="1574" xr:uid="{00000000-0005-0000-0000-0000BA060000}"/>
    <cellStyle name="Normal 8 2 2 2" xfId="5546" xr:uid="{19CBA6D6-6036-430D-B372-1F0CD2B66790}"/>
    <cellStyle name="Normal 8 2 2 2 2" xfId="8413" xr:uid="{D429A699-69C2-4E3D-8143-DDD5134567F3}"/>
    <cellStyle name="Normal 8 2 2 2 2 2" xfId="22788" xr:uid="{01882E1D-A5FD-470F-BCAF-222DE552F48E}"/>
    <cellStyle name="Normal 8 2 2 2 2 3" xfId="28646" xr:uid="{29F4B732-535C-4E36-8621-9A8D6AF6E84E}"/>
    <cellStyle name="Normal 8 2 2 2 2 4" xfId="34528" xr:uid="{5AE41611-800E-4CF6-AF8E-BCC52BD50913}"/>
    <cellStyle name="Normal 8 2 2 2 2 5" xfId="40392" xr:uid="{3FD393C7-07AF-4B9A-AEF9-5BDEE6DB8403}"/>
    <cellStyle name="Normal 8 2 2 2 3" xfId="20006" xr:uid="{CE9D9EF1-BCBD-43B1-BC05-C0297AC353BE}"/>
    <cellStyle name="Normal 8 2 2 2 4" xfId="25797" xr:uid="{7CF8C983-98EC-47EA-9106-E069E82A3FBD}"/>
    <cellStyle name="Normal 8 2 2 2 5" xfId="31671" xr:uid="{F552AD9C-DFC2-4BEE-9035-DC136D591978}"/>
    <cellStyle name="Normal 8 2 2 2 6" xfId="37541" xr:uid="{E01EB203-675A-4735-9DF3-A59B5065B2EC}"/>
    <cellStyle name="Normal 8 2 2 3" xfId="7441" xr:uid="{DE08E698-0490-450A-B9A5-0ABAE951CD18}"/>
    <cellStyle name="Normal 8 2 2 3 2" xfId="21843" xr:uid="{9F6A202F-D79C-40BA-940E-6F394BE683AB}"/>
    <cellStyle name="Normal 8 2 2 3 3" xfId="27675" xr:uid="{D5B078A6-B307-4D30-B82A-CB208B3F94C4}"/>
    <cellStyle name="Normal 8 2 2 3 4" xfId="33557" xr:uid="{B17599C5-980C-4EE8-87D6-E9EF454B30E6}"/>
    <cellStyle name="Normal 8 2 2 3 5" xfId="39421" xr:uid="{B7A35832-AA97-40F4-BDB8-70D226DD901E}"/>
    <cellStyle name="Normal 8 2 2 4" xfId="4578" xr:uid="{B05F18D6-E315-4377-B851-96BC6FB157EA}"/>
    <cellStyle name="Normal 8 2 2 5" xfId="24826" xr:uid="{819B88DE-42CC-4AE9-8C1A-344CD27FED12}"/>
    <cellStyle name="Normal 8 2 2 6" xfId="30703" xr:uid="{9A634E8A-54F0-4650-9CAB-91FC3F8EF25C}"/>
    <cellStyle name="Normal 8 2 2 7" xfId="36584" xr:uid="{9AF8BD3E-46DC-4466-9499-6DC6548F7170}"/>
    <cellStyle name="Normal 8 2 3" xfId="1575" xr:uid="{00000000-0005-0000-0000-0000BB060000}"/>
    <cellStyle name="Normal 8 2 3 2" xfId="7928" xr:uid="{6090D524-EA66-4A09-885D-E2E393DF0EEE}"/>
    <cellStyle name="Normal 8 2 3 2 2" xfId="22313" xr:uid="{1BB99BA7-F072-497C-8FDA-30E01B7B2336}"/>
    <cellStyle name="Normal 8 2 3 2 3" xfId="28161" xr:uid="{4EA65831-89B0-4045-AF14-B811A7FD0334}"/>
    <cellStyle name="Normal 8 2 3 2 4" xfId="34043" xr:uid="{69DCC881-6C62-4557-AADE-BA6791E6B85A}"/>
    <cellStyle name="Normal 8 2 3 2 5" xfId="39907" xr:uid="{497D317C-0EE3-4ED1-925D-6D175C890DE8}"/>
    <cellStyle name="Normal 8 2 3 3" xfId="5061" xr:uid="{13178408-F90E-4120-AC7F-5D82CB0EA1B9}"/>
    <cellStyle name="Normal 8 2 3 4" xfId="25312" xr:uid="{10DC5A36-469F-4F05-824A-1B7DF408CDDB}"/>
    <cellStyle name="Normal 8 2 3 5" xfId="31186" xr:uid="{B10A3FCF-BAC9-4D79-86BE-8902B2827972}"/>
    <cellStyle name="Normal 8 2 3 6" xfId="37064" xr:uid="{86C73D1E-3AC4-4201-8C5A-B57687E007DC}"/>
    <cellStyle name="Normal 8 2 4" xfId="1576" xr:uid="{00000000-0005-0000-0000-0000BC060000}"/>
    <cellStyle name="Normal 8 2 4 2" xfId="6956" xr:uid="{ADF99122-75E5-4DA5-86E9-B20F6CF34C03}"/>
    <cellStyle name="Normal 8 2 4 3" xfId="27194" xr:uid="{0E7596C6-08E3-4923-AD95-E059878B9C0A}"/>
    <cellStyle name="Normal 8 2 4 4" xfId="33072" xr:uid="{FCEA7F1C-C198-4087-BE33-5D31CD868CF4}"/>
    <cellStyle name="Normal 8 2 4 5" xfId="38936" xr:uid="{79877279-0722-4A5F-8087-3876022EF038}"/>
    <cellStyle name="Normal 8 2 5" xfId="1577" xr:uid="{00000000-0005-0000-0000-0000BD060000}"/>
    <cellStyle name="Normal 8 2 5 2" xfId="18630" xr:uid="{F87E7AB8-480C-4BF8-888B-1C3479C8B3D5}"/>
    <cellStyle name="Normal 8 2 6" xfId="1578" xr:uid="{00000000-0005-0000-0000-0000BE060000}"/>
    <cellStyle name="Normal 8 2 6 2" xfId="24343" xr:uid="{820C80A6-D996-46AC-9725-E5E24768A697}"/>
    <cellStyle name="Normal 8 2 7" xfId="1579" xr:uid="{00000000-0005-0000-0000-0000BF060000}"/>
    <cellStyle name="Normal 8 2 7 2" xfId="30221" xr:uid="{8CB27D34-2991-418A-A54F-ED8068B49249}"/>
    <cellStyle name="Normal 8 2 8" xfId="1580" xr:uid="{00000000-0005-0000-0000-0000C0060000}"/>
    <cellStyle name="Normal 8 2 8 2" xfId="36100" xr:uid="{A7EF085A-0D8C-429E-91D9-1309285406FB}"/>
    <cellStyle name="Normal 8 2 9" xfId="4100" xr:uid="{7E5DA0E0-3000-4138-A6E6-912760A6C616}"/>
    <cellStyle name="Normal 8 3" xfId="1581" xr:uid="{00000000-0005-0000-0000-0000C1060000}"/>
    <cellStyle name="Normal 8 3 2" xfId="1582" xr:uid="{00000000-0005-0000-0000-0000C2060000}"/>
    <cellStyle name="Normal 8 3 2 2" xfId="8217" xr:uid="{8BC6A31E-AE13-4718-8194-D126CE355198}"/>
    <cellStyle name="Normal 8 3 2 2 2" xfId="22593" xr:uid="{A8FB6C58-542C-421B-B2EE-21E6CC673C3F}"/>
    <cellStyle name="Normal 8 3 2 2 3" xfId="28450" xr:uid="{21AFD904-72F2-4E26-B55F-7E4C69DFA2D5}"/>
    <cellStyle name="Normal 8 3 2 2 4" xfId="34332" xr:uid="{F1209378-020E-499A-819A-BF9F117719C6}"/>
    <cellStyle name="Normal 8 3 2 2 5" xfId="40196" xr:uid="{6526622E-CF99-4CED-8F7E-2F424535BC4F}"/>
    <cellStyle name="Normal 8 3 2 3" xfId="5350" xr:uid="{A4CA45E0-B351-455F-A8CF-9E120692577C}"/>
    <cellStyle name="Normal 8 3 2 4" xfId="25601" xr:uid="{EC0E3836-E6B4-4A38-9D7A-6B22B4DC9759}"/>
    <cellStyle name="Normal 8 3 2 5" xfId="31475" xr:uid="{58A281FF-02A8-4EED-978E-17C1F5EC7FB5}"/>
    <cellStyle name="Normal 8 3 2 6" xfId="37346" xr:uid="{D90ACE10-0AFC-4B95-88A3-81C2ABBA7899}"/>
    <cellStyle name="Normal 8 3 3" xfId="1583" xr:uid="{00000000-0005-0000-0000-0000C3060000}"/>
    <cellStyle name="Normal 8 3 3 2" xfId="7245" xr:uid="{207E6BE7-8D2D-411A-A344-AA4980637A00}"/>
    <cellStyle name="Normal 8 3 3 3" xfId="27479" xr:uid="{3511F79A-0D13-47C0-8D4B-98AEB95444A8}"/>
    <cellStyle name="Normal 8 3 3 4" xfId="33361" xr:uid="{130DDCF9-3321-4B35-BBA6-40F0A35748F0}"/>
    <cellStyle name="Normal 8 3 3 5" xfId="39225" xr:uid="{A9FAB548-A799-42C6-AB7D-7452085C79B7}"/>
    <cellStyle name="Normal 8 3 4" xfId="1584" xr:uid="{00000000-0005-0000-0000-0000C4060000}"/>
    <cellStyle name="Normal 8 3 4 2" xfId="18887" xr:uid="{323C7D61-9345-4274-A927-914250AA56B0}"/>
    <cellStyle name="Normal 8 3 5" xfId="1585" xr:uid="{00000000-0005-0000-0000-0000C5060000}"/>
    <cellStyle name="Normal 8 3 5 2" xfId="24630" xr:uid="{2C799657-E00D-4E70-81DC-BB19DCECB9A6}"/>
    <cellStyle name="Normal 8 3 6" xfId="1586" xr:uid="{00000000-0005-0000-0000-0000C6060000}"/>
    <cellStyle name="Normal 8 3 6 2" xfId="30509" xr:uid="{95118704-D05F-400A-BF43-5A8A76DF37C4}"/>
    <cellStyle name="Normal 8 3 7" xfId="1587" xr:uid="{00000000-0005-0000-0000-0000C7060000}"/>
    <cellStyle name="Normal 8 3 7 2" xfId="36389" xr:uid="{34FF31A0-202E-43E5-BF32-222F393DC166}"/>
    <cellStyle name="Normal 8 3 8" xfId="1588" xr:uid="{00000000-0005-0000-0000-0000C8060000}"/>
    <cellStyle name="Normal 8 3 9" xfId="4384" xr:uid="{7972FF25-3AE1-438F-AAC3-E092BC851F6C}"/>
    <cellStyle name="Normal 8 4" xfId="1589" xr:uid="{00000000-0005-0000-0000-0000C9060000}"/>
    <cellStyle name="Normal 8 4 2" xfId="1590" xr:uid="{00000000-0005-0000-0000-0000CA060000}"/>
    <cellStyle name="Normal 8 4 2 2" xfId="7732" xr:uid="{BC345424-EDBE-4635-83AE-51DCB234107F}"/>
    <cellStyle name="Normal 8 4 2 3" xfId="27965" xr:uid="{92069361-76CF-40B9-BF0B-C46C906C0C5B}"/>
    <cellStyle name="Normal 8 4 2 4" xfId="33847" xr:uid="{B3C10455-9097-456C-B4B6-EE0BAFD3B365}"/>
    <cellStyle name="Normal 8 4 2 5" xfId="39711" xr:uid="{B8ABF473-5EF2-4ECA-B589-BBE97D747B09}"/>
    <cellStyle name="Normal 8 4 3" xfId="1591" xr:uid="{00000000-0005-0000-0000-0000CB060000}"/>
    <cellStyle name="Normal 8 4 3 2" xfId="19348" xr:uid="{988A3CC9-465C-4A7E-95E5-6BE945EC3E64}"/>
    <cellStyle name="Normal 8 4 4" xfId="1592" xr:uid="{00000000-0005-0000-0000-0000CC060000}"/>
    <cellStyle name="Normal 8 4 4 2" xfId="25116" xr:uid="{D452C81E-D306-4D6C-9210-E66875AF4159}"/>
    <cellStyle name="Normal 8 4 5" xfId="1593" xr:uid="{00000000-0005-0000-0000-0000CD060000}"/>
    <cellStyle name="Normal 8 4 5 2" xfId="30990" xr:uid="{0BFA42FF-7ED5-4C3C-8EFA-98CF1B0FD433}"/>
    <cellStyle name="Normal 8 4 6" xfId="1594" xr:uid="{00000000-0005-0000-0000-0000CE060000}"/>
    <cellStyle name="Normal 8 4 6 2" xfId="36869" xr:uid="{D99A01DF-DDB6-460E-81C3-245FB4572914}"/>
    <cellStyle name="Normal 8 4 7" xfId="1595" xr:uid="{00000000-0005-0000-0000-0000CF060000}"/>
    <cellStyle name="Normal 8 4 8" xfId="1596" xr:uid="{00000000-0005-0000-0000-0000D0060000}"/>
    <cellStyle name="Normal 8 4 9" xfId="4866" xr:uid="{2D1C11BD-C4D0-4656-A5CD-F26EA832A509}"/>
    <cellStyle name="Normal 8 5" xfId="1597" xr:uid="{00000000-0005-0000-0000-0000D1060000}"/>
    <cellStyle name="Normal 8 5 2" xfId="1598" xr:uid="{00000000-0005-0000-0000-0000D2060000}"/>
    <cellStyle name="Normal 8 5 2 2" xfId="8744" xr:uid="{949DAA1E-E49C-41A0-B856-9925C5D18C4E}"/>
    <cellStyle name="Normal 8 5 2 3" xfId="28976" xr:uid="{C371EBCD-FC46-4924-83E6-A0809C49FD7C}"/>
    <cellStyle name="Normal 8 5 2 4" xfId="34858" xr:uid="{9C9C943A-02D5-49BF-982B-81A9AA7B5C2E}"/>
    <cellStyle name="Normal 8 5 2 5" xfId="40722" xr:uid="{62B018B3-6653-46D7-97CA-EA9458608AD1}"/>
    <cellStyle name="Normal 8 5 3" xfId="1599" xr:uid="{00000000-0005-0000-0000-0000D3060000}"/>
    <cellStyle name="Normal 8 5 3 2" xfId="20327" xr:uid="{1851F4CF-591E-4E6C-908F-2639106865D6}"/>
    <cellStyle name="Normal 8 5 4" xfId="1600" xr:uid="{00000000-0005-0000-0000-0000D4060000}"/>
    <cellStyle name="Normal 8 5 4 2" xfId="26126" xr:uid="{4E11A47E-22B5-44C5-A73C-7B0A29D8C107}"/>
    <cellStyle name="Normal 8 5 5" xfId="1601" xr:uid="{00000000-0005-0000-0000-0000D5060000}"/>
    <cellStyle name="Normal 8 5 5 2" xfId="32001" xr:uid="{2796039E-A8AF-48F0-9957-421E573491B4}"/>
    <cellStyle name="Normal 8 5 6" xfId="1602" xr:uid="{00000000-0005-0000-0000-0000D6060000}"/>
    <cellStyle name="Normal 8 5 6 2" xfId="37867" xr:uid="{CCD483D3-C426-41CC-BFA5-7D6DF43B9050}"/>
    <cellStyle name="Normal 8 5 7" xfId="1603" xr:uid="{00000000-0005-0000-0000-0000D7060000}"/>
    <cellStyle name="Normal 8 5 8" xfId="1604" xr:uid="{00000000-0005-0000-0000-0000D8060000}"/>
    <cellStyle name="Normal 8 5 9" xfId="5875" xr:uid="{2386A392-39CD-4281-B07C-89799A855DCA}"/>
    <cellStyle name="Normal 8 6" xfId="1605" xr:uid="{00000000-0005-0000-0000-0000D9060000}"/>
    <cellStyle name="Normal 8 6 2" xfId="1606" xr:uid="{00000000-0005-0000-0000-0000DA060000}"/>
    <cellStyle name="Normal 8 6 3" xfId="1607" xr:uid="{00000000-0005-0000-0000-0000DB060000}"/>
    <cellStyle name="Normal 8 6 4" xfId="1608" xr:uid="{00000000-0005-0000-0000-0000DC060000}"/>
    <cellStyle name="Normal 8 6 5" xfId="1609" xr:uid="{00000000-0005-0000-0000-0000DD060000}"/>
    <cellStyle name="Normal 8 6 6" xfId="1610" xr:uid="{00000000-0005-0000-0000-0000DE060000}"/>
    <cellStyle name="Normal 8 6 7" xfId="1611" xr:uid="{00000000-0005-0000-0000-0000DF060000}"/>
    <cellStyle name="Normal 8 6 8" xfId="1612" xr:uid="{00000000-0005-0000-0000-0000E0060000}"/>
    <cellStyle name="Normal 8 6 9" xfId="6654" xr:uid="{3277BDFA-3888-4D22-B1D7-5F5F88BF1A21}"/>
    <cellStyle name="Normal 8 7" xfId="1613" xr:uid="{00000000-0005-0000-0000-0000E1060000}"/>
    <cellStyle name="Normal 8 7 2" xfId="1614" xr:uid="{00000000-0005-0000-0000-0000E2060000}"/>
    <cellStyle name="Normal 8 7 2 2" xfId="21185" xr:uid="{CE2A6ECB-6AEF-464F-9D18-9D12DDF46CD8}"/>
    <cellStyle name="Normal 8 7 3" xfId="1615" xr:uid="{00000000-0005-0000-0000-0000E3060000}"/>
    <cellStyle name="Normal 8 7 3 2" xfId="27000" xr:uid="{CE76E0E2-1B4C-4C33-950E-3DCF549E5067}"/>
    <cellStyle name="Normal 8 7 4" xfId="1616" xr:uid="{00000000-0005-0000-0000-0000E4060000}"/>
    <cellStyle name="Normal 8 7 4 2" xfId="32876" xr:uid="{758D60B0-D8B4-4D3F-AD23-BE12678CBC64}"/>
    <cellStyle name="Normal 8 7 5" xfId="1617" xr:uid="{00000000-0005-0000-0000-0000E5060000}"/>
    <cellStyle name="Normal 8 7 5 2" xfId="38740" xr:uid="{073A9AA3-40D6-4510-BE66-BA097873D739}"/>
    <cellStyle name="Normal 8 7 6" xfId="1618" xr:uid="{00000000-0005-0000-0000-0000E6060000}"/>
    <cellStyle name="Normal 8 7 7" xfId="1619" xr:uid="{00000000-0005-0000-0000-0000E7060000}"/>
    <cellStyle name="Normal 8 7 8" xfId="1620" xr:uid="{00000000-0005-0000-0000-0000E8060000}"/>
    <cellStyle name="Normal 8 7 9" xfId="6761" xr:uid="{2132E747-A439-4214-84FD-D3A1BC1686DD}"/>
    <cellStyle name="Normal 8 8" xfId="1621" xr:uid="{00000000-0005-0000-0000-0000E9060000}"/>
    <cellStyle name="Normal 8 8 2" xfId="1622" xr:uid="{00000000-0005-0000-0000-0000EA060000}"/>
    <cellStyle name="Normal 8 8 2 2" xfId="24139" xr:uid="{909D9E1B-9F92-4E19-9A0D-CC2731EC4B71}"/>
    <cellStyle name="Normal 8 8 3" xfId="1623" xr:uid="{00000000-0005-0000-0000-0000EB060000}"/>
    <cellStyle name="Normal 8 8 3 2" xfId="30017" xr:uid="{B24ABBE5-012A-4659-BEB9-5075F365E194}"/>
    <cellStyle name="Normal 8 8 4" xfId="1624" xr:uid="{00000000-0005-0000-0000-0000EC060000}"/>
    <cellStyle name="Normal 8 8 4 2" xfId="35898" xr:uid="{2405AE8D-9E27-47F7-857C-044376C059EF}"/>
    <cellStyle name="Normal 8 8 5" xfId="18430" xr:uid="{31952429-E7DE-4F64-894F-DFFDF46616BE}"/>
    <cellStyle name="Normal 8 9" xfId="1625" xr:uid="{00000000-0005-0000-0000-0000ED060000}"/>
    <cellStyle name="Normal 802" xfId="1874" xr:uid="{00000000-0005-0000-0000-0000EE060000}"/>
    <cellStyle name="Normal 9" xfId="3929" xr:uid="{1D238824-2199-4786-8BC8-BB3E414815D6}"/>
    <cellStyle name="Normal 9 10" xfId="1626" xr:uid="{00000000-0005-0000-0000-0000EF060000}"/>
    <cellStyle name="Normal 9 11" xfId="1627" xr:uid="{00000000-0005-0000-0000-0000F0060000}"/>
    <cellStyle name="Normal 9 12" xfId="1628" xr:uid="{00000000-0005-0000-0000-0000F1060000}"/>
    <cellStyle name="Normal 9 2" xfId="1629" xr:uid="{00000000-0005-0000-0000-0000F2060000}"/>
    <cellStyle name="Normal 9 2 2" xfId="1630" xr:uid="{00000000-0005-0000-0000-0000F3060000}"/>
    <cellStyle name="Normal 9 2 2 2" xfId="5568" xr:uid="{8BD6000F-9662-42F7-9DBE-783FD83047F9}"/>
    <cellStyle name="Normal 9 2 2 2 2" xfId="8435" xr:uid="{206208BC-8985-4219-AFC3-E2E6D44E6C48}"/>
    <cellStyle name="Normal 9 2 2 2 2 2" xfId="22810" xr:uid="{58780F44-690F-4D1F-B815-3ED65EF8E52A}"/>
    <cellStyle name="Normal 9 2 2 2 2 3" xfId="28668" xr:uid="{77432EC5-966C-4997-B5DE-B94AE2347597}"/>
    <cellStyle name="Normal 9 2 2 2 2 4" xfId="34550" xr:uid="{66B03E0D-7DA7-4275-AA1C-8CBA975589DF}"/>
    <cellStyle name="Normal 9 2 2 2 2 5" xfId="40414" xr:uid="{7BBD8DEF-FBA2-46B8-9CA5-C5013ABD24C4}"/>
    <cellStyle name="Normal 9 2 2 2 3" xfId="20028" xr:uid="{15E02EA7-DE11-44B8-8F73-40C010EA7673}"/>
    <cellStyle name="Normal 9 2 2 2 4" xfId="25819" xr:uid="{0731FA76-6D5A-4B0D-AE80-A1AB6088BB4C}"/>
    <cellStyle name="Normal 9 2 2 2 5" xfId="31693" xr:uid="{74665B94-3716-43F1-97FF-BE9078D4C484}"/>
    <cellStyle name="Normal 9 2 2 2 6" xfId="37563" xr:uid="{02AC8494-1275-4B86-983E-E14113750470}"/>
    <cellStyle name="Normal 9 2 2 3" xfId="7463" xr:uid="{345CBE8E-AF1D-4D08-BAC3-CFF0C6546005}"/>
    <cellStyle name="Normal 9 2 2 3 2" xfId="21865" xr:uid="{664C6B64-F76E-4681-8E3A-A31B9B3DC38B}"/>
    <cellStyle name="Normal 9 2 2 3 3" xfId="27697" xr:uid="{7AAB588F-7207-439D-BA82-F36616EAEE42}"/>
    <cellStyle name="Normal 9 2 2 3 4" xfId="33579" xr:uid="{D37A0DA1-E426-48F4-AD60-3AF0BBB98197}"/>
    <cellStyle name="Normal 9 2 2 3 5" xfId="39443" xr:uid="{EDDB323F-5EEA-4118-B4DF-B4979EBF9FE5}"/>
    <cellStyle name="Normal 9 2 2 4" xfId="4600" xr:uid="{08F9FB90-52CD-46AB-9C87-C7DD34638EA9}"/>
    <cellStyle name="Normal 9 2 2 5" xfId="24848" xr:uid="{3FD1E24C-F847-4984-BFA9-14A8D3CB5D92}"/>
    <cellStyle name="Normal 9 2 2 6" xfId="30725" xr:uid="{EA4426DE-F2B1-4078-96F2-DB68BF4C844A}"/>
    <cellStyle name="Normal 9 2 2 7" xfId="36606" xr:uid="{DB701F9D-2C0F-4646-B7A1-9DC007C377E6}"/>
    <cellStyle name="Normal 9 2 3" xfId="1631" xr:uid="{00000000-0005-0000-0000-0000F4060000}"/>
    <cellStyle name="Normal 9 2 3 2" xfId="7950" xr:uid="{C37C336E-D8E1-4C83-B18F-B0EA9F4F15B7}"/>
    <cellStyle name="Normal 9 2 3 2 2" xfId="22335" xr:uid="{E26C3BFE-C6CA-452E-9B53-18845D094B0B}"/>
    <cellStyle name="Normal 9 2 3 2 3" xfId="28183" xr:uid="{85AF3D12-73EA-4A79-B3C0-39E8944C9290}"/>
    <cellStyle name="Normal 9 2 3 2 4" xfId="34065" xr:uid="{B85A3F9B-F1A4-4F9B-A91C-82DD035189A1}"/>
    <cellStyle name="Normal 9 2 3 2 5" xfId="39929" xr:uid="{7A7D7973-038D-4C08-BD3C-E8F63021BED0}"/>
    <cellStyle name="Normal 9 2 3 3" xfId="5083" xr:uid="{C5C71E4E-7A4C-40B7-A36B-63798BA6559D}"/>
    <cellStyle name="Normal 9 2 3 4" xfId="25334" xr:uid="{06ED832F-624B-4EC6-BF0C-EB3CC157DFB0}"/>
    <cellStyle name="Normal 9 2 3 5" xfId="31208" xr:uid="{25496CB3-4E33-4FCD-B952-53D81705F6C3}"/>
    <cellStyle name="Normal 9 2 3 6" xfId="37086" xr:uid="{519066E9-DBCF-4892-8C9F-74338B4870D5}"/>
    <cellStyle name="Normal 9 2 4" xfId="1632" xr:uid="{00000000-0005-0000-0000-0000F5060000}"/>
    <cellStyle name="Normal 9 2 4 2" xfId="6978" xr:uid="{98A8F7D4-1957-4DB8-A25B-D6F0EAB284B8}"/>
    <cellStyle name="Normal 9 2 4 3" xfId="27216" xr:uid="{D6935FE1-CF48-4C2B-9F0B-C4277BF27908}"/>
    <cellStyle name="Normal 9 2 4 4" xfId="33094" xr:uid="{9BECAA62-FEBD-4605-8DF0-78A9F2F6D19F}"/>
    <cellStyle name="Normal 9 2 4 5" xfId="38958" xr:uid="{E6DBE439-80FC-413B-AEB5-AC14D3072D2C}"/>
    <cellStyle name="Normal 9 2 5" xfId="1633" xr:uid="{00000000-0005-0000-0000-0000F6060000}"/>
    <cellStyle name="Normal 9 2 5 2" xfId="18651" xr:uid="{9F65DAAF-9555-4E70-8717-414DC64D07CF}"/>
    <cellStyle name="Normal 9 2 6" xfId="1634" xr:uid="{00000000-0005-0000-0000-0000F7060000}"/>
    <cellStyle name="Normal 9 2 6 2" xfId="24365" xr:uid="{81AA76A1-4719-44ED-854A-2EFD68B3E1AB}"/>
    <cellStyle name="Normal 9 2 7" xfId="1635" xr:uid="{00000000-0005-0000-0000-0000F8060000}"/>
    <cellStyle name="Normal 9 2 7 2" xfId="30243" xr:uid="{AFF30199-8AE0-4788-A3D6-7CA937E4E7E9}"/>
    <cellStyle name="Normal 9 2 8" xfId="1636" xr:uid="{00000000-0005-0000-0000-0000F9060000}"/>
    <cellStyle name="Normal 9 2 8 2" xfId="36122" xr:uid="{D4BFA487-DB49-4745-A0CF-69263E4B4CE2}"/>
    <cellStyle name="Normal 9 2 9" xfId="4122" xr:uid="{7B5CF4DA-E420-42FB-B167-00611DBBAD10}"/>
    <cellStyle name="Normal 9 3" xfId="1637" xr:uid="{00000000-0005-0000-0000-0000FA060000}"/>
    <cellStyle name="Normal 9 3 2" xfId="1638" xr:uid="{00000000-0005-0000-0000-0000FB060000}"/>
    <cellStyle name="Normal 9 3 2 2" xfId="8239" xr:uid="{62E7FB69-D2DA-4A3D-AC1C-16DC206644E5}"/>
    <cellStyle name="Normal 9 3 2 2 2" xfId="22615" xr:uid="{41514A91-1EBF-47D0-97A7-293B9DC67ABE}"/>
    <cellStyle name="Normal 9 3 2 2 3" xfId="28472" xr:uid="{D38C9F4A-ED70-41CE-A0EC-CE8B4E0FB57D}"/>
    <cellStyle name="Normal 9 3 2 2 4" xfId="34354" xr:uid="{05C0B14F-0979-4BF7-B8AE-1F777B316975}"/>
    <cellStyle name="Normal 9 3 2 2 5" xfId="40218" xr:uid="{88EDAAB9-DB8F-4E00-A615-F9156C65ECEC}"/>
    <cellStyle name="Normal 9 3 2 3" xfId="5372" xr:uid="{AA8B4E83-C63D-414B-A7CC-D9C28577086D}"/>
    <cellStyle name="Normal 9 3 2 4" xfId="25623" xr:uid="{66A6A67A-0245-4246-82D4-C8522CABF8A7}"/>
    <cellStyle name="Normal 9 3 2 5" xfId="31497" xr:uid="{BD4A09F3-F7CC-4C90-810E-8E0BC2FA858E}"/>
    <cellStyle name="Normal 9 3 2 6" xfId="37368" xr:uid="{587B693E-E896-47BC-89E0-1012B6AA08C7}"/>
    <cellStyle name="Normal 9 3 3" xfId="1639" xr:uid="{00000000-0005-0000-0000-0000FC060000}"/>
    <cellStyle name="Normal 9 3 3 2" xfId="7267" xr:uid="{9DFC7F50-441B-45E0-BE27-DB2D08646803}"/>
    <cellStyle name="Normal 9 3 3 3" xfId="27501" xr:uid="{8C80BD39-BD0E-43CE-9F3D-AAE9935C225C}"/>
    <cellStyle name="Normal 9 3 3 4" xfId="33383" xr:uid="{9B2DDC63-1CBC-4333-96AA-614A30FA887E}"/>
    <cellStyle name="Normal 9 3 3 5" xfId="39247" xr:uid="{27EEAF0A-327C-4B07-B08B-99DE1120C8B2}"/>
    <cellStyle name="Normal 9 3 4" xfId="1640" xr:uid="{00000000-0005-0000-0000-0000FD060000}"/>
    <cellStyle name="Normal 9 3 4 2" xfId="18908" xr:uid="{BC2DD0BA-CB3C-410F-A7BB-329D3CAAB6F2}"/>
    <cellStyle name="Normal 9 3 5" xfId="1641" xr:uid="{00000000-0005-0000-0000-0000FE060000}"/>
    <cellStyle name="Normal 9 3 5 2" xfId="24652" xr:uid="{D8EC4426-0868-4F44-BF76-BADF6826351B}"/>
    <cellStyle name="Normal 9 3 6" xfId="1642" xr:uid="{00000000-0005-0000-0000-0000FF060000}"/>
    <cellStyle name="Normal 9 3 6 2" xfId="30531" xr:uid="{F8EE62D5-E391-4BE3-B1A2-8D64C81A06F4}"/>
    <cellStyle name="Normal 9 3 7" xfId="1643" xr:uid="{00000000-0005-0000-0000-000000070000}"/>
    <cellStyle name="Normal 9 3 7 2" xfId="36411" xr:uid="{2060CE25-388A-4600-BF75-A36393C37688}"/>
    <cellStyle name="Normal 9 3 8" xfId="1644" xr:uid="{00000000-0005-0000-0000-000001070000}"/>
    <cellStyle name="Normal 9 3 9" xfId="4406" xr:uid="{078F0E20-B1DC-4D29-9917-6CA90EDEA54A}"/>
    <cellStyle name="Normal 9 4" xfId="1645" xr:uid="{00000000-0005-0000-0000-000002070000}"/>
    <cellStyle name="Normal 9 4 2" xfId="1646" xr:uid="{00000000-0005-0000-0000-000003070000}"/>
    <cellStyle name="Normal 9 4 2 2" xfId="7754" xr:uid="{DBB6B925-ECD6-4A27-AE81-5272F905E771}"/>
    <cellStyle name="Normal 9 4 2 3" xfId="27987" xr:uid="{29E058AC-C384-4005-B4DB-C0844D901F1C}"/>
    <cellStyle name="Normal 9 4 2 4" xfId="33869" xr:uid="{091075C7-EC24-4158-8F0E-0FACEAE2789F}"/>
    <cellStyle name="Normal 9 4 2 5" xfId="39733" xr:uid="{342BB994-40A6-419A-98F7-6BE17A72F301}"/>
    <cellStyle name="Normal 9 4 3" xfId="1647" xr:uid="{00000000-0005-0000-0000-000004070000}"/>
    <cellStyle name="Normal 9 4 3 2" xfId="19370" xr:uid="{2565FC23-3F63-4868-8DEA-FBCB73375ADE}"/>
    <cellStyle name="Normal 9 4 4" xfId="1648" xr:uid="{00000000-0005-0000-0000-000005070000}"/>
    <cellStyle name="Normal 9 4 4 2" xfId="25138" xr:uid="{BC05FC99-001B-4334-81EF-AD5CDD49683F}"/>
    <cellStyle name="Normal 9 4 5" xfId="1649" xr:uid="{00000000-0005-0000-0000-000006070000}"/>
    <cellStyle name="Normal 9 4 5 2" xfId="31012" xr:uid="{2852FE08-1951-463C-ACB0-849F31851FE3}"/>
    <cellStyle name="Normal 9 4 6" xfId="1650" xr:uid="{00000000-0005-0000-0000-000007070000}"/>
    <cellStyle name="Normal 9 4 6 2" xfId="36891" xr:uid="{577A789D-3211-4961-92F4-3804F48A1629}"/>
    <cellStyle name="Normal 9 4 7" xfId="1651" xr:uid="{00000000-0005-0000-0000-000008070000}"/>
    <cellStyle name="Normal 9 4 8" xfId="1652" xr:uid="{00000000-0005-0000-0000-000009070000}"/>
    <cellStyle name="Normal 9 4 9" xfId="4887" xr:uid="{0AD3275B-B4BC-4B66-A593-A0559BDDEB1D}"/>
    <cellStyle name="Normal 9 5" xfId="1653" xr:uid="{00000000-0005-0000-0000-00000A070000}"/>
    <cellStyle name="Normal 9 5 2" xfId="1654" xr:uid="{00000000-0005-0000-0000-00000B070000}"/>
    <cellStyle name="Normal 9 5 2 2" xfId="8766" xr:uid="{92042266-ACFB-4F5B-88DC-396FB730998E}"/>
    <cellStyle name="Normal 9 5 2 3" xfId="28998" xr:uid="{B2AFF3A3-A6A4-43BD-BBE2-40AABA344453}"/>
    <cellStyle name="Normal 9 5 2 4" xfId="34880" xr:uid="{4D1B6F27-F7C3-4BD6-B83D-160D3F9D08DC}"/>
    <cellStyle name="Normal 9 5 2 5" xfId="40744" xr:uid="{36B9EB18-882D-4E09-8E8B-AFD64DF7917A}"/>
    <cellStyle name="Normal 9 5 3" xfId="1655" xr:uid="{00000000-0005-0000-0000-00000C070000}"/>
    <cellStyle name="Normal 9 5 3 2" xfId="20348" xr:uid="{7CD75F17-2B1C-402B-902C-FE795C5E4E77}"/>
    <cellStyle name="Normal 9 5 4" xfId="1656" xr:uid="{00000000-0005-0000-0000-00000D070000}"/>
    <cellStyle name="Normal 9 5 4 2" xfId="26148" xr:uid="{A22A0256-9578-4FAC-9508-DBD4DFB48870}"/>
    <cellStyle name="Normal 9 5 5" xfId="1657" xr:uid="{00000000-0005-0000-0000-00000E070000}"/>
    <cellStyle name="Normal 9 5 5 2" xfId="32023" xr:uid="{A985652A-00A6-47BC-9945-524DE19791EA}"/>
    <cellStyle name="Normal 9 5 6" xfId="1658" xr:uid="{00000000-0005-0000-0000-00000F070000}"/>
    <cellStyle name="Normal 9 5 6 2" xfId="37889" xr:uid="{D6054661-C241-4875-9D94-6C7B632560D1}"/>
    <cellStyle name="Normal 9 5 7" xfId="1659" xr:uid="{00000000-0005-0000-0000-000010070000}"/>
    <cellStyle name="Normal 9 5 8" xfId="1660" xr:uid="{00000000-0005-0000-0000-000011070000}"/>
    <cellStyle name="Normal 9 5 9" xfId="5897" xr:uid="{DF7EF383-D76C-486A-8CA1-2A2E141AA35B}"/>
    <cellStyle name="Normal 9 6" xfId="1661" xr:uid="{00000000-0005-0000-0000-000012070000}"/>
    <cellStyle name="Normal 9 6 2" xfId="1662" xr:uid="{00000000-0005-0000-0000-000013070000}"/>
    <cellStyle name="Normal 9 6 3" xfId="1663" xr:uid="{00000000-0005-0000-0000-000014070000}"/>
    <cellStyle name="Normal 9 6 4" xfId="1664" xr:uid="{00000000-0005-0000-0000-000015070000}"/>
    <cellStyle name="Normal 9 6 5" xfId="1665" xr:uid="{00000000-0005-0000-0000-000016070000}"/>
    <cellStyle name="Normal 9 6 6" xfId="1666" xr:uid="{00000000-0005-0000-0000-000017070000}"/>
    <cellStyle name="Normal 9 6 7" xfId="1667" xr:uid="{00000000-0005-0000-0000-000018070000}"/>
    <cellStyle name="Normal 9 6 8" xfId="1668" xr:uid="{00000000-0005-0000-0000-000019070000}"/>
    <cellStyle name="Normal 9 6 9" xfId="6655" xr:uid="{5AF853B9-6944-46BD-87FA-8A22320C2BC0}"/>
    <cellStyle name="Normal 9 7" xfId="1669" xr:uid="{00000000-0005-0000-0000-00001A070000}"/>
    <cellStyle name="Normal 9 7 2" xfId="1670" xr:uid="{00000000-0005-0000-0000-00001B070000}"/>
    <cellStyle name="Normal 9 7 2 2" xfId="21207" xr:uid="{5ACBE467-E28E-4E9A-9F6A-8A40E73CC02D}"/>
    <cellStyle name="Normal 9 7 3" xfId="1671" xr:uid="{00000000-0005-0000-0000-00001C070000}"/>
    <cellStyle name="Normal 9 7 3 2" xfId="27022" xr:uid="{3F0E2E3B-8684-409A-85C4-F304E676005B}"/>
    <cellStyle name="Normal 9 7 4" xfId="1672" xr:uid="{00000000-0005-0000-0000-00001D070000}"/>
    <cellStyle name="Normal 9 7 4 2" xfId="32898" xr:uid="{D2347355-2898-48F8-BEC6-CD65DA46C03B}"/>
    <cellStyle name="Normal 9 7 5" xfId="1673" xr:uid="{00000000-0005-0000-0000-00001E070000}"/>
    <cellStyle name="Normal 9 7 5 2" xfId="38762" xr:uid="{A0CEA32D-C30E-4F7D-97FB-33F005736AB7}"/>
    <cellStyle name="Normal 9 7 6" xfId="1674" xr:uid="{00000000-0005-0000-0000-00001F070000}"/>
    <cellStyle name="Normal 9 7 7" xfId="1675" xr:uid="{00000000-0005-0000-0000-000020070000}"/>
    <cellStyle name="Normal 9 7 8" xfId="1676" xr:uid="{00000000-0005-0000-0000-000021070000}"/>
    <cellStyle name="Normal 9 7 9" xfId="6783" xr:uid="{5299A6F1-E8FD-48EB-9726-FE5117CBF9E4}"/>
    <cellStyle name="Normal 9 8" xfId="1677" xr:uid="{00000000-0005-0000-0000-000022070000}"/>
    <cellStyle name="Normal 9 8 2" xfId="1678" xr:uid="{00000000-0005-0000-0000-000023070000}"/>
    <cellStyle name="Normal 9 8 2 2" xfId="24161" xr:uid="{EC8BFE12-F74E-4B7F-A174-07DE6B5FA620}"/>
    <cellStyle name="Normal 9 8 3" xfId="1679" xr:uid="{00000000-0005-0000-0000-000024070000}"/>
    <cellStyle name="Normal 9 8 3 2" xfId="30039" xr:uid="{97F718D7-0E72-45B8-A77C-1CC3BBC9AAA3}"/>
    <cellStyle name="Normal 9 8 4" xfId="1680" xr:uid="{00000000-0005-0000-0000-000025070000}"/>
    <cellStyle name="Normal 9 8 4 2" xfId="35920" xr:uid="{CECB1E09-EC4D-4374-81CC-1D32ADEFF0AB}"/>
    <cellStyle name="Normal 9 8 5" xfId="1681" xr:uid="{00000000-0005-0000-0000-000026070000}"/>
    <cellStyle name="Normal 9 8 6" xfId="1682" xr:uid="{00000000-0005-0000-0000-000027070000}"/>
    <cellStyle name="Normal 9 8 7" xfId="18453" xr:uid="{229CE090-F875-47A0-9E51-66142E0495B2}"/>
    <cellStyle name="Normal 9 9" xfId="1683" xr:uid="{00000000-0005-0000-0000-000028070000}"/>
    <cellStyle name="Normal 944" xfId="1812" xr:uid="{00000000-0005-0000-0000-000029070000}"/>
    <cellStyle name="Normal 947" xfId="1814" xr:uid="{00000000-0005-0000-0000-00002A070000}"/>
    <cellStyle name="Normal 952" xfId="1842" xr:uid="{00000000-0005-0000-0000-00002B070000}"/>
    <cellStyle name="Normal 957" xfId="1854" xr:uid="{00000000-0005-0000-0000-00002C070000}"/>
    <cellStyle name="Normal 958" xfId="1855" xr:uid="{00000000-0005-0000-0000-00002D070000}"/>
    <cellStyle name="Normal 959" xfId="1856" xr:uid="{00000000-0005-0000-0000-00002E070000}"/>
    <cellStyle name="Normal 960" xfId="1857" xr:uid="{00000000-0005-0000-0000-00002F070000}"/>
    <cellStyle name="Normal 961" xfId="1859" xr:uid="{00000000-0005-0000-0000-000030070000}"/>
    <cellStyle name="Normal 962" xfId="1860" xr:uid="{00000000-0005-0000-0000-000031070000}"/>
    <cellStyle name="Normal 963" xfId="1861" xr:uid="{00000000-0005-0000-0000-000032070000}"/>
    <cellStyle name="Normal 964" xfId="1863" xr:uid="{00000000-0005-0000-0000-000033070000}"/>
    <cellStyle name="Normal 965" xfId="1864" xr:uid="{00000000-0005-0000-0000-000034070000}"/>
    <cellStyle name="Normal 966" xfId="1865" xr:uid="{00000000-0005-0000-0000-000035070000}"/>
    <cellStyle name="Normal 967" xfId="1866" xr:uid="{00000000-0005-0000-0000-000036070000}"/>
    <cellStyle name="Normal 971" xfId="1835" xr:uid="{00000000-0005-0000-0000-000037070000}"/>
    <cellStyle name="Normal 986" xfId="1832" xr:uid="{00000000-0005-0000-0000-000038070000}"/>
    <cellStyle name="Normal_Estados Fiscal 1999" xfId="44" xr:uid="{00000000-0005-0000-0000-000039070000}"/>
    <cellStyle name="Notas" xfId="15" builtinId="10" customBuiltin="1"/>
    <cellStyle name="Notas 10" xfId="4199" xr:uid="{92717152-D82B-4CA4-ACF2-58D80FAB2A46}"/>
    <cellStyle name="Notas 10 2" xfId="4677" xr:uid="{B20E270B-FA48-4347-AB0A-CC8F246AB437}"/>
    <cellStyle name="Notas 10 2 2" xfId="5645" xr:uid="{DAB23963-76F6-48E3-A3FD-B328C052638B}"/>
    <cellStyle name="Notas 10 2 2 2" xfId="8513" xr:uid="{398799B7-C8AF-4CF0-8924-4042D8F4B9D4}"/>
    <cellStyle name="Notas 10 2 2 2 2" xfId="22887" xr:uid="{0455483F-BBFE-40B1-B063-02A43B566574}"/>
    <cellStyle name="Notas 10 2 2 2 3" xfId="28746" xr:uid="{575459BF-6645-473A-889F-B823A91C54C5}"/>
    <cellStyle name="Notas 10 2 2 2 4" xfId="34628" xr:uid="{8BED771D-01EE-461B-904F-7DF79A53165B}"/>
    <cellStyle name="Notas 10 2 2 2 5" xfId="40492" xr:uid="{0AA8B199-501B-422A-BE81-54B67327224D}"/>
    <cellStyle name="Notas 10 2 2 3" xfId="20104" xr:uid="{4DDA7DE0-FF15-4FAD-AEBE-53A97EDF011E}"/>
    <cellStyle name="Notas 10 2 2 4" xfId="25896" xr:uid="{90CC03F3-B3FC-401C-86F8-D01AA55F32F6}"/>
    <cellStyle name="Notas 10 2 2 5" xfId="31771" xr:uid="{F7C21A51-A5E0-4FBD-B8A6-A54E566D63E6}"/>
    <cellStyle name="Notas 10 2 2 6" xfId="37640" xr:uid="{FFCB1CFF-12EC-4107-B940-D01396E59D8F}"/>
    <cellStyle name="Notas 10 2 3" xfId="7541" xr:uid="{DCF1D18E-4198-41BB-A72A-21A6AE6A35D2}"/>
    <cellStyle name="Notas 10 2 3 2" xfId="21939" xr:uid="{F7430484-C7D7-4DC8-8210-4FA23A76437D}"/>
    <cellStyle name="Notas 10 2 3 3" xfId="27775" xr:uid="{1FB3BDA4-22EE-475F-B8F2-EDD3127433A3}"/>
    <cellStyle name="Notas 10 2 3 4" xfId="33657" xr:uid="{7E3028E2-9D44-443C-A986-2D2831390E81}"/>
    <cellStyle name="Notas 10 2 3 5" xfId="39521" xr:uid="{F949E678-74B9-413D-B31B-6F7BE92D0605}"/>
    <cellStyle name="Notas 10 2 4" xfId="19170" xr:uid="{D56B54B8-863C-4B18-B414-2A931AAB57AB}"/>
    <cellStyle name="Notas 10 2 5" xfId="24926" xr:uid="{C2016813-2AAF-41A9-BBDD-DAF0BA32E972}"/>
    <cellStyle name="Notas 10 2 6" xfId="30801" xr:uid="{EDEEE57D-9F62-4566-804A-9C2978D84266}"/>
    <cellStyle name="Notas 10 2 7" xfId="36683" xr:uid="{C4DC573E-786E-4236-A7C8-D32CA6C79A51}"/>
    <cellStyle name="Notas 10 3" xfId="5161" xr:uid="{F3ADAEA2-6D3E-4BFE-BB12-82E42E5A468F}"/>
    <cellStyle name="Notas 10 3 2" xfId="8028" xr:uid="{698444AE-458E-4D8D-9543-D8EF43229E98}"/>
    <cellStyle name="Notas 10 3 2 2" xfId="22411" xr:uid="{4B3ECD1B-635E-4BE6-A937-9D650D754A3F}"/>
    <cellStyle name="Notas 10 3 2 3" xfId="28261" xr:uid="{F16AFBCC-6821-405A-B06C-AFBAE23B37E1}"/>
    <cellStyle name="Notas 10 3 2 4" xfId="34143" xr:uid="{9A889AD0-17A6-4C01-9CA6-102A9BB8B1BF}"/>
    <cellStyle name="Notas 10 3 2 5" xfId="40007" xr:uid="{48D22789-76D2-4985-BD8C-79C27A1B9F5D}"/>
    <cellStyle name="Notas 10 3 3" xfId="19634" xr:uid="{30115ADB-5BCC-4D23-AA8D-5A9549EEE920}"/>
    <cellStyle name="Notas 10 3 4" xfId="25412" xr:uid="{14A2D965-B6EF-4630-8081-51CA01EC842D}"/>
    <cellStyle name="Notas 10 3 5" xfId="31286" xr:uid="{A5C41043-A639-4F14-9FED-F1309B03BC73}"/>
    <cellStyle name="Notas 10 3 6" xfId="37163" xr:uid="{EF197A3C-0FC7-4D84-BBB8-594E0E4769DE}"/>
    <cellStyle name="Notas 10 4" xfId="7056" xr:uid="{17B33982-6C2A-412D-925D-8CF351F5E995}"/>
    <cellStyle name="Notas 10 4 2" xfId="21471" xr:uid="{4C591BA7-146E-4CDC-A72B-F83F00580A74}"/>
    <cellStyle name="Notas 10 4 3" xfId="27293" xr:uid="{8B0A4861-8815-4419-AEF6-B455818652F6}"/>
    <cellStyle name="Notas 10 4 4" xfId="33172" xr:uid="{A9EBA67A-5DF5-439A-B27B-562B6590D881}"/>
    <cellStyle name="Notas 10 4 5" xfId="39036" xr:uid="{6D179F67-9CED-4709-B48E-40BFA9A93628}"/>
    <cellStyle name="Notas 10 5" xfId="18727" xr:uid="{5372EF55-3CAE-4150-B2E9-9E3C364D3812}"/>
    <cellStyle name="Notas 10 6" xfId="24443" xr:uid="{61E36D4D-7CDF-4B73-8606-C19A17190579}"/>
    <cellStyle name="Notas 10 7" xfId="30319" xr:uid="{30F09B48-D5FC-48B1-81A0-9E630B99463F}"/>
    <cellStyle name="Notas 10 8" xfId="36200" xr:uid="{2CFEBF34-B66A-4406-9A61-9E4B9E666F7B}"/>
    <cellStyle name="Notas 11" xfId="4232" xr:uid="{E3906D3C-C7DA-4BFF-A623-1304F6895670}"/>
    <cellStyle name="Notas 11 2" xfId="4711" xr:uid="{24D4B10C-6772-46C7-B0CF-DBCB938BE06A}"/>
    <cellStyle name="Notas 11 2 2" xfId="5679" xr:uid="{5496E599-4240-478A-8F20-A33E80EC38B0}"/>
    <cellStyle name="Notas 11 2 2 2" xfId="8547" xr:uid="{1ADEE700-0475-4FB1-9D9C-F9599E62B4F1}"/>
    <cellStyle name="Notas 11 2 2 2 2" xfId="22919" xr:uid="{F99D3A30-C22F-4576-A109-A7DDEE14A262}"/>
    <cellStyle name="Notas 11 2 2 2 3" xfId="28780" xr:uid="{B2EB5AE1-BB15-4586-98A7-FB05E3F565D3}"/>
    <cellStyle name="Notas 11 2 2 2 4" xfId="34662" xr:uid="{ED64B3C8-8175-42AD-AA35-6F4878205DCB}"/>
    <cellStyle name="Notas 11 2 2 2 5" xfId="40526" xr:uid="{92BE3E97-A161-44D4-9162-9518976A672F}"/>
    <cellStyle name="Notas 11 2 2 3" xfId="20136" xr:uid="{10AB2D1E-E86E-4871-ADC0-E8BE9F6306BB}"/>
    <cellStyle name="Notas 11 2 2 4" xfId="25930" xr:uid="{998038B0-41BC-4908-B030-B6498C492C7B}"/>
    <cellStyle name="Notas 11 2 2 5" xfId="31805" xr:uid="{AFCEFEA9-54D2-4B58-9081-52DBE382B275}"/>
    <cellStyle name="Notas 11 2 2 6" xfId="37672" xr:uid="{E366A047-DB59-441C-B77E-3E8E73CEB402}"/>
    <cellStyle name="Notas 11 2 3" xfId="7575" xr:uid="{51AD8C3C-0DAD-4851-A3B9-A47D47D44748}"/>
    <cellStyle name="Notas 11 2 3 2" xfId="21969" xr:uid="{4846C7EB-AEB3-4A25-9446-FE985FC229D6}"/>
    <cellStyle name="Notas 11 2 3 3" xfId="27809" xr:uid="{1416DA8C-C376-48DA-B1E0-C6D3ADD1399E}"/>
    <cellStyle name="Notas 11 2 3 4" xfId="33691" xr:uid="{A6D45178-728B-44FF-8953-B2C5E91A74D4}"/>
    <cellStyle name="Notas 11 2 3 5" xfId="39555" xr:uid="{7E77BB61-7E42-41A4-834F-572BC8D4DF56}"/>
    <cellStyle name="Notas 11 2 4" xfId="19201" xr:uid="{32FFFB9D-13C5-4491-AAAA-711A6DF2CAA8}"/>
    <cellStyle name="Notas 11 2 5" xfId="24960" xr:uid="{6F74122F-57F2-4392-98B6-5DD7ED26CD42}"/>
    <cellStyle name="Notas 11 2 6" xfId="30834" xr:uid="{39FDDA40-BB28-47C9-8379-BC751C11A86D}"/>
    <cellStyle name="Notas 11 2 7" xfId="36715" xr:uid="{7A5404EB-5C8F-4476-BBDC-049E10F3C2AE}"/>
    <cellStyle name="Notas 11 3" xfId="5195" xr:uid="{FC5FA176-6097-4356-BBF6-11B3201B9A8B}"/>
    <cellStyle name="Notas 11 3 2" xfId="8062" xr:uid="{91F7580D-D953-48BC-938E-61CCF492CD07}"/>
    <cellStyle name="Notas 11 3 2 2" xfId="22440" xr:uid="{94EA8A06-57AA-42B8-8EC0-20CC3BE342C2}"/>
    <cellStyle name="Notas 11 3 2 3" xfId="28295" xr:uid="{A696B734-9C60-4932-B0D3-E9F8CAB7003A}"/>
    <cellStyle name="Notas 11 3 2 4" xfId="34177" xr:uid="{05E36254-672F-44A2-A485-33CADC7DB261}"/>
    <cellStyle name="Notas 11 3 2 5" xfId="40041" xr:uid="{18E1B93E-F9E2-49DC-B480-BABD7D3566DF}"/>
    <cellStyle name="Notas 11 3 3" xfId="19666" xr:uid="{AA48D814-1287-45E2-8CF1-451D1952FA71}"/>
    <cellStyle name="Notas 11 3 4" xfId="25446" xr:uid="{4B4D561E-BE01-4091-8B7A-738FBC72473E}"/>
    <cellStyle name="Notas 11 3 5" xfId="31320" xr:uid="{1580BF69-9182-4584-ABF9-D3E91CAF5004}"/>
    <cellStyle name="Notas 11 3 6" xfId="37193" xr:uid="{63C8DAF6-5AEC-46EA-B0A5-090AD0BEDEFB}"/>
    <cellStyle name="Notas 11 4" xfId="7090" xr:uid="{FB456451-A1E4-41AB-BA65-FB5DEA693CE7}"/>
    <cellStyle name="Notas 11 4 2" xfId="21502" xr:uid="{E64FD8CA-35A0-4BB5-8B42-8B26BF2370A9}"/>
    <cellStyle name="Notas 11 4 3" xfId="27325" xr:uid="{648655A8-4064-4BD2-8D03-75A448A4FC54}"/>
    <cellStyle name="Notas 11 4 4" xfId="33206" xr:uid="{EF60CE61-FBFD-4EF9-95F0-D49381487CCD}"/>
    <cellStyle name="Notas 11 4 5" xfId="39070" xr:uid="{2D412850-A786-469B-9C15-048E86913B9F}"/>
    <cellStyle name="Notas 11 5" xfId="18756" xr:uid="{EB7D5DBC-A31B-44DE-858C-FD100F2523CA}"/>
    <cellStyle name="Notas 11 6" xfId="24475" xr:uid="{784DFECE-9C14-4CF1-BA90-351E17FFF226}"/>
    <cellStyle name="Notas 11 7" xfId="30353" xr:uid="{AB642D8B-E58F-458D-B5C0-9735805E76A9}"/>
    <cellStyle name="Notas 11 8" xfId="36234" xr:uid="{61AB48D0-3D15-41CE-838F-2529EB70CB6E}"/>
    <cellStyle name="Notas 12" xfId="5735" xr:uid="{E2B0529B-8E88-47DE-9725-8ABB7213654F}"/>
    <cellStyle name="Notas 12 2" xfId="8604" xr:uid="{A4C0BDBE-7C2B-4A32-B017-9595A0DB0E6D}"/>
    <cellStyle name="Notas 12 2 2" xfId="22975" xr:uid="{AAEDDCDF-F4F9-4D3B-AB4B-BDD3B02406CE}"/>
    <cellStyle name="Notas 12 2 3" xfId="28837" xr:uid="{287B8804-08D7-419B-B2AE-23CF5B6D6947}"/>
    <cellStyle name="Notas 12 2 4" xfId="34719" xr:uid="{1CE717A3-ADFA-41F3-92F9-9EF52CF3D2DA}"/>
    <cellStyle name="Notas 12 2 5" xfId="40583" xr:uid="{E84A005D-E390-4445-96CC-884C602C8634}"/>
    <cellStyle name="Notas 12 3" xfId="20193" xr:uid="{0197AA43-6C16-48DF-9DAA-710C72F8088E}"/>
    <cellStyle name="Notas 12 4" xfId="25987" xr:uid="{48767E0F-51C2-40EA-992F-609EB64EB6C8}"/>
    <cellStyle name="Notas 12 5" xfId="31862" xr:uid="{1D61CE2C-82BC-425F-85F2-AAB9B69E239F}"/>
    <cellStyle name="Notas 12 6" xfId="37728" xr:uid="{76DAD0E1-0655-4C14-90F6-22118404761B}"/>
    <cellStyle name="Notas 13" xfId="5755" xr:uid="{6DA4BE6E-AA3E-4546-852C-7EA1163CAC65}"/>
    <cellStyle name="Notas 13 2" xfId="8624" xr:uid="{4FBEF453-D565-42EF-B489-AABC510191A7}"/>
    <cellStyle name="Notas 13 2 2" xfId="22995" xr:uid="{CF87C5BE-262A-40F8-9FB4-EADD14C6FD68}"/>
    <cellStyle name="Notas 13 2 3" xfId="28857" xr:uid="{4E356C13-A1A4-4DCE-B931-35ED03F8EA8A}"/>
    <cellStyle name="Notas 13 2 4" xfId="34739" xr:uid="{537E8DBC-EADB-4EC7-A29E-F6F94E2E27CC}"/>
    <cellStyle name="Notas 13 2 5" xfId="40603" xr:uid="{5D929557-27E9-4B97-84D0-CC683D318C29}"/>
    <cellStyle name="Notas 13 3" xfId="20212" xr:uid="{06B96AA8-02BD-4907-83B1-E6310E2840BC}"/>
    <cellStyle name="Notas 13 4" xfId="26007" xr:uid="{EF3B3073-2A4A-4651-BA96-CA42A69303B4}"/>
    <cellStyle name="Notas 13 5" xfId="31882" xr:uid="{24F78B37-6415-491A-9078-7CDFC3C360BD}"/>
    <cellStyle name="Notas 13 6" xfId="37748" xr:uid="{620E6E08-A367-45BC-9E61-3CC881EF4C8F}"/>
    <cellStyle name="Notas 14" xfId="5974" xr:uid="{D8D6581E-568A-4085-8265-2F550BB35A6A}"/>
    <cellStyle name="Notas 14 2" xfId="8843" xr:uid="{DD44F584-CD4B-4E1D-A958-9AB95231D632}"/>
    <cellStyle name="Notas 14 2 2" xfId="23207" xr:uid="{1FA69C7D-CE2E-4989-B892-AB6D49FD4770}"/>
    <cellStyle name="Notas 14 2 3" xfId="29074" xr:uid="{2C4D5A07-791F-4E9E-8C9D-AA55ABECFCCD}"/>
    <cellStyle name="Notas 14 2 4" xfId="34956" xr:uid="{B36E2053-2790-4FD7-AAA4-44AAF2033237}"/>
    <cellStyle name="Notas 14 2 5" xfId="40820" xr:uid="{62C0B795-5977-4626-8F08-6A223C6336A2}"/>
    <cellStyle name="Notas 14 3" xfId="20422" xr:uid="{42184070-2B1D-43DD-A040-FFCFCBCAAE2B}"/>
    <cellStyle name="Notas 14 4" xfId="26224" xr:uid="{7729C900-0C3B-4D07-A4D5-B36489B46165}"/>
    <cellStyle name="Notas 14 5" xfId="32099" xr:uid="{7C94327A-3A1E-4573-A92E-2E93F37755A3}"/>
    <cellStyle name="Notas 14 6" xfId="37964" xr:uid="{871BE2B3-B4FA-43FB-9D2C-413550E33A9C}"/>
    <cellStyle name="Notas 15" xfId="5994" xr:uid="{C504AEDD-4344-4061-A226-A915AC5245B2}"/>
    <cellStyle name="Notas 15 2" xfId="8863" xr:uid="{95658D9B-C1D8-4A95-8EA0-5778B4F0FD2D}"/>
    <cellStyle name="Notas 15 2 2" xfId="23227" xr:uid="{1C5313BF-4894-4DB5-A325-7B0B0D1D8F3B}"/>
    <cellStyle name="Notas 15 2 3" xfId="29094" xr:uid="{08CE6573-9468-4B85-B0C6-A53FE6B2BB83}"/>
    <cellStyle name="Notas 15 2 4" xfId="34976" xr:uid="{0FD4CAE3-FD68-45C0-BB50-0DFAF7F36B0A}"/>
    <cellStyle name="Notas 15 2 5" xfId="40840" xr:uid="{27218BEA-F09E-4D7C-AEAD-BF426F09D1E2}"/>
    <cellStyle name="Notas 15 3" xfId="20442" xr:uid="{531A88B3-7B80-4011-97ED-BAA49F450814}"/>
    <cellStyle name="Notas 15 4" xfId="26244" xr:uid="{15478D3A-F7D1-490B-9075-5B4A0A116DAA}"/>
    <cellStyle name="Notas 15 5" xfId="32119" xr:uid="{314B8F4A-C2F0-4C3D-952F-98BCCFCBAC76}"/>
    <cellStyle name="Notas 15 6" xfId="37984" xr:uid="{8C7376AD-3858-4234-AAF1-4D82E5BEDE3B}"/>
    <cellStyle name="Notas 16" xfId="6014" xr:uid="{4045B095-6D1E-4FC7-BB9A-AB2100E207EB}"/>
    <cellStyle name="Notas 16 2" xfId="8883" xr:uid="{BB70BB8D-1F49-4370-80A3-CFADDD832027}"/>
    <cellStyle name="Notas 16 2 2" xfId="23247" xr:uid="{5E977706-1687-4479-811A-58B9C40364E3}"/>
    <cellStyle name="Notas 16 2 3" xfId="29114" xr:uid="{B4BBAEE1-2159-4E84-9148-8EAF17BE279F}"/>
    <cellStyle name="Notas 16 2 4" xfId="34996" xr:uid="{F44DDE42-E4CB-47BA-AB83-87260ABF4469}"/>
    <cellStyle name="Notas 16 2 5" xfId="40860" xr:uid="{6636C555-0CF6-4E15-A37E-0A9B6A5F441E}"/>
    <cellStyle name="Notas 16 3" xfId="20462" xr:uid="{4A10C0D0-F4B7-444E-BC36-E22258F8E380}"/>
    <cellStyle name="Notas 16 4" xfId="26264" xr:uid="{D37D4C1F-809F-4B50-8E2A-1CA9823B096E}"/>
    <cellStyle name="Notas 16 5" xfId="32139" xr:uid="{4BCC4C32-4DE5-466A-910F-4C8CB918406A}"/>
    <cellStyle name="Notas 16 6" xfId="38004" xr:uid="{A2896434-55B7-4B41-9088-6EC5B484EDB7}"/>
    <cellStyle name="Notas 17" xfId="6034" xr:uid="{77F1DBB5-F991-4F41-B937-65E507FCE198}"/>
    <cellStyle name="Notas 17 2" xfId="8903" xr:uid="{6230392E-68B4-4C25-BB0E-0C2D9A8ADCEE}"/>
    <cellStyle name="Notas 17 2 2" xfId="23267" xr:uid="{B01D71FB-0768-4FB8-94B6-8E3C4614CE33}"/>
    <cellStyle name="Notas 17 2 3" xfId="29134" xr:uid="{15C1DAEC-30AD-4281-8FEC-9F27BBAB3127}"/>
    <cellStyle name="Notas 17 2 4" xfId="35016" xr:uid="{D0DE9E45-FF72-4F9E-A016-ACDA0E3D9FD9}"/>
    <cellStyle name="Notas 17 2 5" xfId="40880" xr:uid="{E866AA5C-6066-4F24-9005-E9013EC75E09}"/>
    <cellStyle name="Notas 17 3" xfId="20482" xr:uid="{24A5728F-49CB-46EF-930C-9B711665F1F6}"/>
    <cellStyle name="Notas 17 4" xfId="26284" xr:uid="{D557E7E6-037F-4E9F-83C5-193502DFDB15}"/>
    <cellStyle name="Notas 17 5" xfId="32159" xr:uid="{B96C3A76-5D6E-498E-A67A-FE76204B6E8C}"/>
    <cellStyle name="Notas 17 6" xfId="38024" xr:uid="{41034778-3FEA-42C9-B47D-F054CE60C8A2}"/>
    <cellStyle name="Notas 18" xfId="6054" xr:uid="{77680EC0-E398-4880-87C0-15B2D6B7951C}"/>
    <cellStyle name="Notas 18 2" xfId="8923" xr:uid="{7CEF5155-B4EF-4B55-AE37-5B21E2CE334F}"/>
    <cellStyle name="Notas 18 2 2" xfId="23287" xr:uid="{5B9A7DE7-1AFC-4567-916A-DF8C7FAE3BF6}"/>
    <cellStyle name="Notas 18 2 3" xfId="29154" xr:uid="{F5BED2EB-2DD3-4403-B4D7-0FA666A0CE87}"/>
    <cellStyle name="Notas 18 2 4" xfId="35036" xr:uid="{8E1DB15D-6EDB-485F-96C8-8E1A2EFEE876}"/>
    <cellStyle name="Notas 18 2 5" xfId="40900" xr:uid="{FBE6C11C-3603-46BF-BFA5-D23DB7F7E7B5}"/>
    <cellStyle name="Notas 18 3" xfId="20502" xr:uid="{8374EFC8-BAAA-44C4-AE64-68E04E4E3BAA}"/>
    <cellStyle name="Notas 18 4" xfId="26304" xr:uid="{8618083E-7A6F-46C8-8429-9B826017D189}"/>
    <cellStyle name="Notas 18 5" xfId="32179" xr:uid="{513DB67E-628C-4F09-BB52-B66CDA0F898B}"/>
    <cellStyle name="Notas 18 6" xfId="38044" xr:uid="{9415A15F-2534-448F-9008-897D24AB9404}"/>
    <cellStyle name="Notas 19" xfId="6074" xr:uid="{16E8E635-AB3C-4AA8-8846-ABC4177744BE}"/>
    <cellStyle name="Notas 19 2" xfId="8943" xr:uid="{8CA01F8F-05AF-4A17-84BF-A01186845F9E}"/>
    <cellStyle name="Notas 19 2 2" xfId="23307" xr:uid="{B0FEC713-292F-44E3-8BDE-17EDF921858E}"/>
    <cellStyle name="Notas 19 2 3" xfId="29174" xr:uid="{626BC334-1A95-45BF-9542-9F0C73CEDAD0}"/>
    <cellStyle name="Notas 19 2 4" xfId="35056" xr:uid="{4EFF1259-FBC0-4B3D-B62E-47380D26DABC}"/>
    <cellStyle name="Notas 19 2 5" xfId="40920" xr:uid="{20A3FAE6-B40E-4E9C-BE41-ED6420539866}"/>
    <cellStyle name="Notas 19 3" xfId="20522" xr:uid="{1ADBE633-CACB-4DC7-84CF-3E0C903D2CE5}"/>
    <cellStyle name="Notas 19 4" xfId="26324" xr:uid="{12D34F14-11AB-478C-8D19-12BD3A539981}"/>
    <cellStyle name="Notas 19 5" xfId="32199" xr:uid="{23B92939-5104-473F-B978-D33EC7FC7664}"/>
    <cellStyle name="Notas 19 6" xfId="38064" xr:uid="{A31D859F-9185-48B9-9B6F-C1D0690F2793}"/>
    <cellStyle name="Notas 2" xfId="1684" xr:uid="{00000000-0005-0000-0000-00003B070000}"/>
    <cellStyle name="Notas 2 10" xfId="35810" xr:uid="{9890C63B-B5D7-489D-AAEF-B3338E4E81BC}"/>
    <cellStyle name="Notas 2 2" xfId="1685" xr:uid="{00000000-0005-0000-0000-00003C070000}"/>
    <cellStyle name="Notas 2 2 2" xfId="4501" xr:uid="{0B5CBB70-6BAC-4110-8B7F-144E81C0A64B}"/>
    <cellStyle name="Notas 2 2 2 2" xfId="5469" xr:uid="{4C3E0D03-23BB-4358-9797-AD6909412E61}"/>
    <cellStyle name="Notas 2 2 2 2 2" xfId="8336" xr:uid="{52EAC3C3-23FE-47CB-9624-BA76A242BF3E}"/>
    <cellStyle name="Notas 2 2 2 2 2 2" xfId="22712" xr:uid="{C24A8BE1-C024-487D-9B80-FF27A89269EC}"/>
    <cellStyle name="Notas 2 2 2 2 2 3" xfId="28569" xr:uid="{49402FE4-5D2C-48D6-B566-BE551043D569}"/>
    <cellStyle name="Notas 2 2 2 2 2 4" xfId="34451" xr:uid="{150CEA1D-312E-4DC0-8335-02DF99A3E37D}"/>
    <cellStyle name="Notas 2 2 2 2 2 5" xfId="40315" xr:uid="{DD81B155-F4E6-4540-8A6E-9ECF376323FA}"/>
    <cellStyle name="Notas 2 2 2 2 3" xfId="19931" xr:uid="{04BF0EF8-CEC7-4438-A94C-CCD0C1C0E6EB}"/>
    <cellStyle name="Notas 2 2 2 2 4" xfId="25720" xr:uid="{41B72D6D-7067-4EB8-9ADF-E416A72CAA18}"/>
    <cellStyle name="Notas 2 2 2 2 5" xfId="31594" xr:uid="{B58D89AD-70B0-4689-A921-D6DDFA641ADF}"/>
    <cellStyle name="Notas 2 2 2 2 6" xfId="37465" xr:uid="{B260C83D-A0B6-4AF5-B0CC-7A38C6DACDDD}"/>
    <cellStyle name="Notas 2 2 2 3" xfId="7364" xr:uid="{4855D875-4B91-407F-B140-8E8C48B7200C}"/>
    <cellStyle name="Notas 2 2 2 3 2" xfId="21767" xr:uid="{3BBA8CE0-E25C-4CC0-AF99-19E80A02BBAE}"/>
    <cellStyle name="Notas 2 2 2 3 3" xfId="27598" xr:uid="{B632E674-5C44-48C1-86EA-9FA10BF3F444}"/>
    <cellStyle name="Notas 2 2 2 3 4" xfId="33480" xr:uid="{947DF686-E12B-4E00-BFC3-51E4FA423344}"/>
    <cellStyle name="Notas 2 2 2 3 5" xfId="39344" xr:uid="{A2CA912A-934E-4D46-80D4-213F2223B00A}"/>
    <cellStyle name="Notas 2 2 2 4" xfId="19003" xr:uid="{692C8C0C-7CCA-4E81-97D1-2E5AE6B4713F}"/>
    <cellStyle name="Notas 2 2 2 5" xfId="24749" xr:uid="{3847D66E-1D1C-4179-A6B6-74FBDE5C20A3}"/>
    <cellStyle name="Notas 2 2 2 6" xfId="30626" xr:uid="{200A3E8E-3ADA-4F35-A97A-0B2E4F8CB9D1}"/>
    <cellStyle name="Notas 2 2 2 7" xfId="36508" xr:uid="{ADD09EB5-492C-4334-AB9F-55E359CCDC3A}"/>
    <cellStyle name="Notas 2 2 3" xfId="4984" xr:uid="{866545C9-C90A-46AE-B791-46566A36F586}"/>
    <cellStyle name="Notas 2 2 3 2" xfId="7851" xr:uid="{991B5CCE-03C5-4F33-B6D4-28A692BF4A08}"/>
    <cellStyle name="Notas 2 2 3 2 2" xfId="22237" xr:uid="{BF923421-8ABF-40C7-A33A-B01CEE649C0F}"/>
    <cellStyle name="Notas 2 2 3 2 3" xfId="28084" xr:uid="{4EC56C14-9E9F-46A9-B7D4-D4630E2939F0}"/>
    <cellStyle name="Notas 2 2 3 2 4" xfId="33966" xr:uid="{B51179CD-39B2-4472-A840-63F1203B7AEC}"/>
    <cellStyle name="Notas 2 2 3 2 5" xfId="39830" xr:uid="{12FB46F9-0D4B-41F1-BA8C-5DD54766040D}"/>
    <cellStyle name="Notas 2 2 3 3" xfId="19464" xr:uid="{CA9BDBBF-D091-4692-9B8D-B8873A583E3E}"/>
    <cellStyle name="Notas 2 2 3 4" xfId="25235" xr:uid="{90EC3C41-855A-4B5F-A1ED-47B2837772AF}"/>
    <cellStyle name="Notas 2 2 3 5" xfId="31109" xr:uid="{A6E10216-7A9C-4021-8C14-F02F0A0CF627}"/>
    <cellStyle name="Notas 2 2 3 6" xfId="36988" xr:uid="{E4C48883-7804-488A-B5EE-51E10B669C71}"/>
    <cellStyle name="Notas 2 2 4" xfId="6879" xr:uid="{DBDF6E43-AB35-4F88-AB99-B0A11DC3312C}"/>
    <cellStyle name="Notas 2 2 4 2" xfId="21301" xr:uid="{6EDA6FF6-9E53-43CD-A351-17D5892643B2}"/>
    <cellStyle name="Notas 2 2 4 3" xfId="27118" xr:uid="{101A6E44-6930-49F5-A081-9456F4A74937}"/>
    <cellStyle name="Notas 2 2 4 4" xfId="32995" xr:uid="{3FCB93BF-0349-42B4-975B-F2888617C78B}"/>
    <cellStyle name="Notas 2 2 4 5" xfId="38859" xr:uid="{61010407-9EE8-481B-AE2C-673CD3094052}"/>
    <cellStyle name="Notas 2 2 5" xfId="18556" xr:uid="{9F75E66D-A767-4114-A1AD-D0E502084964}"/>
    <cellStyle name="Notas 2 2 6" xfId="24266" xr:uid="{02C18431-0188-46DB-9663-525CF1D8A3A4}"/>
    <cellStyle name="Notas 2 2 7" xfId="30144" xr:uid="{C564A809-B7EE-4B50-8F27-14B54B7291D4}"/>
    <cellStyle name="Notas 2 2 8" xfId="36023" xr:uid="{DF82C70B-5FDB-4145-B577-C9FA573D6A75}"/>
    <cellStyle name="Notas 2 3" xfId="1686" xr:uid="{00000000-0005-0000-0000-00003D070000}"/>
    <cellStyle name="Notas 2 3 2" xfId="5273" xr:uid="{43DA6314-B315-4747-AE39-0D0773ECB235}"/>
    <cellStyle name="Notas 2 3 2 2" xfId="8140" xr:uid="{4374D432-2DCF-43F9-ABD9-98A52FF4118E}"/>
    <cellStyle name="Notas 2 3 2 2 2" xfId="22517" xr:uid="{30FF7AE4-FC47-405C-99F0-1E557A6C3851}"/>
    <cellStyle name="Notas 2 3 2 2 3" xfId="28373" xr:uid="{6354C300-051B-4758-B7FD-DE6C55720AE2}"/>
    <cellStyle name="Notas 2 3 2 2 4" xfId="34255" xr:uid="{4C76CF99-1FD6-4A61-B1CB-581D66A08CF3}"/>
    <cellStyle name="Notas 2 3 2 2 5" xfId="40119" xr:uid="{13DF56F6-02E7-4EDF-AC47-FF36B2DDB5DE}"/>
    <cellStyle name="Notas 2 3 2 3" xfId="19742" xr:uid="{EA8D34C0-B838-4CD8-BD0F-9A1181E318A2}"/>
    <cellStyle name="Notas 2 3 2 4" xfId="25524" xr:uid="{CD402FE6-7179-44DD-AF95-483F16798307}"/>
    <cellStyle name="Notas 2 3 2 5" xfId="31398" xr:uid="{CEC22BA6-796F-4285-85B6-177B75C30761}"/>
    <cellStyle name="Notas 2 3 2 6" xfId="37270" xr:uid="{EE549184-678E-42B6-ACFE-C61D55277518}"/>
    <cellStyle name="Notas 2 3 3" xfId="7168" xr:uid="{A10DE433-C487-4287-BA9F-FF15FE832F76}"/>
    <cellStyle name="Notas 2 3 3 2" xfId="21577" xr:uid="{82A019EE-5325-4C3A-9737-C603AA375A4B}"/>
    <cellStyle name="Notas 2 3 3 3" xfId="27402" xr:uid="{F32CBDAC-F0DF-405C-B1F7-369F084D2C0A}"/>
    <cellStyle name="Notas 2 3 3 4" xfId="33284" xr:uid="{BB69028C-B0FC-4739-93F9-E48368B7DC4D}"/>
    <cellStyle name="Notas 2 3 3 5" xfId="39148" xr:uid="{5BC1B8CD-B384-4098-8677-0B3DAC04F5CC}"/>
    <cellStyle name="Notas 2 3 4" xfId="4307" xr:uid="{1D7AD251-B5C4-47F1-AA02-2373CD2E1B5E}"/>
    <cellStyle name="Notas 2 3 5" xfId="24553" xr:uid="{89A602E1-E755-4181-ACD6-0CC2342D7634}"/>
    <cellStyle name="Notas 2 3 6" xfId="30432" xr:uid="{B3A6E023-F6E7-4815-9871-E5E9C6266BAB}"/>
    <cellStyle name="Notas 2 3 7" xfId="36313" xr:uid="{D62E3A45-B683-4EEB-9057-B4422F6EF3FE}"/>
    <cellStyle name="Notas 2 4" xfId="1789" xr:uid="{00000000-0005-0000-0000-00003E070000}"/>
    <cellStyle name="Notas 2 4 2" xfId="7654" xr:uid="{19BFBAB0-9FAB-401C-ABF4-86C8FC373D3C}"/>
    <cellStyle name="Notas 2 4 2 2" xfId="22047" xr:uid="{E0A85EF7-09D1-494F-B04E-3EFBF2DC3688}"/>
    <cellStyle name="Notas 2 4 2 3" xfId="27888" xr:uid="{567BDAD5-90A8-47D6-8A28-A77C652D6E98}"/>
    <cellStyle name="Notas 2 4 2 4" xfId="33770" xr:uid="{7C04778E-9472-420E-AAB7-8A5712FAAE91}"/>
    <cellStyle name="Notas 2 4 2 5" xfId="39634" xr:uid="{C33CA24C-040F-45D6-BB14-EA7AB82711E6}"/>
    <cellStyle name="Notas 2 4 3" xfId="4791" xr:uid="{51747097-A7E4-41D4-A7A0-BB1962DEAD0F}"/>
    <cellStyle name="Notas 2 4 4" xfId="25039" xr:uid="{853F120F-4AAB-41E7-B1D0-F5EFEE486DF0}"/>
    <cellStyle name="Notas 2 4 5" xfId="30913" xr:uid="{EF1F4555-45D0-4F79-95A8-E3A409857D50}"/>
    <cellStyle name="Notas 2 4 6" xfId="36793" xr:uid="{32FEACC2-EB8D-45C2-80E2-84692E1C2BA7}"/>
    <cellStyle name="Notas 2 5" xfId="5797" xr:uid="{C9D58DFA-869D-4AC2-ADE3-CCD31A05AC78}"/>
    <cellStyle name="Notas 2 5 2" xfId="8666" xr:uid="{460F3C73-EBEA-4802-883F-F77EE920CAEB}"/>
    <cellStyle name="Notas 2 5 2 2" xfId="23036" xr:uid="{AA90FBD6-1BB4-4E9C-AA39-2B8FB99C3227}"/>
    <cellStyle name="Notas 2 5 2 3" xfId="28899" xr:uid="{CF1442DA-ED0A-45CA-897F-F249A5852C5D}"/>
    <cellStyle name="Notas 2 5 2 4" xfId="34781" xr:uid="{292C5745-CD4C-4774-9261-2060E4E93C04}"/>
    <cellStyle name="Notas 2 5 2 5" xfId="40645" xr:uid="{D5F937C8-01DA-4B08-A5E9-7C8BCFC31082}"/>
    <cellStyle name="Notas 2 5 3" xfId="20252" xr:uid="{D755C6A4-4810-4EA2-99EB-590C1E565F0B}"/>
    <cellStyle name="Notas 2 5 4" xfId="26049" xr:uid="{AB6AB370-F5F3-4753-A520-FD4A55101246}"/>
    <cellStyle name="Notas 2 5 5" xfId="31924" xr:uid="{F7B48F68-73DC-4E38-A336-C90685CF0A3B}"/>
    <cellStyle name="Notas 2 5 6" xfId="37790" xr:uid="{ED8C736F-58D6-491E-BB5C-92AC8439C63A}"/>
    <cellStyle name="Notas 2 6" xfId="6683" xr:uid="{E0CE5035-1AEC-4033-8394-5A2C404CF35D}"/>
    <cellStyle name="Notas 2 6 2" xfId="21112" xr:uid="{8FBF64DF-5817-4452-847D-6BC1CF999227}"/>
    <cellStyle name="Notas 2 6 3" xfId="26924" xr:uid="{E989FC31-6140-4092-8663-E5A31F320606}"/>
    <cellStyle name="Notas 2 6 4" xfId="32799" xr:uid="{6FF8072D-EBA5-469A-B527-BA9F14CA0FA3}"/>
    <cellStyle name="Notas 2 6 5" xfId="38663" xr:uid="{55213289-83FE-47BF-9677-3ECAA13E16EA}"/>
    <cellStyle name="Notas 2 7" xfId="18342" xr:uid="{46FB51C7-8E7D-4FF5-B063-CDEC57F581D0}"/>
    <cellStyle name="Notas 2 8" xfId="24051" xr:uid="{7486CBF9-6E1A-44F1-BA7A-9E774F0F7F5C}"/>
    <cellStyle name="Notas 2 9" xfId="29929" xr:uid="{A36827AB-ED75-4D4F-A53C-46E3AD35BCE9}"/>
    <cellStyle name="Notas 20" xfId="6094" xr:uid="{06FAFC13-3FAD-49E6-9246-EF54992A81D9}"/>
    <cellStyle name="Notas 20 2" xfId="8963" xr:uid="{2451B274-D317-4CFA-B880-A75CED3EAC7E}"/>
    <cellStyle name="Notas 20 2 2" xfId="23327" xr:uid="{29E57608-4E70-4D16-A2CB-7C4ADE5EF09F}"/>
    <cellStyle name="Notas 20 2 3" xfId="29194" xr:uid="{37190796-79F6-4814-8DD9-704003DF4388}"/>
    <cellStyle name="Notas 20 2 4" xfId="35076" xr:uid="{C0311725-FC47-4214-96FE-3B6CD2AE4045}"/>
    <cellStyle name="Notas 20 2 5" xfId="40940" xr:uid="{20E115E5-A4B9-48BC-BDA2-9A9B84D0391D}"/>
    <cellStyle name="Notas 20 3" xfId="20542" xr:uid="{64465C59-6D38-4458-B10E-A795420BF30C}"/>
    <cellStyle name="Notas 20 4" xfId="26344" xr:uid="{9FA4D835-F059-405D-AE1C-47E01FAE6FDE}"/>
    <cellStyle name="Notas 20 5" xfId="32219" xr:uid="{BD9AD380-1A1B-4A7D-B98C-A03CF2056BDE}"/>
    <cellStyle name="Notas 20 6" xfId="38084" xr:uid="{008FB800-A257-45E8-BBF5-3F62E1F34030}"/>
    <cellStyle name="Notas 21" xfId="6114" xr:uid="{1CFAF7DB-524D-4580-BBDE-EB0D582D12B9}"/>
    <cellStyle name="Notas 21 2" xfId="8983" xr:uid="{BD5C3AB4-2178-438C-83A1-7644F8B12A57}"/>
    <cellStyle name="Notas 21 2 2" xfId="23347" xr:uid="{E65F8A0B-C6BD-4F5A-A063-EAD571EEAE1C}"/>
    <cellStyle name="Notas 21 2 3" xfId="29214" xr:uid="{08F4D01F-8379-4565-A47A-1EE0B310DC3F}"/>
    <cellStyle name="Notas 21 2 4" xfId="35096" xr:uid="{98608C04-9267-4DE5-9ADC-4D79CAC5ACDD}"/>
    <cellStyle name="Notas 21 2 5" xfId="40960" xr:uid="{B412F7A2-C3FC-4A62-950D-046F6E1301E6}"/>
    <cellStyle name="Notas 21 3" xfId="20562" xr:uid="{7347A154-E3CF-4329-B502-E6CD2DF24D6A}"/>
    <cellStyle name="Notas 21 4" xfId="26364" xr:uid="{C6886363-62E9-4D8C-8230-A11C484C65C8}"/>
    <cellStyle name="Notas 21 5" xfId="32239" xr:uid="{1040082C-790B-4700-AAC4-09E5370C9C78}"/>
    <cellStyle name="Notas 21 6" xfId="38104" xr:uid="{1C54F1A6-1D22-437C-96C8-6E3307C1E945}"/>
    <cellStyle name="Notas 22" xfId="6134" xr:uid="{98B58F8F-EBE5-42E9-8557-849AF6264ECF}"/>
    <cellStyle name="Notas 22 2" xfId="9003" xr:uid="{5114114B-DB5D-41C2-ABCE-FB558D606C6A}"/>
    <cellStyle name="Notas 22 2 2" xfId="23367" xr:uid="{CD79CCE5-DF15-4EBA-9F4A-248CD36AA370}"/>
    <cellStyle name="Notas 22 2 3" xfId="29234" xr:uid="{1C172C03-E153-4883-8526-DC5C579145FB}"/>
    <cellStyle name="Notas 22 2 4" xfId="35116" xr:uid="{E00199CE-375D-415A-925A-E9BC77248C53}"/>
    <cellStyle name="Notas 22 2 5" xfId="40979" xr:uid="{37341B67-6EFD-4F83-864B-47E3825C1907}"/>
    <cellStyle name="Notas 22 3" xfId="20582" xr:uid="{97991B08-B22D-476C-A52F-AB10C436BDC7}"/>
    <cellStyle name="Notas 22 4" xfId="26384" xr:uid="{2E590076-45F5-4138-AC3B-B13D415D5C55}"/>
    <cellStyle name="Notas 22 5" xfId="32259" xr:uid="{10DB6F91-2AD3-469D-A92F-4618C9F3C5A5}"/>
    <cellStyle name="Notas 22 6" xfId="38124" xr:uid="{89668AEB-35FE-4014-B5E5-9D6A007705F3}"/>
    <cellStyle name="Notas 23" xfId="6154" xr:uid="{0F29291B-AC1E-4F0C-B557-CF474FBC820B}"/>
    <cellStyle name="Notas 23 2" xfId="9023" xr:uid="{C2D4934D-FB2F-4203-96F7-9A20FE7146E7}"/>
    <cellStyle name="Notas 23 2 2" xfId="23387" xr:uid="{18B5B801-5780-4275-A0BC-AE9EAFDAEE90}"/>
    <cellStyle name="Notas 23 2 3" xfId="29254" xr:uid="{634DFEF1-0523-4D3D-84FA-924A533E5365}"/>
    <cellStyle name="Notas 23 2 4" xfId="35136" xr:uid="{0FBAB3B9-62CB-4BC8-AD91-F1C788C59E6E}"/>
    <cellStyle name="Notas 23 2 5" xfId="40998" xr:uid="{BA6FA7F1-5D7B-4EEA-A7E4-68948EE1BDCA}"/>
    <cellStyle name="Notas 23 3" xfId="20602" xr:uid="{F19CB297-A197-43A3-8202-4CC5DFD91787}"/>
    <cellStyle name="Notas 23 4" xfId="26404" xr:uid="{DE9D545D-5EAF-45A1-8A5E-D2A106E92816}"/>
    <cellStyle name="Notas 23 5" xfId="32279" xr:uid="{60EF50F0-FF6B-4ED2-B580-AA9DC3DA4D0D}"/>
    <cellStyle name="Notas 23 6" xfId="38144" xr:uid="{12E53FA0-5F8E-414B-80E1-BC0B8AC012DD}"/>
    <cellStyle name="Notas 24" xfId="6174" xr:uid="{B652597E-1219-4E44-9A9B-4D6863AE2E55}"/>
    <cellStyle name="Notas 24 2" xfId="9043" xr:uid="{79B7C75E-CF78-43EF-815D-D27C394ACEF8}"/>
    <cellStyle name="Notas 24 2 2" xfId="23407" xr:uid="{846FDF0F-E27F-44AE-85C9-C3B904232CEA}"/>
    <cellStyle name="Notas 24 2 3" xfId="29274" xr:uid="{DB77DEA7-799E-459A-9800-5B7D6C0CC0BC}"/>
    <cellStyle name="Notas 24 2 4" xfId="35156" xr:uid="{51FEF16F-46F1-4540-BB55-1DB2338290E2}"/>
    <cellStyle name="Notas 24 2 5" xfId="41018" xr:uid="{3FF5DEA5-D6B5-4EEA-9DE5-C8C5609D5492}"/>
    <cellStyle name="Notas 24 3" xfId="20622" xr:uid="{E97E305D-5D8A-4C95-960A-8DF600287289}"/>
    <cellStyle name="Notas 24 4" xfId="26424" xr:uid="{CBEB1D28-836B-456C-97F3-5988AF397B34}"/>
    <cellStyle name="Notas 24 5" xfId="32299" xr:uid="{A48C11E5-7789-4279-8ACB-785BA985ACF3}"/>
    <cellStyle name="Notas 24 6" xfId="38164" xr:uid="{D782AF6C-1DBD-4DC0-B6CF-9D78B0569D76}"/>
    <cellStyle name="Notas 25" xfId="6196" xr:uid="{056265A6-C196-4811-B08E-0CF4F3D8C594}"/>
    <cellStyle name="Notas 25 2" xfId="9065" xr:uid="{5025E464-401E-4089-B7B0-38804E1A4781}"/>
    <cellStyle name="Notas 25 2 2" xfId="23429" xr:uid="{F00898ED-5419-46E5-9E29-D825C62BADDA}"/>
    <cellStyle name="Notas 25 2 3" xfId="29296" xr:uid="{2699EA53-591C-4288-9631-68F07315580C}"/>
    <cellStyle name="Notas 25 2 4" xfId="35178" xr:uid="{BD49EC61-8950-4B4F-B04E-5BA879605E5F}"/>
    <cellStyle name="Notas 25 2 5" xfId="41039" xr:uid="{079F560B-E540-4174-9FC6-704C0D4C5ADF}"/>
    <cellStyle name="Notas 25 3" xfId="20644" xr:uid="{ED0648F3-FC3D-4EFB-A5FD-4A78BA95653E}"/>
    <cellStyle name="Notas 25 4" xfId="26446" xr:uid="{686E13F3-4853-4AAD-9100-EBCDAAD02F21}"/>
    <cellStyle name="Notas 25 5" xfId="32321" xr:uid="{F72D98BE-CCBA-4303-B7BC-0400712E319A}"/>
    <cellStyle name="Notas 25 6" xfId="38186" xr:uid="{7044E288-D9E2-4522-9E4B-C459A90F096B}"/>
    <cellStyle name="Notas 26" xfId="6233" xr:uid="{40476E26-B8F9-4AE1-9524-3BB5FF7DFD7B}"/>
    <cellStyle name="Notas 26 2" xfId="9102" xr:uid="{FAFC1739-41E0-41B1-B040-6897015BC1FF}"/>
    <cellStyle name="Notas 26 2 2" xfId="23466" xr:uid="{F43926DF-3C5F-4111-B06C-20E4B6AA94F0}"/>
    <cellStyle name="Notas 26 2 3" xfId="29333" xr:uid="{99874225-00A7-4696-830D-CA3C7B90EC23}"/>
    <cellStyle name="Notas 26 2 4" xfId="35215" xr:uid="{56869F0D-A162-420B-B3FD-3B18B9B78309}"/>
    <cellStyle name="Notas 26 2 5" xfId="41075" xr:uid="{5F216773-F109-4CF1-BD87-F9B598908BD3}"/>
    <cellStyle name="Notas 26 3" xfId="20674" xr:uid="{4D903F66-8A37-4C67-8EF2-62BBB68D5528}"/>
    <cellStyle name="Notas 26 4" xfId="26483" xr:uid="{6618B45D-0F70-4DFD-B4BC-8B903701891A}"/>
    <cellStyle name="Notas 26 5" xfId="32358" xr:uid="{80ECCC5A-ACA1-459A-893F-44AC57C0FD30}"/>
    <cellStyle name="Notas 26 6" xfId="38223" xr:uid="{60B6BBBF-7411-46B2-AAC3-40763326DD33}"/>
    <cellStyle name="Notas 27" xfId="6253" xr:uid="{BA5E69C1-DCE7-4E69-A529-537509499593}"/>
    <cellStyle name="Notas 27 2" xfId="9122" xr:uid="{50BB9B75-6D1A-4EBB-AC8F-0D599D8E4D74}"/>
    <cellStyle name="Notas 27 2 2" xfId="23486" xr:uid="{5FBF8FC0-64C6-4232-95BB-579B6A14E43D}"/>
    <cellStyle name="Notas 27 2 3" xfId="29353" xr:uid="{673C0FFB-8BC2-4057-BDAB-FF588298E126}"/>
    <cellStyle name="Notas 27 2 4" xfId="35235" xr:uid="{4798DC4A-5798-4A58-8099-3AAEFD427EF8}"/>
    <cellStyle name="Notas 27 2 5" xfId="41094" xr:uid="{FEE9B118-BB7C-40BD-8E3E-254B8CE864C6}"/>
    <cellStyle name="Notas 27 3" xfId="20694" xr:uid="{20FA3816-BB99-4E4D-A6B1-7958ABC667F0}"/>
    <cellStyle name="Notas 27 4" xfId="26503" xr:uid="{E4DC0DB2-14C8-49DA-AF21-4BC0469C4981}"/>
    <cellStyle name="Notas 27 5" xfId="32378" xr:uid="{9FAED3F3-2133-44D7-AE15-1452F9866DC6}"/>
    <cellStyle name="Notas 27 6" xfId="38243" xr:uid="{76452CD9-F719-418B-BFB0-08C27AC920B8}"/>
    <cellStyle name="Notas 28" xfId="6273" xr:uid="{6D2A8C80-AB40-4824-9CAA-6C56F237126D}"/>
    <cellStyle name="Notas 28 2" xfId="9142" xr:uid="{B039E574-E28E-4560-B49B-E2CE5FA08E38}"/>
    <cellStyle name="Notas 28 2 2" xfId="23506" xr:uid="{762D303F-B927-4E19-9CAC-871A991AE511}"/>
    <cellStyle name="Notas 28 2 3" xfId="29373" xr:uid="{04E6388B-E127-4E17-B4D4-ADC2983C0797}"/>
    <cellStyle name="Notas 28 2 4" xfId="35255" xr:uid="{E6F76994-2B28-4D9C-9984-30DAA047F7A7}"/>
    <cellStyle name="Notas 28 2 5" xfId="41114" xr:uid="{C6C238EC-C675-4D1D-A2D9-2305E5E8ED16}"/>
    <cellStyle name="Notas 28 3" xfId="20714" xr:uid="{9F7B5265-29D1-4080-BE88-1665FD175698}"/>
    <cellStyle name="Notas 28 4" xfId="26523" xr:uid="{2D9BE2F0-2C71-41D5-9CED-20529037A0FA}"/>
    <cellStyle name="Notas 28 5" xfId="32398" xr:uid="{B330AEEC-446B-4BCB-A0FC-22373E27917C}"/>
    <cellStyle name="Notas 28 6" xfId="38263" xr:uid="{6DE22BF1-D180-4227-BC49-A91AFE46A4CE}"/>
    <cellStyle name="Notas 29" xfId="6297" xr:uid="{817E6533-3F1B-42CC-B237-96E44E022AD1}"/>
    <cellStyle name="Notas 29 2" xfId="9165" xr:uid="{35CD95D8-8CFA-4511-BB26-B54FE4198B23}"/>
    <cellStyle name="Notas 29 2 2" xfId="23529" xr:uid="{74184AEC-A5BA-4234-AC9D-54EB7936E472}"/>
    <cellStyle name="Notas 29 2 3" xfId="29396" xr:uid="{B3E99B4D-C626-4714-ADF8-048B587F8A28}"/>
    <cellStyle name="Notas 29 2 4" xfId="35278" xr:uid="{74238A95-C056-4B2D-9C67-63566BD7041F}"/>
    <cellStyle name="Notas 29 2 5" xfId="41137" xr:uid="{1946F95D-E92B-4F28-A2DD-9699DBF23E6F}"/>
    <cellStyle name="Notas 29 3" xfId="20738" xr:uid="{4BBFC068-B3EA-4F9E-BB99-7C068CDA6D15}"/>
    <cellStyle name="Notas 29 4" xfId="26547" xr:uid="{E7DB459D-DC67-4263-9B68-08C1C7CCC052}"/>
    <cellStyle name="Notas 29 5" xfId="32422" xr:uid="{78667936-CD7C-42AE-80F6-185F9D02013B}"/>
    <cellStyle name="Notas 29 6" xfId="38287" xr:uid="{5F67EC10-EEC6-47B0-A605-5C0ABD079942}"/>
    <cellStyle name="Notas 3" xfId="3839" xr:uid="{3EBECBFB-B11A-4C31-B62E-E4EE248DCCFA}"/>
    <cellStyle name="Notas 3 10" xfId="35819" xr:uid="{729BF7A5-D2E0-4E12-9150-305EED7D9B29}"/>
    <cellStyle name="Notas 3 2" xfId="4034" xr:uid="{6B1F5A3B-71BA-4329-A6A0-A5F85606EC6E}"/>
    <cellStyle name="Notas 3 2 2" xfId="4508" xr:uid="{FC1BC295-3709-4353-B203-4DE5A6D7F52F}"/>
    <cellStyle name="Notas 3 2 2 2" xfId="5476" xr:uid="{D169C824-8538-4BA0-88C1-47734CC6F162}"/>
    <cellStyle name="Notas 3 2 2 2 2" xfId="8343" xr:uid="{D449BB70-4E9A-41BC-AF14-AE07E9903680}"/>
    <cellStyle name="Notas 3 2 2 2 2 2" xfId="22718" xr:uid="{FFCF42F5-DD20-442A-8856-81BAA83CE54D}"/>
    <cellStyle name="Notas 3 2 2 2 2 3" xfId="28576" xr:uid="{BD41F087-B8B3-49E2-8F69-139BF068A223}"/>
    <cellStyle name="Notas 3 2 2 2 2 4" xfId="34458" xr:uid="{1D3536DF-EA58-4E57-86CF-1767F2C80D48}"/>
    <cellStyle name="Notas 3 2 2 2 2 5" xfId="40322" xr:uid="{04D85EDD-C3F8-4E20-A9FB-1C999096D841}"/>
    <cellStyle name="Notas 3 2 2 2 3" xfId="19937" xr:uid="{62A3952E-EE03-4667-A537-DE29F5419C47}"/>
    <cellStyle name="Notas 3 2 2 2 4" xfId="25727" xr:uid="{C60572F8-21F3-4939-98CA-058F1B335370}"/>
    <cellStyle name="Notas 3 2 2 2 5" xfId="31601" xr:uid="{1AB3E3DA-FA31-480D-A6FB-ACEF2161ABCF}"/>
    <cellStyle name="Notas 3 2 2 2 6" xfId="37471" xr:uid="{CB1BA5CA-4E96-4793-AC73-996220C09957}"/>
    <cellStyle name="Notas 3 2 2 3" xfId="7371" xr:uid="{D5C64090-1AD9-4846-AACD-B2BACF8936A5}"/>
    <cellStyle name="Notas 3 2 2 3 2" xfId="21773" xr:uid="{4AEF51E5-8558-49F8-A23D-A170337BB7E3}"/>
    <cellStyle name="Notas 3 2 2 3 3" xfId="27605" xr:uid="{FB392FDF-6728-48AB-9778-C8E0A4B0BE1D}"/>
    <cellStyle name="Notas 3 2 2 3 4" xfId="33487" xr:uid="{F24F5BFE-9B6D-4B4C-96D5-1789C4E2E4BD}"/>
    <cellStyle name="Notas 3 2 2 3 5" xfId="39351" xr:uid="{699FEDE0-57C5-4099-B9E5-2E290AFF5510}"/>
    <cellStyle name="Notas 3 2 2 4" xfId="19007" xr:uid="{BBD88C57-AFC2-40FC-9986-FB187BA01BD5}"/>
    <cellStyle name="Notas 3 2 2 5" xfId="24756" xr:uid="{AEE5E2C8-41C3-4480-ACCF-EFF5860EA9D6}"/>
    <cellStyle name="Notas 3 2 2 6" xfId="30633" xr:uid="{E8C4DFBC-FB08-4B2E-9338-2D9FC0CF7B6F}"/>
    <cellStyle name="Notas 3 2 2 7" xfId="36514" xr:uid="{E35D19F4-7039-4126-B96D-7AD78540049D}"/>
    <cellStyle name="Notas 3 2 3" xfId="4991" xr:uid="{8D84A571-9F8F-4984-9312-DD5CF9A453FD}"/>
    <cellStyle name="Notas 3 2 3 2" xfId="7858" xr:uid="{D613D0AD-EFC9-4808-8D47-2B0A99237310}"/>
    <cellStyle name="Notas 3 2 3 2 2" xfId="22243" xr:uid="{77DF399C-529D-4B63-9A2E-49213AD58F95}"/>
    <cellStyle name="Notas 3 2 3 2 3" xfId="28091" xr:uid="{7A771E54-E2AB-4F8C-9E4E-B6A2B2A0CB31}"/>
    <cellStyle name="Notas 3 2 3 2 4" xfId="33973" xr:uid="{29D9128D-BE74-4ADA-BF42-FFCAACEEFF77}"/>
    <cellStyle name="Notas 3 2 3 2 5" xfId="39837" xr:uid="{52FC1863-D47F-4BD2-92B2-1D2DFA907F75}"/>
    <cellStyle name="Notas 3 2 3 3" xfId="19470" xr:uid="{D1B12E06-AE5D-41AA-BAB2-B57ACE9FE545}"/>
    <cellStyle name="Notas 3 2 3 4" xfId="25242" xr:uid="{7A1732CD-D29C-415B-8C34-D5E5C6224AB9}"/>
    <cellStyle name="Notas 3 2 3 5" xfId="31116" xr:uid="{CB9D89EB-F67B-4655-BC91-3A38FD895DA5}"/>
    <cellStyle name="Notas 3 2 3 6" xfId="36994" xr:uid="{D97EBCD6-A7EB-438D-BECD-687BA808B6FC}"/>
    <cellStyle name="Notas 3 2 4" xfId="6886" xr:uid="{828AFB2C-56B1-431A-8C32-8ABCD167943A}"/>
    <cellStyle name="Notas 3 2 4 2" xfId="21307" xr:uid="{4FB0656A-0C23-4081-9F97-038D32EA2492}"/>
    <cellStyle name="Notas 3 2 4 3" xfId="27124" xr:uid="{A265D5ED-FF07-4D63-A970-7A69E61F965E}"/>
    <cellStyle name="Notas 3 2 4 4" xfId="33002" xr:uid="{E88590B8-3A6B-453E-A74C-E4DC05ECCBFB}"/>
    <cellStyle name="Notas 3 2 4 5" xfId="38866" xr:uid="{8830553F-FBA9-40A4-82A5-64D537CA431D}"/>
    <cellStyle name="Notas 3 2 5" xfId="18561" xr:uid="{D107A016-41FF-47FE-AD38-AC937C8DA0DE}"/>
    <cellStyle name="Notas 3 2 6" xfId="24273" xr:uid="{C5E14065-815C-4376-A1E2-14D0E9951B8D}"/>
    <cellStyle name="Notas 3 2 7" xfId="30151" xr:uid="{646C7608-E0D9-4D3E-9A28-EF54058F273F}"/>
    <cellStyle name="Notas 3 2 8" xfId="36030" xr:uid="{8D3D2152-9CF8-457F-863A-36EBF30B809D}"/>
    <cellStyle name="Notas 3 3" xfId="4314" xr:uid="{C899A3D0-2338-41AD-9031-90B9A30570F9}"/>
    <cellStyle name="Notas 3 3 2" xfId="5280" xr:uid="{84E9197D-C9AF-45F1-AB90-1362B3EFD7C3}"/>
    <cellStyle name="Notas 3 3 2 2" xfId="8147" xr:uid="{5AC8ACBB-4C26-4A46-8451-B07A667146E2}"/>
    <cellStyle name="Notas 3 3 2 2 2" xfId="22523" xr:uid="{612B4655-888D-4C50-880F-35D0A8917064}"/>
    <cellStyle name="Notas 3 3 2 2 3" xfId="28380" xr:uid="{F5A7DF90-9571-48C0-94C1-05726DAF77AB}"/>
    <cellStyle name="Notas 3 3 2 2 4" xfId="34262" xr:uid="{C401070A-2A9A-4C47-A36B-643257908475}"/>
    <cellStyle name="Notas 3 3 2 2 5" xfId="40126" xr:uid="{1FEF41AA-6488-4021-8B2F-C8AE156324A7}"/>
    <cellStyle name="Notas 3 3 2 3" xfId="19748" xr:uid="{2D956314-0604-46B7-AB5F-4058CD36C6E8}"/>
    <cellStyle name="Notas 3 3 2 4" xfId="25531" xr:uid="{1F15B0DB-4F9A-41B8-ABAB-67847CDCE363}"/>
    <cellStyle name="Notas 3 3 2 5" xfId="31405" xr:uid="{4CFBA927-9600-4BB3-843E-776EFBC96711}"/>
    <cellStyle name="Notas 3 3 2 6" xfId="37276" xr:uid="{F0B5E472-DB19-4241-A0AF-BBE1106B4ECE}"/>
    <cellStyle name="Notas 3 3 3" xfId="7175" xr:uid="{9C7FFC2E-53B8-484B-931C-6D4044CF30D2}"/>
    <cellStyle name="Notas 3 3 3 2" xfId="21582" xr:uid="{553B36FD-460A-4989-9236-042F010C2160}"/>
    <cellStyle name="Notas 3 3 3 3" xfId="27409" xr:uid="{FC67C047-A0B0-4339-AE3C-DD88781A332F}"/>
    <cellStyle name="Notas 3 3 3 4" xfId="33291" xr:uid="{5A9CBD77-0973-4C4B-AB50-6B2A5A888133}"/>
    <cellStyle name="Notas 3 3 3 5" xfId="39155" xr:uid="{01B89916-1D6C-4BEA-BAA2-91D380E74F83}"/>
    <cellStyle name="Notas 3 3 4" xfId="18819" xr:uid="{86ECD615-C351-45BE-A2F5-88A373F199B3}"/>
    <cellStyle name="Notas 3 3 5" xfId="24560" xr:uid="{1CBDEC09-F227-4A84-992F-FAA53EBA8CC9}"/>
    <cellStyle name="Notas 3 3 6" xfId="30439" xr:uid="{4A51E19C-9F34-407B-8DD4-777104B115EC}"/>
    <cellStyle name="Notas 3 3 7" xfId="36319" xr:uid="{C16DEAA9-4C7E-458A-A2E4-6FAC5FD1A1CC}"/>
    <cellStyle name="Notas 3 4" xfId="4799" xr:uid="{2D321969-4483-4B45-8C03-6837AC7AA6AE}"/>
    <cellStyle name="Notas 3 4 2" xfId="7662" xr:uid="{9CC6F7B9-59A1-4D4F-AE9E-D2E886361A93}"/>
    <cellStyle name="Notas 3 4 2 2" xfId="22053" xr:uid="{A15DE6BA-4C9F-4EE8-AAF0-21D01EB8FC5D}"/>
    <cellStyle name="Notas 3 4 2 3" xfId="27895" xr:uid="{BD4B2FF0-EFB0-409A-9284-1918CE5A0DE9}"/>
    <cellStyle name="Notas 3 4 2 4" xfId="33777" xr:uid="{D9B83E4F-92A9-4CF3-A935-552F05B03372}"/>
    <cellStyle name="Notas 3 4 2 5" xfId="39641" xr:uid="{0A7D1DCF-16D4-41AF-8991-39CE3327942F}"/>
    <cellStyle name="Notas 3 4 3" xfId="19278" xr:uid="{FF6A7AEF-F2BA-4D81-B3C5-ED65F8A5CF9C}"/>
    <cellStyle name="Notas 3 4 4" xfId="25046" xr:uid="{9DFC666E-E5CC-4A3B-BC3A-D9763E7859E8}"/>
    <cellStyle name="Notas 3 4 5" xfId="30920" xr:uid="{768534E9-920C-4489-9511-09E3DB6B8CED}"/>
    <cellStyle name="Notas 3 4 6" xfId="36799" xr:uid="{7837EBDE-59EE-4FB3-833A-C6BDB3D53951}"/>
    <cellStyle name="Notas 3 5" xfId="5805" xr:uid="{98AED046-2901-443E-BFA9-6726268B08A3}"/>
    <cellStyle name="Notas 3 5 2" xfId="8674" xr:uid="{17FEC7DE-80EF-4883-8B88-5D4D7379C682}"/>
    <cellStyle name="Notas 3 5 2 2" xfId="23042" xr:uid="{55EF5C60-54B3-4FF3-B657-EC3521C70E1B}"/>
    <cellStyle name="Notas 3 5 2 3" xfId="28906" xr:uid="{1A3BA18E-1C71-4228-9135-AE7852CCBA1D}"/>
    <cellStyle name="Notas 3 5 2 4" xfId="34788" xr:uid="{B52350FA-B6D2-4A99-BA33-B19D7163DFF3}"/>
    <cellStyle name="Notas 3 5 2 5" xfId="40652" xr:uid="{5692FFC3-4508-4EAB-9E22-FC47DBF268B2}"/>
    <cellStyle name="Notas 3 5 3" xfId="20257" xr:uid="{D4F7A140-DD81-49CA-9412-9C9E47A74838}"/>
    <cellStyle name="Notas 3 5 4" xfId="26056" xr:uid="{58AF9BD4-87A7-4B7D-9752-7FC541DDA09F}"/>
    <cellStyle name="Notas 3 5 5" xfId="31931" xr:uid="{01922CB8-4F4D-42C9-A5FC-7A9ABE4757A6}"/>
    <cellStyle name="Notas 3 5 6" xfId="37797" xr:uid="{058563CC-3990-42A0-A6D2-F9261D6AD181}"/>
    <cellStyle name="Notas 3 6" xfId="6691" xr:uid="{1484BD0C-CA2C-4F26-B865-5E881BAD1598}"/>
    <cellStyle name="Notas 3 6 2" xfId="21118" xr:uid="{33CAFA33-13F9-4706-B7C0-02946A6D17A5}"/>
    <cellStyle name="Notas 3 6 3" xfId="26930" xr:uid="{25634EE6-C380-45BF-A514-288ED2892E3E}"/>
    <cellStyle name="Notas 3 6 4" xfId="32806" xr:uid="{44D63415-76CF-4162-968C-D9DCAFA8084F}"/>
    <cellStyle name="Notas 3 6 5" xfId="38670" xr:uid="{69D8B40F-1748-4A52-8D69-8085EE294865}"/>
    <cellStyle name="Notas 3 7" xfId="18352" xr:uid="{750F194B-DB74-4BC3-8127-4C094D1AB325}"/>
    <cellStyle name="Notas 3 8" xfId="24060" xr:uid="{C2474532-BBCC-49AE-B03C-9C8AEC8DA577}"/>
    <cellStyle name="Notas 3 9" xfId="29938" xr:uid="{297E12CA-7D4E-49CB-B1A4-0B0F238ABFEE}"/>
    <cellStyle name="Notas 30" xfId="6329" xr:uid="{C3D82DA2-44A0-4AD2-9F22-F015C3A6360D}"/>
    <cellStyle name="Notas 30 2" xfId="9194" xr:uid="{76C7D75D-256E-4E40-97F5-A4BD46AF250C}"/>
    <cellStyle name="Notas 30 2 2" xfId="23557" xr:uid="{B0F22D92-95BB-4A7B-8176-9ED8D1106F96}"/>
    <cellStyle name="Notas 30 2 3" xfId="29425" xr:uid="{C2E5A719-4AE4-43E2-B696-2B05A39F8DBE}"/>
    <cellStyle name="Notas 30 2 4" xfId="35307" xr:uid="{CA276049-7AC3-425A-AE69-BCCE5E922897}"/>
    <cellStyle name="Notas 30 2 5" xfId="41166" xr:uid="{12D701C3-B007-49C5-A81C-05D6C2B074F5}"/>
    <cellStyle name="Notas 30 3" xfId="20770" xr:uid="{DE78E4BA-B43E-41EA-9ADC-374602457B12}"/>
    <cellStyle name="Notas 30 4" xfId="26579" xr:uid="{6341543F-83EA-4445-8727-ECA096483A0E}"/>
    <cellStyle name="Notas 30 5" xfId="32454" xr:uid="{F15ED13A-66B2-4F8F-81A3-F994105B4897}"/>
    <cellStyle name="Notas 30 6" xfId="38318" xr:uid="{8E5FBFF9-9047-4DCE-ADEF-228129B53F0E}"/>
    <cellStyle name="Notas 31" xfId="6349" xr:uid="{E3E7D6E2-343B-479A-A95B-1D9B70DB22B8}"/>
    <cellStyle name="Notas 31 2" xfId="9214" xr:uid="{B2F46AB0-F0BA-415F-B77E-0EB395934C0B}"/>
    <cellStyle name="Notas 31 2 2" xfId="23577" xr:uid="{C1D43747-6921-4443-B3E4-A5E1A825692D}"/>
    <cellStyle name="Notas 31 2 3" xfId="29445" xr:uid="{CA8D69D4-1D7B-43CB-9148-270EEAD18D7E}"/>
    <cellStyle name="Notas 31 2 4" xfId="35327" xr:uid="{AEDAF675-27A4-46F8-B0E5-9DFBA507D0A1}"/>
    <cellStyle name="Notas 31 2 5" xfId="41186" xr:uid="{2A2633AB-2E1A-494A-9321-DC1A8A820559}"/>
    <cellStyle name="Notas 31 3" xfId="20790" xr:uid="{6DADD678-5F32-49C0-A5B1-BE9EC0308C57}"/>
    <cellStyle name="Notas 31 4" xfId="26599" xr:uid="{ECF8E4BB-23CB-4391-886C-B21FF6E6836A}"/>
    <cellStyle name="Notas 31 5" xfId="32474" xr:uid="{2DDF74C0-C54A-454E-8FC6-C1DDD37E6C0B}"/>
    <cellStyle name="Notas 31 6" xfId="38338" xr:uid="{F609A0C7-A426-47F8-BB21-E11FDE83F8B3}"/>
    <cellStyle name="Notas 32" xfId="6369" xr:uid="{AC3B599D-FC16-4051-9F77-2311BC6A0698}"/>
    <cellStyle name="Notas 32 2" xfId="9234" xr:uid="{50BBE440-1E9A-4594-A377-2162B8E1FB36}"/>
    <cellStyle name="Notas 32 2 2" xfId="23597" xr:uid="{7D932522-E622-44C3-B0DC-A34761CD1F5D}"/>
    <cellStyle name="Notas 32 2 3" xfId="29465" xr:uid="{1F3AC713-0919-488E-9B11-06273F3BBB40}"/>
    <cellStyle name="Notas 32 2 4" xfId="35347" xr:uid="{6F556BE2-73BF-44AA-9183-01E84553CC39}"/>
    <cellStyle name="Notas 32 2 5" xfId="41206" xr:uid="{BC93432B-DBC7-44A2-9496-5FD163B6897D}"/>
    <cellStyle name="Notas 32 3" xfId="20810" xr:uid="{1FD044A7-E3DA-4CBE-895E-5DE3F9D114AD}"/>
    <cellStyle name="Notas 32 4" xfId="26619" xr:uid="{D6759A44-F47A-4D65-911D-9AE51DC62D31}"/>
    <cellStyle name="Notas 32 5" xfId="32494" xr:uid="{AB99A379-A4C1-46BD-89D8-F62A23DAB7B4}"/>
    <cellStyle name="Notas 32 6" xfId="38358" xr:uid="{B5B045FA-E5FF-40F2-94AF-D3A6C74A6A6A}"/>
    <cellStyle name="Notas 33" xfId="6390" xr:uid="{64790A69-B63E-4F08-9DC7-5B00735C3CED}"/>
    <cellStyle name="Notas 33 2" xfId="9255" xr:uid="{53F6F583-7672-44E3-B440-2E3E53925B66}"/>
    <cellStyle name="Notas 33 2 2" xfId="23618" xr:uid="{7DCF3C7A-F191-445A-B5DA-DE3AA2C7EA3C}"/>
    <cellStyle name="Notas 33 2 3" xfId="29486" xr:uid="{44DB402A-F410-4DCA-A92F-8D2BA591D99D}"/>
    <cellStyle name="Notas 33 2 4" xfId="35368" xr:uid="{0B3DEB2A-D2AF-4075-AB63-02ADF6A83E0A}"/>
    <cellStyle name="Notas 33 2 5" xfId="41227" xr:uid="{DA62F76B-4FBF-4A1E-84DD-77DEFADC2890}"/>
    <cellStyle name="Notas 33 3" xfId="20831" xr:uid="{D0AA8E0C-A714-4376-A5A7-371704B29D84}"/>
    <cellStyle name="Notas 33 4" xfId="26640" xr:uid="{46716FE8-6909-4024-9833-10D4998BE66D}"/>
    <cellStyle name="Notas 33 5" xfId="32515" xr:uid="{5E25BBFC-3A75-4FFF-8BBE-3518666A5C9C}"/>
    <cellStyle name="Notas 33 6" xfId="38379" xr:uid="{F4A4235B-2CDA-4CFB-BD34-4691F45C6B47}"/>
    <cellStyle name="Notas 34" xfId="6419" xr:uid="{03EF009E-AC32-4D3A-9C86-58AA17A17A7D}"/>
    <cellStyle name="Notas 34 2" xfId="9281" xr:uid="{BEF43389-897B-4849-9EE6-8179DA3EBE88}"/>
    <cellStyle name="Notas 34 2 2" xfId="23644" xr:uid="{1E0F3D43-DFF4-4EED-A694-28376C02305E}"/>
    <cellStyle name="Notas 34 2 3" xfId="29512" xr:uid="{DCF59F6F-84E9-4419-ABAA-D387FB420FE8}"/>
    <cellStyle name="Notas 34 2 4" xfId="35394" xr:uid="{553C3552-F7A8-411F-9E33-00F1EBB88375}"/>
    <cellStyle name="Notas 34 2 5" xfId="41253" xr:uid="{105EAB8C-7A32-40B9-9688-E3BE5E319B93}"/>
    <cellStyle name="Notas 34 3" xfId="20860" xr:uid="{73AE4B9C-635E-4AF9-B585-C9C1436B1A39}"/>
    <cellStyle name="Notas 34 4" xfId="26669" xr:uid="{9083CB05-223C-4AE8-B414-1B7A3256D889}"/>
    <cellStyle name="Notas 34 5" xfId="32544" xr:uid="{6E7978CC-468B-49B0-AE37-54C2A47B10C5}"/>
    <cellStyle name="Notas 34 6" xfId="38408" xr:uid="{7576A36B-8975-478F-81FE-2796FF1DB37F}"/>
    <cellStyle name="Notas 35" xfId="6453" xr:uid="{B7A30604-D00C-425E-9785-893AD54CCABE}"/>
    <cellStyle name="Notas 35 2" xfId="9313" xr:uid="{CB213CC8-1BF9-4623-BEE8-DC2DA4DB7B47}"/>
    <cellStyle name="Notas 35 2 2" xfId="23676" xr:uid="{669A3695-4943-44D7-86C6-A53EFC6C82BE}"/>
    <cellStyle name="Notas 35 2 3" xfId="29544" xr:uid="{2A7306FE-2809-4B81-9423-172378C8F8AE}"/>
    <cellStyle name="Notas 35 2 4" xfId="35426" xr:uid="{043D208A-46E0-4CD5-A7A0-894BB95ACC53}"/>
    <cellStyle name="Notas 35 2 5" xfId="41285" xr:uid="{D60CF798-0C2E-4A66-B5E9-4A5D1A91E065}"/>
    <cellStyle name="Notas 35 3" xfId="20891" xr:uid="{4ACB5C91-99D5-48BC-963B-F1F80B9A959E}"/>
    <cellStyle name="Notas 35 4" xfId="26702" xr:uid="{C13B0A57-763A-462F-B379-2B3069437B18}"/>
    <cellStyle name="Notas 35 5" xfId="32577" xr:uid="{C3E54B09-A9E9-48B0-95DF-55AA1946D4D0}"/>
    <cellStyle name="Notas 35 6" xfId="38441" xr:uid="{16F7E309-EDF7-43B7-82BA-3FA46F17B3C2}"/>
    <cellStyle name="Notas 36" xfId="6473" xr:uid="{BF01B1AB-1027-477F-9B55-D545347D785C}"/>
    <cellStyle name="Notas 36 2" xfId="9333" xr:uid="{330E1050-86DE-43FC-80A8-5A592ABC7914}"/>
    <cellStyle name="Notas 36 2 2" xfId="23696" xr:uid="{DF9C4582-4AF3-4643-86BC-103F9E4A9118}"/>
    <cellStyle name="Notas 36 2 3" xfId="29564" xr:uid="{C35F97E6-229A-4751-A89D-49EA9F6A11E5}"/>
    <cellStyle name="Notas 36 2 4" xfId="35446" xr:uid="{76FC26F6-496C-4A11-9401-4CD636C3331D}"/>
    <cellStyle name="Notas 36 2 5" xfId="41305" xr:uid="{94A5BF23-E756-4704-B4D8-6142130CB219}"/>
    <cellStyle name="Notas 36 3" xfId="20911" xr:uid="{6EA1A929-A110-4504-BDB3-3124BDE6E1BB}"/>
    <cellStyle name="Notas 36 4" xfId="26722" xr:uid="{2D285982-BF90-4DCD-93AF-E5125DC7664F}"/>
    <cellStyle name="Notas 36 5" xfId="32597" xr:uid="{CE2AFC6E-4B19-46ED-9607-7A6D3D22F6C9}"/>
    <cellStyle name="Notas 36 6" xfId="38461" xr:uid="{87BA9802-3BCF-43F8-A0A5-4744BFE15F48}"/>
    <cellStyle name="Notas 37" xfId="6493" xr:uid="{25CBD3F1-30C2-463E-B2F3-F1C6B6DB0DE9}"/>
    <cellStyle name="Notas 37 2" xfId="9353" xr:uid="{1149D809-E680-4AAC-9E9A-6F6AA2A0BE6C}"/>
    <cellStyle name="Notas 37 2 2" xfId="23716" xr:uid="{4EFA450E-D2E7-4DC3-848E-5F07EE3EE96B}"/>
    <cellStyle name="Notas 37 2 3" xfId="29584" xr:uid="{8850348B-BD91-4D28-9C72-08F26A713232}"/>
    <cellStyle name="Notas 37 2 4" xfId="35466" xr:uid="{17C27ABF-0B45-4292-85EF-F74B396E6480}"/>
    <cellStyle name="Notas 37 2 5" xfId="41325" xr:uid="{39B30304-E853-4370-9E3D-A2DA0E7B8D9C}"/>
    <cellStyle name="Notas 37 3" xfId="20931" xr:uid="{9F6BDF7D-5B03-4653-B1B5-79AC2410F303}"/>
    <cellStyle name="Notas 37 4" xfId="26742" xr:uid="{03A48E5D-588E-4D09-8547-0863BDA39EED}"/>
    <cellStyle name="Notas 37 5" xfId="32617" xr:uid="{57A7C02F-3B71-4A5E-89E7-997B7E496203}"/>
    <cellStyle name="Notas 37 6" xfId="38481" xr:uid="{87F28CED-8413-49D3-BB88-3BDB6AE35380}"/>
    <cellStyle name="Notas 38" xfId="6513" xr:uid="{8D4CE100-C6A7-4AF7-8235-AE1F3CC5D0E4}"/>
    <cellStyle name="Notas 38 2" xfId="9373" xr:uid="{DED315B7-68FC-4C6F-8A0C-EF5747DE53FB}"/>
    <cellStyle name="Notas 38 2 2" xfId="23736" xr:uid="{416B7E69-54D7-447C-96B9-7653414303E0}"/>
    <cellStyle name="Notas 38 2 3" xfId="29604" xr:uid="{AA1F4674-0E1C-4CE5-903C-5A04BE070C55}"/>
    <cellStyle name="Notas 38 2 4" xfId="35486" xr:uid="{905EDF11-F6CF-4B1B-BCC6-05C61570F88D}"/>
    <cellStyle name="Notas 38 2 5" xfId="41345" xr:uid="{8FBCFBE6-F5C8-40B7-980D-6ED4797D8405}"/>
    <cellStyle name="Notas 38 3" xfId="20951" xr:uid="{5EA14EF3-A334-4DEF-B1A3-B38DC671B0FF}"/>
    <cellStyle name="Notas 38 4" xfId="26762" xr:uid="{2AD3F5AB-9B34-4AB4-B12D-68552921B8F5}"/>
    <cellStyle name="Notas 38 5" xfId="32637" xr:uid="{75B510B5-442B-414C-98E6-8DAA61C8C527}"/>
    <cellStyle name="Notas 38 6" xfId="38501" xr:uid="{AE8E4B5B-B7FD-47AB-98A0-C3531FEE85E5}"/>
    <cellStyle name="Notas 39" xfId="6533" xr:uid="{6385C32F-6F6A-4555-9BD3-92EB606812FC}"/>
    <cellStyle name="Notas 39 2" xfId="9393" xr:uid="{69701D49-59C2-4208-82D2-20F8D6827229}"/>
    <cellStyle name="Notas 39 2 2" xfId="23756" xr:uid="{87DF5826-EB63-4021-8107-955B188D0218}"/>
    <cellStyle name="Notas 39 2 3" xfId="29624" xr:uid="{F2E23C2D-151E-4247-834A-88A2202C753C}"/>
    <cellStyle name="Notas 39 2 4" xfId="35506" xr:uid="{72CD2084-0357-4BA4-9C85-B585488594B8}"/>
    <cellStyle name="Notas 39 2 5" xfId="41365" xr:uid="{263AAC4B-CA9C-41C4-BA57-559B6659627C}"/>
    <cellStyle name="Notas 39 3" xfId="20971" xr:uid="{5F4FB3DA-2A4B-40D3-8735-947B629D7B9F}"/>
    <cellStyle name="Notas 39 4" xfId="26782" xr:uid="{0AA2F03A-CC63-4F5E-A474-52638E572D3C}"/>
    <cellStyle name="Notas 39 5" xfId="32657" xr:uid="{A0EEFF8A-09D2-4216-8A22-4F3619262E07}"/>
    <cellStyle name="Notas 39 6" xfId="38521" xr:uid="{C0C29C4C-8913-4B14-8A24-AFBC4A36291E}"/>
    <cellStyle name="Notas 4" xfId="3856" xr:uid="{D4A62279-1BBD-4FAE-B679-CEC5D1AF9B2A}"/>
    <cellStyle name="Notas 4 10" xfId="35845" xr:uid="{16F77D97-7095-4973-B4DB-E296C42BA894}"/>
    <cellStyle name="Notas 4 2" xfId="4055" xr:uid="{9438639F-F7FE-4159-8404-41F27DD5FACD}"/>
    <cellStyle name="Notas 4 2 2" xfId="4532" xr:uid="{7382490C-DDCC-44F8-AFA6-6205F2D90364}"/>
    <cellStyle name="Notas 4 2 2 2" xfId="5500" xr:uid="{8C9D6ED6-668B-479D-ADE1-79C83B892316}"/>
    <cellStyle name="Notas 4 2 2 2 2" xfId="8367" xr:uid="{B976AA06-B153-4739-B17F-49CBC585E688}"/>
    <cellStyle name="Notas 4 2 2 2 2 2" xfId="22742" xr:uid="{D99D15C5-DF4C-4012-A962-04F33155EB82}"/>
    <cellStyle name="Notas 4 2 2 2 2 3" xfId="28600" xr:uid="{26D485D3-8ED2-4F7D-8CA0-318861FA6B72}"/>
    <cellStyle name="Notas 4 2 2 2 2 4" xfId="34482" xr:uid="{4C9611D1-CEEB-4725-9BDA-BF8789138082}"/>
    <cellStyle name="Notas 4 2 2 2 2 5" xfId="40346" xr:uid="{22D6A416-5653-48BF-BEF6-8CD77FBCF3E5}"/>
    <cellStyle name="Notas 4 2 2 2 3" xfId="19960" xr:uid="{693B1EF1-870C-4D88-8403-40EEBF4007C9}"/>
    <cellStyle name="Notas 4 2 2 2 4" xfId="25751" xr:uid="{C5FD909E-65F7-4A2B-9566-01A2004759E9}"/>
    <cellStyle name="Notas 4 2 2 2 5" xfId="31625" xr:uid="{B854E8C5-E680-44C1-B2AF-446605D97E82}"/>
    <cellStyle name="Notas 4 2 2 2 6" xfId="37495" xr:uid="{8708811D-9DCF-4B80-B7BB-2889D56FC044}"/>
    <cellStyle name="Notas 4 2 2 3" xfId="7395" xr:uid="{D7A69F9B-4B7F-4E4A-B5A3-B8C22FB147C2}"/>
    <cellStyle name="Notas 4 2 2 3 2" xfId="21797" xr:uid="{0D1792B5-D289-4F43-8742-9866AE695251}"/>
    <cellStyle name="Notas 4 2 2 3 3" xfId="27629" xr:uid="{68AA63ED-91D7-46FF-835F-0CA3D934B24F}"/>
    <cellStyle name="Notas 4 2 2 3 4" xfId="33511" xr:uid="{1F19F271-88D9-41B1-A604-92429C7221BC}"/>
    <cellStyle name="Notas 4 2 2 3 5" xfId="39375" xr:uid="{B28CDDB2-6DCA-44DB-B9FF-8DDD914DBB64}"/>
    <cellStyle name="Notas 4 2 2 4" xfId="19029" xr:uid="{40FDDB69-FEB1-48A7-B0D8-BD17816B2E89}"/>
    <cellStyle name="Notas 4 2 2 5" xfId="24780" xr:uid="{31EFB379-3E90-4766-8B21-245B5B1BB2D4}"/>
    <cellStyle name="Notas 4 2 2 6" xfId="30657" xr:uid="{42439A58-09B1-4973-B1DE-F882EEF9D070}"/>
    <cellStyle name="Notas 4 2 2 7" xfId="36538" xr:uid="{A5113D36-7857-4F0B-8613-78D567C9D3E4}"/>
    <cellStyle name="Notas 4 2 3" xfId="5015" xr:uid="{1F076785-AA46-45EA-ADF7-4ED5A43193EE}"/>
    <cellStyle name="Notas 4 2 3 2" xfId="7882" xr:uid="{6B36D5D4-EA7C-461D-8353-6725473CBE6B}"/>
    <cellStyle name="Notas 4 2 3 2 2" xfId="22267" xr:uid="{1734D590-4A26-400C-BDA4-4F68D7BEF0AB}"/>
    <cellStyle name="Notas 4 2 3 2 3" xfId="28115" xr:uid="{89ED993E-54B7-4B7B-987A-E46F8242FDD1}"/>
    <cellStyle name="Notas 4 2 3 2 4" xfId="33997" xr:uid="{26D9A2DD-50BA-45D0-BC82-A8908A78AE03}"/>
    <cellStyle name="Notas 4 2 3 2 5" xfId="39861" xr:uid="{8EA21FDB-9B15-4621-98B9-14895D301501}"/>
    <cellStyle name="Notas 4 2 3 3" xfId="19494" xr:uid="{4E707DF1-3FC5-4AB8-AA9A-259CB842F76B}"/>
    <cellStyle name="Notas 4 2 3 4" xfId="25266" xr:uid="{74C59FA4-7D30-4265-A0B8-E65E1183BE7D}"/>
    <cellStyle name="Notas 4 2 3 5" xfId="31140" xr:uid="{61C02D97-AB47-44F6-823D-11B6FF2C8776}"/>
    <cellStyle name="Notas 4 2 3 6" xfId="37018" xr:uid="{D0CAB42C-507B-4C7D-BA26-AE19D96FD02D}"/>
    <cellStyle name="Notas 4 2 4" xfId="6910" xr:uid="{BD8864B8-1DCE-4A39-9825-84202E29F0E2}"/>
    <cellStyle name="Notas 4 2 4 2" xfId="21330" xr:uid="{ECC15197-D097-4921-9490-7EB6999ED286}"/>
    <cellStyle name="Notas 4 2 4 3" xfId="27148" xr:uid="{5E7361B1-7596-459C-B1DE-E9ABC27CD04A}"/>
    <cellStyle name="Notas 4 2 4 4" xfId="33026" xr:uid="{141DEFAB-8A51-44E3-9752-2EF3070E49C5}"/>
    <cellStyle name="Notas 4 2 4 5" xfId="38890" xr:uid="{CC0DE0B0-EA5C-4E51-9D00-123EC84311B0}"/>
    <cellStyle name="Notas 4 2 5" xfId="18585" xr:uid="{5C22CBA8-611E-4D30-A865-A39E0DF56587}"/>
    <cellStyle name="Notas 4 2 6" xfId="24297" xr:uid="{D5BF4F8A-4838-4F6C-842E-77A596628A95}"/>
    <cellStyle name="Notas 4 2 7" xfId="30175" xr:uid="{AE12BC86-E5BA-4C33-AE50-F5B067590771}"/>
    <cellStyle name="Notas 4 2 8" xfId="36054" xr:uid="{45B3E359-6FC9-450B-A7E3-DAE266A4D239}"/>
    <cellStyle name="Notas 4 3" xfId="4338" xr:uid="{24B9B5EE-8BBE-4508-B08F-2CFA3DC2A317}"/>
    <cellStyle name="Notas 4 3 2" xfId="5304" xr:uid="{174B80FB-E8BF-46A4-A70B-9BE30B243901}"/>
    <cellStyle name="Notas 4 3 2 2" xfId="8171" xr:uid="{670332DB-E7A7-4D46-AB41-1CCE97D46281}"/>
    <cellStyle name="Notas 4 3 2 2 2" xfId="22547" xr:uid="{915E1F74-2E36-41A5-BF09-EAFA50F942E1}"/>
    <cellStyle name="Notas 4 3 2 2 3" xfId="28404" xr:uid="{C6CC0FC8-3A03-4822-8998-C91A5380C56F}"/>
    <cellStyle name="Notas 4 3 2 2 4" xfId="34286" xr:uid="{46D9C064-7B81-4348-B330-37579245152A}"/>
    <cellStyle name="Notas 4 3 2 2 5" xfId="40150" xr:uid="{B0C6811D-90C9-4DDD-A12E-995F346E695D}"/>
    <cellStyle name="Notas 4 3 2 3" xfId="19772" xr:uid="{5D1CD6AA-0E30-4CD0-9DA4-5F674C35966E}"/>
    <cellStyle name="Notas 4 3 2 4" xfId="25555" xr:uid="{BFCB7B2C-D13B-4CFF-9AB2-B4BFC177C2FA}"/>
    <cellStyle name="Notas 4 3 2 5" xfId="31429" xr:uid="{F708C689-5532-4A55-9EBB-09B65C6EFCC3}"/>
    <cellStyle name="Notas 4 3 2 6" xfId="37300" xr:uid="{581DE727-C87A-4719-AD3E-7E2EE9286B9C}"/>
    <cellStyle name="Notas 4 3 3" xfId="7199" xr:uid="{22C2FEBE-ED46-4454-A621-BBDA82311D35}"/>
    <cellStyle name="Notas 4 3 3 2" xfId="21606" xr:uid="{B056ED89-42BF-4176-9BEA-A0DE914579CD}"/>
    <cellStyle name="Notas 4 3 3 3" xfId="27433" xr:uid="{B3E2CE50-B583-4D79-B8B2-F72828D814A3}"/>
    <cellStyle name="Notas 4 3 3 4" xfId="33315" xr:uid="{4F51FEDB-9D26-4847-BA82-B7281ECAB047}"/>
    <cellStyle name="Notas 4 3 3 5" xfId="39179" xr:uid="{1B5621CE-E5F6-4017-A770-09422573349B}"/>
    <cellStyle name="Notas 4 3 4" xfId="18843" xr:uid="{060A202F-E20D-4F58-A6F5-E7061B5294F5}"/>
    <cellStyle name="Notas 4 3 5" xfId="24584" xr:uid="{70C9C317-CEC9-4BE9-BCCF-9DBC2B09B283}"/>
    <cellStyle name="Notas 4 3 6" xfId="30463" xr:uid="{13C411E8-626A-4390-9C63-20D7D8CF7D01}"/>
    <cellStyle name="Notas 4 3 7" xfId="36343" xr:uid="{A5ED93A2-DA02-4A95-89EF-DEFF860A98E7}"/>
    <cellStyle name="Notas 4 4" xfId="4821" xr:uid="{FBBA4C79-83B1-459D-A5BC-DFFEA7251F5C}"/>
    <cellStyle name="Notas 4 4 2" xfId="7686" xr:uid="{54FB4189-0BBD-4210-A48F-4E388871251E}"/>
    <cellStyle name="Notas 4 4 2 2" xfId="22076" xr:uid="{0219A023-6D68-4EE2-9BC1-C12929FBD82E}"/>
    <cellStyle name="Notas 4 4 2 3" xfId="27919" xr:uid="{40A8C814-DD20-45B7-91FC-24F875656941}"/>
    <cellStyle name="Notas 4 4 2 4" xfId="33801" xr:uid="{799FEC3B-D652-4F68-87BF-97A473EE9695}"/>
    <cellStyle name="Notas 4 4 2 5" xfId="39665" xr:uid="{A522EA45-F8C0-458A-A395-76B6588CD4E9}"/>
    <cellStyle name="Notas 4 4 3" xfId="19302" xr:uid="{6C4EA4D6-A12E-41F3-9DDB-2A3B41004B77}"/>
    <cellStyle name="Notas 4 4 4" xfId="25070" xr:uid="{7AAE205F-65F7-4949-B49A-F60DCD39EF73}"/>
    <cellStyle name="Notas 4 4 5" xfId="30944" xr:uid="{452A2533-332C-4834-A29E-3DAAD40E9C22}"/>
    <cellStyle name="Notas 4 4 6" xfId="36823" xr:uid="{B07C9EC7-87A0-48F5-9E27-B5313E7AEEE4}"/>
    <cellStyle name="Notas 4 5" xfId="5829" xr:uid="{7599A13C-0F83-46B4-A8F2-6B09500EF022}"/>
    <cellStyle name="Notas 4 5 2" xfId="8698" xr:uid="{4B1C31F2-2B3E-483C-B80C-5D9D56E7EC8A}"/>
    <cellStyle name="Notas 4 5 2 2" xfId="23066" xr:uid="{BF1CE9BF-2656-47C9-A067-85EE6AA2E6CB}"/>
    <cellStyle name="Notas 4 5 2 3" xfId="28930" xr:uid="{AB11D32B-C765-463C-923F-06AF71B53844}"/>
    <cellStyle name="Notas 4 5 2 4" xfId="34812" xr:uid="{26889984-1033-41E6-89FB-AAE592ADCE57}"/>
    <cellStyle name="Notas 4 5 2 5" xfId="40676" xr:uid="{37D87746-EF71-4640-B3B5-CA2EDA84193B}"/>
    <cellStyle name="Notas 4 5 3" xfId="20281" xr:uid="{FD184B3C-477B-4B7B-8CF1-EEEF66AF52BF}"/>
    <cellStyle name="Notas 4 5 4" xfId="26080" xr:uid="{4D74146B-3601-4194-929F-BE35C861E5DE}"/>
    <cellStyle name="Notas 4 5 5" xfId="31955" xr:uid="{1F116AF7-7F8F-4E88-9D60-897F531BBC9A}"/>
    <cellStyle name="Notas 4 5 6" xfId="37821" xr:uid="{FCB9ECAA-E711-424C-B972-ED4A00E6A741}"/>
    <cellStyle name="Notas 4 6" xfId="6715" xr:uid="{32288A49-2886-43F5-A424-D5B930B207CF}"/>
    <cellStyle name="Notas 4 6 2" xfId="21140" xr:uid="{17E5B794-5E70-49BE-B280-6C7FFD0109F7}"/>
    <cellStyle name="Notas 4 6 3" xfId="26954" xr:uid="{FCC757CA-95FF-4FA7-8C6B-365278E60045}"/>
    <cellStyle name="Notas 4 6 4" xfId="32830" xr:uid="{C28DD6E9-FB66-43E2-9692-4B6DC944B6D3}"/>
    <cellStyle name="Notas 4 6 5" xfId="38694" xr:uid="{9661C670-F1FA-472D-94D5-A90167CA5867}"/>
    <cellStyle name="Notas 4 7" xfId="18377" xr:uid="{E3761617-8F38-46E2-8695-D7ADE4DC399B}"/>
    <cellStyle name="Notas 4 8" xfId="24086" xr:uid="{AACBAA02-A255-438A-AEA9-011811109335}"/>
    <cellStyle name="Notas 4 9" xfId="29964" xr:uid="{2861F573-9150-4891-94E0-B7045EC0DDBC}"/>
    <cellStyle name="Notas 40" xfId="6554" xr:uid="{AA02AD22-8E4A-4541-9ED1-58C49B58EAC5}"/>
    <cellStyle name="Notas 40 2" xfId="9415" xr:uid="{36AC4549-FD51-4ABD-881A-1D389EBCB77D}"/>
    <cellStyle name="Notas 40 2 2" xfId="23778" xr:uid="{CE598144-5290-4CF4-AE81-FB3FD6260055}"/>
    <cellStyle name="Notas 40 2 3" xfId="29646" xr:uid="{E30B2357-035D-4B33-94A6-A3FF5D7D963F}"/>
    <cellStyle name="Notas 40 2 4" xfId="35528" xr:uid="{E0B24BBA-EA3A-491D-8E52-C044EE4D0E82}"/>
    <cellStyle name="Notas 40 2 5" xfId="41387" xr:uid="{AB471E38-326D-482D-86B2-DF350404AD86}"/>
    <cellStyle name="Notas 40 3" xfId="20993" xr:uid="{192DBCF1-B886-435A-84F0-095E8D5566B6}"/>
    <cellStyle name="Notas 40 4" xfId="26804" xr:uid="{104B26CB-8210-423C-A986-C87EF1CFE8AD}"/>
    <cellStyle name="Notas 40 5" xfId="32679" xr:uid="{674662AC-5A43-4A62-BCE7-F27C5E73957E}"/>
    <cellStyle name="Notas 40 6" xfId="38543" xr:uid="{AC8273E5-41D1-492B-85B3-6710A6273E33}"/>
    <cellStyle name="Notas 41" xfId="6584" xr:uid="{12D5B338-6FBE-46AE-979E-13B744CC8C65}"/>
    <cellStyle name="Notas 41 2" xfId="9444" xr:uid="{C13C9526-0FB6-47A8-9CCF-050B5E8F9748}"/>
    <cellStyle name="Notas 41 2 2" xfId="23806" xr:uid="{12D5E02D-DC1A-48FD-B762-11227FC4E286}"/>
    <cellStyle name="Notas 41 2 3" xfId="29675" xr:uid="{2E57C65F-0C94-400D-8FA5-8079EDDCDA07}"/>
    <cellStyle name="Notas 41 2 4" xfId="35557" xr:uid="{0E00813D-D252-4C0B-99C4-065455554219}"/>
    <cellStyle name="Notas 41 2 5" xfId="41416" xr:uid="{F4366A4E-D1AF-4571-ACA9-205C9D9FA182}"/>
    <cellStyle name="Notas 41 3" xfId="21022" xr:uid="{C3CC6020-996D-4297-8C12-E230E3390A2B}"/>
    <cellStyle name="Notas 41 4" xfId="26833" xr:uid="{742D006E-80F5-4A2D-864E-80B359C8A4BB}"/>
    <cellStyle name="Notas 41 5" xfId="32708" xr:uid="{6E0073F7-B986-473B-948D-C7D5B4F866C2}"/>
    <cellStyle name="Notas 41 6" xfId="38572" xr:uid="{14479427-3C1D-466C-A2AB-C32BF4DD85FB}"/>
    <cellStyle name="Notas 42" xfId="6609" xr:uid="{7050A415-EADB-49E1-9A41-12CD4AB198DA}"/>
    <cellStyle name="Notas 42 2" xfId="9469" xr:uid="{EADF649E-E837-47F4-AF38-27027CE152C7}"/>
    <cellStyle name="Notas 42 2 2" xfId="23831" xr:uid="{D003B09B-0F52-46F5-9D43-8DF4F42C57AD}"/>
    <cellStyle name="Notas 42 2 3" xfId="29700" xr:uid="{47FC19C9-3AE2-4AB0-A7EA-5D8FFFF3858C}"/>
    <cellStyle name="Notas 42 2 4" xfId="35582" xr:uid="{06BD3E1C-8569-4C1C-8A9F-E54853914D6C}"/>
    <cellStyle name="Notas 42 2 5" xfId="41441" xr:uid="{CB0108BD-39DD-406B-93D7-71241AA9D0F4}"/>
    <cellStyle name="Notas 42 3" xfId="21046" xr:uid="{0631AC8E-C045-498E-8D3D-AC3DB9D23EFB}"/>
    <cellStyle name="Notas 42 4" xfId="26858" xr:uid="{F26DC57B-8594-4BBF-A506-17E29ED8ACED}"/>
    <cellStyle name="Notas 42 5" xfId="32733" xr:uid="{6659D560-DBAF-4AA7-BF30-0F79454D96FF}"/>
    <cellStyle name="Notas 42 6" xfId="38597" xr:uid="{BC63630E-CE5E-4789-A12B-3A7D6185057B}"/>
    <cellStyle name="Notas 43" xfId="6631" xr:uid="{E54C996B-0881-4CF6-A2B0-AA1147219CA9}"/>
    <cellStyle name="Notas 43 2" xfId="21068" xr:uid="{BBE23023-A3A6-45BC-A827-E362F8548431}"/>
    <cellStyle name="Notas 43 3" xfId="26880" xr:uid="{8EF93BF8-3C34-4D76-B220-3EE38742470E}"/>
    <cellStyle name="Notas 43 4" xfId="32755" xr:uid="{C10CB358-4464-45D5-9960-11B9521FB347}"/>
    <cellStyle name="Notas 43 5" xfId="38619" xr:uid="{0D5D2BBE-39A1-4B67-A3A5-48F70F351FC2}"/>
    <cellStyle name="Notas 44" xfId="9507" xr:uid="{5B89F8B6-D050-4BB3-8D89-1A29B4E05D1D}"/>
    <cellStyle name="Notas 44 2" xfId="23868" xr:uid="{74153D46-6745-46DC-A364-C7EB2686781D}"/>
    <cellStyle name="Notas 44 3" xfId="29738" xr:uid="{0461923C-0FA3-4E30-83B4-DEAD0FF88A19}"/>
    <cellStyle name="Notas 44 4" xfId="35620" xr:uid="{F86DDD33-231B-4218-86E3-0114F7EC5F07}"/>
    <cellStyle name="Notas 44 5" xfId="41479" xr:uid="{83627FA6-5F11-40F6-BF6B-EEC01C959AFD}"/>
    <cellStyle name="Notas 45" xfId="9510" xr:uid="{2B29DEBE-B624-44A2-BCBC-3926DBCF7470}"/>
    <cellStyle name="Notas 45 2" xfId="23871" xr:uid="{EC7BBA6B-9D96-4509-A672-E2A1A10DAFFC}"/>
    <cellStyle name="Notas 45 3" xfId="29741" xr:uid="{7BF4E14E-9B41-45E2-AFC4-F2267A0F3FC6}"/>
    <cellStyle name="Notas 45 4" xfId="35623" xr:uid="{74738014-D31F-4BD9-A614-047904649E73}"/>
    <cellStyle name="Notas 45 5" xfId="41482" xr:uid="{7458AD74-3D5A-4F7F-9EE8-BECFDB7E4BF8}"/>
    <cellStyle name="Notas 46" xfId="9529" xr:uid="{3440C3F6-B0AB-44FA-8CDA-EDBEA57B695E}"/>
    <cellStyle name="Notas 46 2" xfId="23891" xr:uid="{06CF7744-8B26-4B4A-9482-BD2BEFA8CB1B}"/>
    <cellStyle name="Notas 46 3" xfId="29761" xr:uid="{7341038B-3A8F-49FD-8296-26FB8CE0CC86}"/>
    <cellStyle name="Notas 46 4" xfId="35643" xr:uid="{2425E99D-79B9-4496-A76C-9EF1A5B236E7}"/>
    <cellStyle name="Notas 46 5" xfId="41502" xr:uid="{F1699211-03D9-4C49-B56B-000043124DD5}"/>
    <cellStyle name="Notas 47" xfId="9555" xr:uid="{54871E9F-6940-44DA-B40C-E11F304FF6FC}"/>
    <cellStyle name="Notas 47 2" xfId="23917" xr:uid="{973E0D98-D7C9-4664-B56F-CF19E43D9C96}"/>
    <cellStyle name="Notas 47 3" xfId="29787" xr:uid="{6C0A5156-58FF-4075-9BA0-07EE14AB1800}"/>
    <cellStyle name="Notas 47 4" xfId="35669" xr:uid="{6063A9FE-EE41-44F4-8207-46832385FED8}"/>
    <cellStyle name="Notas 47 5" xfId="41528" xr:uid="{40384B1E-46B2-4D6F-B2DA-1F15D3DE4EA9}"/>
    <cellStyle name="Notas 48" xfId="15757" xr:uid="{830F75BE-27CD-49EE-AEE3-071531CF256F}"/>
    <cellStyle name="Notas 48 2" xfId="23977" xr:uid="{E126B181-7771-4B1A-94E7-3D4A9526C1E1}"/>
    <cellStyle name="Notas 48 3" xfId="29849" xr:uid="{C996C748-4E4D-4225-9CEF-9A27D922F02E}"/>
    <cellStyle name="Notas 48 4" xfId="35731" xr:uid="{ADDF5EF2-8250-42BC-A8AA-3283A40C2175}"/>
    <cellStyle name="Notas 48 5" xfId="41590" xr:uid="{2D497B0C-43B9-400A-BB92-B3821F4DFE1A}"/>
    <cellStyle name="Notas 49" xfId="15781" xr:uid="{00C82026-B8D6-48B3-846F-89DFEAD841BC}"/>
    <cellStyle name="Notas 49 2" xfId="23998" xr:uid="{600EC153-73C6-4D63-83D5-228B2D3336C8}"/>
    <cellStyle name="Notas 49 3" xfId="29873" xr:uid="{0B008463-A194-4C70-ACA9-7BEFCF156C70}"/>
    <cellStyle name="Notas 49 4" xfId="35755" xr:uid="{9BE2D449-48AC-4B71-9860-C9CC562A7270}"/>
    <cellStyle name="Notas 49 5" xfId="41614" xr:uid="{22EDFFE2-204F-45CB-B5E7-190EDF8DD664}"/>
    <cellStyle name="Notas 5" xfId="3883" xr:uid="{1B5738C6-7E88-42BD-A327-30E0D9480CC4}"/>
    <cellStyle name="Notas 5 10" xfId="35875" xr:uid="{AB5EF763-DE31-481E-B622-0F9D18610528}"/>
    <cellStyle name="Notas 5 2" xfId="4080" xr:uid="{E8EC7048-BC0D-45AD-9FA5-E7975D2B811C}"/>
    <cellStyle name="Notas 5 2 2" xfId="4558" xr:uid="{C53652AA-277C-47FE-ABBD-A3DCFC8912A4}"/>
    <cellStyle name="Notas 5 2 2 2" xfId="5526" xr:uid="{A8220137-D8FD-4D5B-9329-05A09805044F}"/>
    <cellStyle name="Notas 5 2 2 2 2" xfId="8393" xr:uid="{47A99616-F940-4F79-A955-6C41961254DA}"/>
    <cellStyle name="Notas 5 2 2 2 2 2" xfId="22768" xr:uid="{226358ED-9282-4F17-A220-F76B12D1A102}"/>
    <cellStyle name="Notas 5 2 2 2 2 3" xfId="28626" xr:uid="{D6BB711D-8FE8-484F-A9F9-FBC156AEC09F}"/>
    <cellStyle name="Notas 5 2 2 2 2 4" xfId="34508" xr:uid="{51FAB80F-37E2-43B4-8333-DA4CE9045EA1}"/>
    <cellStyle name="Notas 5 2 2 2 2 5" xfId="40372" xr:uid="{3D165840-B651-4846-B9B0-B33DDC59D10B}"/>
    <cellStyle name="Notas 5 2 2 2 3" xfId="19986" xr:uid="{8D0F19CC-42DA-458A-8C1D-60F4D8F2D59C}"/>
    <cellStyle name="Notas 5 2 2 2 4" xfId="25777" xr:uid="{E1F0C530-B447-4748-A653-154B1807C3E3}"/>
    <cellStyle name="Notas 5 2 2 2 5" xfId="31651" xr:uid="{C84EEE6B-DE52-49CE-9149-72455835FBD5}"/>
    <cellStyle name="Notas 5 2 2 2 6" xfId="37521" xr:uid="{4293D1A8-FBB3-417A-A96C-3267B1E63FE2}"/>
    <cellStyle name="Notas 5 2 2 3" xfId="7421" xr:uid="{9DF11C21-BDFA-46C4-8000-2449832F56DD}"/>
    <cellStyle name="Notas 5 2 2 3 2" xfId="21823" xr:uid="{DB52142F-1AFB-4C16-AF2E-DBE8200B8B70}"/>
    <cellStyle name="Notas 5 2 2 3 3" xfId="27655" xr:uid="{1F232D1F-E965-485C-868B-52F97AE5D0ED}"/>
    <cellStyle name="Notas 5 2 2 3 4" xfId="33537" xr:uid="{1CDC87F5-78A2-4FDD-87FD-D3AC5449A2BD}"/>
    <cellStyle name="Notas 5 2 2 3 5" xfId="39401" xr:uid="{D2F0C745-9F71-49E7-BBBC-7955213A7BE1}"/>
    <cellStyle name="Notas 5 2 2 4" xfId="19054" xr:uid="{5AE776DF-B17E-4DB4-A1F2-8A140B4B8DE4}"/>
    <cellStyle name="Notas 5 2 2 5" xfId="24806" xr:uid="{F77BBAD4-BED3-419D-9745-3D1110787DC8}"/>
    <cellStyle name="Notas 5 2 2 6" xfId="30683" xr:uid="{FE1B97FB-D6B5-4CD8-98EE-D0FEA8375E7C}"/>
    <cellStyle name="Notas 5 2 2 7" xfId="36564" xr:uid="{B2ADE78D-0F48-4E75-8B6C-D384837E5720}"/>
    <cellStyle name="Notas 5 2 3" xfId="5041" xr:uid="{A60B1BEA-57CF-4ECD-96E0-D5867AF2F607}"/>
    <cellStyle name="Notas 5 2 3 2" xfId="7908" xr:uid="{2E1627EB-7907-466A-93ED-0ABF1AB7C4B9}"/>
    <cellStyle name="Notas 5 2 3 2 2" xfId="22293" xr:uid="{0D084ED2-817F-4F0A-91E3-491BFB07898C}"/>
    <cellStyle name="Notas 5 2 3 2 3" xfId="28141" xr:uid="{555B8F2A-D01F-4A89-AA49-F0E4D2B2C6D5}"/>
    <cellStyle name="Notas 5 2 3 2 4" xfId="34023" xr:uid="{F7CED37E-D235-42D0-9E25-087C8E2AB7F4}"/>
    <cellStyle name="Notas 5 2 3 2 5" xfId="39887" xr:uid="{623A6562-4125-4773-991B-E115D0D4CB86}"/>
    <cellStyle name="Notas 5 2 3 3" xfId="19518" xr:uid="{B1279B76-87AD-47A6-AAD9-25F84CC08702}"/>
    <cellStyle name="Notas 5 2 3 4" xfId="25292" xr:uid="{B68910D5-1689-42E4-A490-E1DAC6C5BF7B}"/>
    <cellStyle name="Notas 5 2 3 5" xfId="31166" xr:uid="{826AB1BF-B468-4FC1-9E1C-5E3D3BF7F613}"/>
    <cellStyle name="Notas 5 2 3 6" xfId="37044" xr:uid="{05283058-E30F-4C10-84B1-29A5FB273C2A}"/>
    <cellStyle name="Notas 5 2 4" xfId="6936" xr:uid="{A46F10D9-D648-40A0-B076-7C26C093F2B7}"/>
    <cellStyle name="Notas 5 2 4 2" xfId="21356" xr:uid="{B1D3406D-B65C-43B4-AF13-237BADD9D899}"/>
    <cellStyle name="Notas 5 2 4 3" xfId="27174" xr:uid="{9C43C6A9-DCCF-4936-8400-02911DBE92ED}"/>
    <cellStyle name="Notas 5 2 4 4" xfId="33052" xr:uid="{1539E3BE-F4E5-45B2-8083-85C8B2E81658}"/>
    <cellStyle name="Notas 5 2 4 5" xfId="38916" xr:uid="{B8788A9F-63AA-4E55-8D69-D7F4353B5130}"/>
    <cellStyle name="Notas 5 2 5" xfId="18610" xr:uid="{99287B30-3DBE-4641-8944-E7AD71C197D1}"/>
    <cellStyle name="Notas 5 2 6" xfId="24323" xr:uid="{F725A0CF-C96B-4CBC-96A3-E6300069F9A2}"/>
    <cellStyle name="Notas 5 2 7" xfId="30201" xr:uid="{D8672EFD-B6BC-4580-8A30-5189FA5330A1}"/>
    <cellStyle name="Notas 5 2 8" xfId="36080" xr:uid="{0DA9EFEE-D661-4363-91FF-3DD11AB609EF}"/>
    <cellStyle name="Notas 5 3" xfId="4364" xr:uid="{16AE36C9-1C85-4869-BE81-83667BC629C8}"/>
    <cellStyle name="Notas 5 3 2" xfId="5330" xr:uid="{A8B9AF12-85A5-4AE5-9BF4-54F9CDAA8763}"/>
    <cellStyle name="Notas 5 3 2 2" xfId="8197" xr:uid="{C72C6EF3-5691-450B-A10A-4771FB5333B0}"/>
    <cellStyle name="Notas 5 3 2 2 2" xfId="22573" xr:uid="{FC3AB9AD-EF94-4A5D-A7C9-A2C73B25EEC4}"/>
    <cellStyle name="Notas 5 3 2 2 3" xfId="28430" xr:uid="{BB361AD5-D0F4-4A64-91C8-6570FB063EB3}"/>
    <cellStyle name="Notas 5 3 2 2 4" xfId="34312" xr:uid="{F9FFE34D-060A-4C78-8967-352C4BD7E7CA}"/>
    <cellStyle name="Notas 5 3 2 2 5" xfId="40176" xr:uid="{04C5DB2A-A378-4D38-8D74-398ADC3EF622}"/>
    <cellStyle name="Notas 5 3 2 3" xfId="19797" xr:uid="{EAA4320A-399C-482F-9942-A6D1E7A5EC80}"/>
    <cellStyle name="Notas 5 3 2 4" xfId="25581" xr:uid="{90D9BF3B-CBF5-4279-B1F9-BDCDB321AA80}"/>
    <cellStyle name="Notas 5 3 2 5" xfId="31455" xr:uid="{D666E86D-747D-45C6-A4CB-F889E87EBEF4}"/>
    <cellStyle name="Notas 5 3 2 6" xfId="37326" xr:uid="{7B538FB9-FEB6-4588-98BB-249E3051EBA3}"/>
    <cellStyle name="Notas 5 3 3" xfId="7225" xr:uid="{888FFEF2-C8CD-4701-8FF0-CA94F0FB4BD6}"/>
    <cellStyle name="Notas 5 3 3 2" xfId="21632" xr:uid="{B8163C5E-90F5-47F3-8548-F4256D0E8CA4}"/>
    <cellStyle name="Notas 5 3 3 3" xfId="27459" xr:uid="{E073890C-873D-4556-A598-264AF956A540}"/>
    <cellStyle name="Notas 5 3 3 4" xfId="33341" xr:uid="{3DD2563F-05CB-428D-B4BF-41616FDE1D84}"/>
    <cellStyle name="Notas 5 3 3 5" xfId="39205" xr:uid="{8C5DF909-FB12-4A56-B817-5DF8F116B93D}"/>
    <cellStyle name="Notas 5 3 4" xfId="18867" xr:uid="{635091E6-1543-45A9-9A19-6488DD33B11B}"/>
    <cellStyle name="Notas 5 3 5" xfId="24610" xr:uid="{3C9D668F-CEBD-47B5-BC46-A45104B2A3DE}"/>
    <cellStyle name="Notas 5 3 6" xfId="30489" xr:uid="{B91742C9-24F4-4E16-9881-71D3B97CC156}"/>
    <cellStyle name="Notas 5 3 7" xfId="36369" xr:uid="{21A7B567-6BD5-4FF0-A2F7-AFF2B4407CB0}"/>
    <cellStyle name="Notas 5 4" xfId="4846" xr:uid="{AAAADF4D-8284-4061-99D3-11C1D83650DF}"/>
    <cellStyle name="Notas 5 4 2" xfId="7712" xr:uid="{3EDE3992-3A8D-4297-B964-C91F95A23FF6}"/>
    <cellStyle name="Notas 5 4 2 2" xfId="22102" xr:uid="{076DD833-4F3A-43F7-98A8-48C72F324FCB}"/>
    <cellStyle name="Notas 5 4 2 3" xfId="27945" xr:uid="{D16DFEAE-73B8-4F76-A3E1-BF5F942BF6C5}"/>
    <cellStyle name="Notas 5 4 2 4" xfId="33827" xr:uid="{E4E104F2-8C5B-4103-9C92-8B6697D59AAE}"/>
    <cellStyle name="Notas 5 4 2 5" xfId="39691" xr:uid="{BB56552B-867C-4B3C-ACBF-6C9915CE7CCF}"/>
    <cellStyle name="Notas 5 4 3" xfId="19328" xr:uid="{AE998ED2-E878-41EE-8C5A-C86CB2D6B1A9}"/>
    <cellStyle name="Notas 5 4 4" xfId="25096" xr:uid="{1D922296-7A54-4951-AA7D-D495DB45DE0A}"/>
    <cellStyle name="Notas 5 4 5" xfId="30970" xr:uid="{21FDECC6-8078-4A44-9A76-A15A17BD8066}"/>
    <cellStyle name="Notas 5 4 6" xfId="36849" xr:uid="{67B105D3-87E5-46CD-93E9-D55057DCD9D4}"/>
    <cellStyle name="Notas 5 5" xfId="5855" xr:uid="{2EED1BE1-10FA-4F00-BEF0-55FB5DDFFC54}"/>
    <cellStyle name="Notas 5 5 2" xfId="8724" xr:uid="{048B15D0-22A6-44BE-94A6-444BB4A2CCAC}"/>
    <cellStyle name="Notas 5 5 2 2" xfId="23092" xr:uid="{05F7041A-86AA-4A47-B1B1-41EF9A343B19}"/>
    <cellStyle name="Notas 5 5 2 3" xfId="28956" xr:uid="{E13A95F1-3EA5-4CDB-8908-A8FAEF477489}"/>
    <cellStyle name="Notas 5 5 2 4" xfId="34838" xr:uid="{C43D5C0D-8B1D-4962-ACBC-22BFA691FF5B}"/>
    <cellStyle name="Notas 5 5 2 5" xfId="40702" xr:uid="{43D5E23D-550F-47E5-865A-A1CBE7E9EEFE}"/>
    <cellStyle name="Notas 5 5 3" xfId="20307" xr:uid="{58A4F852-EE77-4837-AAC0-99954724A12A}"/>
    <cellStyle name="Notas 5 5 4" xfId="26106" xr:uid="{B3E54901-FCB6-4C65-BB90-2F4AB7F40FCC}"/>
    <cellStyle name="Notas 5 5 5" xfId="31981" xr:uid="{005339F3-A73A-4AD2-B2A0-19606FD3AC28}"/>
    <cellStyle name="Notas 5 5 6" xfId="37847" xr:uid="{4A4AFFF4-5370-4246-98DC-13BD43AB7BE5}"/>
    <cellStyle name="Notas 5 6" xfId="6741" xr:uid="{29D6CAF3-BD5A-40DC-AD1B-A053A1AEADFF}"/>
    <cellStyle name="Notas 5 6 2" xfId="21165" xr:uid="{0B7BCB5D-2477-42A5-82E9-C20CF4B11892}"/>
    <cellStyle name="Notas 5 6 3" xfId="26980" xr:uid="{11999CE9-B9DE-4C2E-8092-EE625AE5CCDF}"/>
    <cellStyle name="Notas 5 6 4" xfId="32856" xr:uid="{260FE78C-47C7-41A6-A7B1-8ECFE6D441A3}"/>
    <cellStyle name="Notas 5 6 5" xfId="38720" xr:uid="{D66AFC37-8CBC-4C90-ABEB-61EFF8FA8F57}"/>
    <cellStyle name="Notas 5 7" xfId="18407" xr:uid="{116EA081-5EDC-4185-8378-665DD895178E}"/>
    <cellStyle name="Notas 5 8" xfId="24116" xr:uid="{E7505A74-7750-47BE-8F8A-B3393F327432}"/>
    <cellStyle name="Notas 5 9" xfId="29994" xr:uid="{0D0563BE-49A3-410E-972B-F9AEEB6C23C7}"/>
    <cellStyle name="Notas 50" xfId="15815" xr:uid="{274B73DF-ED20-46F2-9863-269BBA5AB079}"/>
    <cellStyle name="Notas 51" xfId="18291" xr:uid="{9E4378B6-B40B-45D4-94E9-41F536CC6C5C}"/>
    <cellStyle name="Notas 52" xfId="18314" xr:uid="{1431FD38-CE65-4BAF-B1BB-9CBDD912C9F7}"/>
    <cellStyle name="Notas 53" xfId="24026" xr:uid="{115C429F-FA07-4505-88DE-57E1659F9B05}"/>
    <cellStyle name="Notas 54" xfId="29904" xr:uid="{57C87237-A30F-47A0-8388-0F5CB78C8B09}"/>
    <cellStyle name="Notas 55" xfId="35785" xr:uid="{B69F8AE8-F613-45D1-974A-BEE5C14AD6E8}"/>
    <cellStyle name="Notas 6" xfId="3909" xr:uid="{D789D7E2-6A37-41CB-B94B-E9977B083EF9}"/>
    <cellStyle name="Notas 6 10" xfId="35901" xr:uid="{311B9B7F-C9CD-482B-9E4B-7DE503B05D1D}"/>
    <cellStyle name="Notas 6 2" xfId="4103" xr:uid="{59F034BF-BF07-46BC-984C-DAEEE494D4C1}"/>
    <cellStyle name="Notas 6 2 2" xfId="4581" xr:uid="{D78D4765-2D0E-46F1-839C-6C01CC82C4FD}"/>
    <cellStyle name="Notas 6 2 2 2" xfId="5549" xr:uid="{15FC7A11-DA9E-4BCD-9BEC-508EAC8B59B3}"/>
    <cellStyle name="Notas 6 2 2 2 2" xfId="8416" xr:uid="{5894BC96-54FC-4BD6-B148-13E7185EA968}"/>
    <cellStyle name="Notas 6 2 2 2 2 2" xfId="22791" xr:uid="{19D5C75A-29EB-4D69-80CF-9FD95CCFA714}"/>
    <cellStyle name="Notas 6 2 2 2 2 3" xfId="28649" xr:uid="{63BCE475-B0D4-4382-B37F-D32445A1FCD8}"/>
    <cellStyle name="Notas 6 2 2 2 2 4" xfId="34531" xr:uid="{19D2C520-EAD1-4C33-AE0C-7735467280FB}"/>
    <cellStyle name="Notas 6 2 2 2 2 5" xfId="40395" xr:uid="{5CF56652-3B44-4F50-9B76-A5319FF199E2}"/>
    <cellStyle name="Notas 6 2 2 2 3" xfId="20009" xr:uid="{5684A962-743B-4C54-9A58-E15375054449}"/>
    <cellStyle name="Notas 6 2 2 2 4" xfId="25800" xr:uid="{846F7EF0-2A3B-4A28-A68C-0B02C8442D1C}"/>
    <cellStyle name="Notas 6 2 2 2 5" xfId="31674" xr:uid="{1E32D7E9-C234-41CD-A50A-090C9193B6FB}"/>
    <cellStyle name="Notas 6 2 2 2 6" xfId="37544" xr:uid="{919C3A32-7E35-4F70-B535-E4D46CFA260B}"/>
    <cellStyle name="Notas 6 2 2 3" xfId="7444" xr:uid="{5EBC889C-3769-4718-9EB5-BD58BF2F4F14}"/>
    <cellStyle name="Notas 6 2 2 3 2" xfId="21846" xr:uid="{6AAEF113-A629-48FA-BBCE-0A8E39EDB869}"/>
    <cellStyle name="Notas 6 2 2 3 3" xfId="27678" xr:uid="{F78572E0-2443-47C9-BE5A-D7DCE740222D}"/>
    <cellStyle name="Notas 6 2 2 3 4" xfId="33560" xr:uid="{AE38B5F7-D004-4037-93AC-029352A359B4}"/>
    <cellStyle name="Notas 6 2 2 3 5" xfId="39424" xr:uid="{C4B32289-6F57-43F2-AEB4-7C9A47CDE86D}"/>
    <cellStyle name="Notas 6 2 2 4" xfId="19076" xr:uid="{231E5050-F443-4C35-8745-696B5337AA9A}"/>
    <cellStyle name="Notas 6 2 2 5" xfId="24829" xr:uid="{B14E56B4-C4B8-4029-AB00-692060F7779C}"/>
    <cellStyle name="Notas 6 2 2 6" xfId="30706" xr:uid="{7F0FFAFC-7825-499E-B451-3A62FA8590DE}"/>
    <cellStyle name="Notas 6 2 2 7" xfId="36587" xr:uid="{BC818FBF-3089-4300-8E36-BE5AEBB683F6}"/>
    <cellStyle name="Notas 6 2 3" xfId="5064" xr:uid="{3497F012-3324-4A65-A734-E35FF39A865D}"/>
    <cellStyle name="Notas 6 2 3 2" xfId="7931" xr:uid="{ACC742F4-C78E-464E-8ABF-86F3F84F47C7}"/>
    <cellStyle name="Notas 6 2 3 2 2" xfId="22316" xr:uid="{9D9ADFA0-6906-4F12-BF31-3824BCA1D743}"/>
    <cellStyle name="Notas 6 2 3 2 3" xfId="28164" xr:uid="{F1A2C5CD-8519-41FA-B129-B05220829923}"/>
    <cellStyle name="Notas 6 2 3 2 4" xfId="34046" xr:uid="{471D8E36-CCD3-497F-A25C-BE69AEBED543}"/>
    <cellStyle name="Notas 6 2 3 2 5" xfId="39910" xr:uid="{0E586E06-B51B-44DA-B2D4-CB3C2C9BB915}"/>
    <cellStyle name="Notas 6 2 3 3" xfId="19541" xr:uid="{434A9CF5-0140-4306-B0DA-270191CE026E}"/>
    <cellStyle name="Notas 6 2 3 4" xfId="25315" xr:uid="{2216BC89-9662-4263-A700-8E5D01A38353}"/>
    <cellStyle name="Notas 6 2 3 5" xfId="31189" xr:uid="{D5C1ADF2-0FFF-4C8E-9919-3D3959F9C8B3}"/>
    <cellStyle name="Notas 6 2 3 6" xfId="37067" xr:uid="{7154A2AF-60C4-4F4C-B4B0-6F32E45D86EF}"/>
    <cellStyle name="Notas 6 2 4" xfId="6959" xr:uid="{FFBC078C-7900-49C8-BC1E-44C3836CEC85}"/>
    <cellStyle name="Notas 6 2 4 2" xfId="21378" xr:uid="{ED632506-15FD-41B9-9873-BED52194FD32}"/>
    <cellStyle name="Notas 6 2 4 3" xfId="27197" xr:uid="{7F92F8BE-E83D-4236-AE66-88628DCD2C4C}"/>
    <cellStyle name="Notas 6 2 4 4" xfId="33075" xr:uid="{26D76B21-A491-4780-9BC3-BD684B0EADB7}"/>
    <cellStyle name="Notas 6 2 4 5" xfId="38939" xr:uid="{AF9955EB-6BC2-437D-8B18-081A70A06FEC}"/>
    <cellStyle name="Notas 6 2 5" xfId="18632" xr:uid="{77E75A8C-A934-454C-A08A-C6232D3F4972}"/>
    <cellStyle name="Notas 6 2 6" xfId="24346" xr:uid="{2AE78C98-7C31-4E65-AC43-711385C79128}"/>
    <cellStyle name="Notas 6 2 7" xfId="30224" xr:uid="{887B7628-045C-4166-8382-E98ECB435460}"/>
    <cellStyle name="Notas 6 2 8" xfId="36103" xr:uid="{A8B49EBE-2516-4AD9-8097-2E163032D1A1}"/>
    <cellStyle name="Notas 6 3" xfId="4387" xr:uid="{E59A0B89-65B7-4737-9F27-97478D6F0028}"/>
    <cellStyle name="Notas 6 3 2" xfId="5353" xr:uid="{5153F917-1CE1-4B27-A3EB-D9EA4822CC0C}"/>
    <cellStyle name="Notas 6 3 2 2" xfId="8220" xr:uid="{96336119-2125-4054-8DE5-07A13A4EEE59}"/>
    <cellStyle name="Notas 6 3 2 2 2" xfId="22596" xr:uid="{DCE59D79-F7A6-4FA3-81A7-7E2E7457FAEE}"/>
    <cellStyle name="Notas 6 3 2 2 3" xfId="28453" xr:uid="{D26D54D1-ACAD-4D91-8F7C-017F36D0F031}"/>
    <cellStyle name="Notas 6 3 2 2 4" xfId="34335" xr:uid="{45C5E24F-99D5-47B0-A4DF-73667177ED65}"/>
    <cellStyle name="Notas 6 3 2 2 5" xfId="40199" xr:uid="{BDD54704-3A66-434F-8FD6-D32E721C937C}"/>
    <cellStyle name="Notas 6 3 2 3" xfId="19820" xr:uid="{58B9E383-47DA-4A4F-ACDA-E28FF395223E}"/>
    <cellStyle name="Notas 6 3 2 4" xfId="25604" xr:uid="{AFC4698D-90E8-4F48-8E93-33C8F2F99911}"/>
    <cellStyle name="Notas 6 3 2 5" xfId="31478" xr:uid="{E2A954D6-E5ED-43E1-AE62-057D17BB95B2}"/>
    <cellStyle name="Notas 6 3 2 6" xfId="37349" xr:uid="{9CA81264-1E05-4FE0-9AA5-C7C2090BB7FE}"/>
    <cellStyle name="Notas 6 3 3" xfId="7248" xr:uid="{AF631BD3-62B9-43F2-AD65-99D79E66E5BB}"/>
    <cellStyle name="Notas 6 3 3 2" xfId="21655" xr:uid="{68CF94DE-6DC8-43DD-A7BA-AD01BF4430C0}"/>
    <cellStyle name="Notas 6 3 3 3" xfId="27482" xr:uid="{4F3A36AD-82E4-442F-ACBD-9FB99E8E8CAE}"/>
    <cellStyle name="Notas 6 3 3 4" xfId="33364" xr:uid="{ACCA0559-3605-4F67-85EA-CA88D15A3258}"/>
    <cellStyle name="Notas 6 3 3 5" xfId="39228" xr:uid="{1679BCE9-71FD-4145-A8F7-8595BF03F443}"/>
    <cellStyle name="Notas 6 3 4" xfId="18889" xr:uid="{0E427EB6-1D1D-4B03-A01D-EB8604442122}"/>
    <cellStyle name="Notas 6 3 5" xfId="24633" xr:uid="{A5D3957E-7AB0-4521-BDDE-1BCE87202A64}"/>
    <cellStyle name="Notas 6 3 6" xfId="30512" xr:uid="{3026934C-B967-4C70-9D57-E9FBF61A73DE}"/>
    <cellStyle name="Notas 6 3 7" xfId="36392" xr:uid="{F143569D-20BF-4471-A734-7E39BDE203F7}"/>
    <cellStyle name="Notas 6 4" xfId="4868" xr:uid="{835C1079-C45A-4333-BA62-80BF39AB5533}"/>
    <cellStyle name="Notas 6 4 2" xfId="7735" xr:uid="{5F5FF99B-1DBF-4317-B1CE-64AA54766944}"/>
    <cellStyle name="Notas 6 4 2 2" xfId="22125" xr:uid="{592C28B3-D69F-4358-9C9B-41D83E9B05BF}"/>
    <cellStyle name="Notas 6 4 2 3" xfId="27968" xr:uid="{24B41406-FAEC-4EF1-BA62-351385646939}"/>
    <cellStyle name="Notas 6 4 2 4" xfId="33850" xr:uid="{E77D2E8E-62F3-4FDA-8EE6-801DC6802AF6}"/>
    <cellStyle name="Notas 6 4 2 5" xfId="39714" xr:uid="{5F3AF292-2938-4AD5-B8E0-C24361607E87}"/>
    <cellStyle name="Notas 6 4 3" xfId="19351" xr:uid="{6E483942-78EA-47B9-8CA5-2B3D8B4EC4DD}"/>
    <cellStyle name="Notas 6 4 4" xfId="25119" xr:uid="{44A15EAE-28F7-4614-88EA-6978DB884714}"/>
    <cellStyle name="Notas 6 4 5" xfId="30993" xr:uid="{8E1645F4-1ECF-4268-87C3-FBB8B9236B14}"/>
    <cellStyle name="Notas 6 4 6" xfId="36872" xr:uid="{D017594B-6D01-481A-AA0A-2057E8494ABE}"/>
    <cellStyle name="Notas 6 5" xfId="5878" xr:uid="{16937C87-B59F-4DB4-9B9A-CE778B6CF107}"/>
    <cellStyle name="Notas 6 5 2" xfId="8747" xr:uid="{62B1EED9-4A97-431F-8809-E4735C09069E}"/>
    <cellStyle name="Notas 6 5 2 2" xfId="23115" xr:uid="{C398C6E9-031C-48F5-A310-1C09FDD2A8F1}"/>
    <cellStyle name="Notas 6 5 2 3" xfId="28979" xr:uid="{CA6B60BE-C986-47F2-910A-2C0BBB6686B4}"/>
    <cellStyle name="Notas 6 5 2 4" xfId="34861" xr:uid="{13D7124E-FA41-404D-B8DF-7ED7C6556AFB}"/>
    <cellStyle name="Notas 6 5 2 5" xfId="40725" xr:uid="{79EBDF30-6B7A-423B-BBD7-BCE3F59E921D}"/>
    <cellStyle name="Notas 6 5 3" xfId="20329" xr:uid="{68F97319-4447-447E-AAED-4BC25ABB4587}"/>
    <cellStyle name="Notas 6 5 4" xfId="26129" xr:uid="{6ED2F080-E4EC-4DBC-910D-36A1049EED4D}"/>
    <cellStyle name="Notas 6 5 5" xfId="32004" xr:uid="{447C1392-2F59-420A-98AB-F866E2BEE533}"/>
    <cellStyle name="Notas 6 5 6" xfId="37870" xr:uid="{B8942E16-8426-466D-9A37-F628BACB21AD}"/>
    <cellStyle name="Notas 6 6" xfId="6764" xr:uid="{FFB10AC5-BD8E-471C-A909-A9161AD259F9}"/>
    <cellStyle name="Notas 6 6 2" xfId="21188" xr:uid="{72F815FE-A115-476D-88A4-03E901E26676}"/>
    <cellStyle name="Notas 6 6 3" xfId="27003" xr:uid="{7BCA0EFA-48FA-49D0-982B-A9EA0A5B97FC}"/>
    <cellStyle name="Notas 6 6 4" xfId="32879" xr:uid="{1CA925B4-452A-46AC-89A2-EB4817F7B461}"/>
    <cellStyle name="Notas 6 6 5" xfId="38743" xr:uid="{9D7E8FAF-23D4-4F18-8446-087D05FA7678}"/>
    <cellStyle name="Notas 6 7" xfId="18434" xr:uid="{244540DE-D0AF-409B-948C-8403DBF19773}"/>
    <cellStyle name="Notas 6 8" xfId="24142" xr:uid="{B37E1E8D-9D37-46BA-A8B2-3DBC45B302B1}"/>
    <cellStyle name="Notas 6 9" xfId="30020" xr:uid="{C49961CC-7CAB-498E-9CE1-99AD582B8B9D}"/>
    <cellStyle name="Notas 7" xfId="3933" xr:uid="{50328315-9246-4ACA-A7FB-62780E8EDA47}"/>
    <cellStyle name="Notas 7 10" xfId="35924" xr:uid="{51F4E3D4-648F-421A-AF8B-29081DB5B787}"/>
    <cellStyle name="Notas 7 2" xfId="4125" xr:uid="{DF304DC4-7622-463F-8236-DBC7F4920579}"/>
    <cellStyle name="Notas 7 2 2" xfId="4603" xr:uid="{44A77184-BDA6-47F0-BF9B-DB8DFB1B081B}"/>
    <cellStyle name="Notas 7 2 2 2" xfId="5571" xr:uid="{DE13B507-7E2A-42F9-886F-82A9F4DA2B91}"/>
    <cellStyle name="Notas 7 2 2 2 2" xfId="8438" xr:uid="{0593C589-0644-4DEF-85AE-263F7A29A5DD}"/>
    <cellStyle name="Notas 7 2 2 2 2 2" xfId="22813" xr:uid="{E05D0ADA-21BD-4907-94E8-74BDC4DD8D31}"/>
    <cellStyle name="Notas 7 2 2 2 2 3" xfId="28671" xr:uid="{9728FF9F-68EB-498A-A493-B59102DF3E3C}"/>
    <cellStyle name="Notas 7 2 2 2 2 4" xfId="34553" xr:uid="{AF24E8A2-A8DE-4EEB-A2AC-34E066432A8E}"/>
    <cellStyle name="Notas 7 2 2 2 2 5" xfId="40417" xr:uid="{6E53ABA2-B7BB-44E5-9B0D-BEE4D2528878}"/>
    <cellStyle name="Notas 7 2 2 2 3" xfId="20031" xr:uid="{715DBA6C-FD81-47D4-9AD9-61918C951C84}"/>
    <cellStyle name="Notas 7 2 2 2 4" xfId="25822" xr:uid="{86E75A54-9C96-4EBB-8FF4-C236725056CE}"/>
    <cellStyle name="Notas 7 2 2 2 5" xfId="31696" xr:uid="{4F7A585F-273B-4119-856F-43A07DDAC63F}"/>
    <cellStyle name="Notas 7 2 2 2 6" xfId="37566" xr:uid="{BDCE43AF-C2F2-432F-B300-CD408CF44AB0}"/>
    <cellStyle name="Notas 7 2 2 3" xfId="7466" xr:uid="{4CC0A30C-C20D-43E2-B1F2-9525C87AC783}"/>
    <cellStyle name="Notas 7 2 2 3 2" xfId="21868" xr:uid="{66C62378-B61B-47F4-AE4B-A032FBAD48B9}"/>
    <cellStyle name="Notas 7 2 2 3 3" xfId="27700" xr:uid="{0BF6BD00-399F-4C7C-A692-153CD2954807}"/>
    <cellStyle name="Notas 7 2 2 3 4" xfId="33582" xr:uid="{94190C64-4B5F-4EA9-B09C-81B8CD05D23A}"/>
    <cellStyle name="Notas 7 2 2 3 5" xfId="39446" xr:uid="{DF3DFCA7-4EC5-47C0-955E-64EB6AA1D79D}"/>
    <cellStyle name="Notas 7 2 2 4" xfId="19098" xr:uid="{E4BE986D-FE77-40CF-A741-5142A2C07751}"/>
    <cellStyle name="Notas 7 2 2 5" xfId="24851" xr:uid="{C3F2DFAE-6E4D-4021-953D-AA07F4E0431A}"/>
    <cellStyle name="Notas 7 2 2 6" xfId="30728" xr:uid="{69CF413B-974A-4751-824E-DD618B72789C}"/>
    <cellStyle name="Notas 7 2 2 7" xfId="36609" xr:uid="{749EE977-6542-4214-BF30-028F36DF0852}"/>
    <cellStyle name="Notas 7 2 3" xfId="5086" xr:uid="{57615876-EEAB-48B8-82E6-F942F9C4B0F7}"/>
    <cellStyle name="Notas 7 2 3 2" xfId="7953" xr:uid="{139D2A83-4C64-4F6A-A898-2D6A5C21AD3E}"/>
    <cellStyle name="Notas 7 2 3 2 2" xfId="22338" xr:uid="{FEFBAB0B-0C20-430E-92F0-586C0445C52B}"/>
    <cellStyle name="Notas 7 2 3 2 3" xfId="28186" xr:uid="{0443ADB7-7D37-4D01-B213-2C49D599A9EB}"/>
    <cellStyle name="Notas 7 2 3 2 4" xfId="34068" xr:uid="{8AC38DEF-726E-4E49-AB80-9384ACC76440}"/>
    <cellStyle name="Notas 7 2 3 2 5" xfId="39932" xr:uid="{F1F965F1-AA90-4959-9309-B8327866D290}"/>
    <cellStyle name="Notas 7 2 3 3" xfId="19563" xr:uid="{F14344CB-58D3-4A6E-92C2-122B74194AB6}"/>
    <cellStyle name="Notas 7 2 3 4" xfId="25337" xr:uid="{D980AFB7-50EC-4F33-BE52-340B4C9609D2}"/>
    <cellStyle name="Notas 7 2 3 5" xfId="31211" xr:uid="{3C16FD68-13AC-429B-98C5-CB026BB35893}"/>
    <cellStyle name="Notas 7 2 3 6" xfId="37089" xr:uid="{04FAB9E1-C6C6-4000-8E5D-B1F2DF013689}"/>
    <cellStyle name="Notas 7 2 4" xfId="6981" xr:uid="{AAE6F7C7-60E4-4975-BD12-D1E809000707}"/>
    <cellStyle name="Notas 7 2 4 2" xfId="21400" xr:uid="{08D23697-EF83-4469-98A8-818C58758150}"/>
    <cellStyle name="Notas 7 2 4 3" xfId="27219" xr:uid="{2B616DDA-581E-4929-BE89-457A9D840B71}"/>
    <cellStyle name="Notas 7 2 4 4" xfId="33097" xr:uid="{BB6A1A9A-AA59-43F0-AF9B-71539EFC19F3}"/>
    <cellStyle name="Notas 7 2 4 5" xfId="38961" xr:uid="{3F4F42E8-94D8-47BC-9966-9A10A8B50DAB}"/>
    <cellStyle name="Notas 7 2 5" xfId="18654" xr:uid="{5AF15825-FB44-4D65-94AB-42D7BD6BA74B}"/>
    <cellStyle name="Notas 7 2 6" xfId="24368" xr:uid="{B3625816-05EF-461C-B4AA-E5AAB082FFB5}"/>
    <cellStyle name="Notas 7 2 7" xfId="30246" xr:uid="{F932AFB7-FC55-411A-8E09-14933D43AE63}"/>
    <cellStyle name="Notas 7 2 8" xfId="36125" xr:uid="{42B3E263-5C21-4971-8F34-E5E21431D244}"/>
    <cellStyle name="Notas 7 3" xfId="4409" xr:uid="{AE53BBAC-77F1-46FD-975A-D6BABCBCBAF7}"/>
    <cellStyle name="Notas 7 3 2" xfId="5375" xr:uid="{E3B12F11-F771-479E-92A0-41F2EF089360}"/>
    <cellStyle name="Notas 7 3 2 2" xfId="8242" xr:uid="{BC6AF4B7-24FB-4465-BD58-9B4CAFFC2743}"/>
    <cellStyle name="Notas 7 3 2 2 2" xfId="22618" xr:uid="{89A51BC4-B3D7-4EF5-BB80-C719368B110D}"/>
    <cellStyle name="Notas 7 3 2 2 3" xfId="28475" xr:uid="{8B4A9C46-602A-4A82-A6CB-E6E25167BB08}"/>
    <cellStyle name="Notas 7 3 2 2 4" xfId="34357" xr:uid="{D94B37FC-782B-46B7-A7AD-D69E85214280}"/>
    <cellStyle name="Notas 7 3 2 2 5" xfId="40221" xr:uid="{937858CC-258F-4F70-BBD5-81DA27AFD425}"/>
    <cellStyle name="Notas 7 3 2 3" xfId="19842" xr:uid="{1F81B262-3375-4E1A-A95A-583E46C0DCE6}"/>
    <cellStyle name="Notas 7 3 2 4" xfId="25626" xr:uid="{74F35945-4D39-4650-B203-24699D7F5DD2}"/>
    <cellStyle name="Notas 7 3 2 5" xfId="31500" xr:uid="{9F16A51A-B0B8-4269-B220-EB262208DED7}"/>
    <cellStyle name="Notas 7 3 2 6" xfId="37371" xr:uid="{3C744A92-ACBC-4058-9B48-4618CE2B1602}"/>
    <cellStyle name="Notas 7 3 3" xfId="7270" xr:uid="{E03B9DDE-2AA0-4638-8779-41872C1D39A5}"/>
    <cellStyle name="Notas 7 3 3 2" xfId="21677" xr:uid="{648D0A1B-28AF-4D7A-B0FE-4BED42333640}"/>
    <cellStyle name="Notas 7 3 3 3" xfId="27504" xr:uid="{784FF990-DD60-4715-A785-BF47DB15DA71}"/>
    <cellStyle name="Notas 7 3 3 4" xfId="33386" xr:uid="{181A0E7C-9543-4C72-9BD1-70B5A32F5224}"/>
    <cellStyle name="Notas 7 3 3 5" xfId="39250" xr:uid="{023665C0-8917-43C3-AA5B-AC019BDBB9D2}"/>
    <cellStyle name="Notas 7 3 4" xfId="18911" xr:uid="{8334D443-4F29-4291-9BAB-C5E093A68E73}"/>
    <cellStyle name="Notas 7 3 5" xfId="24655" xr:uid="{4F4AFBC1-B86D-4FD2-BEF2-AFF198D45B62}"/>
    <cellStyle name="Notas 7 3 6" xfId="30534" xr:uid="{412ACCE9-5E62-4633-A703-AC10FE374772}"/>
    <cellStyle name="Notas 7 3 7" xfId="36414" xr:uid="{C343D43D-2A83-479C-9E80-4B0499C8945D}"/>
    <cellStyle name="Notas 7 4" xfId="4890" xr:uid="{A3F67E43-F091-47BC-BB3C-689F06C7AD6A}"/>
    <cellStyle name="Notas 7 4 2" xfId="7757" xr:uid="{C385527B-DFF2-45CB-B745-685011110FAF}"/>
    <cellStyle name="Notas 7 4 2 2" xfId="22147" xr:uid="{4897529B-EE31-4C69-BF54-70E50BD9AFA3}"/>
    <cellStyle name="Notas 7 4 2 3" xfId="27990" xr:uid="{D03CB394-1315-4BD5-957F-5E6AA51DFDDC}"/>
    <cellStyle name="Notas 7 4 2 4" xfId="33872" xr:uid="{80A170DD-2055-4E35-BBE0-8487998A619B}"/>
    <cellStyle name="Notas 7 4 2 5" xfId="39736" xr:uid="{6F9269ED-F57C-477D-8095-CFDB53003C97}"/>
    <cellStyle name="Notas 7 4 3" xfId="19373" xr:uid="{A711563D-4EE8-40B1-A5A0-0516614A51C6}"/>
    <cellStyle name="Notas 7 4 4" xfId="25141" xr:uid="{3849C54E-153E-41BC-BAE5-6BA1AD59F091}"/>
    <cellStyle name="Notas 7 4 5" xfId="31015" xr:uid="{CA95E7F6-A910-4A0D-814D-E880C8DC36D4}"/>
    <cellStyle name="Notas 7 4 6" xfId="36894" xr:uid="{D96C8E36-CD7C-4576-BA8B-AE7975126D1D}"/>
    <cellStyle name="Notas 7 5" xfId="5900" xr:uid="{23DE8E5D-06BA-4D0B-8BB0-DAC4FED6DA7C}"/>
    <cellStyle name="Notas 7 5 2" xfId="8769" xr:uid="{287E8493-B73B-4960-8F26-B831758AC44F}"/>
    <cellStyle name="Notas 7 5 2 2" xfId="23137" xr:uid="{653EEDB4-1223-4BA8-AC6C-6F40CAE785B9}"/>
    <cellStyle name="Notas 7 5 2 3" xfId="29001" xr:uid="{7E823E65-8EA7-4DC3-A1D5-71EF330EB21D}"/>
    <cellStyle name="Notas 7 5 2 4" xfId="34883" xr:uid="{5335A1C3-059D-41C6-97C4-93E272023CDB}"/>
    <cellStyle name="Notas 7 5 2 5" xfId="40747" xr:uid="{57920651-18F6-40F3-A43B-894D60B5F0C5}"/>
    <cellStyle name="Notas 7 5 3" xfId="20351" xr:uid="{0D82CEFF-5A43-43C6-92B7-185216BF1725}"/>
    <cellStyle name="Notas 7 5 4" xfId="26151" xr:uid="{10CBF862-F311-4791-9A5A-593D556C9746}"/>
    <cellStyle name="Notas 7 5 5" xfId="32026" xr:uid="{E1596D31-278F-4FC0-A0EE-D19E5C5EAF89}"/>
    <cellStyle name="Notas 7 5 6" xfId="37892" xr:uid="{CEA4825B-CB3D-49D4-B5B1-0808B2190FDF}"/>
    <cellStyle name="Notas 7 6" xfId="6786" xr:uid="{1DF5DA78-D20C-4186-9263-F26377C4773F}"/>
    <cellStyle name="Notas 7 6 2" xfId="21210" xr:uid="{BE86EAEE-E7E7-4A6F-BA0C-A263B25B900E}"/>
    <cellStyle name="Notas 7 6 3" xfId="27025" xr:uid="{90AF14D5-9F8D-4C6D-A14A-B9906C9D633C}"/>
    <cellStyle name="Notas 7 6 4" xfId="32901" xr:uid="{D6B041FD-CB24-4954-BFD8-B7FE16CEF3C9}"/>
    <cellStyle name="Notas 7 6 5" xfId="38765" xr:uid="{F9553933-914C-4644-BCB6-ADA14525AB97}"/>
    <cellStyle name="Notas 7 7" xfId="18457" xr:uid="{F312B3BB-93BF-4792-9617-16395D8FD298}"/>
    <cellStyle name="Notas 7 8" xfId="24165" xr:uid="{9E9726A1-5D5D-444F-AC36-6E8E8FF421A6}"/>
    <cellStyle name="Notas 7 9" xfId="30043" xr:uid="{7A17C590-E96D-42DE-A6D4-1B15D116AC30}"/>
    <cellStyle name="Notas 8" xfId="3957" xr:uid="{5D93CE4E-90B6-4DBC-A5B1-74FCA7F86481}"/>
    <cellStyle name="Notas 8 10" xfId="35949" xr:uid="{676EFC0D-2E9F-4679-AE99-F9F43ADEA596}"/>
    <cellStyle name="Notas 8 2" xfId="4149" xr:uid="{27D18707-DE24-4292-8884-09FA31A114B5}"/>
    <cellStyle name="Notas 8 2 2" xfId="4627" xr:uid="{FC737520-225C-41C2-8D67-A3C5DEC06FFA}"/>
    <cellStyle name="Notas 8 2 2 2" xfId="5595" xr:uid="{6C4083FE-B785-4BCB-A906-EA5610EB2968}"/>
    <cellStyle name="Notas 8 2 2 2 2" xfId="8462" xr:uid="{142F152C-2B21-443F-A1AB-612E5EEAA1D4}"/>
    <cellStyle name="Notas 8 2 2 2 2 2" xfId="22837" xr:uid="{717B7B9D-EBE4-46F9-881B-30829DB46021}"/>
    <cellStyle name="Notas 8 2 2 2 2 3" xfId="28695" xr:uid="{7934AF57-7C20-4F73-90ED-B190EE339D43}"/>
    <cellStyle name="Notas 8 2 2 2 2 4" xfId="34577" xr:uid="{93454A33-26F8-4AA3-A116-A1CF5A185601}"/>
    <cellStyle name="Notas 8 2 2 2 2 5" xfId="40441" xr:uid="{45AD9937-5BB4-426D-A778-85970CEBB117}"/>
    <cellStyle name="Notas 8 2 2 2 3" xfId="20054" xr:uid="{5E981B86-50C7-4AFB-A203-661F6F5AE6F1}"/>
    <cellStyle name="Notas 8 2 2 2 4" xfId="25846" xr:uid="{BC0CCCD6-79B1-4BB6-BB20-8817AE37FDDE}"/>
    <cellStyle name="Notas 8 2 2 2 5" xfId="31720" xr:uid="{55747BD4-D1B7-46C7-B573-2D390AB6355D}"/>
    <cellStyle name="Notas 8 2 2 2 6" xfId="37590" xr:uid="{6EFA1E4D-9673-4149-A13F-9A48A8E69697}"/>
    <cellStyle name="Notas 8 2 2 3" xfId="7490" xr:uid="{505A2684-58C2-4237-80B0-70C793425D8D}"/>
    <cellStyle name="Notas 8 2 2 3 2" xfId="21891" xr:uid="{A4FC5EA4-EB00-41CC-B73A-3105B30FB181}"/>
    <cellStyle name="Notas 8 2 2 3 3" xfId="27724" xr:uid="{5892F7E3-CE0C-4B80-B234-A7F9C90940C9}"/>
    <cellStyle name="Notas 8 2 2 3 4" xfId="33606" xr:uid="{58B76DA7-8A44-4124-8C6D-B4C649F0468E}"/>
    <cellStyle name="Notas 8 2 2 3 5" xfId="39470" xr:uid="{C5DD9D86-56B7-4B5B-97DE-1FCE997DAAD2}"/>
    <cellStyle name="Notas 8 2 2 4" xfId="19121" xr:uid="{63B89353-EB90-487D-B8F5-E531F828FBD9}"/>
    <cellStyle name="Notas 8 2 2 5" xfId="24875" xr:uid="{AD198805-EB05-4963-B2F1-44531A3805B8}"/>
    <cellStyle name="Notas 8 2 2 6" xfId="30751" xr:uid="{69A0CD70-879C-4AF9-870F-60C18B7A2F67}"/>
    <cellStyle name="Notas 8 2 2 7" xfId="36633" xr:uid="{5F4CAC34-2853-4730-80F0-DB1E755625C5}"/>
    <cellStyle name="Notas 8 2 3" xfId="5110" xr:uid="{0F5A7901-ADC1-4DAE-8704-01AD1157434E}"/>
    <cellStyle name="Notas 8 2 3 2" xfId="7977" xr:uid="{1C9D81AA-1D85-4B95-9391-98840028C50B}"/>
    <cellStyle name="Notas 8 2 3 2 2" xfId="22362" xr:uid="{18943026-0721-43EB-B03B-6D17AE9E51C1}"/>
    <cellStyle name="Notas 8 2 3 2 3" xfId="28210" xr:uid="{8B3CAC2A-A3CA-42F3-8D52-7EABC16182F0}"/>
    <cellStyle name="Notas 8 2 3 2 4" xfId="34092" xr:uid="{9D060FD0-ECB8-411E-B14F-40796C37E115}"/>
    <cellStyle name="Notas 8 2 3 2 5" xfId="39956" xr:uid="{D00627D2-4A86-41DD-BBAF-6EC4DAECC144}"/>
    <cellStyle name="Notas 8 2 3 3" xfId="19585" xr:uid="{FFFF8DCC-3090-4E80-8FF4-4C9FFF916BF3}"/>
    <cellStyle name="Notas 8 2 3 4" xfId="25361" xr:uid="{99883F8A-D715-4872-B7AA-A156F96B2BD1}"/>
    <cellStyle name="Notas 8 2 3 5" xfId="31235" xr:uid="{5176B7EE-CE28-4FE0-BBDA-F21F30DE7079}"/>
    <cellStyle name="Notas 8 2 3 6" xfId="37113" xr:uid="{867EE75F-EEEA-4B9A-AC90-340C4D99C39E}"/>
    <cellStyle name="Notas 8 2 4" xfId="7005" xr:uid="{46AE242E-40F4-418A-AB6C-29BA1FFF1186}"/>
    <cellStyle name="Notas 8 2 4 2" xfId="21422" xr:uid="{9AB76577-12D6-48EC-816C-18CF764EF876}"/>
    <cellStyle name="Notas 8 2 4 3" xfId="27243" xr:uid="{BB1AA4F7-4C03-4995-81ED-862FCF3F2F60}"/>
    <cellStyle name="Notas 8 2 4 4" xfId="33121" xr:uid="{72BDA7FA-9A2C-4EB6-BD8C-85088A56CC31}"/>
    <cellStyle name="Notas 8 2 4 5" xfId="38985" xr:uid="{5F6480C0-61EF-462D-88F2-7900822ACC4B}"/>
    <cellStyle name="Notas 8 2 5" xfId="18677" xr:uid="{97B42CF1-379F-48CC-A2AB-FC1EDF3BDE0C}"/>
    <cellStyle name="Notas 8 2 6" xfId="24392" xr:uid="{429B6FBE-C357-4CC9-B0D7-DAEC4CE2E0F8}"/>
    <cellStyle name="Notas 8 2 7" xfId="30269" xr:uid="{A800E40C-B5EA-4179-BBAA-6B64C4B6FFDF}"/>
    <cellStyle name="Notas 8 2 8" xfId="36149" xr:uid="{611790D3-6846-4893-8E46-6B74E0E61AE8}"/>
    <cellStyle name="Notas 8 3" xfId="4432" xr:uid="{0C2FD9E1-02D4-45D8-BF8A-45BF6258A82D}"/>
    <cellStyle name="Notas 8 3 2" xfId="5399" xr:uid="{B01B7995-00DB-4A5D-B36F-56D882DA7F26}"/>
    <cellStyle name="Notas 8 3 2 2" xfId="8266" xr:uid="{125F0E53-1320-4F1A-B163-0A2CC4EF06A0}"/>
    <cellStyle name="Notas 8 3 2 2 2" xfId="22642" xr:uid="{501DCA87-CB49-4B94-81D9-11CF015B70E7}"/>
    <cellStyle name="Notas 8 3 2 2 3" xfId="28499" xr:uid="{DB6ED86C-E3F0-460E-8F21-206ABC2CC957}"/>
    <cellStyle name="Notas 8 3 2 2 4" xfId="34381" xr:uid="{FF48E4E8-BE4F-4749-B2D6-6E2618ED84EE}"/>
    <cellStyle name="Notas 8 3 2 2 5" xfId="40245" xr:uid="{5A046FA7-2ECE-4A76-9428-6FAFCCD22C8D}"/>
    <cellStyle name="Notas 8 3 2 3" xfId="19864" xr:uid="{7E0CDF0B-703E-4258-B38E-8DE78A1E1C2E}"/>
    <cellStyle name="Notas 8 3 2 4" xfId="25650" xr:uid="{788025D9-368A-4EB6-B5B2-888804E89E94}"/>
    <cellStyle name="Notas 8 3 2 5" xfId="31524" xr:uid="{7EE79C0C-4A77-42F0-A336-8C45120BE7F2}"/>
    <cellStyle name="Notas 8 3 2 6" xfId="37395" xr:uid="{D22A324E-DB1B-464B-AA09-454AC7CF79CB}"/>
    <cellStyle name="Notas 8 3 3" xfId="7294" xr:uid="{8344C423-94EF-440E-B09C-E11CEE36966A}"/>
    <cellStyle name="Notas 8 3 3 2" xfId="21699" xr:uid="{1E8CBF7E-F200-4CE1-8BB2-306D8B54E5B5}"/>
    <cellStyle name="Notas 8 3 3 3" xfId="27528" xr:uid="{5B6FE444-2CF1-4027-B19F-CC7745D7E751}"/>
    <cellStyle name="Notas 8 3 3 4" xfId="33410" xr:uid="{8A5628B1-4251-468D-B1F7-DF68EE1EEBBA}"/>
    <cellStyle name="Notas 8 3 3 5" xfId="39274" xr:uid="{58B25FE3-8125-4E22-AEC9-B48268DFCF22}"/>
    <cellStyle name="Notas 8 3 4" xfId="18935" xr:uid="{904BDF3B-2343-4FB9-9C89-CEF69134F993}"/>
    <cellStyle name="Notas 8 3 5" xfId="24679" xr:uid="{02C1276C-08B3-4291-93F1-653A08FE1C06}"/>
    <cellStyle name="Notas 8 3 6" xfId="30557" xr:uid="{62AB705F-58A2-4D1C-9FA2-26013D0F286A}"/>
    <cellStyle name="Notas 8 3 7" xfId="36438" xr:uid="{7F426A41-A650-4B83-A4E0-822D946DE5FC}"/>
    <cellStyle name="Notas 8 4" xfId="4914" xr:uid="{8BC49F81-660F-43CC-BCE1-E583FE31BCA9}"/>
    <cellStyle name="Notas 8 4 2" xfId="7781" xr:uid="{4604C8CC-EB24-4045-8415-6E575F947959}"/>
    <cellStyle name="Notas 8 4 2 2" xfId="22169" xr:uid="{A0ED399A-09D6-4C87-94D3-6C003EC979AE}"/>
    <cellStyle name="Notas 8 4 2 3" xfId="28014" xr:uid="{FA51EA4E-9FF1-4597-BE21-27096B2B86CD}"/>
    <cellStyle name="Notas 8 4 2 4" xfId="33896" xr:uid="{07CDBEE7-2C0F-4C15-A997-5C3EC33D2C85}"/>
    <cellStyle name="Notas 8 4 2 5" xfId="39760" xr:uid="{1BA415B2-749E-4AA4-8EB0-DF3BF5F9AC7D}"/>
    <cellStyle name="Notas 8 4 3" xfId="19396" xr:uid="{20C0C6C2-507C-47AB-AD35-F3C99637B2D0}"/>
    <cellStyle name="Notas 8 4 4" xfId="25165" xr:uid="{39CE8C69-1347-457B-89AC-D1721437052A}"/>
    <cellStyle name="Notas 8 4 5" xfId="31039" xr:uid="{97E20A13-8FB4-40F4-BFAF-1150C88DC9F9}"/>
    <cellStyle name="Notas 8 4 6" xfId="36918" xr:uid="{1DD706E2-7FCF-468F-8005-0E1F249BDEE1}"/>
    <cellStyle name="Notas 8 5" xfId="5924" xr:uid="{53730BB1-1818-4B68-8EDA-C5FC93D709C7}"/>
    <cellStyle name="Notas 8 5 2" xfId="8793" xr:uid="{9E445B47-F694-4EE6-ADA5-A8677756DB19}"/>
    <cellStyle name="Notas 8 5 2 2" xfId="23160" xr:uid="{635B5093-0E81-4AAC-8793-5C857819A43D}"/>
    <cellStyle name="Notas 8 5 2 3" xfId="29025" xr:uid="{0C45C831-2C3F-4392-90B6-548AF2A6FB45}"/>
    <cellStyle name="Notas 8 5 2 4" xfId="34907" xr:uid="{11ECEB1F-3DDD-4113-B532-EBAA23B1E7F1}"/>
    <cellStyle name="Notas 8 5 2 5" xfId="40771" xr:uid="{BB0DE570-EEA8-4A54-8128-6B896921124B}"/>
    <cellStyle name="Notas 8 5 3" xfId="20374" xr:uid="{63032CF8-1ADC-465E-ABD8-381A32D04534}"/>
    <cellStyle name="Notas 8 5 4" xfId="26175" xr:uid="{BAD06B36-FF55-4732-9386-3C9B71790061}"/>
    <cellStyle name="Notas 8 5 5" xfId="32050" xr:uid="{C6786C5E-3D32-4C51-B677-C35C40E91686}"/>
    <cellStyle name="Notas 8 5 6" xfId="37916" xr:uid="{695B8022-3BB9-4F07-850A-EFC795A47A08}"/>
    <cellStyle name="Notas 8 6" xfId="6810" xr:uid="{832DFFD1-6B87-49DD-AA83-FE22FCAFFA85}"/>
    <cellStyle name="Notas 8 6 2" xfId="21233" xr:uid="{952F86AF-7FB6-4F6C-86F3-E7B57CF28E37}"/>
    <cellStyle name="Notas 8 6 3" xfId="27049" xr:uid="{BFD973E7-A3FC-47A8-A095-6D7C9520028F}"/>
    <cellStyle name="Notas 8 6 4" xfId="32925" xr:uid="{4B77E006-D509-4C8C-B0A8-EA0C6409A908}"/>
    <cellStyle name="Notas 8 6 5" xfId="38789" xr:uid="{B8ED73C4-14C8-4177-9900-159F63093212}"/>
    <cellStyle name="Notas 8 7" xfId="18483" xr:uid="{5797189B-7003-4702-8444-5DF5BCCD099A}"/>
    <cellStyle name="Notas 8 8" xfId="24191" xr:uid="{FB71C6A9-7240-4AB5-9740-7E804489DC7B}"/>
    <cellStyle name="Notas 8 9" xfId="30069" xr:uid="{30BE63EA-15EE-4039-8D4D-02ACBEA67AAE}"/>
    <cellStyle name="Notas 9" xfId="3983" xr:uid="{6D607501-9597-4B35-A277-460EFB539A7A}"/>
    <cellStyle name="Notas 9 10" xfId="35977" xr:uid="{A682C862-4CA8-4FF3-9357-423A137E64E1}"/>
    <cellStyle name="Notas 9 2" xfId="4175" xr:uid="{BBCB15B7-8C96-4DD7-9994-7B58EDB390B0}"/>
    <cellStyle name="Notas 9 2 2" xfId="4653" xr:uid="{A9EE4D68-4AAB-4641-9E59-79792ABA1132}"/>
    <cellStyle name="Notas 9 2 2 2" xfId="5621" xr:uid="{4EBE4583-A803-4EC2-8DB0-B57837747F52}"/>
    <cellStyle name="Notas 9 2 2 2 2" xfId="8488" xr:uid="{12022673-2C99-4C0E-9632-B8E1498DA875}"/>
    <cellStyle name="Notas 9 2 2 2 2 2" xfId="22862" xr:uid="{01EE2148-23E3-4B8F-A7DA-8E1951844642}"/>
    <cellStyle name="Notas 9 2 2 2 2 3" xfId="28721" xr:uid="{496C1AA2-DE6D-4902-A581-BAFD78AFF38F}"/>
    <cellStyle name="Notas 9 2 2 2 2 4" xfId="34603" xr:uid="{B4DB6A75-8AD1-4B89-887E-90995D9C6B17}"/>
    <cellStyle name="Notas 9 2 2 2 2 5" xfId="40467" xr:uid="{F36716F9-1B1D-4FFC-88C2-5C6508EA5019}"/>
    <cellStyle name="Notas 9 2 2 2 3" xfId="20080" xr:uid="{10125224-6387-4892-A42A-DF58FA09EE3A}"/>
    <cellStyle name="Notas 9 2 2 2 4" xfId="25872" xr:uid="{39A3F741-5A67-4FB7-94DF-B04277571B5A}"/>
    <cellStyle name="Notas 9 2 2 2 5" xfId="31746" xr:uid="{EDCE75C7-4D0E-433A-983A-161DD842C02F}"/>
    <cellStyle name="Notas 9 2 2 2 6" xfId="37615" xr:uid="{4C2DDC15-C608-4A57-AF24-DF4D67FF219A}"/>
    <cellStyle name="Notas 9 2 2 3" xfId="7516" xr:uid="{B81A26D2-CCCC-48AF-8817-704222DDABB6}"/>
    <cellStyle name="Notas 9 2 2 3 2" xfId="21916" xr:uid="{69CA4441-D963-41B3-A11A-47DEA7D7D02B}"/>
    <cellStyle name="Notas 9 2 2 3 3" xfId="27750" xr:uid="{820AA61B-CDF7-45B9-8A6F-243F11932557}"/>
    <cellStyle name="Notas 9 2 2 3 4" xfId="33632" xr:uid="{805B5CD7-C3C9-4C42-8F09-B0AE544B5BCC}"/>
    <cellStyle name="Notas 9 2 2 3 5" xfId="39496" xr:uid="{6F11892C-7767-4D9C-9FE9-3A368507D621}"/>
    <cellStyle name="Notas 9 2 2 4" xfId="19145" xr:uid="{0B56E2A0-3610-49CF-AFD6-98DDDE225C78}"/>
    <cellStyle name="Notas 9 2 2 5" xfId="24901" xr:uid="{34F1F88D-3CF8-40F9-B5E6-A10E8EE7AE5B}"/>
    <cellStyle name="Notas 9 2 2 6" xfId="30777" xr:uid="{939939F4-2B9C-4DF0-829A-31560A44F1EA}"/>
    <cellStyle name="Notas 9 2 2 7" xfId="36658" xr:uid="{AFBBF209-6B07-42CA-97DD-6298537A789D}"/>
    <cellStyle name="Notas 9 2 3" xfId="5136" xr:uid="{9BB5B0FF-7BA5-4123-987C-DCBDD1656F06}"/>
    <cellStyle name="Notas 9 2 3 2" xfId="8003" xr:uid="{FE7BB8F0-B5DD-443E-9827-13D953DE285A}"/>
    <cellStyle name="Notas 9 2 3 2 2" xfId="22387" xr:uid="{F2B074FC-25AC-4C2A-9006-9BEA5257D195}"/>
    <cellStyle name="Notas 9 2 3 2 3" xfId="28236" xr:uid="{16FCF9F6-F199-40DE-8425-EA1AA4E1188B}"/>
    <cellStyle name="Notas 9 2 3 2 4" xfId="34118" xr:uid="{32F9F113-5043-4E93-B7B2-57A80744649D}"/>
    <cellStyle name="Notas 9 2 3 2 5" xfId="39982" xr:uid="{B6DAFD50-F257-49DA-A5DF-D2D7BF2F7D5C}"/>
    <cellStyle name="Notas 9 2 3 3" xfId="19610" xr:uid="{CA39979A-841A-48C6-874A-13EFD91B1DF8}"/>
    <cellStyle name="Notas 9 2 3 4" xfId="25387" xr:uid="{E8C0A21E-00D4-44C9-B39D-1461390DCDE5}"/>
    <cellStyle name="Notas 9 2 3 5" xfId="31261" xr:uid="{5BC308C9-6F74-4562-8B2F-4CB596DCCE55}"/>
    <cellStyle name="Notas 9 2 3 6" xfId="37138" xr:uid="{590A2C77-7AC4-4F39-BA51-FD92F98DB344}"/>
    <cellStyle name="Notas 9 2 4" xfId="7031" xr:uid="{7796028F-831A-464F-BB69-ED43C7544195}"/>
    <cellStyle name="Notas 9 2 4 2" xfId="21447" xr:uid="{787DE9BC-5EF2-409D-B39C-FA0AA1C9B8A7}"/>
    <cellStyle name="Notas 9 2 4 3" xfId="27268" xr:uid="{306C36D1-50AB-4B56-B064-67F567779FD1}"/>
    <cellStyle name="Notas 9 2 4 4" xfId="33147" xr:uid="{357EAC0B-FD72-4A43-88F0-B2EE3B729F7E}"/>
    <cellStyle name="Notas 9 2 4 5" xfId="39011" xr:uid="{EB9F6E4A-4808-474B-A92F-8B9E6CEB4F2F}"/>
    <cellStyle name="Notas 9 2 5" xfId="18702" xr:uid="{4495288A-54DF-4B9E-80ED-6A719F3E80F8}"/>
    <cellStyle name="Notas 9 2 6" xfId="24418" xr:uid="{EF8793FD-CC94-46CE-A1C1-0EEA0B767107}"/>
    <cellStyle name="Notas 9 2 7" xfId="30295" xr:uid="{BF9A5B74-8812-43FA-842F-2243ABF7B0B2}"/>
    <cellStyle name="Notas 9 2 8" xfId="36175" xr:uid="{682EBA8F-C981-473F-AE08-02572F53ACFC}"/>
    <cellStyle name="Notas 9 3" xfId="4457" xr:uid="{C50C9481-B7BB-4E62-BC41-8B52EB2C6205}"/>
    <cellStyle name="Notas 9 3 2" xfId="5425" xr:uid="{76A72F9A-9F57-447D-8358-7B64E5AFF5CB}"/>
    <cellStyle name="Notas 9 3 2 2" xfId="8292" xr:uid="{365541C6-DB97-438C-AE3D-F106D09D0584}"/>
    <cellStyle name="Notas 9 3 2 2 2" xfId="22668" xr:uid="{C984F2CA-5DA6-44E8-A39D-CD93BFF25C6E}"/>
    <cellStyle name="Notas 9 3 2 2 3" xfId="28525" xr:uid="{FD943340-6910-4EB9-B1D4-D462F748AE65}"/>
    <cellStyle name="Notas 9 3 2 2 4" xfId="34407" xr:uid="{35590078-125C-43C1-99B1-A3615925FA15}"/>
    <cellStyle name="Notas 9 3 2 2 5" xfId="40271" xr:uid="{808E0B8E-D8AB-4043-B3F8-107490927D68}"/>
    <cellStyle name="Notas 9 3 2 3" xfId="19889" xr:uid="{DB8260AE-4FEE-4CBB-9A83-0C7C75458124}"/>
    <cellStyle name="Notas 9 3 2 4" xfId="25676" xr:uid="{84A4F1EC-1E78-4FDC-AB93-4FEF72A07464}"/>
    <cellStyle name="Notas 9 3 2 5" xfId="31550" xr:uid="{ED7D503C-9208-439A-85FE-4892DAA774E6}"/>
    <cellStyle name="Notas 9 3 2 6" xfId="37421" xr:uid="{649787CE-9102-4E3B-9E37-9ADFF371968E}"/>
    <cellStyle name="Notas 9 3 3" xfId="7320" xr:uid="{1F759820-D24C-41F7-B021-C4055F1FFB31}"/>
    <cellStyle name="Notas 9 3 3 2" xfId="21724" xr:uid="{C433BF34-D2A8-4E02-A23E-B68859474B76}"/>
    <cellStyle name="Notas 9 3 3 3" xfId="27554" xr:uid="{0638FE2E-65BA-4890-AD16-894152EFA5BA}"/>
    <cellStyle name="Notas 9 3 3 4" xfId="33436" xr:uid="{8434CD4F-A3F4-4CD0-93E2-6B6447227E2C}"/>
    <cellStyle name="Notas 9 3 3 5" xfId="39300" xr:uid="{BCE34342-2E4C-481B-8FAE-A1FC521E31F9}"/>
    <cellStyle name="Notas 9 3 4" xfId="18961" xr:uid="{9AAF735A-D3E6-43E7-AF05-F22E5B8BD4D0}"/>
    <cellStyle name="Notas 9 3 5" xfId="24705" xr:uid="{6CE5E999-EF24-47BA-85EB-88147FF78BD7}"/>
    <cellStyle name="Notas 9 3 6" xfId="30583" xr:uid="{B471AC13-553B-4221-A3F6-51E9EF970C4B}"/>
    <cellStyle name="Notas 9 3 7" xfId="36464" xr:uid="{51AFE942-B24B-4F79-BD50-B7A186757604}"/>
    <cellStyle name="Notas 9 4" xfId="4940" xr:uid="{B6CC442B-AAC8-409F-B8FC-7C0AD9195106}"/>
    <cellStyle name="Notas 9 4 2" xfId="7807" xr:uid="{6BC3C52D-348D-4FC0-9174-DF644EB9BF0B}"/>
    <cellStyle name="Notas 9 4 2 2" xfId="22194" xr:uid="{53A10BFF-9E0E-451B-ADCB-8B2B0C82DBA3}"/>
    <cellStyle name="Notas 9 4 2 3" xfId="28040" xr:uid="{440450BC-24D7-4C71-911B-087856E8E18B}"/>
    <cellStyle name="Notas 9 4 2 4" xfId="33922" xr:uid="{44B19D8E-FE9B-4ACB-91FD-7FD775E7A0DF}"/>
    <cellStyle name="Notas 9 4 2 5" xfId="39786" xr:uid="{FBDB82B9-39F2-494D-83BB-CB3F0A62D8E7}"/>
    <cellStyle name="Notas 9 4 3" xfId="19422" xr:uid="{F1B85F47-2595-41E8-9C45-026799D924C8}"/>
    <cellStyle name="Notas 9 4 4" xfId="25191" xr:uid="{F18141A7-94A5-438A-87BD-ECE8D946F8BF}"/>
    <cellStyle name="Notas 9 4 5" xfId="31065" xr:uid="{D86305CD-32B2-4170-91FF-E31F2EFA9098}"/>
    <cellStyle name="Notas 9 4 6" xfId="36944" xr:uid="{6196E3CD-EDD0-4658-B9AA-11E323F78D93}"/>
    <cellStyle name="Notas 9 5" xfId="5950" xr:uid="{773D1344-CAE9-407C-8385-FE86F0EC5EE3}"/>
    <cellStyle name="Notas 9 5 2" xfId="8819" xr:uid="{4232AB63-0F34-47CD-92E0-5E0D1F73C579}"/>
    <cellStyle name="Notas 9 5 2 2" xfId="23184" xr:uid="{7F5D7A38-F19E-4917-B910-227FF6416748}"/>
    <cellStyle name="Notas 9 5 2 3" xfId="29051" xr:uid="{80283EFE-EA56-4A93-B87D-905680263E1B}"/>
    <cellStyle name="Notas 9 5 2 4" xfId="34933" xr:uid="{5BF94908-587F-464E-9B0E-022FCEF62189}"/>
    <cellStyle name="Notas 9 5 2 5" xfId="40797" xr:uid="{48E862DC-1CC7-4916-98C5-27B1412C2A19}"/>
    <cellStyle name="Notas 9 5 3" xfId="20400" xr:uid="{D02A6D0C-456A-4808-A81C-334687501CEF}"/>
    <cellStyle name="Notas 9 5 4" xfId="26201" xr:uid="{20466E21-E43B-4B27-AE32-2BE493EB7373}"/>
    <cellStyle name="Notas 9 5 5" xfId="32076" xr:uid="{11FB03FD-107A-485B-BDA5-1A56E92CA211}"/>
    <cellStyle name="Notas 9 5 6" xfId="37941" xr:uid="{3DE1ECA0-8C3A-4BC3-8935-ABE21B9EBBE1}"/>
    <cellStyle name="Notas 9 6" xfId="6836" xr:uid="{1324DD19-53A3-46A2-8E32-B4C4675E4E19}"/>
    <cellStyle name="Notas 9 6 2" xfId="21259" xr:uid="{F0579F20-7108-4170-8CB7-CA463A36B4A9}"/>
    <cellStyle name="Notas 9 6 3" xfId="27074" xr:uid="{31137C6D-2E10-4753-A15A-62C9A4AF33A1}"/>
    <cellStyle name="Notas 9 6 4" xfId="32951" xr:uid="{E4B3D71C-363E-4807-9CA3-2577B28E1375}"/>
    <cellStyle name="Notas 9 6 5" xfId="38815" xr:uid="{36698545-C241-4F16-AF4E-B13DF8D0A252}"/>
    <cellStyle name="Notas 9 7" xfId="18510" xr:uid="{AA179AD0-A743-46FC-B720-C0FB2358660B}"/>
    <cellStyle name="Notas 9 8" xfId="24219" xr:uid="{4C155749-73AB-4C61-B2D9-AA1A9C87D70F}"/>
    <cellStyle name="Notas 9 9" xfId="30097" xr:uid="{352ED3D5-D0B9-4FB8-A691-95D2D20D7BDB}"/>
    <cellStyle name="Porcentaje" xfId="3324" builtinId="5"/>
    <cellStyle name="Porcentaje 10" xfId="4225" xr:uid="{1AA494F9-C780-4357-917B-F9FCD7998934}"/>
    <cellStyle name="Porcentaje 10 2" xfId="4704" xr:uid="{5B18BAEA-FD5F-4A5C-9433-D28919721F28}"/>
    <cellStyle name="Porcentaje 10 2 2" xfId="5672" xr:uid="{832FB094-E459-499E-B0A5-8F8F1470A29B}"/>
    <cellStyle name="Porcentaje 10 2 2 2" xfId="8540" xr:uid="{7912D36B-547E-4D08-A3CF-EC386B858390}"/>
    <cellStyle name="Porcentaje 10 2 2 2 2" xfId="22912" xr:uid="{E410046C-E91A-4581-92A6-7F7C9435E3DC}"/>
    <cellStyle name="Porcentaje 10 2 2 2 3" xfId="28773" xr:uid="{8BC48F7E-2114-47A3-9E3F-F6ACD9A97780}"/>
    <cellStyle name="Porcentaje 10 2 2 2 4" xfId="34655" xr:uid="{32E8EA3B-A30E-4FCF-996F-DA4588AB3199}"/>
    <cellStyle name="Porcentaje 10 2 2 2 5" xfId="40519" xr:uid="{72F9F9A3-227F-476D-B08C-510821226A2A}"/>
    <cellStyle name="Porcentaje 10 2 2 3" xfId="20129" xr:uid="{EF40BB33-52D4-4063-98A9-5BAA852AABEE}"/>
    <cellStyle name="Porcentaje 10 2 2 4" xfId="25923" xr:uid="{5FF28E14-087B-48D8-8F80-28DCC3D41883}"/>
    <cellStyle name="Porcentaje 10 2 2 5" xfId="31798" xr:uid="{8B0BA819-6958-49FF-8EC9-42CE6EC6963C}"/>
    <cellStyle name="Porcentaje 10 2 2 6" xfId="37665" xr:uid="{01482C05-4BBD-4EC2-BC95-3A3444562383}"/>
    <cellStyle name="Porcentaje 10 2 3" xfId="7568" xr:uid="{D1820482-D431-45FA-840E-E4013AC1CBEF}"/>
    <cellStyle name="Porcentaje 10 2 3 2" xfId="21962" xr:uid="{C24A5910-2EC1-4FF4-94E9-8DBCE03FEFE9}"/>
    <cellStyle name="Porcentaje 10 2 3 3" xfId="27802" xr:uid="{2DDAD0CD-10A2-48E7-8C94-40753C89D321}"/>
    <cellStyle name="Porcentaje 10 2 3 4" xfId="33684" xr:uid="{418FB6A7-27C0-4DF3-A597-C953BC6A6E84}"/>
    <cellStyle name="Porcentaje 10 2 3 5" xfId="39548" xr:uid="{D3694AB2-7CF7-4C63-A9F4-91E0D7C55550}"/>
    <cellStyle name="Porcentaje 10 2 4" xfId="19194" xr:uid="{4F7B21BF-A889-4C88-9EEA-5E3FB788E6B2}"/>
    <cellStyle name="Porcentaje 10 2 5" xfId="24953" xr:uid="{08445E2B-B2B5-4230-AA05-7D69BAFE9851}"/>
    <cellStyle name="Porcentaje 10 2 6" xfId="30827" xr:uid="{0B559345-BA73-41D4-80AB-FAD9B25D5DC2}"/>
    <cellStyle name="Porcentaje 10 2 7" xfId="36708" xr:uid="{88A658ED-1483-47C7-9E09-50F20C476FF6}"/>
    <cellStyle name="Porcentaje 10 3" xfId="5188" xr:uid="{4484C7EF-E93A-4CC5-A1BD-DBBCC1B30302}"/>
    <cellStyle name="Porcentaje 10 3 2" xfId="8055" xr:uid="{001FF25E-6F41-4821-BFCF-F2165260B75C}"/>
    <cellStyle name="Porcentaje 10 3 2 2" xfId="22433" xr:uid="{2DE86F97-EB1F-4495-BF4F-C954BF8959A0}"/>
    <cellStyle name="Porcentaje 10 3 2 3" xfId="28288" xr:uid="{2509CAE7-A0C3-41A1-8DF8-AD4061AC23BC}"/>
    <cellStyle name="Porcentaje 10 3 2 4" xfId="34170" xr:uid="{267BF2EA-731D-458F-B0D2-914498DBCF3D}"/>
    <cellStyle name="Porcentaje 10 3 2 5" xfId="40034" xr:uid="{4F7B9628-F2A5-4290-A2D6-6AD34496FF15}"/>
    <cellStyle name="Porcentaje 10 3 3" xfId="19659" xr:uid="{CCF75AEA-2804-4C5E-A2C6-18150F92C2C2}"/>
    <cellStyle name="Porcentaje 10 3 4" xfId="25439" xr:uid="{4C3C9C0A-F9A0-43A4-B3CA-452C3CCB75E5}"/>
    <cellStyle name="Porcentaje 10 3 5" xfId="31313" xr:uid="{AEE464F1-D1BE-4B05-82E1-5692C32D339F}"/>
    <cellStyle name="Porcentaje 10 3 6" xfId="37186" xr:uid="{37046D9A-CE33-4D69-80E9-9F8CE348C41F}"/>
    <cellStyle name="Porcentaje 10 4" xfId="7083" xr:uid="{3FDBD837-BFA4-48C2-9A32-0D84168E7858}"/>
    <cellStyle name="Porcentaje 10 4 2" xfId="21495" xr:uid="{B15DA316-D744-44D9-9814-AA6E8477DA47}"/>
    <cellStyle name="Porcentaje 10 4 3" xfId="27318" xr:uid="{0B56389C-6CF5-4269-8D0D-63CC50474EA4}"/>
    <cellStyle name="Porcentaje 10 4 4" xfId="33199" xr:uid="{79162A5D-0684-44BB-B18E-836503FBED25}"/>
    <cellStyle name="Porcentaje 10 4 5" xfId="39063" xr:uid="{3639B022-B704-4B47-8B2A-4C79C3BAF1F3}"/>
    <cellStyle name="Porcentaje 10 5" xfId="18752" xr:uid="{35A9C458-0D46-459C-AC76-659EF9D18E71}"/>
    <cellStyle name="Porcentaje 10 6" xfId="24468" xr:uid="{396DB390-7792-436E-9D3F-D69D2FA6FEB6}"/>
    <cellStyle name="Porcentaje 10 7" xfId="30346" xr:uid="{DA750D22-8AE7-4F05-9CD9-6FAB35B0E095}"/>
    <cellStyle name="Porcentaje 10 8" xfId="36227" xr:uid="{AECC2F18-3993-403B-91ED-5F23BC7F931B}"/>
    <cellStyle name="Porcentaje 11" xfId="4769" xr:uid="{A512750C-851D-4B1C-83B1-9BC181887A58}"/>
    <cellStyle name="Porcentaje 12" xfId="6194" xr:uid="{473B1B7F-D821-4EDF-9AF2-AAF436843378}"/>
    <cellStyle name="Porcentaje 12 2" xfId="9063" xr:uid="{C9072183-9185-4BD9-983E-AAF4FBDF332C}"/>
    <cellStyle name="Porcentaje 12 2 2" xfId="23427" xr:uid="{9C61A619-8C49-47DB-A2B2-16283AEF3B7B}"/>
    <cellStyle name="Porcentaje 12 2 3" xfId="29294" xr:uid="{248D1EFF-0192-4A85-B39F-A629B83F1C6D}"/>
    <cellStyle name="Porcentaje 12 2 4" xfId="35176" xr:uid="{1B7554DE-E13C-43B1-808F-9798813E6651}"/>
    <cellStyle name="Porcentaje 12 2 5" xfId="41037" xr:uid="{5C688DD7-C4CC-4C73-AFBA-2EC0CA63D034}"/>
    <cellStyle name="Porcentaje 12 3" xfId="20642" xr:uid="{4CA0FA23-D94A-476B-9BCD-661280A55EB0}"/>
    <cellStyle name="Porcentaje 12 4" xfId="26444" xr:uid="{3FC80289-A803-4A1F-8848-9E11993B2A8D}"/>
    <cellStyle name="Porcentaje 12 5" xfId="32319" xr:uid="{8DCCF116-FEA2-4825-8FB8-32AAC9D82B83}"/>
    <cellStyle name="Porcentaje 12 6" xfId="38184" xr:uid="{8946D2C0-BAB7-4507-9753-B197C289E28B}"/>
    <cellStyle name="Porcentaje 13" xfId="6293" xr:uid="{CEDF670A-583E-402F-B526-B6904D56A7F4}"/>
    <cellStyle name="Porcentaje 13 2" xfId="9162" xr:uid="{C5264DF8-1E76-42AD-A3B7-EDD24F3D7E54}"/>
    <cellStyle name="Porcentaje 13 2 2" xfId="23526" xr:uid="{162CB4B9-9647-4257-B1FA-DE4962ADDD5B}"/>
    <cellStyle name="Porcentaje 13 2 3" xfId="29393" xr:uid="{BCBE7195-FF9D-49CE-8EEC-266356B2BEC8}"/>
    <cellStyle name="Porcentaje 13 2 4" xfId="35275" xr:uid="{E778E371-D4F5-4A75-8E0C-D153F3F50B69}"/>
    <cellStyle name="Porcentaje 13 2 5" xfId="41134" xr:uid="{ADD8E7F2-1CAA-42C3-98DC-613D7980870C}"/>
    <cellStyle name="Porcentaje 13 3" xfId="20734" xr:uid="{57D3477C-F876-4679-B338-CC496609C50B}"/>
    <cellStyle name="Porcentaje 13 4" xfId="26543" xr:uid="{E8289F16-FDEF-43DE-8801-4A5D81B3C3E7}"/>
    <cellStyle name="Porcentaje 13 5" xfId="32418" xr:uid="{05AE20DB-82A5-4A79-B94C-658213BAFDBC}"/>
    <cellStyle name="Porcentaje 13 6" xfId="38283" xr:uid="{C058D190-F5A7-42E9-87A6-488872C2EA7A}"/>
    <cellStyle name="Porcentaje 14" xfId="6389" xr:uid="{83306610-E531-4F10-A546-C154ECA387A4}"/>
    <cellStyle name="Porcentaje 14 2" xfId="9254" xr:uid="{15FF4368-D107-4A9A-ACA3-EDE941164BA2}"/>
    <cellStyle name="Porcentaje 14 2 2" xfId="23617" xr:uid="{B7FC17CE-8D31-4BBC-9B8C-D66A7DB680AC}"/>
    <cellStyle name="Porcentaje 14 2 3" xfId="29485" xr:uid="{9FB6A5EB-38AE-468E-B6F1-C6A84FF2E909}"/>
    <cellStyle name="Porcentaje 14 2 4" xfId="35367" xr:uid="{EE798245-2A78-443A-B034-6B5510FF2A8B}"/>
    <cellStyle name="Porcentaje 14 2 5" xfId="41226" xr:uid="{A7107546-D5F1-43C1-83EC-A1C38A4ABBB9}"/>
    <cellStyle name="Porcentaje 14 3" xfId="20830" xr:uid="{B54FBC60-AEC2-45B1-97ED-06FF006C9C44}"/>
    <cellStyle name="Porcentaje 14 4" xfId="26639" xr:uid="{A92AF478-D62F-4D13-8E4B-790949BF50F4}"/>
    <cellStyle name="Porcentaje 14 5" xfId="32514" xr:uid="{8A892386-5E9D-49B2-AA18-85153B5AB7FD}"/>
    <cellStyle name="Porcentaje 14 6" xfId="38378" xr:uid="{56A1FFF6-7E98-4137-818A-B7BF4850D2CE}"/>
    <cellStyle name="Porcentaje 15" xfId="6416" xr:uid="{A389CF9F-C964-4E31-B486-9061C22ECB6D}"/>
    <cellStyle name="Porcentaje 15 2" xfId="9279" xr:uid="{A97C4D9D-E252-48BB-9222-34DB67973168}"/>
    <cellStyle name="Porcentaje 15 2 2" xfId="23642" xr:uid="{A0B88FF7-83EF-414C-8067-67B419CEC2B8}"/>
    <cellStyle name="Porcentaje 15 2 3" xfId="29510" xr:uid="{D08E9DC0-87E7-4338-BF0F-D5ABFBCD25E7}"/>
    <cellStyle name="Porcentaje 15 2 4" xfId="35392" xr:uid="{6194C1D1-30FC-47AF-9614-EB1AD954BFEF}"/>
    <cellStyle name="Porcentaje 15 2 5" xfId="41251" xr:uid="{59BF6C87-440B-4EBB-8B23-7E01B53677C0}"/>
    <cellStyle name="Porcentaje 15 3" xfId="20857" xr:uid="{7E82AD8C-A347-456C-99C7-CDDC1C603AEE}"/>
    <cellStyle name="Porcentaje 15 4" xfId="26666" xr:uid="{B7882945-67A3-4A33-8EC0-EF290F31D24F}"/>
    <cellStyle name="Porcentaje 15 5" xfId="32541" xr:uid="{5B2D29FB-C1EC-497B-B6ED-4D1C32747FB5}"/>
    <cellStyle name="Porcentaje 15 6" xfId="38405" xr:uid="{CC2ABACE-736F-46EA-B59E-D582E7E5DAE1}"/>
    <cellStyle name="Porcentaje 16" xfId="6552" xr:uid="{BD9EE8A3-4919-43F3-9A36-56515D3FAD95}"/>
    <cellStyle name="Porcentaje 16 2" xfId="9413" xr:uid="{34F5434C-AE1A-47A3-B143-DC76ECD4A1E7}"/>
    <cellStyle name="Porcentaje 16 2 2" xfId="23776" xr:uid="{DB6BF4E3-4A8A-48ED-9552-AA2DC4F4B43F}"/>
    <cellStyle name="Porcentaje 16 2 3" xfId="29644" xr:uid="{385060AA-B901-40EA-A87A-ABA68A35A08C}"/>
    <cellStyle name="Porcentaje 16 2 4" xfId="35526" xr:uid="{95ACE390-ADC2-4D2B-87AC-1EF9BFF38D72}"/>
    <cellStyle name="Porcentaje 16 2 5" xfId="41385" xr:uid="{98A7D4B6-30ED-4FBB-A983-2B8DF879646A}"/>
    <cellStyle name="Porcentaje 16 3" xfId="20991" xr:uid="{272E46EC-3CCF-4595-9240-5F6A6102FAED}"/>
    <cellStyle name="Porcentaje 16 4" xfId="26802" xr:uid="{BD028F3E-9B0A-4167-B328-6462E371B0EF}"/>
    <cellStyle name="Porcentaje 16 5" xfId="32677" xr:uid="{464F0D34-67B6-4441-9479-51628E1E25FF}"/>
    <cellStyle name="Porcentaje 16 6" xfId="38541" xr:uid="{8786A5DA-DB6D-467E-AC4D-E53B028866C2}"/>
    <cellStyle name="Porcentaje 17" xfId="6579" xr:uid="{5EB4559D-A091-4A43-B8E8-2D56D69B74F9}"/>
    <cellStyle name="Porcentaje 17 2" xfId="9439" xr:uid="{3B366677-382B-4931-8F79-3ED0CB8D0D56}"/>
    <cellStyle name="Porcentaje 17 2 2" xfId="23801" xr:uid="{DA6C1565-A2F7-48B6-91AC-A802FCB85B07}"/>
    <cellStyle name="Porcentaje 17 2 3" xfId="29670" xr:uid="{6B5D6FD3-64C2-4CC6-9617-2BFEBE464AE1}"/>
    <cellStyle name="Porcentaje 17 2 4" xfId="35552" xr:uid="{95E85C82-F4EA-42E5-BCCB-4821E8435F9D}"/>
    <cellStyle name="Porcentaje 17 2 5" xfId="41411" xr:uid="{E2DB0079-BD28-415E-AA2D-CFC90DD86043}"/>
    <cellStyle name="Porcentaje 17 3" xfId="21017" xr:uid="{AF4E9BBB-1BB7-4B32-8BD3-F48E5BD6658C}"/>
    <cellStyle name="Porcentaje 17 4" xfId="26828" xr:uid="{1C75CCD3-BC4D-4A0E-A47F-7126087690C5}"/>
    <cellStyle name="Porcentaje 17 5" xfId="32703" xr:uid="{9FB32B8E-6C48-4481-A5EA-071E47F79910}"/>
    <cellStyle name="Porcentaje 17 6" xfId="38567" xr:uid="{C0EC334B-D97B-43DD-A806-A7FB6D707043}"/>
    <cellStyle name="Porcentaje 18" xfId="15809" xr:uid="{A6765E7D-7E8A-41DA-A304-3371DF783E9F}"/>
    <cellStyle name="Porcentaje 18 2" xfId="18337" xr:uid="{C7BF9BD4-2A81-4E5A-B627-E11C9306E420}"/>
    <cellStyle name="Porcentaje 2" xfId="211" xr:uid="{00000000-0005-0000-0000-00003F070000}"/>
    <cellStyle name="Porcentaje 2 10" xfId="24048" xr:uid="{40FE54E6-A239-466A-A487-85DF0A36B178}"/>
    <cellStyle name="Porcentaje 2 11" xfId="29926" xr:uid="{71F01A51-7892-446D-BD8E-D7DA20F3D2BD}"/>
    <cellStyle name="Porcentaje 2 12" xfId="35807" xr:uid="{F8A94351-1119-453F-AE6E-28651C5FCFA7}"/>
    <cellStyle name="Porcentaje 2 2" xfId="1688" xr:uid="{00000000-0005-0000-0000-000040070000}"/>
    <cellStyle name="Porcentaje 2 2 2" xfId="4499" xr:uid="{11B9329A-CFA7-4D40-BD5E-C1B52C8A6834}"/>
    <cellStyle name="Porcentaje 2 2 2 2" xfId="5467" xr:uid="{61D6119E-6A26-49A9-988A-7FE864E52A8E}"/>
    <cellStyle name="Porcentaje 2 2 2 2 2" xfId="8334" xr:uid="{6E45B8FD-1863-44B8-86BE-7CEE91564DB7}"/>
    <cellStyle name="Porcentaje 2 2 2 2 2 2" xfId="22710" xr:uid="{2EE25B2C-6F3F-4656-9DF8-A60D8DBF9274}"/>
    <cellStyle name="Porcentaje 2 2 2 2 2 3" xfId="28567" xr:uid="{3807DD94-3C76-4C95-8CA4-37D4DF0F7D4F}"/>
    <cellStyle name="Porcentaje 2 2 2 2 2 4" xfId="34449" xr:uid="{4096EA89-9353-4735-99F0-62FF2D0D47E0}"/>
    <cellStyle name="Porcentaje 2 2 2 2 2 5" xfId="40313" xr:uid="{F0626FDF-BA42-4A2E-9517-7245E624727F}"/>
    <cellStyle name="Porcentaje 2 2 2 2 3" xfId="19929" xr:uid="{82FEB566-0A3E-4D56-B543-962534042769}"/>
    <cellStyle name="Porcentaje 2 2 2 2 4" xfId="25718" xr:uid="{E8D7A71B-D43C-4E42-B6DB-99CBD4B380A0}"/>
    <cellStyle name="Porcentaje 2 2 2 2 5" xfId="31592" xr:uid="{77825AF5-95CB-47FB-AC9A-29519B84BD00}"/>
    <cellStyle name="Porcentaje 2 2 2 2 6" xfId="37463" xr:uid="{CF196591-4115-421B-9DCB-6B0E1DCB2B73}"/>
    <cellStyle name="Porcentaje 2 2 2 3" xfId="7362" xr:uid="{585A5F84-F69E-4C62-9966-D432C2100CA7}"/>
    <cellStyle name="Porcentaje 2 2 2 3 2" xfId="21765" xr:uid="{43239506-FF09-44F5-83D2-54870FDF690A}"/>
    <cellStyle name="Porcentaje 2 2 2 3 3" xfId="27596" xr:uid="{77DD412D-2D32-4FB4-B03B-A4A7C2ABB53A}"/>
    <cellStyle name="Porcentaje 2 2 2 3 4" xfId="33478" xr:uid="{8475C5C8-B84D-430E-BD10-F75B8B00413B}"/>
    <cellStyle name="Porcentaje 2 2 2 3 5" xfId="39342" xr:uid="{0BA0C1A2-96DB-454F-BD9B-FDB5FFF4651C}"/>
    <cellStyle name="Porcentaje 2 2 2 4" xfId="19001" xr:uid="{766387F3-0E93-4DE8-85D7-FF70D0038415}"/>
    <cellStyle name="Porcentaje 2 2 2 5" xfId="24747" xr:uid="{6568C7F4-435B-41DA-B80A-6C980B31C8EF}"/>
    <cellStyle name="Porcentaje 2 2 2 6" xfId="30624" xr:uid="{7E749BCE-75EC-49DC-A362-BE090D81A337}"/>
    <cellStyle name="Porcentaje 2 2 2 7" xfId="36506" xr:uid="{5619A6F3-CD32-4EE1-A7B5-4B25D1367411}"/>
    <cellStyle name="Porcentaje 2 2 3" xfId="4982" xr:uid="{2BC77241-D39A-4511-B5EB-73E8F035BAAB}"/>
    <cellStyle name="Porcentaje 2 2 3 2" xfId="7849" xr:uid="{ED962FF7-8BFC-4EDA-9F1C-F105EF4D64D1}"/>
    <cellStyle name="Porcentaje 2 2 3 2 2" xfId="22235" xr:uid="{1595325C-9708-4218-ABEB-3728DB64DFEC}"/>
    <cellStyle name="Porcentaje 2 2 3 2 3" xfId="28082" xr:uid="{710446AF-6F06-466C-9CE3-FF2ECDCAA1E9}"/>
    <cellStyle name="Porcentaje 2 2 3 2 4" xfId="33964" xr:uid="{BD026683-13A1-4B1C-947A-73D90360815C}"/>
    <cellStyle name="Porcentaje 2 2 3 2 5" xfId="39828" xr:uid="{A636250D-D9C9-489D-914E-AD9B8D23003C}"/>
    <cellStyle name="Porcentaje 2 2 3 3" xfId="19462" xr:uid="{7CE04763-5E0E-4E60-9058-58DF297E50F6}"/>
    <cellStyle name="Porcentaje 2 2 3 4" xfId="25233" xr:uid="{96ACC67A-11DE-4052-8638-0EF8FD1C7CBF}"/>
    <cellStyle name="Porcentaje 2 2 3 5" xfId="31107" xr:uid="{39706EB4-5104-4004-AEBD-7FE5CDA07CDC}"/>
    <cellStyle name="Porcentaje 2 2 3 6" xfId="36986" xr:uid="{547B89E5-8675-4D05-96EB-339DD45FDE61}"/>
    <cellStyle name="Porcentaje 2 2 4" xfId="6877" xr:uid="{4F9C4C26-0676-4192-9A1E-6B52824C7FF7}"/>
    <cellStyle name="Porcentaje 2 2 4 2" xfId="21299" xr:uid="{DE606ADD-ED66-4BEB-9E83-0849DA2E5141}"/>
    <cellStyle name="Porcentaje 2 2 4 3" xfId="27116" xr:uid="{B88A4EA0-7825-42DD-A45C-4978657D434E}"/>
    <cellStyle name="Porcentaje 2 2 4 4" xfId="32993" xr:uid="{3A4E1EB3-AD2B-42EA-B07A-5B86F58B5D5C}"/>
    <cellStyle name="Porcentaje 2 2 4 5" xfId="38857" xr:uid="{3059B0DE-50FB-4E28-A532-B02DC5FD9BA2}"/>
    <cellStyle name="Porcentaje 2 2 5" xfId="18554" xr:uid="{DA53CD2B-93CB-4EB2-902C-CB678CFA00A3}"/>
    <cellStyle name="Porcentaje 2 2 6" xfId="24264" xr:uid="{332CDC6C-5BE3-4E98-91AE-1CD175013FE9}"/>
    <cellStyle name="Porcentaje 2 2 7" xfId="30142" xr:uid="{AA765B7C-5188-43E2-B2AE-EB2DC2D7C047}"/>
    <cellStyle name="Porcentaje 2 2 8" xfId="36021" xr:uid="{78F22928-C064-4393-B4E9-50D2460EDEAC}"/>
    <cellStyle name="Porcentaje 2 3" xfId="4257" xr:uid="{982D01F1-EC64-4623-AFDF-34E79A5E972E}"/>
    <cellStyle name="Porcentaje 2 3 2" xfId="4737" xr:uid="{75E41631-3F0F-4680-BA00-44F42C64CD4F}"/>
    <cellStyle name="Porcentaje 2 3 2 2" xfId="5705" xr:uid="{500BC0A0-B801-440A-85ED-9627EF612582}"/>
    <cellStyle name="Porcentaje 2 3 2 2 2" xfId="8573" xr:uid="{EFBFDB46-9AC2-4437-BE4E-D705DEBDFEB6}"/>
    <cellStyle name="Porcentaje 2 3 2 2 2 2" xfId="22945" xr:uid="{52414851-518E-48FA-8E07-5AFCAE0A551B}"/>
    <cellStyle name="Porcentaje 2 3 2 2 2 3" xfId="28806" xr:uid="{B5F6AD35-09BB-45F6-A708-22DF3F06D63B}"/>
    <cellStyle name="Porcentaje 2 3 2 2 2 4" xfId="34688" xr:uid="{488E9713-7544-402B-B3DD-9B865F27D369}"/>
    <cellStyle name="Porcentaje 2 3 2 2 2 5" xfId="40552" xr:uid="{D6296B8B-1FC9-4EFA-9303-A5BF8EFE78CA}"/>
    <cellStyle name="Porcentaje 2 3 2 2 3" xfId="20162" xr:uid="{A8499EE2-07FC-41EC-A89B-3A3FED307CB7}"/>
    <cellStyle name="Porcentaje 2 3 2 2 4" xfId="25956" xr:uid="{FBD8E463-DFD7-4916-92FD-DC7FEA6C148B}"/>
    <cellStyle name="Porcentaje 2 3 2 2 5" xfId="31831" xr:uid="{CB735F97-D4E1-4541-B269-4F3E575B5707}"/>
    <cellStyle name="Porcentaje 2 3 2 2 6" xfId="37698" xr:uid="{8D217570-0D36-482A-8B38-CB09283640CF}"/>
    <cellStyle name="Porcentaje 2 3 2 3" xfId="7601" xr:uid="{FC1503BE-F9CE-40E3-B0EE-626C99BE3587}"/>
    <cellStyle name="Porcentaje 2 3 2 3 2" xfId="21995" xr:uid="{6C1AAC87-1CC4-4B2F-99FC-BEE30446C6D5}"/>
    <cellStyle name="Porcentaje 2 3 2 3 3" xfId="27835" xr:uid="{C300206E-9896-49C6-9CFE-C4AE632B9E81}"/>
    <cellStyle name="Porcentaje 2 3 2 3 4" xfId="33717" xr:uid="{0D9DAA4C-5D84-4588-B606-AD934BAB67A0}"/>
    <cellStyle name="Porcentaje 2 3 2 3 5" xfId="39581" xr:uid="{438C19C0-6BE8-4DF3-ADAC-48E4A7A5D075}"/>
    <cellStyle name="Porcentaje 2 3 2 4" xfId="19226" xr:uid="{1B156161-6D2B-4101-80D4-DC8054AB08DC}"/>
    <cellStyle name="Porcentaje 2 3 2 5" xfId="24986" xr:uid="{2AAA252B-B99B-4478-A401-7BC92B37B9A8}"/>
    <cellStyle name="Porcentaje 2 3 2 6" xfId="30860" xr:uid="{FE9D1F4E-AF65-4BAF-99FE-CB20749436AF}"/>
    <cellStyle name="Porcentaje 2 3 2 7" xfId="36741" xr:uid="{EA06C04A-C07A-4248-BEFB-DA8FB0AA2DC5}"/>
    <cellStyle name="Porcentaje 2 3 3" xfId="5221" xr:uid="{1E7966E0-947E-4D75-B352-6B534ECF97EF}"/>
    <cellStyle name="Porcentaje 2 3 3 2" xfId="8088" xr:uid="{F8475B91-8618-49AB-A501-6AE49F4DA094}"/>
    <cellStyle name="Porcentaje 2 3 3 2 2" xfId="22466" xr:uid="{70FD1754-394E-47F9-A83A-AB6CFC6FF23D}"/>
    <cellStyle name="Porcentaje 2 3 3 2 3" xfId="28321" xr:uid="{A13973BA-E1CE-4700-B157-2C59A41A73E7}"/>
    <cellStyle name="Porcentaje 2 3 3 2 4" xfId="34203" xr:uid="{B6572257-2ED8-47C1-A2CE-F9896B4F0ADF}"/>
    <cellStyle name="Porcentaje 2 3 3 2 5" xfId="40067" xr:uid="{D5AE6FCF-BC70-4E44-8E39-2C97ACBBA927}"/>
    <cellStyle name="Porcentaje 2 3 3 3" xfId="19691" xr:uid="{8CF2DDA4-0A53-4EBC-99AE-387DBA149AD0}"/>
    <cellStyle name="Porcentaje 2 3 3 4" xfId="25472" xr:uid="{5A3B58F7-E207-4B01-863F-04FF25612BC9}"/>
    <cellStyle name="Porcentaje 2 3 3 5" xfId="31346" xr:uid="{DEBE4BA5-BF07-4B35-B422-0269E1E23A8A}"/>
    <cellStyle name="Porcentaje 2 3 3 6" xfId="37219" xr:uid="{42D791AC-33F1-4318-A88D-630E8B4D6F4C}"/>
    <cellStyle name="Porcentaje 2 3 4" xfId="7116" xr:uid="{FE5521B6-9627-4961-9569-055985D259D6}"/>
    <cellStyle name="Porcentaje 2 3 4 2" xfId="21527" xr:uid="{01185E1A-4683-4C2A-AA09-73883C025BF3}"/>
    <cellStyle name="Porcentaje 2 3 4 3" xfId="27351" xr:uid="{86162FFB-F5B4-4977-B449-C86236A399DD}"/>
    <cellStyle name="Porcentaje 2 3 4 4" xfId="33232" xr:uid="{EE973F35-65B5-4DE7-A533-9E5C90F75D8D}"/>
    <cellStyle name="Porcentaje 2 3 4 5" xfId="39096" xr:uid="{B52EBE69-98D4-4594-89E2-143C41490EFF}"/>
    <cellStyle name="Porcentaje 2 3 5" xfId="18778" xr:uid="{0131B3E9-178D-4DCD-BAD2-A4938072E0F5}"/>
    <cellStyle name="Porcentaje 2 3 6" xfId="24500" xr:uid="{E8A03954-5E97-4CEC-9BF0-94E97F8A01F5}"/>
    <cellStyle name="Porcentaje 2 3 7" xfId="30379" xr:uid="{7A594005-3768-43BD-BD9F-327CC16EFDA2}"/>
    <cellStyle name="Porcentaje 2 3 8" xfId="36260" xr:uid="{7681F611-0CB4-4A1F-B500-1A896D0549E4}"/>
    <cellStyle name="Porcentaje 2 4" xfId="4305" xr:uid="{4251BAAC-4CEC-40FB-914A-9287D31C4A68}"/>
    <cellStyle name="Porcentaje 2 4 2" xfId="5271" xr:uid="{D4678A1B-0C31-49B0-8267-DC5148CCDE11}"/>
    <cellStyle name="Porcentaje 2 4 2 2" xfId="8138" xr:uid="{C68D51FF-0D03-4089-8ADB-80666725B8F1}"/>
    <cellStyle name="Porcentaje 2 4 2 2 2" xfId="22515" xr:uid="{B7D28D37-39E7-4A52-8B2A-8E0338578CB2}"/>
    <cellStyle name="Porcentaje 2 4 2 2 3" xfId="28371" xr:uid="{770B4BC1-940F-43C3-AB1E-603FA36F3187}"/>
    <cellStyle name="Porcentaje 2 4 2 2 4" xfId="34253" xr:uid="{FBA55493-DE95-439B-89B3-AF9BCEE6A6E0}"/>
    <cellStyle name="Porcentaje 2 4 2 2 5" xfId="40117" xr:uid="{FBC52F35-3D45-4BD2-A55D-F3C37C2D10E0}"/>
    <cellStyle name="Porcentaje 2 4 2 3" xfId="19740" xr:uid="{9850CD68-FC3C-4C8C-A43A-500E0DAE8B6F}"/>
    <cellStyle name="Porcentaje 2 4 2 4" xfId="25522" xr:uid="{A3BB5B83-DF0E-4E6D-B64D-7CAE873A6FCE}"/>
    <cellStyle name="Porcentaje 2 4 2 5" xfId="31396" xr:uid="{62A1F4F0-B9A3-4FE2-91CE-2DB794313F78}"/>
    <cellStyle name="Porcentaje 2 4 2 6" xfId="37268" xr:uid="{F1BBAA97-9069-4F7A-8EE4-4597C64BC2ED}"/>
    <cellStyle name="Porcentaje 2 4 3" xfId="7166" xr:uid="{200B5B81-F089-4CCF-9548-B90E94E49AE9}"/>
    <cellStyle name="Porcentaje 2 4 3 2" xfId="21575" xr:uid="{DCE9099B-7A74-4E02-B8A7-75D588A65C16}"/>
    <cellStyle name="Porcentaje 2 4 3 3" xfId="27400" xr:uid="{3D039908-A6AD-4147-B24E-C9E3B2437437}"/>
    <cellStyle name="Porcentaje 2 4 3 4" xfId="33282" xr:uid="{9F0C574C-B24F-46B8-81C5-0A3F2D039A78}"/>
    <cellStyle name="Porcentaje 2 4 3 5" xfId="39146" xr:uid="{0E6B8A5B-9ED9-4A62-8696-62377051EB19}"/>
    <cellStyle name="Porcentaje 2 4 4" xfId="18812" xr:uid="{2DDFEBED-C471-4AC5-96F5-74D4D7ED03F9}"/>
    <cellStyle name="Porcentaje 2 4 5" xfId="24551" xr:uid="{4BE27D73-DA34-466A-8162-F791A14CD613}"/>
    <cellStyle name="Porcentaje 2 4 6" xfId="30430" xr:uid="{FC263BD0-97DF-436F-AC50-D5EC86A02190}"/>
    <cellStyle name="Porcentaje 2 4 7" xfId="36311" xr:uid="{63F4A6E8-F5F7-48D0-BF20-BBF04E1B6267}"/>
    <cellStyle name="Porcentaje 2 5" xfId="4789" xr:uid="{D974B8C9-5226-4F5A-97D8-E98A8F4070BF}"/>
    <cellStyle name="Porcentaje 2 5 2" xfId="7652" xr:uid="{F804BB28-46DA-4316-9851-598E2F21BCCF}"/>
    <cellStyle name="Porcentaje 2 5 2 2" xfId="22045" xr:uid="{48458ED5-67E2-40A2-803B-7149F74B4BB1}"/>
    <cellStyle name="Porcentaje 2 5 2 3" xfId="27886" xr:uid="{13AC258D-D294-45AE-89C5-F0B059383C20}"/>
    <cellStyle name="Porcentaje 2 5 2 4" xfId="33768" xr:uid="{66220DE9-0B22-4F53-98A0-1DF5FAFA65A1}"/>
    <cellStyle name="Porcentaje 2 5 2 5" xfId="39632" xr:uid="{190716EE-21E4-4181-9362-9DD0E34C1B03}"/>
    <cellStyle name="Porcentaje 2 5 3" xfId="19271" xr:uid="{98C30C30-D251-472C-934F-E4FF439A5987}"/>
    <cellStyle name="Porcentaje 2 5 4" xfId="25037" xr:uid="{A540DF43-9704-41DC-8E89-B3156FFD3473}"/>
    <cellStyle name="Porcentaje 2 5 5" xfId="30911" xr:uid="{A33F2622-6C43-4958-8CB7-B5D1B81DF3CE}"/>
    <cellStyle name="Porcentaje 2 5 6" xfId="36791" xr:uid="{5D167D37-9AC6-4DEB-8F5E-2F49D6388DE6}"/>
    <cellStyle name="Porcentaje 2 6" xfId="5795" xr:uid="{B704EE79-A9B5-4C34-95CA-E6B2803B3E7F}"/>
    <cellStyle name="Porcentaje 2 6 2" xfId="8664" xr:uid="{68B384FB-1E61-4B34-873A-36D418181E56}"/>
    <cellStyle name="Porcentaje 2 6 2 2" xfId="23034" xr:uid="{B8F290F0-6281-4F76-85A1-FE8D0473CE62}"/>
    <cellStyle name="Porcentaje 2 6 2 3" xfId="28897" xr:uid="{F6E8AC01-A99A-4169-B6DE-7DB68AF2AE5F}"/>
    <cellStyle name="Porcentaje 2 6 2 4" xfId="34779" xr:uid="{411BA5D6-D065-4DD4-912D-DA7728A78F81}"/>
    <cellStyle name="Porcentaje 2 6 2 5" xfId="40643" xr:uid="{F69CBF24-C3CB-4EFD-B834-704F66B2B984}"/>
    <cellStyle name="Porcentaje 2 6 3" xfId="20250" xr:uid="{1645516F-7009-4343-A489-FADE0438FAB4}"/>
    <cellStyle name="Porcentaje 2 6 4" xfId="26047" xr:uid="{60BF54E2-7475-4AE5-8BEC-DCCDE1CD7096}"/>
    <cellStyle name="Porcentaje 2 6 5" xfId="31922" xr:uid="{553E10D6-ED13-4B9E-B9BE-05F986316053}"/>
    <cellStyle name="Porcentaje 2 6 6" xfId="37788" xr:uid="{470C48EB-2CE0-4549-A014-BC3F10C566C5}"/>
    <cellStyle name="Porcentaje 2 7" xfId="6219" xr:uid="{B28D04AF-A503-4F6B-98C3-CA60BA303081}"/>
    <cellStyle name="Porcentaje 2 7 2" xfId="9088" xr:uid="{922484E9-C45B-4DB6-9AD0-320F4B774557}"/>
    <cellStyle name="Porcentaje 2 7 2 2" xfId="23452" xr:uid="{D9B092F0-0D66-4629-86A9-3302D58E645F}"/>
    <cellStyle name="Porcentaje 2 7 2 3" xfId="29319" xr:uid="{769B5D96-FCC2-4408-B16D-F2D7C01C685A}"/>
    <cellStyle name="Porcentaje 2 7 2 4" xfId="35201" xr:uid="{8874BA61-5AF3-4CCC-B6F2-A09F26DD9C95}"/>
    <cellStyle name="Porcentaje 2 7 2 5" xfId="41062" xr:uid="{D3FC424D-F54E-4C10-8868-4E8102F41248}"/>
    <cellStyle name="Porcentaje 2 7 3" xfId="20665" xr:uid="{727F4535-9385-4AAC-8634-3B180CE362CB}"/>
    <cellStyle name="Porcentaje 2 7 4" xfId="26469" xr:uid="{A5728A6C-5F30-459C-86E4-0F7C276A01DA}"/>
    <cellStyle name="Porcentaje 2 7 5" xfId="32344" xr:uid="{7095FE2D-37B2-438E-A4AB-962523D1C453}"/>
    <cellStyle name="Porcentaje 2 7 6" xfId="38209" xr:uid="{92D9F287-25F6-4BAF-A1C3-6D649B15A04F}"/>
    <cellStyle name="Porcentaje 2 8" xfId="6681" xr:uid="{FEEECCA2-514D-4B24-879C-A7AEAE94D2E0}"/>
    <cellStyle name="Porcentaje 2 8 2" xfId="21110" xr:uid="{C667828D-8A8E-4F62-AE8A-37E4A563ECDC}"/>
    <cellStyle name="Porcentaje 2 8 3" xfId="26922" xr:uid="{08BD0C6D-A77E-4513-A40A-E8C4EB50DC79}"/>
    <cellStyle name="Porcentaje 2 8 4" xfId="32797" xr:uid="{05DBF3CE-B481-4CD6-A6F6-9DE6C622E0FE}"/>
    <cellStyle name="Porcentaje 2 8 5" xfId="38661" xr:uid="{EAAFA015-10FE-4691-AACA-A9E5E54B4940}"/>
    <cellStyle name="Porcentaje 2 9" xfId="18339" xr:uid="{40607AD0-2007-4F29-93EA-FCFE4EF62F8F}"/>
    <cellStyle name="Porcentaje 3" xfId="1689" xr:uid="{00000000-0005-0000-0000-000041070000}"/>
    <cellStyle name="Porcentaje 3 10" xfId="24057" xr:uid="{C488B4AA-05AC-4721-995D-EAB5312F0F43}"/>
    <cellStyle name="Porcentaje 3 11" xfId="29935" xr:uid="{9ED0B9F5-AC40-4730-8CAC-919A6A0876D3}"/>
    <cellStyle name="Porcentaje 3 12" xfId="35816" xr:uid="{E0263EB8-0C53-4AD2-B1EA-2A0C23403A6D}"/>
    <cellStyle name="Porcentaje 3 2" xfId="1790" xr:uid="{00000000-0005-0000-0000-000042070000}"/>
    <cellStyle name="Porcentaje 3 2 2" xfId="1939" xr:uid="{00000000-0005-0000-0000-000043070000}"/>
    <cellStyle name="Porcentaje 3 2 2 2" xfId="5474" xr:uid="{DE0DB45D-FE1A-4A1D-B45B-822C62EA962A}"/>
    <cellStyle name="Porcentaje 3 2 2 2 2" xfId="8341" xr:uid="{55D04F36-FBCD-447E-A1B7-CB28FDC74C24}"/>
    <cellStyle name="Porcentaje 3 2 2 2 2 2" xfId="22716" xr:uid="{14F6EC96-9785-4133-A2FF-1A061ABADDB6}"/>
    <cellStyle name="Porcentaje 3 2 2 2 2 3" xfId="28574" xr:uid="{07547D45-7B3F-4BD2-8A4A-ACFC15C4EC9A}"/>
    <cellStyle name="Porcentaje 3 2 2 2 2 4" xfId="34456" xr:uid="{CBDDDF38-B042-43FF-A0FC-41D592EFEF9A}"/>
    <cellStyle name="Porcentaje 3 2 2 2 2 5" xfId="40320" xr:uid="{87DF4DFF-C155-47E4-9487-EBCA3D7496D7}"/>
    <cellStyle name="Porcentaje 3 2 2 2 3" xfId="19935" xr:uid="{292C47BC-930F-4236-9AED-64B3F91070CE}"/>
    <cellStyle name="Porcentaje 3 2 2 2 4" xfId="25725" xr:uid="{9BD957BE-E4E3-4DDF-A221-1788430F2043}"/>
    <cellStyle name="Porcentaje 3 2 2 2 5" xfId="31599" xr:uid="{8DFE8525-9D8F-4806-BED6-DF7CE179DE0A}"/>
    <cellStyle name="Porcentaje 3 2 2 2 6" xfId="37469" xr:uid="{675C1CC8-0CDD-41C0-AB00-99A841815332}"/>
    <cellStyle name="Porcentaje 3 2 2 3" xfId="7369" xr:uid="{D22AD87D-5B11-4434-A8B6-161A31D1A878}"/>
    <cellStyle name="Porcentaje 3 2 2 3 2" xfId="21771" xr:uid="{42373A08-0D7C-44EF-AEC0-BF085D05F5C4}"/>
    <cellStyle name="Porcentaje 3 2 2 3 3" xfId="27603" xr:uid="{9A02ED42-541D-47E8-943D-504EDBABB492}"/>
    <cellStyle name="Porcentaje 3 2 2 3 4" xfId="33485" xr:uid="{FDEB0F96-7205-429C-8E2E-0E8D0B6AAFCC}"/>
    <cellStyle name="Porcentaje 3 2 2 3 5" xfId="39349" xr:uid="{F616EC05-1B98-44D1-9DD7-44ED4EDD61D0}"/>
    <cellStyle name="Porcentaje 3 2 2 4" xfId="4506" xr:uid="{9D74B707-986A-449A-AF8E-8B32DAB4FC65}"/>
    <cellStyle name="Porcentaje 3 2 2 5" xfId="24754" xr:uid="{D72E8022-FA35-4A0F-B23C-C406FACFA5AA}"/>
    <cellStyle name="Porcentaje 3 2 2 6" xfId="30631" xr:uid="{E249CEF7-3FAB-42C3-AF75-C7F59649782A}"/>
    <cellStyle name="Porcentaje 3 2 2 7" xfId="36512" xr:uid="{586767E1-88C7-4E11-B90D-EF548C5D2DB3}"/>
    <cellStyle name="Porcentaje 3 2 3" xfId="4989" xr:uid="{88525857-7B34-4343-8F6A-FB6DA6E6EECD}"/>
    <cellStyle name="Porcentaje 3 2 3 2" xfId="7856" xr:uid="{5F64E5F4-D7D6-48B6-AEE8-8183EF182EF9}"/>
    <cellStyle name="Porcentaje 3 2 3 2 2" xfId="22241" xr:uid="{BED26EFB-F064-4AB5-AF6A-865BDA1A5DFC}"/>
    <cellStyle name="Porcentaje 3 2 3 2 3" xfId="28089" xr:uid="{977BEC0C-9C27-4CCC-9B2B-00DDB7F4021E}"/>
    <cellStyle name="Porcentaje 3 2 3 2 4" xfId="33971" xr:uid="{68116FA7-35C6-460D-8A66-3AAB5A2FDF11}"/>
    <cellStyle name="Porcentaje 3 2 3 2 5" xfId="39835" xr:uid="{8111DD3F-DBB5-4CFB-AA5D-FB297639889B}"/>
    <cellStyle name="Porcentaje 3 2 3 3" xfId="19468" xr:uid="{D7847237-C8CF-43E5-B1BC-3104EBAB1A08}"/>
    <cellStyle name="Porcentaje 3 2 3 4" xfId="25240" xr:uid="{361E30AE-0903-4D64-9EB5-9AFCECFCC967}"/>
    <cellStyle name="Porcentaje 3 2 3 5" xfId="31114" xr:uid="{ED9070A3-B148-4DE1-A48E-910B56F99686}"/>
    <cellStyle name="Porcentaje 3 2 3 6" xfId="36992" xr:uid="{64499458-9D0B-42FF-B337-6B024A6F3D0D}"/>
    <cellStyle name="Porcentaje 3 2 4" xfId="6884" xr:uid="{B34AFBF3-40F5-42D6-B0A8-64E954B6D463}"/>
    <cellStyle name="Porcentaje 3 2 4 2" xfId="21305" xr:uid="{9871416D-6B57-4A48-9FEC-914DE49B55AF}"/>
    <cellStyle name="Porcentaje 3 2 4 3" xfId="27122" xr:uid="{742014EE-8753-4E51-AC63-011CA701E12A}"/>
    <cellStyle name="Porcentaje 3 2 4 4" xfId="33000" xr:uid="{73BEFFA7-8A63-4A20-B547-E107907AEED0}"/>
    <cellStyle name="Porcentaje 3 2 4 5" xfId="38864" xr:uid="{2C0BBFEE-2E35-4CF8-AEA3-C328B0A29CF5}"/>
    <cellStyle name="Porcentaje 3 2 5" xfId="4032" xr:uid="{5222BB3C-2C63-4D60-9F1D-FB88934B796E}"/>
    <cellStyle name="Porcentaje 3 2 6" xfId="24271" xr:uid="{9BFA836C-A057-4624-98C0-FE24D1E16AC7}"/>
    <cellStyle name="Porcentaje 3 2 7" xfId="30149" xr:uid="{054E105B-C784-42C0-B963-8AA8FE8AB8CA}"/>
    <cellStyle name="Porcentaje 3 2 8" xfId="36028" xr:uid="{76A59329-D508-4043-89B9-A02A054A9993}"/>
    <cellStyle name="Porcentaje 3 3" xfId="4262" xr:uid="{982FF601-7BB3-47EE-8CBC-711FB6483D0B}"/>
    <cellStyle name="Porcentaje 3 3 2" xfId="4742" xr:uid="{D0FEDC0C-BD6B-4D6A-B4B3-4A54D8E9654C}"/>
    <cellStyle name="Porcentaje 3 3 2 2" xfId="5710" xr:uid="{E9E0A6CE-6D4D-443A-91BA-0A66D3A44195}"/>
    <cellStyle name="Porcentaje 3 3 2 2 2" xfId="8578" xr:uid="{B1A2546F-8E3A-43DA-841A-FEE1C0B32890}"/>
    <cellStyle name="Porcentaje 3 3 2 2 2 2" xfId="22950" xr:uid="{CA36F120-F1D1-4B2F-B401-F242A21CB0A8}"/>
    <cellStyle name="Porcentaje 3 3 2 2 2 3" xfId="28811" xr:uid="{749D1ED1-AEA2-4828-B76C-B84D27F38A7C}"/>
    <cellStyle name="Porcentaje 3 3 2 2 2 4" xfId="34693" xr:uid="{2341A707-5F5A-4259-A862-CF72C025F152}"/>
    <cellStyle name="Porcentaje 3 3 2 2 2 5" xfId="40557" xr:uid="{92B5B3B5-1598-458A-97EC-7D3179AD7851}"/>
    <cellStyle name="Porcentaje 3 3 2 2 3" xfId="20167" xr:uid="{BB2EBE8D-3452-4410-865A-E3061DBEAA2A}"/>
    <cellStyle name="Porcentaje 3 3 2 2 4" xfId="25961" xr:uid="{82AE51EF-13D4-405E-B233-49D0D5542E8D}"/>
    <cellStyle name="Porcentaje 3 3 2 2 5" xfId="31836" xr:uid="{93C3961B-35E3-4ABD-9F82-FFD4CFB09985}"/>
    <cellStyle name="Porcentaje 3 3 2 2 6" xfId="37703" xr:uid="{8EA74954-4BEF-4327-BAD9-E468679DDCE3}"/>
    <cellStyle name="Porcentaje 3 3 2 3" xfId="7606" xr:uid="{1864AEE5-BBC6-420C-BD49-FE3FD3908837}"/>
    <cellStyle name="Porcentaje 3 3 2 3 2" xfId="22000" xr:uid="{513743C5-1926-4276-854A-84882A376DA7}"/>
    <cellStyle name="Porcentaje 3 3 2 3 3" xfId="27840" xr:uid="{2BD6924B-8932-4813-95ED-A9B3857D4521}"/>
    <cellStyle name="Porcentaje 3 3 2 3 4" xfId="33722" xr:uid="{D20184AD-2EE9-4108-942E-5172C44B4F58}"/>
    <cellStyle name="Porcentaje 3 3 2 3 5" xfId="39586" xr:uid="{B299C0FF-E4CA-497C-9A3F-7FB9B5CFFDFF}"/>
    <cellStyle name="Porcentaje 3 3 2 4" xfId="19230" xr:uid="{B42064F7-BAFA-442A-A6F0-7A575EAC3404}"/>
    <cellStyle name="Porcentaje 3 3 2 5" xfId="24991" xr:uid="{7698DBE4-4780-47CF-84BF-C54C0FD61427}"/>
    <cellStyle name="Porcentaje 3 3 2 6" xfId="30865" xr:uid="{5C60F0BA-B4B3-4B34-8AFA-45F73C63F1E1}"/>
    <cellStyle name="Porcentaje 3 3 2 7" xfId="36746" xr:uid="{6A04A854-768D-4198-BAF3-93B191E7E60E}"/>
    <cellStyle name="Porcentaje 3 3 3" xfId="5226" xr:uid="{1DB845AF-0F51-4D73-B190-ADE47FCCBBC2}"/>
    <cellStyle name="Porcentaje 3 3 3 2" xfId="8093" xr:uid="{1121ECF1-6D31-464E-AEC0-123C30454168}"/>
    <cellStyle name="Porcentaje 3 3 3 2 2" xfId="22471" xr:uid="{5D8FC66C-D432-42B4-8874-EA1D88C587AB}"/>
    <cellStyle name="Porcentaje 3 3 3 2 3" xfId="28326" xr:uid="{7F8BBF15-60B5-46E2-9DC0-9BF6A2400E7A}"/>
    <cellStyle name="Porcentaje 3 3 3 2 4" xfId="34208" xr:uid="{EFD6ED1C-A282-41FF-A346-845BBEB94F83}"/>
    <cellStyle name="Porcentaje 3 3 3 2 5" xfId="40072" xr:uid="{C6BB5CC8-30E1-48DD-96C4-39032FB08BD7}"/>
    <cellStyle name="Porcentaje 3 3 3 3" xfId="19696" xr:uid="{F67CCE98-628B-4147-AAE0-2CC62E9ED6B1}"/>
    <cellStyle name="Porcentaje 3 3 3 4" xfId="25477" xr:uid="{04DEE788-8C84-41AF-9859-BA76D0684969}"/>
    <cellStyle name="Porcentaje 3 3 3 5" xfId="31351" xr:uid="{54A79F08-F971-40FD-9494-4286E003A024}"/>
    <cellStyle name="Porcentaje 3 3 3 6" xfId="37224" xr:uid="{65284D0A-C87F-4879-AE9F-67851A7EC347}"/>
    <cellStyle name="Porcentaje 3 3 4" xfId="7121" xr:uid="{34594A5C-D334-4E27-88F5-79FA870BC2AF}"/>
    <cellStyle name="Porcentaje 3 3 4 2" xfId="21532" xr:uid="{0DA736FF-CB61-430D-9270-A51631AB029D}"/>
    <cellStyle name="Porcentaje 3 3 4 3" xfId="27356" xr:uid="{A9F1288A-61ED-48A5-9154-DAD072EA041D}"/>
    <cellStyle name="Porcentaje 3 3 4 4" xfId="33237" xr:uid="{DC4E91C8-C8D0-4FD5-9B7C-87F7DA5B7B74}"/>
    <cellStyle name="Porcentaje 3 3 4 5" xfId="39101" xr:uid="{2CA32645-6B71-438F-9DC3-2E6B149B9C4B}"/>
    <cellStyle name="Porcentaje 3 3 5" xfId="18783" xr:uid="{B73C7906-FC27-4B49-A52F-5C719C238030}"/>
    <cellStyle name="Porcentaje 3 3 6" xfId="24505" xr:uid="{F0D88B36-32D0-42D2-AF9B-E32032DB5268}"/>
    <cellStyle name="Porcentaje 3 3 7" xfId="30384" xr:uid="{69A4E27D-504F-4D7D-8B5C-0B4B79DC30FD}"/>
    <cellStyle name="Porcentaje 3 3 8" xfId="36265" xr:uid="{44ABB002-2599-4235-9FE4-C75602CD1867}"/>
    <cellStyle name="Porcentaje 3 3 9" xfId="46995" xr:uid="{8D68E6A3-63F7-496C-8C1B-FA766082D804}"/>
    <cellStyle name="Porcentaje 3 4" xfId="4312" xr:uid="{A5FB1AE3-3140-4638-BFF0-72B5D33C3C42}"/>
    <cellStyle name="Porcentaje 3 4 2" xfId="5278" xr:uid="{F40E2D0D-8706-46AD-9264-CD29BB7435D8}"/>
    <cellStyle name="Porcentaje 3 4 2 2" xfId="8145" xr:uid="{225555A1-B8B8-4C90-8C0D-A61379DE8D73}"/>
    <cellStyle name="Porcentaje 3 4 2 2 2" xfId="22521" xr:uid="{161B9C32-96B3-4E48-8CDC-CBCA94164AB9}"/>
    <cellStyle name="Porcentaje 3 4 2 2 3" xfId="28378" xr:uid="{DCE8147F-791F-4556-8DCE-895C9908B2BA}"/>
    <cellStyle name="Porcentaje 3 4 2 2 4" xfId="34260" xr:uid="{F62CBAC6-C75F-4A16-97B4-69377E5C666F}"/>
    <cellStyle name="Porcentaje 3 4 2 2 5" xfId="40124" xr:uid="{CE3238A0-707D-4E35-8C73-0C3A42071354}"/>
    <cellStyle name="Porcentaje 3 4 2 3" xfId="19746" xr:uid="{2F27F85C-647D-4CF7-BC2F-01B49B0A1E75}"/>
    <cellStyle name="Porcentaje 3 4 2 4" xfId="25529" xr:uid="{A965C64C-ED46-4545-8B9B-FE41AD735C0C}"/>
    <cellStyle name="Porcentaje 3 4 2 5" xfId="31403" xr:uid="{6B01F5D0-BAB5-40BA-9014-7EB3F425A62C}"/>
    <cellStyle name="Porcentaje 3 4 2 6" xfId="37274" xr:uid="{4CDA81AC-8701-49D6-8A77-6C56D2466692}"/>
    <cellStyle name="Porcentaje 3 4 3" xfId="7173" xr:uid="{7FC750D1-1FBF-4928-BBD2-9DDB6F71FB8D}"/>
    <cellStyle name="Porcentaje 3 4 3 2" xfId="21580" xr:uid="{FBD0D216-6861-4D16-B746-943282DA2D4C}"/>
    <cellStyle name="Porcentaje 3 4 3 3" xfId="27407" xr:uid="{4E210A88-06B6-469D-93D4-8A4FA17973AD}"/>
    <cellStyle name="Porcentaje 3 4 3 4" xfId="33289" xr:uid="{6BD38D16-45B8-4041-BF9B-48B481771145}"/>
    <cellStyle name="Porcentaje 3 4 3 5" xfId="39153" xr:uid="{80F18C4D-EBD2-4905-8400-888E318C1E5D}"/>
    <cellStyle name="Porcentaje 3 4 4" xfId="18817" xr:uid="{531F495A-FB2C-447C-9AAC-C7AA1235AAE7}"/>
    <cellStyle name="Porcentaje 3 4 5" xfId="24558" xr:uid="{53FA34C4-0F72-4F8F-BBD6-854E7A27D7DC}"/>
    <cellStyle name="Porcentaje 3 4 6" xfId="30437" xr:uid="{2026ECE6-2F39-4D43-BE24-A5204E9CCF59}"/>
    <cellStyle name="Porcentaje 3 4 7" xfId="36317" xr:uid="{9A8F0A4E-3F9C-4755-AD36-9898156C17B8}"/>
    <cellStyle name="Porcentaje 3 5" xfId="4797" xr:uid="{F3705DE7-FC39-4EAC-B803-D62FF6F330F0}"/>
    <cellStyle name="Porcentaje 3 5 2" xfId="7660" xr:uid="{629B3C77-C724-4E92-B7DB-3D61EF3D72F9}"/>
    <cellStyle name="Porcentaje 3 5 2 2" xfId="22051" xr:uid="{19413265-F6B4-4AF3-93F0-45162BF07695}"/>
    <cellStyle name="Porcentaje 3 5 2 3" xfId="27893" xr:uid="{DFFE8C5B-3CAB-4FB4-8203-3B5210652097}"/>
    <cellStyle name="Porcentaje 3 5 2 4" xfId="33775" xr:uid="{49E97115-373D-4201-8AA1-417FA98E3BE5}"/>
    <cellStyle name="Porcentaje 3 5 2 5" xfId="39639" xr:uid="{D34DF34A-C26A-4354-8F3F-E5AA39CBDA58}"/>
    <cellStyle name="Porcentaje 3 5 3" xfId="19276" xr:uid="{29085E73-3619-4F07-852D-8187152E477E}"/>
    <cellStyle name="Porcentaje 3 5 4" xfId="25044" xr:uid="{8F130465-BF89-42E1-960F-5631D2DBFCFC}"/>
    <cellStyle name="Porcentaje 3 5 5" xfId="30918" xr:uid="{AB9A492D-91BB-4CE2-B2E0-8B9FC6EFCC46}"/>
    <cellStyle name="Porcentaje 3 5 6" xfId="36797" xr:uid="{D63267E7-5115-4DF1-B8FF-75C9FA7BAF09}"/>
    <cellStyle name="Porcentaje 3 6" xfId="5803" xr:uid="{C40206B7-696A-453E-B7E7-0C9D28A75CB1}"/>
    <cellStyle name="Porcentaje 3 6 2" xfId="8672" xr:uid="{3FCB0EF5-A989-4C45-9208-2C29079D3B4C}"/>
    <cellStyle name="Porcentaje 3 6 2 2" xfId="23040" xr:uid="{44BA0CE9-63B1-4239-8345-4EBFCC71817C}"/>
    <cellStyle name="Porcentaje 3 6 2 3" xfId="28904" xr:uid="{7687224F-5C1B-41D8-927C-0D6CF2CEA7BE}"/>
    <cellStyle name="Porcentaje 3 6 2 4" xfId="34786" xr:uid="{4C46BC2D-B26D-4447-8166-352C089FA850}"/>
    <cellStyle name="Porcentaje 3 6 2 5" xfId="40650" xr:uid="{18066DC7-C95A-4F1B-88A5-7DAACD01CB65}"/>
    <cellStyle name="Porcentaje 3 6 3" xfId="20255" xr:uid="{7D4C51BF-D969-432B-8584-03343AB184C2}"/>
    <cellStyle name="Porcentaje 3 6 4" xfId="26054" xr:uid="{D9E7074E-1B5C-4DF2-901B-08F7A0263471}"/>
    <cellStyle name="Porcentaje 3 6 5" xfId="31929" xr:uid="{5DEA3628-9A70-4A34-9493-6CA805A1753F}"/>
    <cellStyle name="Porcentaje 3 6 6" xfId="37795" xr:uid="{7F046E2A-428C-45D6-8DE8-4599E0CB75C6}"/>
    <cellStyle name="Porcentaje 3 7" xfId="6224" xr:uid="{EE95233D-A039-4946-AA39-3F0E59D56BDE}"/>
    <cellStyle name="Porcentaje 3 7 2" xfId="9093" xr:uid="{C2B9562D-F3D1-4C42-BC8A-4FFB7CD4822F}"/>
    <cellStyle name="Porcentaje 3 7 2 2" xfId="23457" xr:uid="{B508BB15-D508-498A-AA6F-AECD7EE578C6}"/>
    <cellStyle name="Porcentaje 3 7 2 3" xfId="29324" xr:uid="{06CA3DDF-1E27-4F44-9E6F-7E9FAB9925FC}"/>
    <cellStyle name="Porcentaje 3 7 2 4" xfId="35206" xr:uid="{82E8233F-D9F6-4BB5-B39E-22C5B5E0C0A4}"/>
    <cellStyle name="Porcentaje 3 7 2 5" xfId="41067" xr:uid="{B81725A4-131B-4AD7-B525-8FF917F3FCCE}"/>
    <cellStyle name="Porcentaje 3 7 3" xfId="20670" xr:uid="{AAF06BDE-1034-4203-B3F4-99F6ADF0CB35}"/>
    <cellStyle name="Porcentaje 3 7 4" xfId="26474" xr:uid="{81DC7687-F77A-479F-B00B-BEB863BFAFEB}"/>
    <cellStyle name="Porcentaje 3 7 5" xfId="32349" xr:uid="{4EB76BD1-4530-4E02-91E2-09FB27678899}"/>
    <cellStyle name="Porcentaje 3 7 6" xfId="38214" xr:uid="{598F56CD-55C2-4808-B11D-495F69BB79DE}"/>
    <cellStyle name="Porcentaje 3 8" xfId="6689" xr:uid="{727E0EAB-76FD-4B01-B5CE-7E6083D2EA32}"/>
    <cellStyle name="Porcentaje 3 8 2" xfId="21116" xr:uid="{36EC12FE-E283-4552-8E44-1CF33A89EC01}"/>
    <cellStyle name="Porcentaje 3 8 3" xfId="26928" xr:uid="{4AB593BF-517F-4BB1-83C2-9F880843E16A}"/>
    <cellStyle name="Porcentaje 3 8 4" xfId="32804" xr:uid="{ADD939E0-21CE-4AAA-BEB0-0DC27839F8DA}"/>
    <cellStyle name="Porcentaje 3 8 5" xfId="38668" xr:uid="{E0F313C4-2D11-4CA1-BEEC-C82FC0EB6C04}"/>
    <cellStyle name="Porcentaje 3 9" xfId="3836" xr:uid="{FCF8073B-DA31-472B-9832-B71CE9D827CB}"/>
    <cellStyle name="Porcentaje 4" xfId="1687" xr:uid="{00000000-0005-0000-0000-000044070000}"/>
    <cellStyle name="Porcentaje 4 10" xfId="35840" xr:uid="{78091400-C45E-44AD-AADD-3064761AF256}"/>
    <cellStyle name="Porcentaje 4 2" xfId="4053" xr:uid="{6A162340-5AC4-4AB0-8123-9B4976928B4F}"/>
    <cellStyle name="Porcentaje 4 2 2" xfId="4528" xr:uid="{C66B0B8E-EBDF-41CE-9AD1-667ABF7764A7}"/>
    <cellStyle name="Porcentaje 4 2 2 2" xfId="5496" xr:uid="{2407AD3C-73AD-4E57-8C70-B40F1247A18F}"/>
    <cellStyle name="Porcentaje 4 2 2 2 2" xfId="8363" xr:uid="{DC0C403F-0050-4CAE-9DF6-8810D0262A05}"/>
    <cellStyle name="Porcentaje 4 2 2 2 2 2" xfId="22738" xr:uid="{4D727D09-37D9-4EDD-AC41-CDF2D4FF970B}"/>
    <cellStyle name="Porcentaje 4 2 2 2 2 3" xfId="28596" xr:uid="{367938E3-24F4-4F88-9AD0-39B91FBCF0DC}"/>
    <cellStyle name="Porcentaje 4 2 2 2 2 4" xfId="34478" xr:uid="{BB0D2628-92F3-4F64-880D-6A088BD899F1}"/>
    <cellStyle name="Porcentaje 4 2 2 2 2 5" xfId="40342" xr:uid="{0090BFBA-FF94-4EB3-B142-C0FF3CCB240D}"/>
    <cellStyle name="Porcentaje 4 2 2 2 3" xfId="19957" xr:uid="{DD803A01-80FE-4BC0-9EAE-083D0B785A86}"/>
    <cellStyle name="Porcentaje 4 2 2 2 4" xfId="25747" xr:uid="{15894B93-A44C-40D3-AA01-FAC9815BCC8C}"/>
    <cellStyle name="Porcentaje 4 2 2 2 5" xfId="31621" xr:uid="{B9551D52-F5FE-41AA-B539-68783AEA732C}"/>
    <cellStyle name="Porcentaje 4 2 2 2 6" xfId="37491" xr:uid="{1856016C-A80D-4059-B981-C633182DABBC}"/>
    <cellStyle name="Porcentaje 4 2 2 3" xfId="7391" xr:uid="{CE58404E-D531-4924-A684-72F4A11CF99F}"/>
    <cellStyle name="Porcentaje 4 2 2 3 2" xfId="21793" xr:uid="{1986613D-DB7D-48D2-9FD8-0DBCA77FBCCA}"/>
    <cellStyle name="Porcentaje 4 2 2 3 3" xfId="27625" xr:uid="{D6A436BF-E79E-4C3B-BF45-4FAE63FA09C5}"/>
    <cellStyle name="Porcentaje 4 2 2 3 4" xfId="33507" xr:uid="{29F64674-B2ED-457B-AC4D-787E5C0EDD37}"/>
    <cellStyle name="Porcentaje 4 2 2 3 5" xfId="39371" xr:uid="{53FC693A-348F-4378-A8F2-3695F9E3C11F}"/>
    <cellStyle name="Porcentaje 4 2 2 4" xfId="19027" xr:uid="{CB87B8FD-4013-4A22-B82C-DC88240918CA}"/>
    <cellStyle name="Porcentaje 4 2 2 5" xfId="24776" xr:uid="{53023422-1F16-467F-AA3C-762A7A0A546A}"/>
    <cellStyle name="Porcentaje 4 2 2 6" xfId="30653" xr:uid="{2CB1230F-28ED-4EC4-B0A8-AB6BB038DB9B}"/>
    <cellStyle name="Porcentaje 4 2 2 7" xfId="36534" xr:uid="{9B20C9DD-C7A4-4AA5-83B3-2857C4D0181E}"/>
    <cellStyle name="Porcentaje 4 2 3" xfId="5011" xr:uid="{8D3645BE-5AD7-461E-8C7D-0356897A903F}"/>
    <cellStyle name="Porcentaje 4 2 3 2" xfId="7878" xr:uid="{E6FD797F-8B6C-4551-B1DD-FCBC5A19BAE8}"/>
    <cellStyle name="Porcentaje 4 2 3 2 2" xfId="22263" xr:uid="{EBC9320F-EAAE-4931-B907-6A4A5777CE17}"/>
    <cellStyle name="Porcentaje 4 2 3 2 3" xfId="28111" xr:uid="{EC15579A-94B3-47C4-B3AB-E7681C97EA66}"/>
    <cellStyle name="Porcentaje 4 2 3 2 4" xfId="33993" xr:uid="{71D5B135-0389-48E0-9DE9-AD42D871FB05}"/>
    <cellStyle name="Porcentaje 4 2 3 2 5" xfId="39857" xr:uid="{757278EE-CD8B-4996-8F83-E323C95999FB}"/>
    <cellStyle name="Porcentaje 4 2 3 3" xfId="19490" xr:uid="{7F0CAC36-CE59-4B19-A040-EC90D6DA4BEC}"/>
    <cellStyle name="Porcentaje 4 2 3 4" xfId="25262" xr:uid="{D6F5D74C-CD3D-4775-9A8E-1E9C10C10742}"/>
    <cellStyle name="Porcentaje 4 2 3 5" xfId="31136" xr:uid="{58838C2F-1BB2-49BF-8C0E-0F1EECABE5EF}"/>
    <cellStyle name="Porcentaje 4 2 3 6" xfId="37014" xr:uid="{F58810DE-98CA-44D3-8340-B2124FCC0103}"/>
    <cellStyle name="Porcentaje 4 2 4" xfId="6906" xr:uid="{D80FB014-19D4-4FD0-AA18-699660795488}"/>
    <cellStyle name="Porcentaje 4 2 4 2" xfId="21326" xr:uid="{C461958F-C8E6-4FA7-9966-6553C3354E59}"/>
    <cellStyle name="Porcentaje 4 2 4 3" xfId="27144" xr:uid="{9F6851A3-CDAE-4971-9983-1F10E7927B80}"/>
    <cellStyle name="Porcentaje 4 2 4 4" xfId="33022" xr:uid="{214EFE20-4FA8-45E7-AF6B-FF940C3AB80F}"/>
    <cellStyle name="Porcentaje 4 2 4 5" xfId="38886" xr:uid="{2208F684-BD23-4573-8C88-CF7220C75D7E}"/>
    <cellStyle name="Porcentaje 4 2 5" xfId="18581" xr:uid="{C619D61C-EF5D-4226-8D7E-589576003546}"/>
    <cellStyle name="Porcentaje 4 2 6" xfId="24293" xr:uid="{45751C47-9692-4380-8CF5-E3219BC4F4C3}"/>
    <cellStyle name="Porcentaje 4 2 7" xfId="30171" xr:uid="{2F96AAAE-5518-4A8B-A117-215304ABE576}"/>
    <cellStyle name="Porcentaje 4 2 8" xfId="36050" xr:uid="{50AF7FC4-A43D-462E-8130-064CF818C0C2}"/>
    <cellStyle name="Porcentaje 4 2 9" xfId="46996" xr:uid="{3E75815C-0F28-4A16-A559-7B09D436AFD7}"/>
    <cellStyle name="Porcentaje 4 3" xfId="4334" xr:uid="{B4F26119-B1AF-4F32-AF63-250EA4E82E43}"/>
    <cellStyle name="Porcentaje 4 3 2" xfId="5300" xr:uid="{1A381A80-7E9F-4C2C-9B16-9679267FD571}"/>
    <cellStyle name="Porcentaje 4 3 2 2" xfId="8167" xr:uid="{2C9B032A-A7FB-4D77-85EF-6BCA5B712186}"/>
    <cellStyle name="Porcentaje 4 3 2 2 2" xfId="22543" xr:uid="{88D27800-CB71-4D8B-A480-F7EC79008A98}"/>
    <cellStyle name="Porcentaje 4 3 2 2 3" xfId="28400" xr:uid="{0EA1EE87-5172-4A3A-8070-863998C5892B}"/>
    <cellStyle name="Porcentaje 4 3 2 2 4" xfId="34282" xr:uid="{30EA79F9-47E3-410F-9A36-6FF3FC23C94A}"/>
    <cellStyle name="Porcentaje 4 3 2 2 5" xfId="40146" xr:uid="{FFFB792B-C6D5-43FB-921A-6BA4CB6028A2}"/>
    <cellStyle name="Porcentaje 4 3 2 3" xfId="19768" xr:uid="{ACE221BA-513B-4A57-9FB0-40D50809A2C2}"/>
    <cellStyle name="Porcentaje 4 3 2 4" xfId="25551" xr:uid="{A7D0F4C7-0BBC-4BB2-8629-F841BC6FF5F3}"/>
    <cellStyle name="Porcentaje 4 3 2 5" xfId="31425" xr:uid="{416705D3-DDEE-4451-A304-AA7382959924}"/>
    <cellStyle name="Porcentaje 4 3 2 6" xfId="37296" xr:uid="{097FA8FB-97F7-430C-BCD5-6BB35B4D14DB}"/>
    <cellStyle name="Porcentaje 4 3 3" xfId="7195" xr:uid="{A2E89578-262A-4099-9391-7F380A374060}"/>
    <cellStyle name="Porcentaje 4 3 3 2" xfId="21602" xr:uid="{F66C5CB2-CE43-4E74-BA8B-C22F99339F4C}"/>
    <cellStyle name="Porcentaje 4 3 3 3" xfId="27429" xr:uid="{F57616C1-0AC6-47AE-AF49-D3781105C015}"/>
    <cellStyle name="Porcentaje 4 3 3 4" xfId="33311" xr:uid="{45C89E6F-4211-45DA-857C-00F03AB3601D}"/>
    <cellStyle name="Porcentaje 4 3 3 5" xfId="39175" xr:uid="{7D4BA98E-1CDE-4B5E-A1FE-D29BD0556D20}"/>
    <cellStyle name="Porcentaje 4 3 4" xfId="18839" xr:uid="{BA761625-2078-40A8-87F2-A7ACDF3FC7E8}"/>
    <cellStyle name="Porcentaje 4 3 5" xfId="24580" xr:uid="{E0C660F2-D3D5-413D-A50C-30A0871BC733}"/>
    <cellStyle name="Porcentaje 4 3 6" xfId="30459" xr:uid="{86DFCE58-4B6A-42CC-B96E-10871F70CBB2}"/>
    <cellStyle name="Porcentaje 4 3 7" xfId="36339" xr:uid="{D40907D3-4835-454D-9D82-096FBBC7106F}"/>
    <cellStyle name="Porcentaje 4 4" xfId="4819" xr:uid="{07C800CF-6E01-4AE3-8688-AD1DCC3EF54F}"/>
    <cellStyle name="Porcentaje 4 4 2" xfId="7682" xr:uid="{B891A9F8-20B3-444D-8502-BE8674970A4C}"/>
    <cellStyle name="Porcentaje 4 4 2 2" xfId="22072" xr:uid="{5907C4F1-548A-4A0F-9FAE-E8F38EC4EDA9}"/>
    <cellStyle name="Porcentaje 4 4 2 3" xfId="27915" xr:uid="{BE944F65-73EA-44F5-B521-517B9DE4BD0D}"/>
    <cellStyle name="Porcentaje 4 4 2 4" xfId="33797" xr:uid="{108C4248-4027-463D-A89B-043B66135042}"/>
    <cellStyle name="Porcentaje 4 4 2 5" xfId="39661" xr:uid="{6A39B1DC-9648-4897-AA2A-1216FF87BCF9}"/>
    <cellStyle name="Porcentaje 4 4 3" xfId="19298" xr:uid="{5614FF96-7C1F-4F1D-93FB-0304AA026109}"/>
    <cellStyle name="Porcentaje 4 4 4" xfId="25066" xr:uid="{230D4AA4-BF87-4260-94A9-53BFD019415E}"/>
    <cellStyle name="Porcentaje 4 4 5" xfId="30940" xr:uid="{20C00482-9C93-4CC4-868D-59C282923BD1}"/>
    <cellStyle name="Porcentaje 4 4 6" xfId="36819" xr:uid="{B6D3D4D2-0F2E-4A32-B295-04C78BB2D460}"/>
    <cellStyle name="Porcentaje 4 5" xfId="5825" xr:uid="{F1C086ED-9B03-4865-8EB8-A5C0A6D43713}"/>
    <cellStyle name="Porcentaje 4 5 2" xfId="8694" xr:uid="{5F5C317A-68B8-49EF-98C4-56795BE7DB4D}"/>
    <cellStyle name="Porcentaje 4 5 2 2" xfId="23062" xr:uid="{CA068EBB-A701-4077-8777-963AB7134D21}"/>
    <cellStyle name="Porcentaje 4 5 2 3" xfId="28926" xr:uid="{7F087355-380F-49C8-A565-C3E27111F438}"/>
    <cellStyle name="Porcentaje 4 5 2 4" xfId="34808" xr:uid="{6B1D1DD3-E978-467D-8DEA-76BD8B943874}"/>
    <cellStyle name="Porcentaje 4 5 2 5" xfId="40672" xr:uid="{BBDC63A0-8DCB-4006-B25D-DAFBB2A2BE18}"/>
    <cellStyle name="Porcentaje 4 5 3" xfId="20277" xr:uid="{93156CB7-36D6-452D-AB7E-2373013FD262}"/>
    <cellStyle name="Porcentaje 4 5 4" xfId="26076" xr:uid="{93F97E85-6095-4A33-A98A-9FA4E70CB371}"/>
    <cellStyle name="Porcentaje 4 5 5" xfId="31951" xr:uid="{0352A155-161F-4265-9BBD-87831B4CA8E7}"/>
    <cellStyle name="Porcentaje 4 5 6" xfId="37817" xr:uid="{17E43F05-5236-4286-9E82-BF080F465270}"/>
    <cellStyle name="Porcentaje 4 6" xfId="6711" xr:uid="{91FBB53B-2AAB-4861-9655-6BF494410EB0}"/>
    <cellStyle name="Porcentaje 4 6 2" xfId="21138" xr:uid="{A0AC9973-359A-4058-B0E8-77CB6AC79AD7}"/>
    <cellStyle name="Porcentaje 4 6 3" xfId="26950" xr:uid="{2504E477-B919-4A06-A5E1-FF5A1B8EE400}"/>
    <cellStyle name="Porcentaje 4 6 4" xfId="32826" xr:uid="{7F0B030D-D5BB-4FC4-81C7-9AAF2DFFD4A1}"/>
    <cellStyle name="Porcentaje 4 6 5" xfId="38690" xr:uid="{12AFB1F8-9C31-40EB-9759-F3A1868432BF}"/>
    <cellStyle name="Porcentaje 4 7" xfId="3853" xr:uid="{571D93D8-58E0-43FB-AE0B-DFE571DF0210}"/>
    <cellStyle name="Porcentaje 4 8" xfId="24081" xr:uid="{6E1E8213-F4F3-46A2-A16D-D8CAD2F31D22}"/>
    <cellStyle name="Porcentaje 4 9" xfId="29959" xr:uid="{BC4A59F9-F0FF-460D-977F-5E8C0AD70969}"/>
    <cellStyle name="Porcentaje 5" xfId="3880" xr:uid="{45C4E5F0-D403-45B9-9F66-D8D9D8977ABE}"/>
    <cellStyle name="Porcentaje 5 10" xfId="35871" xr:uid="{6C79104F-0AE7-4A40-B5B3-5131FAD7821C}"/>
    <cellStyle name="Porcentaje 5 2" xfId="4077" xr:uid="{14D92243-A610-48B8-BC14-FF222A4E37CB}"/>
    <cellStyle name="Porcentaje 5 2 2" xfId="4555" xr:uid="{9E77418E-763B-4F9A-8DE2-DB945E043314}"/>
    <cellStyle name="Porcentaje 5 2 2 2" xfId="5523" xr:uid="{81E78F01-94D4-4793-A57B-303E6FF15E01}"/>
    <cellStyle name="Porcentaje 5 2 2 2 2" xfId="8390" xr:uid="{B2A2A446-7A4C-40FC-A653-AF3492167A04}"/>
    <cellStyle name="Porcentaje 5 2 2 2 2 2" xfId="22765" xr:uid="{E34CBE0C-9023-49E7-9BF1-864A21EDE719}"/>
    <cellStyle name="Porcentaje 5 2 2 2 2 3" xfId="28623" xr:uid="{C2A29A5D-C6FE-42A0-A7C3-EDE132638958}"/>
    <cellStyle name="Porcentaje 5 2 2 2 2 4" xfId="34505" xr:uid="{7B6CF4FF-CE41-4A39-8B42-F23598A1BC1D}"/>
    <cellStyle name="Porcentaje 5 2 2 2 2 5" xfId="40369" xr:uid="{253D6EEA-C524-4EF9-A872-2BF8A3946BC6}"/>
    <cellStyle name="Porcentaje 5 2 2 2 3" xfId="19983" xr:uid="{2A000DB3-A346-4536-9A68-B62BDA95B49A}"/>
    <cellStyle name="Porcentaje 5 2 2 2 4" xfId="25774" xr:uid="{06BA3112-BFDC-40FD-A5C1-55E992AC2BBE}"/>
    <cellStyle name="Porcentaje 5 2 2 2 5" xfId="31648" xr:uid="{279598D7-AC31-412C-B066-38B03F307C3A}"/>
    <cellStyle name="Porcentaje 5 2 2 2 6" xfId="37518" xr:uid="{F9AC1267-8B48-4C0C-8BEA-AFE3DB5EF0F5}"/>
    <cellStyle name="Porcentaje 5 2 2 3" xfId="7418" xr:uid="{EDF16DEA-7BB0-49FE-8B83-8DD0E70DCA5D}"/>
    <cellStyle name="Porcentaje 5 2 2 3 2" xfId="21820" xr:uid="{E76B068F-953F-4FE5-99A4-971A933E508E}"/>
    <cellStyle name="Porcentaje 5 2 2 3 3" xfId="27652" xr:uid="{B0F301E1-3B73-4326-825C-34BA579B3B54}"/>
    <cellStyle name="Porcentaje 5 2 2 3 4" xfId="33534" xr:uid="{68483F72-A1E3-417D-B4C2-EB785F7DA156}"/>
    <cellStyle name="Porcentaje 5 2 2 3 5" xfId="39398" xr:uid="{CF56759F-AA02-45F3-BB50-A3449D6B41D2}"/>
    <cellStyle name="Porcentaje 5 2 2 4" xfId="19051" xr:uid="{5101DBBE-97D0-446D-9A2A-E721156324F1}"/>
    <cellStyle name="Porcentaje 5 2 2 5" xfId="24803" xr:uid="{3CDF39D9-C9F8-44CA-B558-8321CCC9C2CA}"/>
    <cellStyle name="Porcentaje 5 2 2 6" xfId="30680" xr:uid="{E5910A39-64A4-402D-A1E3-1AF7B8E15921}"/>
    <cellStyle name="Porcentaje 5 2 2 7" xfId="36561" xr:uid="{1C70B67D-998C-456D-A725-8820B9965184}"/>
    <cellStyle name="Porcentaje 5 2 3" xfId="5038" xr:uid="{3019FFA6-1EB6-49C4-921F-15DE1D89980A}"/>
    <cellStyle name="Porcentaje 5 2 3 2" xfId="7905" xr:uid="{3D44DF5E-C794-40A9-BB09-07D56F079DF8}"/>
    <cellStyle name="Porcentaje 5 2 3 2 2" xfId="22290" xr:uid="{38E0AB43-ECA0-41FC-9F0D-7930B600A760}"/>
    <cellStyle name="Porcentaje 5 2 3 2 3" xfId="28138" xr:uid="{3A25C18A-87B0-4520-8204-4DD3656D0652}"/>
    <cellStyle name="Porcentaje 5 2 3 2 4" xfId="34020" xr:uid="{E4CF082A-ECA5-498C-A6E2-392C935E99CB}"/>
    <cellStyle name="Porcentaje 5 2 3 2 5" xfId="39884" xr:uid="{38615159-633B-42EB-AEDA-1B1B3B87BB77}"/>
    <cellStyle name="Porcentaje 5 2 3 3" xfId="19515" xr:uid="{B94F5F35-BDF3-4273-8C80-1052ED77927E}"/>
    <cellStyle name="Porcentaje 5 2 3 4" xfId="25289" xr:uid="{7D59DEFB-9E26-4513-9998-8591C4A37321}"/>
    <cellStyle name="Porcentaje 5 2 3 5" xfId="31163" xr:uid="{7DBA0F79-9AFE-4AD5-9140-55E2AD3316F9}"/>
    <cellStyle name="Porcentaje 5 2 3 6" xfId="37041" xr:uid="{7AEB4014-EB5F-47E2-BF28-37218EF59102}"/>
    <cellStyle name="Porcentaje 5 2 4" xfId="6933" xr:uid="{9061908A-D503-4B65-AD64-C46D90444A9C}"/>
    <cellStyle name="Porcentaje 5 2 4 2" xfId="21353" xr:uid="{3A160BBD-1D9C-46EF-A5F8-224FD37D5E73}"/>
    <cellStyle name="Porcentaje 5 2 4 3" xfId="27171" xr:uid="{59C0873F-AE79-4146-AAC8-6D5154C41783}"/>
    <cellStyle name="Porcentaje 5 2 4 4" xfId="33049" xr:uid="{F2B331EE-A2D9-489C-AACD-747DBB13413E}"/>
    <cellStyle name="Porcentaje 5 2 4 5" xfId="38913" xr:uid="{55F0B809-E656-4612-83A4-A87906AAE47E}"/>
    <cellStyle name="Porcentaje 5 2 5" xfId="18608" xr:uid="{AEA379A6-E84D-4445-B37D-CE976AB64BE0}"/>
    <cellStyle name="Porcentaje 5 2 6" xfId="24320" xr:uid="{F5B34BED-757B-4C9D-B1D2-23065F5D6E19}"/>
    <cellStyle name="Porcentaje 5 2 7" xfId="30198" xr:uid="{60E31FCF-32FF-4962-918D-3168C7B38303}"/>
    <cellStyle name="Porcentaje 5 2 8" xfId="36077" xr:uid="{6536BA50-CE8A-4B14-9BAE-C0D2CFFB18D3}"/>
    <cellStyle name="Porcentaje 5 3" xfId="4361" xr:uid="{8691791F-F1BF-4D7F-8FF0-A8F5B909E4FB}"/>
    <cellStyle name="Porcentaje 5 3 2" xfId="5327" xr:uid="{BD9CB954-EABC-4FC3-9A3E-D99B4A197101}"/>
    <cellStyle name="Porcentaje 5 3 2 2" xfId="8194" xr:uid="{756B5B65-DBC3-41B5-A647-1FA406CC7897}"/>
    <cellStyle name="Porcentaje 5 3 2 2 2" xfId="22570" xr:uid="{5659C182-4D3C-4692-97AA-F8EA5853CE46}"/>
    <cellStyle name="Porcentaje 5 3 2 2 3" xfId="28427" xr:uid="{9AB0A042-2347-4C73-818D-E6FA1599F386}"/>
    <cellStyle name="Porcentaje 5 3 2 2 4" xfId="34309" xr:uid="{9E8F246C-8E52-44C8-921B-20BF72750B84}"/>
    <cellStyle name="Porcentaje 5 3 2 2 5" xfId="40173" xr:uid="{72394392-B5B4-4E81-B2C7-2D5F9FCD7F0B}"/>
    <cellStyle name="Porcentaje 5 3 2 3" xfId="19794" xr:uid="{E5BBCDD7-6B4B-4004-B5B1-F04674F7CE8E}"/>
    <cellStyle name="Porcentaje 5 3 2 4" xfId="25578" xr:uid="{AA82FD41-22BF-4EE8-9551-BFD3A63BA065}"/>
    <cellStyle name="Porcentaje 5 3 2 5" xfId="31452" xr:uid="{5DE57353-CBEC-4E2E-8CA6-702DDCC32195}"/>
    <cellStyle name="Porcentaje 5 3 2 6" xfId="37323" xr:uid="{C908108D-E8DA-4D75-AED5-554EDED28890}"/>
    <cellStyle name="Porcentaje 5 3 3" xfId="7222" xr:uid="{1934DB6A-D3C4-4F50-8EA6-53AE8E64680D}"/>
    <cellStyle name="Porcentaje 5 3 3 2" xfId="21629" xr:uid="{349BC5A0-A9DB-4264-ACA6-C2B0E51A8AAA}"/>
    <cellStyle name="Porcentaje 5 3 3 3" xfId="27456" xr:uid="{BCC85D92-CDCE-49C0-A5F7-69387F76698F}"/>
    <cellStyle name="Porcentaje 5 3 3 4" xfId="33338" xr:uid="{9197E363-1478-42DF-B663-93251B527F03}"/>
    <cellStyle name="Porcentaje 5 3 3 5" xfId="39202" xr:uid="{79B98118-DA40-48E3-A980-D42B0CF5F342}"/>
    <cellStyle name="Porcentaje 5 3 4" xfId="18865" xr:uid="{05C24FFC-FFF4-41A7-820E-608C0E3F058B}"/>
    <cellStyle name="Porcentaje 5 3 5" xfId="24607" xr:uid="{F602DF54-9D33-46A3-AC16-7A52BBF05EDB}"/>
    <cellStyle name="Porcentaje 5 3 6" xfId="30486" xr:uid="{E890617A-3329-4050-97EE-F15DC8F986ED}"/>
    <cellStyle name="Porcentaje 5 3 7" xfId="36366" xr:uid="{73415CDF-42CE-4E91-9EE6-9AE23C940FBD}"/>
    <cellStyle name="Porcentaje 5 4" xfId="4843" xr:uid="{C454B8CF-04E2-470B-9778-AF0F49E5BE21}"/>
    <cellStyle name="Porcentaje 5 4 2" xfId="7709" xr:uid="{43567DAE-E9D4-4C3E-8DF5-4A054FF87ABA}"/>
    <cellStyle name="Porcentaje 5 4 2 2" xfId="22099" xr:uid="{C8B3A125-613B-43C8-94A0-702430D6D024}"/>
    <cellStyle name="Porcentaje 5 4 2 3" xfId="27942" xr:uid="{11BA3134-07BC-4C60-BA90-4C29795966A1}"/>
    <cellStyle name="Porcentaje 5 4 2 4" xfId="33824" xr:uid="{D1C25CF8-463C-496D-82CD-258DF8FE250B}"/>
    <cellStyle name="Porcentaje 5 4 2 5" xfId="39688" xr:uid="{D44FCCF2-22FA-4BB4-828E-5B2AD30CFC7C}"/>
    <cellStyle name="Porcentaje 5 4 3" xfId="19325" xr:uid="{FC1A4A9B-38F6-4BF2-9956-8F0C17CFFCF7}"/>
    <cellStyle name="Porcentaje 5 4 4" xfId="25093" xr:uid="{E8A5DFEC-2CD0-4905-A33D-BC0C1142FF27}"/>
    <cellStyle name="Porcentaje 5 4 5" xfId="30967" xr:uid="{902219FF-4390-4C7F-AE3D-1EAB04CF2DAB}"/>
    <cellStyle name="Porcentaje 5 4 6" xfId="36846" xr:uid="{2C01960C-741E-4338-AF87-0A10BF29974C}"/>
    <cellStyle name="Porcentaje 5 5" xfId="5852" xr:uid="{4A367EDC-C088-4018-863F-952E4E0FBA91}"/>
    <cellStyle name="Porcentaje 5 5 2" xfId="8721" xr:uid="{9E957D45-EA41-4355-A9E0-9FB3D51F8796}"/>
    <cellStyle name="Porcentaje 5 5 2 2" xfId="23089" xr:uid="{763A83A3-181A-49F9-AE1F-64CAA472116A}"/>
    <cellStyle name="Porcentaje 5 5 2 3" xfId="28953" xr:uid="{267B96E1-0285-4405-852C-49A08719CDCA}"/>
    <cellStyle name="Porcentaje 5 5 2 4" xfId="34835" xr:uid="{912C2DE4-66AD-40F4-92F5-54D70CE45BD8}"/>
    <cellStyle name="Porcentaje 5 5 2 5" xfId="40699" xr:uid="{923A1D79-73F8-4843-9EAE-88D58B366E1F}"/>
    <cellStyle name="Porcentaje 5 5 3" xfId="20304" xr:uid="{7957F1D3-A35A-43E9-9D96-5FFA4C5C4987}"/>
    <cellStyle name="Porcentaje 5 5 4" xfId="26103" xr:uid="{34A45A5A-7C28-4E88-9DA7-03C9270CE165}"/>
    <cellStyle name="Porcentaje 5 5 5" xfId="31978" xr:uid="{8607DA97-9368-43ED-BF01-DF4187D64DE1}"/>
    <cellStyle name="Porcentaje 5 5 6" xfId="37844" xr:uid="{EC692665-AB4B-4FC0-9DF2-BBED75EBF91A}"/>
    <cellStyle name="Porcentaje 5 6" xfId="6738" xr:uid="{51DFBB15-CC02-4D1E-BD1C-FF9104CE20B0}"/>
    <cellStyle name="Porcentaje 5 6 2" xfId="21162" xr:uid="{E5276ECC-30DA-4024-A3DD-384CE777017B}"/>
    <cellStyle name="Porcentaje 5 6 3" xfId="26977" xr:uid="{7E77E05B-A82D-4A5D-B459-F4B7C4306A3A}"/>
    <cellStyle name="Porcentaje 5 6 4" xfId="32853" xr:uid="{D1A2ACEC-CAC0-4120-929C-6EBD3A55B132}"/>
    <cellStyle name="Porcentaje 5 6 5" xfId="38717" xr:uid="{4CE1C72A-78D0-4136-8DE9-EDE016F3E121}"/>
    <cellStyle name="Porcentaje 5 7" xfId="18403" xr:uid="{BA6805FA-754C-4BBE-B54F-8F0496B6B83A}"/>
    <cellStyle name="Porcentaje 5 8" xfId="24112" xr:uid="{9CE0479D-D062-4D83-8F0E-C0D1DA5416EC}"/>
    <cellStyle name="Porcentaje 5 9" xfId="29990" xr:uid="{67C112E4-0E27-497F-B6D1-0C94723954D9}"/>
    <cellStyle name="Porcentaje 6" xfId="3930" xr:uid="{6D2EB5D6-20A1-4BEA-9A8A-DEFC790051D7}"/>
    <cellStyle name="Porcentaje 6 10" xfId="35921" xr:uid="{77CE28F7-1EA6-4F57-9BF8-CA9C66DFC95C}"/>
    <cellStyle name="Porcentaje 6 2" xfId="4123" xr:uid="{4169207D-4E47-4D79-BFD0-0F05D5E840CF}"/>
    <cellStyle name="Porcentaje 6 2 2" xfId="4601" xr:uid="{EB180866-7F60-4D65-9E78-A9DA3B5C4676}"/>
    <cellStyle name="Porcentaje 6 2 2 2" xfId="5569" xr:uid="{3DF8FAF8-0282-49E0-AF8E-52BEBAA3EA7D}"/>
    <cellStyle name="Porcentaje 6 2 2 2 2" xfId="8436" xr:uid="{B683301A-E69E-440E-B57F-9F378E445C37}"/>
    <cellStyle name="Porcentaje 6 2 2 2 2 2" xfId="22811" xr:uid="{EE570875-3830-403E-BAD0-E2434DF523C6}"/>
    <cellStyle name="Porcentaje 6 2 2 2 2 3" xfId="28669" xr:uid="{5CB0C406-E104-4A21-B8BC-71010143BAA8}"/>
    <cellStyle name="Porcentaje 6 2 2 2 2 4" xfId="34551" xr:uid="{72ECE88A-E2A4-4A47-A578-E30D065C5060}"/>
    <cellStyle name="Porcentaje 6 2 2 2 2 5" xfId="40415" xr:uid="{9C76270E-7C2D-4F7C-B972-2B26D361BF23}"/>
    <cellStyle name="Porcentaje 6 2 2 2 3" xfId="20029" xr:uid="{E846E2F4-914A-434E-9C5C-CF551C3F4EFF}"/>
    <cellStyle name="Porcentaje 6 2 2 2 4" xfId="25820" xr:uid="{4E75DD66-C9AB-4554-A263-6629AD30D234}"/>
    <cellStyle name="Porcentaje 6 2 2 2 5" xfId="31694" xr:uid="{CC767992-9E61-49C5-81DF-DFFB306D6E08}"/>
    <cellStyle name="Porcentaje 6 2 2 2 6" xfId="37564" xr:uid="{E556A34D-0573-496A-AEE7-9A753700B0DD}"/>
    <cellStyle name="Porcentaje 6 2 2 3" xfId="7464" xr:uid="{968FB802-E888-400D-BAD4-4098849BF33A}"/>
    <cellStyle name="Porcentaje 6 2 2 3 2" xfId="21866" xr:uid="{408C25FA-832E-4541-ADC5-4D3F819C74D1}"/>
    <cellStyle name="Porcentaje 6 2 2 3 3" xfId="27698" xr:uid="{DA9B03D1-0E2A-4B40-9FEE-CEC23F6D9748}"/>
    <cellStyle name="Porcentaje 6 2 2 3 4" xfId="33580" xr:uid="{C2CEC69A-BCE3-43C3-80FB-46617BD834E1}"/>
    <cellStyle name="Porcentaje 6 2 2 3 5" xfId="39444" xr:uid="{21478B3F-846B-474F-8866-EA5FD745E542}"/>
    <cellStyle name="Porcentaje 6 2 2 4" xfId="19096" xr:uid="{39D6CDD6-3CCB-40AA-967F-47410F681F45}"/>
    <cellStyle name="Porcentaje 6 2 2 5" xfId="24849" xr:uid="{E1B202DA-1290-4E72-A995-6FA8C8BB0F07}"/>
    <cellStyle name="Porcentaje 6 2 2 6" xfId="30726" xr:uid="{0D5809DB-9F2A-4A1A-932A-400B67598337}"/>
    <cellStyle name="Porcentaje 6 2 2 7" xfId="36607" xr:uid="{C273D09B-E5C6-4657-B0BB-4B64A352E2A1}"/>
    <cellStyle name="Porcentaje 6 2 3" xfId="5084" xr:uid="{4075A0EA-AD71-4674-AAF6-EB5B926D0CBA}"/>
    <cellStyle name="Porcentaje 6 2 3 2" xfId="7951" xr:uid="{76B594EB-28DB-4CF7-98C8-549D6D847EF9}"/>
    <cellStyle name="Porcentaje 6 2 3 2 2" xfId="22336" xr:uid="{94D0404F-CF3F-41ED-A805-DDEBB83BE72C}"/>
    <cellStyle name="Porcentaje 6 2 3 2 3" xfId="28184" xr:uid="{11C7E6AA-AF22-487E-894A-DFC464689BD7}"/>
    <cellStyle name="Porcentaje 6 2 3 2 4" xfId="34066" xr:uid="{93601F20-6A40-464D-9F77-9F26958A58C7}"/>
    <cellStyle name="Porcentaje 6 2 3 2 5" xfId="39930" xr:uid="{5ECF10CD-DEC0-45F6-A18B-28FA6A7AED0C}"/>
    <cellStyle name="Porcentaje 6 2 3 3" xfId="19561" xr:uid="{E1F22CC1-3C02-4E2E-8798-2BEE78A68762}"/>
    <cellStyle name="Porcentaje 6 2 3 4" xfId="25335" xr:uid="{8103DE23-D4FB-4330-AE30-BE9C154E14AF}"/>
    <cellStyle name="Porcentaje 6 2 3 5" xfId="31209" xr:uid="{19D25716-945C-4052-85EF-DB493C854CE0}"/>
    <cellStyle name="Porcentaje 6 2 3 6" xfId="37087" xr:uid="{687FADA3-1DCA-412F-A8DA-944E32ED1882}"/>
    <cellStyle name="Porcentaje 6 2 4" xfId="6979" xr:uid="{A680D340-CAB2-445D-B419-975F4E629E34}"/>
    <cellStyle name="Porcentaje 6 2 4 2" xfId="21398" xr:uid="{4A40B081-D54A-42A1-A7C3-82C307A5D3A7}"/>
    <cellStyle name="Porcentaje 6 2 4 3" xfId="27217" xr:uid="{DBE92D5C-1E19-4E6F-8097-6E14A02BC88A}"/>
    <cellStyle name="Porcentaje 6 2 4 4" xfId="33095" xr:uid="{182A7E3D-032C-42AE-B162-EE603C9E7581}"/>
    <cellStyle name="Porcentaje 6 2 4 5" xfId="38959" xr:uid="{D0318B9F-0258-473C-8597-FF26698F76BA}"/>
    <cellStyle name="Porcentaje 6 2 5" xfId="18652" xr:uid="{298805C2-D673-4129-87A3-5830079436FD}"/>
    <cellStyle name="Porcentaje 6 2 6" xfId="24366" xr:uid="{E4DD7176-2D9D-488F-A66C-A91C0D228F70}"/>
    <cellStyle name="Porcentaje 6 2 7" xfId="30244" xr:uid="{46E60B6D-0241-44C1-8C3F-A8124CCB8F76}"/>
    <cellStyle name="Porcentaje 6 2 8" xfId="36123" xr:uid="{59A8D651-16BB-4CB7-9476-3EB65DD467DF}"/>
    <cellStyle name="Porcentaje 6 3" xfId="4407" xr:uid="{EB6735B5-0E7C-4D70-B249-B143F4369C7E}"/>
    <cellStyle name="Porcentaje 6 3 2" xfId="5373" xr:uid="{40788EE4-B404-415E-8687-AB6C5A6C3D62}"/>
    <cellStyle name="Porcentaje 6 3 2 2" xfId="8240" xr:uid="{708ECD6A-E68F-4E83-A528-0EB0F88B9773}"/>
    <cellStyle name="Porcentaje 6 3 2 2 2" xfId="22616" xr:uid="{8F87155C-6638-4C8D-BB11-06E04BAD951B}"/>
    <cellStyle name="Porcentaje 6 3 2 2 3" xfId="28473" xr:uid="{F8C41163-50CA-49E3-B48E-98AB4A7CCF3F}"/>
    <cellStyle name="Porcentaje 6 3 2 2 4" xfId="34355" xr:uid="{757C0AD3-4781-479C-8A72-4B2FF23145FE}"/>
    <cellStyle name="Porcentaje 6 3 2 2 5" xfId="40219" xr:uid="{1274E155-A9CD-4E22-8703-085E10E5C1FC}"/>
    <cellStyle name="Porcentaje 6 3 2 3" xfId="19840" xr:uid="{47EA21C0-2D77-4CBB-9063-283BA644F73C}"/>
    <cellStyle name="Porcentaje 6 3 2 4" xfId="25624" xr:uid="{5CECD5C2-8984-46A8-992D-D947E5170ADE}"/>
    <cellStyle name="Porcentaje 6 3 2 5" xfId="31498" xr:uid="{6D4EC6C8-F79B-4880-8CDB-6E373ECE3AAC}"/>
    <cellStyle name="Porcentaje 6 3 2 6" xfId="37369" xr:uid="{F0192F12-9039-452C-A112-7A71082ABEDC}"/>
    <cellStyle name="Porcentaje 6 3 3" xfId="7268" xr:uid="{FE36CE92-C414-418A-A849-CAC80C5FFD01}"/>
    <cellStyle name="Porcentaje 6 3 3 2" xfId="21675" xr:uid="{C3E10515-CB29-4449-BCD3-5545F2D5B8D7}"/>
    <cellStyle name="Porcentaje 6 3 3 3" xfId="27502" xr:uid="{2BCA7292-B4DE-4E6D-BD51-6C9DFD1F5A45}"/>
    <cellStyle name="Porcentaje 6 3 3 4" xfId="33384" xr:uid="{5CB2CAC9-EA90-4C0F-B8D4-75E4CF17BBB4}"/>
    <cellStyle name="Porcentaje 6 3 3 5" xfId="39248" xr:uid="{7F13E7B0-7635-4286-BCB4-6070A4DF76B1}"/>
    <cellStyle name="Porcentaje 6 3 4" xfId="18909" xr:uid="{438516D4-DCB6-469F-96ED-EA640F886335}"/>
    <cellStyle name="Porcentaje 6 3 5" xfId="24653" xr:uid="{17D3A804-3209-41CC-92C1-36662CEFA5C0}"/>
    <cellStyle name="Porcentaje 6 3 6" xfId="30532" xr:uid="{BCEF7208-59CC-4C12-B628-A10E1D20EEE3}"/>
    <cellStyle name="Porcentaje 6 3 7" xfId="36412" xr:uid="{0B85B96F-1427-481F-BD20-03A7B2978019}"/>
    <cellStyle name="Porcentaje 6 4" xfId="4888" xr:uid="{B28C3C37-B7EC-46DF-BA45-077B929D98CF}"/>
    <cellStyle name="Porcentaje 6 4 2" xfId="7755" xr:uid="{B677401C-E5F2-46C1-AF5E-28C98AFC52BA}"/>
    <cellStyle name="Porcentaje 6 4 2 2" xfId="22145" xr:uid="{E530F25F-9CF3-441C-B2CA-337D67CABA71}"/>
    <cellStyle name="Porcentaje 6 4 2 3" xfId="27988" xr:uid="{940B89A9-1431-490C-91DE-7F57AEF28208}"/>
    <cellStyle name="Porcentaje 6 4 2 4" xfId="33870" xr:uid="{7A78D496-69AA-412E-AFD6-F50D7C770AD1}"/>
    <cellStyle name="Porcentaje 6 4 2 5" xfId="39734" xr:uid="{99A069FA-1F94-4F92-AF08-A79741E19939}"/>
    <cellStyle name="Porcentaje 6 4 3" xfId="19371" xr:uid="{8AE2A813-E13B-4F8F-9796-D12C5B2751E0}"/>
    <cellStyle name="Porcentaje 6 4 4" xfId="25139" xr:uid="{CD37C221-BA89-42F8-9328-A94B34B34F6F}"/>
    <cellStyle name="Porcentaje 6 4 5" xfId="31013" xr:uid="{00C378AB-90C6-4DF9-BF1E-348470B4993C}"/>
    <cellStyle name="Porcentaje 6 4 6" xfId="36892" xr:uid="{29173F6A-FA41-4664-93B6-173D4800472C}"/>
    <cellStyle name="Porcentaje 6 5" xfId="5898" xr:uid="{16D850A5-0C54-4B94-A03D-BDDF2FF998B2}"/>
    <cellStyle name="Porcentaje 6 5 2" xfId="8767" xr:uid="{AF2CB4F9-C12D-4522-B047-2B198C8BFAD1}"/>
    <cellStyle name="Porcentaje 6 5 2 2" xfId="23135" xr:uid="{F2D2AAD5-B61E-42DF-AB1A-9BFCC23374C8}"/>
    <cellStyle name="Porcentaje 6 5 2 3" xfId="28999" xr:uid="{C9EC61AD-4997-402E-B15B-A29C4CFDFF0F}"/>
    <cellStyle name="Porcentaje 6 5 2 4" xfId="34881" xr:uid="{92739300-0A17-4B10-B6DD-0CF856C8C8D2}"/>
    <cellStyle name="Porcentaje 6 5 2 5" xfId="40745" xr:uid="{0DDE5096-3D9F-442B-A15F-3DE76DD957CC}"/>
    <cellStyle name="Porcentaje 6 5 3" xfId="20349" xr:uid="{4D4823BE-92A9-4404-99AA-BA2AF3D99F24}"/>
    <cellStyle name="Porcentaje 6 5 4" xfId="26149" xr:uid="{12232162-3381-46BA-B8D4-A49817719AEC}"/>
    <cellStyle name="Porcentaje 6 5 5" xfId="32024" xr:uid="{AC19DD23-2894-404D-98CE-53252F9501F4}"/>
    <cellStyle name="Porcentaje 6 5 6" xfId="37890" xr:uid="{461E3697-6CC0-4231-A4EF-06C9470D48EE}"/>
    <cellStyle name="Porcentaje 6 6" xfId="6784" xr:uid="{008DD8A9-33EB-4CE9-9F27-CE611711F8BB}"/>
    <cellStyle name="Porcentaje 6 6 2" xfId="21208" xr:uid="{283538E3-8AC8-4FC5-A351-4A8A26076D12}"/>
    <cellStyle name="Porcentaje 6 6 3" xfId="27023" xr:uid="{7A809CB1-5463-44C9-A422-580A3BBFB431}"/>
    <cellStyle name="Porcentaje 6 6 4" xfId="32899" xr:uid="{205C9400-33FB-47BE-9D65-2C7750CF0BEF}"/>
    <cellStyle name="Porcentaje 6 6 5" xfId="38763" xr:uid="{F201A9AB-C9CD-413A-9F95-4A71ACF72486}"/>
    <cellStyle name="Porcentaje 6 7" xfId="18454" xr:uid="{0F6156C3-2ACA-4546-8602-14A102906456}"/>
    <cellStyle name="Porcentaje 6 8" xfId="24162" xr:uid="{523C0E73-D932-4F31-9377-8A2BD721470C}"/>
    <cellStyle name="Porcentaje 6 9" xfId="30040" xr:uid="{208FB2B2-57F2-4BE6-8CD3-1B5CC80FB416}"/>
    <cellStyle name="Porcentaje 7" xfId="3953" xr:uid="{5DF8BF18-2905-4FA8-8ECF-F283D3089C3A}"/>
    <cellStyle name="Porcentaje 7 10" xfId="35946" xr:uid="{80488F80-412C-445C-BE93-1741077620B8}"/>
    <cellStyle name="Porcentaje 7 2" xfId="4146" xr:uid="{F4E3FF0D-1DCF-4BF5-8347-C9D56BC8D78C}"/>
    <cellStyle name="Porcentaje 7 2 2" xfId="4624" xr:uid="{A0391FD2-C87A-4516-AF68-A5C4EB306E04}"/>
    <cellStyle name="Porcentaje 7 2 2 2" xfId="5592" xr:uid="{577494A4-F0DD-4F19-9065-172C38C8669E}"/>
    <cellStyle name="Porcentaje 7 2 2 2 2" xfId="8459" xr:uid="{FECE2094-782B-483F-A19C-7C0D0FEE32A3}"/>
    <cellStyle name="Porcentaje 7 2 2 2 2 2" xfId="22834" xr:uid="{BBE6A113-4433-4225-8F04-8D3BDB5BE63F}"/>
    <cellStyle name="Porcentaje 7 2 2 2 2 3" xfId="28692" xr:uid="{09D22CE0-2C08-4FCE-9EBB-FD53978727CA}"/>
    <cellStyle name="Porcentaje 7 2 2 2 2 4" xfId="34574" xr:uid="{5608554E-CF20-4ABA-8BAA-AD1143293CF9}"/>
    <cellStyle name="Porcentaje 7 2 2 2 2 5" xfId="40438" xr:uid="{4E84DDE7-98C5-4E07-9702-8B3A242FE797}"/>
    <cellStyle name="Porcentaje 7 2 2 2 3" xfId="20052" xr:uid="{888C8216-2832-45A4-A3EE-568935798081}"/>
    <cellStyle name="Porcentaje 7 2 2 2 4" xfId="25843" xr:uid="{C36D5F6B-A518-4703-89F1-27493CAA1EDC}"/>
    <cellStyle name="Porcentaje 7 2 2 2 5" xfId="31717" xr:uid="{10FD6D42-D06F-45C3-8DD2-1DBAB12F0410}"/>
    <cellStyle name="Porcentaje 7 2 2 2 6" xfId="37587" xr:uid="{F0E4EC66-45A1-4BA1-A7DF-3D1879F99FF3}"/>
    <cellStyle name="Porcentaje 7 2 2 3" xfId="7487" xr:uid="{E3B5DB1C-6645-4124-AD11-904B908FCC8F}"/>
    <cellStyle name="Porcentaje 7 2 2 3 2" xfId="21889" xr:uid="{C1DCDBB9-BB42-4A11-A866-48E2C38359E2}"/>
    <cellStyle name="Porcentaje 7 2 2 3 3" xfId="27721" xr:uid="{DE1FD161-A781-4865-BA8B-57E7B3B29C5E}"/>
    <cellStyle name="Porcentaje 7 2 2 3 4" xfId="33603" xr:uid="{94B69D6D-149C-42DD-95D2-20492A7C4272}"/>
    <cellStyle name="Porcentaje 7 2 2 3 5" xfId="39467" xr:uid="{1A28404A-C1DB-40DD-AC6F-3C9CD125222D}"/>
    <cellStyle name="Porcentaje 7 2 2 4" xfId="19118" xr:uid="{CC2255F5-4358-4E49-9CE5-1215BA4033B5}"/>
    <cellStyle name="Porcentaje 7 2 2 5" xfId="24872" xr:uid="{07647975-D15A-4284-9CF8-A4124E864E74}"/>
    <cellStyle name="Porcentaje 7 2 2 6" xfId="30749" xr:uid="{C18FF2C3-277F-4E8C-BD25-370445D8683B}"/>
    <cellStyle name="Porcentaje 7 2 2 7" xfId="36630" xr:uid="{C20FB38C-93E8-4FFE-ABBB-979A68687F9F}"/>
    <cellStyle name="Porcentaje 7 2 3" xfId="5107" xr:uid="{1F803B90-C4F1-4764-92AC-8228F3D78969}"/>
    <cellStyle name="Porcentaje 7 2 3 2" xfId="7974" xr:uid="{C10810C1-C03F-4092-BA07-D2EAA0A79ABE}"/>
    <cellStyle name="Porcentaje 7 2 3 2 2" xfId="22359" xr:uid="{CB3D4B8D-2424-4A6B-A5F8-3A2FC9B207AA}"/>
    <cellStyle name="Porcentaje 7 2 3 2 3" xfId="28207" xr:uid="{C57CD802-013D-492A-AB5C-8088FA924B50}"/>
    <cellStyle name="Porcentaje 7 2 3 2 4" xfId="34089" xr:uid="{E487DD24-D48F-46B9-A1F7-7782B1DEF28A}"/>
    <cellStyle name="Porcentaje 7 2 3 2 5" xfId="39953" xr:uid="{201AE13D-28A2-4431-9884-919909BE65AB}"/>
    <cellStyle name="Porcentaje 7 2 3 3" xfId="19583" xr:uid="{6E6E6872-F775-4295-AC1D-86A155F1A2BD}"/>
    <cellStyle name="Porcentaje 7 2 3 4" xfId="25358" xr:uid="{1C8C9977-D486-46D8-BFB7-0B988E8AF930}"/>
    <cellStyle name="Porcentaje 7 2 3 5" xfId="31232" xr:uid="{F8CFB02C-8761-412E-AAE8-C835C8E6A5C5}"/>
    <cellStyle name="Porcentaje 7 2 3 6" xfId="37110" xr:uid="{65F1726E-E92A-45EB-8721-DE512470085A}"/>
    <cellStyle name="Porcentaje 7 2 4" xfId="7002" xr:uid="{B01F9A1D-3358-441A-8DE7-6A07DE4882ED}"/>
    <cellStyle name="Porcentaje 7 2 4 2" xfId="21420" xr:uid="{58371292-BD25-4AFF-A34D-71983AEFB2B8}"/>
    <cellStyle name="Porcentaje 7 2 4 3" xfId="27240" xr:uid="{1CC08534-4D60-45AC-A785-533671BF0B8F}"/>
    <cellStyle name="Porcentaje 7 2 4 4" xfId="33118" xr:uid="{83F8C7E2-A1DA-4C6C-8034-926019FA4425}"/>
    <cellStyle name="Porcentaje 7 2 4 5" xfId="38982" xr:uid="{35AF7B0B-5210-4EC6-B960-AB4C87727334}"/>
    <cellStyle name="Porcentaje 7 2 5" xfId="18674" xr:uid="{86817FDE-E090-4959-934C-D2A1935BF8BE}"/>
    <cellStyle name="Porcentaje 7 2 6" xfId="24389" xr:uid="{790AF27F-754B-4C1D-8D6B-8357C3040315}"/>
    <cellStyle name="Porcentaje 7 2 7" xfId="30267" xr:uid="{3CAEB2EE-42CA-4B15-9019-A301ABFF0CCD}"/>
    <cellStyle name="Porcentaje 7 2 8" xfId="36146" xr:uid="{6FA9B23D-306E-4087-8DD1-CF1949222D04}"/>
    <cellStyle name="Porcentaje 7 3" xfId="4429" xr:uid="{85918BC5-79B4-4D6C-902E-63AB21D06111}"/>
    <cellStyle name="Porcentaje 7 3 2" xfId="5396" xr:uid="{B18591A4-893A-4B0D-A2A3-37F85536376B}"/>
    <cellStyle name="Porcentaje 7 3 2 2" xfId="8263" xr:uid="{1B5379B3-0C50-44BB-9F18-F49D8F9E2A83}"/>
    <cellStyle name="Porcentaje 7 3 2 2 2" xfId="22639" xr:uid="{33F31DCA-E692-4E8D-A18D-E552896A9D80}"/>
    <cellStyle name="Porcentaje 7 3 2 2 3" xfId="28496" xr:uid="{99E9B1F4-84B2-46E5-A475-A66B33C19305}"/>
    <cellStyle name="Porcentaje 7 3 2 2 4" xfId="34378" xr:uid="{57B8E9E3-F05E-48F2-8ACC-02972A1BD9DC}"/>
    <cellStyle name="Porcentaje 7 3 2 2 5" xfId="40242" xr:uid="{434FE73D-3BE4-4633-8E6E-9E716EFBEBD6}"/>
    <cellStyle name="Porcentaje 7 3 2 3" xfId="19862" xr:uid="{3EB496B1-DBC5-4F0F-861A-9D5E5E3F1D90}"/>
    <cellStyle name="Porcentaje 7 3 2 4" xfId="25647" xr:uid="{8DEE891F-3F03-46B7-8779-DC3A23BE36DB}"/>
    <cellStyle name="Porcentaje 7 3 2 5" xfId="31521" xr:uid="{CE2C1B47-6856-409C-8743-961030834D28}"/>
    <cellStyle name="Porcentaje 7 3 2 6" xfId="37392" xr:uid="{BDC1A5D8-188D-4D0B-AC30-ED3EFEFCBC2B}"/>
    <cellStyle name="Porcentaje 7 3 3" xfId="7291" xr:uid="{E05031B8-B738-4666-8BC8-E3616F69A1F6}"/>
    <cellStyle name="Porcentaje 7 3 3 2" xfId="21697" xr:uid="{C8CA0652-1D2E-4033-8BFC-E42CEB5F3D3B}"/>
    <cellStyle name="Porcentaje 7 3 3 3" xfId="27525" xr:uid="{7DE21755-F83E-41E5-9184-77B87C3B961C}"/>
    <cellStyle name="Porcentaje 7 3 3 4" xfId="33407" xr:uid="{727DB252-9F9F-4EC7-98ED-98C31B830EEC}"/>
    <cellStyle name="Porcentaje 7 3 3 5" xfId="39271" xr:uid="{CF7A81D9-822B-489F-8E45-450832293163}"/>
    <cellStyle name="Porcentaje 7 3 4" xfId="18932" xr:uid="{F58A3711-D84D-477B-A837-7AF6E42FB04B}"/>
    <cellStyle name="Porcentaje 7 3 5" xfId="24676" xr:uid="{C67EAB94-5A24-4EAB-BB4D-C5A5EEFC617A}"/>
    <cellStyle name="Porcentaje 7 3 6" xfId="30555" xr:uid="{D1D9A81A-8BAC-44CA-88D7-BC9478F61731}"/>
    <cellStyle name="Porcentaje 7 3 7" xfId="36435" xr:uid="{C56DAF3D-FFE3-4E9C-9C41-CCA739473EA0}"/>
    <cellStyle name="Porcentaje 7 4" xfId="4911" xr:uid="{5A9417B1-302A-4C99-8C46-60626315B407}"/>
    <cellStyle name="Porcentaje 7 4 2" xfId="7778" xr:uid="{E002B7BC-9853-47F4-9994-CDF0F58FD87D}"/>
    <cellStyle name="Porcentaje 7 4 2 2" xfId="22167" xr:uid="{60497922-9794-4856-82AC-4C9E615AF767}"/>
    <cellStyle name="Porcentaje 7 4 2 3" xfId="28011" xr:uid="{87CC6634-467E-4C88-A90C-0E683F82EE3A}"/>
    <cellStyle name="Porcentaje 7 4 2 4" xfId="33893" xr:uid="{027C55AA-95D0-4F23-829B-9B841968BD47}"/>
    <cellStyle name="Porcentaje 7 4 2 5" xfId="39757" xr:uid="{E603548D-AA7C-46D2-ABC6-5FFCF0272319}"/>
    <cellStyle name="Porcentaje 7 4 3" xfId="19394" xr:uid="{9CE28608-F7FC-44B5-920F-F506FD76ACAE}"/>
    <cellStyle name="Porcentaje 7 4 4" xfId="25162" xr:uid="{2ED3BDF5-C48D-46D7-93A1-087A232333AF}"/>
    <cellStyle name="Porcentaje 7 4 5" xfId="31036" xr:uid="{7A3DD886-2601-40EF-9CB9-FD176D935190}"/>
    <cellStyle name="Porcentaje 7 4 6" xfId="36915" xr:uid="{9E7EB414-CB0C-46E1-8612-31DC325EC621}"/>
    <cellStyle name="Porcentaje 7 5" xfId="5921" xr:uid="{BC6768E3-1F05-4686-B38B-396399C3B758}"/>
    <cellStyle name="Porcentaje 7 5 2" xfId="8790" xr:uid="{8243D512-960D-403B-A91E-F592DC1B31F3}"/>
    <cellStyle name="Porcentaje 7 5 2 2" xfId="23157" xr:uid="{4E3D6604-CEC6-4B52-9EB0-748AA1DA375E}"/>
    <cellStyle name="Porcentaje 7 5 2 3" xfId="29022" xr:uid="{77C5199E-897C-485E-A473-2559D3EB89B3}"/>
    <cellStyle name="Porcentaje 7 5 2 4" xfId="34904" xr:uid="{7EE17A87-858D-41EE-BD88-A652DFE512CE}"/>
    <cellStyle name="Porcentaje 7 5 2 5" xfId="40768" xr:uid="{049650AD-F333-426E-8103-AB31B9A7103E}"/>
    <cellStyle name="Porcentaje 7 5 3" xfId="20372" xr:uid="{5E53CDEA-002C-4B0A-9F73-E9DCB0B349DF}"/>
    <cellStyle name="Porcentaje 7 5 4" xfId="26172" xr:uid="{4B8E3FED-BB11-46CD-ABCD-C4D3A588D531}"/>
    <cellStyle name="Porcentaje 7 5 5" xfId="32047" xr:uid="{4A5D7EEF-4D45-4034-A627-B3486DC66550}"/>
    <cellStyle name="Porcentaje 7 5 6" xfId="37913" xr:uid="{0756DF6A-44EB-483C-8740-47DEA49A3EE1}"/>
    <cellStyle name="Porcentaje 7 6" xfId="6807" xr:uid="{DF28B1CA-19CB-4C3D-8E44-3F58BBB10E89}"/>
    <cellStyle name="Porcentaje 7 6 2" xfId="21231" xr:uid="{9967B8B3-D6BF-41E0-B5C7-17707892AF5F}"/>
    <cellStyle name="Porcentaje 7 6 3" xfId="27046" xr:uid="{1D81C145-59C7-4A24-829C-4F55E84B73A3}"/>
    <cellStyle name="Porcentaje 7 6 4" xfId="32922" xr:uid="{AE794247-EAD1-4B8C-949C-14259601B631}"/>
    <cellStyle name="Porcentaje 7 6 5" xfId="38786" xr:uid="{2A4CEA09-B73C-4C67-A6DE-70A74004B6D3}"/>
    <cellStyle name="Porcentaje 7 7" xfId="18479" xr:uid="{807F0D65-317A-49F8-884D-FDF0E0938AE9}"/>
    <cellStyle name="Porcentaje 7 8" xfId="24187" xr:uid="{D434B618-2979-4350-83AF-B9B8D3749648}"/>
    <cellStyle name="Porcentaje 7 9" xfId="30065" xr:uid="{4FFC6961-BD0E-44A9-9C9C-1A1656707B87}"/>
    <cellStyle name="Porcentaje 8" xfId="3980" xr:uid="{406B4582-4CC1-45C6-A4B0-A173B05F761D}"/>
    <cellStyle name="Porcentaje 8 10" xfId="35974" xr:uid="{5FA1D1FD-A845-4AF4-B2FA-1879A761377E}"/>
    <cellStyle name="Porcentaje 8 2" xfId="4173" xr:uid="{621C7C0F-32A5-4BE0-8313-97DABE2668BE}"/>
    <cellStyle name="Porcentaje 8 2 2" xfId="4651" xr:uid="{0203DE2D-D6A8-4D93-8323-2CA5D3526369}"/>
    <cellStyle name="Porcentaje 8 2 2 2" xfId="5619" xr:uid="{5570848A-0121-4162-86D0-C1BFDC96D6FE}"/>
    <cellStyle name="Porcentaje 8 2 2 2 2" xfId="8486" xr:uid="{C35FCCC4-5AD7-455B-B950-327C8EDEEE53}"/>
    <cellStyle name="Porcentaje 8 2 2 2 2 2" xfId="22860" xr:uid="{BDAFC14A-B5DD-419F-94B1-E5484DB35582}"/>
    <cellStyle name="Porcentaje 8 2 2 2 2 3" xfId="28719" xr:uid="{DD042BE2-777E-4C52-9B8D-85666A4F31D7}"/>
    <cellStyle name="Porcentaje 8 2 2 2 2 4" xfId="34601" xr:uid="{96428FDB-5E16-412D-812F-88FB3CC05891}"/>
    <cellStyle name="Porcentaje 8 2 2 2 2 5" xfId="40465" xr:uid="{CCA81097-C7E1-4609-8279-3FC7EBF3D31F}"/>
    <cellStyle name="Porcentaje 8 2 2 2 3" xfId="20078" xr:uid="{7E936BEE-BA3B-4E84-93CE-6FA163E0127A}"/>
    <cellStyle name="Porcentaje 8 2 2 2 4" xfId="25870" xr:uid="{D5C65C5A-99B8-48B6-AE7B-84E3E52B37C5}"/>
    <cellStyle name="Porcentaje 8 2 2 2 5" xfId="31744" xr:uid="{D9DBF99C-C3F7-4AEC-BC09-AE7B26EEBE4E}"/>
    <cellStyle name="Porcentaje 8 2 2 2 6" xfId="37613" xr:uid="{101EB40B-DF4B-4E94-9CE8-A0DB61A4BA1A}"/>
    <cellStyle name="Porcentaje 8 2 2 3" xfId="7514" xr:uid="{3B496D43-CDA8-46C3-A200-E418AC668072}"/>
    <cellStyle name="Porcentaje 8 2 2 3 2" xfId="21914" xr:uid="{2D2A673E-F90C-4C12-9809-80C4D7A0B6F9}"/>
    <cellStyle name="Porcentaje 8 2 2 3 3" xfId="27748" xr:uid="{289D6DF0-545A-4412-884D-6A756C347393}"/>
    <cellStyle name="Porcentaje 8 2 2 3 4" xfId="33630" xr:uid="{54292F20-65CC-4A06-8C33-B290E39A7A9B}"/>
    <cellStyle name="Porcentaje 8 2 2 3 5" xfId="39494" xr:uid="{1A903D0F-75E6-4F4B-95DD-099EF96ED06B}"/>
    <cellStyle name="Porcentaje 8 2 2 4" xfId="19143" xr:uid="{4AB6883B-F102-4722-BFFB-82E1D12CC0C4}"/>
    <cellStyle name="Porcentaje 8 2 2 5" xfId="24899" xr:uid="{B9037D33-A17F-4C2C-A59A-8DD572948539}"/>
    <cellStyle name="Porcentaje 8 2 2 6" xfId="30775" xr:uid="{BD569706-A56C-4ABB-A2E9-BD2941346395}"/>
    <cellStyle name="Porcentaje 8 2 2 7" xfId="36656" xr:uid="{985C803C-21DF-43F7-878D-20FDA6DB2F8E}"/>
    <cellStyle name="Porcentaje 8 2 3" xfId="5134" xr:uid="{EF75FF89-8462-486B-B835-AA851C6BE443}"/>
    <cellStyle name="Porcentaje 8 2 3 2" xfId="8001" xr:uid="{D34C144B-04CE-48E0-A0DF-13784B3E3633}"/>
    <cellStyle name="Porcentaje 8 2 3 2 2" xfId="22385" xr:uid="{19ED0B09-7303-4C15-AE03-56A1503708BB}"/>
    <cellStyle name="Porcentaje 8 2 3 2 3" xfId="28234" xr:uid="{6A466507-734B-4383-9F19-264574FCBAF7}"/>
    <cellStyle name="Porcentaje 8 2 3 2 4" xfId="34116" xr:uid="{A5CEBB6C-C27F-4E1D-BC6A-ABB70FC99858}"/>
    <cellStyle name="Porcentaje 8 2 3 2 5" xfId="39980" xr:uid="{935AD4B3-94D9-41F7-84C1-1434C639A6EB}"/>
    <cellStyle name="Porcentaje 8 2 3 3" xfId="19608" xr:uid="{971B065C-AD22-4A21-88C5-C688A6DB0487}"/>
    <cellStyle name="Porcentaje 8 2 3 4" xfId="25385" xr:uid="{A0804D4B-FF29-44A3-BA24-52048E9F9C69}"/>
    <cellStyle name="Porcentaje 8 2 3 5" xfId="31259" xr:uid="{D1958373-1313-4FAD-A1E7-882E8504F5AF}"/>
    <cellStyle name="Porcentaje 8 2 3 6" xfId="37136" xr:uid="{C8FCBD48-6954-4303-A510-2402868FA39A}"/>
    <cellStyle name="Porcentaje 8 2 4" xfId="7029" xr:uid="{382C108B-3349-43D5-B7A3-83AEB046C78A}"/>
    <cellStyle name="Porcentaje 8 2 4 2" xfId="21445" xr:uid="{92582308-349B-49DA-B704-DF79F74AC675}"/>
    <cellStyle name="Porcentaje 8 2 4 3" xfId="27266" xr:uid="{331F292A-56ED-4A06-B520-1219CB6F2E38}"/>
    <cellStyle name="Porcentaje 8 2 4 4" xfId="33145" xr:uid="{59A7D9B3-7139-4097-A52B-7C90574771DA}"/>
    <cellStyle name="Porcentaje 8 2 4 5" xfId="39009" xr:uid="{A59B9266-9340-4D12-BB41-A25D15D2FEA6}"/>
    <cellStyle name="Porcentaje 8 2 5" xfId="18700" xr:uid="{17F35F53-C3C4-4ADD-8FC0-4A88A9E8ED14}"/>
    <cellStyle name="Porcentaje 8 2 6" xfId="24416" xr:uid="{0E3BAD4C-E3F2-4BC5-8495-00A8BDCB5D4D}"/>
    <cellStyle name="Porcentaje 8 2 7" xfId="30293" xr:uid="{C5677DD0-8FEE-41F3-9F21-F7308238811C}"/>
    <cellStyle name="Porcentaje 8 2 8" xfId="36173" xr:uid="{60653F72-4A31-478E-B57A-AC32A9D3E9A1}"/>
    <cellStyle name="Porcentaje 8 3" xfId="4455" xr:uid="{CB9F7978-E8BD-4799-8BCC-B31E2781D5A6}"/>
    <cellStyle name="Porcentaje 8 3 2" xfId="5423" xr:uid="{315E9560-279C-4DA0-BA95-9C0F7963D1E7}"/>
    <cellStyle name="Porcentaje 8 3 2 2" xfId="8290" xr:uid="{27962B2C-FCB6-4A95-B319-8912D7C0FBED}"/>
    <cellStyle name="Porcentaje 8 3 2 2 2" xfId="22666" xr:uid="{5B0668C1-78B0-4EC1-8E7D-B5C8B682985D}"/>
    <cellStyle name="Porcentaje 8 3 2 2 3" xfId="28523" xr:uid="{DE653C08-1BFC-4254-A51E-71B403CED349}"/>
    <cellStyle name="Porcentaje 8 3 2 2 4" xfId="34405" xr:uid="{2AEE066B-631B-4546-BB7A-09DC592DF085}"/>
    <cellStyle name="Porcentaje 8 3 2 2 5" xfId="40269" xr:uid="{B33B9B92-51B3-43DB-8F4F-1EEF23A69AAD}"/>
    <cellStyle name="Porcentaje 8 3 2 3" xfId="19887" xr:uid="{C0A5060D-6C9E-4C64-91BF-398E554204CC}"/>
    <cellStyle name="Porcentaje 8 3 2 4" xfId="25674" xr:uid="{DAE15C15-9804-44D0-A543-8B1AC1D59691}"/>
    <cellStyle name="Porcentaje 8 3 2 5" xfId="31548" xr:uid="{D368AFA3-BF28-41B1-97BA-9F6CB3C4D65C}"/>
    <cellStyle name="Porcentaje 8 3 2 6" xfId="37419" xr:uid="{8936631E-28E0-4243-8249-2A191C90B09B}"/>
    <cellStyle name="Porcentaje 8 3 3" xfId="7318" xr:uid="{C5514F80-3E8A-48D6-B363-45637A4416EB}"/>
    <cellStyle name="Porcentaje 8 3 3 2" xfId="21722" xr:uid="{DB2AAA71-BA08-4E4B-A51D-DE28E9CF965D}"/>
    <cellStyle name="Porcentaje 8 3 3 3" xfId="27552" xr:uid="{7A7A9CA5-ECA1-44C7-9152-E00784513D3A}"/>
    <cellStyle name="Porcentaje 8 3 3 4" xfId="33434" xr:uid="{87159D2B-05E0-46BE-A648-E305EA4348E1}"/>
    <cellStyle name="Porcentaje 8 3 3 5" xfId="39298" xr:uid="{FA5E65A9-FE9A-4AC6-988D-9E7563A8D947}"/>
    <cellStyle name="Porcentaje 8 3 4" xfId="18959" xr:uid="{C749876E-4BE2-4E00-899C-0965DF945D9E}"/>
    <cellStyle name="Porcentaje 8 3 5" xfId="24703" xr:uid="{D83DA0AA-AD36-46E7-9409-740FE956A9E8}"/>
    <cellStyle name="Porcentaje 8 3 6" xfId="30581" xr:uid="{479917D4-26D5-4D5F-899D-A359586E1BD1}"/>
    <cellStyle name="Porcentaje 8 3 7" xfId="36462" xr:uid="{BDCA6804-46D1-491B-AA36-FD3D51EDB13E}"/>
    <cellStyle name="Porcentaje 8 4" xfId="4938" xr:uid="{4C2F786B-1F27-421A-80D3-A922308EF69D}"/>
    <cellStyle name="Porcentaje 8 4 2" xfId="7805" xr:uid="{974237D5-A506-4C7E-A270-D162925DD717}"/>
    <cellStyle name="Porcentaje 8 4 2 2" xfId="22192" xr:uid="{059A10A9-6EDC-4A94-82FA-79A9CCDB0C1E}"/>
    <cellStyle name="Porcentaje 8 4 2 3" xfId="28038" xr:uid="{284906FA-CF54-4709-B7B4-57A752945569}"/>
    <cellStyle name="Porcentaje 8 4 2 4" xfId="33920" xr:uid="{1C6948DD-28AB-4A17-97F4-09BEB254B4AB}"/>
    <cellStyle name="Porcentaje 8 4 2 5" xfId="39784" xr:uid="{85E21285-905E-49D3-9884-CA99CBD05B48}"/>
    <cellStyle name="Porcentaje 8 4 3" xfId="19420" xr:uid="{38E83C08-7E89-4840-BBAF-1FECA995FBF8}"/>
    <cellStyle name="Porcentaje 8 4 4" xfId="25189" xr:uid="{E439FB03-47B4-4026-B1F9-4D361AC807CD}"/>
    <cellStyle name="Porcentaje 8 4 5" xfId="31063" xr:uid="{BF652D99-A620-4F65-84FF-D6FE98D09982}"/>
    <cellStyle name="Porcentaje 8 4 6" xfId="36942" xr:uid="{75C9D882-2935-4D9B-924F-25021E60F4ED}"/>
    <cellStyle name="Porcentaje 8 5" xfId="5948" xr:uid="{8C1BA566-EA30-4018-BDDF-E404B25D363C}"/>
    <cellStyle name="Porcentaje 8 5 2" xfId="8817" xr:uid="{5C5C07E1-D5C1-4FAD-A8E3-A11AAFE26970}"/>
    <cellStyle name="Porcentaje 8 5 2 2" xfId="23182" xr:uid="{3ABEEB5F-CAF4-4634-93F6-8631BB33575C}"/>
    <cellStyle name="Porcentaje 8 5 2 3" xfId="29049" xr:uid="{1E5C009C-DDB2-4B72-9204-15F4013C52F4}"/>
    <cellStyle name="Porcentaje 8 5 2 4" xfId="34931" xr:uid="{95A4D299-5746-4CE2-BE59-C4A5B54ADC16}"/>
    <cellStyle name="Porcentaje 8 5 2 5" xfId="40795" xr:uid="{B89FAC77-6A04-4B7E-9247-4079B826E295}"/>
    <cellStyle name="Porcentaje 8 5 3" xfId="20398" xr:uid="{4309B202-F894-4754-A9EB-958A394731C6}"/>
    <cellStyle name="Porcentaje 8 5 4" xfId="26199" xr:uid="{D146EB5C-DB55-459A-9225-0B08FBF3C800}"/>
    <cellStyle name="Porcentaje 8 5 5" xfId="32074" xr:uid="{1657D6EF-AE1A-43BD-9FB9-D1C865C3AC97}"/>
    <cellStyle name="Porcentaje 8 5 6" xfId="37939" xr:uid="{90EAF65B-E089-480F-9CF3-E142CAD39E18}"/>
    <cellStyle name="Porcentaje 8 6" xfId="6834" xr:uid="{8730E71E-4966-4736-9686-767A07A7F5A6}"/>
    <cellStyle name="Porcentaje 8 6 2" xfId="21257" xr:uid="{EAEF8B99-FA29-43EA-8B6B-0F324CC9FCB0}"/>
    <cellStyle name="Porcentaje 8 6 3" xfId="27072" xr:uid="{912189E0-89B1-49EC-AAA3-A630FE12F674}"/>
    <cellStyle name="Porcentaje 8 6 4" xfId="32949" xr:uid="{375A12A0-EC9A-459F-A3E0-F899DB646C18}"/>
    <cellStyle name="Porcentaje 8 6 5" xfId="38813" xr:uid="{728A0707-4E11-4981-8896-615FCE1937A9}"/>
    <cellStyle name="Porcentaje 8 7" xfId="18507" xr:uid="{4F03CD07-19F1-4413-B86D-784FEA587211}"/>
    <cellStyle name="Porcentaje 8 8" xfId="24216" xr:uid="{8EF1E0FC-F619-4936-85F5-1F1C817E4144}"/>
    <cellStyle name="Porcentaje 8 9" xfId="30094" xr:uid="{999AB5C0-05B2-44E8-9D58-2B7D57E587A1}"/>
    <cellStyle name="Porcentaje 9" xfId="4197" xr:uid="{E4BB5AF2-A9C7-417C-A21D-67419B9A1F1F}"/>
    <cellStyle name="Porcentaje 9 2" xfId="4675" xr:uid="{C76C7B83-5724-41F8-82EC-45307B907A66}"/>
    <cellStyle name="Porcentaje 9 2 2" xfId="5643" xr:uid="{3F91E78C-8BF5-4AB3-8CF1-1A96768848E2}"/>
    <cellStyle name="Porcentaje 9 2 2 2" xfId="8511" xr:uid="{D7E1E662-8896-4A6C-936E-A3263E03F24A}"/>
    <cellStyle name="Porcentaje 9 2 2 2 2" xfId="22885" xr:uid="{17804221-2B85-4F72-94DA-AC2D06D737AF}"/>
    <cellStyle name="Porcentaje 9 2 2 2 3" xfId="28744" xr:uid="{299C5986-662F-4450-9DFB-DE5D1EAA1CF1}"/>
    <cellStyle name="Porcentaje 9 2 2 2 4" xfId="34626" xr:uid="{6A75BF27-F366-4F7E-9704-795FEA21146F}"/>
    <cellStyle name="Porcentaje 9 2 2 2 5" xfId="40490" xr:uid="{398773CF-13AC-4B29-A747-5D0DC8E59870}"/>
    <cellStyle name="Porcentaje 9 2 2 3" xfId="20102" xr:uid="{261B813E-6031-4FE8-8B3F-4662CC6E7154}"/>
    <cellStyle name="Porcentaje 9 2 2 4" xfId="25894" xr:uid="{E0BC3624-F7E4-4F12-9296-C14E0188B549}"/>
    <cellStyle name="Porcentaje 9 2 2 5" xfId="31769" xr:uid="{B053664D-EBD0-49B5-BAD3-748FF728145C}"/>
    <cellStyle name="Porcentaje 9 2 2 6" xfId="37638" xr:uid="{59138CD8-8BC8-40E0-A600-03DAE0C207D7}"/>
    <cellStyle name="Porcentaje 9 2 3" xfId="7539" xr:uid="{88965732-98E1-41BB-A942-0869768F3BC0}"/>
    <cellStyle name="Porcentaje 9 2 3 2" xfId="21937" xr:uid="{A76EE6DF-AC5B-4393-A79C-ABA1809CA369}"/>
    <cellStyle name="Porcentaje 9 2 3 3" xfId="27773" xr:uid="{7E4EEEEB-A34A-4822-A5CD-D2029D013703}"/>
    <cellStyle name="Porcentaje 9 2 3 4" xfId="33655" xr:uid="{638E407C-0C30-47D4-8866-230DF89C8FEF}"/>
    <cellStyle name="Porcentaje 9 2 3 5" xfId="39519" xr:uid="{C88E2A5D-ECBD-4AA5-B612-3779843F7DBB}"/>
    <cellStyle name="Porcentaje 9 2 4" xfId="19168" xr:uid="{5E348960-4CDA-4EB9-8110-B00CDE54C1C7}"/>
    <cellStyle name="Porcentaje 9 2 5" xfId="24924" xr:uid="{1CA82AE7-44DF-4972-9EAE-60186C0EFA30}"/>
    <cellStyle name="Porcentaje 9 2 6" xfId="30799" xr:uid="{21C5BB25-BBA5-43C8-B55F-1B7D69807F35}"/>
    <cellStyle name="Porcentaje 9 2 7" xfId="36681" xr:uid="{B5090950-7FE5-4A3C-92E7-4680EA839F67}"/>
    <cellStyle name="Porcentaje 9 3" xfId="5159" xr:uid="{DADC69A7-9A4E-4CE2-9CBF-1E6CD15C4D54}"/>
    <cellStyle name="Porcentaje 9 3 2" xfId="8026" xr:uid="{54442A38-F250-4D3A-95FE-D473587DFD29}"/>
    <cellStyle name="Porcentaje 9 3 2 2" xfId="22409" xr:uid="{42C9A2E7-B2AB-444E-A740-841EC7CEBBBB}"/>
    <cellStyle name="Porcentaje 9 3 2 3" xfId="28259" xr:uid="{9A9B8AC9-F6F6-44E8-9943-E6C64215E1CD}"/>
    <cellStyle name="Porcentaje 9 3 2 4" xfId="34141" xr:uid="{3D8A2579-326E-4000-B815-2303AE1B3635}"/>
    <cellStyle name="Porcentaje 9 3 2 5" xfId="40005" xr:uid="{A60DD62C-28E6-4B3A-9A89-E540C916E413}"/>
    <cellStyle name="Porcentaje 9 3 3" xfId="19632" xr:uid="{BDE4D16D-2F35-40F3-8256-F8CEE1881BA1}"/>
    <cellStyle name="Porcentaje 9 3 4" xfId="25410" xr:uid="{C9F7B084-CC10-4E55-BE41-DF8393530815}"/>
    <cellStyle name="Porcentaje 9 3 5" xfId="31284" xr:uid="{06001C6E-B674-4118-986A-2D7C8456772C}"/>
    <cellStyle name="Porcentaje 9 3 6" xfId="37161" xr:uid="{2C7ACE86-BC3D-4592-96A9-775BCE89C560}"/>
    <cellStyle name="Porcentaje 9 4" xfId="7054" xr:uid="{D05C45B0-BA86-470F-B44D-A5D3B826DE72}"/>
    <cellStyle name="Porcentaje 9 4 2" xfId="21469" xr:uid="{00691401-E93E-41F3-A1B6-E325CA40A0B8}"/>
    <cellStyle name="Porcentaje 9 4 3" xfId="27291" xr:uid="{974599AE-A962-4D32-A3EC-5D0E6442566C}"/>
    <cellStyle name="Porcentaje 9 4 4" xfId="33170" xr:uid="{6D172A91-76F3-4E1D-B8EB-95D55729ABB7}"/>
    <cellStyle name="Porcentaje 9 4 5" xfId="39034" xr:uid="{D03971C1-5335-439F-AFBC-A04EB8BB010B}"/>
    <cellStyle name="Porcentaje 9 5" xfId="18725" xr:uid="{0C04E996-2FAB-4BEA-8D7E-C877198C1986}"/>
    <cellStyle name="Porcentaje 9 6" xfId="24441" xr:uid="{4C223E74-E36D-41A8-8156-2EC54CFDF151}"/>
    <cellStyle name="Porcentaje 9 7" xfId="30317" xr:uid="{CF2C42C0-D34C-4940-BD00-1149DEB402E0}"/>
    <cellStyle name="Porcentaje 9 8" xfId="36198" xr:uid="{3F4D6E7E-D94E-4996-A99E-76FDE031976A}"/>
    <cellStyle name="Porcentual 10" xfId="42363" xr:uid="{8BFFCE8C-81F0-4C6D-A70A-A11A9CCC892E}"/>
    <cellStyle name="Porcentual 10 2" xfId="42364" xr:uid="{92B68218-5F9D-4F31-91E8-F2E9C9FAEAE5}"/>
    <cellStyle name="Porcentual 11" xfId="42365" xr:uid="{D0B39417-4EB9-486B-8686-518E898C1515}"/>
    <cellStyle name="Porcentual 12" xfId="42366" xr:uid="{0F9EDB6A-D165-49D2-9A57-07C22FA07F6C}"/>
    <cellStyle name="Porcentual 13" xfId="42367" xr:uid="{ACF9F639-E5ED-4A58-BFCD-562FDDE807BE}"/>
    <cellStyle name="Porcentual 2" xfId="75" xr:uid="{00000000-0005-0000-0000-000045070000}"/>
    <cellStyle name="Porcentual 2 2" xfId="1690" xr:uid="{00000000-0005-0000-0000-000046070000}"/>
    <cellStyle name="Porcentual 2 2 10" xfId="42368" xr:uid="{DDBF679D-A54E-46BA-A20A-5F827E757B6D}"/>
    <cellStyle name="Porcentual 2 2 11" xfId="42369" xr:uid="{958C2E42-D375-4913-9D38-3720DEB31BFC}"/>
    <cellStyle name="Porcentual 2 2 2" xfId="1691" xr:uid="{00000000-0005-0000-0000-000047070000}"/>
    <cellStyle name="Porcentual 2 2 2 2" xfId="42370" xr:uid="{51A8041D-7AC6-44E5-8D5B-D65B8BD1EBDD}"/>
    <cellStyle name="Porcentual 2 2 2 2 2" xfId="42371" xr:uid="{83BD8781-1818-4A52-AE1E-6B14EEEA1F3B}"/>
    <cellStyle name="Porcentual 2 2 2 2 3" xfId="42372" xr:uid="{75E1A6A3-0812-49ED-AEEE-5B0235D74903}"/>
    <cellStyle name="Porcentual 2 2 2 2 4" xfId="42373" xr:uid="{333598CB-889F-4414-91F7-1B980BA02F8D}"/>
    <cellStyle name="Porcentual 2 2 2 2 5" xfId="42374" xr:uid="{5F9A6079-9BCE-4B20-9B0C-94DB71DA92FF}"/>
    <cellStyle name="Porcentual 2 2 2 2 6" xfId="42375" xr:uid="{23D27EB9-E0AF-48BA-A2E8-79432FDE881F}"/>
    <cellStyle name="Porcentual 2 2 2 2 7" xfId="42376" xr:uid="{3706E4E1-9310-4FE6-8681-4CB249058CA6}"/>
    <cellStyle name="Porcentual 2 2 2 2 8" xfId="42377" xr:uid="{229CC5FA-49ED-42DE-9322-8A8634DB0031}"/>
    <cellStyle name="Porcentual 2 2 2 3" xfId="42378" xr:uid="{E9865A64-E3C4-4CBF-A6D6-E118BC5DC7DD}"/>
    <cellStyle name="Porcentual 2 2 2 3 2" xfId="42379" xr:uid="{6A5979C7-DF42-42EB-9207-792F43A0EEDE}"/>
    <cellStyle name="Porcentual 2 2 2 3 3" xfId="42380" xr:uid="{6255D04F-FAF0-4F15-9F3D-6FEB5AE3D99F}"/>
    <cellStyle name="Porcentual 2 2 2 3 4" xfId="42381" xr:uid="{EDE1D0AC-B453-48E0-8447-0CE7269BDA5C}"/>
    <cellStyle name="Porcentual 2 2 2 3 5" xfId="42382" xr:uid="{D737A78D-FBEE-4BCA-8C97-5B336E3ADEF8}"/>
    <cellStyle name="Porcentual 2 2 2 3 6" xfId="42383" xr:uid="{0C3384D9-3E64-4162-BAD1-5B36062ADE4F}"/>
    <cellStyle name="Porcentual 2 2 2 3 7" xfId="42384" xr:uid="{05A15DD5-C290-4450-8A2E-057614A3EC20}"/>
    <cellStyle name="Porcentual 2 2 2 3 8" xfId="42385" xr:uid="{94F32101-B6E2-4BB2-BD93-60295D09D9BC}"/>
    <cellStyle name="Porcentual 2 2 2 4" xfId="42386" xr:uid="{376BA5B2-4F88-4EDA-B004-1D861AACC99B}"/>
    <cellStyle name="Porcentual 2 2 3" xfId="1692" xr:uid="{00000000-0005-0000-0000-000048070000}"/>
    <cellStyle name="Porcentual 2 2 4" xfId="1693" xr:uid="{00000000-0005-0000-0000-000049070000}"/>
    <cellStyle name="Porcentual 2 2 4 2" xfId="42387" xr:uid="{3A7BB4FC-A1D0-43B8-BCF9-C590C87454B2}"/>
    <cellStyle name="Porcentual 2 2 5" xfId="1694" xr:uid="{00000000-0005-0000-0000-00004A070000}"/>
    <cellStyle name="Porcentual 2 2 6" xfId="1695" xr:uid="{00000000-0005-0000-0000-00004B070000}"/>
    <cellStyle name="Porcentual 2 2 6 2" xfId="42388" xr:uid="{65A08362-3A3C-4D76-ABD6-21A94669DCCB}"/>
    <cellStyle name="Porcentual 2 2 7" xfId="1696" xr:uid="{00000000-0005-0000-0000-00004C070000}"/>
    <cellStyle name="Porcentual 2 2 8" xfId="1697" xr:uid="{00000000-0005-0000-0000-00004D070000}"/>
    <cellStyle name="Porcentual 2 2 8 2" xfId="42389" xr:uid="{32A2C031-9A74-4E00-89C7-6A4BD12C3807}"/>
    <cellStyle name="Porcentual 2 2 9" xfId="1940" xr:uid="{00000000-0005-0000-0000-00004E070000}"/>
    <cellStyle name="Porcentual 2 2 9 2" xfId="42390" xr:uid="{2351C12B-1231-48B3-99FF-7A6A5724E29C}"/>
    <cellStyle name="Porcentual 2 3" xfId="1698" xr:uid="{00000000-0005-0000-0000-00004F070000}"/>
    <cellStyle name="Porcentual 2 3 2" xfId="1941" xr:uid="{00000000-0005-0000-0000-000050070000}"/>
    <cellStyle name="Porcentual 2 4" xfId="1699" xr:uid="{00000000-0005-0000-0000-000051070000}"/>
    <cellStyle name="Porcentual 2 4 2" xfId="1942" xr:uid="{00000000-0005-0000-0000-000052070000}"/>
    <cellStyle name="Porcentual 2 4 3" xfId="42391" xr:uid="{67112B51-2762-45CB-A13B-CE9DF5CBD2B7}"/>
    <cellStyle name="Porcentual 2 5" xfId="1925" xr:uid="{00000000-0005-0000-0000-000053070000}"/>
    <cellStyle name="Porcentual 2 5 2" xfId="42392" xr:uid="{461293DF-4644-49C1-BFEC-E466CA5A30C2}"/>
    <cellStyle name="Porcentual 2 6" xfId="42393" xr:uid="{F5F4053F-40F2-4BC8-ACC8-FE323F724375}"/>
    <cellStyle name="Porcentual 2 7" xfId="42394" xr:uid="{DA0DC37C-573F-4DF8-B339-7A20A35377DE}"/>
    <cellStyle name="Porcentual 2 8" xfId="42395" xr:uid="{84C53616-D00C-4DAB-9522-F045FE113639}"/>
    <cellStyle name="Porcentual 25" xfId="1791" xr:uid="{00000000-0005-0000-0000-000054070000}"/>
    <cellStyle name="Porcentual 25 10" xfId="1700" xr:uid="{00000000-0005-0000-0000-000055070000}"/>
    <cellStyle name="Porcentual 25 10 2" xfId="1701" xr:uid="{00000000-0005-0000-0000-000056070000}"/>
    <cellStyle name="Porcentual 25 10 3" xfId="1702" xr:uid="{00000000-0005-0000-0000-000057070000}"/>
    <cellStyle name="Porcentual 25 10 4" xfId="1703" xr:uid="{00000000-0005-0000-0000-000058070000}"/>
    <cellStyle name="Porcentual 25 10 5" xfId="1704" xr:uid="{00000000-0005-0000-0000-000059070000}"/>
    <cellStyle name="Porcentual 25 10 6" xfId="1705" xr:uid="{00000000-0005-0000-0000-00005A070000}"/>
    <cellStyle name="Porcentual 25 11" xfId="1706" xr:uid="{00000000-0005-0000-0000-00005B070000}"/>
    <cellStyle name="Porcentual 25 12" xfId="1707" xr:uid="{00000000-0005-0000-0000-00005C070000}"/>
    <cellStyle name="Porcentual 25 13" xfId="1708" xr:uid="{00000000-0005-0000-0000-00005D070000}"/>
    <cellStyle name="Porcentual 25 14" xfId="1709" xr:uid="{00000000-0005-0000-0000-00005E070000}"/>
    <cellStyle name="Porcentual 25 15" xfId="1710" xr:uid="{00000000-0005-0000-0000-00005F070000}"/>
    <cellStyle name="Porcentual 25 16" xfId="1711" xr:uid="{00000000-0005-0000-0000-000060070000}"/>
    <cellStyle name="Porcentual 25 16 2" xfId="1712" xr:uid="{00000000-0005-0000-0000-000061070000}"/>
    <cellStyle name="Porcentual 25 17" xfId="1713" xr:uid="{00000000-0005-0000-0000-000062070000}"/>
    <cellStyle name="Porcentual 25 17 2" xfId="1714" xr:uid="{00000000-0005-0000-0000-000063070000}"/>
    <cellStyle name="Porcentual 25 18" xfId="1715" xr:uid="{00000000-0005-0000-0000-000064070000}"/>
    <cellStyle name="Porcentual 25 18 2" xfId="1716" xr:uid="{00000000-0005-0000-0000-000065070000}"/>
    <cellStyle name="Porcentual 25 2" xfId="1717" xr:uid="{00000000-0005-0000-0000-000066070000}"/>
    <cellStyle name="Porcentual 25 2 10" xfId="1718" xr:uid="{00000000-0005-0000-0000-000067070000}"/>
    <cellStyle name="Porcentual 25 2 11" xfId="1719" xr:uid="{00000000-0005-0000-0000-000068070000}"/>
    <cellStyle name="Porcentual 25 2 2" xfId="1720" xr:uid="{00000000-0005-0000-0000-000069070000}"/>
    <cellStyle name="Porcentual 25 2 3" xfId="1721" xr:uid="{00000000-0005-0000-0000-00006A070000}"/>
    <cellStyle name="Porcentual 25 2 4" xfId="1722" xr:uid="{00000000-0005-0000-0000-00006B070000}"/>
    <cellStyle name="Porcentual 25 2 5" xfId="1723" xr:uid="{00000000-0005-0000-0000-00006C070000}"/>
    <cellStyle name="Porcentual 25 2 6" xfId="1724" xr:uid="{00000000-0005-0000-0000-00006D070000}"/>
    <cellStyle name="Porcentual 25 2 7" xfId="1725" xr:uid="{00000000-0005-0000-0000-00006E070000}"/>
    <cellStyle name="Porcentual 25 2 8" xfId="1726" xr:uid="{00000000-0005-0000-0000-00006F070000}"/>
    <cellStyle name="Porcentual 25 2 9" xfId="1727" xr:uid="{00000000-0005-0000-0000-000070070000}"/>
    <cellStyle name="Porcentual 25 3" xfId="1728" xr:uid="{00000000-0005-0000-0000-000071070000}"/>
    <cellStyle name="Porcentual 25 3 10" xfId="1729" xr:uid="{00000000-0005-0000-0000-000072070000}"/>
    <cellStyle name="Porcentual 25 3 11" xfId="1730" xr:uid="{00000000-0005-0000-0000-000073070000}"/>
    <cellStyle name="Porcentual 25 3 2" xfId="1731" xr:uid="{00000000-0005-0000-0000-000074070000}"/>
    <cellStyle name="Porcentual 25 3 3" xfId="1732" xr:uid="{00000000-0005-0000-0000-000075070000}"/>
    <cellStyle name="Porcentual 25 3 4" xfId="1733" xr:uid="{00000000-0005-0000-0000-000076070000}"/>
    <cellStyle name="Porcentual 25 3 5" xfId="1734" xr:uid="{00000000-0005-0000-0000-000077070000}"/>
    <cellStyle name="Porcentual 25 3 6" xfId="1735" xr:uid="{00000000-0005-0000-0000-000078070000}"/>
    <cellStyle name="Porcentual 25 3 7" xfId="1736" xr:uid="{00000000-0005-0000-0000-000079070000}"/>
    <cellStyle name="Porcentual 25 3 8" xfId="1737" xr:uid="{00000000-0005-0000-0000-00007A070000}"/>
    <cellStyle name="Porcentual 25 3 9" xfId="1738" xr:uid="{00000000-0005-0000-0000-00007B070000}"/>
    <cellStyle name="Porcentual 25 4" xfId="1739" xr:uid="{00000000-0005-0000-0000-00007C070000}"/>
    <cellStyle name="Porcentual 25 4 2" xfId="1740" xr:uid="{00000000-0005-0000-0000-00007D070000}"/>
    <cellStyle name="Porcentual 25 4 2 2" xfId="1741" xr:uid="{00000000-0005-0000-0000-00007E070000}"/>
    <cellStyle name="Porcentual 25 4 2 2 2" xfId="1742" xr:uid="{00000000-0005-0000-0000-00007F070000}"/>
    <cellStyle name="Porcentual 25 4 2 2 3" xfId="1743" xr:uid="{00000000-0005-0000-0000-000080070000}"/>
    <cellStyle name="Porcentual 25 4 2 2 4" xfId="1744" xr:uid="{00000000-0005-0000-0000-000081070000}"/>
    <cellStyle name="Porcentual 25 4 2 2 5" xfId="1745" xr:uid="{00000000-0005-0000-0000-000082070000}"/>
    <cellStyle name="Porcentual 25 4 2 2 6" xfId="1746" xr:uid="{00000000-0005-0000-0000-000083070000}"/>
    <cellStyle name="Porcentual 25 4 3" xfId="1747" xr:uid="{00000000-0005-0000-0000-000084070000}"/>
    <cellStyle name="Porcentual 25 4 4" xfId="1748" xr:uid="{00000000-0005-0000-0000-000085070000}"/>
    <cellStyle name="Porcentual 25 4 5" xfId="1749" xr:uid="{00000000-0005-0000-0000-000086070000}"/>
    <cellStyle name="Porcentual 25 4 6" xfId="1750" xr:uid="{00000000-0005-0000-0000-000087070000}"/>
    <cellStyle name="Porcentual 25 4 7" xfId="1751" xr:uid="{00000000-0005-0000-0000-000088070000}"/>
    <cellStyle name="Porcentual 25 5" xfId="1752" xr:uid="{00000000-0005-0000-0000-000089070000}"/>
    <cellStyle name="Porcentual 25 6" xfId="1753" xr:uid="{00000000-0005-0000-0000-00008A070000}"/>
    <cellStyle name="Porcentual 25 7" xfId="1754" xr:uid="{00000000-0005-0000-0000-00008B070000}"/>
    <cellStyle name="Porcentual 25 8" xfId="1755" xr:uid="{00000000-0005-0000-0000-00008C070000}"/>
    <cellStyle name="Porcentual 25 9" xfId="1756" xr:uid="{00000000-0005-0000-0000-00008D070000}"/>
    <cellStyle name="Porcentual 3" xfId="1923" xr:uid="{00000000-0005-0000-0000-00008E070000}"/>
    <cellStyle name="Porcentual 3 10" xfId="42396" xr:uid="{ED6FFD18-80C0-46BB-A920-C7B7BD9C9FAB}"/>
    <cellStyle name="Porcentual 3 2" xfId="1757" xr:uid="{00000000-0005-0000-0000-00008F070000}"/>
    <cellStyle name="Porcentual 3 3" xfId="42397" xr:uid="{B3DE0B8B-09FD-4900-857B-C7089E9243BE}"/>
    <cellStyle name="Porcentual 3 4" xfId="42398" xr:uid="{6596010B-5BE9-4830-A6E7-B2836C6318EF}"/>
    <cellStyle name="Porcentual 3 5" xfId="42399" xr:uid="{6BDE8C1B-5B7C-4BFC-BCE8-D5C1D069CF35}"/>
    <cellStyle name="Porcentual 3 6" xfId="42400" xr:uid="{094706EE-BDC6-4610-A82A-90DDEAE11B92}"/>
    <cellStyle name="Porcentual 3 7" xfId="42401" xr:uid="{5CE339E5-30BD-45EC-B8E8-922169DF328D}"/>
    <cellStyle name="Porcentual 3 8" xfId="42402" xr:uid="{D7F65C50-5C04-4A73-AEA5-A3AFBAF56B59}"/>
    <cellStyle name="Porcentual 3 9" xfId="42403" xr:uid="{8FDB5E0C-DC1E-47E0-ADA7-4398AB60539B}"/>
    <cellStyle name="Porcentual 4" xfId="42404" xr:uid="{8BC9DE2A-0129-473A-A98E-7E09C0E2CEF7}"/>
    <cellStyle name="Porcentual 4 2" xfId="1758" xr:uid="{00000000-0005-0000-0000-000090070000}"/>
    <cellStyle name="Porcentual 4 2 2" xfId="42405" xr:uid="{DE1FC583-6A23-40E2-A464-D71B3EDD1FCF}"/>
    <cellStyle name="Porcentual 4 3" xfId="42406" xr:uid="{D354765C-2DF3-418C-8257-03832EF8B65E}"/>
    <cellStyle name="Porcentual 4 4" xfId="42407" xr:uid="{27866802-6585-4494-BA85-5DADBD13C4E1}"/>
    <cellStyle name="Porcentual 4 5" xfId="42408" xr:uid="{1E67FF25-F6DC-4994-844F-ACA640EDDBD9}"/>
    <cellStyle name="Porcentual 4 6" xfId="42409" xr:uid="{62D929C9-DD8A-4018-A1B0-FAC52008228D}"/>
    <cellStyle name="Porcentual 4 7" xfId="42410" xr:uid="{2E2FEFC8-6590-431D-810F-4681D428F80E}"/>
    <cellStyle name="Porcentual 4 8" xfId="42411" xr:uid="{2C0CE89E-5163-42D1-9249-FF177D182F7B}"/>
    <cellStyle name="Porcentual 5" xfId="42412" xr:uid="{BC13E8E4-575E-4672-BEAC-2D589F0A4443}"/>
    <cellStyle name="Porcentual 5 2" xfId="42413" xr:uid="{2DA3EF71-A956-40E1-85C6-B5F03BAFBD1A}"/>
    <cellStyle name="Porcentual 5 2 2" xfId="42414" xr:uid="{05935BA5-8D3A-496F-BECB-23F454101E2D}"/>
    <cellStyle name="Porcentual 5 2 3" xfId="42415" xr:uid="{35D4F6B7-9049-47B0-867C-AB8D5F5D1A3B}"/>
    <cellStyle name="Porcentual 5 2 4" xfId="42416" xr:uid="{94ED9F6B-62DC-4D82-9F28-6B543E4B607C}"/>
    <cellStyle name="Porcentual 5 2 5" xfId="42417" xr:uid="{7453E686-DE06-480A-B1CA-8D4C08C7372E}"/>
    <cellStyle name="Porcentual 5 2 6" xfId="42418" xr:uid="{B8288CD1-6BC7-4432-BD90-127C33A5C8BC}"/>
    <cellStyle name="Porcentual 5 2 7" xfId="42419" xr:uid="{E0AF29C7-2543-4262-89CA-403437D7D6C9}"/>
    <cellStyle name="Porcentual 5 2 8" xfId="42420" xr:uid="{53EC6A47-29FA-44F8-80CB-BED6EB1A5F68}"/>
    <cellStyle name="Porcentual 5 3" xfId="42421" xr:uid="{8A4CAE64-1876-47C8-B631-9B90C2CFDB55}"/>
    <cellStyle name="Porcentual 5 4" xfId="42422" xr:uid="{CFA0FC29-48CF-4F3E-80C7-11519654ABA3}"/>
    <cellStyle name="Porcentual 5 5" xfId="42423" xr:uid="{25EE75B8-D78E-4854-AA0B-79EFC1293CD3}"/>
    <cellStyle name="Porcentual 5 6" xfId="42424" xr:uid="{F3AB31F0-26E9-4D4A-AA7D-CACAF72F091A}"/>
    <cellStyle name="Porcentual 5 7" xfId="42425" xr:uid="{B77B3C95-3A53-4730-B1BF-1AEF3F7EA2E0}"/>
    <cellStyle name="Porcentual 5 8" xfId="42426" xr:uid="{512301BE-76B6-4EF9-BD82-B8490F3AAA09}"/>
    <cellStyle name="Porcentual 5 9" xfId="42427" xr:uid="{B9971677-561E-4535-A196-9D72D254E246}"/>
    <cellStyle name="Porcentual 6" xfId="42428" xr:uid="{D1BAB700-BFB9-4BA0-BB66-EA3B3ACDF8E4}"/>
    <cellStyle name="Porcentual 7" xfId="42429" xr:uid="{CC22A102-B11D-4D67-8EC8-E47A0CE3469C}"/>
    <cellStyle name="Porcentual 8" xfId="42430" xr:uid="{0FF4DE5D-6D25-4075-87FE-69A53BA498C2}"/>
    <cellStyle name="Porcentual 9" xfId="42431" xr:uid="{CB60AA9A-F041-4F49-AE97-13A98D56510B}"/>
    <cellStyle name="Result" xfId="42432" xr:uid="{B23C404D-68AA-44F1-BEF2-E92939B178EE}"/>
    <cellStyle name="Result2" xfId="42433" xr:uid="{A7923995-A4B1-4BCD-A916-398BBCAB0483}"/>
    <cellStyle name="Salida" xfId="10" builtinId="21" customBuiltin="1"/>
    <cellStyle name="Texto de advertencia" xfId="14" builtinId="11" customBuiltin="1"/>
    <cellStyle name="Texto explicativo" xfId="16" builtinId="53" customBuiltin="1"/>
    <cellStyle name="Título" xfId="62" builtinId="15" customBuiltin="1"/>
    <cellStyle name="Título 2" xfId="3" builtinId="17" customBuiltin="1"/>
    <cellStyle name="Título 3" xfId="4" builtinId="18" customBuiltin="1"/>
    <cellStyle name="Título 4" xfId="42" xr:uid="{00000000-0005-0000-0000-000097070000}"/>
    <cellStyle name="Total" xfId="17" builtinId="25" customBuiltin="1"/>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1" defaultTableStyle="TableStyleMedium2" defaultPivotStyle="PivotStyleLight16">
    <tableStyle name="PivotStyleLight20 2" table="0" count="11" xr9:uid="{E6C57E88-0E45-4733-98F5-EB8AB50B6CD0}">
      <tableStyleElement type="headerRow" dxfId="61"/>
      <tableStyleElement type="totalRow" dxfId="60"/>
      <tableStyleElement type="firstRowStripe" dxfId="59"/>
      <tableStyleElement type="firstColumnStripe" dxfId="58"/>
      <tableStyleElement type="firstSubtotalColumn" dxfId="57"/>
      <tableStyleElement type="firstSubtotalRow" dxfId="56"/>
      <tableStyleElement type="secondSubtotalRow" dxfId="55"/>
      <tableStyleElement type="firstRowSubheading" dxfId="54"/>
      <tableStyleElement type="secondRowSubheading" dxfId="53"/>
      <tableStyleElement type="pageFieldLabels" dxfId="52"/>
      <tableStyleElement type="pageFieldValues" dxfId="51"/>
    </tableStyle>
  </tableStyles>
  <colors>
    <mruColors>
      <color rgb="FFFFCCFF"/>
      <color rgb="FFDB9EF4"/>
      <color rgb="FF66FFFF"/>
      <color rgb="FF000066"/>
      <color rgb="FFFFFFCC"/>
      <color rgb="FFFF9966"/>
      <color rgb="FFCCFF99"/>
      <color rgb="FFFF7C80"/>
      <color rgb="FF336699"/>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xdr:row>
      <xdr:rowOff>66674</xdr:rowOff>
    </xdr:from>
    <xdr:to>
      <xdr:col>1</xdr:col>
      <xdr:colOff>1908485</xdr:colOff>
      <xdr:row>3</xdr:row>
      <xdr:rowOff>115521</xdr:rowOff>
    </xdr:to>
    <xdr:pic>
      <xdr:nvPicPr>
        <xdr:cNvPr id="2" name="Imagen 1">
          <a:extLst>
            <a:ext uri="{FF2B5EF4-FFF2-40B4-BE49-F238E27FC236}">
              <a16:creationId xmlns:a16="http://schemas.microsoft.com/office/drawing/2014/main" id="{01BCCDDC-5F53-4D10-BE69-F98B8F60B8CF}"/>
            </a:ext>
          </a:extLst>
        </xdr:cNvPr>
        <xdr:cNvPicPr>
          <a:picLocks noChangeAspect="1"/>
        </xdr:cNvPicPr>
      </xdr:nvPicPr>
      <xdr:blipFill>
        <a:blip xmlns:r="http://schemas.openxmlformats.org/officeDocument/2006/relationships" r:embed="rId1"/>
        <a:stretch>
          <a:fillRect/>
        </a:stretch>
      </xdr:blipFill>
      <xdr:spPr>
        <a:xfrm>
          <a:off x="228600" y="211454"/>
          <a:ext cx="1938972" cy="43434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3" name="Imagen 2">
          <a:extLst>
            <a:ext uri="{FF2B5EF4-FFF2-40B4-BE49-F238E27FC236}">
              <a16:creationId xmlns:a16="http://schemas.microsoft.com/office/drawing/2014/main" id="{A93B849D-CB58-4814-84E7-41184E7A2FD2}"/>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4" name="Imagen 3">
          <a:extLst>
            <a:ext uri="{FF2B5EF4-FFF2-40B4-BE49-F238E27FC236}">
              <a16:creationId xmlns:a16="http://schemas.microsoft.com/office/drawing/2014/main" id="{578364A4-82FC-404F-81E9-471BFE39ED7A}"/>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5" name="Imagen 4">
          <a:extLst>
            <a:ext uri="{FF2B5EF4-FFF2-40B4-BE49-F238E27FC236}">
              <a16:creationId xmlns:a16="http://schemas.microsoft.com/office/drawing/2014/main" id="{32214DDD-FC72-48DA-B003-1D70C369C710}"/>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6" name="Imagen 5">
          <a:extLst>
            <a:ext uri="{FF2B5EF4-FFF2-40B4-BE49-F238E27FC236}">
              <a16:creationId xmlns:a16="http://schemas.microsoft.com/office/drawing/2014/main" id="{99BC70FD-62C3-436F-A95B-BB7BE472CE81}"/>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119067</xdr:colOff>
      <xdr:row>0</xdr:row>
      <xdr:rowOff>154780</xdr:rowOff>
    </xdr:from>
    <xdr:to>
      <xdr:col>2</xdr:col>
      <xdr:colOff>5380</xdr:colOff>
      <xdr:row>4</xdr:row>
      <xdr:rowOff>69052</xdr:rowOff>
    </xdr:to>
    <xdr:pic>
      <xdr:nvPicPr>
        <xdr:cNvPr id="3" name="Imagen 2">
          <a:extLst>
            <a:ext uri="{FF2B5EF4-FFF2-40B4-BE49-F238E27FC236}">
              <a16:creationId xmlns:a16="http://schemas.microsoft.com/office/drawing/2014/main" id="{F819C1F4-65E7-4B29-98E5-9353B0789F13}"/>
            </a:ext>
          </a:extLst>
        </xdr:cNvPr>
        <xdr:cNvPicPr>
          <a:picLocks noChangeAspect="1"/>
        </xdr:cNvPicPr>
      </xdr:nvPicPr>
      <xdr:blipFill>
        <a:blip xmlns:r="http://schemas.openxmlformats.org/officeDocument/2006/relationships" r:embed="rId1"/>
        <a:stretch>
          <a:fillRect/>
        </a:stretch>
      </xdr:blipFill>
      <xdr:spPr>
        <a:xfrm>
          <a:off x="263847" y="154780"/>
          <a:ext cx="2107967" cy="5543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119067</xdr:colOff>
      <xdr:row>0</xdr:row>
      <xdr:rowOff>154780</xdr:rowOff>
    </xdr:from>
    <xdr:to>
      <xdr:col>1</xdr:col>
      <xdr:colOff>2211794</xdr:colOff>
      <xdr:row>3</xdr:row>
      <xdr:rowOff>107152</xdr:rowOff>
    </xdr:to>
    <xdr:pic>
      <xdr:nvPicPr>
        <xdr:cNvPr id="2" name="Imagen 1">
          <a:extLst>
            <a:ext uri="{FF2B5EF4-FFF2-40B4-BE49-F238E27FC236}">
              <a16:creationId xmlns:a16="http://schemas.microsoft.com/office/drawing/2014/main" id="{5BB17153-1F44-4E01-B237-8FA5EB4B75B7}"/>
            </a:ext>
          </a:extLst>
        </xdr:cNvPr>
        <xdr:cNvPicPr>
          <a:picLocks noChangeAspect="1"/>
        </xdr:cNvPicPr>
      </xdr:nvPicPr>
      <xdr:blipFill>
        <a:blip xmlns:r="http://schemas.openxmlformats.org/officeDocument/2006/relationships" r:embed="rId1"/>
        <a:stretch>
          <a:fillRect/>
        </a:stretch>
      </xdr:blipFill>
      <xdr:spPr>
        <a:xfrm>
          <a:off x="263847" y="154780"/>
          <a:ext cx="2092727" cy="5010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119067</xdr:colOff>
      <xdr:row>0</xdr:row>
      <xdr:rowOff>154780</xdr:rowOff>
    </xdr:from>
    <xdr:to>
      <xdr:col>1</xdr:col>
      <xdr:colOff>2211794</xdr:colOff>
      <xdr:row>3</xdr:row>
      <xdr:rowOff>107152</xdr:rowOff>
    </xdr:to>
    <xdr:pic>
      <xdr:nvPicPr>
        <xdr:cNvPr id="2" name="Imagen 1">
          <a:extLst>
            <a:ext uri="{FF2B5EF4-FFF2-40B4-BE49-F238E27FC236}">
              <a16:creationId xmlns:a16="http://schemas.microsoft.com/office/drawing/2014/main" id="{E6CCC22C-64A1-401A-A767-E00640D4DE06}"/>
            </a:ext>
          </a:extLst>
        </xdr:cNvPr>
        <xdr:cNvPicPr>
          <a:picLocks noChangeAspect="1"/>
        </xdr:cNvPicPr>
      </xdr:nvPicPr>
      <xdr:blipFill>
        <a:blip xmlns:r="http://schemas.openxmlformats.org/officeDocument/2006/relationships" r:embed="rId1"/>
        <a:stretch>
          <a:fillRect/>
        </a:stretch>
      </xdr:blipFill>
      <xdr:spPr>
        <a:xfrm>
          <a:off x="263847" y="154780"/>
          <a:ext cx="2092727" cy="501012"/>
        </a:xfrm>
        <a:prstGeom prst="rect">
          <a:avLst/>
        </a:prstGeom>
      </xdr:spPr>
    </xdr:pic>
    <xdr:clientData/>
  </xdr:twoCellAnchor>
  <xdr:twoCellAnchor editAs="oneCell">
    <xdr:from>
      <xdr:col>5</xdr:col>
      <xdr:colOff>15240</xdr:colOff>
      <xdr:row>149</xdr:row>
      <xdr:rowOff>99060</xdr:rowOff>
    </xdr:from>
    <xdr:to>
      <xdr:col>7</xdr:col>
      <xdr:colOff>769856</xdr:colOff>
      <xdr:row>157</xdr:row>
      <xdr:rowOff>45842</xdr:rowOff>
    </xdr:to>
    <xdr:pic>
      <xdr:nvPicPr>
        <xdr:cNvPr id="3" name="Imagen 2">
          <a:extLst>
            <a:ext uri="{FF2B5EF4-FFF2-40B4-BE49-F238E27FC236}">
              <a16:creationId xmlns:a16="http://schemas.microsoft.com/office/drawing/2014/main" id="{9E2184FB-A0E2-4E4E-8546-D3FB79FA2EAC}"/>
            </a:ext>
          </a:extLst>
        </xdr:cNvPr>
        <xdr:cNvPicPr>
          <a:picLocks noChangeAspect="1"/>
        </xdr:cNvPicPr>
      </xdr:nvPicPr>
      <xdr:blipFill>
        <a:blip xmlns:r="http://schemas.openxmlformats.org/officeDocument/2006/relationships" r:embed="rId2"/>
        <a:stretch>
          <a:fillRect/>
        </a:stretch>
      </xdr:blipFill>
      <xdr:spPr>
        <a:xfrm>
          <a:off x="4968240" y="26106120"/>
          <a:ext cx="2728196" cy="1409822"/>
        </a:xfrm>
        <a:prstGeom prst="rect">
          <a:avLst/>
        </a:prstGeom>
      </xdr:spPr>
    </xdr:pic>
    <xdr:clientData/>
  </xdr:twoCellAnchor>
  <xdr:twoCellAnchor editAs="oneCell">
    <xdr:from>
      <xdr:col>7</xdr:col>
      <xdr:colOff>861060</xdr:colOff>
      <xdr:row>149</xdr:row>
      <xdr:rowOff>114300</xdr:rowOff>
    </xdr:from>
    <xdr:to>
      <xdr:col>9</xdr:col>
      <xdr:colOff>1173712</xdr:colOff>
      <xdr:row>157</xdr:row>
      <xdr:rowOff>114427</xdr:rowOff>
    </xdr:to>
    <xdr:pic>
      <xdr:nvPicPr>
        <xdr:cNvPr id="4" name="Imagen 3">
          <a:extLst>
            <a:ext uri="{FF2B5EF4-FFF2-40B4-BE49-F238E27FC236}">
              <a16:creationId xmlns:a16="http://schemas.microsoft.com/office/drawing/2014/main" id="{C31EBB42-D416-4CAF-816E-83B1E18B553C}"/>
            </a:ext>
          </a:extLst>
        </xdr:cNvPr>
        <xdr:cNvPicPr>
          <a:picLocks noChangeAspect="1"/>
        </xdr:cNvPicPr>
      </xdr:nvPicPr>
      <xdr:blipFill>
        <a:blip xmlns:r="http://schemas.openxmlformats.org/officeDocument/2006/relationships" r:embed="rId3"/>
        <a:stretch>
          <a:fillRect/>
        </a:stretch>
      </xdr:blipFill>
      <xdr:spPr>
        <a:xfrm>
          <a:off x="7787640" y="26121360"/>
          <a:ext cx="2682472" cy="1463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76199</xdr:colOff>
      <xdr:row>12</xdr:row>
      <xdr:rowOff>152399</xdr:rowOff>
    </xdr:from>
    <xdr:to>
      <xdr:col>7</xdr:col>
      <xdr:colOff>7620</xdr:colOff>
      <xdr:row>34</xdr:row>
      <xdr:rowOff>168472</xdr:rowOff>
    </xdr:to>
    <xdr:pic>
      <xdr:nvPicPr>
        <xdr:cNvPr id="5" name="Imagen 4">
          <a:extLst>
            <a:ext uri="{FF2B5EF4-FFF2-40B4-BE49-F238E27FC236}">
              <a16:creationId xmlns:a16="http://schemas.microsoft.com/office/drawing/2014/main" id="{7A6BB2C1-AB04-435E-8CA9-33B8E58F06A1}"/>
            </a:ext>
          </a:extLst>
        </xdr:cNvPr>
        <xdr:cNvPicPr>
          <a:picLocks noChangeAspect="1"/>
        </xdr:cNvPicPr>
      </xdr:nvPicPr>
      <xdr:blipFill rotWithShape="1">
        <a:blip xmlns:r="http://schemas.openxmlformats.org/officeDocument/2006/relationships" r:embed="rId1">
          <a:alphaModFix amt="8000"/>
        </a:blip>
        <a:srcRect l="4057"/>
        <a:stretch/>
      </xdr:blipFill>
      <xdr:spPr>
        <a:xfrm>
          <a:off x="1695449" y="3114674"/>
          <a:ext cx="3017521" cy="3245048"/>
        </a:xfrm>
        <a:prstGeom prst="rect">
          <a:avLst/>
        </a:prstGeom>
        <a:effectLst>
          <a:outerShdw blurRad="50800" dist="50800" dir="5400000" algn="ctr" rotWithShape="0">
            <a:srgbClr val="000000">
              <a:alpha val="0"/>
            </a:srgbClr>
          </a:outerShdw>
        </a:effectLst>
      </xdr:spPr>
    </xdr:pic>
    <xdr:clientData/>
  </xdr:twoCellAnchor>
  <xdr:twoCellAnchor editAs="oneCell">
    <xdr:from>
      <xdr:col>0</xdr:col>
      <xdr:colOff>171450</xdr:colOff>
      <xdr:row>0</xdr:row>
      <xdr:rowOff>101600</xdr:rowOff>
    </xdr:from>
    <xdr:to>
      <xdr:col>2</xdr:col>
      <xdr:colOff>763835</xdr:colOff>
      <xdr:row>2</xdr:row>
      <xdr:rowOff>101600</xdr:rowOff>
    </xdr:to>
    <xdr:pic>
      <xdr:nvPicPr>
        <xdr:cNvPr id="3" name="Imagen 2" descr="Imagen que contiene dibujo&#10;&#10;Descripción generada automáticamente">
          <a:extLst>
            <a:ext uri="{FF2B5EF4-FFF2-40B4-BE49-F238E27FC236}">
              <a16:creationId xmlns:a16="http://schemas.microsoft.com/office/drawing/2014/main" id="{1B676D63-CA7A-4720-B431-A64CD2A01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292100"/>
          <a:ext cx="1440110" cy="381000"/>
        </a:xfrm>
        <a:prstGeom prst="rect">
          <a:avLst/>
        </a:prstGeom>
      </xdr:spPr>
    </xdr:pic>
    <xdr:clientData/>
  </xdr:twoCellAnchor>
  <xdr:twoCellAnchor editAs="oneCell">
    <xdr:from>
      <xdr:col>8</xdr:col>
      <xdr:colOff>89958</xdr:colOff>
      <xdr:row>0</xdr:row>
      <xdr:rowOff>0</xdr:rowOff>
    </xdr:from>
    <xdr:to>
      <xdr:col>8</xdr:col>
      <xdr:colOff>681610</xdr:colOff>
      <xdr:row>2</xdr:row>
      <xdr:rowOff>170391</xdr:rowOff>
    </xdr:to>
    <xdr:pic>
      <xdr:nvPicPr>
        <xdr:cNvPr id="4" name="Imagen 3" descr="Logotipo&#10;&#10;Descripción generada automáticamente">
          <a:extLst>
            <a:ext uri="{FF2B5EF4-FFF2-40B4-BE49-F238E27FC236}">
              <a16:creationId xmlns:a16="http://schemas.microsoft.com/office/drawing/2014/main" id="{E472670D-B81E-4ED8-9B83-DEC5AE90C8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95433" y="161925"/>
          <a:ext cx="591652" cy="5609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71438</xdr:colOff>
      <xdr:row>0</xdr:row>
      <xdr:rowOff>166687</xdr:rowOff>
    </xdr:from>
    <xdr:to>
      <xdr:col>2</xdr:col>
      <xdr:colOff>1643062</xdr:colOff>
      <xdr:row>2</xdr:row>
      <xdr:rowOff>186041</xdr:rowOff>
    </xdr:to>
    <xdr:pic>
      <xdr:nvPicPr>
        <xdr:cNvPr id="2" name="Imagen 1" descr="Imagen que contiene dibujo&#10;&#10;Descripción generada automáticamente">
          <a:extLst>
            <a:ext uri="{FF2B5EF4-FFF2-40B4-BE49-F238E27FC236}">
              <a16:creationId xmlns:a16="http://schemas.microsoft.com/office/drawing/2014/main" id="{432E0C4E-92EF-460D-9F02-0B79C1C332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166687"/>
          <a:ext cx="1571624" cy="424167"/>
        </a:xfrm>
        <a:prstGeom prst="rect">
          <a:avLst/>
        </a:prstGeom>
      </xdr:spPr>
    </xdr:pic>
    <xdr:clientData/>
  </xdr:twoCellAnchor>
  <xdr:twoCellAnchor editAs="oneCell">
    <xdr:from>
      <xdr:col>9</xdr:col>
      <xdr:colOff>1160197</xdr:colOff>
      <xdr:row>0</xdr:row>
      <xdr:rowOff>112448</xdr:rowOff>
    </xdr:from>
    <xdr:to>
      <xdr:col>9</xdr:col>
      <xdr:colOff>1751849</xdr:colOff>
      <xdr:row>2</xdr:row>
      <xdr:rowOff>283897</xdr:rowOff>
    </xdr:to>
    <xdr:pic>
      <xdr:nvPicPr>
        <xdr:cNvPr id="3" name="Imagen 2" descr="Logotipo&#10;&#10;Descripción generada automáticamente">
          <a:extLst>
            <a:ext uri="{FF2B5EF4-FFF2-40B4-BE49-F238E27FC236}">
              <a16:creationId xmlns:a16="http://schemas.microsoft.com/office/drawing/2014/main" id="{2ABFAC4F-505F-4E21-9D41-B4E6E64F54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89822" y="112448"/>
          <a:ext cx="591652" cy="5762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491028</xdr:colOff>
      <xdr:row>0</xdr:row>
      <xdr:rowOff>0</xdr:rowOff>
    </xdr:from>
    <xdr:ext cx="733976" cy="721716"/>
    <xdr:pic>
      <xdr:nvPicPr>
        <xdr:cNvPr id="4" name="Imagen 3" descr="Logotipo&#10;&#10;Descripción generada automáticamente">
          <a:extLst>
            <a:ext uri="{FF2B5EF4-FFF2-40B4-BE49-F238E27FC236}">
              <a16:creationId xmlns:a16="http://schemas.microsoft.com/office/drawing/2014/main" id="{3310B439-BA53-4599-88A2-33A026DBBC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26091" y="117704"/>
          <a:ext cx="733976" cy="721716"/>
        </a:xfrm>
        <a:prstGeom prst="rect">
          <a:avLst/>
        </a:prstGeom>
      </xdr:spPr>
    </xdr:pic>
    <xdr:clientData/>
  </xdr:oneCellAnchor>
  <xdr:twoCellAnchor editAs="oneCell">
    <xdr:from>
      <xdr:col>0</xdr:col>
      <xdr:colOff>154782</xdr:colOff>
      <xdr:row>0</xdr:row>
      <xdr:rowOff>23816</xdr:rowOff>
    </xdr:from>
    <xdr:to>
      <xdr:col>1</xdr:col>
      <xdr:colOff>1754982</xdr:colOff>
      <xdr:row>2</xdr:row>
      <xdr:rowOff>66297</xdr:rowOff>
    </xdr:to>
    <xdr:pic>
      <xdr:nvPicPr>
        <xdr:cNvPr id="5" name="Imagen 4" descr="Imagen que contiene dibujo&#10;&#10;Descripción generada automáticamente">
          <a:extLst>
            <a:ext uri="{FF2B5EF4-FFF2-40B4-BE49-F238E27FC236}">
              <a16:creationId xmlns:a16="http://schemas.microsoft.com/office/drawing/2014/main" id="{4804EB68-B76E-4097-B01A-C501D115F6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782" y="23816"/>
          <a:ext cx="1766888" cy="4472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0</xdr:row>
      <xdr:rowOff>23812</xdr:rowOff>
    </xdr:from>
    <xdr:to>
      <xdr:col>1</xdr:col>
      <xdr:colOff>1752600</xdr:colOff>
      <xdr:row>2</xdr:row>
      <xdr:rowOff>66293</xdr:rowOff>
    </xdr:to>
    <xdr:pic>
      <xdr:nvPicPr>
        <xdr:cNvPr id="2" name="Imagen 1" descr="Imagen que contiene dibujo&#10;&#10;Descripción generada automáticamente">
          <a:extLst>
            <a:ext uri="{FF2B5EF4-FFF2-40B4-BE49-F238E27FC236}">
              <a16:creationId xmlns:a16="http://schemas.microsoft.com/office/drawing/2014/main" id="{A2F9414B-05E2-46F5-B3CD-128031D450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3812"/>
          <a:ext cx="1766888" cy="447294"/>
        </a:xfrm>
        <a:prstGeom prst="rect">
          <a:avLst/>
        </a:prstGeom>
      </xdr:spPr>
    </xdr:pic>
    <xdr:clientData/>
  </xdr:twoCellAnchor>
  <xdr:twoCellAnchor editAs="oneCell">
    <xdr:from>
      <xdr:col>5</xdr:col>
      <xdr:colOff>709090</xdr:colOff>
      <xdr:row>0</xdr:row>
      <xdr:rowOff>11906</xdr:rowOff>
    </xdr:from>
    <xdr:to>
      <xdr:col>5</xdr:col>
      <xdr:colOff>1402562</xdr:colOff>
      <xdr:row>3</xdr:row>
      <xdr:rowOff>47625</xdr:rowOff>
    </xdr:to>
    <xdr:pic>
      <xdr:nvPicPr>
        <xdr:cNvPr id="3" name="Imagen 2" descr="Logotipo&#10;&#10;Descripción generada automáticamente">
          <a:extLst>
            <a:ext uri="{FF2B5EF4-FFF2-40B4-BE49-F238E27FC236}">
              <a16:creationId xmlns:a16="http://schemas.microsoft.com/office/drawing/2014/main" id="{FCC7D4DF-603C-4534-96E6-FE1B2A1DB3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1028" y="11906"/>
          <a:ext cx="693472" cy="6429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154783</xdr:colOff>
      <xdr:row>0</xdr:row>
      <xdr:rowOff>23812</xdr:rowOff>
    </xdr:from>
    <xdr:to>
      <xdr:col>1</xdr:col>
      <xdr:colOff>1754983</xdr:colOff>
      <xdr:row>2</xdr:row>
      <xdr:rowOff>66293</xdr:rowOff>
    </xdr:to>
    <xdr:pic>
      <xdr:nvPicPr>
        <xdr:cNvPr id="4" name="Imagen 3" descr="Imagen que contiene dibujo&#10;&#10;Descripción generada automáticamente">
          <a:extLst>
            <a:ext uri="{FF2B5EF4-FFF2-40B4-BE49-F238E27FC236}">
              <a16:creationId xmlns:a16="http://schemas.microsoft.com/office/drawing/2014/main" id="{6AA61D26-AC05-43E7-A6B9-E6BC841BD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3" y="23812"/>
          <a:ext cx="1766888" cy="447294"/>
        </a:xfrm>
        <a:prstGeom prst="rect">
          <a:avLst/>
        </a:prstGeom>
      </xdr:spPr>
    </xdr:pic>
    <xdr:clientData/>
  </xdr:twoCellAnchor>
  <xdr:twoCellAnchor editAs="oneCell">
    <xdr:from>
      <xdr:col>5</xdr:col>
      <xdr:colOff>714371</xdr:colOff>
      <xdr:row>0</xdr:row>
      <xdr:rowOff>11906</xdr:rowOff>
    </xdr:from>
    <xdr:to>
      <xdr:col>5</xdr:col>
      <xdr:colOff>1407843</xdr:colOff>
      <xdr:row>3</xdr:row>
      <xdr:rowOff>47625</xdr:rowOff>
    </xdr:to>
    <xdr:pic>
      <xdr:nvPicPr>
        <xdr:cNvPr id="6" name="Imagen 5" descr="Logotipo&#10;&#10;Descripción generada automáticamente">
          <a:extLst>
            <a:ext uri="{FF2B5EF4-FFF2-40B4-BE49-F238E27FC236}">
              <a16:creationId xmlns:a16="http://schemas.microsoft.com/office/drawing/2014/main" id="{1919F420-D3D8-4432-A9DA-9054AC8E29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6309" y="11906"/>
          <a:ext cx="693472" cy="6429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216694</xdr:colOff>
      <xdr:row>0</xdr:row>
      <xdr:rowOff>11113</xdr:rowOff>
    </xdr:from>
    <xdr:to>
      <xdr:col>1</xdr:col>
      <xdr:colOff>1731027</xdr:colOff>
      <xdr:row>2</xdr:row>
      <xdr:rowOff>53016</xdr:rowOff>
    </xdr:to>
    <xdr:pic>
      <xdr:nvPicPr>
        <xdr:cNvPr id="2" name="Imagen 1" descr="Imagen que contiene dibujo&#10;&#10;Descripción generada automáticamente">
          <a:extLst>
            <a:ext uri="{FF2B5EF4-FFF2-40B4-BE49-F238E27FC236}">
              <a16:creationId xmlns:a16="http://schemas.microsoft.com/office/drawing/2014/main" id="{3A16D948-8DC3-4FFF-A6E6-9258A751F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6694" y="211138"/>
          <a:ext cx="1736129" cy="441953"/>
        </a:xfrm>
        <a:prstGeom prst="rect">
          <a:avLst/>
        </a:prstGeom>
      </xdr:spPr>
    </xdr:pic>
    <xdr:clientData/>
  </xdr:twoCellAnchor>
  <xdr:twoCellAnchor editAs="oneCell">
    <xdr:from>
      <xdr:col>11</xdr:col>
      <xdr:colOff>966108</xdr:colOff>
      <xdr:row>0</xdr:row>
      <xdr:rowOff>0</xdr:rowOff>
    </xdr:from>
    <xdr:to>
      <xdr:col>11</xdr:col>
      <xdr:colOff>1642912</xdr:colOff>
      <xdr:row>3</xdr:row>
      <xdr:rowOff>60280</xdr:rowOff>
    </xdr:to>
    <xdr:pic>
      <xdr:nvPicPr>
        <xdr:cNvPr id="3" name="Imagen 2" descr="Logotipo&#10;&#10;Descripción generada automáticamente">
          <a:extLst>
            <a:ext uri="{FF2B5EF4-FFF2-40B4-BE49-F238E27FC236}">
              <a16:creationId xmlns:a16="http://schemas.microsoft.com/office/drawing/2014/main" id="{4C2E9872-5AB7-4900-BA70-8F59003613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25108" y="0"/>
          <a:ext cx="676804" cy="672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21169</xdr:colOff>
      <xdr:row>0</xdr:row>
      <xdr:rowOff>80697</xdr:rowOff>
    </xdr:from>
    <xdr:to>
      <xdr:col>2</xdr:col>
      <xdr:colOff>2051864</xdr:colOff>
      <xdr:row>2</xdr:row>
      <xdr:rowOff>178591</xdr:rowOff>
    </xdr:to>
    <xdr:pic>
      <xdr:nvPicPr>
        <xdr:cNvPr id="2" name="Imagen 1" descr="Imagen que contiene dibujo&#10;&#10;Descripción generada automáticamente">
          <a:extLst>
            <a:ext uri="{FF2B5EF4-FFF2-40B4-BE49-F238E27FC236}">
              <a16:creationId xmlns:a16="http://schemas.microsoft.com/office/drawing/2014/main" id="{B311DFD7-C629-4779-BA34-59FDE05ECA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294" y="80697"/>
          <a:ext cx="2002120" cy="502707"/>
        </a:xfrm>
        <a:prstGeom prst="rect">
          <a:avLst/>
        </a:prstGeom>
      </xdr:spPr>
    </xdr:pic>
    <xdr:clientData/>
  </xdr:twoCellAnchor>
  <xdr:twoCellAnchor editAs="oneCell">
    <xdr:from>
      <xdr:col>11</xdr:col>
      <xdr:colOff>84664</xdr:colOff>
      <xdr:row>0</xdr:row>
      <xdr:rowOff>10583</xdr:rowOff>
    </xdr:from>
    <xdr:to>
      <xdr:col>11</xdr:col>
      <xdr:colOff>709080</xdr:colOff>
      <xdr:row>3</xdr:row>
      <xdr:rowOff>35717</xdr:rowOff>
    </xdr:to>
    <xdr:pic>
      <xdr:nvPicPr>
        <xdr:cNvPr id="3" name="Imagen 2" descr="Logotipo&#10;&#10;Descripción generada automáticamente">
          <a:extLst>
            <a:ext uri="{FF2B5EF4-FFF2-40B4-BE49-F238E27FC236}">
              <a16:creationId xmlns:a16="http://schemas.microsoft.com/office/drawing/2014/main" id="{C7C16016-9C93-4FB5-9953-A1963828A9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59695" y="10583"/>
          <a:ext cx="624416" cy="6323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119067</xdr:colOff>
      <xdr:row>0</xdr:row>
      <xdr:rowOff>164305</xdr:rowOff>
    </xdr:from>
    <xdr:to>
      <xdr:col>2</xdr:col>
      <xdr:colOff>5804</xdr:colOff>
      <xdr:row>4</xdr:row>
      <xdr:rowOff>86197</xdr:rowOff>
    </xdr:to>
    <xdr:pic>
      <xdr:nvPicPr>
        <xdr:cNvPr id="4" name="Imagen 3">
          <a:extLst>
            <a:ext uri="{FF2B5EF4-FFF2-40B4-BE49-F238E27FC236}">
              <a16:creationId xmlns:a16="http://schemas.microsoft.com/office/drawing/2014/main" id="{FF873A80-7C49-4CB7-9757-259CF95377B2}"/>
            </a:ext>
          </a:extLst>
        </xdr:cNvPr>
        <xdr:cNvPicPr>
          <a:picLocks noChangeAspect="1"/>
        </xdr:cNvPicPr>
      </xdr:nvPicPr>
      <xdr:blipFill>
        <a:blip xmlns:r="http://schemas.openxmlformats.org/officeDocument/2006/relationships" r:embed="rId1"/>
        <a:stretch>
          <a:fillRect/>
        </a:stretch>
      </xdr:blipFill>
      <xdr:spPr>
        <a:xfrm>
          <a:off x="263847" y="156685"/>
          <a:ext cx="2111777" cy="5695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errere.sharepoint.com/sites/CPA-PY/Shared%20Documents/Contabilidad/ITAU%20CASA%20DE%20BOLSA/INFORMES%20A%20LA%20SIV/2024/12.%20DICIEMBRE%202024/Auxiliares/31.12.2024_Balance%20y%20Composiciones_IICB%20VF.xlsx" TargetMode="External"/><Relationship Id="rId1" Type="http://schemas.openxmlformats.org/officeDocument/2006/relationships/externalLinkPath" Target="https://ferrere.sharepoint.com/sites/CPA-PY/Shared%20Documents/Contabilidad/ITAU%20CASA%20DE%20BOLSA/INFORMES%20A%20LA%20SIV/2024/12.%20DICIEMBRE%202024/Auxiliares/31.12.2024_Balance%20y%20Composiciones_IICB%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DEL REPORTE"/>
      <sheetName val="TITULOS ENTREGADOS EN REPO RV"/>
      <sheetName val="Control BG"/>
      <sheetName val="BG"/>
      <sheetName val="COMPOSICIONES"/>
      <sheetName val="TITULOS DE RENTA FIJA AFS"/>
      <sheetName val="TITULOS DE RENTA FIJA"/>
      <sheetName val="TITULOS DE RENTA VARIABLE"/>
      <sheetName val="TITULOS RECIBIDOS EN REPO RF"/>
      <sheetName val="TITULOS ENTREGADOS EN REPO RF"/>
      <sheetName val="ACTIVOS RESTRINGIDOS"/>
      <sheetName val="ACCIONES RESTRINGIDAS"/>
      <sheetName val="PREVISION"/>
    </sheetNames>
    <sheetDataSet>
      <sheetData sheetId="0"/>
      <sheetData sheetId="1"/>
      <sheetData sheetId="2"/>
      <sheetData sheetId="3"/>
      <sheetData sheetId="4">
        <row r="4">
          <cell r="J4">
            <v>7831.26</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drawing" Target="../drawings/drawing5.xml"/><Relationship Id="rId4"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drawing" Target="../drawings/drawing8.xml"/><Relationship Id="rId4"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CB713-C8B2-4C0A-81D7-6B4959532737}">
  <sheetPr codeName="Hoja5">
    <tabColor rgb="FF00B0F0"/>
  </sheetPr>
  <dimension ref="A1:J794"/>
  <sheetViews>
    <sheetView showGridLines="0" zoomScaleNormal="100" workbookViewId="0">
      <pane ySplit="4" topLeftCell="A207" activePane="bottomLeft" state="frozen"/>
      <selection activeCell="D365" sqref="D365"/>
      <selection pane="bottomLeft" activeCell="C1" sqref="C1"/>
    </sheetView>
  </sheetViews>
  <sheetFormatPr baseColWidth="10" defaultColWidth="11.5546875" defaultRowHeight="13.8"/>
  <cols>
    <col min="1" max="1" width="3.44140625" style="13" customWidth="1"/>
    <col min="2" max="2" width="11.33203125" style="32" customWidth="1"/>
    <col min="3" max="3" width="57.33203125" style="32" customWidth="1"/>
    <col min="4" max="5" width="16.109375" style="32" customWidth="1"/>
    <col min="6" max="6" width="14.6640625" style="826" bestFit="1" customWidth="1"/>
    <col min="7" max="7" width="14.33203125" style="826" customWidth="1"/>
    <col min="8" max="8" width="11.6640625" style="826" bestFit="1" customWidth="1"/>
    <col min="9" max="10" width="11.5546875" style="826"/>
    <col min="11" max="11" width="11.5546875" style="13"/>
    <col min="12" max="15" width="0" style="13" hidden="1" customWidth="1"/>
    <col min="16" max="16384" width="11.5546875" style="13"/>
  </cols>
  <sheetData>
    <row r="1" spans="1:10" ht="19.5" customHeight="1">
      <c r="B1" s="34"/>
      <c r="C1" s="332" t="s">
        <v>0</v>
      </c>
      <c r="D1" s="1468" t="s">
        <v>1</v>
      </c>
      <c r="E1" s="1469"/>
    </row>
    <row r="2" spans="1:10" ht="20.85" customHeight="1">
      <c r="C2" s="333" t="s">
        <v>2</v>
      </c>
      <c r="D2" s="1470" t="s">
        <v>3</v>
      </c>
      <c r="E2" s="1471"/>
    </row>
    <row r="3" spans="1:10" ht="15.75" customHeight="1">
      <c r="C3" s="334" t="s">
        <v>4</v>
      </c>
    </row>
    <row r="4" spans="1:10" ht="14.25" customHeight="1">
      <c r="A4" s="336" t="s">
        <v>5</v>
      </c>
      <c r="B4" s="336" t="s">
        <v>6</v>
      </c>
      <c r="C4" s="336" t="s">
        <v>7</v>
      </c>
      <c r="D4" s="337" t="s">
        <v>8</v>
      </c>
      <c r="E4" s="338" t="s">
        <v>9</v>
      </c>
    </row>
    <row r="5" spans="1:10" ht="7.5" customHeight="1">
      <c r="B5" s="335"/>
      <c r="C5" s="335"/>
      <c r="D5" s="335"/>
      <c r="E5" s="335"/>
    </row>
    <row r="6" spans="1:10" s="31" customFormat="1" ht="16.5" customHeight="1">
      <c r="A6" s="31" t="str">
        <f>IF(LEN(B6)&gt;8,"I","NI")</f>
        <v>NI</v>
      </c>
      <c r="B6" s="339">
        <v>1</v>
      </c>
      <c r="C6" s="339" t="s">
        <v>10</v>
      </c>
      <c r="D6" s="340">
        <v>73116587840</v>
      </c>
      <c r="E6" s="341">
        <v>10070993.09</v>
      </c>
      <c r="F6" s="827">
        <f>+D6-D195-D256</f>
        <v>64701976775</v>
      </c>
      <c r="G6" s="827">
        <f>+E6-E195-E256</f>
        <v>8915462.3369999994</v>
      </c>
      <c r="H6" s="828">
        <f>+VLOOKUP(B6,Composición!$C:$C,1,0)</f>
        <v>1</v>
      </c>
      <c r="I6" s="828"/>
      <c r="J6" s="828"/>
    </row>
    <row r="7" spans="1:10" s="14" customFormat="1" ht="16.5" customHeight="1">
      <c r="A7" s="31" t="str">
        <f t="shared" ref="A7:A70" si="0">IF(LEN(B7)&gt;8,"I","NI")</f>
        <v>NI</v>
      </c>
      <c r="B7" s="342">
        <v>11</v>
      </c>
      <c r="C7" s="342" t="s">
        <v>11</v>
      </c>
      <c r="D7" s="340">
        <v>69368814612</v>
      </c>
      <c r="E7" s="341">
        <v>9550224.1959996223</v>
      </c>
      <c r="F7" s="829"/>
      <c r="G7" s="829"/>
      <c r="H7" s="828">
        <f>+VLOOKUP(B7,Composición!$C:$C,1,0)</f>
        <v>11</v>
      </c>
      <c r="I7" s="829"/>
      <c r="J7" s="829"/>
    </row>
    <row r="8" spans="1:10" s="14" customFormat="1" ht="16.5" customHeight="1">
      <c r="A8" s="31" t="str">
        <f t="shared" si="0"/>
        <v>NI</v>
      </c>
      <c r="B8" s="346">
        <v>111</v>
      </c>
      <c r="C8" s="346" t="s">
        <v>12</v>
      </c>
      <c r="D8" s="340">
        <v>4977928582</v>
      </c>
      <c r="E8" s="341">
        <v>685326.20900011063</v>
      </c>
      <c r="F8" s="829"/>
      <c r="G8" s="829"/>
      <c r="H8" s="828">
        <f>+VLOOKUP(B8,Composición!$C:$C,1,0)</f>
        <v>111</v>
      </c>
      <c r="I8" s="829"/>
      <c r="J8" s="829"/>
    </row>
    <row r="9" spans="1:10" s="14" customFormat="1" ht="16.5" customHeight="1">
      <c r="A9" s="31" t="str">
        <f t="shared" si="0"/>
        <v>NI</v>
      </c>
      <c r="B9" s="346">
        <v>11114</v>
      </c>
      <c r="C9" s="346" t="s">
        <v>13</v>
      </c>
      <c r="D9" s="340">
        <v>4977928582</v>
      </c>
      <c r="E9" s="341">
        <v>685326.20900011063</v>
      </c>
      <c r="F9" s="829"/>
      <c r="G9" s="829"/>
      <c r="H9" s="828">
        <f>+VLOOKUP(B9,Composición!$C:$C,1,0)</f>
        <v>11114</v>
      </c>
      <c r="I9" s="829"/>
      <c r="J9" s="829"/>
    </row>
    <row r="10" spans="1:10" s="14" customFormat="1" ht="16.5" customHeight="1">
      <c r="A10" s="31" t="str">
        <f t="shared" si="0"/>
        <v>NI</v>
      </c>
      <c r="B10" s="346">
        <v>111141</v>
      </c>
      <c r="C10" s="346" t="s">
        <v>14</v>
      </c>
      <c r="D10" s="340">
        <v>4849763917</v>
      </c>
      <c r="E10" s="341">
        <v>667681.39899969101</v>
      </c>
      <c r="F10" s="829"/>
      <c r="G10" s="829"/>
      <c r="H10" s="828">
        <f>+VLOOKUP(B10,Composición!$C:$C,1,0)</f>
        <v>111141</v>
      </c>
      <c r="I10" s="829"/>
      <c r="J10" s="829"/>
    </row>
    <row r="11" spans="1:10" s="14" customFormat="1" ht="16.5" customHeight="1">
      <c r="A11" s="31" t="str">
        <f t="shared" si="0"/>
        <v>NI</v>
      </c>
      <c r="B11" s="346">
        <v>1111411</v>
      </c>
      <c r="C11" s="346" t="s">
        <v>15</v>
      </c>
      <c r="D11" s="340">
        <v>2390461003</v>
      </c>
      <c r="E11" s="341">
        <v>329101.85899972916</v>
      </c>
      <c r="F11" s="829"/>
      <c r="G11" s="829"/>
      <c r="H11" s="828">
        <f>+VLOOKUP(B11,Composición!$C:$C,1,0)</f>
        <v>1111411</v>
      </c>
      <c r="I11" s="829"/>
      <c r="J11" s="829"/>
    </row>
    <row r="12" spans="1:10" s="14" customFormat="1" ht="16.5" customHeight="1">
      <c r="A12" s="31" t="str">
        <f t="shared" si="0"/>
        <v>NI</v>
      </c>
      <c r="B12" s="346">
        <v>11114112</v>
      </c>
      <c r="C12" s="346" t="s">
        <v>16</v>
      </c>
      <c r="D12" s="340">
        <v>2349438791</v>
      </c>
      <c r="E12" s="341">
        <v>323454.21000000089</v>
      </c>
      <c r="F12" s="829"/>
      <c r="G12" s="829"/>
      <c r="H12" s="828">
        <f>+VLOOKUP(B12,Composición!$C:$C,1,0)</f>
        <v>11114112</v>
      </c>
      <c r="I12" s="829"/>
      <c r="J12" s="829"/>
    </row>
    <row r="13" spans="1:10" s="14" customFormat="1" ht="16.5" customHeight="1">
      <c r="A13" s="14" t="str">
        <f t="shared" si="0"/>
        <v>I</v>
      </c>
      <c r="B13" s="343">
        <v>1111411201</v>
      </c>
      <c r="C13" s="343" t="s">
        <v>17</v>
      </c>
      <c r="D13" s="347">
        <v>638998663</v>
      </c>
      <c r="E13" s="348">
        <v>87972.839999999851</v>
      </c>
      <c r="F13" s="829">
        <f>+SUMIF(Composición!C:C,'BG 2023'!B13,Composición!G:G)</f>
        <v>0</v>
      </c>
      <c r="G13" s="830">
        <f t="shared" ref="G13:G14" si="1">+F13-D13</f>
        <v>-638998663</v>
      </c>
      <c r="H13" s="828">
        <f>+VLOOKUP(B13,Composición!$C:$C,1,0)</f>
        <v>1111411201</v>
      </c>
      <c r="I13" s="829"/>
      <c r="J13" s="829"/>
    </row>
    <row r="14" spans="1:10" s="14" customFormat="1" ht="16.5" customHeight="1">
      <c r="A14" s="14" t="str">
        <f t="shared" si="0"/>
        <v>I</v>
      </c>
      <c r="B14" s="343">
        <v>1111411202</v>
      </c>
      <c r="C14" s="343" t="s">
        <v>18</v>
      </c>
      <c r="D14" s="347">
        <v>1710440128</v>
      </c>
      <c r="E14" s="348">
        <v>235481.37000000008</v>
      </c>
      <c r="F14" s="829">
        <f>+SUMIF(Composición!C:C,'BG 2023'!B14,Composición!G:G)</f>
        <v>0</v>
      </c>
      <c r="G14" s="830">
        <f t="shared" si="1"/>
        <v>-1710440128</v>
      </c>
      <c r="H14" s="828">
        <f>+VLOOKUP(B14,Composición!$C:$C,1,0)</f>
        <v>1111411202</v>
      </c>
      <c r="I14" s="829"/>
      <c r="J14" s="829"/>
    </row>
    <row r="15" spans="1:10" s="14" customFormat="1" ht="16.5" customHeight="1">
      <c r="A15" s="31" t="str">
        <f t="shared" si="0"/>
        <v>NI</v>
      </c>
      <c r="B15" s="346">
        <v>11114113</v>
      </c>
      <c r="C15" s="346" t="s">
        <v>19</v>
      </c>
      <c r="D15" s="340">
        <v>41022212</v>
      </c>
      <c r="E15" s="341">
        <v>5647.6499998569489</v>
      </c>
      <c r="F15" s="829"/>
      <c r="G15" s="829"/>
      <c r="H15" s="828">
        <f>+VLOOKUP(B15,Composición!$C:$C,1,0)</f>
        <v>11114113</v>
      </c>
      <c r="I15" s="829"/>
      <c r="J15" s="829"/>
    </row>
    <row r="16" spans="1:10" s="14" customFormat="1" ht="16.5" customHeight="1">
      <c r="A16" s="14" t="str">
        <f t="shared" si="0"/>
        <v>I</v>
      </c>
      <c r="B16" s="343">
        <v>1111411302</v>
      </c>
      <c r="C16" s="343" t="s">
        <v>18</v>
      </c>
      <c r="D16" s="347">
        <v>41022212</v>
      </c>
      <c r="E16" s="348">
        <v>5647.6500000059605</v>
      </c>
      <c r="F16" s="829"/>
      <c r="G16" s="829"/>
      <c r="H16" s="828">
        <f>+VLOOKUP(B16,Composición!$C:$C,1,0)</f>
        <v>1111411302</v>
      </c>
      <c r="I16" s="829"/>
      <c r="J16" s="829"/>
    </row>
    <row r="17" spans="1:10" s="14" customFormat="1" ht="16.5" customHeight="1">
      <c r="A17" s="31" t="str">
        <f t="shared" si="0"/>
        <v>NI</v>
      </c>
      <c r="B17" s="346">
        <v>1111412</v>
      </c>
      <c r="C17" s="346" t="s">
        <v>20</v>
      </c>
      <c r="D17" s="340">
        <v>2459302914</v>
      </c>
      <c r="E17" s="341">
        <v>338579.54000000656</v>
      </c>
      <c r="F17" s="829">
        <f>+SUMIF(Composición!C:C,'BG 2023'!B17,Composición!G:G)</f>
        <v>0</v>
      </c>
      <c r="G17" s="830">
        <f t="shared" ref="G17:G18" si="2">+F17-D17</f>
        <v>-2459302914</v>
      </c>
      <c r="H17" s="828">
        <f>+VLOOKUP(B17,Composición!$C:$C,1,0)</f>
        <v>1111412</v>
      </c>
      <c r="I17" s="829"/>
      <c r="J17" s="829"/>
    </row>
    <row r="18" spans="1:10" s="14" customFormat="1" ht="16.5" customHeight="1">
      <c r="A18" s="31" t="str">
        <f>IF(LEN(B18)&gt;8,"I","NI")</f>
        <v>NI</v>
      </c>
      <c r="B18" s="346">
        <v>11114122</v>
      </c>
      <c r="C18" s="346" t="s">
        <v>21</v>
      </c>
      <c r="D18" s="340">
        <v>43306581</v>
      </c>
      <c r="E18" s="341">
        <v>5962.1499999985099</v>
      </c>
      <c r="F18" s="829">
        <f>+SUMIF(Composición!C:C,'BG 2023'!B18,Composición!G:G)</f>
        <v>0</v>
      </c>
      <c r="G18" s="830">
        <f t="shared" si="2"/>
        <v>-43306581</v>
      </c>
      <c r="H18" s="828">
        <f>+VLOOKUP(B18,Composición!$C:$C,1,0)</f>
        <v>11114122</v>
      </c>
      <c r="I18" s="829"/>
      <c r="J18" s="829"/>
    </row>
    <row r="19" spans="1:10" s="14" customFormat="1" ht="16.5" customHeight="1">
      <c r="A19" s="14" t="str">
        <f t="shared" si="0"/>
        <v>I</v>
      </c>
      <c r="B19" s="343">
        <v>1111412201</v>
      </c>
      <c r="C19" s="343" t="s">
        <v>17</v>
      </c>
      <c r="D19" s="347">
        <v>6117000</v>
      </c>
      <c r="E19" s="348">
        <v>842.15000000223517</v>
      </c>
      <c r="F19" s="829"/>
      <c r="G19" s="829"/>
      <c r="H19" s="828">
        <f>+VLOOKUP(B19,Composición!$C:$C,1,0)</f>
        <v>1111412201</v>
      </c>
      <c r="I19" s="829"/>
      <c r="J19" s="829"/>
    </row>
    <row r="20" spans="1:10" s="14" customFormat="1" ht="16.5" customHeight="1">
      <c r="A20" s="14" t="str">
        <f t="shared" si="0"/>
        <v>I</v>
      </c>
      <c r="B20" s="343">
        <v>1111412202</v>
      </c>
      <c r="C20" s="343" t="s">
        <v>18</v>
      </c>
      <c r="D20" s="347">
        <v>37189581</v>
      </c>
      <c r="E20" s="348">
        <v>5120</v>
      </c>
      <c r="F20" s="829">
        <f>+SUMIF(Composición!C:C,'BG 2023'!B20,Composición!G:G)</f>
        <v>40096051</v>
      </c>
      <c r="G20" s="830">
        <f t="shared" ref="G20:G21" si="3">+F20-D20</f>
        <v>2906470</v>
      </c>
      <c r="H20" s="828">
        <f>+VLOOKUP(B20,Composición!$C:$C,1,0)</f>
        <v>1111412202</v>
      </c>
      <c r="I20" s="829"/>
      <c r="J20" s="829"/>
    </row>
    <row r="21" spans="1:10" s="14" customFormat="1" ht="16.5" customHeight="1">
      <c r="A21" s="31" t="str">
        <f>IF(LEN(B21)&gt;8,"I","NI")</f>
        <v>NI</v>
      </c>
      <c r="B21" s="346">
        <v>11114123</v>
      </c>
      <c r="C21" s="346" t="s">
        <v>22</v>
      </c>
      <c r="D21" s="340">
        <v>2415996333</v>
      </c>
      <c r="E21" s="341">
        <v>332617.3900000006</v>
      </c>
      <c r="F21" s="829">
        <f>+SUMIF(Composición!C:C,'BG 2023'!B21,Composición!G:G)</f>
        <v>0</v>
      </c>
      <c r="G21" s="830">
        <f t="shared" si="3"/>
        <v>-2415996333</v>
      </c>
      <c r="H21" s="828">
        <f>+VLOOKUP(B21,Composición!$C:$C,1,0)</f>
        <v>11114123</v>
      </c>
      <c r="I21" s="829"/>
      <c r="J21" s="829"/>
    </row>
    <row r="22" spans="1:10" s="14" customFormat="1" ht="16.5" customHeight="1">
      <c r="A22" s="14" t="str">
        <f t="shared" si="0"/>
        <v>I</v>
      </c>
      <c r="B22" s="343">
        <v>1111412301</v>
      </c>
      <c r="C22" s="343" t="s">
        <v>17</v>
      </c>
      <c r="D22" s="347">
        <v>13911138</v>
      </c>
      <c r="E22" s="348">
        <v>1915.1899999976156</v>
      </c>
      <c r="F22" s="829"/>
      <c r="G22" s="829"/>
      <c r="H22" s="828">
        <f>+VLOOKUP(B22,Composición!$C:$C,1,0)</f>
        <v>1111412301</v>
      </c>
      <c r="I22" s="829"/>
      <c r="J22" s="829"/>
    </row>
    <row r="23" spans="1:10" s="14" customFormat="1" ht="16.5" customHeight="1">
      <c r="A23" s="14" t="str">
        <f t="shared" si="0"/>
        <v>I</v>
      </c>
      <c r="B23" s="343">
        <v>1111412302</v>
      </c>
      <c r="C23" s="343" t="s">
        <v>18</v>
      </c>
      <c r="D23" s="347">
        <v>2402085195</v>
      </c>
      <c r="E23" s="348">
        <v>330702.19999999925</v>
      </c>
      <c r="F23" s="829"/>
      <c r="G23" s="829"/>
      <c r="H23" s="828">
        <f>+VLOOKUP(B23,Composición!$C:$C,1,0)</f>
        <v>1111412302</v>
      </c>
      <c r="I23" s="829"/>
      <c r="J23" s="829"/>
    </row>
    <row r="24" spans="1:10" s="14" customFormat="1" ht="16.5" customHeight="1">
      <c r="A24" s="31" t="str">
        <f t="shared" si="0"/>
        <v>NI</v>
      </c>
      <c r="B24" s="346">
        <v>111142</v>
      </c>
      <c r="C24" s="346" t="s">
        <v>23</v>
      </c>
      <c r="D24" s="340">
        <v>128164665</v>
      </c>
      <c r="E24" s="341">
        <v>17644.809999994934</v>
      </c>
      <c r="F24" s="829"/>
      <c r="G24" s="829"/>
      <c r="H24" s="828">
        <f>+VLOOKUP(B24,Composición!$C:$C,1,0)</f>
        <v>111142</v>
      </c>
      <c r="I24" s="829"/>
      <c r="J24" s="829"/>
    </row>
    <row r="25" spans="1:10" s="14" customFormat="1" ht="16.5" customHeight="1">
      <c r="A25" s="31" t="str">
        <f t="shared" si="0"/>
        <v>NI</v>
      </c>
      <c r="B25" s="346">
        <v>1111421</v>
      </c>
      <c r="C25" s="346" t="s">
        <v>24</v>
      </c>
      <c r="D25" s="340">
        <v>128164665</v>
      </c>
      <c r="E25" s="341">
        <v>17644.809999994934</v>
      </c>
      <c r="F25" s="829">
        <f>+SUMIF(Composición!C:C,'BG 2023'!B25,Composición!G:G)</f>
        <v>0</v>
      </c>
      <c r="G25" s="830">
        <f>+F25-D25</f>
        <v>-128164665</v>
      </c>
      <c r="H25" s="828">
        <f>+VLOOKUP(B25,Composición!$C:$C,1,0)</f>
        <v>1111421</v>
      </c>
      <c r="I25" s="829"/>
      <c r="J25" s="829"/>
    </row>
    <row r="26" spans="1:10" s="14" customFormat="1" ht="16.5" customHeight="1">
      <c r="A26" s="31" t="str">
        <f t="shared" si="0"/>
        <v>NI</v>
      </c>
      <c r="B26" s="346">
        <v>11114211</v>
      </c>
      <c r="C26" s="346" t="s">
        <v>25</v>
      </c>
      <c r="D26" s="340">
        <v>128164665</v>
      </c>
      <c r="E26" s="341">
        <v>17644.809999994934</v>
      </c>
      <c r="F26" s="829"/>
      <c r="G26" s="829"/>
      <c r="H26" s="828">
        <f>+VLOOKUP(B26,Composición!$C:$C,1,0)</f>
        <v>11114211</v>
      </c>
      <c r="I26" s="829"/>
      <c r="J26" s="829"/>
    </row>
    <row r="27" spans="1:10" s="14" customFormat="1" ht="16.5" customHeight="1">
      <c r="A27" s="14" t="str">
        <f t="shared" si="0"/>
        <v>I</v>
      </c>
      <c r="B27" s="343">
        <v>1111421101</v>
      </c>
      <c r="C27" s="343" t="s">
        <v>18</v>
      </c>
      <c r="D27" s="347">
        <v>128164665</v>
      </c>
      <c r="E27" s="348">
        <v>17644.809999994934</v>
      </c>
      <c r="F27" s="829"/>
      <c r="G27" s="829"/>
      <c r="H27" s="828">
        <f>+VLOOKUP(B27,Composición!$C:$C,1,0)</f>
        <v>1111421101</v>
      </c>
      <c r="I27" s="829"/>
      <c r="J27" s="829"/>
    </row>
    <row r="28" spans="1:10" s="14" customFormat="1" ht="16.5" customHeight="1">
      <c r="A28" s="31" t="str">
        <f t="shared" si="0"/>
        <v>NI</v>
      </c>
      <c r="B28" s="346">
        <v>112</v>
      </c>
      <c r="C28" s="346" t="s">
        <v>26</v>
      </c>
      <c r="D28" s="340">
        <v>1953980292</v>
      </c>
      <c r="E28" s="341">
        <v>269010.84600001574</v>
      </c>
      <c r="F28" s="829"/>
      <c r="G28" s="829"/>
      <c r="H28" s="828">
        <f>+VLOOKUP(B28,Composición!$C:$C,1,0)</f>
        <v>112</v>
      </c>
      <c r="I28" s="829"/>
      <c r="J28" s="829"/>
    </row>
    <row r="29" spans="1:10" s="14" customFormat="1" ht="16.5" customHeight="1">
      <c r="A29" s="31" t="str">
        <f t="shared" si="0"/>
        <v>NI</v>
      </c>
      <c r="B29" s="346">
        <v>11201</v>
      </c>
      <c r="C29" s="346" t="s">
        <v>27</v>
      </c>
      <c r="D29" s="340">
        <v>339579535</v>
      </c>
      <c r="E29" s="341">
        <v>46750.979999989271</v>
      </c>
      <c r="F29" s="829"/>
      <c r="G29" s="829"/>
      <c r="H29" s="828">
        <f>+VLOOKUP(B29,Composición!$C:$C,1,0)</f>
        <v>11201</v>
      </c>
      <c r="I29" s="829"/>
      <c r="J29" s="829"/>
    </row>
    <row r="30" spans="1:10" s="14" customFormat="1" ht="16.5" customHeight="1">
      <c r="A30" s="31" t="str">
        <f t="shared" si="0"/>
        <v>NI</v>
      </c>
      <c r="B30" s="346">
        <v>112011</v>
      </c>
      <c r="C30" s="346" t="s">
        <v>28</v>
      </c>
      <c r="D30" s="340">
        <v>339579535</v>
      </c>
      <c r="E30" s="341">
        <v>46750.979999989271</v>
      </c>
      <c r="F30" s="829"/>
      <c r="G30" s="829"/>
      <c r="H30" s="828">
        <f>+VLOOKUP(B30,Composición!$C:$C,1,0)</f>
        <v>112011</v>
      </c>
      <c r="I30" s="829"/>
      <c r="J30" s="829"/>
    </row>
    <row r="31" spans="1:10" s="14" customFormat="1" ht="16.5" customHeight="1">
      <c r="A31" s="31" t="str">
        <f t="shared" si="0"/>
        <v>NI</v>
      </c>
      <c r="B31" s="346">
        <v>1120112</v>
      </c>
      <c r="C31" s="346" t="s">
        <v>29</v>
      </c>
      <c r="D31" s="340">
        <v>339579535</v>
      </c>
      <c r="E31" s="341">
        <v>46750.980000004172</v>
      </c>
      <c r="F31" s="829">
        <f>+SUMIF(Composición!C:C,'BG 2023'!B31,Composición!G:G)</f>
        <v>0</v>
      </c>
      <c r="G31" s="830">
        <f>+F31-D31</f>
        <v>-339579535</v>
      </c>
      <c r="H31" s="828">
        <f>+VLOOKUP(B31,Composición!$C:$C,1,0)</f>
        <v>1120112</v>
      </c>
      <c r="I31" s="829"/>
      <c r="J31" s="829"/>
    </row>
    <row r="32" spans="1:10" s="14" customFormat="1" ht="16.5" customHeight="1">
      <c r="A32" s="31" t="str">
        <f t="shared" si="0"/>
        <v>NI</v>
      </c>
      <c r="B32" s="346">
        <v>11201121</v>
      </c>
      <c r="C32" s="346" t="s">
        <v>30</v>
      </c>
      <c r="D32" s="340">
        <v>339579535</v>
      </c>
      <c r="E32" s="341">
        <v>46750.980000004172</v>
      </c>
      <c r="F32" s="829"/>
      <c r="G32" s="829"/>
      <c r="H32" s="828">
        <f>+VLOOKUP(B32,Composición!$C:$C,1,0)</f>
        <v>11201121</v>
      </c>
      <c r="I32" s="829"/>
      <c r="J32" s="829"/>
    </row>
    <row r="33" spans="1:10" s="14" customFormat="1" ht="16.5" customHeight="1">
      <c r="A33" s="14" t="str">
        <f t="shared" si="0"/>
        <v>I</v>
      </c>
      <c r="B33" s="343">
        <v>1120112101</v>
      </c>
      <c r="C33" s="343" t="s">
        <v>31</v>
      </c>
      <c r="D33" s="347">
        <v>2622463</v>
      </c>
      <c r="E33" s="348">
        <v>361.10000000149012</v>
      </c>
      <c r="F33" s="829">
        <f>+SUMIF(Composición!C:C,'BG 2023'!B33,Composición!G:G)</f>
        <v>15429308</v>
      </c>
      <c r="G33" s="830">
        <f>+F33-D33</f>
        <v>12806845</v>
      </c>
      <c r="H33" s="828">
        <f>+VLOOKUP(B33,Composición!$C:$C,1,0)</f>
        <v>1120112101</v>
      </c>
      <c r="I33" s="829"/>
      <c r="J33" s="829"/>
    </row>
    <row r="34" spans="1:10" s="14" customFormat="1" ht="16.5" customHeight="1">
      <c r="A34" s="14" t="str">
        <f t="shared" si="0"/>
        <v>I</v>
      </c>
      <c r="B34" s="343">
        <v>1120112102</v>
      </c>
      <c r="C34" s="343" t="s">
        <v>32</v>
      </c>
      <c r="D34" s="347">
        <v>336957072</v>
      </c>
      <c r="E34" s="348">
        <v>46389.880000002682</v>
      </c>
      <c r="F34" s="829"/>
      <c r="G34" s="829"/>
      <c r="H34" s="828">
        <f>+VLOOKUP(B34,Composición!$C:$C,1,0)</f>
        <v>1120112102</v>
      </c>
      <c r="I34" s="829"/>
      <c r="J34" s="829"/>
    </row>
    <row r="35" spans="1:10" s="14" customFormat="1" ht="16.5" customHeight="1">
      <c r="A35" s="31" t="str">
        <f t="shared" si="0"/>
        <v>NI</v>
      </c>
      <c r="B35" s="346">
        <v>11203</v>
      </c>
      <c r="C35" s="346" t="s">
        <v>33</v>
      </c>
      <c r="D35" s="340">
        <v>1533468339</v>
      </c>
      <c r="E35" s="341">
        <v>211117.1400000006</v>
      </c>
      <c r="F35" s="829"/>
      <c r="G35" s="829"/>
      <c r="H35" s="828">
        <f>+VLOOKUP(B35,Composición!$C:$C,1,0)</f>
        <v>11203</v>
      </c>
      <c r="I35" s="829"/>
      <c r="J35" s="829"/>
    </row>
    <row r="36" spans="1:10" s="14" customFormat="1" ht="16.5" customHeight="1">
      <c r="A36" s="31" t="str">
        <f t="shared" si="0"/>
        <v>NI</v>
      </c>
      <c r="B36" s="346">
        <v>112031</v>
      </c>
      <c r="C36" s="346" t="s">
        <v>33</v>
      </c>
      <c r="D36" s="340">
        <v>1533468339</v>
      </c>
      <c r="E36" s="341">
        <v>211117.1400000006</v>
      </c>
      <c r="F36" s="829"/>
      <c r="G36" s="829"/>
      <c r="H36" s="828">
        <f>+VLOOKUP(B36,Composición!$C:$C,1,0)</f>
        <v>112031</v>
      </c>
      <c r="I36" s="829"/>
      <c r="J36" s="829"/>
    </row>
    <row r="37" spans="1:10" s="14" customFormat="1" ht="16.5" customHeight="1">
      <c r="A37" s="31" t="str">
        <f t="shared" si="0"/>
        <v>NI</v>
      </c>
      <c r="B37" s="346">
        <v>1120311</v>
      </c>
      <c r="C37" s="346" t="s">
        <v>34</v>
      </c>
      <c r="D37" s="340">
        <v>1533468339</v>
      </c>
      <c r="E37" s="341">
        <v>211117.1400000006</v>
      </c>
      <c r="F37" s="829"/>
      <c r="G37" s="829"/>
      <c r="H37" s="828">
        <f>+VLOOKUP(B37,Composición!$C:$C,1,0)</f>
        <v>1120311</v>
      </c>
      <c r="I37" s="829"/>
      <c r="J37" s="829"/>
    </row>
    <row r="38" spans="1:10" s="14" customFormat="1" ht="16.5" customHeight="1">
      <c r="A38" s="31" t="str">
        <f t="shared" si="0"/>
        <v>NI</v>
      </c>
      <c r="B38" s="346">
        <v>11203111</v>
      </c>
      <c r="C38" s="346" t="s">
        <v>35</v>
      </c>
      <c r="D38" s="340">
        <v>1533468339</v>
      </c>
      <c r="E38" s="341">
        <v>211117.1400000006</v>
      </c>
      <c r="F38" s="829">
        <f>+SUMIF(Composición!C:C,'BG 2023'!B38,Composición!G:G)</f>
        <v>0</v>
      </c>
      <c r="G38" s="830">
        <f t="shared" ref="G38:G43" si="4">+F38-D38</f>
        <v>-1533468339</v>
      </c>
      <c r="H38" s="828">
        <f>+VLOOKUP(B38,Composición!$C:$C,1,0)</f>
        <v>11203111</v>
      </c>
      <c r="I38" s="829"/>
      <c r="J38" s="829"/>
    </row>
    <row r="39" spans="1:10" s="14" customFormat="1" ht="16.5" customHeight="1">
      <c r="A39" s="14" t="str">
        <f t="shared" si="0"/>
        <v>I</v>
      </c>
      <c r="B39" s="343">
        <v>1120311101</v>
      </c>
      <c r="C39" s="343" t="s">
        <v>35</v>
      </c>
      <c r="D39" s="347">
        <v>276467848</v>
      </c>
      <c r="E39" s="348">
        <v>38062.150000000373</v>
      </c>
      <c r="F39" s="829">
        <f>+SUMIF(Composición!C:C,'BG 2023'!B39,Composición!G:G)</f>
        <v>34665507</v>
      </c>
      <c r="G39" s="830">
        <f t="shared" si="4"/>
        <v>-241802341</v>
      </c>
      <c r="H39" s="828">
        <f>+VLOOKUP(B39,Composición!$C:$C,1,0)</f>
        <v>1120311101</v>
      </c>
      <c r="I39" s="829"/>
      <c r="J39" s="829"/>
    </row>
    <row r="40" spans="1:10" s="14" customFormat="1" ht="16.5" customHeight="1">
      <c r="A40" s="14" t="str">
        <f t="shared" si="0"/>
        <v>I</v>
      </c>
      <c r="B40" s="343">
        <v>1120311102</v>
      </c>
      <c r="C40" s="343" t="s">
        <v>35</v>
      </c>
      <c r="D40" s="347">
        <v>407124</v>
      </c>
      <c r="E40" s="348">
        <v>56.050000000000068</v>
      </c>
      <c r="F40" s="829">
        <f>+SUMIF(Composición!C:C,'BG 2023'!B40,Composición!G:G)</f>
        <v>368148</v>
      </c>
      <c r="G40" s="830">
        <f t="shared" si="4"/>
        <v>-38976</v>
      </c>
      <c r="H40" s="828">
        <f>+VLOOKUP(B40,Composición!$C:$C,1,0)</f>
        <v>1120311102</v>
      </c>
      <c r="I40" s="829"/>
      <c r="J40" s="829"/>
    </row>
    <row r="41" spans="1:10" s="14" customFormat="1" ht="16.5" customHeight="1">
      <c r="A41" s="14" t="str">
        <f t="shared" si="0"/>
        <v>I</v>
      </c>
      <c r="B41" s="343">
        <v>1120311103</v>
      </c>
      <c r="C41" s="343" t="s">
        <v>36</v>
      </c>
      <c r="D41" s="347">
        <v>710328394</v>
      </c>
      <c r="E41" s="348">
        <v>97793.020000000019</v>
      </c>
      <c r="F41" s="829">
        <f>+SUMIF(Composición!C:C,'BG 2023'!B41,Composición!G:G)</f>
        <v>330056277</v>
      </c>
      <c r="G41" s="830">
        <f t="shared" si="4"/>
        <v>-380272117</v>
      </c>
      <c r="H41" s="828">
        <f>+VLOOKUP(B41,Composición!$C:$C,1,0)</f>
        <v>1120311103</v>
      </c>
      <c r="I41" s="829"/>
      <c r="J41" s="829"/>
    </row>
    <row r="42" spans="1:10" s="14" customFormat="1" ht="16.5" customHeight="1">
      <c r="A42" s="14" t="str">
        <f t="shared" si="0"/>
        <v>I</v>
      </c>
      <c r="B42" s="343">
        <v>1120311104</v>
      </c>
      <c r="C42" s="343" t="s">
        <v>37</v>
      </c>
      <c r="D42" s="347">
        <v>428136805</v>
      </c>
      <c r="E42" s="348">
        <v>58942.864999999991</v>
      </c>
      <c r="F42" s="829">
        <f>+SUMIF(Composición!C:C,'BG 2023'!B42,Composición!G:G)</f>
        <v>281052644</v>
      </c>
      <c r="G42" s="830">
        <f t="shared" si="4"/>
        <v>-147084161</v>
      </c>
      <c r="H42" s="828">
        <f>+VLOOKUP(B42,Composición!$C:$C,1,0)</f>
        <v>1120311104</v>
      </c>
      <c r="I42" s="829"/>
      <c r="J42" s="829"/>
    </row>
    <row r="43" spans="1:10" s="14" customFormat="1" ht="16.5" customHeight="1">
      <c r="A43" s="14" t="str">
        <f t="shared" si="0"/>
        <v>I</v>
      </c>
      <c r="B43" s="343">
        <v>1120311105</v>
      </c>
      <c r="C43" s="343" t="s">
        <v>38</v>
      </c>
      <c r="D43" s="347">
        <v>112449166</v>
      </c>
      <c r="E43" s="348">
        <v>15481.209999999961</v>
      </c>
      <c r="F43" s="829">
        <f>+SUMIF(Composición!C:C,'BG 2023'!B43,Composición!G:G)</f>
        <v>527968918</v>
      </c>
      <c r="G43" s="830">
        <f t="shared" si="4"/>
        <v>415519752</v>
      </c>
      <c r="H43" s="828">
        <f>+VLOOKUP(B43,Composición!$C:$C,1,0)</f>
        <v>1120311105</v>
      </c>
      <c r="I43" s="829"/>
      <c r="J43" s="829"/>
    </row>
    <row r="44" spans="1:10" s="14" customFormat="1" ht="16.5" customHeight="1">
      <c r="A44" s="14" t="str">
        <f t="shared" si="0"/>
        <v>I</v>
      </c>
      <c r="B44" s="343">
        <v>1120311106</v>
      </c>
      <c r="C44" s="343" t="s">
        <v>39</v>
      </c>
      <c r="D44" s="347">
        <v>5679002</v>
      </c>
      <c r="E44" s="348">
        <v>781.84499999999753</v>
      </c>
      <c r="F44" s="829"/>
      <c r="G44" s="829"/>
      <c r="H44" s="828">
        <f>+VLOOKUP(B44,Composición!$C:$C,1,0)</f>
        <v>1120311106</v>
      </c>
      <c r="I44" s="829"/>
      <c r="J44" s="829"/>
    </row>
    <row r="45" spans="1:10" s="14" customFormat="1" ht="16.5" customHeight="1">
      <c r="A45" s="31" t="str">
        <f t="shared" si="0"/>
        <v>NI</v>
      </c>
      <c r="B45" s="346">
        <v>11211</v>
      </c>
      <c r="C45" s="346" t="s">
        <v>40</v>
      </c>
      <c r="D45" s="340">
        <v>57790706</v>
      </c>
      <c r="E45" s="341">
        <v>7956.2199999999875</v>
      </c>
      <c r="F45" s="829"/>
      <c r="G45" s="829"/>
      <c r="H45" s="828">
        <f>+VLOOKUP(B45,Composición!$C:$C,1,0)</f>
        <v>11211</v>
      </c>
      <c r="I45" s="829"/>
      <c r="J45" s="829"/>
    </row>
    <row r="46" spans="1:10" s="14" customFormat="1" ht="16.5" customHeight="1">
      <c r="A46" s="31" t="str">
        <f t="shared" si="0"/>
        <v>NI</v>
      </c>
      <c r="B46" s="346">
        <v>112111</v>
      </c>
      <c r="C46" s="346" t="s">
        <v>40</v>
      </c>
      <c r="D46" s="340">
        <v>57790706</v>
      </c>
      <c r="E46" s="341">
        <v>7956.2199999999875</v>
      </c>
      <c r="F46" s="829"/>
      <c r="G46" s="829"/>
      <c r="H46" s="828">
        <f>+VLOOKUP(B46,Composición!$C:$C,1,0)</f>
        <v>112111</v>
      </c>
      <c r="I46" s="829"/>
      <c r="J46" s="829"/>
    </row>
    <row r="47" spans="1:10" s="14" customFormat="1" ht="16.5" customHeight="1">
      <c r="A47" s="31" t="str">
        <f t="shared" si="0"/>
        <v>NI</v>
      </c>
      <c r="B47" s="346">
        <v>1121111</v>
      </c>
      <c r="C47" s="346" t="s">
        <v>40</v>
      </c>
      <c r="D47" s="340">
        <v>57790706</v>
      </c>
      <c r="E47" s="341">
        <v>7956.2199999999875</v>
      </c>
      <c r="F47" s="829"/>
      <c r="G47" s="829"/>
      <c r="H47" s="828">
        <f>+VLOOKUP(B47,Composición!$C:$C,1,0)</f>
        <v>1121111</v>
      </c>
      <c r="I47" s="829"/>
      <c r="J47" s="829"/>
    </row>
    <row r="48" spans="1:10" s="14" customFormat="1" ht="16.5" customHeight="1">
      <c r="A48" s="31" t="str">
        <f t="shared" si="0"/>
        <v>NI</v>
      </c>
      <c r="B48" s="346">
        <v>11211111</v>
      </c>
      <c r="C48" s="346" t="s">
        <v>40</v>
      </c>
      <c r="D48" s="340">
        <v>57790706</v>
      </c>
      <c r="E48" s="341">
        <v>7956.2199999999875</v>
      </c>
      <c r="F48" s="829">
        <f>+SUMIF(Composición!C:C,'BG 2023'!B48,Composición!G:G)</f>
        <v>0</v>
      </c>
      <c r="G48" s="830">
        <f>+F48-D48</f>
        <v>-57790706</v>
      </c>
      <c r="H48" s="828">
        <f>+VLOOKUP(B48,Composición!$C:$C,1,0)</f>
        <v>11211111</v>
      </c>
      <c r="I48" s="829"/>
      <c r="J48" s="829"/>
    </row>
    <row r="49" spans="1:10" s="14" customFormat="1" ht="16.5" customHeight="1">
      <c r="A49" s="14" t="str">
        <f t="shared" si="0"/>
        <v>I</v>
      </c>
      <c r="B49" s="343">
        <v>1121111101</v>
      </c>
      <c r="C49" s="343" t="s">
        <v>41</v>
      </c>
      <c r="D49" s="347">
        <v>21303988</v>
      </c>
      <c r="E49" s="348">
        <v>2932.9799999999996</v>
      </c>
      <c r="F49" s="829"/>
      <c r="G49" s="829"/>
      <c r="H49" s="828">
        <f>+VLOOKUP(B49,Composición!$C:$C,1,0)</f>
        <v>1121111101</v>
      </c>
      <c r="I49" s="829"/>
      <c r="J49" s="829"/>
    </row>
    <row r="50" spans="1:10" s="14" customFormat="1" ht="16.5" customHeight="1">
      <c r="A50" s="14" t="str">
        <f t="shared" si="0"/>
        <v>I</v>
      </c>
      <c r="B50" s="343">
        <v>1121111106</v>
      </c>
      <c r="C50" s="343" t="s">
        <v>42</v>
      </c>
      <c r="D50" s="347">
        <v>22831627</v>
      </c>
      <c r="E50" s="348">
        <v>3143.3</v>
      </c>
      <c r="F50" s="829"/>
      <c r="G50" s="829"/>
      <c r="H50" s="828">
        <f>+VLOOKUP(B50,Composición!$C:$C,1,0)</f>
        <v>1121111106</v>
      </c>
      <c r="I50" s="829"/>
      <c r="J50" s="829"/>
    </row>
    <row r="51" spans="1:10" s="14" customFormat="1" ht="16.5" customHeight="1">
      <c r="A51" s="802" t="str">
        <f t="shared" si="0"/>
        <v>I</v>
      </c>
      <c r="B51" s="808">
        <v>1121111107</v>
      </c>
      <c r="C51" s="808" t="s">
        <v>43</v>
      </c>
      <c r="D51" s="800">
        <v>13655091</v>
      </c>
      <c r="E51" s="801">
        <v>1879.94</v>
      </c>
      <c r="F51" s="831"/>
      <c r="G51" s="831"/>
      <c r="H51" s="832">
        <f>+VLOOKUP(B51,Composición!$C:$C,1,0)</f>
        <v>1121111107</v>
      </c>
      <c r="I51" s="829"/>
      <c r="J51" s="829"/>
    </row>
    <row r="52" spans="1:10" s="14" customFormat="1" ht="16.5" customHeight="1">
      <c r="A52" s="31" t="str">
        <f t="shared" si="0"/>
        <v>NI</v>
      </c>
      <c r="B52" s="346">
        <v>11212</v>
      </c>
      <c r="C52" s="346" t="s">
        <v>44</v>
      </c>
      <c r="D52" s="340">
        <v>23141712</v>
      </c>
      <c r="E52" s="341">
        <v>3186.5060000000231</v>
      </c>
      <c r="F52" s="829"/>
      <c r="G52" s="829"/>
      <c r="H52" s="828">
        <f>+VLOOKUP(B52,Composición!$C:$C,1,0)</f>
        <v>11212</v>
      </c>
      <c r="I52" s="829"/>
      <c r="J52" s="829"/>
    </row>
    <row r="53" spans="1:10" s="14" customFormat="1" ht="16.5" customHeight="1">
      <c r="A53" s="31" t="str">
        <f t="shared" si="0"/>
        <v>NI</v>
      </c>
      <c r="B53" s="346">
        <v>112121</v>
      </c>
      <c r="C53" s="346" t="s">
        <v>44</v>
      </c>
      <c r="D53" s="340">
        <v>23141712</v>
      </c>
      <c r="E53" s="341">
        <v>3186.5060000000231</v>
      </c>
      <c r="F53" s="829">
        <f>+SUMIF(Composición!C:C,'BG 2023'!B53,Composición!G:G)</f>
        <v>0</v>
      </c>
      <c r="G53" s="830">
        <f t="shared" ref="G53:G54" si="5">+F53-D53</f>
        <v>-23141712</v>
      </c>
      <c r="H53" s="828">
        <f>+VLOOKUP(B53,Composición!$C:$C,1,0)</f>
        <v>112121</v>
      </c>
      <c r="I53" s="829"/>
      <c r="J53" s="829"/>
    </row>
    <row r="54" spans="1:10" s="14" customFormat="1" ht="16.5" customHeight="1">
      <c r="A54" s="31" t="str">
        <f t="shared" si="0"/>
        <v>NI</v>
      </c>
      <c r="B54" s="346">
        <v>1121211</v>
      </c>
      <c r="C54" s="346" t="s">
        <v>44</v>
      </c>
      <c r="D54" s="340">
        <v>23141712</v>
      </c>
      <c r="E54" s="341">
        <v>3186.5060000000231</v>
      </c>
      <c r="F54" s="829">
        <f>+SUMIF(Composición!C:C,'BG 2023'!B54,Composición!G:G)</f>
        <v>0</v>
      </c>
      <c r="G54" s="830">
        <f t="shared" si="5"/>
        <v>-23141712</v>
      </c>
      <c r="H54" s="828">
        <f>+VLOOKUP(B54,Composición!$C:$C,1,0)</f>
        <v>1121211</v>
      </c>
      <c r="I54" s="829"/>
      <c r="J54" s="829"/>
    </row>
    <row r="55" spans="1:10" s="14" customFormat="1" ht="16.5" customHeight="1">
      <c r="A55" s="31" t="str">
        <f t="shared" si="0"/>
        <v>NI</v>
      </c>
      <c r="B55" s="346">
        <v>11212111</v>
      </c>
      <c r="C55" s="346" t="s">
        <v>45</v>
      </c>
      <c r="D55" s="340">
        <v>23141712</v>
      </c>
      <c r="E55" s="341">
        <v>3186.5060000000231</v>
      </c>
      <c r="F55" s="829"/>
      <c r="G55" s="829"/>
      <c r="H55" s="828">
        <f>+VLOOKUP(B55,Composición!$C:$C,1,0)</f>
        <v>11212111</v>
      </c>
      <c r="I55" s="829"/>
      <c r="J55" s="829"/>
    </row>
    <row r="56" spans="1:10" s="14" customFormat="1" ht="16.5" customHeight="1">
      <c r="A56" s="14" t="str">
        <f t="shared" si="0"/>
        <v>I</v>
      </c>
      <c r="B56" s="343">
        <v>1121211101</v>
      </c>
      <c r="C56" s="343" t="s">
        <v>46</v>
      </c>
      <c r="D56" s="347">
        <v>20000</v>
      </c>
      <c r="E56" s="348">
        <v>2.7159999999857973</v>
      </c>
      <c r="F56" s="829"/>
      <c r="G56" s="829"/>
      <c r="H56" s="828">
        <f>+VLOOKUP(B56,Composición!$C:$C,1,0)</f>
        <v>1121211101</v>
      </c>
      <c r="I56" s="829"/>
      <c r="J56" s="829"/>
    </row>
    <row r="57" spans="1:10" s="14" customFormat="1" ht="16.5" customHeight="1">
      <c r="A57" s="14" t="str">
        <f t="shared" si="0"/>
        <v>I</v>
      </c>
      <c r="B57" s="343">
        <v>1121211102</v>
      </c>
      <c r="C57" s="343" t="s">
        <v>47</v>
      </c>
      <c r="D57" s="347">
        <v>23121712</v>
      </c>
      <c r="E57" s="348">
        <v>3183.7900000000004</v>
      </c>
      <c r="F57" s="829"/>
      <c r="G57" s="829"/>
      <c r="H57" s="828">
        <f>+VLOOKUP(B57,Composición!$C:$C,1,0)</f>
        <v>1121211102</v>
      </c>
      <c r="I57" s="829"/>
      <c r="J57" s="829"/>
    </row>
    <row r="58" spans="1:10" s="14" customFormat="1" ht="16.5" customHeight="1">
      <c r="A58" s="31" t="str">
        <f t="shared" si="0"/>
        <v>NI</v>
      </c>
      <c r="B58" s="346">
        <v>114</v>
      </c>
      <c r="C58" s="346" t="s">
        <v>48</v>
      </c>
      <c r="D58" s="340">
        <v>37078401104</v>
      </c>
      <c r="E58" s="341">
        <v>5104693.5759999752</v>
      </c>
      <c r="F58" s="829"/>
      <c r="G58" s="829"/>
      <c r="H58" s="828">
        <f>+VLOOKUP(B58,Composición!$C:$C,1,0)</f>
        <v>114</v>
      </c>
      <c r="I58" s="829"/>
      <c r="J58" s="829"/>
    </row>
    <row r="59" spans="1:10" s="14" customFormat="1" ht="16.5" customHeight="1">
      <c r="A59" s="31" t="str">
        <f t="shared" si="0"/>
        <v>NI</v>
      </c>
      <c r="B59" s="346">
        <v>11401</v>
      </c>
      <c r="C59" s="346" t="s">
        <v>49</v>
      </c>
      <c r="D59" s="340">
        <v>3298357000</v>
      </c>
      <c r="E59" s="341">
        <v>454094.60000000033</v>
      </c>
      <c r="F59" s="829"/>
      <c r="G59" s="829"/>
      <c r="H59" s="828">
        <f>+VLOOKUP(B59,Composición!$C:$C,1,0)</f>
        <v>11401</v>
      </c>
      <c r="I59" s="829"/>
      <c r="J59" s="829"/>
    </row>
    <row r="60" spans="1:10" s="14" customFormat="1" ht="16.5" customHeight="1">
      <c r="A60" s="31" t="str">
        <f t="shared" si="0"/>
        <v>NI</v>
      </c>
      <c r="B60" s="346">
        <v>114011</v>
      </c>
      <c r="C60" s="346" t="s">
        <v>50</v>
      </c>
      <c r="D60" s="340">
        <v>3298357000</v>
      </c>
      <c r="E60" s="341">
        <v>454094.60000000033</v>
      </c>
      <c r="F60" s="829">
        <f>+SUMIF(Composición!C:C,'BG 2023'!B60,Composición!G:G)</f>
        <v>0</v>
      </c>
      <c r="G60" s="830">
        <f>+F60-D60</f>
        <v>-3298357000</v>
      </c>
      <c r="H60" s="828">
        <f>+VLOOKUP(B60,Composición!$C:$C,1,0)</f>
        <v>114011</v>
      </c>
      <c r="I60" s="829"/>
      <c r="J60" s="829"/>
    </row>
    <row r="61" spans="1:10" s="14" customFormat="1" ht="16.5" customHeight="1">
      <c r="A61" s="31" t="str">
        <f t="shared" si="0"/>
        <v>NI</v>
      </c>
      <c r="B61" s="346">
        <v>1140111</v>
      </c>
      <c r="C61" s="346" t="s">
        <v>51</v>
      </c>
      <c r="D61" s="340">
        <v>3298357000</v>
      </c>
      <c r="E61" s="341">
        <v>454094.60000000033</v>
      </c>
      <c r="F61" s="829"/>
      <c r="G61" s="829"/>
      <c r="H61" s="828">
        <f>+VLOOKUP(B61,Composición!$C:$C,1,0)</f>
        <v>1140111</v>
      </c>
      <c r="I61" s="829"/>
      <c r="J61" s="829"/>
    </row>
    <row r="62" spans="1:10" s="14" customFormat="1" ht="16.5" customHeight="1">
      <c r="A62" s="31" t="str">
        <f t="shared" si="0"/>
        <v>NI</v>
      </c>
      <c r="B62" s="346">
        <v>11401111</v>
      </c>
      <c r="C62" s="346" t="s">
        <v>52</v>
      </c>
      <c r="D62" s="340">
        <v>3298357000</v>
      </c>
      <c r="E62" s="341">
        <v>454094.60000000033</v>
      </c>
      <c r="F62" s="829"/>
      <c r="G62" s="829"/>
      <c r="H62" s="828">
        <f>+VLOOKUP(B62,Composición!$C:$C,1,0)</f>
        <v>11401111</v>
      </c>
      <c r="I62" s="829"/>
      <c r="J62" s="829"/>
    </row>
    <row r="63" spans="1:10" s="14" customFormat="1" ht="16.5" customHeight="1">
      <c r="A63" s="14" t="str">
        <f t="shared" si="0"/>
        <v>I</v>
      </c>
      <c r="B63" s="343">
        <v>1140111101</v>
      </c>
      <c r="C63" s="343" t="s">
        <v>53</v>
      </c>
      <c r="D63" s="347">
        <v>3298357000</v>
      </c>
      <c r="E63" s="348">
        <v>454094.60000000033</v>
      </c>
      <c r="F63" s="829"/>
      <c r="G63" s="829"/>
      <c r="H63" s="828">
        <f>+VLOOKUP(B63,Composición!$C:$C,1,0)</f>
        <v>1140111101</v>
      </c>
      <c r="I63" s="829"/>
      <c r="J63" s="829"/>
    </row>
    <row r="64" spans="1:10" s="14" customFormat="1" ht="16.5" customHeight="1">
      <c r="A64" s="31" t="str">
        <f t="shared" si="0"/>
        <v>NI</v>
      </c>
      <c r="B64" s="346">
        <v>11402</v>
      </c>
      <c r="C64" s="346" t="s">
        <v>54</v>
      </c>
      <c r="D64" s="340">
        <v>23832628126</v>
      </c>
      <c r="E64" s="341">
        <v>3281108.6860000044</v>
      </c>
      <c r="F64" s="829"/>
      <c r="G64" s="829"/>
      <c r="H64" s="828">
        <f>+VLOOKUP(B64,Composición!$C:$C,1,0)</f>
        <v>11402</v>
      </c>
      <c r="I64" s="829"/>
      <c r="J64" s="829"/>
    </row>
    <row r="65" spans="1:10" s="14" customFormat="1" ht="16.5" customHeight="1">
      <c r="A65" s="31" t="str">
        <f t="shared" si="0"/>
        <v>NI</v>
      </c>
      <c r="B65" s="346">
        <v>114021</v>
      </c>
      <c r="C65" s="346" t="s">
        <v>55</v>
      </c>
      <c r="D65" s="340">
        <v>23832628126</v>
      </c>
      <c r="E65" s="341">
        <v>3281108.6860000044</v>
      </c>
      <c r="F65" s="829">
        <f>+SUMIF(Composición!C:C,'BG 2023'!B65,Composición!G:G)</f>
        <v>0</v>
      </c>
      <c r="G65" s="830">
        <f>+F65-D65</f>
        <v>-23832628126</v>
      </c>
      <c r="H65" s="828">
        <f>+VLOOKUP(B65,Composición!$C:$C,1,0)</f>
        <v>114021</v>
      </c>
      <c r="I65" s="829"/>
      <c r="J65" s="829"/>
    </row>
    <row r="66" spans="1:10" s="14" customFormat="1" ht="16.5" customHeight="1">
      <c r="A66" s="31" t="str">
        <f t="shared" si="0"/>
        <v>NI</v>
      </c>
      <c r="B66" s="346">
        <v>1140212</v>
      </c>
      <c r="C66" s="346" t="s">
        <v>51</v>
      </c>
      <c r="D66" s="340">
        <v>13942897500</v>
      </c>
      <c r="E66" s="341">
        <v>1919560.1000000015</v>
      </c>
      <c r="F66" s="829"/>
      <c r="G66" s="829"/>
      <c r="H66" s="828">
        <f>+VLOOKUP(B66,Composición!$C:$C,1,0)</f>
        <v>1140212</v>
      </c>
      <c r="I66" s="829"/>
      <c r="J66" s="829"/>
    </row>
    <row r="67" spans="1:10" s="14" customFormat="1" ht="16.5" customHeight="1">
      <c r="A67" s="31" t="str">
        <f t="shared" si="0"/>
        <v>NI</v>
      </c>
      <c r="B67" s="346">
        <v>11402121</v>
      </c>
      <c r="C67" s="346" t="s">
        <v>56</v>
      </c>
      <c r="D67" s="340">
        <v>3327000000</v>
      </c>
      <c r="E67" s="341">
        <v>458037.96999999974</v>
      </c>
      <c r="F67" s="829">
        <f>+SUMIF(Composición!C:C,'BG 2023'!B67,Composición!G:G)</f>
        <v>0</v>
      </c>
      <c r="G67" s="830">
        <f>+F67-D67</f>
        <v>-3327000000</v>
      </c>
      <c r="H67" s="828">
        <f>+VLOOKUP(B67,Composición!$C:$C,1,0)</f>
        <v>11402121</v>
      </c>
      <c r="I67" s="829"/>
      <c r="J67" s="829"/>
    </row>
    <row r="68" spans="1:10" s="14" customFormat="1" ht="16.5" customHeight="1">
      <c r="A68" s="14" t="str">
        <f t="shared" si="0"/>
        <v>I</v>
      </c>
      <c r="B68" s="343">
        <v>1140212101</v>
      </c>
      <c r="C68" s="343" t="s">
        <v>57</v>
      </c>
      <c r="D68" s="347">
        <v>3327000000</v>
      </c>
      <c r="E68" s="348">
        <v>458037.97</v>
      </c>
      <c r="F68" s="829"/>
      <c r="G68" s="829"/>
      <c r="H68" s="828">
        <f>+VLOOKUP(B68,Composición!$C:$C,1,0)</f>
        <v>1140212101</v>
      </c>
      <c r="I68" s="829"/>
      <c r="J68" s="829"/>
    </row>
    <row r="69" spans="1:10" s="14" customFormat="1" ht="16.5" customHeight="1">
      <c r="A69" s="31" t="str">
        <f t="shared" si="0"/>
        <v>NI</v>
      </c>
      <c r="B69" s="346">
        <v>11402123</v>
      </c>
      <c r="C69" s="346" t="s">
        <v>58</v>
      </c>
      <c r="D69" s="340">
        <v>10615897500</v>
      </c>
      <c r="E69" s="341">
        <v>1461522.1299999952</v>
      </c>
      <c r="F69" s="829"/>
      <c r="G69" s="829"/>
      <c r="H69" s="828">
        <f>+VLOOKUP(B69,Composición!$C:$C,1,0)</f>
        <v>11402123</v>
      </c>
      <c r="I69" s="829"/>
      <c r="J69" s="829"/>
    </row>
    <row r="70" spans="1:10" s="14" customFormat="1" ht="16.5" customHeight="1">
      <c r="A70" s="14" t="str">
        <f t="shared" si="0"/>
        <v>I</v>
      </c>
      <c r="B70" s="343">
        <v>1140212301</v>
      </c>
      <c r="C70" s="343" t="s">
        <v>59</v>
      </c>
      <c r="D70" s="347">
        <v>8800000000</v>
      </c>
      <c r="E70" s="348">
        <v>1211522.129999999</v>
      </c>
      <c r="F70" s="829">
        <f>+SUMIF(Composición!C:C,'BG 2023'!B70,Composición!G:G)</f>
        <v>12550000000</v>
      </c>
      <c r="G70" s="830">
        <f t="shared" ref="G70:G71" si="6">+F70-D70</f>
        <v>3750000000</v>
      </c>
      <c r="H70" s="828">
        <f>+VLOOKUP(B70,Composición!$C:$C,1,0)</f>
        <v>1140212301</v>
      </c>
      <c r="I70" s="829"/>
      <c r="J70" s="829"/>
    </row>
    <row r="71" spans="1:10" s="14" customFormat="1" ht="16.5" customHeight="1">
      <c r="A71" s="14" t="str">
        <f t="shared" ref="A71:A134" si="7">IF(LEN(B71)&gt;8,"I","NI")</f>
        <v>I</v>
      </c>
      <c r="B71" s="343">
        <v>1140212302</v>
      </c>
      <c r="C71" s="343" t="s">
        <v>60</v>
      </c>
      <c r="D71" s="347">
        <v>1815897500</v>
      </c>
      <c r="E71" s="348">
        <v>250000</v>
      </c>
      <c r="F71" s="829">
        <f>+SUMIF(Composición!C:C,'BG 2023'!B71,Composición!G:G)</f>
        <v>1409626800</v>
      </c>
      <c r="G71" s="830">
        <f t="shared" si="6"/>
        <v>-406270700</v>
      </c>
      <c r="H71" s="828">
        <f>+VLOOKUP(B71,Composición!$C:$C,1,0)</f>
        <v>1140212302</v>
      </c>
      <c r="I71" s="829"/>
      <c r="J71" s="829"/>
    </row>
    <row r="72" spans="1:10" s="14" customFormat="1" ht="16.5" customHeight="1">
      <c r="A72" s="31" t="str">
        <f t="shared" si="7"/>
        <v>NI</v>
      </c>
      <c r="B72" s="346">
        <v>1140213</v>
      </c>
      <c r="C72" s="346" t="s">
        <v>61</v>
      </c>
      <c r="D72" s="340">
        <v>5451680060</v>
      </c>
      <c r="E72" s="341">
        <v>750548.98000000033</v>
      </c>
      <c r="F72" s="829"/>
      <c r="G72" s="829"/>
      <c r="H72" s="828">
        <f>+VLOOKUP(B72,Composición!$C:$C,1,0)</f>
        <v>1140213</v>
      </c>
      <c r="I72" s="829"/>
      <c r="J72" s="829"/>
    </row>
    <row r="73" spans="1:10" s="14" customFormat="1" ht="16.5" customHeight="1">
      <c r="A73" s="31" t="str">
        <f t="shared" si="7"/>
        <v>NI</v>
      </c>
      <c r="B73" s="346">
        <v>11402131</v>
      </c>
      <c r="C73" s="346" t="s">
        <v>62</v>
      </c>
      <c r="D73" s="340">
        <v>3893680060</v>
      </c>
      <c r="E73" s="341">
        <v>536054.48999999836</v>
      </c>
      <c r="F73" s="829">
        <f>+SUMIF(Composición!C:C,'BG 2023'!B73,Composición!G:G)</f>
        <v>0</v>
      </c>
      <c r="G73" s="830">
        <f t="shared" ref="G73:G74" si="8">+F73-D73</f>
        <v>-3893680060</v>
      </c>
      <c r="H73" s="828">
        <f>+VLOOKUP(B73,Composición!$C:$C,1,0)</f>
        <v>11402131</v>
      </c>
      <c r="I73" s="829"/>
      <c r="J73" s="829"/>
    </row>
    <row r="74" spans="1:10" s="14" customFormat="1" ht="16.5" customHeight="1">
      <c r="A74" s="14" t="str">
        <f t="shared" si="7"/>
        <v>I</v>
      </c>
      <c r="B74" s="343">
        <v>1140213101</v>
      </c>
      <c r="C74" s="343" t="s">
        <v>63</v>
      </c>
      <c r="D74" s="347">
        <v>2194000000</v>
      </c>
      <c r="E74" s="348">
        <v>302054.49000000017</v>
      </c>
      <c r="F74" s="829">
        <f>+SUMIF(Composición!C:C,'BG 2023'!B74,Composición!G:G)</f>
        <v>4254000000</v>
      </c>
      <c r="G74" s="830">
        <f t="shared" si="8"/>
        <v>2060000000</v>
      </c>
      <c r="H74" s="828">
        <f>+VLOOKUP(B74,Composición!$C:$C,1,0)</f>
        <v>1140213101</v>
      </c>
      <c r="I74" s="829"/>
      <c r="J74" s="829"/>
    </row>
    <row r="75" spans="1:10" s="14" customFormat="1" ht="16.5" customHeight="1">
      <c r="A75" s="14" t="str">
        <f t="shared" si="7"/>
        <v>I</v>
      </c>
      <c r="B75" s="343">
        <v>1140213102</v>
      </c>
      <c r="C75" s="343" t="s">
        <v>64</v>
      </c>
      <c r="D75" s="347">
        <v>1699680060</v>
      </c>
      <c r="E75" s="348">
        <v>234000</v>
      </c>
      <c r="F75" s="829"/>
      <c r="G75" s="829"/>
      <c r="H75" s="828">
        <f>+VLOOKUP(B75,Composición!$C:$C,1,0)</f>
        <v>1140213102</v>
      </c>
      <c r="I75" s="829"/>
      <c r="J75" s="829"/>
    </row>
    <row r="76" spans="1:10" s="14" customFormat="1" ht="16.5" customHeight="1">
      <c r="A76" s="31" t="str">
        <f t="shared" si="7"/>
        <v>NI</v>
      </c>
      <c r="B76" s="346">
        <v>11402132</v>
      </c>
      <c r="C76" s="346" t="s">
        <v>65</v>
      </c>
      <c r="D76" s="340">
        <v>1558000000</v>
      </c>
      <c r="E76" s="341">
        <v>214494.49000000008</v>
      </c>
      <c r="F76" s="829"/>
      <c r="G76" s="829"/>
      <c r="H76" s="828">
        <f>+VLOOKUP(B76,Composición!$C:$C,1,0)</f>
        <v>11402132</v>
      </c>
      <c r="I76" s="829"/>
      <c r="J76" s="829"/>
    </row>
    <row r="77" spans="1:10" s="14" customFormat="1" ht="16.5" customHeight="1">
      <c r="A77" s="14" t="str">
        <f t="shared" si="7"/>
        <v>I</v>
      </c>
      <c r="B77" s="343">
        <v>1140213201</v>
      </c>
      <c r="C77" s="343" t="s">
        <v>66</v>
      </c>
      <c r="D77" s="347">
        <v>1558000000</v>
      </c>
      <c r="E77" s="348">
        <v>214494.49000000008</v>
      </c>
      <c r="F77" s="829">
        <f>+SUMIF(Composición!C:C,'BG 2023'!B77,Composición!G:G)</f>
        <v>0</v>
      </c>
      <c r="G77" s="830">
        <f t="shared" ref="G77:G78" si="9">+F77-D77</f>
        <v>-1558000000</v>
      </c>
      <c r="H77" s="828">
        <f>+VLOOKUP(B77,Composición!$C:$C,1,0)</f>
        <v>1140213201</v>
      </c>
      <c r="I77" s="829"/>
      <c r="J77" s="829"/>
    </row>
    <row r="78" spans="1:10" s="14" customFormat="1" ht="16.5" customHeight="1">
      <c r="A78" s="31" t="str">
        <f t="shared" si="7"/>
        <v>NI</v>
      </c>
      <c r="B78" s="346">
        <v>1140214</v>
      </c>
      <c r="C78" s="346" t="s">
        <v>67</v>
      </c>
      <c r="D78" s="340">
        <v>4653179500</v>
      </c>
      <c r="E78" s="341">
        <v>640617.03999999911</v>
      </c>
      <c r="F78" s="829">
        <f>+SUMIF(Composición!C:C,'BG 2023'!B78,Composición!G:G)</f>
        <v>0</v>
      </c>
      <c r="G78" s="830">
        <f t="shared" si="9"/>
        <v>-4653179500</v>
      </c>
      <c r="H78" s="828">
        <f>+VLOOKUP(B78,Composición!$C:$C,1,0)</f>
        <v>1140214</v>
      </c>
      <c r="I78" s="829"/>
      <c r="J78" s="829"/>
    </row>
    <row r="79" spans="1:10" s="14" customFormat="1" ht="16.5" customHeight="1">
      <c r="A79" s="31" t="str">
        <f t="shared" si="7"/>
        <v>NI</v>
      </c>
      <c r="B79" s="346">
        <v>11402141</v>
      </c>
      <c r="C79" s="346" t="s">
        <v>56</v>
      </c>
      <c r="D79" s="340">
        <v>3340000000</v>
      </c>
      <c r="E79" s="341">
        <v>459827.71999999881</v>
      </c>
      <c r="F79" s="829"/>
      <c r="G79" s="829"/>
      <c r="H79" s="828">
        <f>+VLOOKUP(B79,Composición!$C:$C,1,0)</f>
        <v>11402141</v>
      </c>
      <c r="I79" s="829"/>
      <c r="J79" s="829"/>
    </row>
    <row r="80" spans="1:10" s="14" customFormat="1" ht="16.5" customHeight="1">
      <c r="A80" s="14" t="str">
        <f t="shared" si="7"/>
        <v>I</v>
      </c>
      <c r="B80" s="343">
        <v>1140214101</v>
      </c>
      <c r="C80" s="343" t="s">
        <v>68</v>
      </c>
      <c r="D80" s="347">
        <v>3340000000</v>
      </c>
      <c r="E80" s="348">
        <v>459827.71999999881</v>
      </c>
      <c r="F80" s="829"/>
      <c r="G80" s="829"/>
      <c r="H80" s="828">
        <f>+VLOOKUP(B80,Composición!$C:$C,1,0)</f>
        <v>1140214101</v>
      </c>
      <c r="I80" s="829"/>
      <c r="J80" s="829"/>
    </row>
    <row r="81" spans="1:10" s="14" customFormat="1" ht="16.5" customHeight="1">
      <c r="A81" s="31" t="str">
        <f t="shared" si="7"/>
        <v>NI</v>
      </c>
      <c r="B81" s="346">
        <v>11402143</v>
      </c>
      <c r="C81" s="346" t="s">
        <v>58</v>
      </c>
      <c r="D81" s="340">
        <v>1313179500</v>
      </c>
      <c r="E81" s="341">
        <v>180789.32</v>
      </c>
      <c r="F81" s="829">
        <f>+SUMIF(Composición!C:C,'BG 2023'!B81,Composición!G:G)</f>
        <v>0</v>
      </c>
      <c r="G81" s="830">
        <f>+F81-D81</f>
        <v>-1313179500</v>
      </c>
      <c r="H81" s="828">
        <f>+VLOOKUP(B81,Composición!$C:$C,1,0)</f>
        <v>11402143</v>
      </c>
      <c r="I81" s="829"/>
      <c r="J81" s="829"/>
    </row>
    <row r="82" spans="1:10" s="14" customFormat="1" ht="16.5" customHeight="1">
      <c r="A82" s="14" t="str">
        <f t="shared" si="7"/>
        <v>I</v>
      </c>
      <c r="B82" s="343">
        <v>1140214301</v>
      </c>
      <c r="C82" s="343" t="s">
        <v>69</v>
      </c>
      <c r="D82" s="347">
        <v>950000000</v>
      </c>
      <c r="E82" s="348">
        <v>130789.32</v>
      </c>
      <c r="F82" s="829"/>
      <c r="G82" s="829"/>
      <c r="H82" s="828">
        <f>+VLOOKUP(B82,Composición!$C:$C,1,0)</f>
        <v>1140214301</v>
      </c>
      <c r="I82" s="829"/>
      <c r="J82" s="829"/>
    </row>
    <row r="83" spans="1:10" s="14" customFormat="1" ht="16.5" customHeight="1">
      <c r="A83" s="14" t="str">
        <f t="shared" si="7"/>
        <v>I</v>
      </c>
      <c r="B83" s="343">
        <v>1140214302</v>
      </c>
      <c r="C83" s="343" t="s">
        <v>70</v>
      </c>
      <c r="D83" s="347">
        <v>363179500</v>
      </c>
      <c r="E83" s="348">
        <v>50000</v>
      </c>
      <c r="F83" s="829"/>
      <c r="G83" s="829"/>
      <c r="H83" s="828">
        <f>+VLOOKUP(B83,Composición!$C:$C,1,0)</f>
        <v>1140214302</v>
      </c>
      <c r="I83" s="829"/>
      <c r="J83" s="829"/>
    </row>
    <row r="84" spans="1:10" s="14" customFormat="1" ht="16.5" customHeight="1">
      <c r="A84" s="31" t="str">
        <f t="shared" si="7"/>
        <v>NI</v>
      </c>
      <c r="B84" s="346">
        <v>1140219</v>
      </c>
      <c r="C84" s="346" t="s">
        <v>71</v>
      </c>
      <c r="D84" s="340">
        <v>-48992731</v>
      </c>
      <c r="E84" s="341">
        <v>-6744.9799999999805</v>
      </c>
      <c r="F84" s="829">
        <f>+SUMIF(Composición!C:C,'BG 2023'!B84,Composición!G:G)</f>
        <v>0</v>
      </c>
      <c r="G84" s="830">
        <f t="shared" ref="G84:G92" si="10">+F84-D84</f>
        <v>48992731</v>
      </c>
      <c r="H84" s="828">
        <f>+VLOOKUP(B84,Composición!$C:$C,1,0)</f>
        <v>1140219</v>
      </c>
      <c r="I84" s="829"/>
      <c r="J84" s="829"/>
    </row>
    <row r="85" spans="1:10" s="14" customFormat="1" ht="16.5" customHeight="1">
      <c r="A85" s="31" t="str">
        <f t="shared" si="7"/>
        <v>NI</v>
      </c>
      <c r="B85" s="346">
        <v>11402191</v>
      </c>
      <c r="C85" s="346" t="s">
        <v>72</v>
      </c>
      <c r="D85" s="340">
        <v>-105144100</v>
      </c>
      <c r="E85" s="341">
        <v>-14475.5</v>
      </c>
      <c r="F85" s="829">
        <f>+SUMIF(Composición!C:C,'BG 2023'!B85,Composición!G:G)</f>
        <v>0</v>
      </c>
      <c r="G85" s="830">
        <f t="shared" si="10"/>
        <v>105144100</v>
      </c>
      <c r="H85" s="828">
        <f>+VLOOKUP(B85,Composición!$C:$C,1,0)</f>
        <v>11402191</v>
      </c>
      <c r="I85" s="829"/>
      <c r="J85" s="829"/>
    </row>
    <row r="86" spans="1:10" s="14" customFormat="1" ht="16.5" customHeight="1">
      <c r="A86" s="14" t="str">
        <f t="shared" si="7"/>
        <v>I</v>
      </c>
      <c r="B86" s="343">
        <v>1140219101</v>
      </c>
      <c r="C86" s="343" t="s">
        <v>73</v>
      </c>
      <c r="D86" s="347">
        <v>-32</v>
      </c>
      <c r="E86" s="348">
        <v>0</v>
      </c>
      <c r="F86" s="829">
        <f>+SUMIF(Composición!C:C,'BG 2023'!B86,Composición!G:G)</f>
        <v>0</v>
      </c>
      <c r="G86" s="830">
        <f t="shared" si="10"/>
        <v>32</v>
      </c>
      <c r="H86" s="828">
        <f>+VLOOKUP(B86,Composición!$C:$C,1,0)</f>
        <v>1140219101</v>
      </c>
      <c r="I86" s="829"/>
      <c r="J86" s="829"/>
    </row>
    <row r="87" spans="1:10" s="14" customFormat="1" ht="16.5" customHeight="1">
      <c r="A87" s="14" t="str">
        <f t="shared" si="7"/>
        <v>I</v>
      </c>
      <c r="B87" s="343">
        <v>1140219105</v>
      </c>
      <c r="C87" s="343" t="s">
        <v>74</v>
      </c>
      <c r="D87" s="347">
        <v>-29227291</v>
      </c>
      <c r="E87" s="348">
        <v>-4023.8099999999972</v>
      </c>
      <c r="F87" s="829">
        <f>+SUMIF(Composición!C:C,'BG 2023'!B87,Composición!G:G)</f>
        <v>0</v>
      </c>
      <c r="G87" s="830">
        <f t="shared" si="10"/>
        <v>29227291</v>
      </c>
      <c r="H87" s="828">
        <f>+VLOOKUP(B87,Composición!$C:$C,1,0)</f>
        <v>1140219105</v>
      </c>
      <c r="I87" s="829"/>
      <c r="J87" s="829"/>
    </row>
    <row r="88" spans="1:10" s="14" customFormat="1" ht="16.5" customHeight="1">
      <c r="A88" s="14" t="str">
        <f t="shared" si="7"/>
        <v>I</v>
      </c>
      <c r="B88" s="343">
        <v>1140219108</v>
      </c>
      <c r="C88" s="343" t="s">
        <v>75</v>
      </c>
      <c r="D88" s="347">
        <v>-291</v>
      </c>
      <c r="E88" s="348">
        <v>-4.0000000000000036E-2</v>
      </c>
      <c r="F88" s="829">
        <f>+SUMIF(Composición!C:C,'BG 2023'!B88,Composición!G:G)</f>
        <v>0</v>
      </c>
      <c r="G88" s="830">
        <f t="shared" si="10"/>
        <v>291</v>
      </c>
      <c r="H88" s="828">
        <f>+VLOOKUP(B88,Composición!$C:$C,1,0)</f>
        <v>1140219108</v>
      </c>
      <c r="I88" s="829"/>
      <c r="J88" s="829"/>
    </row>
    <row r="89" spans="1:10" s="14" customFormat="1" ht="16.5" customHeight="1">
      <c r="A89" s="14" t="str">
        <f t="shared" si="7"/>
        <v>I</v>
      </c>
      <c r="B89" s="343">
        <v>1140219109</v>
      </c>
      <c r="C89" s="343" t="s">
        <v>76</v>
      </c>
      <c r="D89" s="347">
        <v>-40671392</v>
      </c>
      <c r="E89" s="348">
        <v>-5599.3500000000022</v>
      </c>
      <c r="F89" s="829">
        <f>+SUMIF(Composición!C:C,'BG 2023'!B89,Composición!G:G)</f>
        <v>0</v>
      </c>
      <c r="G89" s="830">
        <f t="shared" si="10"/>
        <v>40671392</v>
      </c>
      <c r="H89" s="828">
        <f>+VLOOKUP(B89,Composición!$C:$C,1,0)</f>
        <v>1140219109</v>
      </c>
      <c r="I89" s="829"/>
      <c r="J89" s="829"/>
    </row>
    <row r="90" spans="1:10" s="14" customFormat="1" ht="16.5" customHeight="1">
      <c r="A90" s="14" t="str">
        <f t="shared" si="7"/>
        <v>I</v>
      </c>
      <c r="B90" s="343">
        <v>1140219113</v>
      </c>
      <c r="C90" s="343" t="s">
        <v>77</v>
      </c>
      <c r="D90" s="347">
        <v>-58</v>
      </c>
      <c r="E90" s="348">
        <v>-1.0000000000218279E-2</v>
      </c>
      <c r="F90" s="829">
        <f>+SUMIF(Composición!C:C,'BG 2023'!B90,Composición!G:G)</f>
        <v>0</v>
      </c>
      <c r="G90" s="830">
        <f t="shared" si="10"/>
        <v>58</v>
      </c>
      <c r="H90" s="828">
        <f>+VLOOKUP(B90,Composición!$C:$C,1,0)</f>
        <v>1140219113</v>
      </c>
      <c r="I90" s="829"/>
      <c r="J90" s="829"/>
    </row>
    <row r="91" spans="1:10" s="14" customFormat="1" ht="16.5" customHeight="1">
      <c r="A91" s="14" t="str">
        <f t="shared" si="7"/>
        <v>I</v>
      </c>
      <c r="B91" s="343">
        <v>1140219117</v>
      </c>
      <c r="C91" s="343" t="s">
        <v>78</v>
      </c>
      <c r="D91" s="347">
        <v>-30202434</v>
      </c>
      <c r="E91" s="348">
        <v>-4158.0599999999995</v>
      </c>
      <c r="F91" s="829">
        <f>+SUMIF(Composición!C:C,'BG 2023'!B91,Composición!G:G)</f>
        <v>0</v>
      </c>
      <c r="G91" s="830">
        <f t="shared" si="10"/>
        <v>30202434</v>
      </c>
      <c r="H91" s="828">
        <f>+VLOOKUP(B91,Composición!$C:$C,1,0)</f>
        <v>1140219117</v>
      </c>
      <c r="I91" s="829"/>
      <c r="J91" s="829"/>
    </row>
    <row r="92" spans="1:10" s="14" customFormat="1" ht="16.5" customHeight="1">
      <c r="A92" s="14" t="str">
        <f t="shared" si="7"/>
        <v>I</v>
      </c>
      <c r="B92" s="343">
        <v>1140219118</v>
      </c>
      <c r="C92" s="343" t="s">
        <v>79</v>
      </c>
      <c r="D92" s="347">
        <v>-5042602</v>
      </c>
      <c r="E92" s="348">
        <v>-694.23000000000013</v>
      </c>
      <c r="F92" s="829">
        <f>+SUMIF(Composición!C:C,'BG 2023'!B92,Composición!G:G)</f>
        <v>0</v>
      </c>
      <c r="G92" s="830">
        <f t="shared" si="10"/>
        <v>5042602</v>
      </c>
      <c r="H92" s="828">
        <f>+VLOOKUP(B92,Composición!$C:$C,1,0)</f>
        <v>1140219118</v>
      </c>
      <c r="I92" s="829"/>
      <c r="J92" s="829"/>
    </row>
    <row r="93" spans="1:10" s="14" customFormat="1" ht="16.5" customHeight="1">
      <c r="A93" s="31" t="str">
        <f t="shared" si="7"/>
        <v>NI</v>
      </c>
      <c r="B93" s="346">
        <v>11402192</v>
      </c>
      <c r="C93" s="346" t="s">
        <v>80</v>
      </c>
      <c r="D93" s="340">
        <v>56151369</v>
      </c>
      <c r="E93" s="341">
        <v>7730.5200000000195</v>
      </c>
      <c r="F93" s="829"/>
      <c r="G93" s="829"/>
      <c r="H93" s="828">
        <f>+VLOOKUP(B93,Composición!$C:$C,1,0)</f>
        <v>11402192</v>
      </c>
      <c r="I93" s="829"/>
      <c r="J93" s="829"/>
    </row>
    <row r="94" spans="1:10" s="14" customFormat="1" ht="16.5" customHeight="1">
      <c r="A94" s="14" t="str">
        <f t="shared" si="7"/>
        <v>I</v>
      </c>
      <c r="B94" s="343">
        <v>1140219201</v>
      </c>
      <c r="C94" s="343" t="s">
        <v>81</v>
      </c>
      <c r="D94" s="347">
        <v>8415111</v>
      </c>
      <c r="E94" s="348">
        <v>1158.5299999999997</v>
      </c>
      <c r="F94" s="829">
        <f>+SUMIF(Composición!C:C,'BG 2023'!B94,Composición!G:G)</f>
        <v>8869921</v>
      </c>
      <c r="G94" s="830">
        <f t="shared" ref="G94:G99" si="11">+F94-D94</f>
        <v>454810</v>
      </c>
      <c r="H94" s="828">
        <f>+VLOOKUP(B94,Composición!$C:$C,1,0)</f>
        <v>1140219201</v>
      </c>
      <c r="I94" s="829"/>
      <c r="J94" s="829"/>
    </row>
    <row r="95" spans="1:10" s="14" customFormat="1" ht="16.5" customHeight="1">
      <c r="A95" s="14" t="str">
        <f t="shared" si="7"/>
        <v>I</v>
      </c>
      <c r="B95" s="343">
        <v>1140219205</v>
      </c>
      <c r="C95" s="343" t="s">
        <v>82</v>
      </c>
      <c r="D95" s="347">
        <v>15297971</v>
      </c>
      <c r="E95" s="348">
        <v>2106.1200000000008</v>
      </c>
      <c r="F95" s="829">
        <f>+SUMIF(Composición!C:C,'BG 2023'!B95,Composición!G:G)</f>
        <v>23942612</v>
      </c>
      <c r="G95" s="830">
        <f t="shared" si="11"/>
        <v>8644641</v>
      </c>
      <c r="H95" s="828">
        <f>+VLOOKUP(B95,Composición!$C:$C,1,0)</f>
        <v>1140219205</v>
      </c>
      <c r="I95" s="829"/>
      <c r="J95" s="829"/>
    </row>
    <row r="96" spans="1:10" s="14" customFormat="1" ht="16.5" customHeight="1">
      <c r="A96" s="14" t="str">
        <f t="shared" si="7"/>
        <v>I</v>
      </c>
      <c r="B96" s="343">
        <v>1140219206</v>
      </c>
      <c r="C96" s="343" t="s">
        <v>83</v>
      </c>
      <c r="D96" s="347">
        <v>3062693</v>
      </c>
      <c r="E96" s="348">
        <v>421.64999999999964</v>
      </c>
      <c r="F96" s="829">
        <f>+SUMIF(Composición!C:C,'BG 2023'!B96,Composición!G:G)</f>
        <v>6093817</v>
      </c>
      <c r="G96" s="830">
        <f t="shared" si="11"/>
        <v>3031124</v>
      </c>
      <c r="H96" s="828">
        <f>+VLOOKUP(B96,Composición!$C:$C,1,0)</f>
        <v>1140219206</v>
      </c>
      <c r="I96" s="829"/>
      <c r="J96" s="829"/>
    </row>
    <row r="97" spans="1:10" s="14" customFormat="1" ht="16.5" customHeight="1">
      <c r="A97" s="14" t="str">
        <f t="shared" si="7"/>
        <v>I</v>
      </c>
      <c r="B97" s="343">
        <v>1140219207</v>
      </c>
      <c r="C97" s="343" t="s">
        <v>84</v>
      </c>
      <c r="D97" s="347">
        <v>19195223</v>
      </c>
      <c r="E97" s="348">
        <v>2642.66</v>
      </c>
      <c r="F97" s="829">
        <f>+SUMIF(Composición!C:C,'BG 2023'!B97,Composición!G:G)</f>
        <v>20946393</v>
      </c>
      <c r="G97" s="830">
        <f t="shared" si="11"/>
        <v>1751170</v>
      </c>
      <c r="H97" s="828">
        <f>+VLOOKUP(B97,Composición!$C:$C,1,0)</f>
        <v>1140219207</v>
      </c>
      <c r="I97" s="829"/>
      <c r="J97" s="829"/>
    </row>
    <row r="98" spans="1:10" s="14" customFormat="1" ht="16.5" customHeight="1">
      <c r="A98" s="14" t="str">
        <f t="shared" si="7"/>
        <v>I</v>
      </c>
      <c r="B98" s="343">
        <v>1140219208</v>
      </c>
      <c r="C98" s="343" t="s">
        <v>85</v>
      </c>
      <c r="D98" s="347">
        <v>4736151</v>
      </c>
      <c r="E98" s="348">
        <v>652.04000000000087</v>
      </c>
      <c r="F98" s="829">
        <f>+SUMIF(Composición!C:C,'BG 2023'!B98,Composición!G:G)</f>
        <v>0</v>
      </c>
      <c r="G98" s="830">
        <f t="shared" si="11"/>
        <v>-4736151</v>
      </c>
      <c r="H98" s="828">
        <f>+VLOOKUP(B98,Composición!$C:$C,1,0)</f>
        <v>1140219208</v>
      </c>
      <c r="I98" s="829"/>
      <c r="J98" s="829"/>
    </row>
    <row r="99" spans="1:10" s="14" customFormat="1" ht="16.5" customHeight="1">
      <c r="A99" s="14" t="str">
        <f t="shared" si="7"/>
        <v>I</v>
      </c>
      <c r="B99" s="343">
        <v>1140219213</v>
      </c>
      <c r="C99" s="343" t="s">
        <v>86</v>
      </c>
      <c r="D99" s="347">
        <v>5444220</v>
      </c>
      <c r="E99" s="348">
        <v>749.52</v>
      </c>
      <c r="F99" s="829">
        <f>+SUMIF(Composición!C:C,'BG 2023'!B99,Composición!G:G)</f>
        <v>140</v>
      </c>
      <c r="G99" s="830">
        <f t="shared" si="11"/>
        <v>-5444080</v>
      </c>
      <c r="H99" s="828">
        <f>+VLOOKUP(B99,Composición!$C:$C,1,0)</f>
        <v>1140219213</v>
      </c>
      <c r="I99" s="829"/>
      <c r="J99" s="829"/>
    </row>
    <row r="100" spans="1:10" s="14" customFormat="1" ht="16.5" customHeight="1">
      <c r="A100" s="31" t="str">
        <f t="shared" si="7"/>
        <v>NI</v>
      </c>
      <c r="B100" s="346">
        <v>1140224</v>
      </c>
      <c r="C100" s="346" t="s">
        <v>87</v>
      </c>
      <c r="D100" s="340">
        <v>263608071</v>
      </c>
      <c r="E100" s="341">
        <v>36291.716000001878</v>
      </c>
      <c r="F100" s="829"/>
      <c r="G100" s="829"/>
      <c r="H100" s="828">
        <f>+VLOOKUP(B100,Composición!$C:$C,1,0)</f>
        <v>1140224</v>
      </c>
      <c r="I100" s="829"/>
      <c r="J100" s="829"/>
    </row>
    <row r="101" spans="1:10" s="14" customFormat="1" ht="16.5" customHeight="1">
      <c r="A101" s="31" t="str">
        <f t="shared" si="7"/>
        <v>NI</v>
      </c>
      <c r="B101" s="346">
        <v>11402241</v>
      </c>
      <c r="C101" s="346" t="s">
        <v>88</v>
      </c>
      <c r="D101" s="340">
        <v>4398148011</v>
      </c>
      <c r="E101" s="341">
        <v>605506.09699999914</v>
      </c>
      <c r="F101" s="829"/>
      <c r="G101" s="829"/>
      <c r="H101" s="828">
        <f>+VLOOKUP(B101,Composición!$C:$C,1,0)</f>
        <v>11402241</v>
      </c>
      <c r="I101" s="829"/>
      <c r="J101" s="829"/>
    </row>
    <row r="102" spans="1:10" s="14" customFormat="1" ht="16.5" customHeight="1">
      <c r="A102" s="14" t="str">
        <f t="shared" si="7"/>
        <v>I</v>
      </c>
      <c r="B102" s="343">
        <v>1140224101</v>
      </c>
      <c r="C102" s="343" t="s">
        <v>89</v>
      </c>
      <c r="D102" s="347">
        <v>974369932</v>
      </c>
      <c r="E102" s="348">
        <v>134144.40000000002</v>
      </c>
      <c r="F102" s="829">
        <f>+SUMIF(Composición!C:C,'BG 2023'!B102,Composición!G:G)</f>
        <v>757489998</v>
      </c>
      <c r="G102" s="830">
        <f t="shared" ref="G102:G109" si="12">+F102-D102</f>
        <v>-216879934</v>
      </c>
      <c r="H102" s="828">
        <f>+VLOOKUP(B102,Composición!$C:$C,1,0)</f>
        <v>1140224101</v>
      </c>
      <c r="I102" s="829"/>
      <c r="J102" s="829"/>
    </row>
    <row r="103" spans="1:10" s="14" customFormat="1" ht="16.5" customHeight="1">
      <c r="A103" s="14" t="str">
        <f t="shared" si="7"/>
        <v>I</v>
      </c>
      <c r="B103" s="343">
        <v>1140224105</v>
      </c>
      <c r="C103" s="343" t="s">
        <v>90</v>
      </c>
      <c r="D103" s="347">
        <v>1624982891</v>
      </c>
      <c r="E103" s="348">
        <v>223716.21999999974</v>
      </c>
      <c r="F103" s="829">
        <f>+SUMIF(Composición!C:C,'BG 2023'!B103,Composición!G:G)</f>
        <v>1236512765</v>
      </c>
      <c r="G103" s="830">
        <f t="shared" si="12"/>
        <v>-388470126</v>
      </c>
      <c r="H103" s="828">
        <f>+VLOOKUP(B103,Composición!$C:$C,1,0)</f>
        <v>1140224105</v>
      </c>
      <c r="I103" s="829"/>
      <c r="J103" s="829"/>
    </row>
    <row r="104" spans="1:10" s="14" customFormat="1" ht="16.5" customHeight="1">
      <c r="A104" s="14" t="str">
        <f t="shared" si="7"/>
        <v>I</v>
      </c>
      <c r="B104" s="343">
        <v>1140224106</v>
      </c>
      <c r="C104" s="343" t="s">
        <v>91</v>
      </c>
      <c r="D104" s="347">
        <v>209720741</v>
      </c>
      <c r="E104" s="348">
        <v>28872.877000000095</v>
      </c>
      <c r="F104" s="829">
        <f>+SUMIF(Composición!C:C,'BG 2023'!B104,Composición!G:G)</f>
        <v>232780758</v>
      </c>
      <c r="G104" s="830">
        <f t="shared" si="12"/>
        <v>23060017</v>
      </c>
      <c r="H104" s="828">
        <f>+VLOOKUP(B104,Composición!$C:$C,1,0)</f>
        <v>1140224106</v>
      </c>
      <c r="I104" s="829"/>
      <c r="J104" s="829"/>
    </row>
    <row r="105" spans="1:10" s="14" customFormat="1" ht="16.5" customHeight="1">
      <c r="A105" s="14" t="str">
        <f t="shared" si="7"/>
        <v>I</v>
      </c>
      <c r="B105" s="343">
        <v>1140224107</v>
      </c>
      <c r="C105" s="343" t="s">
        <v>92</v>
      </c>
      <c r="D105" s="347">
        <v>605676966</v>
      </c>
      <c r="E105" s="348">
        <v>83385.349999999977</v>
      </c>
      <c r="F105" s="829">
        <f>+SUMIF(Composición!C:C,'BG 2023'!B105,Composición!G:G)</f>
        <v>1245127389</v>
      </c>
      <c r="G105" s="830">
        <f t="shared" si="12"/>
        <v>639450423</v>
      </c>
      <c r="H105" s="828">
        <f>+VLOOKUP(B105,Composición!$C:$C,1,0)</f>
        <v>1140224107</v>
      </c>
      <c r="I105" s="829"/>
      <c r="J105" s="829"/>
    </row>
    <row r="106" spans="1:10" s="14" customFormat="1" ht="16.5" customHeight="1">
      <c r="A106" s="14" t="str">
        <f t="shared" si="7"/>
        <v>I</v>
      </c>
      <c r="B106" s="343">
        <v>1140224108</v>
      </c>
      <c r="C106" s="343" t="s">
        <v>93</v>
      </c>
      <c r="D106" s="347">
        <v>491200782</v>
      </c>
      <c r="E106" s="348">
        <v>67625.070000000298</v>
      </c>
      <c r="F106" s="829">
        <f>+SUMIF(Composición!C:C,'BG 2023'!B106,Composición!G:G)</f>
        <v>0</v>
      </c>
      <c r="G106" s="830">
        <f t="shared" si="12"/>
        <v>-491200782</v>
      </c>
      <c r="H106" s="828">
        <f>+VLOOKUP(B106,Composición!$C:$C,1,0)</f>
        <v>1140224108</v>
      </c>
      <c r="I106" s="829"/>
      <c r="J106" s="829"/>
    </row>
    <row r="107" spans="1:10" s="14" customFormat="1" ht="16.5" customHeight="1">
      <c r="A107" s="14" t="str">
        <f t="shared" si="7"/>
        <v>I</v>
      </c>
      <c r="B107" s="343">
        <v>1140224113</v>
      </c>
      <c r="C107" s="343" t="s">
        <v>94</v>
      </c>
      <c r="D107" s="347">
        <v>186824247</v>
      </c>
      <c r="E107" s="348">
        <v>25720.649999999907</v>
      </c>
      <c r="F107" s="829">
        <f>+SUMIF(Composición!C:C,'BG 2023'!B107,Composición!G:G)</f>
        <v>3514635424</v>
      </c>
      <c r="G107" s="830">
        <f t="shared" si="12"/>
        <v>3327811177</v>
      </c>
      <c r="H107" s="828">
        <f>+VLOOKUP(B107,Composición!$C:$C,1,0)</f>
        <v>1140224113</v>
      </c>
      <c r="I107" s="829"/>
      <c r="J107" s="829"/>
    </row>
    <row r="108" spans="1:10" s="14" customFormat="1" ht="16.5" customHeight="1">
      <c r="A108" s="14" t="str">
        <f t="shared" si="7"/>
        <v>I</v>
      </c>
      <c r="B108" s="343">
        <v>1140224117</v>
      </c>
      <c r="C108" s="343" t="s">
        <v>95</v>
      </c>
      <c r="D108" s="347">
        <v>296735753</v>
      </c>
      <c r="E108" s="348">
        <v>40852.49</v>
      </c>
      <c r="F108" s="829">
        <f>+SUMIF(Composición!C:C,'BG 2023'!B108,Composición!G:G)</f>
        <v>5700000</v>
      </c>
      <c r="G108" s="830">
        <f t="shared" si="12"/>
        <v>-291035753</v>
      </c>
      <c r="H108" s="828">
        <f>+VLOOKUP(B108,Composición!$C:$C,1,0)</f>
        <v>1140224117</v>
      </c>
      <c r="I108" s="829"/>
      <c r="J108" s="829"/>
    </row>
    <row r="109" spans="1:10" s="14" customFormat="1" ht="16.5" customHeight="1">
      <c r="A109" s="14" t="str">
        <f t="shared" si="7"/>
        <v>I</v>
      </c>
      <c r="B109" s="343">
        <v>1140224118</v>
      </c>
      <c r="C109" s="343" t="s">
        <v>96</v>
      </c>
      <c r="D109" s="347">
        <v>8636699</v>
      </c>
      <c r="E109" s="348">
        <v>1189.0399999999972</v>
      </c>
      <c r="F109" s="829">
        <f>+SUMIF(Composición!C:C,'BG 2023'!B109,Composición!G:G)</f>
        <v>0</v>
      </c>
      <c r="G109" s="830">
        <f t="shared" si="12"/>
        <v>-8636699</v>
      </c>
      <c r="H109" s="828">
        <f>+VLOOKUP(B109,Composición!$C:$C,1,0)</f>
        <v>1140224118</v>
      </c>
      <c r="I109" s="829"/>
      <c r="J109" s="829"/>
    </row>
    <row r="110" spans="1:10" s="14" customFormat="1" ht="16.5" customHeight="1">
      <c r="A110" s="31" t="str">
        <f t="shared" si="7"/>
        <v>NI</v>
      </c>
      <c r="B110" s="346">
        <v>11402242</v>
      </c>
      <c r="C110" s="346" t="s">
        <v>97</v>
      </c>
      <c r="D110" s="340">
        <v>-4134539940</v>
      </c>
      <c r="E110" s="341">
        <v>-569214.38099999912</v>
      </c>
      <c r="F110" s="829"/>
      <c r="G110" s="829"/>
      <c r="H110" s="828">
        <f>+VLOOKUP(B110,Composición!$C:$C,1,0)</f>
        <v>11402242</v>
      </c>
      <c r="I110" s="829"/>
      <c r="J110" s="829"/>
    </row>
    <row r="111" spans="1:10" s="14" customFormat="1" ht="16.5" customHeight="1">
      <c r="A111" s="14" t="str">
        <f t="shared" si="7"/>
        <v>I</v>
      </c>
      <c r="B111" s="343">
        <v>1140224201</v>
      </c>
      <c r="C111" s="343" t="s">
        <v>98</v>
      </c>
      <c r="D111" s="347">
        <v>-934172412</v>
      </c>
      <c r="E111" s="348">
        <v>-128610.28999999998</v>
      </c>
      <c r="F111" s="829">
        <f>+SUMIF(Composición!C:C,'BG 2023'!B111,Composición!G:G)</f>
        <v>-719525582</v>
      </c>
      <c r="G111" s="830">
        <f t="shared" ref="G111:G118" si="13">+F111-D111</f>
        <v>214646830</v>
      </c>
      <c r="H111" s="828">
        <f>+VLOOKUP(B111,Composición!$C:$C,1,0)</f>
        <v>1140224201</v>
      </c>
      <c r="I111" s="829"/>
      <c r="J111" s="829"/>
    </row>
    <row r="112" spans="1:10" s="14" customFormat="1" ht="16.5" customHeight="1">
      <c r="A112" s="14" t="str">
        <f t="shared" si="7"/>
        <v>I</v>
      </c>
      <c r="B112" s="343">
        <v>1140224205</v>
      </c>
      <c r="C112" s="343" t="s">
        <v>99</v>
      </c>
      <c r="D112" s="347">
        <v>-1503071658</v>
      </c>
      <c r="E112" s="348">
        <v>-206932.33999999985</v>
      </c>
      <c r="F112" s="829">
        <f>+SUMIF(Composición!C:C,'BG 2023'!B112,Composición!G:G)</f>
        <v>-1095621644</v>
      </c>
      <c r="G112" s="830">
        <f t="shared" si="13"/>
        <v>407450014</v>
      </c>
      <c r="H112" s="828">
        <f>+VLOOKUP(B112,Composición!$C:$C,1,0)</f>
        <v>1140224205</v>
      </c>
      <c r="I112" s="829"/>
      <c r="J112" s="829"/>
    </row>
    <row r="113" spans="1:10" s="14" customFormat="1" ht="16.5" customHeight="1">
      <c r="A113" s="14" t="str">
        <f t="shared" si="7"/>
        <v>I</v>
      </c>
      <c r="B113" s="343">
        <v>1140224206</v>
      </c>
      <c r="C113" s="343" t="s">
        <v>100</v>
      </c>
      <c r="D113" s="347">
        <v>-206221346</v>
      </c>
      <c r="E113" s="348">
        <v>-28391.104999999981</v>
      </c>
      <c r="F113" s="829">
        <f>+SUMIF(Composición!C:C,'BG 2023'!B113,Composición!G:G)</f>
        <v>-214001866</v>
      </c>
      <c r="G113" s="830">
        <f t="shared" si="13"/>
        <v>-7780520</v>
      </c>
      <c r="H113" s="828">
        <f>+VLOOKUP(B113,Composición!$C:$C,1,0)</f>
        <v>1140224206</v>
      </c>
      <c r="I113" s="829"/>
      <c r="J113" s="829"/>
    </row>
    <row r="114" spans="1:10" s="14" customFormat="1" ht="16.5" customHeight="1">
      <c r="A114" s="14" t="str">
        <f t="shared" si="7"/>
        <v>I</v>
      </c>
      <c r="B114" s="343">
        <v>1140224207</v>
      </c>
      <c r="C114" s="343" t="s">
        <v>101</v>
      </c>
      <c r="D114" s="347">
        <v>-589580116</v>
      </c>
      <c r="E114" s="348">
        <v>-81169.239999999991</v>
      </c>
      <c r="F114" s="829">
        <f>+SUMIF(Composición!C:C,'BG 2023'!B114,Composición!G:G)</f>
        <v>-1231608756</v>
      </c>
      <c r="G114" s="830">
        <f t="shared" si="13"/>
        <v>-642028640</v>
      </c>
      <c r="H114" s="828">
        <f>+VLOOKUP(B114,Composición!$C:$C,1,0)</f>
        <v>1140224207</v>
      </c>
      <c r="I114" s="829"/>
      <c r="J114" s="829"/>
    </row>
    <row r="115" spans="1:10" s="14" customFormat="1" ht="16.5" customHeight="1">
      <c r="A115" s="14" t="str">
        <f t="shared" si="7"/>
        <v>I</v>
      </c>
      <c r="B115" s="343">
        <v>1140224208</v>
      </c>
      <c r="C115" s="343" t="s">
        <v>102</v>
      </c>
      <c r="D115" s="347">
        <v>-475731297</v>
      </c>
      <c r="E115" s="348">
        <v>-65495.340000000317</v>
      </c>
      <c r="F115" s="829">
        <f>+SUMIF(Composición!C:C,'BG 2023'!B115,Composición!G:G)</f>
        <v>0</v>
      </c>
      <c r="G115" s="830">
        <f t="shared" si="13"/>
        <v>475731297</v>
      </c>
      <c r="H115" s="828">
        <f>+VLOOKUP(B115,Composición!$C:$C,1,0)</f>
        <v>1140224208</v>
      </c>
      <c r="I115" s="829"/>
      <c r="J115" s="829"/>
    </row>
    <row r="116" spans="1:10" s="14" customFormat="1" ht="16.5" customHeight="1">
      <c r="A116" s="14" t="str">
        <f t="shared" si="7"/>
        <v>I</v>
      </c>
      <c r="B116" s="343">
        <v>1140224213</v>
      </c>
      <c r="C116" s="343" t="s">
        <v>103</v>
      </c>
      <c r="D116" s="347">
        <v>-125421507</v>
      </c>
      <c r="E116" s="348">
        <v>-17267.149999999907</v>
      </c>
      <c r="F116" s="829">
        <f>+SUMIF(Composición!C:C,'BG 2023'!B116,Composición!G:G)</f>
        <v>-3429569562</v>
      </c>
      <c r="G116" s="830">
        <f t="shared" si="13"/>
        <v>-3304148055</v>
      </c>
      <c r="H116" s="828">
        <f>+VLOOKUP(B116,Composición!$C:$C,1,0)</f>
        <v>1140224213</v>
      </c>
      <c r="I116" s="829"/>
      <c r="J116" s="829"/>
    </row>
    <row r="117" spans="1:10" s="14" customFormat="1" ht="16.5" customHeight="1">
      <c r="A117" s="14" t="str">
        <f t="shared" si="7"/>
        <v>I</v>
      </c>
      <c r="B117" s="343">
        <v>1140224217</v>
      </c>
      <c r="C117" s="343" t="s">
        <v>104</v>
      </c>
      <c r="D117" s="347">
        <v>-292102877</v>
      </c>
      <c r="E117" s="348">
        <v>-40214.67</v>
      </c>
      <c r="F117" s="829">
        <f>+SUMIF(Composición!C:C,'BG 2023'!B117,Composición!G:G)</f>
        <v>-156164</v>
      </c>
      <c r="G117" s="830">
        <f t="shared" si="13"/>
        <v>291946713</v>
      </c>
      <c r="H117" s="828">
        <f>+VLOOKUP(B117,Composición!$C:$C,1,0)</f>
        <v>1140224217</v>
      </c>
      <c r="I117" s="829"/>
      <c r="J117" s="829"/>
    </row>
    <row r="118" spans="1:10" s="14" customFormat="1" ht="16.5" customHeight="1">
      <c r="A118" s="14" t="str">
        <f t="shared" si="7"/>
        <v>I</v>
      </c>
      <c r="B118" s="343">
        <v>1140224218</v>
      </c>
      <c r="C118" s="343" t="s">
        <v>105</v>
      </c>
      <c r="D118" s="347">
        <v>-8238727</v>
      </c>
      <c r="E118" s="348">
        <v>-1134.25</v>
      </c>
      <c r="F118" s="829">
        <f>+SUMIF(Composición!C:C,'BG 2023'!B118,Composición!G:G)</f>
        <v>0</v>
      </c>
      <c r="G118" s="830">
        <f t="shared" si="13"/>
        <v>8238727</v>
      </c>
      <c r="H118" s="828">
        <f>+VLOOKUP(B118,Composición!$C:$C,1,0)</f>
        <v>1140224218</v>
      </c>
      <c r="I118" s="829"/>
      <c r="J118" s="829"/>
    </row>
    <row r="119" spans="1:10" s="14" customFormat="1" ht="16.5" customHeight="1">
      <c r="A119" s="31" t="str">
        <f t="shared" si="7"/>
        <v>NI</v>
      </c>
      <c r="B119" s="346">
        <v>1140225</v>
      </c>
      <c r="C119" s="346" t="s">
        <v>106</v>
      </c>
      <c r="D119" s="340">
        <v>-429744274</v>
      </c>
      <c r="E119" s="341">
        <v>-59164.169999999984</v>
      </c>
      <c r="F119" s="829"/>
      <c r="G119" s="829"/>
      <c r="H119" s="828">
        <f>+VLOOKUP(B119,Composición!$C:$C,1,0)</f>
        <v>1140225</v>
      </c>
      <c r="I119" s="829"/>
      <c r="J119" s="829"/>
    </row>
    <row r="120" spans="1:10" s="14" customFormat="1" ht="16.5" customHeight="1">
      <c r="A120" s="31" t="str">
        <f t="shared" si="7"/>
        <v>NI</v>
      </c>
      <c r="B120" s="346">
        <v>11402251</v>
      </c>
      <c r="C120" s="346" t="s">
        <v>106</v>
      </c>
      <c r="D120" s="340">
        <v>-108757733</v>
      </c>
      <c r="E120" s="341">
        <v>-14973</v>
      </c>
      <c r="F120" s="829"/>
      <c r="G120" s="829"/>
      <c r="H120" s="828">
        <f>+VLOOKUP(B120,Composición!$C:$C,1,0)</f>
        <v>11402251</v>
      </c>
      <c r="I120" s="829"/>
      <c r="J120" s="829"/>
    </row>
    <row r="121" spans="1:10" s="14" customFormat="1" ht="16.5" customHeight="1">
      <c r="A121" s="14" t="str">
        <f t="shared" si="7"/>
        <v>I</v>
      </c>
      <c r="B121" s="343">
        <v>1140225108</v>
      </c>
      <c r="C121" s="343" t="s">
        <v>107</v>
      </c>
      <c r="D121" s="347">
        <v>-108757733</v>
      </c>
      <c r="E121" s="348">
        <v>-14973</v>
      </c>
      <c r="F121" s="829">
        <f>+SUMIF(Composición!C:C,'BG 2023'!B121,Composición!G:G)</f>
        <v>0</v>
      </c>
      <c r="G121" s="830">
        <f>+F121-D121</f>
        <v>108757733</v>
      </c>
      <c r="H121" s="828">
        <f>+VLOOKUP(B121,Composición!$C:$C,1,0)</f>
        <v>1140225108</v>
      </c>
      <c r="I121" s="829"/>
      <c r="J121" s="829"/>
    </row>
    <row r="122" spans="1:10" s="14" customFormat="1" ht="16.5" customHeight="1">
      <c r="A122" s="31" t="str">
        <f t="shared" si="7"/>
        <v>NI</v>
      </c>
      <c r="B122" s="346">
        <v>11402252</v>
      </c>
      <c r="C122" s="346" t="s">
        <v>108</v>
      </c>
      <c r="D122" s="340">
        <v>-320986541</v>
      </c>
      <c r="E122" s="341">
        <v>-44191.169999999984</v>
      </c>
      <c r="F122" s="829"/>
      <c r="G122" s="829"/>
      <c r="H122" s="828">
        <f>+VLOOKUP(B122,Composición!$C:$C,1,0)</f>
        <v>11402252</v>
      </c>
      <c r="I122" s="829"/>
      <c r="J122" s="829"/>
    </row>
    <row r="123" spans="1:10" s="14" customFormat="1" ht="16.5" customHeight="1">
      <c r="A123" s="14" t="str">
        <f t="shared" si="7"/>
        <v>I</v>
      </c>
      <c r="B123" s="343">
        <v>1140225202</v>
      </c>
      <c r="C123" s="343" t="s">
        <v>109</v>
      </c>
      <c r="D123" s="347">
        <v>-320986541</v>
      </c>
      <c r="E123" s="348">
        <v>-44191.169999999984</v>
      </c>
      <c r="F123" s="829">
        <f>+SUMIF(Composición!C:C,'BG 2023'!B123,Composición!G:G)</f>
        <v>-693820112</v>
      </c>
      <c r="G123" s="830">
        <f>+F123-D123</f>
        <v>-372833571</v>
      </c>
      <c r="H123" s="828">
        <f>+VLOOKUP(B123,Composición!$C:$C,1,0)</f>
        <v>1140225202</v>
      </c>
      <c r="I123" s="829"/>
      <c r="J123" s="829"/>
    </row>
    <row r="124" spans="1:10" s="14" customFormat="1" ht="16.5" customHeight="1">
      <c r="A124" s="31" t="str">
        <f t="shared" si="7"/>
        <v>NI</v>
      </c>
      <c r="B124" s="346">
        <v>11403</v>
      </c>
      <c r="C124" s="346" t="s">
        <v>110</v>
      </c>
      <c r="D124" s="340">
        <v>9947415978</v>
      </c>
      <c r="E124" s="341">
        <v>1369490.2900000066</v>
      </c>
      <c r="F124" s="829"/>
      <c r="G124" s="829"/>
      <c r="H124" s="828">
        <f>+VLOOKUP(B124,Composición!$C:$C,1,0)</f>
        <v>11403</v>
      </c>
      <c r="I124" s="829"/>
      <c r="J124" s="829"/>
    </row>
    <row r="125" spans="1:10" s="14" customFormat="1" ht="16.5" customHeight="1">
      <c r="A125" s="31" t="str">
        <f t="shared" si="7"/>
        <v>NI</v>
      </c>
      <c r="B125" s="346">
        <v>114031</v>
      </c>
      <c r="C125" s="346" t="s">
        <v>111</v>
      </c>
      <c r="D125" s="340">
        <v>9947415978</v>
      </c>
      <c r="E125" s="341">
        <v>1369490.2900000066</v>
      </c>
      <c r="F125" s="829"/>
      <c r="G125" s="829"/>
      <c r="H125" s="828">
        <f>+VLOOKUP(B125,Composición!$C:$C,1,0)</f>
        <v>114031</v>
      </c>
      <c r="I125" s="829"/>
      <c r="J125" s="829"/>
    </row>
    <row r="126" spans="1:10" s="14" customFormat="1" ht="16.5" customHeight="1">
      <c r="A126" s="31" t="str">
        <f t="shared" si="7"/>
        <v>NI</v>
      </c>
      <c r="B126" s="346">
        <v>1140311</v>
      </c>
      <c r="C126" s="346" t="s">
        <v>112</v>
      </c>
      <c r="D126" s="340">
        <v>7942758328</v>
      </c>
      <c r="E126" s="341">
        <v>1093503.1200000048</v>
      </c>
      <c r="F126" s="829"/>
      <c r="G126" s="829"/>
      <c r="H126" s="828">
        <f>+VLOOKUP(B126,Composición!$C:$C,1,0)</f>
        <v>1140311</v>
      </c>
      <c r="I126" s="829"/>
      <c r="J126" s="829"/>
    </row>
    <row r="127" spans="1:10" s="14" customFormat="1" ht="16.5" customHeight="1">
      <c r="A127" s="31" t="str">
        <f t="shared" si="7"/>
        <v>NI</v>
      </c>
      <c r="B127" s="346">
        <v>11403111</v>
      </c>
      <c r="C127" s="346" t="s">
        <v>113</v>
      </c>
      <c r="D127" s="340">
        <v>7837413610</v>
      </c>
      <c r="E127" s="341">
        <v>1079000</v>
      </c>
      <c r="F127" s="829"/>
      <c r="G127" s="829"/>
      <c r="H127" s="828">
        <f>+VLOOKUP(B127,Composición!$C:$C,1,0)</f>
        <v>11403111</v>
      </c>
      <c r="I127" s="829"/>
      <c r="J127" s="829"/>
    </row>
    <row r="128" spans="1:10" s="14" customFormat="1" ht="16.5" customHeight="1">
      <c r="A128" s="14" t="str">
        <f t="shared" si="7"/>
        <v>I</v>
      </c>
      <c r="B128" s="343">
        <v>1140311102</v>
      </c>
      <c r="C128" s="343" t="s">
        <v>114</v>
      </c>
      <c r="D128" s="347">
        <v>7837413610</v>
      </c>
      <c r="E128" s="348">
        <v>1079000</v>
      </c>
      <c r="F128" s="829">
        <f>+SUMIF(Composición!C:C,'BG 2023'!B128,Composición!G:G)</f>
        <v>10282444380</v>
      </c>
      <c r="G128" s="830">
        <f>+F128-D128</f>
        <v>2445030770</v>
      </c>
      <c r="H128" s="828">
        <f>+VLOOKUP(B128,Composición!$C:$C,1,0)</f>
        <v>1140311102</v>
      </c>
      <c r="I128" s="829"/>
      <c r="J128" s="829"/>
    </row>
    <row r="129" spans="1:10" s="14" customFormat="1" ht="16.5" customHeight="1">
      <c r="A129" s="31" t="str">
        <f t="shared" si="7"/>
        <v>NI</v>
      </c>
      <c r="B129" s="346">
        <v>11403112</v>
      </c>
      <c r="C129" s="346" t="s">
        <v>115</v>
      </c>
      <c r="D129" s="340">
        <v>2493044516</v>
      </c>
      <c r="E129" s="341">
        <v>343224.83999999985</v>
      </c>
      <c r="F129" s="829"/>
      <c r="G129" s="829"/>
      <c r="H129" s="828">
        <f>+VLOOKUP(B129,Composición!$C:$C,1,0)</f>
        <v>11403112</v>
      </c>
      <c r="I129" s="829"/>
      <c r="J129" s="829"/>
    </row>
    <row r="130" spans="1:10" s="14" customFormat="1" ht="16.5" customHeight="1">
      <c r="A130" s="14" t="str">
        <f t="shared" si="7"/>
        <v>I</v>
      </c>
      <c r="B130" s="343">
        <v>1140311202</v>
      </c>
      <c r="C130" s="343" t="s">
        <v>116</v>
      </c>
      <c r="D130" s="347">
        <v>2493044516</v>
      </c>
      <c r="E130" s="348">
        <v>343224.83999999985</v>
      </c>
      <c r="F130" s="829">
        <f>+SUMIF(Composición!C:C,'BG 2023'!B130,Composición!G:G)</f>
        <v>2469254151</v>
      </c>
      <c r="G130" s="830">
        <f>+F130-D130</f>
        <v>-23790365</v>
      </c>
      <c r="H130" s="828">
        <f>+VLOOKUP(B130,Composición!$C:$C,1,0)</f>
        <v>1140311202</v>
      </c>
      <c r="I130" s="829"/>
      <c r="J130" s="829"/>
    </row>
    <row r="131" spans="1:10" s="14" customFormat="1" ht="16.5" customHeight="1">
      <c r="A131" s="31" t="str">
        <f t="shared" si="7"/>
        <v>NI</v>
      </c>
      <c r="B131" s="346">
        <v>11403113</v>
      </c>
      <c r="C131" s="346" t="s">
        <v>117</v>
      </c>
      <c r="D131" s="340">
        <v>-2409845743</v>
      </c>
      <c r="E131" s="341">
        <v>-331770.61799999978</v>
      </c>
      <c r="F131" s="829"/>
      <c r="G131" s="829"/>
      <c r="H131" s="828">
        <f>+VLOOKUP(B131,Composición!$C:$C,1,0)</f>
        <v>11403113</v>
      </c>
      <c r="I131" s="829"/>
      <c r="J131" s="829"/>
    </row>
    <row r="132" spans="1:10" s="14" customFormat="1" ht="16.5" customHeight="1">
      <c r="A132" s="14" t="str">
        <f t="shared" si="7"/>
        <v>I</v>
      </c>
      <c r="B132" s="343">
        <v>1140311302</v>
      </c>
      <c r="C132" s="343" t="s">
        <v>118</v>
      </c>
      <c r="D132" s="347">
        <v>-2409845743</v>
      </c>
      <c r="E132" s="348">
        <v>-331770.61800000025</v>
      </c>
      <c r="F132" s="829">
        <f>+SUMIF(Composición!C:C,'BG 2023'!B132,Composición!G:G)</f>
        <v>-2358763608</v>
      </c>
      <c r="G132" s="830">
        <f>+F132-D132</f>
        <v>51082135</v>
      </c>
      <c r="H132" s="828">
        <f>+VLOOKUP(B132,Composición!$C:$C,1,0)</f>
        <v>1140311302</v>
      </c>
      <c r="I132" s="829"/>
      <c r="J132" s="829"/>
    </row>
    <row r="133" spans="1:10" s="14" customFormat="1" ht="16.5" customHeight="1">
      <c r="A133" s="31" t="str">
        <f t="shared" si="7"/>
        <v>NI</v>
      </c>
      <c r="B133" s="346">
        <v>11403114</v>
      </c>
      <c r="C133" s="346" t="s">
        <v>119</v>
      </c>
      <c r="D133" s="340">
        <v>22147761</v>
      </c>
      <c r="E133" s="341">
        <v>3049.1480000000015</v>
      </c>
      <c r="F133" s="829"/>
      <c r="G133" s="829"/>
      <c r="H133" s="828">
        <f>+VLOOKUP(B133,Composición!$C:$C,1,0)</f>
        <v>11403114</v>
      </c>
      <c r="I133" s="829"/>
      <c r="J133" s="829"/>
    </row>
    <row r="134" spans="1:10" s="14" customFormat="1" ht="16.5" customHeight="1">
      <c r="A134" s="14" t="str">
        <f t="shared" si="7"/>
        <v>I</v>
      </c>
      <c r="B134" s="343">
        <v>1140311402</v>
      </c>
      <c r="C134" s="343" t="s">
        <v>120</v>
      </c>
      <c r="D134" s="347">
        <v>22147761</v>
      </c>
      <c r="E134" s="348">
        <v>3049.1480000000015</v>
      </c>
      <c r="F134" s="829">
        <f>+SUMIF(Composición!C:C,'BG 2023'!B134,Composición!G:G)</f>
        <v>23209662</v>
      </c>
      <c r="G134" s="830">
        <f>+F134-D134</f>
        <v>1061901</v>
      </c>
      <c r="H134" s="828">
        <f>+VLOOKUP(B134,Composición!$C:$C,1,0)</f>
        <v>1140311402</v>
      </c>
      <c r="I134" s="829"/>
      <c r="J134" s="829"/>
    </row>
    <row r="135" spans="1:10" s="14" customFormat="1" ht="16.5" customHeight="1">
      <c r="A135" s="31" t="str">
        <f t="shared" ref="A135:A210" si="14">IF(LEN(B135)&gt;8,"I","NI")</f>
        <v>NI</v>
      </c>
      <c r="B135" s="346">
        <v>11403115</v>
      </c>
      <c r="C135" s="346" t="s">
        <v>121</v>
      </c>
      <c r="D135" s="340">
        <v>-1816</v>
      </c>
      <c r="E135" s="341">
        <v>-0.25</v>
      </c>
      <c r="F135" s="829"/>
      <c r="G135" s="829"/>
      <c r="H135" s="828">
        <f>+VLOOKUP(B135,Composición!$C:$C,1,0)</f>
        <v>11403115</v>
      </c>
      <c r="I135" s="829"/>
      <c r="J135" s="829"/>
    </row>
    <row r="136" spans="1:10" s="14" customFormat="1" ht="16.5" customHeight="1">
      <c r="A136" s="14" t="str">
        <f t="shared" si="14"/>
        <v>I</v>
      </c>
      <c r="B136" s="343">
        <v>1140311502</v>
      </c>
      <c r="C136" s="343" t="s">
        <v>122</v>
      </c>
      <c r="D136" s="347">
        <v>-1816</v>
      </c>
      <c r="E136" s="348">
        <v>-0.25</v>
      </c>
      <c r="F136" s="829">
        <f>+SUMIF(Composición!C:C,'BG 2023'!B136,Composición!G:G)</f>
        <v>0</v>
      </c>
      <c r="G136" s="830">
        <f>+F136-D136</f>
        <v>1816</v>
      </c>
      <c r="H136" s="828">
        <f>+VLOOKUP(B136,Composición!$C:$C,1,0)</f>
        <v>1140311502</v>
      </c>
      <c r="I136" s="829"/>
      <c r="J136" s="829"/>
    </row>
    <row r="137" spans="1:10" s="14" customFormat="1" ht="16.5" customHeight="1">
      <c r="A137" s="31" t="str">
        <f t="shared" si="14"/>
        <v>NI</v>
      </c>
      <c r="B137" s="346">
        <v>1140312</v>
      </c>
      <c r="C137" s="346" t="s">
        <v>123</v>
      </c>
      <c r="D137" s="340">
        <v>2004657650</v>
      </c>
      <c r="E137" s="341">
        <v>275987.16999999993</v>
      </c>
      <c r="F137" s="829"/>
      <c r="G137" s="829"/>
      <c r="H137" s="828">
        <f>+VLOOKUP(B137,Composición!$C:$C,1,0)</f>
        <v>1140312</v>
      </c>
      <c r="I137" s="829"/>
      <c r="J137" s="829"/>
    </row>
    <row r="138" spans="1:10" s="14" customFormat="1" ht="16.5" customHeight="1">
      <c r="A138" s="31" t="str">
        <f t="shared" si="14"/>
        <v>NI</v>
      </c>
      <c r="B138" s="346">
        <v>11403121</v>
      </c>
      <c r="C138" s="346" t="s">
        <v>123</v>
      </c>
      <c r="D138" s="340">
        <v>2002394670</v>
      </c>
      <c r="E138" s="341">
        <v>275675.62000000104</v>
      </c>
      <c r="F138" s="829"/>
      <c r="G138" s="829"/>
      <c r="H138" s="828">
        <f>+VLOOKUP(B138,Composición!$C:$C,1,0)</f>
        <v>11403121</v>
      </c>
      <c r="I138" s="829"/>
      <c r="J138" s="829"/>
    </row>
    <row r="139" spans="1:10" s="14" customFormat="1" ht="16.5" customHeight="1">
      <c r="A139" s="14" t="str">
        <f t="shared" si="14"/>
        <v>I</v>
      </c>
      <c r="B139" s="343">
        <v>1140312119</v>
      </c>
      <c r="C139" s="343" t="s">
        <v>63</v>
      </c>
      <c r="D139" s="347">
        <v>2002394670</v>
      </c>
      <c r="E139" s="348">
        <v>275675.62</v>
      </c>
      <c r="F139" s="829">
        <f>+SUMIF(Composición!C:C,'BG 2023'!B139,Composición!G:G)</f>
        <v>0</v>
      </c>
      <c r="G139" s="830">
        <f>+F139-D139</f>
        <v>-2002394670</v>
      </c>
      <c r="H139" s="828">
        <f>+VLOOKUP(B139,Composición!$C:$C,1,0)</f>
        <v>1140312119</v>
      </c>
      <c r="I139" s="829"/>
      <c r="J139" s="829"/>
    </row>
    <row r="140" spans="1:10" s="14" customFormat="1" ht="16.5" customHeight="1">
      <c r="A140" s="31" t="str">
        <f t="shared" si="14"/>
        <v>NI</v>
      </c>
      <c r="B140" s="346">
        <v>11403122</v>
      </c>
      <c r="C140" s="346" t="s">
        <v>124</v>
      </c>
      <c r="D140" s="340">
        <v>3168172</v>
      </c>
      <c r="E140" s="341">
        <v>436.17000000000189</v>
      </c>
      <c r="F140" s="829"/>
      <c r="G140" s="829"/>
      <c r="H140" s="828">
        <f>+VLOOKUP(B140,Composición!$C:$C,1,0)</f>
        <v>11403122</v>
      </c>
      <c r="I140" s="829"/>
      <c r="J140" s="829"/>
    </row>
    <row r="141" spans="1:10" s="14" customFormat="1" ht="16.5" customHeight="1">
      <c r="A141" s="14" t="str">
        <f t="shared" si="14"/>
        <v>I</v>
      </c>
      <c r="B141" s="343">
        <v>1140312201</v>
      </c>
      <c r="C141" s="343" t="s">
        <v>124</v>
      </c>
      <c r="D141" s="347">
        <v>3168172</v>
      </c>
      <c r="E141" s="348">
        <v>436.16999999999825</v>
      </c>
      <c r="F141" s="829">
        <f>+SUMIF(Composición!C:C,'BG 2023'!B141,Composición!G:G)</f>
        <v>0</v>
      </c>
      <c r="G141" s="830">
        <f>+F141-D141</f>
        <v>-3168172</v>
      </c>
      <c r="H141" s="828">
        <f>+VLOOKUP(B141,Composición!$C:$C,1,0)</f>
        <v>1140312201</v>
      </c>
      <c r="I141" s="829"/>
      <c r="J141" s="829"/>
    </row>
    <row r="142" spans="1:10" s="14" customFormat="1" ht="16.5" customHeight="1">
      <c r="A142" s="31" t="str">
        <f t="shared" si="14"/>
        <v>NI</v>
      </c>
      <c r="B142" s="346">
        <v>11403123</v>
      </c>
      <c r="C142" s="346" t="s">
        <v>125</v>
      </c>
      <c r="D142" s="340">
        <v>-905192</v>
      </c>
      <c r="E142" s="341">
        <v>-124.61999999999898</v>
      </c>
      <c r="F142" s="829"/>
      <c r="G142" s="829"/>
      <c r="H142" s="828">
        <f>+VLOOKUP(B142,Composición!$C:$C,1,0)</f>
        <v>11403123</v>
      </c>
      <c r="I142" s="829"/>
      <c r="J142" s="829"/>
    </row>
    <row r="143" spans="1:10" s="14" customFormat="1" ht="16.5" customHeight="1">
      <c r="A143" s="14" t="str">
        <f t="shared" si="14"/>
        <v>I</v>
      </c>
      <c r="B143" s="343">
        <v>1140312301</v>
      </c>
      <c r="C143" s="343" t="s">
        <v>125</v>
      </c>
      <c r="D143" s="347">
        <v>-905192</v>
      </c>
      <c r="E143" s="348">
        <v>-124.62000000000262</v>
      </c>
      <c r="F143" s="829">
        <f>+SUMIF(Composición!C:C,'BG 2023'!B143,Composición!G:G)</f>
        <v>0</v>
      </c>
      <c r="G143" s="830">
        <f>+F143-D143</f>
        <v>905192</v>
      </c>
      <c r="H143" s="828">
        <f>+VLOOKUP(B143,Composición!$C:$C,1,0)</f>
        <v>1140312301</v>
      </c>
      <c r="I143" s="829"/>
      <c r="J143" s="829"/>
    </row>
    <row r="144" spans="1:10" s="14" customFormat="1" ht="16.5" customHeight="1">
      <c r="A144" s="798" t="str">
        <f t="shared" si="14"/>
        <v>NI</v>
      </c>
      <c r="B144" s="809">
        <v>115</v>
      </c>
      <c r="C144" s="809" t="s">
        <v>126</v>
      </c>
      <c r="D144" s="804">
        <v>25339886537</v>
      </c>
      <c r="E144" s="805">
        <v>3488617.41</v>
      </c>
      <c r="F144" s="831"/>
      <c r="G144" s="831"/>
      <c r="H144" s="832">
        <f>+VLOOKUP(B144,Composición!$C:$C,1,0)</f>
        <v>115</v>
      </c>
      <c r="I144" s="829"/>
      <c r="J144" s="829"/>
    </row>
    <row r="145" spans="1:10" s="14" customFormat="1" ht="16.5" customHeight="1">
      <c r="A145" s="798" t="str">
        <f t="shared" si="14"/>
        <v>NI</v>
      </c>
      <c r="B145" s="809">
        <v>11502</v>
      </c>
      <c r="C145" s="809" t="s">
        <v>127</v>
      </c>
      <c r="D145" s="804">
        <v>25339886537</v>
      </c>
      <c r="E145" s="805">
        <v>3488617.41</v>
      </c>
      <c r="F145" s="831"/>
      <c r="G145" s="831"/>
      <c r="H145" s="832">
        <f>+VLOOKUP(B145,Composición!$C:$C,1,0)</f>
        <v>11502</v>
      </c>
      <c r="I145" s="829"/>
      <c r="J145" s="829"/>
    </row>
    <row r="146" spans="1:10" s="14" customFormat="1" ht="16.5" customHeight="1">
      <c r="A146" s="798" t="str">
        <f t="shared" si="14"/>
        <v>NI</v>
      </c>
      <c r="B146" s="809">
        <v>115021</v>
      </c>
      <c r="C146" s="809" t="s">
        <v>128</v>
      </c>
      <c r="D146" s="804">
        <v>25339886537</v>
      </c>
      <c r="E146" s="805">
        <v>3488617.41</v>
      </c>
      <c r="F146" s="831"/>
      <c r="G146" s="831"/>
      <c r="H146" s="832">
        <f>+VLOOKUP(B146,Composición!$C:$C,1,0)</f>
        <v>115021</v>
      </c>
      <c r="I146" s="829"/>
      <c r="J146" s="829"/>
    </row>
    <row r="147" spans="1:10" s="14" customFormat="1" ht="16.5" customHeight="1">
      <c r="A147" s="798" t="str">
        <f t="shared" si="14"/>
        <v>NI</v>
      </c>
      <c r="B147" s="809">
        <v>1150211</v>
      </c>
      <c r="C147" s="809" t="s">
        <v>129</v>
      </c>
      <c r="D147" s="804">
        <v>10850000000</v>
      </c>
      <c r="E147" s="805">
        <v>1493751.71</v>
      </c>
      <c r="F147" s="831"/>
      <c r="G147" s="831"/>
      <c r="H147" s="832">
        <f>+VLOOKUP(B147,Composición!$C:$C,1,0)</f>
        <v>1150211</v>
      </c>
      <c r="I147" s="829"/>
      <c r="J147" s="829"/>
    </row>
    <row r="148" spans="1:10" s="14" customFormat="1" ht="16.5" customHeight="1">
      <c r="A148" s="798" t="str">
        <f t="shared" si="14"/>
        <v>NI</v>
      </c>
      <c r="B148" s="809">
        <v>11502111</v>
      </c>
      <c r="C148" s="809" t="s">
        <v>130</v>
      </c>
      <c r="D148" s="804">
        <v>1350000000</v>
      </c>
      <c r="E148" s="805">
        <v>185858.51</v>
      </c>
      <c r="F148" s="831"/>
      <c r="G148" s="831"/>
      <c r="H148" s="832">
        <f>+VLOOKUP(B148,Composición!$C:$C,1,0)</f>
        <v>11502111</v>
      </c>
      <c r="I148" s="829"/>
      <c r="J148" s="829"/>
    </row>
    <row r="149" spans="1:10" s="14" customFormat="1" ht="16.5" customHeight="1">
      <c r="A149" s="802" t="str">
        <f t="shared" si="14"/>
        <v>I</v>
      </c>
      <c r="B149" s="808">
        <v>1150211101</v>
      </c>
      <c r="C149" s="808" t="s">
        <v>131</v>
      </c>
      <c r="D149" s="800">
        <v>1350000000</v>
      </c>
      <c r="E149" s="801">
        <v>185858.51</v>
      </c>
      <c r="F149" s="831">
        <f>+SUMIF(Composición!C:C,'BG 2023'!B149,Composición!G:G)</f>
        <v>2501000000</v>
      </c>
      <c r="G149" s="833">
        <f>+F149-D149</f>
        <v>1151000000</v>
      </c>
      <c r="H149" s="832">
        <f>+VLOOKUP(B149,Composición!$C:$C,1,0)</f>
        <v>1150211101</v>
      </c>
      <c r="I149" s="829"/>
      <c r="J149" s="829"/>
    </row>
    <row r="150" spans="1:10" s="14" customFormat="1" ht="16.5" customHeight="1">
      <c r="A150" s="798" t="str">
        <f t="shared" si="14"/>
        <v>NI</v>
      </c>
      <c r="B150" s="809">
        <v>11502112</v>
      </c>
      <c r="C150" s="809" t="s">
        <v>132</v>
      </c>
      <c r="D150" s="804">
        <v>9500000000</v>
      </c>
      <c r="E150" s="805">
        <v>1307893.2000000002</v>
      </c>
      <c r="F150" s="831"/>
      <c r="G150" s="831"/>
      <c r="H150" s="832">
        <f>+VLOOKUP(B150,Composición!$C:$C,1,0)</f>
        <v>11502112</v>
      </c>
      <c r="I150" s="829"/>
      <c r="J150" s="829"/>
    </row>
    <row r="151" spans="1:10" s="14" customFormat="1" ht="16.5" customHeight="1">
      <c r="A151" s="802" t="str">
        <f t="shared" si="14"/>
        <v>I</v>
      </c>
      <c r="B151" s="808">
        <v>1150211201</v>
      </c>
      <c r="C151" s="808" t="s">
        <v>132</v>
      </c>
      <c r="D151" s="800">
        <v>9500000000</v>
      </c>
      <c r="E151" s="801">
        <v>1307893.2000000002</v>
      </c>
      <c r="F151" s="831">
        <f>+SUMIF(Composición!C:C,'BG 2023'!B151,Composición!G:G)</f>
        <v>800000000</v>
      </c>
      <c r="G151" s="833">
        <f>+F151-D151</f>
        <v>-8700000000</v>
      </c>
      <c r="H151" s="832">
        <f>+VLOOKUP(B151,Composición!$C:$C,1,0)</f>
        <v>1150211201</v>
      </c>
      <c r="I151" s="829"/>
      <c r="J151" s="829"/>
    </row>
    <row r="152" spans="1:10" s="14" customFormat="1" ht="16.5" customHeight="1">
      <c r="A152" s="798" t="str">
        <f t="shared" si="14"/>
        <v>NI</v>
      </c>
      <c r="B152" s="809">
        <v>1150212</v>
      </c>
      <c r="C152" s="809" t="s">
        <v>133</v>
      </c>
      <c r="D152" s="804">
        <v>11277000000</v>
      </c>
      <c r="E152" s="805">
        <v>1552538.0699999996</v>
      </c>
      <c r="F152" s="831"/>
      <c r="G152" s="831"/>
      <c r="H152" s="832">
        <f>+VLOOKUP(B152,Composición!$C:$C,1,0)</f>
        <v>1150212</v>
      </c>
      <c r="I152" s="829"/>
      <c r="J152" s="829"/>
    </row>
    <row r="153" spans="1:10" s="14" customFormat="1" ht="16.5" customHeight="1">
      <c r="A153" s="798" t="str">
        <f t="shared" si="14"/>
        <v>NI</v>
      </c>
      <c r="B153" s="809">
        <v>11502123</v>
      </c>
      <c r="C153" s="809" t="s">
        <v>134</v>
      </c>
      <c r="D153" s="804">
        <v>11277000000</v>
      </c>
      <c r="E153" s="805">
        <v>1552538.0699999996</v>
      </c>
      <c r="F153" s="831">
        <f>+SUMIF(Composición!C:C,'BG 2023'!B153,Composición!G:G)</f>
        <v>0</v>
      </c>
      <c r="G153" s="833">
        <f t="shared" ref="G153:G155" si="15">+F153-D153</f>
        <v>-11277000000</v>
      </c>
      <c r="H153" s="832">
        <f>+VLOOKUP(B153,Composición!$C:$C,1,0)</f>
        <v>11502123</v>
      </c>
      <c r="I153" s="829"/>
      <c r="J153" s="829"/>
    </row>
    <row r="154" spans="1:10" s="14" customFormat="1" ht="16.5" customHeight="1">
      <c r="A154" s="802" t="str">
        <f t="shared" si="14"/>
        <v>I</v>
      </c>
      <c r="B154" s="808">
        <v>1150212301</v>
      </c>
      <c r="C154" s="808" t="s">
        <v>135</v>
      </c>
      <c r="D154" s="800">
        <v>11277000000</v>
      </c>
      <c r="E154" s="801">
        <v>1552538.0699999996</v>
      </c>
      <c r="F154" s="831">
        <f>+SUMIF(Composición!C:C,'BG 2023'!B154,Composición!G:G)</f>
        <v>30310000000</v>
      </c>
      <c r="G154" s="833">
        <f t="shared" si="15"/>
        <v>19033000000</v>
      </c>
      <c r="H154" s="832">
        <f>+VLOOKUP(B154,Composición!$C:$C,1,0)</f>
        <v>1150212301</v>
      </c>
      <c r="I154" s="829"/>
      <c r="J154" s="829"/>
    </row>
    <row r="155" spans="1:10" s="14" customFormat="1" ht="16.5" customHeight="1">
      <c r="A155" s="798" t="str">
        <f t="shared" si="14"/>
        <v>NI</v>
      </c>
      <c r="B155" s="809">
        <v>1150213</v>
      </c>
      <c r="C155" s="809" t="s">
        <v>136</v>
      </c>
      <c r="D155" s="804">
        <v>50000000</v>
      </c>
      <c r="E155" s="805">
        <v>6883.65</v>
      </c>
      <c r="F155" s="831">
        <f>+SUMIF(Composición!C:C,'BG 2023'!B155,Composición!G:G)</f>
        <v>0</v>
      </c>
      <c r="G155" s="833">
        <f t="shared" si="15"/>
        <v>-50000000</v>
      </c>
      <c r="H155" s="832">
        <f>+VLOOKUP(B155,Composición!$C:$C,1,0)</f>
        <v>1150213</v>
      </c>
      <c r="I155" s="829"/>
      <c r="J155" s="829"/>
    </row>
    <row r="156" spans="1:10" s="14" customFormat="1" ht="16.5" customHeight="1">
      <c r="A156" s="798" t="str">
        <f t="shared" si="14"/>
        <v>NI</v>
      </c>
      <c r="B156" s="809">
        <v>11502131</v>
      </c>
      <c r="C156" s="809" t="s">
        <v>137</v>
      </c>
      <c r="D156" s="804">
        <v>50000000</v>
      </c>
      <c r="E156" s="805">
        <v>6883.65</v>
      </c>
      <c r="F156" s="831"/>
      <c r="G156" s="831"/>
      <c r="H156" s="832">
        <f>+VLOOKUP(B156,Composición!$C:$C,1,0)</f>
        <v>11502131</v>
      </c>
      <c r="I156" s="829"/>
      <c r="J156" s="829"/>
    </row>
    <row r="157" spans="1:10" s="14" customFormat="1" ht="16.5" customHeight="1">
      <c r="A157" s="802" t="str">
        <f t="shared" si="14"/>
        <v>I</v>
      </c>
      <c r="B157" s="808">
        <v>1150213101</v>
      </c>
      <c r="C157" s="808" t="s">
        <v>138</v>
      </c>
      <c r="D157" s="800">
        <v>50000000</v>
      </c>
      <c r="E157" s="801">
        <v>6883.65</v>
      </c>
      <c r="F157" s="831"/>
      <c r="G157" s="831"/>
      <c r="H157" s="832">
        <f>+VLOOKUP(B157,Composición!$C:$C,1,0)</f>
        <v>1150213101</v>
      </c>
      <c r="I157" s="829"/>
      <c r="J157" s="829"/>
    </row>
    <row r="158" spans="1:10" s="14" customFormat="1" ht="16.5" customHeight="1">
      <c r="A158" s="798" t="str">
        <f t="shared" si="14"/>
        <v>NI</v>
      </c>
      <c r="B158" s="809">
        <v>1150214</v>
      </c>
      <c r="C158" s="809" t="s">
        <v>139</v>
      </c>
      <c r="D158" s="804">
        <v>3500000000</v>
      </c>
      <c r="E158" s="805">
        <v>481855.39</v>
      </c>
      <c r="F158" s="831"/>
      <c r="G158" s="831"/>
      <c r="H158" s="832">
        <f>+VLOOKUP(B158,Composición!$C:$C,1,0)</f>
        <v>1150214</v>
      </c>
      <c r="I158" s="829"/>
      <c r="J158" s="829"/>
    </row>
    <row r="159" spans="1:10" s="14" customFormat="1" ht="16.5" customHeight="1">
      <c r="A159" s="798" t="str">
        <f t="shared" si="14"/>
        <v>NI</v>
      </c>
      <c r="B159" s="811">
        <v>11502141</v>
      </c>
      <c r="C159" s="803" t="s">
        <v>140</v>
      </c>
      <c r="D159" s="804">
        <v>3500000000</v>
      </c>
      <c r="E159" s="805">
        <v>481855.39</v>
      </c>
      <c r="F159" s="831"/>
      <c r="G159" s="831"/>
      <c r="H159" s="832">
        <f>+VLOOKUP(B159,Composición!$C:$C,1,0)</f>
        <v>11502141</v>
      </c>
      <c r="I159" s="829"/>
      <c r="J159" s="829"/>
    </row>
    <row r="160" spans="1:10" s="14" customFormat="1" ht="16.5" customHeight="1">
      <c r="A160" s="802" t="str">
        <f t="shared" si="14"/>
        <v>I</v>
      </c>
      <c r="B160" s="810">
        <v>1150214101</v>
      </c>
      <c r="C160" s="799" t="s">
        <v>141</v>
      </c>
      <c r="D160" s="800">
        <v>3500000000</v>
      </c>
      <c r="E160" s="801">
        <v>481855.39</v>
      </c>
      <c r="F160" s="831"/>
      <c r="G160" s="831"/>
      <c r="H160" s="832">
        <f>+VLOOKUP(B160,Composición!$C:$C,1,0)</f>
        <v>1150214101</v>
      </c>
      <c r="I160" s="829"/>
      <c r="J160" s="829"/>
    </row>
    <row r="161" spans="1:10" s="14" customFormat="1" ht="16.5" customHeight="1">
      <c r="A161" s="798" t="str">
        <f t="shared" si="14"/>
        <v>NI</v>
      </c>
      <c r="B161" s="811">
        <v>1150219</v>
      </c>
      <c r="C161" s="803" t="s">
        <v>71</v>
      </c>
      <c r="D161" s="804">
        <v>-517837490</v>
      </c>
      <c r="E161" s="805">
        <v>-71292.22</v>
      </c>
      <c r="F161" s="831"/>
      <c r="G161" s="831"/>
      <c r="H161" s="832">
        <f>+VLOOKUP(B161,Composición!$C:$C,1,0)</f>
        <v>1150219</v>
      </c>
      <c r="I161" s="829"/>
      <c r="J161" s="829"/>
    </row>
    <row r="162" spans="1:10" s="14" customFormat="1" ht="16.5" customHeight="1">
      <c r="A162" s="798" t="str">
        <f t="shared" ref="A162:A182" si="16">IF(LEN(B162)&gt;8,"I","NI")</f>
        <v>NI</v>
      </c>
      <c r="B162" s="811">
        <v>11502191</v>
      </c>
      <c r="C162" s="803" t="s">
        <v>142</v>
      </c>
      <c r="D162" s="804">
        <v>-575596057</v>
      </c>
      <c r="E162" s="805">
        <v>-79244.02</v>
      </c>
      <c r="F162" s="831">
        <f>+SUMIF(Composición!C:C,'BG 2023'!B162,Composición!G:G)</f>
        <v>0</v>
      </c>
      <c r="G162" s="833">
        <f t="shared" ref="G162:G164" si="17">+F162-D162</f>
        <v>575596057</v>
      </c>
      <c r="H162" s="832">
        <f>+VLOOKUP(B162,Composición!$C:$C,1,0)</f>
        <v>11502191</v>
      </c>
      <c r="I162" s="829"/>
      <c r="J162" s="829"/>
    </row>
    <row r="163" spans="1:10" s="14" customFormat="1" ht="16.5" customHeight="1">
      <c r="A163" s="802" t="str">
        <f t="shared" si="16"/>
        <v>I</v>
      </c>
      <c r="B163" s="810">
        <v>1150219105</v>
      </c>
      <c r="C163" s="799" t="s">
        <v>143</v>
      </c>
      <c r="D163" s="800">
        <v>-33711796</v>
      </c>
      <c r="E163" s="801">
        <v>-4641.2</v>
      </c>
      <c r="F163" s="831">
        <f>+SUMIF(Composición!C:C,'BG 2023'!B163,Composición!G:G)</f>
        <v>0</v>
      </c>
      <c r="G163" s="833">
        <f t="shared" si="17"/>
        <v>33711796</v>
      </c>
      <c r="H163" s="832">
        <f>+VLOOKUP(B163,Composición!$C:$C,1,0)</f>
        <v>1150219105</v>
      </c>
      <c r="I163" s="829"/>
      <c r="J163" s="829"/>
    </row>
    <row r="164" spans="1:10" s="14" customFormat="1" ht="16.5" customHeight="1">
      <c r="A164" s="802" t="str">
        <f t="shared" si="16"/>
        <v>I</v>
      </c>
      <c r="B164" s="810">
        <v>1150219107</v>
      </c>
      <c r="C164" s="799" t="s">
        <v>144</v>
      </c>
      <c r="D164" s="800">
        <v>-5538932</v>
      </c>
      <c r="E164" s="801">
        <v>-762.56</v>
      </c>
      <c r="F164" s="831">
        <f>+SUMIF(Composición!C:C,'BG 2023'!B164,Composición!G:G)</f>
        <v>0</v>
      </c>
      <c r="G164" s="833">
        <f t="shared" si="17"/>
        <v>5538932</v>
      </c>
      <c r="H164" s="832">
        <f>+VLOOKUP(B164,Composición!$C:$C,1,0)</f>
        <v>1150219107</v>
      </c>
      <c r="I164" s="829"/>
      <c r="J164" s="829"/>
    </row>
    <row r="165" spans="1:10" s="14" customFormat="1" ht="16.5" customHeight="1">
      <c r="A165" s="802" t="str">
        <f t="shared" si="16"/>
        <v>I</v>
      </c>
      <c r="B165" s="810">
        <v>1150219113</v>
      </c>
      <c r="C165" s="799" t="s">
        <v>145</v>
      </c>
      <c r="D165" s="800">
        <v>-74950851</v>
      </c>
      <c r="E165" s="801">
        <v>-10318.710000000001</v>
      </c>
      <c r="F165" s="831"/>
      <c r="G165" s="831"/>
      <c r="H165" s="832">
        <f>+VLOOKUP(B165,Composición!$C:$C,1,0)</f>
        <v>1150219113</v>
      </c>
      <c r="I165" s="829"/>
      <c r="J165" s="829"/>
    </row>
    <row r="166" spans="1:10" s="14" customFormat="1" ht="16.5" customHeight="1">
      <c r="A166" s="802" t="str">
        <f t="shared" si="16"/>
        <v>I</v>
      </c>
      <c r="B166" s="810">
        <v>1150219131</v>
      </c>
      <c r="C166" s="799" t="s">
        <v>146</v>
      </c>
      <c r="D166" s="800">
        <v>-461394478</v>
      </c>
      <c r="E166" s="801">
        <v>-63521.55</v>
      </c>
      <c r="F166" s="831"/>
      <c r="G166" s="831"/>
      <c r="H166" s="832">
        <f>+VLOOKUP(B166,Composición!$C:$C,1,0)</f>
        <v>1150219131</v>
      </c>
      <c r="I166" s="829"/>
      <c r="J166" s="829"/>
    </row>
    <row r="167" spans="1:10" s="14" customFormat="1" ht="16.5" customHeight="1">
      <c r="A167" s="798" t="str">
        <f t="shared" si="16"/>
        <v>NI</v>
      </c>
      <c r="B167" s="811">
        <v>11502192</v>
      </c>
      <c r="C167" s="803" t="s">
        <v>147</v>
      </c>
      <c r="D167" s="804">
        <v>57758567</v>
      </c>
      <c r="E167" s="805">
        <v>7951.7999999999984</v>
      </c>
      <c r="F167" s="831"/>
      <c r="G167" s="831"/>
      <c r="H167" s="832">
        <f>+VLOOKUP(B167,Composición!$C:$C,1,0)</f>
        <v>11502192</v>
      </c>
      <c r="I167" s="829"/>
      <c r="J167" s="829"/>
    </row>
    <row r="168" spans="1:10" s="14" customFormat="1" ht="16.5" customHeight="1">
      <c r="A168" s="802" t="str">
        <f t="shared" si="16"/>
        <v>I</v>
      </c>
      <c r="B168" s="810">
        <v>1150219205</v>
      </c>
      <c r="C168" s="799" t="s">
        <v>148</v>
      </c>
      <c r="D168" s="800">
        <v>45776005</v>
      </c>
      <c r="E168" s="801">
        <v>6302.12</v>
      </c>
      <c r="F168" s="831"/>
      <c r="G168" s="831"/>
      <c r="H168" s="832">
        <f>+VLOOKUP(B168,Composición!$C:$C,1,0)</f>
        <v>1150219205</v>
      </c>
      <c r="I168" s="829"/>
      <c r="J168" s="829"/>
    </row>
    <row r="169" spans="1:10" s="14" customFormat="1" ht="16.5" customHeight="1">
      <c r="A169" s="802" t="str">
        <f t="shared" si="16"/>
        <v>I</v>
      </c>
      <c r="B169" s="810">
        <v>1150219213</v>
      </c>
      <c r="C169" s="799" t="s">
        <v>149</v>
      </c>
      <c r="D169" s="800">
        <v>7396789</v>
      </c>
      <c r="E169" s="801">
        <v>1018.3399999999998</v>
      </c>
      <c r="F169" s="831">
        <f>+SUMIF(Composición!C:C,'BG 2023'!B169,Composición!G:G)</f>
        <v>0</v>
      </c>
      <c r="G169" s="833">
        <f t="shared" ref="G169:G170" si="18">+F169-D169</f>
        <v>-7396789</v>
      </c>
      <c r="H169" s="832">
        <f>+VLOOKUP(B169,Composición!$C:$C,1,0)</f>
        <v>1150219213</v>
      </c>
      <c r="I169" s="829"/>
      <c r="J169" s="829"/>
    </row>
    <row r="170" spans="1:10" s="14" customFormat="1" ht="16.5" customHeight="1">
      <c r="A170" s="802" t="str">
        <f t="shared" si="16"/>
        <v>I</v>
      </c>
      <c r="B170" s="810">
        <v>1150219229</v>
      </c>
      <c r="C170" s="799" t="s">
        <v>150</v>
      </c>
      <c r="D170" s="800">
        <v>4585773</v>
      </c>
      <c r="E170" s="801">
        <v>631.34</v>
      </c>
      <c r="F170" s="831">
        <f>+SUMIF(Composición!C:C,'BG 2023'!B170,Composición!G:G)</f>
        <v>163964599</v>
      </c>
      <c r="G170" s="833">
        <f t="shared" si="18"/>
        <v>159378826</v>
      </c>
      <c r="H170" s="832">
        <f>+VLOOKUP(B170,Composición!$C:$C,1,0)</f>
        <v>1150219229</v>
      </c>
      <c r="I170" s="829"/>
      <c r="J170" s="829"/>
    </row>
    <row r="171" spans="1:10" s="14" customFormat="1" ht="16.5" customHeight="1">
      <c r="A171" s="798" t="str">
        <f t="shared" si="16"/>
        <v>NI</v>
      </c>
      <c r="B171" s="811">
        <v>1150224</v>
      </c>
      <c r="C171" s="803" t="s">
        <v>151</v>
      </c>
      <c r="D171" s="804">
        <v>180724027</v>
      </c>
      <c r="E171" s="805">
        <v>24880.809999999998</v>
      </c>
      <c r="F171" s="831"/>
      <c r="G171" s="831"/>
      <c r="H171" s="832">
        <f>+VLOOKUP(B171,Composición!$C:$C,1,0)</f>
        <v>1150224</v>
      </c>
      <c r="I171" s="829"/>
      <c r="J171" s="829"/>
    </row>
    <row r="172" spans="1:10" s="14" customFormat="1" ht="16.5" customHeight="1">
      <c r="A172" s="798" t="str">
        <f t="shared" si="16"/>
        <v>NI</v>
      </c>
      <c r="B172" s="811">
        <v>11502241</v>
      </c>
      <c r="C172" s="803" t="s">
        <v>152</v>
      </c>
      <c r="D172" s="804">
        <v>2077759533</v>
      </c>
      <c r="E172" s="805">
        <v>286051.32</v>
      </c>
      <c r="F172" s="831"/>
      <c r="G172" s="831"/>
      <c r="H172" s="832">
        <f>+VLOOKUP(B172,Composición!$C:$C,1,0)</f>
        <v>11502241</v>
      </c>
      <c r="I172" s="829"/>
      <c r="J172" s="829"/>
    </row>
    <row r="173" spans="1:10" s="14" customFormat="1" ht="16.5" customHeight="1">
      <c r="A173" s="802" t="str">
        <f t="shared" si="16"/>
        <v>I</v>
      </c>
      <c r="B173" s="810">
        <v>1150224105</v>
      </c>
      <c r="C173" s="799" t="s">
        <v>153</v>
      </c>
      <c r="D173" s="800">
        <v>1395814328</v>
      </c>
      <c r="E173" s="801">
        <v>192165.9</v>
      </c>
      <c r="F173" s="831"/>
      <c r="G173" s="831"/>
      <c r="H173" s="832">
        <f>+VLOOKUP(B173,Composición!$C:$C,1,0)</f>
        <v>1150224105</v>
      </c>
      <c r="I173" s="829"/>
      <c r="J173" s="829"/>
    </row>
    <row r="174" spans="1:10" s="14" customFormat="1" ht="16.5" customHeight="1">
      <c r="A174" s="802" t="str">
        <f t="shared" si="16"/>
        <v>I</v>
      </c>
      <c r="B174" s="810">
        <v>1150224107</v>
      </c>
      <c r="C174" s="799" t="s">
        <v>154</v>
      </c>
      <c r="D174" s="800">
        <v>29578082</v>
      </c>
      <c r="E174" s="801">
        <v>4072.1000000000008</v>
      </c>
      <c r="F174" s="831"/>
      <c r="G174" s="831"/>
      <c r="H174" s="832">
        <f>+VLOOKUP(B174,Composición!$C:$C,1,0)</f>
        <v>1150224107</v>
      </c>
      <c r="I174" s="829"/>
      <c r="J174" s="829"/>
    </row>
    <row r="175" spans="1:10" s="14" customFormat="1" ht="16.5" customHeight="1">
      <c r="A175" s="802" t="str">
        <f t="shared" si="16"/>
        <v>I</v>
      </c>
      <c r="B175" s="810">
        <v>1150224113</v>
      </c>
      <c r="C175" s="799" t="s">
        <v>155</v>
      </c>
      <c r="D175" s="800">
        <v>493469863</v>
      </c>
      <c r="E175" s="801">
        <v>67937.460000000006</v>
      </c>
      <c r="F175" s="831"/>
      <c r="G175" s="831"/>
      <c r="H175" s="832">
        <f>+VLOOKUP(B175,Composición!$C:$C,1,0)</f>
        <v>1150224113</v>
      </c>
      <c r="I175" s="829"/>
      <c r="J175" s="829"/>
    </row>
    <row r="176" spans="1:10" s="14" customFormat="1" ht="12" customHeight="1">
      <c r="A176" s="802" t="str">
        <f t="shared" si="16"/>
        <v>I</v>
      </c>
      <c r="B176" s="810">
        <v>1150224129</v>
      </c>
      <c r="C176" s="799" t="s">
        <v>156</v>
      </c>
      <c r="D176" s="800">
        <v>158897260</v>
      </c>
      <c r="E176" s="801">
        <v>21875.86</v>
      </c>
      <c r="F176" s="831">
        <f>+SUMIF(Composición!C:C,'BG 2023'!B176,Composición!G:G)</f>
        <v>1227984450</v>
      </c>
      <c r="G176" s="833">
        <f t="shared" ref="G176:G177" si="19">+F176-D176</f>
        <v>1069087190</v>
      </c>
      <c r="H176" s="832">
        <f>+VLOOKUP(B176,Composición!$C:$C,1,0)</f>
        <v>1150224129</v>
      </c>
      <c r="I176" s="829"/>
      <c r="J176" s="829"/>
    </row>
    <row r="177" spans="1:10" s="14" customFormat="1" ht="16.5" customHeight="1">
      <c r="A177" s="798" t="str">
        <f t="shared" si="16"/>
        <v>NI</v>
      </c>
      <c r="B177" s="811">
        <v>11502242</v>
      </c>
      <c r="C177" s="803" t="s">
        <v>157</v>
      </c>
      <c r="D177" s="804">
        <v>-1897035506</v>
      </c>
      <c r="E177" s="805">
        <v>-261170.51</v>
      </c>
      <c r="F177" s="831">
        <f>+SUMIF(Composición!C:C,'BG 2023'!B177,Composición!G:G)</f>
        <v>0</v>
      </c>
      <c r="G177" s="833">
        <f t="shared" si="19"/>
        <v>1897035506</v>
      </c>
      <c r="H177" s="832">
        <f>+VLOOKUP(B177,Composición!$C:$C,1,0)</f>
        <v>11502242</v>
      </c>
      <c r="I177" s="829"/>
      <c r="J177" s="829"/>
    </row>
    <row r="178" spans="1:10" s="14" customFormat="1" ht="16.5" customHeight="1">
      <c r="A178" s="802" t="str">
        <f t="shared" si="16"/>
        <v>I</v>
      </c>
      <c r="B178" s="810">
        <v>1150224205</v>
      </c>
      <c r="C178" s="799" t="s">
        <v>158</v>
      </c>
      <c r="D178" s="800">
        <v>-1277230400</v>
      </c>
      <c r="E178" s="801">
        <v>-175840.09999999998</v>
      </c>
      <c r="F178" s="831"/>
      <c r="G178" s="831"/>
      <c r="H178" s="832">
        <f>+VLOOKUP(B178,Composición!$C:$C,1,0)</f>
        <v>1150224205</v>
      </c>
      <c r="I178" s="829"/>
      <c r="J178" s="829"/>
    </row>
    <row r="179" spans="1:10" s="14" customFormat="1" ht="16.5" customHeight="1">
      <c r="A179" s="802" t="str">
        <f t="shared" si="16"/>
        <v>I</v>
      </c>
      <c r="B179" s="810">
        <v>1150224207</v>
      </c>
      <c r="C179" s="799" t="s">
        <v>159</v>
      </c>
      <c r="D179" s="800">
        <v>-28208219</v>
      </c>
      <c r="E179" s="801">
        <v>-3883.51</v>
      </c>
      <c r="F179" s="831">
        <f>+SUMIF(Composición!C:C,'BG 2023'!B179,Composición!G:G)</f>
        <v>-350679452</v>
      </c>
      <c r="G179" s="833">
        <f>+F179-D179</f>
        <v>-322471233</v>
      </c>
      <c r="H179" s="832">
        <f>+VLOOKUP(B179,Composición!$C:$C,1,0)</f>
        <v>1150224207</v>
      </c>
      <c r="I179" s="829"/>
      <c r="J179" s="829"/>
    </row>
    <row r="180" spans="1:10" s="14" customFormat="1" ht="16.5" customHeight="1">
      <c r="A180" s="802" t="str">
        <f t="shared" si="16"/>
        <v>I</v>
      </c>
      <c r="B180" s="810">
        <v>1150224213</v>
      </c>
      <c r="C180" s="799" t="s">
        <v>160</v>
      </c>
      <c r="D180" s="800">
        <v>-442682192</v>
      </c>
      <c r="E180" s="801">
        <v>-60945.37</v>
      </c>
      <c r="F180" s="831"/>
      <c r="G180" s="831"/>
      <c r="H180" s="832">
        <f>+VLOOKUP(B180,Composición!$C:$C,1,0)</f>
        <v>1150224213</v>
      </c>
      <c r="I180" s="829"/>
      <c r="J180" s="829"/>
    </row>
    <row r="181" spans="1:10" s="14" customFormat="1" ht="16.5" customHeight="1">
      <c r="A181" s="802" t="str">
        <f t="shared" si="16"/>
        <v>I</v>
      </c>
      <c r="B181" s="810">
        <v>1150224229</v>
      </c>
      <c r="C181" s="799" t="s">
        <v>161</v>
      </c>
      <c r="D181" s="800">
        <v>-148914695</v>
      </c>
      <c r="E181" s="801">
        <v>-20501.53</v>
      </c>
      <c r="F181" s="831">
        <f>+SUMIF(Composición!C:C,'BG 2023'!B181,Composición!G:G)</f>
        <v>-1143351717</v>
      </c>
      <c r="G181" s="833">
        <f t="shared" ref="G181:G182" si="20">+F181-D181</f>
        <v>-994437022</v>
      </c>
      <c r="H181" s="832">
        <f>+VLOOKUP(B181,Composición!$C:$C,1,0)</f>
        <v>1150224229</v>
      </c>
      <c r="I181" s="829"/>
      <c r="J181" s="829"/>
    </row>
    <row r="182" spans="1:10" s="14" customFormat="1" ht="16.5" customHeight="1">
      <c r="A182" s="31" t="str">
        <f t="shared" si="16"/>
        <v>NI</v>
      </c>
      <c r="B182" s="349">
        <v>119</v>
      </c>
      <c r="C182" s="350" t="s">
        <v>162</v>
      </c>
      <c r="D182" s="340">
        <v>18618097</v>
      </c>
      <c r="E182" s="341">
        <v>2576.1549999999988</v>
      </c>
      <c r="F182" s="829">
        <f>+SUMIF(Composición!C:C,'BG 2023'!B182,Composición!G:G)</f>
        <v>0</v>
      </c>
      <c r="G182" s="830">
        <f t="shared" si="20"/>
        <v>-18618097</v>
      </c>
      <c r="H182" s="828">
        <f>+VLOOKUP(B182,Composición!$C:$C,1,0)</f>
        <v>119</v>
      </c>
      <c r="I182" s="829"/>
      <c r="J182" s="829"/>
    </row>
    <row r="183" spans="1:10" s="14" customFormat="1" ht="16.5" customHeight="1">
      <c r="A183" s="31" t="str">
        <f t="shared" si="14"/>
        <v>NI</v>
      </c>
      <c r="B183" s="349">
        <v>11901</v>
      </c>
      <c r="C183" s="350" t="s">
        <v>163</v>
      </c>
      <c r="D183" s="340">
        <v>18618097</v>
      </c>
      <c r="E183" s="341">
        <v>2576.1549999999988</v>
      </c>
      <c r="F183" s="829"/>
      <c r="G183" s="829"/>
      <c r="H183" s="828">
        <f>+VLOOKUP(B183,Composición!$C:$C,1,0)</f>
        <v>11901</v>
      </c>
      <c r="I183" s="829"/>
      <c r="J183" s="829"/>
    </row>
    <row r="184" spans="1:10" s="14" customFormat="1" ht="16.5" customHeight="1">
      <c r="A184" s="31" t="str">
        <f t="shared" si="14"/>
        <v>NI</v>
      </c>
      <c r="B184" s="349">
        <v>119011</v>
      </c>
      <c r="C184" s="350" t="s">
        <v>163</v>
      </c>
      <c r="D184" s="340">
        <v>18618097</v>
      </c>
      <c r="E184" s="341">
        <v>2576.1549999999988</v>
      </c>
      <c r="F184" s="829"/>
      <c r="G184" s="829"/>
      <c r="H184" s="828">
        <f>+VLOOKUP(B184,Composición!$C:$C,1,0)</f>
        <v>119011</v>
      </c>
      <c r="I184" s="829"/>
      <c r="J184" s="829"/>
    </row>
    <row r="185" spans="1:10" s="14" customFormat="1" ht="16.5" customHeight="1">
      <c r="A185" s="31" t="str">
        <f t="shared" si="14"/>
        <v>NI</v>
      </c>
      <c r="B185" s="349">
        <v>1190111</v>
      </c>
      <c r="C185" s="350" t="s">
        <v>163</v>
      </c>
      <c r="D185" s="340">
        <v>3866217</v>
      </c>
      <c r="E185" s="341">
        <v>576.15499999999884</v>
      </c>
      <c r="F185" s="829">
        <f>+SUMIF(Composición!C:C,'BG 2023'!B185,Composición!G:G)</f>
        <v>0</v>
      </c>
      <c r="G185" s="830">
        <f>+F185-D185</f>
        <v>-3866217</v>
      </c>
      <c r="H185" s="828">
        <f>+VLOOKUP(B185,Composición!$C:$C,1,0)</f>
        <v>1190111</v>
      </c>
      <c r="I185" s="829"/>
      <c r="J185" s="829"/>
    </row>
    <row r="186" spans="1:10" s="14" customFormat="1" ht="16.5" customHeight="1">
      <c r="A186" s="31" t="str">
        <f t="shared" si="14"/>
        <v>NI</v>
      </c>
      <c r="B186" s="349">
        <v>11901112</v>
      </c>
      <c r="C186" s="350" t="s">
        <v>164</v>
      </c>
      <c r="D186" s="340">
        <v>7317917</v>
      </c>
      <c r="E186" s="341">
        <v>1004.0600000000002</v>
      </c>
      <c r="F186" s="829"/>
      <c r="G186" s="829"/>
      <c r="H186" s="828">
        <f>+VLOOKUP(B186,Composición!$C:$C,1,0)</f>
        <v>11901112</v>
      </c>
      <c r="I186" s="829"/>
      <c r="J186" s="829"/>
    </row>
    <row r="187" spans="1:10" s="14" customFormat="1" ht="16.5" customHeight="1">
      <c r="A187" s="14" t="str">
        <f t="shared" si="14"/>
        <v>I</v>
      </c>
      <c r="B187" s="344">
        <v>1190111203</v>
      </c>
      <c r="C187" s="345" t="s">
        <v>165</v>
      </c>
      <c r="D187" s="347">
        <v>4430349</v>
      </c>
      <c r="E187" s="348">
        <v>608.3900000000001</v>
      </c>
      <c r="F187" s="829">
        <f>+SUMIF(Composición!C:C,'BG 2023'!B187,Composición!G:G)</f>
        <v>2629222</v>
      </c>
      <c r="G187" s="830">
        <f>+F187-D187</f>
        <v>-1801127</v>
      </c>
      <c r="H187" s="828">
        <f>+VLOOKUP(B187,Composición!$C:$C,1,0)</f>
        <v>1190111203</v>
      </c>
      <c r="I187" s="829"/>
      <c r="J187" s="829"/>
    </row>
    <row r="188" spans="1:10" s="14" customFormat="1" ht="16.5" customHeight="1">
      <c r="A188" s="14" t="str">
        <f t="shared" si="14"/>
        <v>I</v>
      </c>
      <c r="B188" s="344">
        <v>1190111206</v>
      </c>
      <c r="C188" s="345" t="s">
        <v>166</v>
      </c>
      <c r="D188" s="347">
        <v>490130</v>
      </c>
      <c r="E188" s="348">
        <v>66.970000000000027</v>
      </c>
      <c r="F188" s="829"/>
      <c r="G188" s="829"/>
      <c r="H188" s="828">
        <f>+VLOOKUP(B188,Composición!$C:$C,1,0)</f>
        <v>1190111206</v>
      </c>
      <c r="I188" s="829"/>
      <c r="J188" s="829"/>
    </row>
    <row r="189" spans="1:10" s="14" customFormat="1" ht="16.5" customHeight="1">
      <c r="A189" s="14" t="str">
        <f t="shared" si="14"/>
        <v>I</v>
      </c>
      <c r="B189" s="344">
        <v>1190111207</v>
      </c>
      <c r="C189" s="345" t="s">
        <v>167</v>
      </c>
      <c r="D189" s="347">
        <v>2397438</v>
      </c>
      <c r="E189" s="348">
        <v>328.69999999999993</v>
      </c>
      <c r="F189" s="829"/>
      <c r="G189" s="829"/>
      <c r="H189" s="828">
        <f>+VLOOKUP(B189,Composición!$C:$C,1,0)</f>
        <v>1190111207</v>
      </c>
      <c r="I189" s="829"/>
      <c r="J189" s="829"/>
    </row>
    <row r="190" spans="1:10" s="14" customFormat="1" ht="16.5" customHeight="1">
      <c r="A190" s="31" t="str">
        <f t="shared" si="14"/>
        <v>NI</v>
      </c>
      <c r="B190" s="349">
        <v>11901114</v>
      </c>
      <c r="C190" s="350" t="s">
        <v>168</v>
      </c>
      <c r="D190" s="340">
        <v>11300180</v>
      </c>
      <c r="E190" s="341">
        <v>1572.0949999999975</v>
      </c>
      <c r="F190" s="829"/>
      <c r="G190" s="829"/>
      <c r="H190" s="828">
        <f>+VLOOKUP(B190,Composición!$C:$C,1,0)</f>
        <v>11901114</v>
      </c>
      <c r="I190" s="829"/>
      <c r="J190" s="829"/>
    </row>
    <row r="191" spans="1:10" s="14" customFormat="1" ht="16.5" customHeight="1">
      <c r="A191" s="14" t="str">
        <f t="shared" si="14"/>
        <v>I</v>
      </c>
      <c r="B191" s="344">
        <v>1190111406</v>
      </c>
      <c r="C191" s="345" t="s">
        <v>169</v>
      </c>
      <c r="D191" s="347">
        <v>10883676</v>
      </c>
      <c r="E191" s="348">
        <v>1513.9349999999993</v>
      </c>
      <c r="F191" s="829"/>
      <c r="G191" s="829"/>
      <c r="H191" s="828">
        <f>+VLOOKUP(B191,Composición!$C:$C,1,0)</f>
        <v>1190111406</v>
      </c>
      <c r="I191" s="829"/>
      <c r="J191" s="829"/>
    </row>
    <row r="192" spans="1:10" s="14" customFormat="1" ht="16.5" customHeight="1">
      <c r="A192" s="14" t="str">
        <f t="shared" si="14"/>
        <v>I</v>
      </c>
      <c r="B192" s="344">
        <v>1190111407</v>
      </c>
      <c r="C192" s="345" t="s">
        <v>170</v>
      </c>
      <c r="D192" s="347">
        <v>416504</v>
      </c>
      <c r="E192" s="348">
        <v>58.160000000000075</v>
      </c>
      <c r="F192" s="829"/>
      <c r="G192" s="829"/>
      <c r="H192" s="828">
        <f>+VLOOKUP(B192,Composición!$C:$C,1,0)</f>
        <v>1190111407</v>
      </c>
      <c r="I192" s="829"/>
      <c r="J192" s="829"/>
    </row>
    <row r="193" spans="1:10" s="14" customFormat="1" ht="16.5" customHeight="1">
      <c r="A193" s="31" t="str">
        <f t="shared" si="14"/>
        <v>NI</v>
      </c>
      <c r="B193" s="349">
        <v>12</v>
      </c>
      <c r="C193" s="350" t="s">
        <v>171</v>
      </c>
      <c r="D193" s="340">
        <v>3747773228</v>
      </c>
      <c r="E193" s="341">
        <v>520768.89</v>
      </c>
      <c r="F193" s="829">
        <f>+SUMIF(Composición!C:C,'BG 2023'!B193,Composición!G:G)</f>
        <v>0</v>
      </c>
      <c r="G193" s="830">
        <f>+F193-D193</f>
        <v>-3747773228</v>
      </c>
      <c r="H193" s="828">
        <f>+VLOOKUP(B193,Composición!$C:$C,1,0)</f>
        <v>12</v>
      </c>
      <c r="I193" s="829"/>
      <c r="J193" s="829"/>
    </row>
    <row r="194" spans="1:10" s="14" customFormat="1" ht="16.5" customHeight="1">
      <c r="B194" s="344">
        <v>121</v>
      </c>
      <c r="C194" s="345" t="s">
        <v>172</v>
      </c>
      <c r="D194" s="347">
        <v>1668742466</v>
      </c>
      <c r="E194" s="348">
        <v>229740.72999999998</v>
      </c>
      <c r="F194" s="829"/>
      <c r="G194" s="829"/>
      <c r="H194" s="828">
        <f>+VLOOKUP(B194,Composición!$C:$C,1,0)</f>
        <v>121</v>
      </c>
      <c r="I194" s="829"/>
      <c r="J194" s="829"/>
    </row>
    <row r="195" spans="1:10" s="14" customFormat="1" ht="16.5" customHeight="1">
      <c r="A195" s="31" t="str">
        <f t="shared" si="14"/>
        <v>NI</v>
      </c>
      <c r="B195" s="349">
        <v>12102</v>
      </c>
      <c r="C195" s="350" t="s">
        <v>54</v>
      </c>
      <c r="D195" s="340">
        <v>665742466</v>
      </c>
      <c r="E195" s="341">
        <v>91654.74</v>
      </c>
      <c r="F195" s="829"/>
      <c r="G195" s="829"/>
      <c r="H195" s="828">
        <f>+VLOOKUP(B195,Composición!$C:$C,1,0)</f>
        <v>12102</v>
      </c>
      <c r="I195" s="829"/>
      <c r="J195" s="829"/>
    </row>
    <row r="196" spans="1:10" s="14" customFormat="1" ht="16.5" customHeight="1">
      <c r="A196" s="31" t="str">
        <f t="shared" si="14"/>
        <v>NI</v>
      </c>
      <c r="B196" s="349">
        <v>121021</v>
      </c>
      <c r="C196" s="350" t="s">
        <v>55</v>
      </c>
      <c r="D196" s="340">
        <v>665742466</v>
      </c>
      <c r="E196" s="341">
        <v>91654.74</v>
      </c>
      <c r="F196" s="829"/>
      <c r="G196" s="829"/>
      <c r="H196" s="828">
        <f>+VLOOKUP(B196,Composición!$C:$C,1,0)</f>
        <v>121021</v>
      </c>
      <c r="I196" s="829"/>
      <c r="J196" s="829"/>
    </row>
    <row r="197" spans="1:10" s="14" customFormat="1" ht="16.5" customHeight="1">
      <c r="A197" s="31" t="str">
        <f t="shared" si="14"/>
        <v>NI</v>
      </c>
      <c r="B197" s="349">
        <v>1210215</v>
      </c>
      <c r="C197" s="350" t="s">
        <v>173</v>
      </c>
      <c r="D197" s="340">
        <v>665742466</v>
      </c>
      <c r="E197" s="341">
        <v>91654.74</v>
      </c>
      <c r="F197" s="829"/>
      <c r="G197" s="829"/>
      <c r="H197" s="828">
        <f>+VLOOKUP(B197,Composición!$C:$C,1,0)</f>
        <v>1210215</v>
      </c>
      <c r="I197" s="829"/>
      <c r="J197" s="829"/>
    </row>
    <row r="198" spans="1:10" s="14" customFormat="1" ht="16.5" customHeight="1">
      <c r="A198" s="31" t="str">
        <f t="shared" si="14"/>
        <v>NI</v>
      </c>
      <c r="B198" s="349">
        <v>12102152</v>
      </c>
      <c r="C198" s="350" t="s">
        <v>174</v>
      </c>
      <c r="D198" s="340">
        <v>665742466</v>
      </c>
      <c r="E198" s="341">
        <v>91654.74</v>
      </c>
      <c r="F198" s="829"/>
      <c r="G198" s="829"/>
      <c r="H198" s="828">
        <f>+VLOOKUP(B198,Composición!$C:$C,1,0)</f>
        <v>12102152</v>
      </c>
      <c r="I198" s="829"/>
      <c r="J198" s="829"/>
    </row>
    <row r="199" spans="1:10" s="14" customFormat="1" ht="16.5" customHeight="1">
      <c r="A199" s="14" t="str">
        <f t="shared" si="14"/>
        <v>I</v>
      </c>
      <c r="B199" s="344">
        <v>1210215201</v>
      </c>
      <c r="C199" s="345" t="s">
        <v>175</v>
      </c>
      <c r="D199" s="347">
        <v>650000000</v>
      </c>
      <c r="E199" s="348">
        <v>89487.43</v>
      </c>
      <c r="F199" s="829"/>
      <c r="G199" s="829"/>
      <c r="H199" s="828">
        <f>+VLOOKUP(B199,Composición!$C:$C,1,0)</f>
        <v>1210215201</v>
      </c>
      <c r="I199" s="829"/>
      <c r="J199" s="829"/>
    </row>
    <row r="200" spans="1:10" s="14" customFormat="1" ht="16.5" customHeight="1">
      <c r="A200" s="14" t="str">
        <f t="shared" si="14"/>
        <v>I</v>
      </c>
      <c r="B200" s="344">
        <v>1210215202</v>
      </c>
      <c r="C200" s="345" t="s">
        <v>176</v>
      </c>
      <c r="D200" s="347">
        <v>337884247</v>
      </c>
      <c r="E200" s="348">
        <v>46517.53</v>
      </c>
      <c r="F200" s="829"/>
      <c r="G200" s="829"/>
      <c r="H200" s="828">
        <f>+VLOOKUP(B200,Composición!$C:$C,1,0)</f>
        <v>1210215202</v>
      </c>
      <c r="I200" s="829"/>
      <c r="J200" s="829"/>
    </row>
    <row r="201" spans="1:10" s="14" customFormat="1" ht="16.5" customHeight="1">
      <c r="A201" s="14" t="str">
        <f t="shared" si="14"/>
        <v>I</v>
      </c>
      <c r="B201" s="344">
        <v>1210215203</v>
      </c>
      <c r="C201" s="345" t="s">
        <v>177</v>
      </c>
      <c r="D201" s="347">
        <v>-322141781</v>
      </c>
      <c r="E201" s="348">
        <v>-44350.22</v>
      </c>
      <c r="F201" s="829"/>
      <c r="G201" s="829"/>
      <c r="H201" s="828">
        <f>+VLOOKUP(B201,Composición!$C:$C,1,0)</f>
        <v>1210215203</v>
      </c>
      <c r="I201" s="829"/>
      <c r="J201" s="829"/>
    </row>
    <row r="202" spans="1:10" s="14" customFormat="1" ht="16.5" customHeight="1">
      <c r="A202" s="31" t="str">
        <f t="shared" si="14"/>
        <v>NI</v>
      </c>
      <c r="B202" s="349">
        <v>12103</v>
      </c>
      <c r="C202" s="350" t="s">
        <v>178</v>
      </c>
      <c r="D202" s="340">
        <v>1003000000</v>
      </c>
      <c r="E202" s="341">
        <v>138085.99</v>
      </c>
      <c r="F202" s="829">
        <f>+SUMIF(Composición!C:C,'BG 2023'!B202,Composición!G:G)</f>
        <v>0</v>
      </c>
      <c r="G202" s="830">
        <f>+F202-D202</f>
        <v>-1003000000</v>
      </c>
      <c r="H202" s="828">
        <f>+VLOOKUP(B202,Composición!$C:$C,1,0)</f>
        <v>12103</v>
      </c>
      <c r="I202" s="829"/>
      <c r="J202" s="829"/>
    </row>
    <row r="203" spans="1:10" s="14" customFormat="1" ht="16.5" customHeight="1">
      <c r="A203" s="31" t="str">
        <f t="shared" si="14"/>
        <v>NI</v>
      </c>
      <c r="B203" s="349">
        <v>121031</v>
      </c>
      <c r="C203" s="350" t="s">
        <v>178</v>
      </c>
      <c r="D203" s="340">
        <v>1003000000</v>
      </c>
      <c r="E203" s="341">
        <v>138085.99</v>
      </c>
      <c r="F203" s="829"/>
      <c r="G203" s="829"/>
      <c r="H203" s="828">
        <f>+VLOOKUP(B203,Composición!$C:$C,1,0)</f>
        <v>121031</v>
      </c>
      <c r="I203" s="829"/>
      <c r="J203" s="829"/>
    </row>
    <row r="204" spans="1:10" s="14" customFormat="1" ht="16.5" customHeight="1">
      <c r="A204" s="31" t="str">
        <f t="shared" si="14"/>
        <v>NI</v>
      </c>
      <c r="B204" s="349">
        <v>1210311</v>
      </c>
      <c r="C204" s="350" t="s">
        <v>178</v>
      </c>
      <c r="D204" s="340">
        <v>1003000000</v>
      </c>
      <c r="E204" s="341">
        <v>138085.99</v>
      </c>
      <c r="F204" s="829"/>
      <c r="G204" s="829"/>
      <c r="H204" s="828">
        <f>+VLOOKUP(B204,Composición!$C:$C,1,0)</f>
        <v>1210311</v>
      </c>
      <c r="I204" s="829"/>
      <c r="J204" s="829"/>
    </row>
    <row r="205" spans="1:10" s="14" customFormat="1" ht="16.5" customHeight="1">
      <c r="A205" s="31" t="str">
        <f t="shared" si="14"/>
        <v>NI</v>
      </c>
      <c r="B205" s="349">
        <v>12103111</v>
      </c>
      <c r="C205" s="350" t="s">
        <v>178</v>
      </c>
      <c r="D205" s="340">
        <v>1003000000</v>
      </c>
      <c r="E205" s="341">
        <v>138085.99</v>
      </c>
      <c r="F205" s="829"/>
      <c r="G205" s="829"/>
      <c r="H205" s="828">
        <f>+VLOOKUP(B205,Composición!$C:$C,1,0)</f>
        <v>12103111</v>
      </c>
      <c r="I205" s="829"/>
      <c r="J205" s="829"/>
    </row>
    <row r="206" spans="1:10" s="14" customFormat="1" ht="16.5" customHeight="1">
      <c r="A206" s="14" t="str">
        <f t="shared" si="14"/>
        <v>I</v>
      </c>
      <c r="B206" s="344">
        <v>1210311101</v>
      </c>
      <c r="C206" s="345" t="s">
        <v>179</v>
      </c>
      <c r="D206" s="347">
        <v>262142322</v>
      </c>
      <c r="E206" s="348">
        <v>36089.909999999996</v>
      </c>
      <c r="F206" s="829">
        <f>+SUMIF(Composición!C:C,'BG 2023'!B206,Composición!G:G)</f>
        <v>262142322</v>
      </c>
      <c r="G206" s="830">
        <f>+F206-D206</f>
        <v>0</v>
      </c>
      <c r="H206" s="828">
        <f>+VLOOKUP(B206,Composición!$C:$C,1,0)</f>
        <v>1210311101</v>
      </c>
      <c r="I206" s="829"/>
      <c r="J206" s="829"/>
    </row>
    <row r="207" spans="1:10" s="14" customFormat="1" ht="16.5" customHeight="1">
      <c r="A207" s="14" t="str">
        <f t="shared" si="14"/>
        <v>I</v>
      </c>
      <c r="B207" s="344">
        <v>1210311102</v>
      </c>
      <c r="C207" s="345" t="s">
        <v>180</v>
      </c>
      <c r="D207" s="347">
        <v>740857678</v>
      </c>
      <c r="E207" s="348">
        <v>101996.07999999999</v>
      </c>
      <c r="F207" s="829"/>
      <c r="G207" s="829"/>
      <c r="H207" s="828">
        <f>+VLOOKUP(B207,Composición!$C:$C,1,0)</f>
        <v>1210311102</v>
      </c>
      <c r="I207" s="829"/>
      <c r="J207" s="829"/>
    </row>
    <row r="208" spans="1:10" s="14" customFormat="1" ht="16.5" customHeight="1">
      <c r="A208" s="31" t="str">
        <f t="shared" si="14"/>
        <v>NI</v>
      </c>
      <c r="B208" s="349">
        <v>128</v>
      </c>
      <c r="C208" s="350" t="s">
        <v>181</v>
      </c>
      <c r="D208" s="340">
        <v>2033836042</v>
      </c>
      <c r="E208" s="341">
        <v>284731.33000000007</v>
      </c>
      <c r="F208" s="829"/>
      <c r="G208" s="829"/>
      <c r="H208" s="828">
        <f>+VLOOKUP(B208,Composición!$C:$C,1,0)</f>
        <v>128</v>
      </c>
      <c r="I208" s="829"/>
      <c r="J208" s="829"/>
    </row>
    <row r="209" spans="1:10" s="14" customFormat="1" ht="16.5" customHeight="1">
      <c r="A209" s="31" t="str">
        <f t="shared" si="14"/>
        <v>NI</v>
      </c>
      <c r="B209" s="349">
        <v>12801</v>
      </c>
      <c r="C209" s="350" t="s">
        <v>182</v>
      </c>
      <c r="D209" s="340">
        <v>2033836042</v>
      </c>
      <c r="E209" s="341">
        <v>284731.33000000007</v>
      </c>
      <c r="F209" s="829"/>
      <c r="G209" s="829"/>
      <c r="H209" s="828">
        <f>+VLOOKUP(B209,Composición!$C:$C,1,0)</f>
        <v>12801</v>
      </c>
      <c r="I209" s="829"/>
      <c r="J209" s="829"/>
    </row>
    <row r="210" spans="1:10" s="14" customFormat="1" ht="16.5" customHeight="1">
      <c r="A210" s="31" t="str">
        <f t="shared" si="14"/>
        <v>NI</v>
      </c>
      <c r="B210" s="349">
        <v>128011</v>
      </c>
      <c r="C210" s="350" t="s">
        <v>182</v>
      </c>
      <c r="D210" s="340">
        <v>2033836042</v>
      </c>
      <c r="E210" s="341">
        <v>284731.33000000007</v>
      </c>
      <c r="F210" s="829">
        <f>+SUMIF(Composición!C:C,'BG 2023'!B210,Composición!G:G)</f>
        <v>0</v>
      </c>
      <c r="G210" s="830">
        <f t="shared" ref="G210:G212" si="21">+F210-D210</f>
        <v>-2033836042</v>
      </c>
      <c r="H210" s="828">
        <f>+VLOOKUP(B210,Composición!$C:$C,1,0)</f>
        <v>128011</v>
      </c>
      <c r="I210" s="829"/>
      <c r="J210" s="829"/>
    </row>
    <row r="211" spans="1:10" s="14" customFormat="1" ht="16.5" customHeight="1">
      <c r="A211" s="31" t="str">
        <f t="shared" ref="A211:A280" si="22">IF(LEN(B211)&gt;8,"I","NI")</f>
        <v>NI</v>
      </c>
      <c r="B211" s="349">
        <v>1280111</v>
      </c>
      <c r="C211" s="350" t="s">
        <v>183</v>
      </c>
      <c r="D211" s="340">
        <v>1700719834</v>
      </c>
      <c r="E211" s="341">
        <v>238898</v>
      </c>
      <c r="F211" s="829">
        <f>+SUMIF(Composición!C:C,'BG 2023'!B211,Composición!G:G)</f>
        <v>0</v>
      </c>
      <c r="G211" s="830">
        <f t="shared" si="21"/>
        <v>-1700719834</v>
      </c>
      <c r="H211" s="828">
        <f>+VLOOKUP(B211,Composición!$C:$C,1,0)</f>
        <v>1280111</v>
      </c>
      <c r="I211" s="829"/>
      <c r="J211" s="829"/>
    </row>
    <row r="212" spans="1:10" s="14" customFormat="1" ht="16.5" customHeight="1">
      <c r="A212" s="31" t="str">
        <f t="shared" si="22"/>
        <v>NI</v>
      </c>
      <c r="B212" s="349">
        <v>12801111</v>
      </c>
      <c r="C212" s="350" t="s">
        <v>184</v>
      </c>
      <c r="D212" s="340">
        <v>1849633864</v>
      </c>
      <c r="E212" s="341">
        <v>259840</v>
      </c>
      <c r="F212" s="829">
        <f>+SUMIF(Composición!C:C,'BG 2023'!B212,Composición!G:G)</f>
        <v>0</v>
      </c>
      <c r="G212" s="830">
        <f t="shared" si="21"/>
        <v>-1849633864</v>
      </c>
      <c r="H212" s="828">
        <f>+VLOOKUP(B212,Composición!$C:$C,1,0)</f>
        <v>12801111</v>
      </c>
      <c r="I212" s="829"/>
      <c r="J212" s="829"/>
    </row>
    <row r="213" spans="1:10" s="14" customFormat="1" ht="16.5" customHeight="1">
      <c r="A213" s="14" t="str">
        <f t="shared" si="22"/>
        <v>I</v>
      </c>
      <c r="B213" s="344">
        <v>1280111102</v>
      </c>
      <c r="C213" s="345" t="s">
        <v>185</v>
      </c>
      <c r="D213" s="347">
        <v>1849633864</v>
      </c>
      <c r="E213" s="348">
        <v>259840</v>
      </c>
      <c r="F213" s="829"/>
      <c r="G213" s="829"/>
      <c r="H213" s="828">
        <f>+VLOOKUP(B213,Composición!$C:$C,1,0)</f>
        <v>1280111102</v>
      </c>
      <c r="I213" s="829"/>
      <c r="J213" s="829"/>
    </row>
    <row r="214" spans="1:10" s="14" customFormat="1" ht="16.5" customHeight="1">
      <c r="A214" s="31" t="str">
        <f t="shared" si="22"/>
        <v>NI</v>
      </c>
      <c r="B214" s="349">
        <v>12801117</v>
      </c>
      <c r="C214" s="350" t="s">
        <v>186</v>
      </c>
      <c r="D214" s="340">
        <v>-148914030</v>
      </c>
      <c r="E214" s="341">
        <v>-20942</v>
      </c>
      <c r="F214" s="829"/>
      <c r="G214" s="829"/>
      <c r="H214" s="828">
        <f>+VLOOKUP(B214,Composición!$C:$C,1,0)</f>
        <v>12801117</v>
      </c>
      <c r="I214" s="829"/>
      <c r="J214" s="829"/>
    </row>
    <row r="215" spans="1:10" s="14" customFormat="1" ht="16.5" customHeight="1">
      <c r="A215" s="14" t="str">
        <f t="shared" si="22"/>
        <v>I</v>
      </c>
      <c r="B215" s="344">
        <v>1280111701</v>
      </c>
      <c r="C215" s="345" t="s">
        <v>184</v>
      </c>
      <c r="D215" s="347">
        <v>-148914030</v>
      </c>
      <c r="E215" s="348">
        <v>-20942</v>
      </c>
      <c r="F215" s="829"/>
      <c r="G215" s="829"/>
      <c r="H215" s="828">
        <f>+VLOOKUP(B215,Composición!$C:$C,1,0)</f>
        <v>1280111701</v>
      </c>
      <c r="I215" s="829"/>
      <c r="J215" s="829"/>
    </row>
    <row r="216" spans="1:10" s="14" customFormat="1" ht="16.5" customHeight="1">
      <c r="A216" s="31" t="str">
        <f t="shared" si="22"/>
        <v>NI</v>
      </c>
      <c r="B216" s="349">
        <v>1280112</v>
      </c>
      <c r="C216" s="350" t="s">
        <v>187</v>
      </c>
      <c r="D216" s="340">
        <v>333116208</v>
      </c>
      <c r="E216" s="341">
        <v>45833.330000000016</v>
      </c>
      <c r="F216" s="829"/>
      <c r="G216" s="829"/>
      <c r="H216" s="828">
        <f>+VLOOKUP(B216,Composición!$C:$C,1,0)</f>
        <v>1280112</v>
      </c>
      <c r="I216" s="829"/>
      <c r="J216" s="829"/>
    </row>
    <row r="217" spans="1:10" s="14" customFormat="1" ht="16.5" customHeight="1">
      <c r="A217" s="31" t="str">
        <f t="shared" si="22"/>
        <v>NI</v>
      </c>
      <c r="B217" s="349">
        <v>12801121</v>
      </c>
      <c r="C217" s="350" t="s">
        <v>188</v>
      </c>
      <c r="D217" s="340">
        <v>363399500</v>
      </c>
      <c r="E217" s="341">
        <v>50000</v>
      </c>
      <c r="F217" s="829"/>
      <c r="G217" s="829"/>
      <c r="H217" s="828">
        <f>+VLOOKUP(B217,Composición!$C:$C,1,0)</f>
        <v>12801121</v>
      </c>
      <c r="I217" s="829"/>
      <c r="J217" s="829"/>
    </row>
    <row r="218" spans="1:10" s="14" customFormat="1" ht="16.5" customHeight="1">
      <c r="A218" s="14" t="str">
        <f t="shared" si="22"/>
        <v>I</v>
      </c>
      <c r="B218" s="344">
        <v>1280112102</v>
      </c>
      <c r="C218" s="345" t="s">
        <v>189</v>
      </c>
      <c r="D218" s="347">
        <v>363399500</v>
      </c>
      <c r="E218" s="348">
        <v>50000</v>
      </c>
      <c r="F218" s="829">
        <f>+SUMIF(Composición!C:C,'BG 2023'!B218,Composición!G:G)</f>
        <v>777258485</v>
      </c>
      <c r="G218" s="830">
        <f t="shared" ref="G218:G219" si="23">+F218-D218</f>
        <v>413858985</v>
      </c>
      <c r="H218" s="828">
        <f>+VLOOKUP(B218,Composición!$C:$C,1,0)</f>
        <v>1280112102</v>
      </c>
      <c r="I218" s="829"/>
      <c r="J218" s="829"/>
    </row>
    <row r="219" spans="1:10" s="14" customFormat="1" ht="16.5" customHeight="1">
      <c r="A219" s="31" t="str">
        <f t="shared" si="22"/>
        <v>NI</v>
      </c>
      <c r="B219" s="349">
        <v>12801122</v>
      </c>
      <c r="C219" s="350" t="s">
        <v>186</v>
      </c>
      <c r="D219" s="340">
        <v>-30283292</v>
      </c>
      <c r="E219" s="341">
        <v>-4166.6700000000128</v>
      </c>
      <c r="F219" s="829">
        <f>+SUMIF(Composición!C:C,'BG 2023'!B219,Composición!G:G)</f>
        <v>0</v>
      </c>
      <c r="G219" s="830">
        <f t="shared" si="23"/>
        <v>30283292</v>
      </c>
      <c r="H219" s="828">
        <f>+VLOOKUP(B219,Composición!$C:$C,1,0)</f>
        <v>12801122</v>
      </c>
      <c r="I219" s="829"/>
      <c r="J219" s="829"/>
    </row>
    <row r="220" spans="1:10" s="14" customFormat="1" ht="16.5" customHeight="1">
      <c r="A220" s="14" t="str">
        <f t="shared" si="22"/>
        <v>I</v>
      </c>
      <c r="B220" s="344">
        <v>1280112201</v>
      </c>
      <c r="C220" s="345" t="s">
        <v>190</v>
      </c>
      <c r="D220" s="347">
        <v>-30283292</v>
      </c>
      <c r="E220" s="348">
        <v>-4166.6700000000128</v>
      </c>
      <c r="F220" s="829"/>
      <c r="G220" s="829"/>
      <c r="H220" s="828">
        <f>+VLOOKUP(B220,Composición!$C:$C,1,0)</f>
        <v>1280112201</v>
      </c>
      <c r="I220" s="829"/>
      <c r="J220" s="829"/>
    </row>
    <row r="221" spans="1:10" s="14" customFormat="1" ht="16.5" customHeight="1">
      <c r="A221" s="31" t="str">
        <f t="shared" si="22"/>
        <v>NI</v>
      </c>
      <c r="B221" s="349">
        <v>129</v>
      </c>
      <c r="C221" s="350" t="s">
        <v>191</v>
      </c>
      <c r="D221" s="340">
        <v>45194720</v>
      </c>
      <c r="E221" s="341">
        <v>6296.83</v>
      </c>
      <c r="F221" s="829"/>
      <c r="G221" s="829"/>
      <c r="H221" s="828">
        <f>+VLOOKUP(B221,Composición!$C:$C,1,0)</f>
        <v>129</v>
      </c>
      <c r="I221" s="829"/>
      <c r="J221" s="829"/>
    </row>
    <row r="222" spans="1:10" s="14" customFormat="1" ht="16.5" customHeight="1">
      <c r="A222" s="31" t="str">
        <f t="shared" si="22"/>
        <v>NI</v>
      </c>
      <c r="B222" s="349">
        <v>12901</v>
      </c>
      <c r="C222" s="350" t="s">
        <v>163</v>
      </c>
      <c r="D222" s="340">
        <v>45194720</v>
      </c>
      <c r="E222" s="341">
        <v>6296.83</v>
      </c>
      <c r="F222" s="829"/>
      <c r="G222" s="829"/>
      <c r="H222" s="828">
        <f>+VLOOKUP(B222,Composición!$C:$C,1,0)</f>
        <v>12901</v>
      </c>
      <c r="I222" s="829"/>
      <c r="J222" s="829"/>
    </row>
    <row r="223" spans="1:10" s="14" customFormat="1" ht="16.5" customHeight="1">
      <c r="A223" s="798" t="str">
        <f t="shared" si="22"/>
        <v>NI</v>
      </c>
      <c r="B223" s="811">
        <v>129011</v>
      </c>
      <c r="C223" s="803" t="s">
        <v>163</v>
      </c>
      <c r="D223" s="804">
        <v>45194720</v>
      </c>
      <c r="E223" s="805">
        <v>6296.83</v>
      </c>
      <c r="F223" s="831"/>
      <c r="G223" s="831"/>
      <c r="H223" s="832" t="e">
        <f>+VLOOKUP(B223,Composición!$C:$C,1,0)</f>
        <v>#N/A</v>
      </c>
      <c r="I223" s="829"/>
      <c r="J223" s="829"/>
    </row>
    <row r="224" spans="1:10" s="14" customFormat="1" ht="16.5" customHeight="1">
      <c r="A224" s="31" t="str">
        <f t="shared" si="22"/>
        <v>NI</v>
      </c>
      <c r="B224" s="349">
        <v>1290111</v>
      </c>
      <c r="C224" s="350" t="s">
        <v>163</v>
      </c>
      <c r="D224" s="340">
        <v>45194720</v>
      </c>
      <c r="E224" s="341">
        <v>6296.83</v>
      </c>
      <c r="F224" s="829">
        <f>+SUMIF(Composición!C:C,'BG 2023'!B224,Composición!G:G)</f>
        <v>0</v>
      </c>
      <c r="G224" s="830">
        <f>+F224-D224</f>
        <v>-45194720</v>
      </c>
      <c r="H224" s="828">
        <f>+VLOOKUP(B224,Composición!$C:$C,1,0)</f>
        <v>1290111</v>
      </c>
      <c r="I224" s="829"/>
      <c r="J224" s="829"/>
    </row>
    <row r="225" spans="1:10" s="14" customFormat="1" ht="16.5" customHeight="1">
      <c r="A225" s="798" t="str">
        <f t="shared" si="22"/>
        <v>NI</v>
      </c>
      <c r="B225" s="803">
        <v>12901111</v>
      </c>
      <c r="C225" s="803" t="s">
        <v>163</v>
      </c>
      <c r="D225" s="804">
        <v>45194720</v>
      </c>
      <c r="E225" s="805">
        <v>6296.83</v>
      </c>
      <c r="F225" s="831"/>
      <c r="G225" s="831"/>
      <c r="H225" s="832" t="e">
        <f>+VLOOKUP(B225,Composición!$C:$C,1,0)</f>
        <v>#N/A</v>
      </c>
      <c r="I225" s="829"/>
      <c r="J225" s="829"/>
    </row>
    <row r="226" spans="1:10" s="14" customFormat="1" ht="16.5" customHeight="1">
      <c r="A226" s="14" t="str">
        <f t="shared" si="22"/>
        <v>I</v>
      </c>
      <c r="B226" s="345">
        <v>1290111101</v>
      </c>
      <c r="C226" s="345" t="s">
        <v>192</v>
      </c>
      <c r="D226" s="347">
        <v>45194720</v>
      </c>
      <c r="E226" s="348">
        <v>6296.83</v>
      </c>
      <c r="F226" s="829">
        <f>+SUMIF(Composición!C:C,'BG 2023'!B226,Composición!G:G)</f>
        <v>0</v>
      </c>
      <c r="G226" s="830">
        <f>+F226-D226</f>
        <v>-45194720</v>
      </c>
      <c r="H226" s="828">
        <f>+VLOOKUP(B226,Composición!$C:$C,1,0)</f>
        <v>1290111101</v>
      </c>
      <c r="I226" s="829"/>
      <c r="J226" s="829"/>
    </row>
    <row r="227" spans="1:10" s="14" customFormat="1" ht="16.5" customHeight="1">
      <c r="A227" s="31" t="str">
        <f t="shared" si="22"/>
        <v>NI</v>
      </c>
      <c r="B227" s="350">
        <v>2</v>
      </c>
      <c r="C227" s="350" t="s">
        <v>193</v>
      </c>
      <c r="D227" s="340">
        <v>20798114410</v>
      </c>
      <c r="E227" s="341">
        <v>2855463.66</v>
      </c>
      <c r="F227" s="829"/>
      <c r="G227" s="829"/>
      <c r="H227" s="828">
        <f>+VLOOKUP(B227,Composición!$C:$C,1,0)</f>
        <v>2</v>
      </c>
      <c r="I227" s="829"/>
      <c r="J227" s="829"/>
    </row>
    <row r="228" spans="1:10" s="14" customFormat="1" ht="16.5" customHeight="1">
      <c r="A228" s="31" t="str">
        <f t="shared" si="22"/>
        <v>NI</v>
      </c>
      <c r="B228" s="350">
        <v>21</v>
      </c>
      <c r="C228" s="350" t="s">
        <v>194</v>
      </c>
      <c r="D228" s="340">
        <v>20798114410</v>
      </c>
      <c r="E228" s="341">
        <v>2855463.66</v>
      </c>
      <c r="F228" s="829">
        <f>+SUMIF(Composición!C:C,'BG 2023'!B228,Composición!G:G)</f>
        <v>0</v>
      </c>
      <c r="G228" s="830">
        <f>+F228-D228</f>
        <v>-20798114410</v>
      </c>
      <c r="H228" s="828">
        <f>+VLOOKUP(B228,Composición!$C:$C,1,0)</f>
        <v>21</v>
      </c>
      <c r="I228" s="829"/>
      <c r="J228" s="829"/>
    </row>
    <row r="229" spans="1:10" s="14" customFormat="1" ht="16.5" customHeight="1">
      <c r="A229" s="31" t="str">
        <f t="shared" si="22"/>
        <v>NI</v>
      </c>
      <c r="B229" s="350">
        <v>211</v>
      </c>
      <c r="C229" s="350" t="s">
        <v>195</v>
      </c>
      <c r="D229" s="340">
        <v>575994812</v>
      </c>
      <c r="E229" s="341">
        <v>79080.559000015259</v>
      </c>
      <c r="F229" s="829"/>
      <c r="G229" s="829"/>
      <c r="H229" s="828">
        <f>+VLOOKUP(B229,Composición!$C:$C,1,0)</f>
        <v>211</v>
      </c>
      <c r="I229" s="829"/>
      <c r="J229" s="829"/>
    </row>
    <row r="230" spans="1:10" s="14" customFormat="1" ht="16.5" customHeight="1">
      <c r="A230" s="31" t="str">
        <f t="shared" si="22"/>
        <v>NI</v>
      </c>
      <c r="B230" s="350">
        <v>21101</v>
      </c>
      <c r="C230" s="350" t="s">
        <v>196</v>
      </c>
      <c r="D230" s="340">
        <v>575994812</v>
      </c>
      <c r="E230" s="341">
        <v>79080.559000015259</v>
      </c>
      <c r="F230" s="829"/>
      <c r="G230" s="829"/>
      <c r="H230" s="828">
        <f>+VLOOKUP(B230,Composición!$C:$C,1,0)</f>
        <v>21101</v>
      </c>
      <c r="I230" s="829"/>
      <c r="J230" s="829"/>
    </row>
    <row r="231" spans="1:10" s="14" customFormat="1" ht="16.5" customHeight="1">
      <c r="A231" s="31" t="str">
        <f t="shared" si="22"/>
        <v>NI</v>
      </c>
      <c r="B231" s="350">
        <v>211011</v>
      </c>
      <c r="C231" s="350" t="s">
        <v>196</v>
      </c>
      <c r="D231" s="340">
        <v>129323817</v>
      </c>
      <c r="E231" s="341">
        <v>17755.138999938965</v>
      </c>
      <c r="F231" s="829"/>
      <c r="G231" s="829"/>
      <c r="H231" s="828">
        <f>+VLOOKUP(B231,Composición!$C:$C,1,0)</f>
        <v>211011</v>
      </c>
      <c r="I231" s="829"/>
      <c r="J231" s="829"/>
    </row>
    <row r="232" spans="1:10" s="14" customFormat="1" ht="16.5" customHeight="1">
      <c r="A232" s="31" t="str">
        <f t="shared" si="22"/>
        <v>NI</v>
      </c>
      <c r="B232" s="350">
        <v>2110111</v>
      </c>
      <c r="C232" s="350" t="s">
        <v>197</v>
      </c>
      <c r="D232" s="340">
        <v>129323817</v>
      </c>
      <c r="E232" s="341">
        <v>17755.138999938965</v>
      </c>
      <c r="F232" s="829"/>
      <c r="G232" s="829"/>
      <c r="H232" s="828">
        <f>+VLOOKUP(B232,Composición!$C:$C,1,0)</f>
        <v>2110111</v>
      </c>
      <c r="I232" s="829"/>
      <c r="J232" s="829"/>
    </row>
    <row r="233" spans="1:10" s="14" customFormat="1" ht="16.5" customHeight="1">
      <c r="A233" s="31" t="str">
        <f t="shared" si="22"/>
        <v>NI</v>
      </c>
      <c r="B233" s="350">
        <v>21101112</v>
      </c>
      <c r="C233" s="350" t="s">
        <v>198</v>
      </c>
      <c r="D233" s="340">
        <v>805726</v>
      </c>
      <c r="E233" s="341">
        <v>110.32999999999991</v>
      </c>
      <c r="F233" s="829"/>
      <c r="G233" s="829"/>
      <c r="H233" s="828">
        <f>+VLOOKUP(B233,Composición!$C:$C,1,0)</f>
        <v>21101112</v>
      </c>
      <c r="I233" s="829"/>
      <c r="J233" s="829"/>
    </row>
    <row r="234" spans="1:10" s="14" customFormat="1" ht="16.5" customHeight="1">
      <c r="A234" s="14" t="str">
        <f t="shared" si="22"/>
        <v>I</v>
      </c>
      <c r="B234" s="345">
        <v>2110111202</v>
      </c>
      <c r="C234" s="345" t="s">
        <v>199</v>
      </c>
      <c r="D234" s="347">
        <v>805726</v>
      </c>
      <c r="E234" s="348">
        <v>110.32999999999991</v>
      </c>
      <c r="F234" s="829">
        <f>+SUMIF(Composición!C:C,'BG 2023'!B234,Composición!G:G)</f>
        <v>220213</v>
      </c>
      <c r="G234" s="830">
        <f t="shared" ref="G234:G237" si="24">+F234-D234</f>
        <v>-585513</v>
      </c>
      <c r="H234" s="828">
        <f>+VLOOKUP(B234,Composición!$C:$C,1,0)</f>
        <v>2110111202</v>
      </c>
      <c r="I234" s="829"/>
      <c r="J234" s="829"/>
    </row>
    <row r="235" spans="1:10" s="14" customFormat="1" ht="16.5" customHeight="1">
      <c r="A235" s="31" t="str">
        <f t="shared" si="22"/>
        <v>NI</v>
      </c>
      <c r="B235" s="350">
        <v>21101114</v>
      </c>
      <c r="C235" s="350" t="s">
        <v>200</v>
      </c>
      <c r="D235" s="340">
        <v>128518091</v>
      </c>
      <c r="E235" s="341">
        <v>17644.805</v>
      </c>
      <c r="F235" s="829">
        <f>+SUMIF(Composición!C:C,'BG 2023'!B235,Composición!G:G)</f>
        <v>0</v>
      </c>
      <c r="G235" s="830">
        <f t="shared" si="24"/>
        <v>-128518091</v>
      </c>
      <c r="H235" s="828">
        <f>+VLOOKUP(B235,Composición!$C:$C,1,0)</f>
        <v>21101114</v>
      </c>
      <c r="I235" s="829"/>
      <c r="J235" s="829"/>
    </row>
    <row r="236" spans="1:10" s="14" customFormat="1" ht="16.5" customHeight="1">
      <c r="A236" s="14" t="str">
        <f t="shared" si="22"/>
        <v>I</v>
      </c>
      <c r="B236" s="345">
        <v>2110111402</v>
      </c>
      <c r="C236" s="345" t="s">
        <v>201</v>
      </c>
      <c r="D236" s="347">
        <v>128518091</v>
      </c>
      <c r="E236" s="348">
        <v>17644.805</v>
      </c>
      <c r="F236" s="829">
        <f>+SUMIF(Composición!C:C,'BG 2023'!B236,Composición!G:G)</f>
        <v>488815659</v>
      </c>
      <c r="G236" s="830">
        <f t="shared" si="24"/>
        <v>360297568</v>
      </c>
      <c r="H236" s="828">
        <f>+VLOOKUP(B236,Composición!$C:$C,1,0)</f>
        <v>2110111402</v>
      </c>
      <c r="I236" s="829"/>
      <c r="J236" s="829"/>
    </row>
    <row r="237" spans="1:10" s="14" customFormat="1" ht="16.5" customHeight="1">
      <c r="A237" s="31" t="str">
        <f t="shared" si="22"/>
        <v>NI</v>
      </c>
      <c r="B237" s="350">
        <v>211012</v>
      </c>
      <c r="C237" s="350" t="s">
        <v>202</v>
      </c>
      <c r="D237" s="340">
        <v>1456210</v>
      </c>
      <c r="E237" s="341">
        <v>199.92999999970198</v>
      </c>
      <c r="F237" s="829">
        <f>+SUMIF(Composición!C:C,'BG 2023'!B237,Composición!G:G)</f>
        <v>0</v>
      </c>
      <c r="G237" s="830">
        <f t="shared" si="24"/>
        <v>-1456210</v>
      </c>
      <c r="H237" s="828">
        <f>+VLOOKUP(B237,Composición!$C:$C,1,0)</f>
        <v>211012</v>
      </c>
      <c r="I237" s="829"/>
      <c r="J237" s="829"/>
    </row>
    <row r="238" spans="1:10" s="14" customFormat="1" ht="16.5" customHeight="1">
      <c r="A238" s="31" t="str">
        <f t="shared" si="22"/>
        <v>NI</v>
      </c>
      <c r="B238" s="350">
        <v>2110121</v>
      </c>
      <c r="C238" s="350" t="s">
        <v>202</v>
      </c>
      <c r="D238" s="340">
        <v>1456210</v>
      </c>
      <c r="E238" s="341">
        <v>199.92999999970198</v>
      </c>
      <c r="F238" s="829"/>
      <c r="G238" s="829"/>
      <c r="H238" s="828">
        <f>+VLOOKUP(B238,Composición!$C:$C,1,0)</f>
        <v>2110121</v>
      </c>
      <c r="I238" s="829"/>
      <c r="J238" s="829"/>
    </row>
    <row r="239" spans="1:10" s="14" customFormat="1" ht="16.5" customHeight="1">
      <c r="A239" s="31" t="str">
        <f t="shared" si="22"/>
        <v>NI</v>
      </c>
      <c r="B239" s="350">
        <v>21101211</v>
      </c>
      <c r="C239" s="350" t="s">
        <v>202</v>
      </c>
      <c r="D239" s="340">
        <v>1456210</v>
      </c>
      <c r="E239" s="341">
        <v>199.92999999970198</v>
      </c>
      <c r="F239" s="829"/>
      <c r="G239" s="829"/>
      <c r="H239" s="828">
        <f>+VLOOKUP(B239,Composición!$C:$C,1,0)</f>
        <v>21101211</v>
      </c>
      <c r="I239" s="829"/>
      <c r="J239" s="829"/>
    </row>
    <row r="240" spans="1:10" s="14" customFormat="1" ht="16.5" customHeight="1">
      <c r="A240" s="14" t="str">
        <f t="shared" si="22"/>
        <v>I</v>
      </c>
      <c r="B240" s="345">
        <v>2110121103</v>
      </c>
      <c r="C240" s="345" t="s">
        <v>203</v>
      </c>
      <c r="D240" s="347">
        <v>1456210</v>
      </c>
      <c r="E240" s="348">
        <v>199.93000000000029</v>
      </c>
      <c r="F240" s="829"/>
      <c r="G240" s="829"/>
      <c r="H240" s="828">
        <f>+VLOOKUP(B240,Composición!$C:$C,1,0)</f>
        <v>2110121103</v>
      </c>
      <c r="I240" s="829"/>
      <c r="J240" s="829"/>
    </row>
    <row r="241" spans="1:10" s="14" customFormat="1" ht="16.5" customHeight="1">
      <c r="A241" s="31" t="str">
        <f t="shared" si="22"/>
        <v>NI</v>
      </c>
      <c r="B241" s="350">
        <v>211015</v>
      </c>
      <c r="C241" s="350" t="s">
        <v>204</v>
      </c>
      <c r="D241" s="340">
        <v>445214785</v>
      </c>
      <c r="E241" s="341">
        <v>61125.490000000216</v>
      </c>
      <c r="F241" s="829"/>
      <c r="G241" s="829"/>
      <c r="H241" s="828">
        <f>+VLOOKUP(B241,Composición!$C:$C,1,0)</f>
        <v>211015</v>
      </c>
      <c r="I241" s="829"/>
      <c r="J241" s="829"/>
    </row>
    <row r="242" spans="1:10" s="14" customFormat="1" ht="16.5" customHeight="1">
      <c r="A242" s="31" t="str">
        <f t="shared" si="22"/>
        <v>NI</v>
      </c>
      <c r="B242" s="350">
        <v>2110151</v>
      </c>
      <c r="C242" s="350" t="s">
        <v>204</v>
      </c>
      <c r="D242" s="340">
        <v>445214785</v>
      </c>
      <c r="E242" s="341">
        <v>61125.490000000216</v>
      </c>
      <c r="F242" s="829">
        <f>+SUMIF(Composición!C:C,'BG 2023'!B242,Composición!G:G)</f>
        <v>0</v>
      </c>
      <c r="G242" s="830">
        <f t="shared" ref="G242:G243" si="25">+F242-D242</f>
        <v>-445214785</v>
      </c>
      <c r="H242" s="828">
        <f>+VLOOKUP(B242,Composición!$C:$C,1,0)</f>
        <v>2110151</v>
      </c>
      <c r="I242" s="829"/>
      <c r="J242" s="829"/>
    </row>
    <row r="243" spans="1:10" s="14" customFormat="1" ht="16.5" customHeight="1">
      <c r="A243" s="31" t="str">
        <f t="shared" si="22"/>
        <v>NI</v>
      </c>
      <c r="B243" s="350">
        <v>21101511</v>
      </c>
      <c r="C243" s="350" t="s">
        <v>204</v>
      </c>
      <c r="D243" s="340">
        <v>445214785</v>
      </c>
      <c r="E243" s="341">
        <v>61125.490000000216</v>
      </c>
      <c r="F243" s="829">
        <f>+SUMIF(Composición!C:C,'BG 2023'!B243,Composición!G:G)</f>
        <v>0</v>
      </c>
      <c r="G243" s="830">
        <f t="shared" si="25"/>
        <v>-445214785</v>
      </c>
      <c r="H243" s="828">
        <f>+VLOOKUP(B243,Composición!$C:$C,1,0)</f>
        <v>21101511</v>
      </c>
      <c r="I243" s="829"/>
      <c r="J243" s="829"/>
    </row>
    <row r="244" spans="1:10" s="14" customFormat="1" ht="16.5" customHeight="1">
      <c r="A244" s="14" t="str">
        <f t="shared" si="22"/>
        <v>I</v>
      </c>
      <c r="B244" s="345">
        <v>2110151101</v>
      </c>
      <c r="C244" s="345" t="s">
        <v>205</v>
      </c>
      <c r="D244" s="347">
        <v>35682034</v>
      </c>
      <c r="E244" s="348">
        <v>4898.9500000001863</v>
      </c>
      <c r="F244" s="829"/>
      <c r="G244" s="829"/>
      <c r="H244" s="828">
        <f>+VLOOKUP(B244,Composición!$C:$C,1,0)</f>
        <v>2110151101</v>
      </c>
      <c r="I244" s="829"/>
      <c r="J244" s="829"/>
    </row>
    <row r="245" spans="1:10" s="14" customFormat="1" ht="16.5" customHeight="1">
      <c r="A245" s="14" t="str">
        <f t="shared" si="22"/>
        <v>I</v>
      </c>
      <c r="B245" s="345">
        <v>2110151102</v>
      </c>
      <c r="C245" s="345" t="s">
        <v>206</v>
      </c>
      <c r="D245" s="347">
        <v>12575461</v>
      </c>
      <c r="E245" s="348">
        <v>1726.540000000037</v>
      </c>
      <c r="F245" s="829"/>
      <c r="G245" s="829"/>
      <c r="H245" s="828">
        <f>+VLOOKUP(B245,Composición!$C:$C,1,0)</f>
        <v>2110151102</v>
      </c>
      <c r="I245" s="829"/>
      <c r="J245" s="829"/>
    </row>
    <row r="246" spans="1:10" s="14" customFormat="1" ht="16.5" customHeight="1">
      <c r="A246" s="14" t="str">
        <f t="shared" si="22"/>
        <v>I</v>
      </c>
      <c r="B246" s="345">
        <v>2110151103</v>
      </c>
      <c r="C246" s="345" t="s">
        <v>207</v>
      </c>
      <c r="D246" s="347">
        <v>396957290</v>
      </c>
      <c r="E246" s="348">
        <v>54500</v>
      </c>
      <c r="F246" s="829"/>
      <c r="G246" s="829"/>
      <c r="H246" s="828">
        <f>+VLOOKUP(B246,Composición!$C:$C,1,0)</f>
        <v>2110151103</v>
      </c>
      <c r="I246" s="829"/>
      <c r="J246" s="829"/>
    </row>
    <row r="247" spans="1:10" s="14" customFormat="1" ht="16.5" customHeight="1">
      <c r="A247" s="31" t="str">
        <f t="shared" si="22"/>
        <v>NI</v>
      </c>
      <c r="B247" s="350">
        <v>213</v>
      </c>
      <c r="C247" s="350" t="s">
        <v>208</v>
      </c>
      <c r="D247" s="340">
        <v>18122144341</v>
      </c>
      <c r="E247" s="341">
        <v>2488068.3430000246</v>
      </c>
      <c r="F247" s="829"/>
      <c r="G247" s="829"/>
      <c r="H247" s="828">
        <f>+VLOOKUP(B247,Composición!$C:$C,1,0)</f>
        <v>213</v>
      </c>
      <c r="I247" s="829"/>
      <c r="J247" s="829"/>
    </row>
    <row r="248" spans="1:10" s="14" customFormat="1" ht="16.5" customHeight="1">
      <c r="A248" s="31" t="str">
        <f t="shared" si="22"/>
        <v>NI</v>
      </c>
      <c r="B248" s="350">
        <v>21301</v>
      </c>
      <c r="C248" s="350" t="s">
        <v>209</v>
      </c>
      <c r="D248" s="340">
        <v>10373275742</v>
      </c>
      <c r="E248" s="341">
        <v>1424192.3299999833</v>
      </c>
      <c r="F248" s="829">
        <f>+SUMIF(Composición!C:C,'BG 2023'!B248,Composición!G:G)</f>
        <v>0</v>
      </c>
      <c r="G248" s="830">
        <f>+F248-D248</f>
        <v>-10373275742</v>
      </c>
      <c r="H248" s="828">
        <f>+VLOOKUP(B248,Composición!$C:$C,1,0)</f>
        <v>21301</v>
      </c>
      <c r="I248" s="829"/>
      <c r="J248" s="829"/>
    </row>
    <row r="249" spans="1:10" s="14" customFormat="1" ht="16.5" customHeight="1">
      <c r="A249" s="31" t="str">
        <f t="shared" si="22"/>
        <v>NI</v>
      </c>
      <c r="B249" s="350">
        <v>213011</v>
      </c>
      <c r="C249" s="350" t="s">
        <v>210</v>
      </c>
      <c r="D249" s="340">
        <v>10373275742</v>
      </c>
      <c r="E249" s="341">
        <v>1424192.3300000131</v>
      </c>
      <c r="F249" s="829"/>
      <c r="G249" s="829"/>
      <c r="H249" s="828">
        <f>+VLOOKUP(B249,Composición!$C:$C,1,0)</f>
        <v>213011</v>
      </c>
      <c r="I249" s="829"/>
      <c r="J249" s="829"/>
    </row>
    <row r="250" spans="1:10" s="14" customFormat="1" ht="16.5" customHeight="1">
      <c r="A250" s="31" t="str">
        <f t="shared" si="22"/>
        <v>NI</v>
      </c>
      <c r="B250" s="350">
        <v>2130111</v>
      </c>
      <c r="C250" s="350" t="s">
        <v>211</v>
      </c>
      <c r="D250" s="340">
        <v>10370861769</v>
      </c>
      <c r="E250" s="341">
        <v>1423860.9099999964</v>
      </c>
      <c r="F250" s="829"/>
      <c r="G250" s="829"/>
      <c r="H250" s="828">
        <f>+VLOOKUP(B250,Composición!$C:$C,1,0)</f>
        <v>2130111</v>
      </c>
      <c r="I250" s="829"/>
      <c r="J250" s="829"/>
    </row>
    <row r="251" spans="1:10" s="14" customFormat="1" ht="16.5" customHeight="1">
      <c r="A251" s="31" t="str">
        <f t="shared" si="22"/>
        <v>NI</v>
      </c>
      <c r="B251" s="350">
        <v>21301113</v>
      </c>
      <c r="C251" s="350" t="s">
        <v>212</v>
      </c>
      <c r="D251" s="340">
        <v>10370861769</v>
      </c>
      <c r="E251" s="341">
        <v>1423860.9099999964</v>
      </c>
      <c r="F251" s="829"/>
      <c r="G251" s="829"/>
      <c r="H251" s="828">
        <f>+VLOOKUP(B251,Composición!$C:$C,1,0)</f>
        <v>21301113</v>
      </c>
      <c r="I251" s="829"/>
      <c r="J251" s="829"/>
    </row>
    <row r="252" spans="1:10" s="14" customFormat="1" ht="16.5" customHeight="1">
      <c r="A252" s="14" t="str">
        <f t="shared" si="22"/>
        <v>I</v>
      </c>
      <c r="B252" s="345">
        <v>2130111301</v>
      </c>
      <c r="C252" s="345" t="s">
        <v>17</v>
      </c>
      <c r="D252" s="347">
        <v>10370861769</v>
      </c>
      <c r="E252" s="348">
        <v>1423860.9099999964</v>
      </c>
      <c r="F252" s="829"/>
      <c r="G252" s="829"/>
      <c r="H252" s="828">
        <f>+VLOOKUP(B252,Composición!$C:$C,1,0)</f>
        <v>2130111301</v>
      </c>
      <c r="I252" s="829"/>
      <c r="J252" s="829"/>
    </row>
    <row r="253" spans="1:10" s="14" customFormat="1" ht="16.5" customHeight="1">
      <c r="A253" s="31" t="str">
        <f t="shared" si="22"/>
        <v>NI</v>
      </c>
      <c r="B253" s="350">
        <v>2130112</v>
      </c>
      <c r="C253" s="350" t="s">
        <v>20</v>
      </c>
      <c r="D253" s="340">
        <v>2413973</v>
      </c>
      <c r="E253" s="341">
        <v>331.42000000004191</v>
      </c>
      <c r="F253" s="829">
        <f>+SUMIF(Composición!C:C,'BG 2023'!B253,Composición!G:G)</f>
        <v>0</v>
      </c>
      <c r="G253" s="830">
        <f t="shared" ref="G253:G254" si="26">+F253-D253</f>
        <v>-2413973</v>
      </c>
      <c r="H253" s="828">
        <f>+VLOOKUP(B253,Composición!$C:$C,1,0)</f>
        <v>2130112</v>
      </c>
      <c r="I253" s="829"/>
      <c r="J253" s="829"/>
    </row>
    <row r="254" spans="1:10" s="14" customFormat="1" ht="16.5" customHeight="1">
      <c r="A254" s="798" t="str">
        <f t="shared" si="22"/>
        <v>NI</v>
      </c>
      <c r="B254" s="803">
        <v>21301123</v>
      </c>
      <c r="C254" s="803" t="s">
        <v>19</v>
      </c>
      <c r="D254" s="804">
        <v>2413973</v>
      </c>
      <c r="E254" s="805">
        <v>331.42000000004191</v>
      </c>
      <c r="F254" s="831">
        <f>+SUMIF(Composición!C:C,'BG 2023'!B254,Composición!G:G)</f>
        <v>0</v>
      </c>
      <c r="G254" s="833">
        <f t="shared" si="26"/>
        <v>-2413973</v>
      </c>
      <c r="H254" s="832">
        <f>+VLOOKUP(B254,Composición!$C:$C,1,0)</f>
        <v>21301123</v>
      </c>
      <c r="I254" s="829"/>
      <c r="J254" s="829"/>
    </row>
    <row r="255" spans="1:10" s="14" customFormat="1" ht="16.5" customHeight="1">
      <c r="A255" s="802" t="str">
        <f t="shared" si="22"/>
        <v>I</v>
      </c>
      <c r="B255" s="799">
        <v>2130112301</v>
      </c>
      <c r="C255" s="799" t="s">
        <v>17</v>
      </c>
      <c r="D255" s="800">
        <v>2413973</v>
      </c>
      <c r="E255" s="801">
        <v>331.42000000004191</v>
      </c>
      <c r="F255" s="831"/>
      <c r="G255" s="831"/>
      <c r="H255" s="832">
        <f>+VLOOKUP(B255,Composición!$C:$C,1,0)</f>
        <v>2130112301</v>
      </c>
      <c r="I255" s="829"/>
      <c r="J255" s="829"/>
    </row>
    <row r="256" spans="1:10" s="14" customFormat="1" ht="16.5" customHeight="1">
      <c r="A256" s="31" t="str">
        <f t="shared" si="22"/>
        <v>NI</v>
      </c>
      <c r="B256" s="350">
        <v>21303</v>
      </c>
      <c r="C256" s="350" t="s">
        <v>110</v>
      </c>
      <c r="D256" s="340">
        <v>7748868599</v>
      </c>
      <c r="E256" s="341">
        <v>1063876.0130000003</v>
      </c>
      <c r="F256" s="829"/>
      <c r="G256" s="829"/>
      <c r="H256" s="828">
        <f>+VLOOKUP(B256,Composición!$C:$C,1,0)</f>
        <v>21303</v>
      </c>
      <c r="I256" s="829"/>
      <c r="J256" s="829"/>
    </row>
    <row r="257" spans="1:10" s="14" customFormat="1" ht="16.5" customHeight="1">
      <c r="A257" s="31" t="str">
        <f t="shared" si="22"/>
        <v>NI</v>
      </c>
      <c r="B257" s="350">
        <v>213031</v>
      </c>
      <c r="C257" s="350" t="s">
        <v>213</v>
      </c>
      <c r="D257" s="340">
        <v>7748868599</v>
      </c>
      <c r="E257" s="341">
        <v>1063876.0130000003</v>
      </c>
      <c r="F257" s="829"/>
      <c r="G257" s="829"/>
      <c r="H257" s="828">
        <f>+VLOOKUP(B257,Composición!$C:$C,1,0)</f>
        <v>213031</v>
      </c>
      <c r="I257" s="829"/>
      <c r="J257" s="829"/>
    </row>
    <row r="258" spans="1:10" s="14" customFormat="1" ht="16.5" customHeight="1">
      <c r="A258" s="31" t="str">
        <f t="shared" si="22"/>
        <v>NI</v>
      </c>
      <c r="B258" s="350">
        <v>2130311</v>
      </c>
      <c r="C258" s="350" t="s">
        <v>214</v>
      </c>
      <c r="D258" s="340">
        <v>7748868599</v>
      </c>
      <c r="E258" s="341">
        <v>1063876.0130000003</v>
      </c>
      <c r="F258" s="829"/>
      <c r="G258" s="829"/>
      <c r="H258" s="828">
        <f>+VLOOKUP(B258,Composición!$C:$C,1,0)</f>
        <v>2130311</v>
      </c>
      <c r="I258" s="829"/>
      <c r="J258" s="829"/>
    </row>
    <row r="259" spans="1:10" s="14" customFormat="1" ht="16.5" customHeight="1">
      <c r="A259" s="31" t="str">
        <f t="shared" si="22"/>
        <v>NI</v>
      </c>
      <c r="B259" s="350">
        <v>21303111</v>
      </c>
      <c r="C259" s="350" t="s">
        <v>215</v>
      </c>
      <c r="D259" s="340">
        <v>197328124</v>
      </c>
      <c r="E259" s="341">
        <v>27092.039999999994</v>
      </c>
      <c r="F259" s="829"/>
      <c r="G259" s="829"/>
      <c r="H259" s="828">
        <f>+VLOOKUP(B259,Composición!$C:$C,1,0)</f>
        <v>21303111</v>
      </c>
      <c r="I259" s="829"/>
      <c r="J259" s="829"/>
    </row>
    <row r="260" spans="1:10" s="14" customFormat="1" ht="16.5" customHeight="1">
      <c r="A260" s="14" t="str">
        <f t="shared" si="22"/>
        <v>I</v>
      </c>
      <c r="B260" s="345">
        <v>2130311102</v>
      </c>
      <c r="C260" s="345" t="s">
        <v>216</v>
      </c>
      <c r="D260" s="347">
        <v>197328124</v>
      </c>
      <c r="E260" s="348">
        <v>27092.04</v>
      </c>
      <c r="F260" s="829"/>
      <c r="G260" s="829"/>
      <c r="H260" s="828">
        <f>+VLOOKUP(B260,Composición!$C:$C,1,0)</f>
        <v>2130311102</v>
      </c>
      <c r="I260" s="829"/>
      <c r="J260" s="829"/>
    </row>
    <row r="261" spans="1:10" s="14" customFormat="1" ht="16.5" customHeight="1">
      <c r="A261" s="31" t="str">
        <f t="shared" si="22"/>
        <v>NI</v>
      </c>
      <c r="B261" s="350">
        <v>21303112</v>
      </c>
      <c r="C261" s="350" t="s">
        <v>217</v>
      </c>
      <c r="D261" s="340">
        <v>-86466605</v>
      </c>
      <c r="E261" s="341">
        <v>-11871.377000000008</v>
      </c>
      <c r="F261" s="829"/>
      <c r="G261" s="829"/>
      <c r="H261" s="828">
        <f>+VLOOKUP(B261,Composición!$C:$C,1,0)</f>
        <v>21303112</v>
      </c>
      <c r="I261" s="829"/>
      <c r="J261" s="829"/>
    </row>
    <row r="262" spans="1:10" s="14" customFormat="1" ht="16.5" customHeight="1">
      <c r="A262" s="14" t="str">
        <f t="shared" si="22"/>
        <v>I</v>
      </c>
      <c r="B262" s="345">
        <v>2130311202</v>
      </c>
      <c r="C262" s="345" t="s">
        <v>218</v>
      </c>
      <c r="D262" s="347">
        <v>-86466605</v>
      </c>
      <c r="E262" s="348">
        <v>-11871.377</v>
      </c>
      <c r="F262" s="829"/>
      <c r="G262" s="829"/>
      <c r="H262" s="828">
        <f>+VLOOKUP(B262,Composición!$C:$C,1,0)</f>
        <v>2130311202</v>
      </c>
      <c r="I262" s="829"/>
      <c r="J262" s="829"/>
    </row>
    <row r="263" spans="1:10" s="14" customFormat="1" ht="16.5" customHeight="1">
      <c r="A263" s="31" t="str">
        <f t="shared" si="22"/>
        <v>NI</v>
      </c>
      <c r="B263" s="350">
        <v>21303113</v>
      </c>
      <c r="C263" s="350" t="s">
        <v>219</v>
      </c>
      <c r="D263" s="340">
        <v>7638007080</v>
      </c>
      <c r="E263" s="341">
        <v>1048655.3499999978</v>
      </c>
      <c r="F263" s="829">
        <f>+SUMIF(Composición!C:C,'BG 2023'!B263,Composición!G:G)</f>
        <v>0</v>
      </c>
      <c r="G263" s="830">
        <f>+F263-D263</f>
        <v>-7638007080</v>
      </c>
      <c r="H263" s="828">
        <f>+VLOOKUP(B263,Composición!$C:$C,1,0)</f>
        <v>21303113</v>
      </c>
      <c r="I263" s="829"/>
      <c r="J263" s="829"/>
    </row>
    <row r="264" spans="1:10" s="14" customFormat="1" ht="16.5" customHeight="1">
      <c r="A264" s="14" t="str">
        <f t="shared" si="22"/>
        <v>I</v>
      </c>
      <c r="B264" s="345">
        <v>2130311302</v>
      </c>
      <c r="C264" s="345" t="s">
        <v>220</v>
      </c>
      <c r="D264" s="347">
        <v>7638007080</v>
      </c>
      <c r="E264" s="348">
        <v>1048655.3499999996</v>
      </c>
      <c r="F264" s="829"/>
      <c r="G264" s="829"/>
      <c r="H264" s="828">
        <f>+VLOOKUP(B264,Composición!$C:$C,1,0)</f>
        <v>2130311302</v>
      </c>
      <c r="I264" s="829"/>
      <c r="J264" s="829"/>
    </row>
    <row r="265" spans="1:10" s="14" customFormat="1" ht="16.5" customHeight="1">
      <c r="A265" s="31" t="str">
        <f t="shared" si="22"/>
        <v>NI</v>
      </c>
      <c r="B265" s="350">
        <v>214</v>
      </c>
      <c r="C265" s="350" t="s">
        <v>221</v>
      </c>
      <c r="D265" s="340">
        <v>2099975257</v>
      </c>
      <c r="E265" s="341">
        <v>288314.76</v>
      </c>
      <c r="F265" s="829"/>
      <c r="G265" s="829"/>
      <c r="H265" s="828">
        <f>+VLOOKUP(B265,Composición!$C:$C,1,0)</f>
        <v>214</v>
      </c>
      <c r="I265" s="829"/>
      <c r="J265" s="829"/>
    </row>
    <row r="266" spans="1:10" s="14" customFormat="1" ht="16.5" customHeight="1">
      <c r="A266" s="31" t="str">
        <f t="shared" si="22"/>
        <v>NI</v>
      </c>
      <c r="B266" s="350">
        <v>21401</v>
      </c>
      <c r="C266" s="350" t="s">
        <v>222</v>
      </c>
      <c r="D266" s="340">
        <v>1334461909</v>
      </c>
      <c r="E266" s="341">
        <v>183214.10000000003</v>
      </c>
      <c r="F266" s="829"/>
      <c r="G266" s="829"/>
      <c r="H266" s="828">
        <f>+VLOOKUP(B266,Composición!$C:$C,1,0)</f>
        <v>21401</v>
      </c>
      <c r="I266" s="829"/>
      <c r="J266" s="829"/>
    </row>
    <row r="267" spans="1:10" s="14" customFormat="1" ht="16.5" customHeight="1">
      <c r="A267" s="31" t="str">
        <f t="shared" si="22"/>
        <v>NI</v>
      </c>
      <c r="B267" s="350">
        <v>214011</v>
      </c>
      <c r="C267" s="350" t="s">
        <v>222</v>
      </c>
      <c r="D267" s="340">
        <v>1334461909</v>
      </c>
      <c r="E267" s="341">
        <v>183214.10000000003</v>
      </c>
      <c r="F267" s="829"/>
      <c r="G267" s="829"/>
      <c r="H267" s="828">
        <f>+VLOOKUP(B267,Composición!$C:$C,1,0)</f>
        <v>214011</v>
      </c>
      <c r="I267" s="829"/>
      <c r="J267" s="829"/>
    </row>
    <row r="268" spans="1:10" s="14" customFormat="1" ht="16.5" customHeight="1">
      <c r="A268" s="31" t="str">
        <f t="shared" si="22"/>
        <v>NI</v>
      </c>
      <c r="B268" s="350">
        <v>2140111</v>
      </c>
      <c r="C268" s="350" t="s">
        <v>222</v>
      </c>
      <c r="D268" s="340">
        <v>1334461909</v>
      </c>
      <c r="E268" s="341">
        <v>183214.10000000003</v>
      </c>
      <c r="F268" s="829"/>
      <c r="G268" s="829"/>
      <c r="H268" s="828">
        <f>+VLOOKUP(B268,Composición!$C:$C,1,0)</f>
        <v>2140111</v>
      </c>
      <c r="I268" s="829"/>
      <c r="J268" s="829"/>
    </row>
    <row r="269" spans="1:10" s="14" customFormat="1" ht="16.5" customHeight="1">
      <c r="A269" s="31" t="str">
        <f t="shared" si="22"/>
        <v>NI</v>
      </c>
      <c r="B269" s="350">
        <v>21401111</v>
      </c>
      <c r="C269" s="350" t="s">
        <v>223</v>
      </c>
      <c r="D269" s="340">
        <v>1334461909</v>
      </c>
      <c r="E269" s="341">
        <v>183214.10000000003</v>
      </c>
      <c r="F269" s="829"/>
      <c r="G269" s="829"/>
      <c r="H269" s="828">
        <f>+VLOOKUP(B269,Composición!$C:$C,1,0)</f>
        <v>21401111</v>
      </c>
      <c r="I269" s="829"/>
      <c r="J269" s="829"/>
    </row>
    <row r="270" spans="1:10" s="14" customFormat="1" ht="16.5" customHeight="1">
      <c r="A270" s="14" t="str">
        <f t="shared" si="22"/>
        <v>I</v>
      </c>
      <c r="B270" s="345">
        <v>2140111103</v>
      </c>
      <c r="C270" s="345" t="s">
        <v>224</v>
      </c>
      <c r="D270" s="347">
        <v>188609064</v>
      </c>
      <c r="E270" s="348">
        <v>25894.960000000021</v>
      </c>
      <c r="F270" s="829">
        <f>+SUMIF(Composición!C:C,'BG 2023'!B270,Composición!G:G)</f>
        <v>100739388</v>
      </c>
      <c r="G270" s="830">
        <f>+F270-D270</f>
        <v>-87869676</v>
      </c>
      <c r="H270" s="828">
        <f>+VLOOKUP(B270,Composición!$C:$C,1,0)</f>
        <v>2140111103</v>
      </c>
      <c r="I270" s="829"/>
      <c r="J270" s="829"/>
    </row>
    <row r="271" spans="1:10" s="14" customFormat="1" ht="16.5" customHeight="1">
      <c r="A271" s="14" t="str">
        <f t="shared" si="22"/>
        <v>I</v>
      </c>
      <c r="B271" s="345">
        <v>2140111111</v>
      </c>
      <c r="C271" s="345" t="s">
        <v>225</v>
      </c>
      <c r="D271" s="347">
        <v>969740000</v>
      </c>
      <c r="E271" s="348">
        <v>133139.84</v>
      </c>
      <c r="F271" s="829"/>
      <c r="G271" s="829"/>
      <c r="H271" s="828">
        <f>+VLOOKUP(B271,Composición!$C:$C,1,0)</f>
        <v>2140111111</v>
      </c>
      <c r="I271" s="829"/>
      <c r="J271" s="829"/>
    </row>
    <row r="272" spans="1:10" s="14" customFormat="1" ht="16.5" customHeight="1">
      <c r="A272" s="14" t="str">
        <f t="shared" si="22"/>
        <v>I</v>
      </c>
      <c r="B272" s="345">
        <v>2140111112</v>
      </c>
      <c r="C272" s="345" t="s">
        <v>226</v>
      </c>
      <c r="D272" s="347">
        <v>176112845</v>
      </c>
      <c r="E272" s="348">
        <v>24179.3</v>
      </c>
      <c r="F272" s="829"/>
      <c r="G272" s="829"/>
      <c r="H272" s="828">
        <f>+VLOOKUP(B272,Composición!$C:$C,1,0)</f>
        <v>2140111112</v>
      </c>
      <c r="I272" s="829"/>
      <c r="J272" s="829"/>
    </row>
    <row r="273" spans="1:10" s="14" customFormat="1" ht="16.5" customHeight="1">
      <c r="A273" s="31" t="str">
        <f t="shared" si="22"/>
        <v>NI</v>
      </c>
      <c r="B273" s="350">
        <v>21402</v>
      </c>
      <c r="C273" s="350" t="s">
        <v>227</v>
      </c>
      <c r="D273" s="340">
        <v>698505102</v>
      </c>
      <c r="E273" s="341">
        <v>95900.81</v>
      </c>
      <c r="F273" s="829"/>
      <c r="G273" s="829"/>
      <c r="H273" s="828">
        <f>+VLOOKUP(B273,Composición!$C:$C,1,0)</f>
        <v>21402</v>
      </c>
      <c r="I273" s="829"/>
      <c r="J273" s="829"/>
    </row>
    <row r="274" spans="1:10" s="14" customFormat="1" ht="16.5" customHeight="1">
      <c r="A274" s="31" t="str">
        <f t="shared" si="22"/>
        <v>NI</v>
      </c>
      <c r="B274" s="350">
        <v>214021</v>
      </c>
      <c r="C274" s="350" t="s">
        <v>227</v>
      </c>
      <c r="D274" s="340">
        <v>698505102</v>
      </c>
      <c r="E274" s="341">
        <v>95900.81</v>
      </c>
      <c r="F274" s="829"/>
      <c r="G274" s="829"/>
      <c r="H274" s="828">
        <f>+VLOOKUP(B274,Composición!$C:$C,1,0)</f>
        <v>214021</v>
      </c>
      <c r="I274" s="829"/>
      <c r="J274" s="829"/>
    </row>
    <row r="275" spans="1:10" s="14" customFormat="1" ht="16.5" customHeight="1">
      <c r="A275" s="31" t="str">
        <f t="shared" si="22"/>
        <v>NI</v>
      </c>
      <c r="B275" s="350">
        <v>2140211</v>
      </c>
      <c r="C275" s="350" t="s">
        <v>227</v>
      </c>
      <c r="D275" s="340">
        <v>698505102</v>
      </c>
      <c r="E275" s="341">
        <v>95900.81</v>
      </c>
      <c r="F275" s="829"/>
      <c r="G275" s="829"/>
      <c r="H275" s="828">
        <f>+VLOOKUP(B275,Composición!$C:$C,1,0)</f>
        <v>2140211</v>
      </c>
      <c r="I275" s="829"/>
      <c r="J275" s="829"/>
    </row>
    <row r="276" spans="1:10" s="14" customFormat="1" ht="16.5" customHeight="1">
      <c r="A276" s="31" t="str">
        <f t="shared" si="22"/>
        <v>NI</v>
      </c>
      <c r="B276" s="350">
        <v>21402111</v>
      </c>
      <c r="C276" s="350" t="s">
        <v>227</v>
      </c>
      <c r="D276" s="340">
        <v>698505102</v>
      </c>
      <c r="E276" s="341">
        <v>95900.81</v>
      </c>
      <c r="F276" s="829"/>
      <c r="G276" s="829"/>
      <c r="H276" s="828">
        <f>+VLOOKUP(B276,Composición!$C:$C,1,0)</f>
        <v>21402111</v>
      </c>
      <c r="I276" s="829"/>
      <c r="J276" s="829"/>
    </row>
    <row r="277" spans="1:10" s="14" customFormat="1" ht="16.5" customHeight="1">
      <c r="A277" s="14" t="str">
        <f t="shared" si="22"/>
        <v>I</v>
      </c>
      <c r="B277" s="345">
        <v>2140211101</v>
      </c>
      <c r="C277" s="345" t="s">
        <v>228</v>
      </c>
      <c r="D277" s="347">
        <v>426755525</v>
      </c>
      <c r="E277" s="348">
        <v>58591.13</v>
      </c>
      <c r="F277" s="829">
        <f>+SUMIF(Composición!C:C,'BG 2023'!B277,Composición!G:G)</f>
        <v>1666191338</v>
      </c>
      <c r="G277" s="830">
        <f t="shared" ref="G277:G278" si="27">+F277-D277</f>
        <v>1239435813</v>
      </c>
      <c r="H277" s="828">
        <f>+VLOOKUP(B277,Composición!$C:$C,1,0)</f>
        <v>2140211101</v>
      </c>
      <c r="I277" s="829"/>
      <c r="J277" s="829"/>
    </row>
    <row r="278" spans="1:10" s="14" customFormat="1" ht="16.5" customHeight="1">
      <c r="A278" s="14" t="str">
        <f t="shared" si="22"/>
        <v>I</v>
      </c>
      <c r="B278" s="345">
        <v>2140211104</v>
      </c>
      <c r="C278" s="345" t="s">
        <v>229</v>
      </c>
      <c r="D278" s="347">
        <v>262610286</v>
      </c>
      <c r="E278" s="348">
        <v>36054.910000000003</v>
      </c>
      <c r="F278" s="829">
        <f>+SUMIF(Composición!C:C,'BG 2023'!B278,Composición!G:G)</f>
        <v>252656625</v>
      </c>
      <c r="G278" s="830">
        <f t="shared" si="27"/>
        <v>-9953661</v>
      </c>
      <c r="H278" s="828">
        <f>+VLOOKUP(B278,Composición!$C:$C,1,0)</f>
        <v>2140211104</v>
      </c>
      <c r="I278" s="829"/>
      <c r="J278" s="829"/>
    </row>
    <row r="279" spans="1:10" s="14" customFormat="1" ht="16.5" customHeight="1">
      <c r="B279" s="345">
        <v>2140211105</v>
      </c>
      <c r="C279" s="345" t="s">
        <v>230</v>
      </c>
      <c r="D279" s="347">
        <v>3305700</v>
      </c>
      <c r="E279" s="348">
        <v>453.84999999999854</v>
      </c>
      <c r="F279" s="829"/>
      <c r="G279" s="829"/>
      <c r="H279" s="828">
        <f>+VLOOKUP(B279,Composición!$C:$C,1,0)</f>
        <v>2140211105</v>
      </c>
      <c r="I279" s="829"/>
      <c r="J279" s="829"/>
    </row>
    <row r="280" spans="1:10" s="14" customFormat="1" ht="16.5" customHeight="1">
      <c r="A280" s="14" t="str">
        <f t="shared" si="22"/>
        <v>I</v>
      </c>
      <c r="B280" s="345">
        <v>2140211106</v>
      </c>
      <c r="C280" s="345" t="s">
        <v>231</v>
      </c>
      <c r="D280" s="347">
        <v>5833591</v>
      </c>
      <c r="E280" s="348">
        <v>800.92000000000189</v>
      </c>
      <c r="F280" s="829"/>
      <c r="G280" s="829"/>
      <c r="H280" s="828">
        <f>+VLOOKUP(B280,Composición!$C:$C,1,0)</f>
        <v>2140211106</v>
      </c>
      <c r="I280" s="829"/>
      <c r="J280" s="829"/>
    </row>
    <row r="281" spans="1:10" s="14" customFormat="1" ht="16.5" customHeight="1">
      <c r="A281" s="31" t="str">
        <f t="shared" ref="A281:A344" si="28">IF(LEN(B281)&gt;8,"I","NI")</f>
        <v>NI</v>
      </c>
      <c r="B281" s="350">
        <v>21403</v>
      </c>
      <c r="C281" s="350" t="s">
        <v>232</v>
      </c>
      <c r="D281" s="340">
        <v>60089865</v>
      </c>
      <c r="E281" s="341">
        <v>8250</v>
      </c>
      <c r="F281" s="829"/>
      <c r="G281" s="829"/>
      <c r="H281" s="828">
        <f>+VLOOKUP(B281,Composición!$C:$C,1,0)</f>
        <v>21403</v>
      </c>
      <c r="I281" s="829"/>
      <c r="J281" s="829"/>
    </row>
    <row r="282" spans="1:10" s="14" customFormat="1" ht="16.5" customHeight="1">
      <c r="A282" s="31" t="str">
        <f t="shared" si="28"/>
        <v>NI</v>
      </c>
      <c r="B282" s="350">
        <v>214031</v>
      </c>
      <c r="C282" s="350" t="s">
        <v>233</v>
      </c>
      <c r="D282" s="340">
        <v>60089865</v>
      </c>
      <c r="E282" s="341">
        <v>8250</v>
      </c>
      <c r="F282" s="829"/>
      <c r="G282" s="829"/>
      <c r="H282" s="828">
        <f>+VLOOKUP(B282,Composición!$C:$C,1,0)</f>
        <v>214031</v>
      </c>
      <c r="I282" s="829"/>
      <c r="J282" s="829"/>
    </row>
    <row r="283" spans="1:10" s="14" customFormat="1" ht="16.5" customHeight="1">
      <c r="A283" s="31" t="str">
        <f t="shared" si="28"/>
        <v>NI</v>
      </c>
      <c r="B283" s="350">
        <v>2140311</v>
      </c>
      <c r="C283" s="350" t="s">
        <v>233</v>
      </c>
      <c r="D283" s="340">
        <v>60089865</v>
      </c>
      <c r="E283" s="341">
        <v>8250</v>
      </c>
      <c r="F283" s="829"/>
      <c r="G283" s="829"/>
      <c r="H283" s="828">
        <f>+VLOOKUP(B283,Composición!$C:$C,1,0)</f>
        <v>2140311</v>
      </c>
      <c r="I283" s="829"/>
      <c r="J283" s="829"/>
    </row>
    <row r="284" spans="1:10" s="14" customFormat="1" ht="16.5" customHeight="1">
      <c r="A284" s="31" t="str">
        <f t="shared" si="28"/>
        <v>NI</v>
      </c>
      <c r="B284" s="350">
        <v>21403111</v>
      </c>
      <c r="C284" s="350" t="s">
        <v>233</v>
      </c>
      <c r="D284" s="340">
        <v>60089865</v>
      </c>
      <c r="E284" s="341">
        <v>8250</v>
      </c>
      <c r="F284" s="829"/>
      <c r="G284" s="829"/>
      <c r="H284" s="828">
        <f>+VLOOKUP(B284,Composición!$C:$C,1,0)</f>
        <v>21403111</v>
      </c>
      <c r="I284" s="829"/>
      <c r="J284" s="829"/>
    </row>
    <row r="285" spans="1:10" s="14" customFormat="1" ht="16.5" customHeight="1">
      <c r="A285" s="14" t="str">
        <f t="shared" si="28"/>
        <v>I</v>
      </c>
      <c r="B285" s="345">
        <v>2140311101</v>
      </c>
      <c r="C285" s="345" t="s">
        <v>234</v>
      </c>
      <c r="D285" s="347">
        <v>60089865</v>
      </c>
      <c r="E285" s="348">
        <v>8250</v>
      </c>
      <c r="F285" s="829"/>
      <c r="G285" s="829"/>
      <c r="H285" s="828">
        <f>+VLOOKUP(B285,Composición!$C:$C,1,0)</f>
        <v>2140311101</v>
      </c>
      <c r="I285" s="829"/>
      <c r="J285" s="829"/>
    </row>
    <row r="286" spans="1:10" s="14" customFormat="1" ht="16.5" customHeight="1">
      <c r="A286" s="31" t="str">
        <f t="shared" si="28"/>
        <v>NI</v>
      </c>
      <c r="B286" s="350">
        <v>21405</v>
      </c>
      <c r="C286" s="350" t="s">
        <v>232</v>
      </c>
      <c r="D286" s="340">
        <v>6918381</v>
      </c>
      <c r="E286" s="341">
        <v>949.84999999999945</v>
      </c>
      <c r="F286" s="829"/>
      <c r="G286" s="829"/>
      <c r="H286" s="828">
        <f>+VLOOKUP(B286,Composición!$C:$C,1,0)</f>
        <v>21405</v>
      </c>
      <c r="I286" s="829"/>
      <c r="J286" s="829"/>
    </row>
    <row r="287" spans="1:10" s="14" customFormat="1" ht="16.5" customHeight="1">
      <c r="A287" s="31" t="str">
        <f t="shared" si="28"/>
        <v>NI</v>
      </c>
      <c r="B287" s="350">
        <v>214051</v>
      </c>
      <c r="C287" s="350" t="s">
        <v>232</v>
      </c>
      <c r="D287" s="340">
        <v>6918381</v>
      </c>
      <c r="E287" s="341">
        <v>949.84999999999945</v>
      </c>
      <c r="F287" s="829">
        <f>+SUMIF(Composición!C:C,'BG 2023'!B287,Composición!G:G)</f>
        <v>0</v>
      </c>
      <c r="G287" s="830">
        <f>+F287-D287</f>
        <v>-6918381</v>
      </c>
      <c r="H287" s="828">
        <f>+VLOOKUP(B287,Composición!$C:$C,1,0)</f>
        <v>214051</v>
      </c>
      <c r="I287" s="829"/>
      <c r="J287" s="829"/>
    </row>
    <row r="288" spans="1:10" s="14" customFormat="1" ht="16.5" customHeight="1">
      <c r="A288" s="31" t="str">
        <f t="shared" si="28"/>
        <v>NI</v>
      </c>
      <c r="B288" s="350">
        <v>2140511</v>
      </c>
      <c r="C288" s="350" t="s">
        <v>232</v>
      </c>
      <c r="D288" s="340">
        <v>6918381</v>
      </c>
      <c r="E288" s="341">
        <v>949.84999999999945</v>
      </c>
      <c r="F288" s="829"/>
      <c r="G288" s="829"/>
      <c r="H288" s="828">
        <f>+VLOOKUP(B288,Composición!$C:$C,1,0)</f>
        <v>2140511</v>
      </c>
      <c r="I288" s="829"/>
      <c r="J288" s="829"/>
    </row>
    <row r="289" spans="1:10" s="14" customFormat="1" ht="16.5" customHeight="1">
      <c r="A289" s="31" t="str">
        <f t="shared" si="28"/>
        <v>NI</v>
      </c>
      <c r="B289" s="350">
        <v>21405111</v>
      </c>
      <c r="C289" s="350" t="s">
        <v>235</v>
      </c>
      <c r="D289" s="340">
        <v>6918381</v>
      </c>
      <c r="E289" s="341">
        <v>949.84999999999945</v>
      </c>
      <c r="F289" s="829">
        <f>+SUMIF(Composición!C:C,'BG 2023'!B289,Composición!G:G)</f>
        <v>0</v>
      </c>
      <c r="G289" s="830">
        <f>+F289-D289</f>
        <v>-6918381</v>
      </c>
      <c r="H289" s="828">
        <f>+VLOOKUP(B289,Composición!$C:$C,1,0)</f>
        <v>21405111</v>
      </c>
      <c r="I289" s="829"/>
      <c r="J289" s="829"/>
    </row>
    <row r="290" spans="1:10" s="14" customFormat="1" ht="16.5" customHeight="1">
      <c r="A290" s="14" t="str">
        <f t="shared" si="28"/>
        <v>I</v>
      </c>
      <c r="B290" s="345">
        <v>2140511101</v>
      </c>
      <c r="C290" s="345" t="s">
        <v>236</v>
      </c>
      <c r="D290" s="347">
        <v>5740766</v>
      </c>
      <c r="E290" s="348">
        <v>788.16999999999905</v>
      </c>
      <c r="F290" s="829"/>
      <c r="G290" s="829"/>
      <c r="H290" s="828">
        <f>+VLOOKUP(B290,Composición!$C:$C,1,0)</f>
        <v>2140511101</v>
      </c>
      <c r="I290" s="829"/>
      <c r="J290" s="829"/>
    </row>
    <row r="291" spans="1:10" s="14" customFormat="1" ht="16.5" customHeight="1">
      <c r="A291" s="14" t="str">
        <f t="shared" si="28"/>
        <v>I</v>
      </c>
      <c r="B291" s="345">
        <v>2140511102</v>
      </c>
      <c r="C291" s="345" t="s">
        <v>237</v>
      </c>
      <c r="D291" s="347">
        <v>1177615</v>
      </c>
      <c r="E291" s="348">
        <v>161.68000000000006</v>
      </c>
      <c r="F291" s="829">
        <f>+SUMIF(Composición!C:C,'BG 2023'!B291,Composición!G:G)</f>
        <v>122246</v>
      </c>
      <c r="G291" s="830">
        <f>+F291-D291</f>
        <v>-1055369</v>
      </c>
      <c r="H291" s="828">
        <f>+VLOOKUP(B291,Composición!$C:$C,1,0)</f>
        <v>2140511102</v>
      </c>
      <c r="I291" s="829"/>
      <c r="J291" s="829"/>
    </row>
    <row r="292" spans="1:10" s="14" customFormat="1" ht="16.5" customHeight="1">
      <c r="A292" s="31" t="str">
        <f t="shared" si="28"/>
        <v>NI</v>
      </c>
      <c r="B292" s="350">
        <v>3</v>
      </c>
      <c r="C292" s="350" t="s">
        <v>238</v>
      </c>
      <c r="D292" s="340">
        <v>52318473430</v>
      </c>
      <c r="E292" s="341">
        <v>7215529.4285999984</v>
      </c>
      <c r="F292" s="829"/>
      <c r="G292" s="829"/>
      <c r="H292" s="828">
        <f>+VLOOKUP(B292,Composición!$C:$C,1,0)</f>
        <v>3</v>
      </c>
      <c r="I292" s="829"/>
      <c r="J292" s="829"/>
    </row>
    <row r="293" spans="1:10" s="14" customFormat="1" ht="16.5" customHeight="1">
      <c r="A293" s="31" t="str">
        <f t="shared" si="28"/>
        <v>NI</v>
      </c>
      <c r="B293" s="350">
        <v>301</v>
      </c>
      <c r="C293" s="350" t="s">
        <v>239</v>
      </c>
      <c r="D293" s="340">
        <v>54350000000</v>
      </c>
      <c r="E293" s="341">
        <v>7605980.71</v>
      </c>
      <c r="F293" s="829">
        <f>+SUMIF(Composición!C:C,'BG 2023'!B293,Composición!G:G)</f>
        <v>0</v>
      </c>
      <c r="G293" s="830">
        <f>+F293-D293</f>
        <v>-54350000000</v>
      </c>
      <c r="H293" s="828">
        <f>+VLOOKUP(B293,Composición!$C:$C,1,0)</f>
        <v>301</v>
      </c>
      <c r="I293" s="829"/>
      <c r="J293" s="829"/>
    </row>
    <row r="294" spans="1:10" s="14" customFormat="1" ht="16.5" customHeight="1">
      <c r="A294" s="31" t="str">
        <f t="shared" si="28"/>
        <v>NI</v>
      </c>
      <c r="B294" s="350">
        <v>3011</v>
      </c>
      <c r="C294" s="350" t="s">
        <v>240</v>
      </c>
      <c r="D294" s="340">
        <v>54350000000</v>
      </c>
      <c r="E294" s="341">
        <v>7605980.71</v>
      </c>
      <c r="F294" s="829"/>
      <c r="G294" s="829"/>
      <c r="H294" s="828">
        <f>+VLOOKUP(B294,Composición!$C:$C,1,0)</f>
        <v>3011</v>
      </c>
      <c r="I294" s="829"/>
      <c r="J294" s="829"/>
    </row>
    <row r="295" spans="1:10" s="14" customFormat="1" ht="16.5" customHeight="1">
      <c r="A295" s="31" t="str">
        <f t="shared" si="28"/>
        <v>NI</v>
      </c>
      <c r="B295" s="350">
        <v>30111</v>
      </c>
      <c r="C295" s="350" t="s">
        <v>240</v>
      </c>
      <c r="D295" s="340">
        <v>54350000000</v>
      </c>
      <c r="E295" s="341">
        <v>7605980.71</v>
      </c>
      <c r="F295" s="829">
        <f>+SUMIF(Composición!C:C,'BG 2023'!B295,Composición!G:G)</f>
        <v>0</v>
      </c>
      <c r="G295" s="830">
        <f t="shared" ref="G295:G296" si="29">+F295-D295</f>
        <v>-54350000000</v>
      </c>
      <c r="H295" s="828">
        <f>+VLOOKUP(B295,Composición!$C:$C,1,0)</f>
        <v>30111</v>
      </c>
      <c r="I295" s="829"/>
      <c r="J295" s="829"/>
    </row>
    <row r="296" spans="1:10" s="14" customFormat="1" ht="16.5" customHeight="1">
      <c r="A296" s="31" t="str">
        <f t="shared" si="28"/>
        <v>NI</v>
      </c>
      <c r="B296" s="350">
        <v>301112</v>
      </c>
      <c r="C296" s="350" t="s">
        <v>241</v>
      </c>
      <c r="D296" s="340">
        <v>54350000000</v>
      </c>
      <c r="E296" s="341">
        <v>7605980.71</v>
      </c>
      <c r="F296" s="829">
        <f>+SUMIF(Composición!C:C,'BG 2023'!B296,Composición!G:G)</f>
        <v>0</v>
      </c>
      <c r="G296" s="830">
        <f t="shared" si="29"/>
        <v>-54350000000</v>
      </c>
      <c r="H296" s="828">
        <f>+VLOOKUP(B296,Composición!$C:$C,1,0)</f>
        <v>301112</v>
      </c>
      <c r="I296" s="829"/>
      <c r="J296" s="829"/>
    </row>
    <row r="297" spans="1:10" s="14" customFormat="1" ht="16.5" customHeight="1">
      <c r="A297" s="31" t="str">
        <f t="shared" si="28"/>
        <v>NI</v>
      </c>
      <c r="B297" s="350">
        <v>3011121</v>
      </c>
      <c r="C297" s="350" t="s">
        <v>241</v>
      </c>
      <c r="D297" s="340">
        <v>54350000000</v>
      </c>
      <c r="E297" s="341">
        <v>7605980.71</v>
      </c>
      <c r="F297" s="829"/>
      <c r="G297" s="829"/>
      <c r="H297" s="828">
        <f>+VLOOKUP(B297,Composición!$C:$C,1,0)</f>
        <v>3011121</v>
      </c>
      <c r="I297" s="829"/>
      <c r="J297" s="829"/>
    </row>
    <row r="298" spans="1:10" s="14" customFormat="1" ht="16.5" customHeight="1">
      <c r="A298" s="31" t="str">
        <f t="shared" si="28"/>
        <v>NI</v>
      </c>
      <c r="B298" s="350">
        <v>30111211</v>
      </c>
      <c r="C298" s="350" t="s">
        <v>241</v>
      </c>
      <c r="D298" s="340">
        <v>54350000000</v>
      </c>
      <c r="E298" s="341">
        <v>7605980.71</v>
      </c>
      <c r="F298" s="829">
        <f>+SUMIF(Composición!C:C,'BG 2023'!B298,Composición!G:G)</f>
        <v>0</v>
      </c>
      <c r="G298" s="830">
        <f t="shared" ref="G298:G299" si="30">+F298-D298</f>
        <v>-54350000000</v>
      </c>
      <c r="H298" s="828">
        <f>+VLOOKUP(B298,Composición!$C:$C,1,0)</f>
        <v>30111211</v>
      </c>
      <c r="I298" s="829"/>
      <c r="J298" s="829"/>
    </row>
    <row r="299" spans="1:10" s="14" customFormat="1" ht="16.5" customHeight="1">
      <c r="A299" s="14" t="str">
        <f t="shared" si="28"/>
        <v>I</v>
      </c>
      <c r="B299" s="345">
        <v>3011121101</v>
      </c>
      <c r="C299" s="345" t="s">
        <v>242</v>
      </c>
      <c r="D299" s="347">
        <v>54350000000</v>
      </c>
      <c r="E299" s="348">
        <v>7605980.71</v>
      </c>
      <c r="F299" s="829">
        <f>+SUMIF(Composición!C:C,'BG 2023'!B299,Composición!G:G)</f>
        <v>54350000000</v>
      </c>
      <c r="G299" s="830">
        <f t="shared" si="30"/>
        <v>0</v>
      </c>
      <c r="H299" s="828">
        <f>+VLOOKUP(B299,Composición!$C:$C,1,0)</f>
        <v>3011121101</v>
      </c>
      <c r="I299" s="829"/>
      <c r="J299" s="829"/>
    </row>
    <row r="300" spans="1:10" s="14" customFormat="1" ht="16.5" customHeight="1">
      <c r="A300" s="31" t="str">
        <f t="shared" si="28"/>
        <v>NI</v>
      </c>
      <c r="B300" s="350">
        <v>302</v>
      </c>
      <c r="C300" s="350" t="s">
        <v>243</v>
      </c>
      <c r="D300" s="340">
        <v>740857678</v>
      </c>
      <c r="E300" s="341">
        <v>105720.42</v>
      </c>
      <c r="F300" s="829"/>
      <c r="G300" s="829"/>
      <c r="H300" s="828">
        <f>+VLOOKUP(B300,Composición!$C:$C,1,0)</f>
        <v>302</v>
      </c>
      <c r="I300" s="829"/>
      <c r="J300" s="829"/>
    </row>
    <row r="301" spans="1:10" s="14" customFormat="1" ht="16.5" customHeight="1">
      <c r="A301" s="31" t="str">
        <f t="shared" si="28"/>
        <v>NI</v>
      </c>
      <c r="B301" s="350">
        <v>3021</v>
      </c>
      <c r="C301" s="350" t="s">
        <v>244</v>
      </c>
      <c r="D301" s="340">
        <v>740857678</v>
      </c>
      <c r="E301" s="341">
        <v>105720.42</v>
      </c>
      <c r="F301" s="829">
        <f>+SUMIF(Composición!C:C,'BG 2023'!B301,Composición!G:G)</f>
        <v>0</v>
      </c>
      <c r="G301" s="830">
        <f>+F301-D301</f>
        <v>-740857678</v>
      </c>
      <c r="H301" s="828">
        <f>+VLOOKUP(B301,Composición!$C:$C,1,0)</f>
        <v>3021</v>
      </c>
      <c r="I301" s="829"/>
      <c r="J301" s="829"/>
    </row>
    <row r="302" spans="1:10" s="14" customFormat="1" ht="16.5" customHeight="1">
      <c r="A302" s="31" t="str">
        <f t="shared" si="28"/>
        <v>NI</v>
      </c>
      <c r="B302" s="350">
        <v>30211</v>
      </c>
      <c r="C302" s="350" t="s">
        <v>244</v>
      </c>
      <c r="D302" s="340">
        <v>740857678</v>
      </c>
      <c r="E302" s="341">
        <v>105720.42</v>
      </c>
      <c r="F302" s="829"/>
      <c r="G302" s="829"/>
      <c r="H302" s="828">
        <f>+VLOOKUP(B302,Composición!$C:$C,1,0)</f>
        <v>30211</v>
      </c>
      <c r="I302" s="829"/>
      <c r="J302" s="829"/>
    </row>
    <row r="303" spans="1:10" s="14" customFormat="1" ht="16.5" customHeight="1">
      <c r="A303" s="31" t="str">
        <f t="shared" si="28"/>
        <v>NI</v>
      </c>
      <c r="B303" s="350">
        <v>302111</v>
      </c>
      <c r="C303" s="350" t="s">
        <v>244</v>
      </c>
      <c r="D303" s="340">
        <v>740857678</v>
      </c>
      <c r="E303" s="341">
        <v>105720.42</v>
      </c>
      <c r="F303" s="829">
        <f>+SUMIF(Composición!C:C,'BG 2023'!B303,Composición!G:G)</f>
        <v>0</v>
      </c>
      <c r="G303" s="830">
        <f>+F303-D303</f>
        <v>-740857678</v>
      </c>
      <c r="H303" s="828">
        <f>+VLOOKUP(B303,Composición!$C:$C,1,0)</f>
        <v>302111</v>
      </c>
      <c r="I303" s="829"/>
      <c r="J303" s="829"/>
    </row>
    <row r="304" spans="1:10" s="14" customFormat="1" ht="16.5" customHeight="1">
      <c r="A304" s="31" t="str">
        <f t="shared" si="28"/>
        <v>NI</v>
      </c>
      <c r="B304" s="350">
        <v>3021111</v>
      </c>
      <c r="C304" s="350" t="s">
        <v>244</v>
      </c>
      <c r="D304" s="340">
        <v>740857678</v>
      </c>
      <c r="E304" s="341">
        <v>105720.42</v>
      </c>
      <c r="F304" s="829"/>
      <c r="G304" s="829"/>
      <c r="H304" s="828">
        <f>+VLOOKUP(B304,Composición!$C:$C,1,0)</f>
        <v>3021111</v>
      </c>
      <c r="I304" s="829"/>
      <c r="J304" s="829"/>
    </row>
    <row r="305" spans="1:10" s="14" customFormat="1" ht="16.5" customHeight="1">
      <c r="A305" s="31" t="str">
        <f t="shared" si="28"/>
        <v>NI</v>
      </c>
      <c r="B305" s="350">
        <v>30211111</v>
      </c>
      <c r="C305" s="350" t="s">
        <v>244</v>
      </c>
      <c r="D305" s="340">
        <v>740857678</v>
      </c>
      <c r="E305" s="341">
        <v>105720.42</v>
      </c>
      <c r="F305" s="829">
        <f>+SUMIF(Composición!C:C,'BG 2023'!B305,Composición!G:G)</f>
        <v>0</v>
      </c>
      <c r="G305" s="830">
        <f>+F305-D305</f>
        <v>-740857678</v>
      </c>
      <c r="H305" s="828">
        <f>+VLOOKUP(B305,Composición!$C:$C,1,0)</f>
        <v>30211111</v>
      </c>
      <c r="I305" s="829"/>
      <c r="J305" s="829"/>
    </row>
    <row r="306" spans="1:10" s="14" customFormat="1" ht="16.5" customHeight="1">
      <c r="A306" s="14" t="str">
        <f t="shared" si="28"/>
        <v>I</v>
      </c>
      <c r="B306" s="345">
        <v>3021111101</v>
      </c>
      <c r="C306" s="345" t="s">
        <v>244</v>
      </c>
      <c r="D306" s="347">
        <v>740857678</v>
      </c>
      <c r="E306" s="348">
        <v>105720.42</v>
      </c>
      <c r="F306" s="829"/>
      <c r="G306" s="829"/>
      <c r="H306" s="828">
        <f>+VLOOKUP(B306,Composición!$C:$C,1,0)</f>
        <v>3021111101</v>
      </c>
      <c r="I306" s="829"/>
      <c r="J306" s="829"/>
    </row>
    <row r="307" spans="1:10" s="14" customFormat="1" ht="16.5" customHeight="1">
      <c r="A307" s="31" t="str">
        <f t="shared" si="28"/>
        <v>NI</v>
      </c>
      <c r="B307" s="350">
        <v>304</v>
      </c>
      <c r="C307" s="350" t="s">
        <v>245</v>
      </c>
      <c r="D307" s="340">
        <v>-2772384248</v>
      </c>
      <c r="E307" s="341">
        <v>-496171.70140000002</v>
      </c>
      <c r="F307" s="829">
        <f>+SUMIF(Composición!C:C,'BG 2023'!B307,Composición!G:G)</f>
        <v>0</v>
      </c>
      <c r="G307" s="830">
        <f>+F307-D307</f>
        <v>2772384248</v>
      </c>
      <c r="H307" s="828">
        <f>+VLOOKUP(B307,Composición!$C:$C,1,0)</f>
        <v>304</v>
      </c>
      <c r="I307" s="829"/>
      <c r="J307" s="829"/>
    </row>
    <row r="308" spans="1:10" s="14" customFormat="1" ht="16.5" customHeight="1">
      <c r="A308" s="31" t="str">
        <f t="shared" si="28"/>
        <v>NI</v>
      </c>
      <c r="B308" s="350">
        <v>3041</v>
      </c>
      <c r="C308" s="350" t="s">
        <v>246</v>
      </c>
      <c r="D308" s="340">
        <v>-2772384248</v>
      </c>
      <c r="E308" s="341">
        <v>-496171.70140000002</v>
      </c>
      <c r="F308" s="829"/>
      <c r="G308" s="829"/>
      <c r="H308" s="828">
        <f>+VLOOKUP(B308,Composición!$C:$C,1,0)</f>
        <v>3041</v>
      </c>
      <c r="I308" s="829"/>
      <c r="J308" s="829"/>
    </row>
    <row r="309" spans="1:10" s="14" customFormat="1" ht="16.5" customHeight="1">
      <c r="A309" s="31" t="str">
        <f t="shared" si="28"/>
        <v>NI</v>
      </c>
      <c r="B309" s="350">
        <v>30411</v>
      </c>
      <c r="C309" s="350" t="s">
        <v>246</v>
      </c>
      <c r="D309" s="340">
        <v>-2772384248</v>
      </c>
      <c r="E309" s="341">
        <v>-496171.70140000002</v>
      </c>
      <c r="F309" s="829">
        <f>+SUMIF(Composición!C:C,'BG 2023'!B309,Composición!G:G)</f>
        <v>0</v>
      </c>
      <c r="G309" s="830">
        <f t="shared" ref="G309:G310" si="31">+F309-D309</f>
        <v>2772384248</v>
      </c>
      <c r="H309" s="828">
        <f>+VLOOKUP(B309,Composición!$C:$C,1,0)</f>
        <v>30411</v>
      </c>
      <c r="I309" s="829"/>
      <c r="J309" s="829"/>
    </row>
    <row r="310" spans="1:10" s="14" customFormat="1" ht="16.5" customHeight="1">
      <c r="A310" s="31" t="str">
        <f t="shared" si="28"/>
        <v>NI</v>
      </c>
      <c r="B310" s="350">
        <v>304111</v>
      </c>
      <c r="C310" s="350" t="s">
        <v>246</v>
      </c>
      <c r="D310" s="340">
        <v>-2772384248</v>
      </c>
      <c r="E310" s="341">
        <v>-496171.70140000002</v>
      </c>
      <c r="F310" s="829">
        <f>+SUMIF(Composición!C:C,'BG 2023'!B310,Composición!G:G)</f>
        <v>0</v>
      </c>
      <c r="G310" s="830">
        <f t="shared" si="31"/>
        <v>2772384248</v>
      </c>
      <c r="H310" s="828">
        <f>+VLOOKUP(B310,Composición!$C:$C,1,0)</f>
        <v>304111</v>
      </c>
      <c r="I310" s="829"/>
      <c r="J310" s="829"/>
    </row>
    <row r="311" spans="1:10" s="14" customFormat="1" ht="16.5" customHeight="1">
      <c r="A311" s="31" t="str">
        <f t="shared" si="28"/>
        <v>NI</v>
      </c>
      <c r="B311" s="350">
        <v>3041111</v>
      </c>
      <c r="C311" s="350" t="s">
        <v>246</v>
      </c>
      <c r="D311" s="340">
        <v>-2772384248</v>
      </c>
      <c r="E311" s="341">
        <v>-496171.70140000002</v>
      </c>
      <c r="F311" s="829"/>
      <c r="G311" s="829"/>
      <c r="H311" s="828">
        <f>+VLOOKUP(B311,Composición!$C:$C,1,0)</f>
        <v>3041111</v>
      </c>
      <c r="I311" s="829"/>
      <c r="J311" s="829"/>
    </row>
    <row r="312" spans="1:10" s="14" customFormat="1" ht="16.5" customHeight="1">
      <c r="A312" s="31" t="str">
        <f t="shared" si="28"/>
        <v>NI</v>
      </c>
      <c r="B312" s="350">
        <v>30411111</v>
      </c>
      <c r="C312" s="350" t="s">
        <v>246</v>
      </c>
      <c r="D312" s="340">
        <v>-2772384248</v>
      </c>
      <c r="E312" s="341">
        <v>-496171.70140000002</v>
      </c>
      <c r="F312" s="829">
        <f>+SUMIF(Composición!C:C,'BG 2023'!B312,Composición!G:G)</f>
        <v>0</v>
      </c>
      <c r="G312" s="830">
        <f t="shared" ref="G312:G313" si="32">+F312-D312</f>
        <v>2772384248</v>
      </c>
      <c r="H312" s="828">
        <f>+VLOOKUP(B312,Composición!$C:$C,1,0)</f>
        <v>30411111</v>
      </c>
      <c r="I312" s="829"/>
      <c r="J312" s="829"/>
    </row>
    <row r="313" spans="1:10" s="14" customFormat="1" ht="16.5" customHeight="1">
      <c r="A313" s="14" t="str">
        <f t="shared" si="28"/>
        <v>I</v>
      </c>
      <c r="B313" s="345">
        <v>3041111101</v>
      </c>
      <c r="C313" s="345" t="s">
        <v>247</v>
      </c>
      <c r="D313" s="347">
        <v>-5941551458</v>
      </c>
      <c r="E313" s="348">
        <v>-919539.65</v>
      </c>
      <c r="F313" s="829">
        <f>+SUMIF(Composición!C:C,'BG 2023'!B313,Composición!G:G)</f>
        <v>-2930842608</v>
      </c>
      <c r="G313" s="830">
        <f t="shared" si="32"/>
        <v>3010708850</v>
      </c>
      <c r="H313" s="828">
        <f>+VLOOKUP(B313,Composición!$C:$C,1,0)</f>
        <v>3041111101</v>
      </c>
      <c r="I313" s="829"/>
      <c r="J313" s="829"/>
    </row>
    <row r="314" spans="1:10" s="14" customFormat="1" ht="16.5" customHeight="1">
      <c r="A314" s="14" t="str">
        <f t="shared" si="28"/>
        <v>I</v>
      </c>
      <c r="B314" s="345">
        <v>3041111102</v>
      </c>
      <c r="C314" s="345" t="s">
        <v>248</v>
      </c>
      <c r="D314" s="347">
        <v>3169167210</v>
      </c>
      <c r="E314" s="348">
        <v>423367.9486</v>
      </c>
      <c r="F314" s="829"/>
      <c r="G314" s="829"/>
      <c r="H314" s="828">
        <f>+VLOOKUP(B314,Composición!$C:$C,1,0)</f>
        <v>3041111102</v>
      </c>
      <c r="I314" s="829"/>
      <c r="J314" s="829"/>
    </row>
    <row r="315" spans="1:10" s="14" customFormat="1" ht="16.5" customHeight="1">
      <c r="A315" s="31" t="str">
        <f t="shared" si="28"/>
        <v>NI</v>
      </c>
      <c r="B315" s="350"/>
      <c r="C315" s="350"/>
      <c r="D315" s="340"/>
      <c r="E315" s="341"/>
      <c r="F315" s="829">
        <f>+SUMIF(Composición!C:C,'BG 2023'!B315,Composición!G:G)</f>
        <v>0</v>
      </c>
      <c r="G315" s="830">
        <f>+F315-D315</f>
        <v>0</v>
      </c>
      <c r="H315" s="828"/>
      <c r="I315" s="829"/>
      <c r="J315" s="829"/>
    </row>
    <row r="316" spans="1:10" s="14" customFormat="1" ht="16.5" customHeight="1">
      <c r="A316" s="31" t="str">
        <f t="shared" si="28"/>
        <v>NI</v>
      </c>
      <c r="B316" s="350">
        <v>6</v>
      </c>
      <c r="C316" s="350" t="s">
        <v>249</v>
      </c>
      <c r="D316" s="340">
        <v>1854581611119</v>
      </c>
      <c r="E316" s="341">
        <v>254623609.02000004</v>
      </c>
      <c r="F316" s="829"/>
      <c r="G316" s="829"/>
      <c r="H316" s="828">
        <f>+VLOOKUP(B316,Composición!$C:$C,1,0)</f>
        <v>6</v>
      </c>
      <c r="I316" s="829"/>
      <c r="J316" s="829"/>
    </row>
    <row r="317" spans="1:10" s="14" customFormat="1" ht="16.5" customHeight="1">
      <c r="A317" s="31" t="str">
        <f t="shared" si="28"/>
        <v>NI</v>
      </c>
      <c r="B317" s="350">
        <v>61</v>
      </c>
      <c r="C317" s="350" t="s">
        <v>250</v>
      </c>
      <c r="D317" s="340">
        <v>1854581611119</v>
      </c>
      <c r="E317" s="341">
        <v>254623609.02000004</v>
      </c>
      <c r="F317" s="829"/>
      <c r="G317" s="830">
        <f>+F317-D317</f>
        <v>-1854581611119</v>
      </c>
      <c r="H317" s="828">
        <f>+VLOOKUP(B317,Composición!$C:$C,1,0)</f>
        <v>61</v>
      </c>
      <c r="I317" s="829"/>
      <c r="J317" s="829"/>
    </row>
    <row r="318" spans="1:10" s="14" customFormat="1" ht="16.5" customHeight="1">
      <c r="A318" s="31" t="str">
        <f t="shared" si="28"/>
        <v>NI</v>
      </c>
      <c r="B318" s="350">
        <v>611</v>
      </c>
      <c r="C318" s="350" t="s">
        <v>251</v>
      </c>
      <c r="D318" s="340">
        <v>1854581611119</v>
      </c>
      <c r="E318" s="341">
        <v>254623609.01999998</v>
      </c>
      <c r="F318" s="829"/>
      <c r="G318" s="829"/>
      <c r="H318" s="828">
        <f>+VLOOKUP(B318,Composición!$C:$C,1,0)</f>
        <v>611</v>
      </c>
      <c r="I318" s="829"/>
      <c r="J318" s="829"/>
    </row>
    <row r="319" spans="1:10" s="14" customFormat="1" ht="16.5" customHeight="1">
      <c r="A319" s="31" t="str">
        <f t="shared" si="28"/>
        <v>NI</v>
      </c>
      <c r="B319" s="350">
        <v>61101</v>
      </c>
      <c r="C319" s="350" t="s">
        <v>251</v>
      </c>
      <c r="D319" s="340">
        <v>1854581611119</v>
      </c>
      <c r="E319" s="341">
        <v>254623609.01999998</v>
      </c>
      <c r="F319" s="829"/>
      <c r="G319" s="830">
        <f>+F319-D319</f>
        <v>-1854581611119</v>
      </c>
      <c r="H319" s="828">
        <f>+VLOOKUP(B319,Composición!$C:$C,1,0)</f>
        <v>61101</v>
      </c>
      <c r="I319" s="829"/>
      <c r="J319" s="829"/>
    </row>
    <row r="320" spans="1:10" s="14" customFormat="1" ht="16.5" customHeight="1">
      <c r="A320" s="31" t="str">
        <f t="shared" si="28"/>
        <v>NI</v>
      </c>
      <c r="B320" s="350">
        <v>611011</v>
      </c>
      <c r="C320" s="350" t="s">
        <v>251</v>
      </c>
      <c r="D320" s="340">
        <v>1854581611119</v>
      </c>
      <c r="E320" s="341">
        <v>254623609.01999998</v>
      </c>
      <c r="F320" s="829"/>
      <c r="G320" s="829"/>
      <c r="H320" s="828">
        <f>+VLOOKUP(B320,Composición!$C:$C,1,0)</f>
        <v>611011</v>
      </c>
      <c r="I320" s="829"/>
      <c r="J320" s="829"/>
    </row>
    <row r="321" spans="1:10" s="14" customFormat="1" ht="16.5" customHeight="1">
      <c r="A321" s="31" t="str">
        <f t="shared" si="28"/>
        <v>NI</v>
      </c>
      <c r="B321" s="350">
        <v>6110110</v>
      </c>
      <c r="C321" s="350" t="s">
        <v>252</v>
      </c>
      <c r="D321" s="340">
        <v>1485738850318</v>
      </c>
      <c r="E321" s="341">
        <v>203983575.51999998</v>
      </c>
      <c r="F321" s="829"/>
      <c r="G321" s="829"/>
      <c r="H321" s="828">
        <f>+VLOOKUP(B321,Composición!$C:$C,1,0)</f>
        <v>6110110</v>
      </c>
      <c r="I321" s="829"/>
      <c r="J321" s="829"/>
    </row>
    <row r="322" spans="1:10" s="14" customFormat="1" ht="16.5" customHeight="1">
      <c r="A322" s="31" t="str">
        <f t="shared" si="28"/>
        <v>NI</v>
      </c>
      <c r="B322" s="350">
        <v>61101101</v>
      </c>
      <c r="C322" s="350" t="s">
        <v>57</v>
      </c>
      <c r="D322" s="340">
        <v>13801001925</v>
      </c>
      <c r="E322" s="341">
        <v>1894799.83</v>
      </c>
      <c r="F322" s="829"/>
      <c r="G322" s="830">
        <f>+F322-D322</f>
        <v>-13801001925</v>
      </c>
      <c r="H322" s="828">
        <f>+VLOOKUP(B322,Composición!$C:$C,1,0)</f>
        <v>61101101</v>
      </c>
      <c r="I322" s="829"/>
      <c r="J322" s="829"/>
    </row>
    <row r="323" spans="1:10" s="14" customFormat="1" ht="16.5" customHeight="1">
      <c r="A323" s="14" t="str">
        <f t="shared" si="28"/>
        <v>I</v>
      </c>
      <c r="B323" s="345">
        <v>6110110101</v>
      </c>
      <c r="C323" s="345" t="s">
        <v>253</v>
      </c>
      <c r="D323" s="347">
        <v>13801001925</v>
      </c>
      <c r="E323" s="348">
        <v>1894799.83</v>
      </c>
      <c r="F323" s="829"/>
      <c r="G323" s="829"/>
      <c r="H323" s="828">
        <f>+VLOOKUP(B323,Composición!$C:$C,1,0)</f>
        <v>6110110101</v>
      </c>
      <c r="I323" s="829"/>
      <c r="J323" s="829"/>
    </row>
    <row r="324" spans="1:10" s="14" customFormat="1" ht="16.5" customHeight="1">
      <c r="A324" s="31" t="str">
        <f t="shared" si="28"/>
        <v>NI</v>
      </c>
      <c r="B324" s="350">
        <v>61101102</v>
      </c>
      <c r="C324" s="350" t="s">
        <v>254</v>
      </c>
      <c r="D324" s="340">
        <v>15131873288</v>
      </c>
      <c r="E324" s="341">
        <v>2077520.9699999997</v>
      </c>
      <c r="F324" s="829"/>
      <c r="G324" s="829"/>
      <c r="H324" s="828">
        <f>+VLOOKUP(B324,Composición!$C:$C,1,0)</f>
        <v>61101102</v>
      </c>
      <c r="I324" s="829"/>
      <c r="J324" s="829"/>
    </row>
    <row r="325" spans="1:10" s="14" customFormat="1" ht="16.5" customHeight="1">
      <c r="A325" s="14" t="str">
        <f t="shared" si="28"/>
        <v>I</v>
      </c>
      <c r="B325" s="345">
        <v>6110110201</v>
      </c>
      <c r="C325" s="345" t="s">
        <v>255</v>
      </c>
      <c r="D325" s="347">
        <v>15131873288</v>
      </c>
      <c r="E325" s="348">
        <v>2077520.9699999997</v>
      </c>
      <c r="F325" s="829"/>
      <c r="G325" s="829"/>
      <c r="H325" s="828">
        <f>+VLOOKUP(B325,Composición!$C:$C,1,0)</f>
        <v>6110110201</v>
      </c>
      <c r="I325" s="829"/>
      <c r="J325" s="829"/>
    </row>
    <row r="326" spans="1:10" s="14" customFormat="1" ht="16.5" customHeight="1">
      <c r="A326" s="31" t="str">
        <f t="shared" si="28"/>
        <v>NI</v>
      </c>
      <c r="B326" s="350">
        <v>61101103</v>
      </c>
      <c r="C326" s="350" t="s">
        <v>256</v>
      </c>
      <c r="D326" s="340">
        <v>53744915</v>
      </c>
      <c r="E326" s="341">
        <v>7378.8699999999944</v>
      </c>
      <c r="F326" s="829"/>
      <c r="G326" s="829"/>
      <c r="H326" s="828">
        <f>+VLOOKUP(B326,Composición!$C:$C,1,0)</f>
        <v>61101103</v>
      </c>
      <c r="I326" s="829"/>
      <c r="J326" s="829"/>
    </row>
    <row r="327" spans="1:10" s="14" customFormat="1" ht="16.5" customHeight="1">
      <c r="A327" s="14" t="str">
        <f t="shared" si="28"/>
        <v>I</v>
      </c>
      <c r="B327" s="345">
        <v>6110110301</v>
      </c>
      <c r="C327" s="345" t="s">
        <v>257</v>
      </c>
      <c r="D327" s="347">
        <v>53744915</v>
      </c>
      <c r="E327" s="348">
        <v>7378.8699999999944</v>
      </c>
      <c r="F327" s="829"/>
      <c r="G327" s="829"/>
      <c r="H327" s="828">
        <f>+VLOOKUP(B327,Composición!$C:$C,1,0)</f>
        <v>6110110301</v>
      </c>
      <c r="I327" s="829"/>
      <c r="J327" s="829"/>
    </row>
    <row r="328" spans="1:10" s="14" customFormat="1" ht="16.5" customHeight="1">
      <c r="A328" s="31" t="str">
        <f t="shared" si="28"/>
        <v>NI</v>
      </c>
      <c r="B328" s="350">
        <v>61101104</v>
      </c>
      <c r="C328" s="350" t="s">
        <v>258</v>
      </c>
      <c r="D328" s="340">
        <v>43517650832</v>
      </c>
      <c r="E328" s="341">
        <v>5974728.3399999999</v>
      </c>
      <c r="F328" s="829"/>
      <c r="G328" s="829"/>
      <c r="H328" s="828">
        <f>+VLOOKUP(B328,Composición!$C:$C,1,0)</f>
        <v>61101104</v>
      </c>
      <c r="I328" s="829"/>
      <c r="J328" s="829"/>
    </row>
    <row r="329" spans="1:10" s="14" customFormat="1" ht="16.5" customHeight="1">
      <c r="A329" s="14" t="str">
        <f t="shared" si="28"/>
        <v>I</v>
      </c>
      <c r="B329" s="345">
        <v>6110110401</v>
      </c>
      <c r="C329" s="345" t="s">
        <v>259</v>
      </c>
      <c r="D329" s="347">
        <v>43517650832</v>
      </c>
      <c r="E329" s="348">
        <v>5974728.3399999999</v>
      </c>
      <c r="F329" s="829"/>
      <c r="G329" s="830">
        <f>+F329-D329</f>
        <v>-43517650832</v>
      </c>
      <c r="H329" s="828">
        <f>+VLOOKUP(B329,Composición!$C:$C,1,0)</f>
        <v>6110110401</v>
      </c>
      <c r="I329" s="829"/>
      <c r="J329" s="829"/>
    </row>
    <row r="330" spans="1:10" s="14" customFormat="1" ht="16.5" customHeight="1">
      <c r="A330" s="31" t="str">
        <f t="shared" si="28"/>
        <v>NI</v>
      </c>
      <c r="B330" s="350">
        <v>61101105</v>
      </c>
      <c r="C330" s="350" t="s">
        <v>59</v>
      </c>
      <c r="D330" s="340">
        <v>107283831246</v>
      </c>
      <c r="E330" s="341">
        <v>14729465.730000002</v>
      </c>
      <c r="F330" s="829"/>
      <c r="G330" s="829"/>
      <c r="H330" s="828">
        <f>+VLOOKUP(B330,Composición!$C:$C,1,0)</f>
        <v>61101105</v>
      </c>
      <c r="I330" s="829"/>
      <c r="J330" s="829"/>
    </row>
    <row r="331" spans="1:10" s="14" customFormat="1" ht="16.5" customHeight="1">
      <c r="A331" s="14" t="str">
        <f t="shared" si="28"/>
        <v>I</v>
      </c>
      <c r="B331" s="345">
        <v>6110110501</v>
      </c>
      <c r="C331" s="345" t="s">
        <v>260</v>
      </c>
      <c r="D331" s="347">
        <v>93840000000</v>
      </c>
      <c r="E331" s="348">
        <v>12883703.43</v>
      </c>
      <c r="F331" s="829"/>
      <c r="G331" s="830">
        <f>+F331-D331</f>
        <v>-93840000000</v>
      </c>
      <c r="H331" s="828">
        <f>+VLOOKUP(B331,Composición!$C:$C,1,0)</f>
        <v>6110110501</v>
      </c>
      <c r="I331" s="829"/>
      <c r="J331" s="829"/>
    </row>
    <row r="332" spans="1:10" s="14" customFormat="1" ht="16.5" customHeight="1">
      <c r="A332" s="14" t="str">
        <f t="shared" si="28"/>
        <v>I</v>
      </c>
      <c r="B332" s="345">
        <v>6110110502</v>
      </c>
      <c r="C332" s="345" t="s">
        <v>261</v>
      </c>
      <c r="D332" s="347">
        <v>13443831246</v>
      </c>
      <c r="E332" s="348">
        <v>1845762.3000000003</v>
      </c>
      <c r="F332" s="829"/>
      <c r="G332" s="829"/>
      <c r="H332" s="828">
        <f>+VLOOKUP(B332,Composición!$C:$C,1,0)</f>
        <v>6110110502</v>
      </c>
      <c r="I332" s="829"/>
      <c r="J332" s="829"/>
    </row>
    <row r="333" spans="1:10" s="14" customFormat="1" ht="16.5" customHeight="1">
      <c r="A333" s="31" t="str">
        <f t="shared" si="28"/>
        <v>NI</v>
      </c>
      <c r="B333" s="350">
        <v>61101106</v>
      </c>
      <c r="C333" s="350" t="s">
        <v>60</v>
      </c>
      <c r="D333" s="340">
        <v>47775986197</v>
      </c>
      <c r="E333" s="341">
        <v>6559373.7999999989</v>
      </c>
      <c r="F333" s="829"/>
      <c r="G333" s="830">
        <f>+F333-D333</f>
        <v>-47775986197</v>
      </c>
      <c r="H333" s="828">
        <f>+VLOOKUP(B333,Composición!$C:$C,1,0)</f>
        <v>61101106</v>
      </c>
      <c r="I333" s="829"/>
      <c r="J333" s="829"/>
    </row>
    <row r="334" spans="1:10" s="14" customFormat="1" ht="16.5" customHeight="1">
      <c r="A334" s="14" t="str">
        <f t="shared" si="28"/>
        <v>I</v>
      </c>
      <c r="B334" s="345">
        <v>6110110601</v>
      </c>
      <c r="C334" s="345" t="s">
        <v>262</v>
      </c>
      <c r="D334" s="347">
        <v>43687152760</v>
      </c>
      <c r="E334" s="348">
        <v>5998000</v>
      </c>
      <c r="F334" s="829"/>
      <c r="G334" s="829"/>
      <c r="H334" s="828">
        <f>+VLOOKUP(B334,Composición!$C:$C,1,0)</f>
        <v>6110110601</v>
      </c>
      <c r="I334" s="829"/>
      <c r="J334" s="829"/>
    </row>
    <row r="335" spans="1:10" s="14" customFormat="1" ht="16.5" customHeight="1">
      <c r="A335" s="14" t="str">
        <f t="shared" si="28"/>
        <v>I</v>
      </c>
      <c r="B335" s="345">
        <v>6110110602</v>
      </c>
      <c r="C335" s="345" t="s">
        <v>263</v>
      </c>
      <c r="D335" s="347">
        <v>4088833437</v>
      </c>
      <c r="E335" s="348">
        <v>561373.80000000005</v>
      </c>
      <c r="F335" s="829"/>
      <c r="G335" s="830">
        <f>+F335-D335</f>
        <v>-4088833437</v>
      </c>
      <c r="H335" s="828">
        <f>+VLOOKUP(B335,Composición!$C:$C,1,0)</f>
        <v>6110110602</v>
      </c>
      <c r="I335" s="829"/>
      <c r="J335" s="829"/>
    </row>
    <row r="336" spans="1:10" s="14" customFormat="1" ht="16.5" customHeight="1">
      <c r="A336" s="31" t="str">
        <f t="shared" si="28"/>
        <v>NI</v>
      </c>
      <c r="B336" s="350">
        <v>61101107</v>
      </c>
      <c r="C336" s="350" t="s">
        <v>63</v>
      </c>
      <c r="D336" s="340">
        <v>114842946000</v>
      </c>
      <c r="E336" s="341">
        <v>15767289.619999999</v>
      </c>
      <c r="F336" s="829"/>
      <c r="G336" s="829"/>
      <c r="H336" s="828">
        <f>+VLOOKUP(B336,Composición!$C:$C,1,0)</f>
        <v>61101107</v>
      </c>
      <c r="I336" s="829"/>
      <c r="J336" s="829"/>
    </row>
    <row r="337" spans="1:10" s="14" customFormat="1" ht="16.5" customHeight="1">
      <c r="A337" s="14" t="str">
        <f t="shared" si="28"/>
        <v>I</v>
      </c>
      <c r="B337" s="345">
        <v>6110110701</v>
      </c>
      <c r="C337" s="345" t="s">
        <v>264</v>
      </c>
      <c r="D337" s="347">
        <v>114842946000</v>
      </c>
      <c r="E337" s="348">
        <v>15767289.619999999</v>
      </c>
      <c r="F337" s="829"/>
      <c r="G337" s="830">
        <f t="shared" ref="G337:G338" si="33">+F337-D337</f>
        <v>-114842946000</v>
      </c>
      <c r="H337" s="828">
        <f>+VLOOKUP(B337,Composición!$C:$C,1,0)</f>
        <v>6110110701</v>
      </c>
      <c r="I337" s="829"/>
      <c r="J337" s="829"/>
    </row>
    <row r="338" spans="1:10" s="14" customFormat="1" ht="16.5" customHeight="1">
      <c r="A338" s="31" t="str">
        <f t="shared" si="28"/>
        <v>NI</v>
      </c>
      <c r="B338" s="350">
        <v>61101108</v>
      </c>
      <c r="C338" s="350" t="s">
        <v>64</v>
      </c>
      <c r="D338" s="340">
        <v>69154292725</v>
      </c>
      <c r="E338" s="341">
        <v>9494494.870000001</v>
      </c>
      <c r="F338" s="829"/>
      <c r="G338" s="830">
        <f t="shared" si="33"/>
        <v>-69154292725</v>
      </c>
      <c r="H338" s="828">
        <f>+VLOOKUP(B338,Composición!$C:$C,1,0)</f>
        <v>61101108</v>
      </c>
      <c r="I338" s="829"/>
      <c r="J338" s="829"/>
    </row>
    <row r="339" spans="1:10" s="14" customFormat="1" ht="16.5" customHeight="1">
      <c r="A339" s="14" t="str">
        <f t="shared" si="28"/>
        <v>I</v>
      </c>
      <c r="B339" s="345">
        <v>6110110801</v>
      </c>
      <c r="C339" s="345" t="s">
        <v>265</v>
      </c>
      <c r="D339" s="347">
        <v>69154292725</v>
      </c>
      <c r="E339" s="348">
        <v>9494494.870000001</v>
      </c>
      <c r="F339" s="829"/>
      <c r="G339" s="829"/>
      <c r="H339" s="828">
        <f>+VLOOKUP(B339,Composición!$C:$C,1,0)</f>
        <v>6110110801</v>
      </c>
      <c r="I339" s="829"/>
      <c r="J339" s="829"/>
    </row>
    <row r="340" spans="1:10" s="14" customFormat="1" ht="16.5" customHeight="1">
      <c r="A340" s="31" t="str">
        <f>IF(LEN(B340)&gt;8,"I","NI")</f>
        <v>NI</v>
      </c>
      <c r="B340" s="350">
        <v>61101109</v>
      </c>
      <c r="C340" s="350" t="s">
        <v>66</v>
      </c>
      <c r="D340" s="340">
        <v>2429762500</v>
      </c>
      <c r="E340" s="341">
        <v>333592.70999999996</v>
      </c>
      <c r="F340" s="829"/>
      <c r="G340" s="830">
        <f t="shared" ref="G340:G341" si="34">+F340-D340</f>
        <v>-2429762500</v>
      </c>
      <c r="H340" s="828">
        <f>+VLOOKUP(B340,Composición!$C:$C,1,0)</f>
        <v>61101109</v>
      </c>
      <c r="I340" s="829"/>
      <c r="J340" s="829"/>
    </row>
    <row r="341" spans="1:10" s="14" customFormat="1" ht="16.5" customHeight="1">
      <c r="A341" s="14" t="str">
        <f t="shared" si="28"/>
        <v>I</v>
      </c>
      <c r="B341" s="345">
        <v>6110110901</v>
      </c>
      <c r="C341" s="345" t="s">
        <v>266</v>
      </c>
      <c r="D341" s="347">
        <v>2429762500</v>
      </c>
      <c r="E341" s="348">
        <v>333592.70999999996</v>
      </c>
      <c r="F341" s="829"/>
      <c r="G341" s="830">
        <f t="shared" si="34"/>
        <v>-2429762500</v>
      </c>
      <c r="H341" s="828">
        <f>+VLOOKUP(B341,Composición!$C:$C,1,0)</f>
        <v>6110110901</v>
      </c>
      <c r="I341" s="829"/>
      <c r="J341" s="829"/>
    </row>
    <row r="342" spans="1:10" s="14" customFormat="1" ht="16.5" customHeight="1">
      <c r="A342" s="31" t="str">
        <f t="shared" si="28"/>
        <v>NI</v>
      </c>
      <c r="B342" s="350">
        <v>61101113</v>
      </c>
      <c r="C342" s="350" t="s">
        <v>267</v>
      </c>
      <c r="D342" s="340">
        <v>767167686046</v>
      </c>
      <c r="E342" s="341">
        <v>105327802.11999999</v>
      </c>
      <c r="F342" s="829"/>
      <c r="G342" s="829"/>
      <c r="H342" s="828">
        <f>+VLOOKUP(B342,Composición!$C:$C,1,0)</f>
        <v>61101113</v>
      </c>
      <c r="I342" s="829"/>
      <c r="J342" s="829"/>
    </row>
    <row r="343" spans="1:10" s="14" customFormat="1" ht="16.5" customHeight="1">
      <c r="A343" s="14" t="str">
        <f t="shared" si="28"/>
        <v>I</v>
      </c>
      <c r="B343" s="345">
        <v>6110111301</v>
      </c>
      <c r="C343" s="345" t="s">
        <v>268</v>
      </c>
      <c r="D343" s="347">
        <v>767167686046</v>
      </c>
      <c r="E343" s="348">
        <v>105327802.11999999</v>
      </c>
      <c r="F343" s="829"/>
      <c r="G343" s="830">
        <f>+F343-D343</f>
        <v>-767167686046</v>
      </c>
      <c r="H343" s="828">
        <f>+VLOOKUP(B343,Composición!$C:$C,1,0)</f>
        <v>6110111301</v>
      </c>
      <c r="I343" s="829"/>
      <c r="J343" s="829"/>
    </row>
    <row r="344" spans="1:10" s="14" customFormat="1" ht="16.5" customHeight="1">
      <c r="A344" s="31" t="str">
        <f t="shared" si="28"/>
        <v>NI</v>
      </c>
      <c r="B344" s="350">
        <v>61101114</v>
      </c>
      <c r="C344" s="350" t="s">
        <v>269</v>
      </c>
      <c r="D344" s="340">
        <v>138433955852</v>
      </c>
      <c r="E344" s="341">
        <v>19006202.390000001</v>
      </c>
      <c r="F344" s="829"/>
      <c r="G344" s="829"/>
      <c r="H344" s="828">
        <f>+VLOOKUP(B344,Composición!$C:$C,1,0)</f>
        <v>61101114</v>
      </c>
      <c r="I344" s="829"/>
      <c r="J344" s="829"/>
    </row>
    <row r="345" spans="1:10" s="14" customFormat="1" ht="16.5" customHeight="1">
      <c r="A345" s="14" t="str">
        <f t="shared" ref="A345:A422" si="35">IF(LEN(B345)&gt;8,"I","NI")</f>
        <v>I</v>
      </c>
      <c r="B345" s="345">
        <v>6110111401</v>
      </c>
      <c r="C345" s="345" t="s">
        <v>270</v>
      </c>
      <c r="D345" s="347">
        <v>138433955852</v>
      </c>
      <c r="E345" s="348">
        <v>19006202.390000001</v>
      </c>
      <c r="F345" s="829"/>
      <c r="G345" s="830">
        <f>+F345-D345</f>
        <v>-138433955852</v>
      </c>
      <c r="H345" s="828">
        <f>+VLOOKUP(B345,Composición!$C:$C,1,0)</f>
        <v>6110111401</v>
      </c>
      <c r="I345" s="829"/>
      <c r="J345" s="829"/>
    </row>
    <row r="346" spans="1:10" s="14" customFormat="1" ht="16.5" customHeight="1">
      <c r="A346" s="31" t="str">
        <f t="shared" si="35"/>
        <v>NI</v>
      </c>
      <c r="B346" s="350">
        <v>61101117</v>
      </c>
      <c r="C346" s="350" t="s">
        <v>271</v>
      </c>
      <c r="D346" s="340">
        <v>1246735668</v>
      </c>
      <c r="E346" s="341">
        <v>171169.78999999998</v>
      </c>
      <c r="F346" s="829"/>
      <c r="G346" s="829"/>
      <c r="H346" s="828">
        <f>+VLOOKUP(B346,Composición!$C:$C,1,0)</f>
        <v>61101117</v>
      </c>
      <c r="I346" s="829"/>
      <c r="J346" s="829"/>
    </row>
    <row r="347" spans="1:10" s="14" customFormat="1" ht="16.5" customHeight="1">
      <c r="A347" s="14" t="str">
        <f t="shared" si="35"/>
        <v>I</v>
      </c>
      <c r="B347" s="345">
        <v>6110111701</v>
      </c>
      <c r="C347" s="345" t="s">
        <v>272</v>
      </c>
      <c r="D347" s="347">
        <v>950000000</v>
      </c>
      <c r="E347" s="348">
        <v>130429.65000000001</v>
      </c>
      <c r="F347" s="829"/>
      <c r="G347" s="830">
        <f>+F347-D347</f>
        <v>-950000000</v>
      </c>
      <c r="H347" s="828">
        <f>+VLOOKUP(B347,Composición!$C:$C,1,0)</f>
        <v>6110111701</v>
      </c>
      <c r="I347" s="829"/>
      <c r="J347" s="829"/>
    </row>
    <row r="348" spans="1:10" s="14" customFormat="1" ht="16.5" customHeight="1">
      <c r="A348" s="14" t="str">
        <f t="shared" si="35"/>
        <v>I</v>
      </c>
      <c r="B348" s="345">
        <v>6110111702</v>
      </c>
      <c r="C348" s="345" t="s">
        <v>273</v>
      </c>
      <c r="D348" s="347">
        <v>296735668</v>
      </c>
      <c r="E348" s="348">
        <v>40740.14</v>
      </c>
      <c r="F348" s="829"/>
      <c r="G348" s="829"/>
      <c r="H348" s="828">
        <f>+VLOOKUP(B348,Composición!$C:$C,1,0)</f>
        <v>6110111702</v>
      </c>
      <c r="I348" s="829"/>
      <c r="J348" s="829"/>
    </row>
    <row r="349" spans="1:10" s="14" customFormat="1" ht="16.5" customHeight="1">
      <c r="A349" s="31" t="str">
        <f t="shared" si="35"/>
        <v>NI</v>
      </c>
      <c r="B349" s="350">
        <v>61101118</v>
      </c>
      <c r="C349" s="350" t="s">
        <v>274</v>
      </c>
      <c r="D349" s="340">
        <v>41017361588</v>
      </c>
      <c r="E349" s="341">
        <v>5631452.7100000009</v>
      </c>
      <c r="F349" s="829"/>
      <c r="G349" s="830">
        <f>+F349-D349</f>
        <v>-41017361588</v>
      </c>
      <c r="H349" s="828">
        <f>+VLOOKUP(B349,Composición!$C:$C,1,0)</f>
        <v>61101118</v>
      </c>
      <c r="I349" s="829"/>
      <c r="J349" s="829"/>
    </row>
    <row r="350" spans="1:10" s="14" customFormat="1" ht="16.5" customHeight="1">
      <c r="A350" s="14" t="str">
        <f t="shared" si="35"/>
        <v>I</v>
      </c>
      <c r="B350" s="345">
        <v>6110111801</v>
      </c>
      <c r="C350" s="345" t="s">
        <v>275</v>
      </c>
      <c r="D350" s="347">
        <v>40737439616</v>
      </c>
      <c r="E350" s="348">
        <v>5593021</v>
      </c>
      <c r="F350" s="829"/>
      <c r="G350" s="829"/>
      <c r="H350" s="828">
        <f>+VLOOKUP(B350,Composición!$C:$C,1,0)</f>
        <v>6110111801</v>
      </c>
      <c r="I350" s="829"/>
      <c r="J350" s="829"/>
    </row>
    <row r="351" spans="1:10" s="14" customFormat="1" ht="16.5" customHeight="1">
      <c r="A351" s="14" t="str">
        <f t="shared" si="35"/>
        <v>I</v>
      </c>
      <c r="B351" s="345">
        <v>6110111802</v>
      </c>
      <c r="C351" s="345" t="s">
        <v>276</v>
      </c>
      <c r="D351" s="347">
        <v>279921972</v>
      </c>
      <c r="E351" s="348">
        <v>38431.709999999992</v>
      </c>
      <c r="F351" s="829"/>
      <c r="G351" s="830">
        <f t="shared" ref="G351:G352" si="36">+F351-D351</f>
        <v>-279921972</v>
      </c>
      <c r="H351" s="828">
        <f>+VLOOKUP(B351,Composición!$C:$C,1,0)</f>
        <v>6110111802</v>
      </c>
      <c r="I351" s="829"/>
      <c r="J351" s="829"/>
    </row>
    <row r="352" spans="1:10" s="14" customFormat="1" ht="16.5" customHeight="1">
      <c r="A352" s="31" t="str">
        <f t="shared" si="35"/>
        <v>NI</v>
      </c>
      <c r="B352" s="350">
        <v>61101129</v>
      </c>
      <c r="C352" s="350" t="s">
        <v>277</v>
      </c>
      <c r="D352" s="340">
        <v>26589769792</v>
      </c>
      <c r="E352" s="341">
        <v>3650625.62</v>
      </c>
      <c r="F352" s="829"/>
      <c r="G352" s="830">
        <f t="shared" si="36"/>
        <v>-26589769792</v>
      </c>
      <c r="H352" s="828">
        <f>+VLOOKUP(B352,Composición!$C:$C,1,0)</f>
        <v>61101129</v>
      </c>
      <c r="I352" s="829"/>
      <c r="J352" s="829"/>
    </row>
    <row r="353" spans="1:10" s="14" customFormat="1" ht="16.5" customHeight="1">
      <c r="A353" s="14" t="str">
        <f t="shared" ref="A353:A358" si="37">IF(LEN(B353)&gt;8,"I","NI")</f>
        <v>I</v>
      </c>
      <c r="B353" s="345">
        <v>6110112901</v>
      </c>
      <c r="C353" s="345" t="s">
        <v>278</v>
      </c>
      <c r="D353" s="347">
        <v>26589769792</v>
      </c>
      <c r="E353" s="348">
        <v>3650625.62</v>
      </c>
      <c r="F353" s="829"/>
      <c r="G353" s="829"/>
      <c r="H353" s="828">
        <f>+VLOOKUP(B353,Composición!$C:$C,1,0)</f>
        <v>6110112901</v>
      </c>
      <c r="I353" s="829"/>
      <c r="J353" s="829"/>
    </row>
    <row r="354" spans="1:10" s="14" customFormat="1" ht="16.5" customHeight="1">
      <c r="A354" s="31" t="str">
        <f t="shared" si="37"/>
        <v>NI</v>
      </c>
      <c r="B354" s="350">
        <v>61101131</v>
      </c>
      <c r="C354" s="350" t="s">
        <v>279</v>
      </c>
      <c r="D354" s="340">
        <v>87792251744</v>
      </c>
      <c r="E354" s="341">
        <v>12053381.66</v>
      </c>
      <c r="F354" s="829"/>
      <c r="G354" s="830">
        <f t="shared" ref="G354:G355" si="38">+F354-D354</f>
        <v>-87792251744</v>
      </c>
      <c r="H354" s="828">
        <f>+VLOOKUP(B354,Composición!$C:$C,1,0)</f>
        <v>61101131</v>
      </c>
      <c r="I354" s="829"/>
      <c r="J354" s="829"/>
    </row>
    <row r="355" spans="1:10" s="14" customFormat="1" ht="16.5" customHeight="1">
      <c r="A355" s="14" t="str">
        <f t="shared" si="37"/>
        <v>I</v>
      </c>
      <c r="B355" s="345">
        <v>6110113101</v>
      </c>
      <c r="C355" s="345" t="s">
        <v>280</v>
      </c>
      <c r="D355" s="347">
        <v>87792251744</v>
      </c>
      <c r="E355" s="348">
        <v>12053381.66</v>
      </c>
      <c r="F355" s="829"/>
      <c r="G355" s="830">
        <f t="shared" si="38"/>
        <v>-87792251744</v>
      </c>
      <c r="H355" s="828">
        <f>+VLOOKUP(B355,Composición!$C:$C,1,0)</f>
        <v>6110113101</v>
      </c>
      <c r="I355" s="829"/>
      <c r="J355" s="829"/>
    </row>
    <row r="356" spans="1:10" s="14" customFormat="1" ht="16.5" customHeight="1">
      <c r="A356" s="798" t="str">
        <f t="shared" si="37"/>
        <v>NI</v>
      </c>
      <c r="B356" s="803">
        <v>61101133</v>
      </c>
      <c r="C356" s="803" t="s">
        <v>132</v>
      </c>
      <c r="D356" s="804">
        <v>9500000000</v>
      </c>
      <c r="E356" s="805">
        <v>1304296.4900000002</v>
      </c>
      <c r="F356" s="831"/>
      <c r="G356" s="831"/>
      <c r="H356" s="832">
        <f>+VLOOKUP(B356,Composición!$C:$C,1,0)</f>
        <v>61101133</v>
      </c>
      <c r="I356" s="829"/>
      <c r="J356" s="829"/>
    </row>
    <row r="357" spans="1:10" s="14" customFormat="1" ht="16.5" customHeight="1">
      <c r="A357" s="802" t="str">
        <f t="shared" si="37"/>
        <v>I</v>
      </c>
      <c r="B357" s="799">
        <v>6110113301</v>
      </c>
      <c r="C357" s="799" t="s">
        <v>132</v>
      </c>
      <c r="D357" s="800">
        <v>9500000000</v>
      </c>
      <c r="E357" s="801">
        <v>1304296.4900000002</v>
      </c>
      <c r="F357" s="831"/>
      <c r="G357" s="833">
        <f>+F357-D357</f>
        <v>-9500000000</v>
      </c>
      <c r="H357" s="832">
        <f>+VLOOKUP(B357,Composición!$C:$C,1,0)</f>
        <v>6110113301</v>
      </c>
      <c r="I357" s="829"/>
      <c r="J357" s="829"/>
    </row>
    <row r="358" spans="1:10" s="14" customFormat="1" ht="16.5" customHeight="1">
      <c r="A358" s="31" t="str">
        <f t="shared" si="37"/>
        <v>NI</v>
      </c>
      <c r="B358" s="350">
        <v>6110120</v>
      </c>
      <c r="C358" s="350" t="s">
        <v>281</v>
      </c>
      <c r="D358" s="340">
        <v>368842760801</v>
      </c>
      <c r="E358" s="341">
        <v>50640033.5</v>
      </c>
      <c r="F358" s="829"/>
      <c r="G358" s="829"/>
      <c r="H358" s="828">
        <f>+VLOOKUP(B358,Composición!$C:$C,1,0)</f>
        <v>6110120</v>
      </c>
      <c r="I358" s="829"/>
      <c r="J358" s="829"/>
    </row>
    <row r="359" spans="1:10" s="14" customFormat="1" ht="16.5" customHeight="1">
      <c r="A359" s="31" t="str">
        <f t="shared" si="35"/>
        <v>NI</v>
      </c>
      <c r="B359" s="350">
        <v>61101201</v>
      </c>
      <c r="C359" s="350" t="s">
        <v>282</v>
      </c>
      <c r="D359" s="340">
        <v>368842760801</v>
      </c>
      <c r="E359" s="341">
        <v>50640033.5</v>
      </c>
      <c r="F359" s="829"/>
      <c r="G359" s="830">
        <f>+F359-D359</f>
        <v>-368842760801</v>
      </c>
      <c r="H359" s="828">
        <f>+VLOOKUP(B359,Composición!$C:$C,1,0)</f>
        <v>61101201</v>
      </c>
      <c r="I359" s="829"/>
      <c r="J359" s="829"/>
    </row>
    <row r="360" spans="1:10" s="14" customFormat="1" ht="16.5" customHeight="1">
      <c r="A360" s="14" t="str">
        <f t="shared" si="35"/>
        <v>I</v>
      </c>
      <c r="B360" s="345">
        <v>6110120101</v>
      </c>
      <c r="C360" s="345" t="s">
        <v>283</v>
      </c>
      <c r="D360" s="347">
        <v>368842760801</v>
      </c>
      <c r="E360" s="348">
        <v>50640033.5</v>
      </c>
      <c r="F360" s="829"/>
      <c r="G360" s="829"/>
      <c r="H360" s="828">
        <f>+VLOOKUP(B360,Composición!$C:$C,1,0)</f>
        <v>6110120101</v>
      </c>
      <c r="I360" s="829"/>
      <c r="J360" s="829"/>
    </row>
    <row r="361" spans="1:10" s="14" customFormat="1" ht="16.5" customHeight="1">
      <c r="A361" s="31" t="str">
        <f t="shared" si="35"/>
        <v>NI</v>
      </c>
      <c r="B361" s="350">
        <v>62</v>
      </c>
      <c r="C361" s="350" t="s">
        <v>284</v>
      </c>
      <c r="D361" s="340">
        <v>1854581611119</v>
      </c>
      <c r="E361" s="341">
        <v>254623609.014</v>
      </c>
      <c r="F361" s="829"/>
      <c r="G361" s="830">
        <f>+F361-D361</f>
        <v>-1854581611119</v>
      </c>
      <c r="H361" s="828">
        <f>+VLOOKUP(B361,Composición!$C:$C,1,0)</f>
        <v>62</v>
      </c>
      <c r="I361" s="829"/>
      <c r="J361" s="829"/>
    </row>
    <row r="362" spans="1:10" s="14" customFormat="1" ht="16.5" customHeight="1">
      <c r="A362" s="31" t="str">
        <f t="shared" si="35"/>
        <v>NI</v>
      </c>
      <c r="B362" s="350">
        <v>621</v>
      </c>
      <c r="C362" s="350" t="s">
        <v>251</v>
      </c>
      <c r="D362" s="340">
        <v>1854581611119</v>
      </c>
      <c r="E362" s="341">
        <v>254623609.014</v>
      </c>
      <c r="F362" s="829"/>
      <c r="G362" s="829"/>
      <c r="H362" s="828">
        <f>+VLOOKUP(B362,Composición!$C:$C,1,0)</f>
        <v>621</v>
      </c>
      <c r="I362" s="829"/>
      <c r="J362" s="829"/>
    </row>
    <row r="363" spans="1:10" s="14" customFormat="1" ht="16.5" customHeight="1">
      <c r="A363" s="31" t="str">
        <f t="shared" si="35"/>
        <v>NI</v>
      </c>
      <c r="B363" s="350">
        <v>62101</v>
      </c>
      <c r="C363" s="350" t="s">
        <v>251</v>
      </c>
      <c r="D363" s="340">
        <v>1854581611119</v>
      </c>
      <c r="E363" s="341">
        <v>254623609.014</v>
      </c>
      <c r="F363" s="829"/>
      <c r="G363" s="829"/>
      <c r="H363" s="828">
        <f>+VLOOKUP(B363,Composición!$C:$C,1,0)</f>
        <v>62101</v>
      </c>
      <c r="I363" s="829"/>
      <c r="J363" s="829"/>
    </row>
    <row r="364" spans="1:10" s="14" customFormat="1" ht="16.5" customHeight="1">
      <c r="A364" s="31" t="str">
        <f t="shared" si="35"/>
        <v>NI</v>
      </c>
      <c r="B364" s="350">
        <v>621011</v>
      </c>
      <c r="C364" s="350" t="s">
        <v>251</v>
      </c>
      <c r="D364" s="340">
        <v>1854581611119</v>
      </c>
      <c r="E364" s="341">
        <v>254623609.014</v>
      </c>
      <c r="F364" s="829"/>
      <c r="G364" s="830">
        <f>+F364-D364</f>
        <v>-1854581611119</v>
      </c>
      <c r="H364" s="828">
        <f>+VLOOKUP(B364,Composición!$C:$C,1,0)</f>
        <v>621011</v>
      </c>
      <c r="I364" s="829"/>
      <c r="J364" s="829"/>
    </row>
    <row r="365" spans="1:10" s="14" customFormat="1" ht="16.5" customHeight="1">
      <c r="B365" s="345">
        <v>6210110</v>
      </c>
      <c r="C365" s="345" t="s">
        <v>252</v>
      </c>
      <c r="D365" s="347">
        <v>1485738850318</v>
      </c>
      <c r="E365" s="348">
        <v>203983575.51400003</v>
      </c>
      <c r="F365" s="829"/>
      <c r="G365" s="829"/>
      <c r="H365" s="828">
        <f>+VLOOKUP(B365,Composición!$C:$C,1,0)</f>
        <v>6210110</v>
      </c>
      <c r="I365" s="829"/>
      <c r="J365" s="829"/>
    </row>
    <row r="366" spans="1:10" s="14" customFormat="1" ht="16.5" customHeight="1">
      <c r="A366" s="31" t="str">
        <f t="shared" si="35"/>
        <v>NI</v>
      </c>
      <c r="B366" s="350">
        <v>62101101</v>
      </c>
      <c r="C366" s="350" t="s">
        <v>57</v>
      </c>
      <c r="D366" s="340">
        <v>13801001925</v>
      </c>
      <c r="E366" s="341">
        <v>1894799.83</v>
      </c>
      <c r="F366" s="829"/>
      <c r="G366" s="829"/>
      <c r="H366" s="828">
        <f>+VLOOKUP(B366,Composición!$C:$C,1,0)</f>
        <v>62101101</v>
      </c>
      <c r="I366" s="829"/>
      <c r="J366" s="829"/>
    </row>
    <row r="367" spans="1:10" s="14" customFormat="1" ht="16.5" customHeight="1">
      <c r="A367" s="14" t="str">
        <f t="shared" si="35"/>
        <v>I</v>
      </c>
      <c r="B367" s="345">
        <v>6210110101</v>
      </c>
      <c r="C367" s="345" t="s">
        <v>253</v>
      </c>
      <c r="D367" s="347">
        <v>13801001925</v>
      </c>
      <c r="E367" s="348">
        <v>1894799.83</v>
      </c>
      <c r="F367" s="829"/>
      <c r="G367" s="829"/>
      <c r="H367" s="828">
        <f>+VLOOKUP(B367,Composición!$C:$C,1,0)</f>
        <v>6210110101</v>
      </c>
      <c r="I367" s="829"/>
      <c r="J367" s="829"/>
    </row>
    <row r="368" spans="1:10" s="14" customFormat="1" ht="16.5" customHeight="1">
      <c r="A368" s="31" t="str">
        <f t="shared" si="35"/>
        <v>NI</v>
      </c>
      <c r="B368" s="350">
        <v>62101102</v>
      </c>
      <c r="C368" s="350" t="s">
        <v>254</v>
      </c>
      <c r="D368" s="340">
        <v>15131873288</v>
      </c>
      <c r="E368" s="341">
        <v>2077520.9699999997</v>
      </c>
      <c r="F368" s="829"/>
      <c r="G368" s="829"/>
      <c r="H368" s="828">
        <f>+VLOOKUP(B368,Composición!$C:$C,1,0)</f>
        <v>62101102</v>
      </c>
      <c r="I368" s="829"/>
      <c r="J368" s="829"/>
    </row>
    <row r="369" spans="1:10" s="14" customFormat="1" ht="16.5" customHeight="1">
      <c r="A369" s="14" t="str">
        <f t="shared" si="35"/>
        <v>I</v>
      </c>
      <c r="B369" s="345">
        <v>6210110201</v>
      </c>
      <c r="C369" s="345" t="s">
        <v>255</v>
      </c>
      <c r="D369" s="347">
        <v>15131873288</v>
      </c>
      <c r="E369" s="348">
        <v>2077520.9699999997</v>
      </c>
      <c r="F369" s="829"/>
      <c r="G369" s="829"/>
      <c r="H369" s="828">
        <f>+VLOOKUP(B369,Composición!$C:$C,1,0)</f>
        <v>6210110201</v>
      </c>
      <c r="I369" s="829"/>
      <c r="J369" s="829"/>
    </row>
    <row r="370" spans="1:10" s="14" customFormat="1" ht="16.5" customHeight="1">
      <c r="A370" s="31" t="str">
        <f t="shared" si="35"/>
        <v>NI</v>
      </c>
      <c r="B370" s="350">
        <v>62101103</v>
      </c>
      <c r="C370" s="350" t="s">
        <v>256</v>
      </c>
      <c r="D370" s="340">
        <v>53744915</v>
      </c>
      <c r="E370" s="341">
        <v>7378.8699999999944</v>
      </c>
      <c r="F370" s="829"/>
      <c r="G370" s="829"/>
      <c r="H370" s="828">
        <f>+VLOOKUP(B370,Composición!$C:$C,1,0)</f>
        <v>62101103</v>
      </c>
      <c r="I370" s="829"/>
      <c r="J370" s="829"/>
    </row>
    <row r="371" spans="1:10" s="14" customFormat="1" ht="16.5" customHeight="1">
      <c r="A371" s="14" t="str">
        <f t="shared" si="35"/>
        <v>I</v>
      </c>
      <c r="B371" s="345">
        <v>6210110301</v>
      </c>
      <c r="C371" s="345" t="s">
        <v>257</v>
      </c>
      <c r="D371" s="347">
        <v>53744915</v>
      </c>
      <c r="E371" s="348">
        <v>7378.8699999999944</v>
      </c>
      <c r="F371" s="829"/>
      <c r="G371" s="829"/>
      <c r="H371" s="828">
        <f>+VLOOKUP(B371,Composición!$C:$C,1,0)</f>
        <v>6210110301</v>
      </c>
      <c r="I371" s="829"/>
      <c r="J371" s="829"/>
    </row>
    <row r="372" spans="1:10" s="14" customFormat="1" ht="16.5" customHeight="1">
      <c r="A372" s="31" t="str">
        <f t="shared" si="35"/>
        <v>NI</v>
      </c>
      <c r="B372" s="350">
        <v>62101104</v>
      </c>
      <c r="C372" s="350" t="s">
        <v>258</v>
      </c>
      <c r="D372" s="340">
        <v>43517650832</v>
      </c>
      <c r="E372" s="341">
        <v>5974728.3380000005</v>
      </c>
      <c r="F372" s="829"/>
      <c r="G372" s="829"/>
      <c r="H372" s="828">
        <f>+VLOOKUP(B372,Composición!$C:$C,1,0)</f>
        <v>62101104</v>
      </c>
      <c r="I372" s="829"/>
      <c r="J372" s="829"/>
    </row>
    <row r="373" spans="1:10" s="14" customFormat="1" ht="16.5" customHeight="1">
      <c r="A373" s="14" t="str">
        <f t="shared" si="35"/>
        <v>I</v>
      </c>
      <c r="B373" s="345">
        <v>6210110401</v>
      </c>
      <c r="C373" s="345" t="s">
        <v>259</v>
      </c>
      <c r="D373" s="347">
        <v>43517650832</v>
      </c>
      <c r="E373" s="348">
        <v>5974728.3380000005</v>
      </c>
      <c r="F373" s="829"/>
      <c r="G373" s="830">
        <f>+F373-D373</f>
        <v>-43517650832</v>
      </c>
      <c r="H373" s="828">
        <f>+VLOOKUP(B373,Composición!$C:$C,1,0)</f>
        <v>6210110401</v>
      </c>
      <c r="I373" s="829"/>
      <c r="J373" s="829"/>
    </row>
    <row r="374" spans="1:10" s="14" customFormat="1" ht="16.5" customHeight="1">
      <c r="A374" s="31" t="str">
        <f t="shared" si="35"/>
        <v>NI</v>
      </c>
      <c r="B374" s="350">
        <v>62101105</v>
      </c>
      <c r="C374" s="350" t="s">
        <v>59</v>
      </c>
      <c r="D374" s="340">
        <v>107283831246</v>
      </c>
      <c r="E374" s="341">
        <v>14729465.730000002</v>
      </c>
      <c r="F374" s="829"/>
      <c r="G374" s="829"/>
      <c r="H374" s="828">
        <f>+VLOOKUP(B374,Composición!$C:$C,1,0)</f>
        <v>62101105</v>
      </c>
      <c r="I374" s="829"/>
      <c r="J374" s="829"/>
    </row>
    <row r="375" spans="1:10" s="14" customFormat="1" ht="16.5" customHeight="1">
      <c r="A375" s="14" t="str">
        <f t="shared" si="35"/>
        <v>I</v>
      </c>
      <c r="B375" s="345">
        <v>6210110501</v>
      </c>
      <c r="C375" s="345" t="s">
        <v>260</v>
      </c>
      <c r="D375" s="347">
        <v>93840000000</v>
      </c>
      <c r="E375" s="348">
        <v>12883703.43</v>
      </c>
      <c r="F375" s="829"/>
      <c r="G375" s="829"/>
      <c r="H375" s="828">
        <f>+VLOOKUP(B375,Composición!$C:$C,1,0)</f>
        <v>6210110501</v>
      </c>
      <c r="I375" s="829"/>
      <c r="J375" s="829"/>
    </row>
    <row r="376" spans="1:10" s="14" customFormat="1" ht="16.5" customHeight="1">
      <c r="A376" s="14" t="str">
        <f t="shared" si="35"/>
        <v>I</v>
      </c>
      <c r="B376" s="345">
        <v>6210110502</v>
      </c>
      <c r="C376" s="345" t="s">
        <v>261</v>
      </c>
      <c r="D376" s="347">
        <v>13443831246</v>
      </c>
      <c r="E376" s="348">
        <v>1845762.3000000003</v>
      </c>
      <c r="F376" s="829"/>
      <c r="G376" s="830">
        <f t="shared" ref="G376:G380" si="39">+F376-D376</f>
        <v>-13443831246</v>
      </c>
      <c r="H376" s="828">
        <f>+VLOOKUP(B376,Composición!$C:$C,1,0)</f>
        <v>6210110502</v>
      </c>
      <c r="I376" s="829"/>
      <c r="J376" s="829"/>
    </row>
    <row r="377" spans="1:10" s="14" customFormat="1" ht="16.5" customHeight="1">
      <c r="A377" s="31" t="str">
        <f t="shared" si="35"/>
        <v>NI</v>
      </c>
      <c r="B377" s="350">
        <v>62101106</v>
      </c>
      <c r="C377" s="350" t="s">
        <v>60</v>
      </c>
      <c r="D377" s="340">
        <v>47775986197</v>
      </c>
      <c r="E377" s="341">
        <v>6559373.8000000017</v>
      </c>
      <c r="F377" s="829"/>
      <c r="G377" s="830">
        <f t="shared" si="39"/>
        <v>-47775986197</v>
      </c>
      <c r="H377" s="828">
        <f>+VLOOKUP(B377,Composición!$C:$C,1,0)</f>
        <v>62101106</v>
      </c>
      <c r="I377" s="829"/>
      <c r="J377" s="829"/>
    </row>
    <row r="378" spans="1:10" s="14" customFormat="1" ht="16.5" customHeight="1">
      <c r="A378" s="14" t="str">
        <f t="shared" si="35"/>
        <v>I</v>
      </c>
      <c r="B378" s="345">
        <v>6210110601</v>
      </c>
      <c r="C378" s="345" t="s">
        <v>262</v>
      </c>
      <c r="D378" s="347">
        <v>43687152760</v>
      </c>
      <c r="E378" s="348">
        <v>5998000</v>
      </c>
      <c r="F378" s="829"/>
      <c r="G378" s="830">
        <f t="shared" si="39"/>
        <v>-43687152760</v>
      </c>
      <c r="H378" s="828">
        <f>+VLOOKUP(B378,Composición!$C:$C,1,0)</f>
        <v>6210110601</v>
      </c>
      <c r="I378" s="829"/>
      <c r="J378" s="829"/>
    </row>
    <row r="379" spans="1:10" s="14" customFormat="1" ht="16.5" customHeight="1">
      <c r="A379" s="14" t="str">
        <f t="shared" si="35"/>
        <v>I</v>
      </c>
      <c r="B379" s="345">
        <v>6210110602</v>
      </c>
      <c r="C379" s="345" t="s">
        <v>263</v>
      </c>
      <c r="D379" s="347">
        <v>4088833437</v>
      </c>
      <c r="E379" s="348">
        <v>561373.79999999993</v>
      </c>
      <c r="F379" s="829"/>
      <c r="G379" s="830">
        <f t="shared" si="39"/>
        <v>-4088833437</v>
      </c>
      <c r="H379" s="828">
        <f>+VLOOKUP(B379,Composición!$C:$C,1,0)</f>
        <v>6210110602</v>
      </c>
      <c r="I379" s="829"/>
      <c r="J379" s="829"/>
    </row>
    <row r="380" spans="1:10" s="14" customFormat="1" ht="16.5" customHeight="1">
      <c r="A380" s="31" t="str">
        <f t="shared" si="35"/>
        <v>NI</v>
      </c>
      <c r="B380" s="350">
        <v>62101107</v>
      </c>
      <c r="C380" s="350" t="s">
        <v>63</v>
      </c>
      <c r="D380" s="340">
        <v>114842946000</v>
      </c>
      <c r="E380" s="341">
        <v>15767289.619999999</v>
      </c>
      <c r="F380" s="829"/>
      <c r="G380" s="830">
        <f t="shared" si="39"/>
        <v>-114842946000</v>
      </c>
      <c r="H380" s="828">
        <f>+VLOOKUP(B380,Composición!$C:$C,1,0)</f>
        <v>62101107</v>
      </c>
      <c r="I380" s="829"/>
      <c r="J380" s="829"/>
    </row>
    <row r="381" spans="1:10" s="14" customFormat="1" ht="16.5" customHeight="1">
      <c r="A381" s="14" t="str">
        <f t="shared" si="35"/>
        <v>I</v>
      </c>
      <c r="B381" s="345">
        <v>6210110701</v>
      </c>
      <c r="C381" s="345" t="s">
        <v>264</v>
      </c>
      <c r="D381" s="347">
        <v>114842946000</v>
      </c>
      <c r="E381" s="348">
        <v>15767289.619999999</v>
      </c>
      <c r="F381" s="829"/>
      <c r="G381" s="829"/>
      <c r="H381" s="828">
        <f>+VLOOKUP(B381,Composición!$C:$C,1,0)</f>
        <v>6210110701</v>
      </c>
      <c r="I381" s="829"/>
      <c r="J381" s="829"/>
    </row>
    <row r="382" spans="1:10" s="14" customFormat="1" ht="16.5" customHeight="1">
      <c r="A382" s="31" t="str">
        <f t="shared" si="35"/>
        <v>NI</v>
      </c>
      <c r="B382" s="350">
        <v>62101108</v>
      </c>
      <c r="C382" s="350" t="s">
        <v>64</v>
      </c>
      <c r="D382" s="340">
        <v>69154292725</v>
      </c>
      <c r="E382" s="341">
        <v>9494494.870000001</v>
      </c>
      <c r="F382" s="829"/>
      <c r="G382" s="830">
        <f t="shared" ref="G382:G383" si="40">+F382-D382</f>
        <v>-69154292725</v>
      </c>
      <c r="H382" s="828">
        <f>+VLOOKUP(B382,Composición!$C:$C,1,0)</f>
        <v>62101108</v>
      </c>
      <c r="I382" s="829"/>
      <c r="J382" s="829"/>
    </row>
    <row r="383" spans="1:10" s="14" customFormat="1" ht="16.5" customHeight="1">
      <c r="A383" s="14" t="str">
        <f t="shared" si="35"/>
        <v>I</v>
      </c>
      <c r="B383" s="345">
        <v>6210110801</v>
      </c>
      <c r="C383" s="345" t="s">
        <v>265</v>
      </c>
      <c r="D383" s="347">
        <v>69154292725</v>
      </c>
      <c r="E383" s="348">
        <v>9494494.870000001</v>
      </c>
      <c r="F383" s="829"/>
      <c r="G383" s="830">
        <f t="shared" si="40"/>
        <v>-69154292725</v>
      </c>
      <c r="H383" s="828">
        <f>+VLOOKUP(B383,Composición!$C:$C,1,0)</f>
        <v>6210110801</v>
      </c>
      <c r="I383" s="829"/>
      <c r="J383" s="829"/>
    </row>
    <row r="384" spans="1:10" s="14" customFormat="1" ht="16.5" customHeight="1">
      <c r="A384" s="31" t="str">
        <f t="shared" si="35"/>
        <v>NI</v>
      </c>
      <c r="B384" s="350">
        <v>62101109</v>
      </c>
      <c r="C384" s="350" t="s">
        <v>66</v>
      </c>
      <c r="D384" s="340">
        <v>2429762500</v>
      </c>
      <c r="E384" s="341">
        <v>333592.70999999996</v>
      </c>
      <c r="F384" s="829"/>
      <c r="G384" s="829"/>
      <c r="H384" s="828">
        <f>+VLOOKUP(B384,Composición!$C:$C,1,0)</f>
        <v>62101109</v>
      </c>
      <c r="I384" s="829"/>
      <c r="J384" s="829"/>
    </row>
    <row r="385" spans="1:10" s="14" customFormat="1" ht="16.5" customHeight="1">
      <c r="A385" s="14" t="str">
        <f t="shared" si="35"/>
        <v>I</v>
      </c>
      <c r="B385" s="345">
        <v>6210110901</v>
      </c>
      <c r="C385" s="345" t="s">
        <v>266</v>
      </c>
      <c r="D385" s="347">
        <v>2429762500</v>
      </c>
      <c r="E385" s="348">
        <v>333592.70999999996</v>
      </c>
      <c r="F385" s="829"/>
      <c r="G385" s="829"/>
      <c r="H385" s="828">
        <f>+VLOOKUP(B385,Composición!$C:$C,1,0)</f>
        <v>6210110901</v>
      </c>
      <c r="I385" s="829"/>
      <c r="J385" s="829"/>
    </row>
    <row r="386" spans="1:10" s="14" customFormat="1" ht="16.5" customHeight="1">
      <c r="A386" s="31" t="str">
        <f t="shared" si="35"/>
        <v>NI</v>
      </c>
      <c r="B386" s="350">
        <v>62101113</v>
      </c>
      <c r="C386" s="350" t="s">
        <v>267</v>
      </c>
      <c r="D386" s="340">
        <v>767167686046</v>
      </c>
      <c r="E386" s="341">
        <v>105327802.11999999</v>
      </c>
      <c r="F386" s="829"/>
      <c r="G386" s="829"/>
      <c r="H386" s="828">
        <f>+VLOOKUP(B386,Composición!$C:$C,1,0)</f>
        <v>62101113</v>
      </c>
      <c r="I386" s="829"/>
      <c r="J386" s="829"/>
    </row>
    <row r="387" spans="1:10" s="14" customFormat="1" ht="16.5" customHeight="1">
      <c r="A387" s="14" t="str">
        <f t="shared" si="35"/>
        <v>I</v>
      </c>
      <c r="B387" s="345">
        <v>6210111301</v>
      </c>
      <c r="C387" s="345" t="s">
        <v>268</v>
      </c>
      <c r="D387" s="347">
        <v>767167686046</v>
      </c>
      <c r="E387" s="348">
        <v>105327802.11999999</v>
      </c>
      <c r="F387" s="829"/>
      <c r="G387" s="830">
        <f>+F387-D387</f>
        <v>-767167686046</v>
      </c>
      <c r="H387" s="828">
        <f>+VLOOKUP(B387,Composición!$C:$C,1,0)</f>
        <v>6210111301</v>
      </c>
      <c r="I387" s="829"/>
      <c r="J387" s="829"/>
    </row>
    <row r="388" spans="1:10" s="14" customFormat="1" ht="16.5" customHeight="1">
      <c r="A388" s="31" t="str">
        <f t="shared" si="35"/>
        <v>NI</v>
      </c>
      <c r="B388" s="350">
        <v>62101114</v>
      </c>
      <c r="C388" s="350" t="s">
        <v>269</v>
      </c>
      <c r="D388" s="340">
        <v>138433955852</v>
      </c>
      <c r="E388" s="341">
        <v>19006202.386</v>
      </c>
      <c r="F388" s="829"/>
      <c r="G388" s="829"/>
      <c r="H388" s="828">
        <f>+VLOOKUP(B388,Composición!$C:$C,1,0)</f>
        <v>62101114</v>
      </c>
      <c r="I388" s="829"/>
      <c r="J388" s="829"/>
    </row>
    <row r="389" spans="1:10" s="14" customFormat="1" ht="16.5" customHeight="1">
      <c r="A389" s="14" t="str">
        <f t="shared" si="35"/>
        <v>I</v>
      </c>
      <c r="B389" s="345">
        <v>6210111401</v>
      </c>
      <c r="C389" s="345" t="s">
        <v>270</v>
      </c>
      <c r="D389" s="347">
        <v>138433955852</v>
      </c>
      <c r="E389" s="348">
        <v>19006202.386</v>
      </c>
      <c r="F389" s="829"/>
      <c r="G389" s="830">
        <f>+F389-D389</f>
        <v>-138433955852</v>
      </c>
      <c r="H389" s="828">
        <f>+VLOOKUP(B389,Composición!$C:$C,1,0)</f>
        <v>6210111401</v>
      </c>
      <c r="I389" s="829"/>
      <c r="J389" s="829"/>
    </row>
    <row r="390" spans="1:10" s="14" customFormat="1" ht="16.5" customHeight="1">
      <c r="A390" s="31" t="str">
        <f t="shared" si="35"/>
        <v>NI</v>
      </c>
      <c r="B390" s="350">
        <v>62101117</v>
      </c>
      <c r="C390" s="350" t="s">
        <v>271</v>
      </c>
      <c r="D390" s="340">
        <v>1246735668</v>
      </c>
      <c r="E390" s="341">
        <v>171169.78999999998</v>
      </c>
      <c r="F390" s="829"/>
      <c r="G390" s="829"/>
      <c r="H390" s="828">
        <f>+VLOOKUP(B390,Composición!$C:$C,1,0)</f>
        <v>62101117</v>
      </c>
      <c r="I390" s="829"/>
      <c r="J390" s="829"/>
    </row>
    <row r="391" spans="1:10" s="14" customFormat="1" ht="16.5" customHeight="1">
      <c r="A391" s="14" t="str">
        <f t="shared" si="35"/>
        <v>I</v>
      </c>
      <c r="B391" s="345">
        <v>6210111701</v>
      </c>
      <c r="C391" s="345" t="s">
        <v>272</v>
      </c>
      <c r="D391" s="347">
        <v>950000000</v>
      </c>
      <c r="E391" s="348">
        <v>130429.65000000001</v>
      </c>
      <c r="F391" s="829"/>
      <c r="G391" s="829"/>
      <c r="H391" s="828">
        <f>+VLOOKUP(B391,Composición!$C:$C,1,0)</f>
        <v>6210111701</v>
      </c>
      <c r="I391" s="829"/>
      <c r="J391" s="829"/>
    </row>
    <row r="392" spans="1:10" s="14" customFormat="1" ht="16.5" customHeight="1">
      <c r="A392" s="14" t="str">
        <f t="shared" si="35"/>
        <v>I</v>
      </c>
      <c r="B392" s="345">
        <v>6210111702</v>
      </c>
      <c r="C392" s="345" t="s">
        <v>273</v>
      </c>
      <c r="D392" s="347">
        <v>296735668</v>
      </c>
      <c r="E392" s="348">
        <v>40740.14</v>
      </c>
      <c r="F392" s="829"/>
      <c r="G392" s="829"/>
      <c r="H392" s="828">
        <f>+VLOOKUP(B392,Composición!$C:$C,1,0)</f>
        <v>6210111702</v>
      </c>
      <c r="I392" s="829"/>
      <c r="J392" s="829"/>
    </row>
    <row r="393" spans="1:10" s="14" customFormat="1" ht="16.5" customHeight="1">
      <c r="A393" s="31" t="str">
        <f t="shared" si="35"/>
        <v>NI</v>
      </c>
      <c r="B393" s="350">
        <v>62101118</v>
      </c>
      <c r="C393" s="350" t="s">
        <v>274</v>
      </c>
      <c r="D393" s="340">
        <v>41017361588</v>
      </c>
      <c r="E393" s="341">
        <v>5631452.7100000009</v>
      </c>
      <c r="F393" s="829"/>
      <c r="G393" s="830">
        <f t="shared" ref="G393:G396" si="41">+F393-D393</f>
        <v>-41017361588</v>
      </c>
      <c r="H393" s="828">
        <f>+VLOOKUP(B393,Composición!$C:$C,1,0)</f>
        <v>62101118</v>
      </c>
      <c r="I393" s="829"/>
      <c r="J393" s="829"/>
    </row>
    <row r="394" spans="1:10" s="14" customFormat="1" ht="16.5" customHeight="1">
      <c r="A394" s="14" t="str">
        <f t="shared" si="35"/>
        <v>I</v>
      </c>
      <c r="B394" s="345">
        <v>6210111801</v>
      </c>
      <c r="C394" s="345" t="s">
        <v>275</v>
      </c>
      <c r="D394" s="347">
        <v>40737439616</v>
      </c>
      <c r="E394" s="348">
        <v>5593021</v>
      </c>
      <c r="F394" s="829"/>
      <c r="G394" s="830">
        <f t="shared" si="41"/>
        <v>-40737439616</v>
      </c>
      <c r="H394" s="828">
        <f>+VLOOKUP(B394,Composición!$C:$C,1,0)</f>
        <v>6210111801</v>
      </c>
      <c r="I394" s="829"/>
      <c r="J394" s="829"/>
    </row>
    <row r="395" spans="1:10" s="14" customFormat="1" ht="16.5" customHeight="1">
      <c r="A395" s="14" t="str">
        <f t="shared" si="35"/>
        <v>I</v>
      </c>
      <c r="B395" s="345">
        <v>6210111802</v>
      </c>
      <c r="C395" s="345" t="s">
        <v>276</v>
      </c>
      <c r="D395" s="347">
        <v>279921972</v>
      </c>
      <c r="E395" s="348">
        <v>38431.709999999992</v>
      </c>
      <c r="F395" s="829"/>
      <c r="G395" s="830">
        <f t="shared" si="41"/>
        <v>-279921972</v>
      </c>
      <c r="H395" s="828">
        <f>+VLOOKUP(B395,Composición!$C:$C,1,0)</f>
        <v>6210111802</v>
      </c>
      <c r="I395" s="829"/>
      <c r="J395" s="829"/>
    </row>
    <row r="396" spans="1:10" s="14" customFormat="1" ht="16.5" customHeight="1">
      <c r="A396" s="31" t="str">
        <f t="shared" si="35"/>
        <v>NI</v>
      </c>
      <c r="B396" s="350">
        <v>62101129</v>
      </c>
      <c r="C396" s="350" t="s">
        <v>277</v>
      </c>
      <c r="D396" s="340">
        <v>26589769792</v>
      </c>
      <c r="E396" s="341">
        <v>3650625.62</v>
      </c>
      <c r="F396" s="829"/>
      <c r="G396" s="830">
        <f t="shared" si="41"/>
        <v>-26589769792</v>
      </c>
      <c r="H396" s="828">
        <f>+VLOOKUP(B396,Composición!$C:$C,1,0)</f>
        <v>62101129</v>
      </c>
      <c r="I396" s="829"/>
      <c r="J396" s="829"/>
    </row>
    <row r="397" spans="1:10" s="14" customFormat="1" ht="16.5" customHeight="1">
      <c r="A397" s="14" t="str">
        <f t="shared" si="35"/>
        <v>I</v>
      </c>
      <c r="B397" s="345">
        <v>6210112901</v>
      </c>
      <c r="C397" s="345" t="s">
        <v>278</v>
      </c>
      <c r="D397" s="347">
        <v>26589769792</v>
      </c>
      <c r="E397" s="348">
        <v>3650625.62</v>
      </c>
      <c r="F397" s="829"/>
      <c r="G397" s="829"/>
      <c r="H397" s="828">
        <f>+VLOOKUP(B397,Composición!$C:$C,1,0)</f>
        <v>6210112901</v>
      </c>
      <c r="I397" s="829"/>
      <c r="J397" s="829"/>
    </row>
    <row r="398" spans="1:10" s="14" customFormat="1" ht="16.5" customHeight="1">
      <c r="A398" s="31" t="str">
        <f t="shared" si="35"/>
        <v>NI</v>
      </c>
      <c r="B398" s="350">
        <v>62101131</v>
      </c>
      <c r="C398" s="350" t="s">
        <v>279</v>
      </c>
      <c r="D398" s="340">
        <v>87792251744</v>
      </c>
      <c r="E398" s="341">
        <v>12053381.66</v>
      </c>
      <c r="F398" s="829"/>
      <c r="G398" s="830">
        <f t="shared" ref="G398:G399" si="42">+F398-D398</f>
        <v>-87792251744</v>
      </c>
      <c r="H398" s="828">
        <f>+VLOOKUP(B398,Composición!$C:$C,1,0)</f>
        <v>62101131</v>
      </c>
      <c r="I398" s="829"/>
      <c r="J398" s="829"/>
    </row>
    <row r="399" spans="1:10" s="14" customFormat="1" ht="16.5" customHeight="1">
      <c r="A399" s="14" t="str">
        <f t="shared" si="35"/>
        <v>I</v>
      </c>
      <c r="B399" s="345">
        <v>6210113101</v>
      </c>
      <c r="C399" s="345" t="s">
        <v>280</v>
      </c>
      <c r="D399" s="347">
        <v>87792251744</v>
      </c>
      <c r="E399" s="348">
        <v>12053381.66</v>
      </c>
      <c r="F399" s="829"/>
      <c r="G399" s="830">
        <f t="shared" si="42"/>
        <v>-87792251744</v>
      </c>
      <c r="H399" s="828">
        <f>+VLOOKUP(B399,Composición!$C:$C,1,0)</f>
        <v>6210113101</v>
      </c>
      <c r="I399" s="829"/>
      <c r="J399" s="829"/>
    </row>
    <row r="400" spans="1:10" s="14" customFormat="1" ht="16.5" customHeight="1">
      <c r="A400" s="798" t="str">
        <f t="shared" si="35"/>
        <v>NI</v>
      </c>
      <c r="B400" s="803">
        <v>62101133</v>
      </c>
      <c r="C400" s="803" t="s">
        <v>132</v>
      </c>
      <c r="D400" s="804">
        <v>9500000000</v>
      </c>
      <c r="E400" s="805">
        <v>1304296.4900000002</v>
      </c>
      <c r="F400" s="831"/>
      <c r="G400" s="831"/>
      <c r="H400" s="832">
        <f>+VLOOKUP(B400,Composición!$C:$C,1,0)</f>
        <v>62101133</v>
      </c>
      <c r="I400" s="829"/>
      <c r="J400" s="829"/>
    </row>
    <row r="401" spans="1:10" s="14" customFormat="1" ht="16.5" customHeight="1">
      <c r="A401" s="802" t="str">
        <f t="shared" si="35"/>
        <v>I</v>
      </c>
      <c r="B401" s="799">
        <v>6210113301</v>
      </c>
      <c r="C401" s="799" t="s">
        <v>132</v>
      </c>
      <c r="D401" s="800">
        <v>9500000000</v>
      </c>
      <c r="E401" s="801">
        <v>1304296.4900000002</v>
      </c>
      <c r="F401" s="831"/>
      <c r="G401" s="831"/>
      <c r="H401" s="832">
        <f>+VLOOKUP(B401,Composición!$C:$C,1,0)</f>
        <v>6210113301</v>
      </c>
      <c r="I401" s="829"/>
      <c r="J401" s="829"/>
    </row>
    <row r="402" spans="1:10" s="14" customFormat="1" ht="16.5" customHeight="1">
      <c r="A402" s="31" t="str">
        <f t="shared" si="35"/>
        <v>NI</v>
      </c>
      <c r="B402" s="350">
        <v>6210120</v>
      </c>
      <c r="C402" s="350" t="s">
        <v>285</v>
      </c>
      <c r="D402" s="340">
        <v>368842760801</v>
      </c>
      <c r="E402" s="341">
        <v>50640033.5</v>
      </c>
      <c r="F402" s="829"/>
      <c r="G402" s="830">
        <f t="shared" ref="G402:G403" si="43">+F402-D402</f>
        <v>-368842760801</v>
      </c>
      <c r="H402" s="828">
        <f>+VLOOKUP(B402,Composición!$C:$C,1,0)</f>
        <v>6210120</v>
      </c>
      <c r="I402" s="829"/>
      <c r="J402" s="829"/>
    </row>
    <row r="403" spans="1:10" s="14" customFormat="1" ht="16.5" customHeight="1">
      <c r="A403" s="31" t="str">
        <f t="shared" si="35"/>
        <v>NI</v>
      </c>
      <c r="B403" s="350">
        <v>62101201</v>
      </c>
      <c r="C403" s="350" t="s">
        <v>282</v>
      </c>
      <c r="D403" s="340">
        <v>368842760801</v>
      </c>
      <c r="E403" s="341">
        <v>50640033.5</v>
      </c>
      <c r="F403" s="829"/>
      <c r="G403" s="830">
        <f t="shared" si="43"/>
        <v>-368842760801</v>
      </c>
      <c r="H403" s="828">
        <f>+VLOOKUP(B403,Composición!$C:$C,1,0)</f>
        <v>62101201</v>
      </c>
      <c r="I403" s="829"/>
      <c r="J403" s="829"/>
    </row>
    <row r="404" spans="1:10" s="14" customFormat="1" ht="16.5" customHeight="1">
      <c r="A404" s="14" t="str">
        <f t="shared" si="35"/>
        <v>I</v>
      </c>
      <c r="B404" s="345">
        <v>6210120101</v>
      </c>
      <c r="C404" s="345" t="s">
        <v>283</v>
      </c>
      <c r="D404" s="347">
        <v>368842760801</v>
      </c>
      <c r="E404" s="348">
        <v>50640033.5</v>
      </c>
      <c r="F404" s="829"/>
      <c r="G404" s="829"/>
      <c r="H404" s="828">
        <f>+VLOOKUP(B404,Composición!$C:$C,1,0)</f>
        <v>6210120101</v>
      </c>
      <c r="I404" s="829"/>
      <c r="J404" s="829"/>
    </row>
    <row r="405" spans="1:10" s="14" customFormat="1" ht="16.5" customHeight="1">
      <c r="B405" s="345"/>
      <c r="C405" s="345"/>
      <c r="D405" s="347"/>
      <c r="E405" s="348"/>
      <c r="F405" s="829"/>
      <c r="G405" s="829"/>
      <c r="H405" s="828"/>
      <c r="I405" s="829"/>
      <c r="J405" s="829"/>
    </row>
    <row r="406" spans="1:10" s="14" customFormat="1" ht="16.5" customHeight="1">
      <c r="A406" s="31" t="str">
        <f t="shared" si="35"/>
        <v>NI</v>
      </c>
      <c r="B406" s="350">
        <v>4</v>
      </c>
      <c r="C406" s="350" t="s">
        <v>286</v>
      </c>
      <c r="D406" s="340">
        <v>28097411301</v>
      </c>
      <c r="E406" s="341">
        <v>4822081.5925000003</v>
      </c>
      <c r="F406" s="829"/>
      <c r="G406" s="829"/>
      <c r="H406" s="828">
        <f>+VLOOKUP(B406,Composición!$C:$C,1,0)</f>
        <v>4</v>
      </c>
      <c r="I406" s="829"/>
      <c r="J406" s="829"/>
    </row>
    <row r="407" spans="1:10" s="14" customFormat="1" ht="16.5" customHeight="1">
      <c r="A407" s="31" t="str">
        <f t="shared" si="35"/>
        <v>NI</v>
      </c>
      <c r="B407" s="350">
        <v>41</v>
      </c>
      <c r="C407" s="350" t="s">
        <v>287</v>
      </c>
      <c r="D407" s="340">
        <v>18304787977</v>
      </c>
      <c r="E407" s="341">
        <v>2446055.7539999997</v>
      </c>
      <c r="F407" s="829"/>
      <c r="G407" s="829"/>
      <c r="H407" s="828">
        <f>+VLOOKUP(B407,Composición!$C:$C,1,0)</f>
        <v>41</v>
      </c>
      <c r="I407" s="829"/>
      <c r="J407" s="829"/>
    </row>
    <row r="408" spans="1:10" s="14" customFormat="1" ht="16.5" customHeight="1">
      <c r="A408" s="31" t="str">
        <f t="shared" si="35"/>
        <v>NI</v>
      </c>
      <c r="B408" s="350">
        <v>411</v>
      </c>
      <c r="C408" s="350" t="s">
        <v>288</v>
      </c>
      <c r="D408" s="340">
        <v>1129294502</v>
      </c>
      <c r="E408" s="341">
        <v>154884.38</v>
      </c>
      <c r="F408" s="829"/>
      <c r="G408" s="829"/>
      <c r="H408" s="828">
        <f>+VLOOKUP(B408,Composición!$C:$C,1,0)</f>
        <v>411</v>
      </c>
      <c r="I408" s="829"/>
      <c r="J408" s="829"/>
    </row>
    <row r="409" spans="1:10" s="14" customFormat="1" ht="16.5" customHeight="1">
      <c r="A409" s="31" t="str">
        <f t="shared" si="35"/>
        <v>NI</v>
      </c>
      <c r="B409" s="350">
        <v>41101</v>
      </c>
      <c r="C409" s="350" t="s">
        <v>288</v>
      </c>
      <c r="D409" s="340">
        <v>476861006</v>
      </c>
      <c r="E409" s="341">
        <v>65432.44</v>
      </c>
      <c r="F409" s="829">
        <f>+SUMIF(Composición!C:C,'BG 2023'!B409,Composición!G:G)</f>
        <v>0</v>
      </c>
      <c r="G409" s="830">
        <f t="shared" ref="G409:G412" si="44">+F409-D409</f>
        <v>-476861006</v>
      </c>
      <c r="H409" s="828">
        <f>+VLOOKUP(B409,Composición!$C:$C,1,0)</f>
        <v>41101</v>
      </c>
      <c r="I409" s="829"/>
      <c r="J409" s="829"/>
    </row>
    <row r="410" spans="1:10" s="14" customFormat="1" ht="16.5" customHeight="1">
      <c r="A410" s="31" t="str">
        <f t="shared" si="35"/>
        <v>NI</v>
      </c>
      <c r="B410" s="350">
        <v>411011</v>
      </c>
      <c r="C410" s="350" t="s">
        <v>289</v>
      </c>
      <c r="D410" s="340">
        <v>441920878</v>
      </c>
      <c r="E410" s="341">
        <v>60670.02</v>
      </c>
      <c r="F410" s="829">
        <f>+SUMIF(Composición!C:C,'BG 2023'!B410,Composición!G:G)</f>
        <v>0</v>
      </c>
      <c r="G410" s="830">
        <f t="shared" si="44"/>
        <v>-441920878</v>
      </c>
      <c r="H410" s="828">
        <f>+VLOOKUP(B410,Composición!$C:$C,1,0)</f>
        <v>411011</v>
      </c>
      <c r="I410" s="829"/>
      <c r="J410" s="829"/>
    </row>
    <row r="411" spans="1:10" s="14" customFormat="1" ht="16.5" customHeight="1">
      <c r="A411" s="31" t="str">
        <f t="shared" si="35"/>
        <v>NI</v>
      </c>
      <c r="B411" s="350">
        <v>4110111</v>
      </c>
      <c r="C411" s="350" t="s">
        <v>290</v>
      </c>
      <c r="D411" s="340">
        <v>20632342</v>
      </c>
      <c r="E411" s="341">
        <v>2841.55</v>
      </c>
      <c r="F411" s="829">
        <f>+SUMIF(Composición!C:C,'BG 2023'!B411,Composición!G:G)</f>
        <v>0</v>
      </c>
      <c r="G411" s="830">
        <f t="shared" si="44"/>
        <v>-20632342</v>
      </c>
      <c r="H411" s="828">
        <f>+VLOOKUP(B411,Composición!$C:$C,1,0)</f>
        <v>4110111</v>
      </c>
      <c r="I411" s="829"/>
      <c r="J411" s="829"/>
    </row>
    <row r="412" spans="1:10" s="14" customFormat="1" ht="16.5" customHeight="1">
      <c r="A412" s="31" t="str">
        <f t="shared" si="35"/>
        <v>NI</v>
      </c>
      <c r="B412" s="350">
        <v>41101111</v>
      </c>
      <c r="C412" s="350" t="s">
        <v>291</v>
      </c>
      <c r="D412" s="340">
        <v>20632342</v>
      </c>
      <c r="E412" s="341">
        <v>2841.55</v>
      </c>
      <c r="F412" s="829">
        <f>+SUMIF(Composición!C:C,'BG 2023'!B412,Composición!G:G)</f>
        <v>0</v>
      </c>
      <c r="G412" s="830">
        <f t="shared" si="44"/>
        <v>-20632342</v>
      </c>
      <c r="H412" s="828">
        <f>+VLOOKUP(B412,Composición!$C:$C,1,0)</f>
        <v>41101111</v>
      </c>
      <c r="I412" s="829"/>
      <c r="J412" s="829"/>
    </row>
    <row r="413" spans="1:10" s="14" customFormat="1" ht="16.5" customHeight="1">
      <c r="A413" s="14" t="str">
        <f t="shared" si="35"/>
        <v>I</v>
      </c>
      <c r="B413" s="345">
        <v>4110111101</v>
      </c>
      <c r="C413" s="345" t="s">
        <v>292</v>
      </c>
      <c r="D413" s="347">
        <v>18725754</v>
      </c>
      <c r="E413" s="348">
        <v>2580.96</v>
      </c>
      <c r="F413" s="829"/>
      <c r="G413" s="829"/>
      <c r="H413" s="828">
        <f>+VLOOKUP(B413,Composición!$C:$C,1,0)</f>
        <v>4110111101</v>
      </c>
      <c r="I413" s="829"/>
      <c r="J413" s="829"/>
    </row>
    <row r="414" spans="1:10" s="14" customFormat="1" ht="16.5" customHeight="1">
      <c r="A414" s="802" t="str">
        <f t="shared" si="35"/>
        <v>I</v>
      </c>
      <c r="B414" s="799">
        <v>4110111104</v>
      </c>
      <c r="C414" s="799" t="s">
        <v>293</v>
      </c>
      <c r="D414" s="800">
        <v>1906588</v>
      </c>
      <c r="E414" s="801">
        <v>260.58999999999997</v>
      </c>
      <c r="F414" s="831">
        <f>+SUMIF(Composición!C:C,'BG 2023'!B414,Composición!G:G)</f>
        <v>0</v>
      </c>
      <c r="G414" s="833">
        <f t="shared" ref="G414:G416" si="45">+F414-D414</f>
        <v>-1906588</v>
      </c>
      <c r="H414" s="832">
        <f>+VLOOKUP(B414,Composición!$C:$C,1,0)</f>
        <v>4110111104</v>
      </c>
      <c r="I414" s="829"/>
      <c r="J414" s="829"/>
    </row>
    <row r="415" spans="1:10" s="14" customFormat="1" ht="16.5" customHeight="1">
      <c r="A415" s="31" t="str">
        <f t="shared" si="35"/>
        <v>NI</v>
      </c>
      <c r="B415" s="350">
        <v>4110112</v>
      </c>
      <c r="C415" s="350" t="s">
        <v>294</v>
      </c>
      <c r="D415" s="340">
        <v>421288536</v>
      </c>
      <c r="E415" s="341">
        <v>57828.47</v>
      </c>
      <c r="F415" s="829">
        <f>+SUMIF(Composición!C:C,'BG 2023'!B415,Composición!G:G)</f>
        <v>0</v>
      </c>
      <c r="G415" s="830">
        <f t="shared" si="45"/>
        <v>-421288536</v>
      </c>
      <c r="H415" s="828">
        <f>+VLOOKUP(B415,Composición!$C:$C,1,0)</f>
        <v>4110112</v>
      </c>
      <c r="I415" s="829"/>
      <c r="J415" s="829"/>
    </row>
    <row r="416" spans="1:10" s="14" customFormat="1" ht="16.5" customHeight="1">
      <c r="A416" s="31" t="str">
        <f t="shared" si="35"/>
        <v>NI</v>
      </c>
      <c r="B416" s="350">
        <v>41101121</v>
      </c>
      <c r="C416" s="350" t="s">
        <v>295</v>
      </c>
      <c r="D416" s="340">
        <v>251048546</v>
      </c>
      <c r="E416" s="341">
        <v>34500.42</v>
      </c>
      <c r="F416" s="829">
        <f>+SUMIF(Composición!C:C,'BG 2023'!B416,Composición!G:G)</f>
        <v>0</v>
      </c>
      <c r="G416" s="830">
        <f t="shared" si="45"/>
        <v>-251048546</v>
      </c>
      <c r="H416" s="828">
        <f>+VLOOKUP(B416,Composición!$C:$C,1,0)</f>
        <v>41101121</v>
      </c>
      <c r="I416" s="829"/>
      <c r="J416" s="829"/>
    </row>
    <row r="417" spans="1:10" s="14" customFormat="1" ht="16.5" customHeight="1">
      <c r="A417" s="14" t="str">
        <f t="shared" si="35"/>
        <v>I</v>
      </c>
      <c r="B417" s="345">
        <v>4110112101</v>
      </c>
      <c r="C417" s="345" t="s">
        <v>296</v>
      </c>
      <c r="D417" s="347">
        <v>146051606</v>
      </c>
      <c r="E417" s="348">
        <v>20046.64</v>
      </c>
      <c r="F417" s="829"/>
      <c r="G417" s="829"/>
      <c r="H417" s="828">
        <f>+VLOOKUP(B417,Composición!$C:$C,1,0)</f>
        <v>4110112101</v>
      </c>
      <c r="I417" s="829"/>
      <c r="J417" s="829"/>
    </row>
    <row r="418" spans="1:10" s="14" customFormat="1" ht="16.5" customHeight="1">
      <c r="A418" s="14" t="str">
        <f t="shared" si="35"/>
        <v>I</v>
      </c>
      <c r="B418" s="345">
        <v>4110112102</v>
      </c>
      <c r="C418" s="345" t="s">
        <v>297</v>
      </c>
      <c r="D418" s="347">
        <v>29587084</v>
      </c>
      <c r="E418" s="348">
        <v>4096.66</v>
      </c>
      <c r="F418" s="829"/>
      <c r="G418" s="829"/>
      <c r="H418" s="828">
        <f>+VLOOKUP(B418,Composición!$C:$C,1,0)</f>
        <v>4110112102</v>
      </c>
      <c r="I418" s="829"/>
      <c r="J418" s="829"/>
    </row>
    <row r="419" spans="1:10" s="14" customFormat="1" ht="16.5" customHeight="1">
      <c r="A419" s="14" t="str">
        <f t="shared" si="35"/>
        <v>I</v>
      </c>
      <c r="B419" s="345">
        <v>4110112103</v>
      </c>
      <c r="C419" s="345" t="s">
        <v>298</v>
      </c>
      <c r="D419" s="347">
        <v>30167037</v>
      </c>
      <c r="E419" s="348">
        <v>4160.4900000000007</v>
      </c>
      <c r="F419" s="829">
        <f>+SUMIF(Composición!C:C,'BG 2023'!B419,Composición!G:G)</f>
        <v>11870244</v>
      </c>
      <c r="G419" s="830">
        <f t="shared" ref="G419:G423" si="46">+F419-D419</f>
        <v>-18296793</v>
      </c>
      <c r="H419" s="828">
        <f>+VLOOKUP(B419,Composición!$C:$C,1,0)</f>
        <v>4110112103</v>
      </c>
      <c r="I419" s="829"/>
      <c r="J419" s="829"/>
    </row>
    <row r="420" spans="1:10" s="14" customFormat="1" ht="16.5" customHeight="1">
      <c r="A420" s="14" t="str">
        <f t="shared" si="35"/>
        <v>I</v>
      </c>
      <c r="B420" s="345">
        <v>4110112104</v>
      </c>
      <c r="C420" s="345" t="s">
        <v>299</v>
      </c>
      <c r="D420" s="347">
        <v>7500000</v>
      </c>
      <c r="E420" s="348">
        <v>1017.91</v>
      </c>
      <c r="F420" s="829">
        <f>+SUMIF(Composición!C:C,'BG 2023'!B420,Composición!G:G)</f>
        <v>23718652</v>
      </c>
      <c r="G420" s="830">
        <f t="shared" si="46"/>
        <v>16218652</v>
      </c>
      <c r="H420" s="828">
        <f>+VLOOKUP(B420,Composición!$C:$C,1,0)</f>
        <v>4110112104</v>
      </c>
      <c r="I420" s="829"/>
      <c r="J420" s="829"/>
    </row>
    <row r="421" spans="1:10" s="14" customFormat="1" ht="16.5" customHeight="1">
      <c r="A421" s="14" t="str">
        <f t="shared" si="35"/>
        <v>I</v>
      </c>
      <c r="B421" s="345">
        <v>4110112105</v>
      </c>
      <c r="C421" s="345" t="s">
        <v>300</v>
      </c>
      <c r="D421" s="347">
        <v>5100000</v>
      </c>
      <c r="E421" s="348">
        <v>710.15</v>
      </c>
      <c r="F421" s="829">
        <f>+SUMIF(Composición!C:C,'BG 2023'!B421,Composición!G:G)</f>
        <v>6435019</v>
      </c>
      <c r="G421" s="830">
        <f t="shared" si="46"/>
        <v>1335019</v>
      </c>
      <c r="H421" s="828">
        <f>+VLOOKUP(B421,Composición!$C:$C,1,0)</f>
        <v>4110112105</v>
      </c>
      <c r="I421" s="829"/>
      <c r="J421" s="829"/>
    </row>
    <row r="422" spans="1:10" s="14" customFormat="1" ht="16.5" customHeight="1">
      <c r="A422" s="14" t="str">
        <f t="shared" si="35"/>
        <v>I</v>
      </c>
      <c r="B422" s="345">
        <v>4110112108</v>
      </c>
      <c r="C422" s="345" t="s">
        <v>301</v>
      </c>
      <c r="D422" s="347">
        <v>32642819</v>
      </c>
      <c r="E422" s="348">
        <v>4468.57</v>
      </c>
      <c r="F422" s="829">
        <f>+SUMIF(Composición!C:C,'BG 2023'!B422,Composición!G:G)</f>
        <v>7029557</v>
      </c>
      <c r="G422" s="830">
        <f t="shared" si="46"/>
        <v>-25613262</v>
      </c>
      <c r="H422" s="828">
        <f>+VLOOKUP(B422,Composición!$C:$C,1,0)</f>
        <v>4110112108</v>
      </c>
      <c r="I422" s="829"/>
      <c r="J422" s="829"/>
    </row>
    <row r="423" spans="1:10" s="14" customFormat="1" ht="16.5" customHeight="1">
      <c r="A423" s="31" t="str">
        <f t="shared" ref="A423:A486" si="47">IF(LEN(B423)&gt;8,"I","NI")</f>
        <v>NI</v>
      </c>
      <c r="B423" s="350">
        <v>41101122</v>
      </c>
      <c r="C423" s="350" t="s">
        <v>302</v>
      </c>
      <c r="D423" s="340">
        <v>170239990</v>
      </c>
      <c r="E423" s="341">
        <v>23328.05</v>
      </c>
      <c r="F423" s="829">
        <f>+SUMIF(Composición!C:C,'BG 2023'!B423,Composición!G:G)</f>
        <v>0</v>
      </c>
      <c r="G423" s="830">
        <f t="shared" si="46"/>
        <v>-170239990</v>
      </c>
      <c r="H423" s="828">
        <f>+VLOOKUP(B423,Composición!$C:$C,1,0)</f>
        <v>41101122</v>
      </c>
      <c r="I423" s="829"/>
      <c r="J423" s="829"/>
    </row>
    <row r="424" spans="1:10" s="14" customFormat="1" ht="16.5" customHeight="1">
      <c r="A424" s="14" t="str">
        <f t="shared" si="47"/>
        <v>I</v>
      </c>
      <c r="B424" s="345">
        <v>4110112201</v>
      </c>
      <c r="C424" s="345" t="s">
        <v>303</v>
      </c>
      <c r="D424" s="347">
        <v>132586513</v>
      </c>
      <c r="E424" s="348">
        <v>18194.829999999998</v>
      </c>
      <c r="F424" s="829"/>
      <c r="G424" s="829"/>
      <c r="H424" s="828">
        <f>+VLOOKUP(B424,Composición!$C:$C,1,0)</f>
        <v>4110112201</v>
      </c>
      <c r="I424" s="829"/>
      <c r="J424" s="829"/>
    </row>
    <row r="425" spans="1:10" s="14" customFormat="1" ht="16.5" customHeight="1">
      <c r="A425" s="14" t="str">
        <f t="shared" si="47"/>
        <v>I</v>
      </c>
      <c r="B425" s="345">
        <v>4110112202</v>
      </c>
      <c r="C425" s="345" t="s">
        <v>304</v>
      </c>
      <c r="D425" s="347">
        <v>37653477</v>
      </c>
      <c r="E425" s="348">
        <v>5133.22</v>
      </c>
      <c r="F425" s="829"/>
      <c r="G425" s="829"/>
      <c r="H425" s="828">
        <f>+VLOOKUP(B425,Composición!$C:$C,1,0)</f>
        <v>4110112202</v>
      </c>
      <c r="I425" s="829"/>
      <c r="J425" s="829"/>
    </row>
    <row r="426" spans="1:10" s="14" customFormat="1" ht="16.5" customHeight="1">
      <c r="A426" s="31" t="str">
        <f t="shared" si="47"/>
        <v>NI</v>
      </c>
      <c r="B426" s="350">
        <v>411013</v>
      </c>
      <c r="C426" s="350" t="s">
        <v>305</v>
      </c>
      <c r="D426" s="340">
        <v>34940128</v>
      </c>
      <c r="E426" s="341">
        <v>4762.4199999999992</v>
      </c>
      <c r="F426" s="829"/>
      <c r="G426" s="829"/>
      <c r="H426" s="828">
        <f>+VLOOKUP(B426,Composición!$C:$C,1,0)</f>
        <v>411013</v>
      </c>
      <c r="I426" s="829"/>
      <c r="J426" s="829"/>
    </row>
    <row r="427" spans="1:10" s="14" customFormat="1" ht="16.5" customHeight="1">
      <c r="A427" s="31" t="str">
        <f t="shared" si="47"/>
        <v>NI</v>
      </c>
      <c r="B427" s="350">
        <v>4110131</v>
      </c>
      <c r="C427" s="350" t="s">
        <v>306</v>
      </c>
      <c r="D427" s="340">
        <v>34940128</v>
      </c>
      <c r="E427" s="341">
        <v>4762.4199999999992</v>
      </c>
      <c r="F427" s="829"/>
      <c r="G427" s="829"/>
      <c r="H427" s="828">
        <f>+VLOOKUP(B427,Composición!$C:$C,1,0)</f>
        <v>4110131</v>
      </c>
      <c r="I427" s="829"/>
      <c r="J427" s="829"/>
    </row>
    <row r="428" spans="1:10" s="14" customFormat="1" ht="16.5" customHeight="1">
      <c r="A428" s="31" t="str">
        <f t="shared" si="47"/>
        <v>NI</v>
      </c>
      <c r="B428" s="350">
        <v>41101311</v>
      </c>
      <c r="C428" s="350" t="s">
        <v>306</v>
      </c>
      <c r="D428" s="340">
        <v>31506532</v>
      </c>
      <c r="E428" s="341">
        <v>4294.9199999999992</v>
      </c>
      <c r="F428" s="829"/>
      <c r="G428" s="829"/>
      <c r="H428" s="828">
        <f>+VLOOKUP(B428,Composición!$C:$C,1,0)</f>
        <v>41101311</v>
      </c>
      <c r="I428" s="829"/>
      <c r="J428" s="829"/>
    </row>
    <row r="429" spans="1:10" s="14" customFormat="1" ht="16.5" customHeight="1">
      <c r="A429" s="14" t="str">
        <f t="shared" si="47"/>
        <v>I</v>
      </c>
      <c r="B429" s="345">
        <v>4110131102</v>
      </c>
      <c r="C429" s="345" t="s">
        <v>307</v>
      </c>
      <c r="D429" s="347">
        <v>31506532</v>
      </c>
      <c r="E429" s="348">
        <v>4294.92</v>
      </c>
      <c r="F429" s="829">
        <f>+SUMIF(Composición!C:C,'BG 2023'!B429,Composición!G:G)</f>
        <v>103000000</v>
      </c>
      <c r="G429" s="830">
        <f t="shared" ref="G429:G439" si="48">+F429-D429</f>
        <v>71493468</v>
      </c>
      <c r="H429" s="828">
        <f>+VLOOKUP(B429,Composición!$C:$C,1,0)</f>
        <v>4110131102</v>
      </c>
      <c r="I429" s="829"/>
      <c r="J429" s="829"/>
    </row>
    <row r="430" spans="1:10" s="14" customFormat="1" ht="16.5" customHeight="1">
      <c r="A430" s="31" t="str">
        <f t="shared" si="47"/>
        <v>NI</v>
      </c>
      <c r="B430" s="350">
        <v>41101312</v>
      </c>
      <c r="C430" s="350" t="s">
        <v>306</v>
      </c>
      <c r="D430" s="340">
        <v>3433596</v>
      </c>
      <c r="E430" s="341">
        <v>467.5</v>
      </c>
      <c r="F430" s="829">
        <f>+SUMIF(Composición!C:C,'BG 2023'!B430,Composición!G:G)</f>
        <v>0</v>
      </c>
      <c r="G430" s="830">
        <f t="shared" si="48"/>
        <v>-3433596</v>
      </c>
      <c r="H430" s="828">
        <f>+VLOOKUP(B430,Composición!$C:$C,1,0)</f>
        <v>41101312</v>
      </c>
      <c r="I430" s="829"/>
      <c r="J430" s="829"/>
    </row>
    <row r="431" spans="1:10" s="14" customFormat="1" ht="16.5" customHeight="1">
      <c r="A431" s="14" t="str">
        <f t="shared" si="47"/>
        <v>I</v>
      </c>
      <c r="B431" s="345">
        <v>4110131202</v>
      </c>
      <c r="C431" s="345" t="s">
        <v>307</v>
      </c>
      <c r="D431" s="347">
        <v>3433596</v>
      </c>
      <c r="E431" s="348">
        <v>467.5</v>
      </c>
      <c r="F431" s="829">
        <f>+SUMIF(Composición!C:C,'BG 2023'!B431,Composición!G:G)</f>
        <v>99189397</v>
      </c>
      <c r="G431" s="830">
        <f t="shared" si="48"/>
        <v>95755801</v>
      </c>
      <c r="H431" s="828">
        <f>+VLOOKUP(B431,Composición!$C:$C,1,0)</f>
        <v>4110131202</v>
      </c>
      <c r="I431" s="829"/>
      <c r="J431" s="829"/>
    </row>
    <row r="432" spans="1:10" s="14" customFormat="1" ht="16.5" customHeight="1">
      <c r="A432" s="31" t="str">
        <f t="shared" si="47"/>
        <v>NI</v>
      </c>
      <c r="B432" s="350">
        <v>411014</v>
      </c>
      <c r="C432" s="350" t="s">
        <v>308</v>
      </c>
      <c r="D432" s="340">
        <v>652433496</v>
      </c>
      <c r="E432" s="341">
        <v>89451.94</v>
      </c>
      <c r="F432" s="829">
        <f>+SUMIF(Composición!C:C,'BG 2023'!B432,Composición!G:G)</f>
        <v>0</v>
      </c>
      <c r="G432" s="830">
        <f t="shared" si="48"/>
        <v>-652433496</v>
      </c>
      <c r="H432" s="828">
        <f>+VLOOKUP(B432,Composición!$C:$C,1,0)</f>
        <v>411014</v>
      </c>
      <c r="I432" s="829"/>
      <c r="J432" s="829"/>
    </row>
    <row r="433" spans="1:10" s="14" customFormat="1" ht="16.5" customHeight="1">
      <c r="A433" s="31" t="str">
        <f t="shared" si="47"/>
        <v>NI</v>
      </c>
      <c r="B433" s="350">
        <v>4110141</v>
      </c>
      <c r="C433" s="350" t="s">
        <v>309</v>
      </c>
      <c r="D433" s="340">
        <v>625927237</v>
      </c>
      <c r="E433" s="341">
        <v>85811.94</v>
      </c>
      <c r="F433" s="829">
        <f>+SUMIF(Composición!C:C,'BG 2023'!B433,Composición!G:G)</f>
        <v>0</v>
      </c>
      <c r="G433" s="830">
        <f t="shared" si="48"/>
        <v>-625927237</v>
      </c>
      <c r="H433" s="828">
        <f>+VLOOKUP(B433,Composición!$C:$C,1,0)</f>
        <v>4110141</v>
      </c>
      <c r="I433" s="829"/>
      <c r="J433" s="829"/>
    </row>
    <row r="434" spans="1:10" s="14" customFormat="1" ht="16.5" customHeight="1">
      <c r="A434" s="31" t="str">
        <f t="shared" si="47"/>
        <v>NI</v>
      </c>
      <c r="B434" s="350">
        <v>41101411</v>
      </c>
      <c r="C434" s="350" t="s">
        <v>310</v>
      </c>
      <c r="D434" s="340">
        <v>241473020</v>
      </c>
      <c r="E434" s="341">
        <v>33159.339999999997</v>
      </c>
      <c r="F434" s="829">
        <f>+SUMIF(Composición!C:C,'BG 2023'!B434,Composición!G:G)</f>
        <v>0</v>
      </c>
      <c r="G434" s="830">
        <f t="shared" si="48"/>
        <v>-241473020</v>
      </c>
      <c r="H434" s="828">
        <f>+VLOOKUP(B434,Composición!$C:$C,1,0)</f>
        <v>41101411</v>
      </c>
      <c r="I434" s="829"/>
      <c r="J434" s="829"/>
    </row>
    <row r="435" spans="1:10" s="14" customFormat="1" ht="16.5" customHeight="1">
      <c r="A435" s="14" t="str">
        <f t="shared" si="47"/>
        <v>I</v>
      </c>
      <c r="B435" s="345">
        <v>4110141101</v>
      </c>
      <c r="C435" s="345" t="s">
        <v>311</v>
      </c>
      <c r="D435" s="347">
        <v>106102436</v>
      </c>
      <c r="E435" s="348">
        <v>14483.02</v>
      </c>
      <c r="F435" s="829">
        <f>+SUMIF(Composición!C:C,'BG 2023'!B435,Composición!G:G)</f>
        <v>342051152</v>
      </c>
      <c r="G435" s="830">
        <f t="shared" si="48"/>
        <v>235948716</v>
      </c>
      <c r="H435" s="828">
        <f>+VLOOKUP(B435,Composición!$C:$C,1,0)</f>
        <v>4110141101</v>
      </c>
      <c r="I435" s="829"/>
      <c r="J435" s="829"/>
    </row>
    <row r="436" spans="1:10" s="14" customFormat="1" ht="16.5" customHeight="1">
      <c r="A436" s="14" t="str">
        <f t="shared" si="47"/>
        <v>I</v>
      </c>
      <c r="B436" s="345">
        <v>4110141102</v>
      </c>
      <c r="C436" s="345" t="s">
        <v>312</v>
      </c>
      <c r="D436" s="347">
        <v>21949356</v>
      </c>
      <c r="E436" s="348">
        <v>3033.6600000000008</v>
      </c>
      <c r="F436" s="829">
        <f>+SUMIF(Composición!C:C,'BG 2023'!B436,Composición!G:G)</f>
        <v>39233830</v>
      </c>
      <c r="G436" s="830">
        <f t="shared" si="48"/>
        <v>17284474</v>
      </c>
      <c r="H436" s="828">
        <f>+VLOOKUP(B436,Composición!$C:$C,1,0)</f>
        <v>4110141102</v>
      </c>
      <c r="I436" s="829"/>
      <c r="J436" s="829"/>
    </row>
    <row r="437" spans="1:10" s="14" customFormat="1" ht="16.5" customHeight="1">
      <c r="A437" s="14" t="str">
        <f t="shared" si="47"/>
        <v>I</v>
      </c>
      <c r="B437" s="345">
        <v>4110141105</v>
      </c>
      <c r="C437" s="345" t="s">
        <v>313</v>
      </c>
      <c r="D437" s="347">
        <v>4651064</v>
      </c>
      <c r="E437" s="348">
        <v>639.69000000000005</v>
      </c>
      <c r="F437" s="829">
        <f>+SUMIF(Composición!C:C,'BG 2023'!B437,Composición!G:G)</f>
        <v>0</v>
      </c>
      <c r="G437" s="830">
        <f t="shared" si="48"/>
        <v>-4651064</v>
      </c>
      <c r="H437" s="828">
        <f>+VLOOKUP(B437,Composición!$C:$C,1,0)</f>
        <v>4110141105</v>
      </c>
      <c r="I437" s="829"/>
      <c r="J437" s="829"/>
    </row>
    <row r="438" spans="1:10" s="14" customFormat="1" ht="16.5" customHeight="1">
      <c r="A438" s="14" t="str">
        <f t="shared" si="47"/>
        <v>I</v>
      </c>
      <c r="B438" s="345">
        <v>4110141106</v>
      </c>
      <c r="C438" s="345" t="s">
        <v>314</v>
      </c>
      <c r="D438" s="347">
        <v>108770164</v>
      </c>
      <c r="E438" s="348">
        <v>15002.97</v>
      </c>
      <c r="F438" s="829">
        <f>+SUMIF(Composición!C:C,'BG 2023'!B438,Composición!G:G)</f>
        <v>7050454</v>
      </c>
      <c r="G438" s="830">
        <f t="shared" si="48"/>
        <v>-101719710</v>
      </c>
      <c r="H438" s="828">
        <f>+VLOOKUP(B438,Composición!$C:$C,1,0)</f>
        <v>4110141106</v>
      </c>
      <c r="I438" s="829"/>
      <c r="J438" s="829"/>
    </row>
    <row r="439" spans="1:10" s="14" customFormat="1" ht="16.5" customHeight="1">
      <c r="A439" s="31" t="str">
        <f t="shared" si="47"/>
        <v>NI</v>
      </c>
      <c r="B439" s="350">
        <v>41101412</v>
      </c>
      <c r="C439" s="350" t="s">
        <v>315</v>
      </c>
      <c r="D439" s="340">
        <v>384454217</v>
      </c>
      <c r="E439" s="341">
        <v>52652.6</v>
      </c>
      <c r="F439" s="829">
        <f>+SUMIF(Composición!C:C,'BG 2023'!B439,Composición!G:G)</f>
        <v>0</v>
      </c>
      <c r="G439" s="830">
        <f t="shared" si="48"/>
        <v>-384454217</v>
      </c>
      <c r="H439" s="828">
        <f>+VLOOKUP(B439,Composición!$C:$C,1,0)</f>
        <v>41101412</v>
      </c>
      <c r="I439" s="829"/>
      <c r="J439" s="829"/>
    </row>
    <row r="440" spans="1:10" s="14" customFormat="1" ht="16.5" customHeight="1">
      <c r="A440" s="14" t="str">
        <f t="shared" si="47"/>
        <v>I</v>
      </c>
      <c r="B440" s="345">
        <v>4110141201</v>
      </c>
      <c r="C440" s="345" t="s">
        <v>316</v>
      </c>
      <c r="D440" s="347">
        <v>262368233</v>
      </c>
      <c r="E440" s="348">
        <v>35881.810000000005</v>
      </c>
      <c r="F440" s="829"/>
      <c r="G440" s="829"/>
      <c r="H440" s="828">
        <f>+VLOOKUP(B440,Composición!$C:$C,1,0)</f>
        <v>4110141201</v>
      </c>
      <c r="I440" s="829"/>
      <c r="J440" s="829"/>
    </row>
    <row r="441" spans="1:10" s="14" customFormat="1" ht="16.5" customHeight="1">
      <c r="A441" s="14" t="str">
        <f t="shared" si="47"/>
        <v>I</v>
      </c>
      <c r="B441" s="345">
        <v>4110141202</v>
      </c>
      <c r="C441" s="345" t="s">
        <v>317</v>
      </c>
      <c r="D441" s="347">
        <v>122085984</v>
      </c>
      <c r="E441" s="348">
        <v>16770.79</v>
      </c>
      <c r="F441" s="829">
        <f>+SUMIF(Composición!C:C,'BG 2023'!B441,Composición!G:G)</f>
        <v>376653131</v>
      </c>
      <c r="G441" s="830">
        <f>+F441-D441</f>
        <v>254567147</v>
      </c>
      <c r="H441" s="828">
        <f>+VLOOKUP(B441,Composición!$C:$C,1,0)</f>
        <v>4110141202</v>
      </c>
      <c r="I441" s="829"/>
      <c r="J441" s="829"/>
    </row>
    <row r="442" spans="1:10" s="14" customFormat="1" ht="16.5" customHeight="1">
      <c r="A442" s="31" t="str">
        <f t="shared" si="47"/>
        <v>NI</v>
      </c>
      <c r="B442" s="350">
        <v>4110142</v>
      </c>
      <c r="C442" s="350" t="s">
        <v>318</v>
      </c>
      <c r="D442" s="340">
        <v>26506259</v>
      </c>
      <c r="E442" s="341">
        <v>3640</v>
      </c>
      <c r="F442" s="829"/>
      <c r="G442" s="829"/>
      <c r="H442" s="828">
        <f>+VLOOKUP(B442,Composición!$C:$C,1,0)</f>
        <v>4110142</v>
      </c>
      <c r="I442" s="829"/>
      <c r="J442" s="829"/>
    </row>
    <row r="443" spans="1:10" s="14" customFormat="1" ht="16.5" customHeight="1">
      <c r="A443" s="31" t="str">
        <f t="shared" si="47"/>
        <v>NI</v>
      </c>
      <c r="B443" s="350">
        <v>41101421</v>
      </c>
      <c r="C443" s="350" t="s">
        <v>319</v>
      </c>
      <c r="D443" s="340">
        <v>26506259</v>
      </c>
      <c r="E443" s="341">
        <v>3640</v>
      </c>
      <c r="F443" s="829"/>
      <c r="G443" s="829"/>
      <c r="H443" s="828">
        <f>+VLOOKUP(B443,Composición!$C:$C,1,0)</f>
        <v>41101421</v>
      </c>
      <c r="I443" s="829"/>
      <c r="J443" s="829"/>
    </row>
    <row r="444" spans="1:10" s="14" customFormat="1" ht="16.5" customHeight="1">
      <c r="A444" s="14" t="str">
        <f t="shared" si="47"/>
        <v>I</v>
      </c>
      <c r="B444" s="345">
        <v>4110142101</v>
      </c>
      <c r="C444" s="345" t="s">
        <v>320</v>
      </c>
      <c r="D444" s="347">
        <v>20610610</v>
      </c>
      <c r="E444" s="348">
        <v>2830</v>
      </c>
      <c r="F444" s="829">
        <f>+SUMIF(Composición!C:C,'BG 2023'!B444,Composición!G:G)</f>
        <v>114528731</v>
      </c>
      <c r="G444" s="830">
        <f t="shared" ref="G444:G453" si="49">+F444-D444</f>
        <v>93918121</v>
      </c>
      <c r="H444" s="828">
        <f>+VLOOKUP(B444,Composición!$C:$C,1,0)</f>
        <v>4110142101</v>
      </c>
      <c r="I444" s="829"/>
      <c r="J444" s="829"/>
    </row>
    <row r="445" spans="1:10" s="14" customFormat="1" ht="16.5" customHeight="1">
      <c r="A445" s="14" t="str">
        <f t="shared" si="47"/>
        <v>I</v>
      </c>
      <c r="B445" s="345">
        <v>4110142102</v>
      </c>
      <c r="C445" s="345" t="s">
        <v>321</v>
      </c>
      <c r="D445" s="347">
        <v>5895649</v>
      </c>
      <c r="E445" s="348">
        <v>810</v>
      </c>
      <c r="F445" s="829">
        <f>+SUMIF(Composición!C:C,'BG 2023'!B445,Composición!G:G)</f>
        <v>5412216</v>
      </c>
      <c r="G445" s="830">
        <f t="shared" si="49"/>
        <v>-483433</v>
      </c>
      <c r="H445" s="828">
        <f>+VLOOKUP(B445,Composición!$C:$C,1,0)</f>
        <v>4110142102</v>
      </c>
      <c r="I445" s="829"/>
      <c r="J445" s="829"/>
    </row>
    <row r="446" spans="1:10" s="14" customFormat="1" ht="16.5" customHeight="1">
      <c r="A446" s="31" t="str">
        <f t="shared" si="47"/>
        <v>NI</v>
      </c>
      <c r="B446" s="350">
        <v>412</v>
      </c>
      <c r="C446" s="350" t="s">
        <v>322</v>
      </c>
      <c r="D446" s="340">
        <v>11950350921</v>
      </c>
      <c r="E446" s="341">
        <v>1640402.81</v>
      </c>
      <c r="F446" s="829">
        <f>+SUMIF(Composición!C:C,'BG 2023'!B446,Composición!G:G)</f>
        <v>0</v>
      </c>
      <c r="G446" s="830">
        <f t="shared" si="49"/>
        <v>-11950350921</v>
      </c>
      <c r="H446" s="828">
        <f>+VLOOKUP(B446,Composición!$C:$C,1,0)</f>
        <v>412</v>
      </c>
      <c r="I446" s="829"/>
      <c r="J446" s="829"/>
    </row>
    <row r="447" spans="1:10" s="14" customFormat="1" ht="16.5" customHeight="1">
      <c r="A447" s="31" t="str">
        <f t="shared" si="47"/>
        <v>NI</v>
      </c>
      <c r="B447" s="350">
        <v>41201</v>
      </c>
      <c r="C447" s="350" t="s">
        <v>322</v>
      </c>
      <c r="D447" s="340">
        <v>11950350921</v>
      </c>
      <c r="E447" s="341">
        <v>1640402.81</v>
      </c>
      <c r="F447" s="829">
        <f>+SUMIF(Composición!C:C,'BG 2023'!B447,Composición!G:G)</f>
        <v>0</v>
      </c>
      <c r="G447" s="830">
        <f t="shared" si="49"/>
        <v>-11950350921</v>
      </c>
      <c r="H447" s="828">
        <f>+VLOOKUP(B447,Composición!$C:$C,1,0)</f>
        <v>41201</v>
      </c>
      <c r="I447" s="829"/>
      <c r="J447" s="829"/>
    </row>
    <row r="448" spans="1:10" s="14" customFormat="1" ht="16.5" customHeight="1">
      <c r="A448" s="31" t="str">
        <f t="shared" si="47"/>
        <v>NI</v>
      </c>
      <c r="B448" s="350">
        <v>412011</v>
      </c>
      <c r="C448" s="350" t="s">
        <v>322</v>
      </c>
      <c r="D448" s="340">
        <v>11950350921</v>
      </c>
      <c r="E448" s="341">
        <v>1640402.81</v>
      </c>
      <c r="F448" s="829">
        <f>+SUMIF(Composición!C:C,'BG 2023'!B448,Composición!G:G)</f>
        <v>0</v>
      </c>
      <c r="G448" s="830">
        <f t="shared" si="49"/>
        <v>-11950350921</v>
      </c>
      <c r="H448" s="828">
        <f>+VLOOKUP(B448,Composición!$C:$C,1,0)</f>
        <v>412011</v>
      </c>
      <c r="I448" s="829"/>
      <c r="J448" s="829"/>
    </row>
    <row r="449" spans="1:10" s="14" customFormat="1" ht="16.5" customHeight="1">
      <c r="A449" s="31" t="str">
        <f t="shared" si="47"/>
        <v>NI</v>
      </c>
      <c r="B449" s="350">
        <v>4120112</v>
      </c>
      <c r="C449" s="350" t="s">
        <v>323</v>
      </c>
      <c r="D449" s="340">
        <v>220840074</v>
      </c>
      <c r="E449" s="341">
        <v>30284.000000000007</v>
      </c>
      <c r="F449" s="829">
        <f>+SUMIF(Composición!C:C,'BG 2023'!B449,Composición!G:G)</f>
        <v>0</v>
      </c>
      <c r="G449" s="830">
        <f t="shared" si="49"/>
        <v>-220840074</v>
      </c>
      <c r="H449" s="828">
        <f>+VLOOKUP(B449,Composición!$C:$C,1,0)</f>
        <v>4120112</v>
      </c>
      <c r="I449" s="829"/>
      <c r="J449" s="829"/>
    </row>
    <row r="450" spans="1:10" s="14" customFormat="1" ht="16.5" customHeight="1">
      <c r="A450" s="31" t="str">
        <f t="shared" si="47"/>
        <v>NI</v>
      </c>
      <c r="B450" s="350">
        <v>41201121</v>
      </c>
      <c r="C450" s="350" t="s">
        <v>324</v>
      </c>
      <c r="D450" s="340">
        <v>58898832</v>
      </c>
      <c r="E450" s="341">
        <v>8063.0099999999984</v>
      </c>
      <c r="F450" s="829">
        <f>+SUMIF(Composición!C:C,'BG 2023'!B450,Composición!G:G)</f>
        <v>0</v>
      </c>
      <c r="G450" s="830">
        <f t="shared" si="49"/>
        <v>-58898832</v>
      </c>
      <c r="H450" s="828">
        <f>+VLOOKUP(B450,Composición!$C:$C,1,0)</f>
        <v>41201121</v>
      </c>
      <c r="I450" s="829"/>
      <c r="J450" s="829"/>
    </row>
    <row r="451" spans="1:10" s="14" customFormat="1" ht="16.5" customHeight="1">
      <c r="A451" s="14" t="str">
        <f t="shared" si="47"/>
        <v>I</v>
      </c>
      <c r="B451" s="345">
        <v>4120112101</v>
      </c>
      <c r="C451" s="345" t="s">
        <v>325</v>
      </c>
      <c r="D451" s="347">
        <v>10354017</v>
      </c>
      <c r="E451" s="348">
        <v>1417.47</v>
      </c>
      <c r="F451" s="829">
        <f>+SUMIF(Composición!C:C,'BG 2023'!B451,Composición!G:G)</f>
        <v>64318988</v>
      </c>
      <c r="G451" s="830">
        <f t="shared" si="49"/>
        <v>53964971</v>
      </c>
      <c r="H451" s="828">
        <f>+VLOOKUP(B451,Composición!$C:$C,1,0)</f>
        <v>4120112101</v>
      </c>
      <c r="I451" s="829"/>
      <c r="J451" s="829"/>
    </row>
    <row r="452" spans="1:10" s="14" customFormat="1" ht="16.5" customHeight="1">
      <c r="A452" s="14" t="str">
        <f t="shared" si="47"/>
        <v>I</v>
      </c>
      <c r="B452" s="345">
        <v>4120112102</v>
      </c>
      <c r="C452" s="345" t="s">
        <v>326</v>
      </c>
      <c r="D452" s="347">
        <v>4753088</v>
      </c>
      <c r="E452" s="348">
        <v>650.76</v>
      </c>
      <c r="F452" s="829">
        <f>+SUMIF(Composición!C:C,'BG 2023'!B452,Composición!G:G)</f>
        <v>5523664</v>
      </c>
      <c r="G452" s="830">
        <f t="shared" si="49"/>
        <v>770576</v>
      </c>
      <c r="H452" s="828">
        <f>+VLOOKUP(B452,Composición!$C:$C,1,0)</f>
        <v>4120112102</v>
      </c>
      <c r="I452" s="829"/>
      <c r="J452" s="829"/>
    </row>
    <row r="453" spans="1:10" s="14" customFormat="1" ht="16.5" customHeight="1">
      <c r="A453" s="14" t="str">
        <f t="shared" si="47"/>
        <v>I</v>
      </c>
      <c r="B453" s="345">
        <v>4120112104</v>
      </c>
      <c r="C453" s="345" t="s">
        <v>327</v>
      </c>
      <c r="D453" s="347">
        <v>25140659</v>
      </c>
      <c r="E453" s="348">
        <v>3452.8600000000006</v>
      </c>
      <c r="F453" s="829">
        <f>+SUMIF(Composición!C:C,'BG 2023'!B453,Composición!G:G)</f>
        <v>126762105</v>
      </c>
      <c r="G453" s="830">
        <f t="shared" si="49"/>
        <v>101621446</v>
      </c>
      <c r="H453" s="828">
        <f>+VLOOKUP(B453,Composición!$C:$C,1,0)</f>
        <v>4120112104</v>
      </c>
      <c r="I453" s="829"/>
      <c r="J453" s="829"/>
    </row>
    <row r="454" spans="1:10" s="14" customFormat="1" ht="16.5" customHeight="1">
      <c r="A454" s="14" t="str">
        <f t="shared" si="47"/>
        <v>I</v>
      </c>
      <c r="B454" s="345">
        <v>4120112107</v>
      </c>
      <c r="C454" s="345" t="s">
        <v>328</v>
      </c>
      <c r="D454" s="347">
        <v>18651068</v>
      </c>
      <c r="E454" s="348">
        <v>2541.92</v>
      </c>
      <c r="F454" s="829"/>
      <c r="G454" s="829"/>
      <c r="H454" s="828">
        <f>+VLOOKUP(B454,Composición!$C:$C,1,0)</f>
        <v>4120112107</v>
      </c>
      <c r="I454" s="829"/>
      <c r="J454" s="829"/>
    </row>
    <row r="455" spans="1:10" s="14" customFormat="1" ht="16.5" customHeight="1">
      <c r="A455" s="31" t="str">
        <f t="shared" si="47"/>
        <v>NI</v>
      </c>
      <c r="B455" s="350">
        <v>41201122</v>
      </c>
      <c r="C455" s="350" t="s">
        <v>329</v>
      </c>
      <c r="D455" s="340">
        <v>161941242</v>
      </c>
      <c r="E455" s="341">
        <v>22220.989999999998</v>
      </c>
      <c r="F455" s="829">
        <f>+SUMIF(Composición!C:C,'BG 2023'!B455,Composición!G:G)</f>
        <v>0</v>
      </c>
      <c r="G455" s="830">
        <f t="shared" ref="G455:G456" si="50">+F455-D455</f>
        <v>-161941242</v>
      </c>
      <c r="H455" s="828">
        <f>+VLOOKUP(B455,Composición!$C:$C,1,0)</f>
        <v>41201122</v>
      </c>
      <c r="I455" s="829"/>
      <c r="J455" s="829"/>
    </row>
    <row r="456" spans="1:10" s="14" customFormat="1" ht="16.5" customHeight="1">
      <c r="A456" s="14" t="str">
        <f t="shared" si="47"/>
        <v>I</v>
      </c>
      <c r="B456" s="345">
        <v>4120112201</v>
      </c>
      <c r="C456" s="345" t="s">
        <v>325</v>
      </c>
      <c r="D456" s="347">
        <v>132311839</v>
      </c>
      <c r="E456" s="348">
        <v>18150.350000000002</v>
      </c>
      <c r="F456" s="829">
        <f>+SUMIF(Composición!C:C,'BG 2023'!B456,Composición!G:G)</f>
        <v>224159102</v>
      </c>
      <c r="G456" s="830">
        <f t="shared" si="50"/>
        <v>91847263</v>
      </c>
      <c r="H456" s="828">
        <f>+VLOOKUP(B456,Composición!$C:$C,1,0)</f>
        <v>4120112201</v>
      </c>
      <c r="I456" s="829"/>
      <c r="J456" s="829"/>
    </row>
    <row r="457" spans="1:10" s="14" customFormat="1" ht="16.5" customHeight="1">
      <c r="A457" s="14" t="str">
        <f t="shared" si="47"/>
        <v>I</v>
      </c>
      <c r="B457" s="345">
        <v>4120112202</v>
      </c>
      <c r="C457" s="345" t="s">
        <v>326</v>
      </c>
      <c r="D457" s="347">
        <v>26867171</v>
      </c>
      <c r="E457" s="348">
        <v>3691.31</v>
      </c>
      <c r="F457" s="829"/>
      <c r="G457" s="829"/>
      <c r="H457" s="828">
        <f>+VLOOKUP(B457,Composición!$C:$C,1,0)</f>
        <v>4120112202</v>
      </c>
      <c r="I457" s="829"/>
      <c r="J457" s="829"/>
    </row>
    <row r="458" spans="1:10" s="14" customFormat="1" ht="16.5" customHeight="1">
      <c r="A458" s="14" t="str">
        <f t="shared" si="47"/>
        <v>I</v>
      </c>
      <c r="B458" s="345">
        <v>4120112204</v>
      </c>
      <c r="C458" s="345" t="s">
        <v>327</v>
      </c>
      <c r="D458" s="347">
        <v>2762232</v>
      </c>
      <c r="E458" s="348">
        <v>379.33</v>
      </c>
      <c r="F458" s="829">
        <f>+SUMIF(Composición!C:C,'BG 2023'!B458,Composición!G:G)</f>
        <v>649505</v>
      </c>
      <c r="G458" s="830">
        <f t="shared" ref="G458:G473" si="51">+F458-D458</f>
        <v>-2112727</v>
      </c>
      <c r="H458" s="828">
        <f>+VLOOKUP(B458,Composición!$C:$C,1,0)</f>
        <v>4120112204</v>
      </c>
      <c r="I458" s="829"/>
      <c r="J458" s="829"/>
    </row>
    <row r="459" spans="1:10" s="14" customFormat="1" ht="16.5" customHeight="1">
      <c r="A459" s="31" t="str">
        <f t="shared" si="47"/>
        <v>NI</v>
      </c>
      <c r="B459" s="350">
        <v>4120113</v>
      </c>
      <c r="C459" s="350" t="s">
        <v>330</v>
      </c>
      <c r="D459" s="340">
        <v>11729510847</v>
      </c>
      <c r="E459" s="341">
        <v>1610118.8099999996</v>
      </c>
      <c r="F459" s="829">
        <f>+SUMIF(Composición!C:C,'BG 2023'!B459,Composición!G:G)</f>
        <v>0</v>
      </c>
      <c r="G459" s="830">
        <f t="shared" si="51"/>
        <v>-11729510847</v>
      </c>
      <c r="H459" s="828">
        <f>+VLOOKUP(B459,Composición!$C:$C,1,0)</f>
        <v>4120113</v>
      </c>
      <c r="I459" s="829"/>
      <c r="J459" s="829"/>
    </row>
    <row r="460" spans="1:10" s="14" customFormat="1" ht="16.5" customHeight="1">
      <c r="A460" s="31" t="str">
        <f t="shared" si="47"/>
        <v>NI</v>
      </c>
      <c r="B460" s="350">
        <v>41201131</v>
      </c>
      <c r="C460" s="350" t="s">
        <v>330</v>
      </c>
      <c r="D460" s="340">
        <v>11729510847</v>
      </c>
      <c r="E460" s="341">
        <v>1610118.8099999996</v>
      </c>
      <c r="F460" s="829">
        <f>+SUMIF(Composición!C:C,'BG 2023'!B460,Composición!G:G)</f>
        <v>0</v>
      </c>
      <c r="G460" s="830">
        <f t="shared" si="51"/>
        <v>-11729510847</v>
      </c>
      <c r="H460" s="828">
        <f>+VLOOKUP(B460,Composición!$C:$C,1,0)</f>
        <v>41201131</v>
      </c>
      <c r="I460" s="829"/>
      <c r="J460" s="829"/>
    </row>
    <row r="461" spans="1:10" s="14" customFormat="1" ht="16.5" customHeight="1">
      <c r="A461" s="14" t="str">
        <f t="shared" si="47"/>
        <v>I</v>
      </c>
      <c r="B461" s="345">
        <v>4120113101</v>
      </c>
      <c r="C461" s="345" t="s">
        <v>331</v>
      </c>
      <c r="D461" s="347">
        <v>1148101449</v>
      </c>
      <c r="E461" s="348">
        <v>156682.97000000003</v>
      </c>
      <c r="F461" s="829">
        <f>+SUMIF(Composición!C:C,'BG 2023'!B461,Composición!G:G)</f>
        <v>1485314532</v>
      </c>
      <c r="G461" s="830">
        <f t="shared" si="51"/>
        <v>337213083</v>
      </c>
      <c r="H461" s="828">
        <f>+VLOOKUP(B461,Composición!$C:$C,1,0)</f>
        <v>4120113101</v>
      </c>
      <c r="I461" s="829"/>
      <c r="J461" s="829"/>
    </row>
    <row r="462" spans="1:10" s="14" customFormat="1" ht="16.5" customHeight="1">
      <c r="A462" s="14" t="str">
        <f t="shared" si="47"/>
        <v>I</v>
      </c>
      <c r="B462" s="345">
        <v>4120113103</v>
      </c>
      <c r="C462" s="345" t="s">
        <v>36</v>
      </c>
      <c r="D462" s="347">
        <v>6840214415</v>
      </c>
      <c r="E462" s="348">
        <v>940741.91999999993</v>
      </c>
      <c r="F462" s="829">
        <f>+SUMIF(Composición!C:C,'BG 2023'!B462,Composición!G:G)</f>
        <v>8526429227</v>
      </c>
      <c r="G462" s="830">
        <f t="shared" si="51"/>
        <v>1686214812</v>
      </c>
      <c r="H462" s="828">
        <f>+VLOOKUP(B462,Composición!$C:$C,1,0)</f>
        <v>4120113103</v>
      </c>
      <c r="I462" s="829"/>
      <c r="J462" s="829"/>
    </row>
    <row r="463" spans="1:10" s="14" customFormat="1" ht="16.5" customHeight="1">
      <c r="A463" s="14" t="str">
        <f t="shared" si="47"/>
        <v>I</v>
      </c>
      <c r="B463" s="345">
        <v>4120113104</v>
      </c>
      <c r="C463" s="345" t="s">
        <v>37</v>
      </c>
      <c r="D463" s="347">
        <v>2377873594</v>
      </c>
      <c r="E463" s="348">
        <v>325616.19500000001</v>
      </c>
      <c r="F463" s="829">
        <f>+SUMIF(Composición!C:C,'BG 2023'!B463,Composición!G:G)</f>
        <v>4588785989</v>
      </c>
      <c r="G463" s="830">
        <f t="shared" si="51"/>
        <v>2210912395</v>
      </c>
      <c r="H463" s="828">
        <f>+VLOOKUP(B463,Composición!$C:$C,1,0)</f>
        <v>4120113104</v>
      </c>
      <c r="I463" s="829"/>
      <c r="J463" s="829"/>
    </row>
    <row r="464" spans="1:10" s="14" customFormat="1" ht="16.5" customHeight="1">
      <c r="A464" s="14" t="str">
        <f t="shared" si="47"/>
        <v>I</v>
      </c>
      <c r="B464" s="345">
        <v>4120113105</v>
      </c>
      <c r="C464" s="345" t="s">
        <v>38</v>
      </c>
      <c r="D464" s="347">
        <v>1286987332</v>
      </c>
      <c r="E464" s="348">
        <v>176695.14</v>
      </c>
      <c r="F464" s="829">
        <f>+SUMIF(Composición!C:C,'BG 2023'!B464,Composición!G:G)</f>
        <v>3863694699</v>
      </c>
      <c r="G464" s="830">
        <f t="shared" si="51"/>
        <v>2576707367</v>
      </c>
      <c r="H464" s="828">
        <f>+VLOOKUP(B464,Composición!$C:$C,1,0)</f>
        <v>4120113105</v>
      </c>
      <c r="I464" s="829"/>
      <c r="J464" s="829"/>
    </row>
    <row r="465" spans="1:10" s="14" customFormat="1" ht="16.5" customHeight="1">
      <c r="A465" s="14" t="str">
        <f t="shared" si="47"/>
        <v>I</v>
      </c>
      <c r="B465" s="345">
        <v>4120113106</v>
      </c>
      <c r="C465" s="345" t="s">
        <v>39</v>
      </c>
      <c r="D465" s="347">
        <v>76334057</v>
      </c>
      <c r="E465" s="348">
        <v>10382.584999999999</v>
      </c>
      <c r="F465" s="829">
        <f>+SUMIF(Composición!C:C,'BG 2023'!B465,Composición!G:G)</f>
        <v>1773726789</v>
      </c>
      <c r="G465" s="830">
        <f t="shared" si="51"/>
        <v>1697392732</v>
      </c>
      <c r="H465" s="828">
        <f>+VLOOKUP(B465,Composición!$C:$C,1,0)</f>
        <v>4120113106</v>
      </c>
      <c r="I465" s="829"/>
      <c r="J465" s="829"/>
    </row>
    <row r="466" spans="1:10" s="14" customFormat="1" ht="16.5" customHeight="1">
      <c r="A466" s="31" t="str">
        <f t="shared" si="47"/>
        <v>NI</v>
      </c>
      <c r="B466" s="350">
        <v>413</v>
      </c>
      <c r="C466" s="350" t="s">
        <v>332</v>
      </c>
      <c r="D466" s="340">
        <v>4130002218</v>
      </c>
      <c r="E466" s="341">
        <v>565783.58400000003</v>
      </c>
      <c r="F466" s="829">
        <f>+SUMIF(Composición!C:C,'BG 2023'!B466,Composición!G:G)</f>
        <v>0</v>
      </c>
      <c r="G466" s="830">
        <f t="shared" si="51"/>
        <v>-4130002218</v>
      </c>
      <c r="H466" s="828">
        <f>+VLOOKUP(B466,Composición!$C:$C,1,0)</f>
        <v>413</v>
      </c>
      <c r="I466" s="829"/>
      <c r="J466" s="829"/>
    </row>
    <row r="467" spans="1:10" s="14" customFormat="1" ht="16.5" customHeight="1">
      <c r="A467" s="31" t="str">
        <f t="shared" si="47"/>
        <v>NI</v>
      </c>
      <c r="B467" s="350">
        <v>41301</v>
      </c>
      <c r="C467" s="350" t="s">
        <v>333</v>
      </c>
      <c r="D467" s="340">
        <v>4130002218</v>
      </c>
      <c r="E467" s="341">
        <v>565783.58400000003</v>
      </c>
      <c r="F467" s="829">
        <f>+SUMIF(Composición!C:C,'BG 2023'!B467,Composición!G:G)</f>
        <v>0</v>
      </c>
      <c r="G467" s="830">
        <f t="shared" si="51"/>
        <v>-4130002218</v>
      </c>
      <c r="H467" s="828">
        <f>+VLOOKUP(B467,Composición!$C:$C,1,0)</f>
        <v>41301</v>
      </c>
      <c r="I467" s="829"/>
      <c r="J467" s="829"/>
    </row>
    <row r="468" spans="1:10" s="14" customFormat="1" ht="16.5" customHeight="1">
      <c r="A468" s="31" t="str">
        <f t="shared" si="47"/>
        <v>NI</v>
      </c>
      <c r="B468" s="350">
        <v>413011</v>
      </c>
      <c r="C468" s="350" t="s">
        <v>333</v>
      </c>
      <c r="D468" s="340">
        <v>4130002218</v>
      </c>
      <c r="E468" s="341">
        <v>565783.58400000003</v>
      </c>
      <c r="F468" s="829">
        <f>+SUMIF(Composición!C:C,'BG 2023'!B468,Composición!G:G)</f>
        <v>0</v>
      </c>
      <c r="G468" s="830">
        <f t="shared" si="51"/>
        <v>-4130002218</v>
      </c>
      <c r="H468" s="828">
        <f>+VLOOKUP(B468,Composición!$C:$C,1,0)</f>
        <v>413011</v>
      </c>
      <c r="I468" s="829"/>
      <c r="J468" s="829"/>
    </row>
    <row r="469" spans="1:10" s="14" customFormat="1" ht="16.5" customHeight="1">
      <c r="A469" s="31" t="str">
        <f t="shared" si="47"/>
        <v>NI</v>
      </c>
      <c r="B469" s="350">
        <v>4130111</v>
      </c>
      <c r="C469" s="350" t="s">
        <v>333</v>
      </c>
      <c r="D469" s="340">
        <v>2390347885</v>
      </c>
      <c r="E469" s="341">
        <v>328004.614</v>
      </c>
      <c r="F469" s="829">
        <f>+SUMIF(Composición!C:C,'BG 2023'!B469,Composición!G:G)</f>
        <v>0</v>
      </c>
      <c r="G469" s="830">
        <f t="shared" si="51"/>
        <v>-2390347885</v>
      </c>
      <c r="H469" s="828">
        <f>+VLOOKUP(B469,Composición!$C:$C,1,0)</f>
        <v>4130111</v>
      </c>
      <c r="I469" s="829"/>
      <c r="J469" s="829"/>
    </row>
    <row r="470" spans="1:10" s="14" customFormat="1" ht="16.5" customHeight="1">
      <c r="A470" s="31" t="str">
        <f t="shared" si="47"/>
        <v>NI</v>
      </c>
      <c r="B470" s="350">
        <v>41301111</v>
      </c>
      <c r="C470" s="350" t="s">
        <v>333</v>
      </c>
      <c r="D470" s="340">
        <v>2152802343</v>
      </c>
      <c r="E470" s="341">
        <v>295066.96399999998</v>
      </c>
      <c r="F470" s="829">
        <f>+SUMIF(Composición!C:C,'BG 2023'!B470,Composición!G:G)</f>
        <v>0</v>
      </c>
      <c r="G470" s="830">
        <f t="shared" si="51"/>
        <v>-2152802343</v>
      </c>
      <c r="H470" s="828">
        <f>+VLOOKUP(B470,Composición!$C:$C,1,0)</f>
        <v>41301111</v>
      </c>
      <c r="I470" s="829"/>
      <c r="J470" s="829"/>
    </row>
    <row r="471" spans="1:10" s="14" customFormat="1" ht="16.5" customHeight="1">
      <c r="A471" s="14" t="str">
        <f t="shared" si="47"/>
        <v>I</v>
      </c>
      <c r="B471" s="345">
        <v>4130111101</v>
      </c>
      <c r="C471" s="345" t="s">
        <v>57</v>
      </c>
      <c r="D471" s="347">
        <v>140936015</v>
      </c>
      <c r="E471" s="348">
        <v>19190.86</v>
      </c>
      <c r="F471" s="829">
        <f>+SUMIF(Composición!C:C,'BG 2023'!B471,Composición!G:G)</f>
        <v>339818209</v>
      </c>
      <c r="G471" s="830">
        <f t="shared" si="51"/>
        <v>198882194</v>
      </c>
      <c r="H471" s="828">
        <f>+VLOOKUP(B471,Composición!$C:$C,1,0)</f>
        <v>4130111101</v>
      </c>
      <c r="I471" s="829"/>
      <c r="J471" s="829"/>
    </row>
    <row r="472" spans="1:10" s="14" customFormat="1" ht="16.5" customHeight="1">
      <c r="A472" s="14" t="str">
        <f t="shared" si="47"/>
        <v>I</v>
      </c>
      <c r="B472" s="345">
        <v>4130111102</v>
      </c>
      <c r="C472" s="345" t="s">
        <v>254</v>
      </c>
      <c r="D472" s="347">
        <v>3103578</v>
      </c>
      <c r="E472" s="348">
        <v>424.66</v>
      </c>
      <c r="F472" s="829">
        <f>+SUMIF(Composición!C:C,'BG 2023'!B472,Composición!G:G)</f>
        <v>16993272</v>
      </c>
      <c r="G472" s="830">
        <f t="shared" si="51"/>
        <v>13889694</v>
      </c>
      <c r="H472" s="828">
        <f>+VLOOKUP(B472,Composición!$C:$C,1,0)</f>
        <v>4130111102</v>
      </c>
      <c r="I472" s="829"/>
      <c r="J472" s="829"/>
    </row>
    <row r="473" spans="1:10" s="14" customFormat="1" ht="16.5" customHeight="1">
      <c r="A473" s="14" t="str">
        <f t="shared" si="47"/>
        <v>I</v>
      </c>
      <c r="B473" s="345">
        <v>4130111104</v>
      </c>
      <c r="C473" s="345" t="s">
        <v>258</v>
      </c>
      <c r="D473" s="347">
        <v>2814382</v>
      </c>
      <c r="E473" s="348">
        <v>382.26000000000005</v>
      </c>
      <c r="F473" s="829">
        <f>+SUMIF(Composición!C:C,'BG 2023'!B473,Composición!G:G)</f>
        <v>14842381</v>
      </c>
      <c r="G473" s="830">
        <f t="shared" si="51"/>
        <v>12027999</v>
      </c>
      <c r="H473" s="828">
        <f>+VLOOKUP(B473,Composición!$C:$C,1,0)</f>
        <v>4130111104</v>
      </c>
      <c r="I473" s="829"/>
      <c r="J473" s="829"/>
    </row>
    <row r="474" spans="1:10" s="14" customFormat="1" ht="16.5" customHeight="1">
      <c r="A474" s="14" t="str">
        <f t="shared" si="47"/>
        <v>I</v>
      </c>
      <c r="B474" s="345">
        <v>4130111105</v>
      </c>
      <c r="C474" s="345" t="s">
        <v>59</v>
      </c>
      <c r="D474" s="347">
        <v>575181928</v>
      </c>
      <c r="E474" s="348">
        <v>78484.25</v>
      </c>
      <c r="F474" s="829"/>
      <c r="G474" s="829"/>
      <c r="H474" s="828">
        <f>+VLOOKUP(B474,Composición!$C:$C,1,0)</f>
        <v>4130111105</v>
      </c>
      <c r="I474" s="829"/>
      <c r="J474" s="829"/>
    </row>
    <row r="475" spans="1:10" s="14" customFormat="1" ht="16.5" customHeight="1">
      <c r="A475" s="14" t="str">
        <f t="shared" si="47"/>
        <v>I</v>
      </c>
      <c r="B475" s="345">
        <v>4130111106</v>
      </c>
      <c r="C475" s="345" t="s">
        <v>60</v>
      </c>
      <c r="D475" s="347">
        <v>66448500</v>
      </c>
      <c r="E475" s="348">
        <v>9073.2800000000007</v>
      </c>
      <c r="F475" s="829"/>
      <c r="G475" s="829"/>
      <c r="H475" s="828">
        <f>+VLOOKUP(B475,Composición!$C:$C,1,0)</f>
        <v>4130111106</v>
      </c>
      <c r="I475" s="829"/>
      <c r="J475" s="829"/>
    </row>
    <row r="476" spans="1:10" s="14" customFormat="1" ht="16.5" customHeight="1">
      <c r="A476" s="14" t="str">
        <f t="shared" si="47"/>
        <v>I</v>
      </c>
      <c r="B476" s="345">
        <v>4130111107</v>
      </c>
      <c r="C476" s="345" t="s">
        <v>63</v>
      </c>
      <c r="D476" s="347">
        <v>209306468</v>
      </c>
      <c r="E476" s="348">
        <v>28676.66</v>
      </c>
      <c r="F476" s="829"/>
      <c r="G476" s="829"/>
      <c r="H476" s="828">
        <f>+VLOOKUP(B476,Composición!$C:$C,1,0)</f>
        <v>4130111107</v>
      </c>
      <c r="I476" s="829"/>
      <c r="J476" s="829"/>
    </row>
    <row r="477" spans="1:10" s="14" customFormat="1" ht="16.5" customHeight="1">
      <c r="A477" s="14" t="str">
        <f t="shared" si="47"/>
        <v>I</v>
      </c>
      <c r="B477" s="345">
        <v>4130111108</v>
      </c>
      <c r="C477" s="345" t="s">
        <v>64</v>
      </c>
      <c r="D477" s="347">
        <v>722064528</v>
      </c>
      <c r="E477" s="348">
        <v>99331.733999999997</v>
      </c>
      <c r="F477" s="829"/>
      <c r="G477" s="829"/>
      <c r="H477" s="828">
        <f>+VLOOKUP(B477,Composición!$C:$C,1,0)</f>
        <v>4130111108</v>
      </c>
      <c r="I477" s="829"/>
      <c r="J477" s="829"/>
    </row>
    <row r="478" spans="1:10" s="14" customFormat="1" ht="16.5" customHeight="1">
      <c r="A478" s="14" t="str">
        <f t="shared" si="47"/>
        <v>I</v>
      </c>
      <c r="B478" s="345">
        <v>4130111113</v>
      </c>
      <c r="C478" s="345" t="s">
        <v>267</v>
      </c>
      <c r="D478" s="347">
        <v>390715507</v>
      </c>
      <c r="E478" s="348">
        <v>53758.91</v>
      </c>
      <c r="F478" s="829"/>
      <c r="G478" s="829"/>
      <c r="H478" s="828">
        <f>+VLOOKUP(B478,Composición!$C:$C,1,0)</f>
        <v>4130111113</v>
      </c>
      <c r="I478" s="829"/>
      <c r="J478" s="829"/>
    </row>
    <row r="479" spans="1:10" s="14" customFormat="1" ht="16.5" customHeight="1">
      <c r="A479" s="14" t="str">
        <f t="shared" si="47"/>
        <v>I</v>
      </c>
      <c r="B479" s="345">
        <v>4130111114</v>
      </c>
      <c r="C479" s="345" t="s">
        <v>269</v>
      </c>
      <c r="D479" s="347">
        <v>780270</v>
      </c>
      <c r="E479" s="348">
        <v>106.92</v>
      </c>
      <c r="F479" s="829">
        <f>+SUMIF(Composición!C:C,'BG 2023'!B479,Composición!G:G)</f>
        <v>21622059</v>
      </c>
      <c r="G479" s="830">
        <f t="shared" ref="G479:G484" si="52">+F479-D479</f>
        <v>20841789</v>
      </c>
      <c r="H479" s="828">
        <f>+VLOOKUP(B479,Composición!$C:$C,1,0)</f>
        <v>4130111114</v>
      </c>
      <c r="I479" s="829"/>
      <c r="J479" s="829"/>
    </row>
    <row r="480" spans="1:10" s="14" customFormat="1" ht="16.5" customHeight="1">
      <c r="A480" s="14" t="str">
        <f t="shared" si="47"/>
        <v>I</v>
      </c>
      <c r="B480" s="345">
        <v>4130111117</v>
      </c>
      <c r="C480" s="345" t="s">
        <v>271</v>
      </c>
      <c r="D480" s="347">
        <v>23952445</v>
      </c>
      <c r="E480" s="348">
        <v>3252.78</v>
      </c>
      <c r="F480" s="829">
        <f>+SUMIF(Composición!C:C,'BG 2023'!B480,Composición!G:G)</f>
        <v>38659164</v>
      </c>
      <c r="G480" s="830">
        <f t="shared" si="52"/>
        <v>14706719</v>
      </c>
      <c r="H480" s="828">
        <f>+VLOOKUP(B480,Composición!$C:$C,1,0)</f>
        <v>4130111117</v>
      </c>
      <c r="I480" s="829"/>
      <c r="J480" s="829"/>
    </row>
    <row r="481" spans="1:10" s="14" customFormat="1" ht="16.5" customHeight="1">
      <c r="A481" s="14" t="str">
        <f t="shared" si="47"/>
        <v>I</v>
      </c>
      <c r="B481" s="345">
        <v>4130111118</v>
      </c>
      <c r="C481" s="345" t="s">
        <v>274</v>
      </c>
      <c r="D481" s="347">
        <v>464565</v>
      </c>
      <c r="E481" s="348">
        <v>63.43</v>
      </c>
      <c r="F481" s="829">
        <f>+SUMIF(Composición!C:C,'BG 2023'!B481,Composición!G:G)</f>
        <v>14313224</v>
      </c>
      <c r="G481" s="830">
        <f t="shared" si="52"/>
        <v>13848659</v>
      </c>
      <c r="H481" s="828">
        <f>+VLOOKUP(B481,Composición!$C:$C,1,0)</f>
        <v>4130111118</v>
      </c>
      <c r="I481" s="829"/>
      <c r="J481" s="829"/>
    </row>
    <row r="482" spans="1:10" s="14" customFormat="1" ht="16.5" customHeight="1">
      <c r="A482" s="14" t="str">
        <f t="shared" si="47"/>
        <v>I</v>
      </c>
      <c r="B482" s="345">
        <v>4130111129</v>
      </c>
      <c r="C482" s="345" t="s">
        <v>279</v>
      </c>
      <c r="D482" s="347">
        <v>17034157</v>
      </c>
      <c r="E482" s="348">
        <v>2321.2199999999998</v>
      </c>
      <c r="F482" s="829">
        <f>+SUMIF(Composición!C:C,'BG 2023'!B482,Composición!G:G)</f>
        <v>469957279</v>
      </c>
      <c r="G482" s="830">
        <f t="shared" si="52"/>
        <v>452923122</v>
      </c>
      <c r="H482" s="828">
        <f>+VLOOKUP(B482,Composición!$C:$C,1,0)</f>
        <v>4130111129</v>
      </c>
      <c r="I482" s="829"/>
      <c r="J482" s="829"/>
    </row>
    <row r="483" spans="1:10" s="14" customFormat="1" ht="16.5" customHeight="1">
      <c r="A483" s="31" t="str">
        <f t="shared" si="47"/>
        <v>NI</v>
      </c>
      <c r="B483" s="350">
        <v>41301112</v>
      </c>
      <c r="C483" s="350" t="s">
        <v>334</v>
      </c>
      <c r="D483" s="340">
        <v>237545542</v>
      </c>
      <c r="E483" s="341">
        <v>32937.65</v>
      </c>
      <c r="F483" s="829">
        <f>+SUMIF(Composición!C:C,'BG 2023'!B483,Composición!G:G)</f>
        <v>0</v>
      </c>
      <c r="G483" s="830">
        <f t="shared" si="52"/>
        <v>-237545542</v>
      </c>
      <c r="H483" s="828">
        <f>+VLOOKUP(B483,Composición!$C:$C,1,0)</f>
        <v>41301112</v>
      </c>
      <c r="I483" s="829"/>
      <c r="J483" s="829"/>
    </row>
    <row r="484" spans="1:10" s="14" customFormat="1" ht="16.5" customHeight="1">
      <c r="A484" s="14" t="str">
        <f t="shared" si="47"/>
        <v>I</v>
      </c>
      <c r="B484" s="345">
        <v>4130111201</v>
      </c>
      <c r="C484" s="345" t="s">
        <v>335</v>
      </c>
      <c r="D484" s="347">
        <v>237545542</v>
      </c>
      <c r="E484" s="348">
        <v>32937.65</v>
      </c>
      <c r="F484" s="829">
        <f>+SUMIF(Composición!C:C,'BG 2023'!B484,Composición!G:G)</f>
        <v>204138454</v>
      </c>
      <c r="G484" s="830">
        <f t="shared" si="52"/>
        <v>-33407088</v>
      </c>
      <c r="H484" s="828">
        <f>+VLOOKUP(B484,Composición!$C:$C,1,0)</f>
        <v>4130111201</v>
      </c>
      <c r="I484" s="829"/>
      <c r="J484" s="829"/>
    </row>
    <row r="485" spans="1:10" s="14" customFormat="1" ht="16.5" customHeight="1">
      <c r="A485" s="31" t="str">
        <f t="shared" si="47"/>
        <v>NI</v>
      </c>
      <c r="B485" s="350">
        <v>4130112</v>
      </c>
      <c r="C485" s="350" t="s">
        <v>336</v>
      </c>
      <c r="D485" s="340">
        <v>1739654333</v>
      </c>
      <c r="E485" s="341">
        <v>237778.97</v>
      </c>
      <c r="F485" s="829"/>
      <c r="G485" s="829"/>
      <c r="H485" s="828">
        <f>+VLOOKUP(B485,Composición!$C:$C,1,0)</f>
        <v>4130112</v>
      </c>
      <c r="I485" s="829"/>
      <c r="J485" s="829"/>
    </row>
    <row r="486" spans="1:10" s="14" customFormat="1" ht="16.5" customHeight="1">
      <c r="A486" s="31" t="str">
        <f t="shared" si="47"/>
        <v>NI</v>
      </c>
      <c r="B486" s="350">
        <v>41301121</v>
      </c>
      <c r="C486" s="350" t="s">
        <v>337</v>
      </c>
      <c r="D486" s="340">
        <v>289301619</v>
      </c>
      <c r="E486" s="341">
        <v>39098.94</v>
      </c>
      <c r="F486" s="829">
        <f>+SUMIF(Composición!C:C,'BG 2023'!B486,Composición!G:G)</f>
        <v>0</v>
      </c>
      <c r="G486" s="830">
        <f t="shared" ref="G486:G487" si="53">+F486-D486</f>
        <v>-289301619</v>
      </c>
      <c r="H486" s="828">
        <f>+VLOOKUP(B486,Composición!$C:$C,1,0)</f>
        <v>41301121</v>
      </c>
      <c r="I486" s="829"/>
      <c r="J486" s="829"/>
    </row>
    <row r="487" spans="1:10" s="14" customFormat="1" ht="16.5" customHeight="1">
      <c r="A487" s="14" t="str">
        <f t="shared" ref="A487:A563" si="54">IF(LEN(B487)&gt;8,"I","NI")</f>
        <v>I</v>
      </c>
      <c r="B487" s="345">
        <v>4130112101</v>
      </c>
      <c r="C487" s="345" t="s">
        <v>57</v>
      </c>
      <c r="D487" s="347">
        <v>2102920</v>
      </c>
      <c r="E487" s="348">
        <v>285.77999999999997</v>
      </c>
      <c r="F487" s="829">
        <f>+SUMIF(Composición!C:C,'BG 2023'!B487,Composición!G:G)</f>
        <v>34415221</v>
      </c>
      <c r="G487" s="830">
        <f t="shared" si="53"/>
        <v>32312301</v>
      </c>
      <c r="H487" s="828">
        <f>+VLOOKUP(B487,Composición!$C:$C,1,0)</f>
        <v>4130112101</v>
      </c>
      <c r="I487" s="829"/>
      <c r="J487" s="829"/>
    </row>
    <row r="488" spans="1:10" s="14" customFormat="1" ht="16.5" customHeight="1">
      <c r="A488" s="14" t="str">
        <f t="shared" si="54"/>
        <v>I</v>
      </c>
      <c r="B488" s="345">
        <v>4130112102</v>
      </c>
      <c r="C488" s="345" t="s">
        <v>254</v>
      </c>
      <c r="D488" s="347">
        <v>186203</v>
      </c>
      <c r="E488" s="348">
        <v>26.110000000000003</v>
      </c>
      <c r="F488" s="829"/>
      <c r="G488" s="829"/>
      <c r="H488" s="828">
        <f>+VLOOKUP(B488,Composición!$C:$C,1,0)</f>
        <v>4130112102</v>
      </c>
      <c r="I488" s="829"/>
      <c r="J488" s="829"/>
    </row>
    <row r="489" spans="1:10" s="14" customFormat="1" ht="16.5" customHeight="1">
      <c r="A489" s="14" t="str">
        <f t="shared" si="54"/>
        <v>I</v>
      </c>
      <c r="B489" s="345">
        <v>4130112104</v>
      </c>
      <c r="C489" s="345" t="s">
        <v>258</v>
      </c>
      <c r="D489" s="347">
        <v>110527</v>
      </c>
      <c r="E489" s="348">
        <v>14.950000000000003</v>
      </c>
      <c r="F489" s="829">
        <f>+SUMIF(Composición!C:C,'BG 2023'!B489,Composición!G:G)</f>
        <v>143120</v>
      </c>
      <c r="G489" s="830">
        <f t="shared" ref="G489:G490" si="55">+F489-D489</f>
        <v>32593</v>
      </c>
      <c r="H489" s="828">
        <f>+VLOOKUP(B489,Composición!$C:$C,1,0)</f>
        <v>4130112104</v>
      </c>
      <c r="I489" s="829"/>
      <c r="J489" s="829"/>
    </row>
    <row r="490" spans="1:10" s="14" customFormat="1" ht="16.5" customHeight="1">
      <c r="A490" s="14" t="str">
        <f t="shared" si="54"/>
        <v>I</v>
      </c>
      <c r="B490" s="345">
        <v>4130112105</v>
      </c>
      <c r="C490" s="345" t="s">
        <v>59</v>
      </c>
      <c r="D490" s="347">
        <v>17480068</v>
      </c>
      <c r="E490" s="348">
        <v>2378.2800000000002</v>
      </c>
      <c r="F490" s="829">
        <f>+SUMIF(Composición!C:C,'BG 2023'!B490,Composición!G:G)</f>
        <v>13354695</v>
      </c>
      <c r="G490" s="830">
        <f t="shared" si="55"/>
        <v>-4125373</v>
      </c>
      <c r="H490" s="828">
        <f>+VLOOKUP(B490,Composición!$C:$C,1,0)</f>
        <v>4130112105</v>
      </c>
      <c r="I490" s="829"/>
      <c r="J490" s="829"/>
    </row>
    <row r="491" spans="1:10" s="14" customFormat="1" ht="16.5" customHeight="1">
      <c r="A491" s="14" t="str">
        <f t="shared" si="54"/>
        <v>I</v>
      </c>
      <c r="B491" s="345">
        <v>4130112106</v>
      </c>
      <c r="C491" s="345" t="s">
        <v>60</v>
      </c>
      <c r="D491" s="347">
        <v>1528795</v>
      </c>
      <c r="E491" s="348">
        <v>210.43</v>
      </c>
      <c r="F491" s="829"/>
      <c r="G491" s="829"/>
      <c r="H491" s="828">
        <f>+VLOOKUP(B491,Composición!$C:$C,1,0)</f>
        <v>4130112106</v>
      </c>
      <c r="I491" s="829"/>
      <c r="J491" s="829"/>
    </row>
    <row r="492" spans="1:10" s="14" customFormat="1" ht="16.5" customHeight="1">
      <c r="A492" s="14" t="str">
        <f t="shared" si="54"/>
        <v>I</v>
      </c>
      <c r="B492" s="345">
        <v>4130112107</v>
      </c>
      <c r="C492" s="345" t="s">
        <v>63</v>
      </c>
      <c r="D492" s="347">
        <v>134707</v>
      </c>
      <c r="E492" s="348">
        <v>18.21</v>
      </c>
      <c r="F492" s="829"/>
      <c r="G492" s="829"/>
      <c r="H492" s="828">
        <f>+VLOOKUP(B492,Composición!$C:$C,1,0)</f>
        <v>4130112107</v>
      </c>
      <c r="I492" s="829"/>
      <c r="J492" s="829"/>
    </row>
    <row r="493" spans="1:10" s="802" customFormat="1" ht="16.5" customHeight="1">
      <c r="A493" s="802" t="str">
        <f t="shared" si="54"/>
        <v>I</v>
      </c>
      <c r="B493" s="799">
        <v>4130112109</v>
      </c>
      <c r="C493" s="799" t="s">
        <v>66</v>
      </c>
      <c r="D493" s="800">
        <v>28950997</v>
      </c>
      <c r="E493" s="801">
        <v>3914.45</v>
      </c>
      <c r="F493" s="831">
        <f>+SUMIF(Composición!C:C,'BG 2023'!B493,Composición!G:G)</f>
        <v>121801636</v>
      </c>
      <c r="G493" s="833">
        <f t="shared" ref="G493:G498" si="56">+F493-D493</f>
        <v>92850639</v>
      </c>
      <c r="H493" s="832">
        <f>+VLOOKUP(B493,Composición!$C:$C,1,0)</f>
        <v>4130112109</v>
      </c>
      <c r="I493" s="831"/>
      <c r="J493" s="831"/>
    </row>
    <row r="494" spans="1:10" s="14" customFormat="1" ht="16.5" customHeight="1">
      <c r="A494" s="14" t="str">
        <f t="shared" si="54"/>
        <v>I</v>
      </c>
      <c r="B494" s="345">
        <v>4130112117</v>
      </c>
      <c r="C494" s="345" t="s">
        <v>271</v>
      </c>
      <c r="D494" s="347">
        <v>6993353</v>
      </c>
      <c r="E494" s="348">
        <v>950.26</v>
      </c>
      <c r="F494" s="829">
        <f>+SUMIF(Composición!C:C,'BG 2023'!B494,Composición!G:G)</f>
        <v>9865050</v>
      </c>
      <c r="G494" s="830">
        <f t="shared" si="56"/>
        <v>2871697</v>
      </c>
      <c r="H494" s="828">
        <f>+VLOOKUP(B494,Composición!$C:$C,1,0)</f>
        <v>4130112117</v>
      </c>
      <c r="I494" s="829"/>
      <c r="J494" s="829"/>
    </row>
    <row r="495" spans="1:10" s="14" customFormat="1" ht="16.5" customHeight="1">
      <c r="A495" s="14" t="str">
        <f t="shared" si="54"/>
        <v>I</v>
      </c>
      <c r="B495" s="345">
        <v>4130112118</v>
      </c>
      <c r="C495" s="345" t="s">
        <v>274</v>
      </c>
      <c r="D495" s="347">
        <v>772939</v>
      </c>
      <c r="E495" s="348">
        <v>107.09</v>
      </c>
      <c r="F495" s="829">
        <f>+SUMIF(Composición!C:C,'BG 2023'!B495,Composición!G:G)</f>
        <v>0</v>
      </c>
      <c r="G495" s="830">
        <f t="shared" si="56"/>
        <v>-772939</v>
      </c>
      <c r="H495" s="828">
        <f>+VLOOKUP(B495,Composición!$C:$C,1,0)</f>
        <v>4130112118</v>
      </c>
      <c r="I495" s="829"/>
      <c r="J495" s="829"/>
    </row>
    <row r="496" spans="1:10" s="14" customFormat="1" ht="16.5" customHeight="1">
      <c r="A496" s="14" t="str">
        <f t="shared" si="54"/>
        <v>I</v>
      </c>
      <c r="B496" s="345">
        <v>4130112129</v>
      </c>
      <c r="C496" s="345" t="s">
        <v>279</v>
      </c>
      <c r="D496" s="347">
        <v>213260</v>
      </c>
      <c r="E496" s="348">
        <v>29.09</v>
      </c>
      <c r="F496" s="829">
        <f>+SUMIF(Composición!C:C,'BG 2023'!B496,Composición!G:G)</f>
        <v>3226749</v>
      </c>
      <c r="G496" s="830">
        <f t="shared" si="56"/>
        <v>3013489</v>
      </c>
      <c r="H496" s="828">
        <f>+VLOOKUP(B496,Composición!$C:$C,1,0)</f>
        <v>4130112129</v>
      </c>
      <c r="I496" s="829"/>
      <c r="J496" s="829"/>
    </row>
    <row r="497" spans="1:10" s="14" customFormat="1" ht="16.5" customHeight="1">
      <c r="A497" s="14" t="str">
        <f t="shared" si="54"/>
        <v>I</v>
      </c>
      <c r="B497" s="345">
        <v>4130112134</v>
      </c>
      <c r="C497" s="345" t="s">
        <v>338</v>
      </c>
      <c r="D497" s="347">
        <v>230827850</v>
      </c>
      <c r="E497" s="348">
        <v>31164.29</v>
      </c>
      <c r="F497" s="829">
        <f>+SUMIF(Composición!C:C,'BG 2023'!B497,Composición!G:G)</f>
        <v>215511220</v>
      </c>
      <c r="G497" s="830">
        <f t="shared" si="56"/>
        <v>-15316630</v>
      </c>
      <c r="H497" s="828">
        <f>+VLOOKUP(B497,Composición!$C:$C,1,0)</f>
        <v>4130112134</v>
      </c>
      <c r="I497" s="829"/>
      <c r="J497" s="829"/>
    </row>
    <row r="498" spans="1:10" s="14" customFormat="1" ht="16.5" customHeight="1">
      <c r="A498" s="31" t="str">
        <f t="shared" si="54"/>
        <v>NI</v>
      </c>
      <c r="B498" s="350">
        <v>41301122</v>
      </c>
      <c r="C498" s="350" t="s">
        <v>339</v>
      </c>
      <c r="D498" s="340">
        <v>130101166</v>
      </c>
      <c r="E498" s="341">
        <v>17529.009999999998</v>
      </c>
      <c r="F498" s="829">
        <f>+SUMIF(Composición!C:C,'BG 2023'!B498,Composición!G:G)</f>
        <v>0</v>
      </c>
      <c r="G498" s="830">
        <f t="shared" si="56"/>
        <v>-130101166</v>
      </c>
      <c r="H498" s="828">
        <f>+VLOOKUP(B498,Composición!$C:$C,1,0)</f>
        <v>41301122</v>
      </c>
      <c r="I498" s="829"/>
      <c r="J498" s="829"/>
    </row>
    <row r="499" spans="1:10" s="14" customFormat="1" ht="16.5" customHeight="1">
      <c r="A499" s="14" t="str">
        <f t="shared" si="54"/>
        <v>I</v>
      </c>
      <c r="B499" s="345">
        <v>4130112201</v>
      </c>
      <c r="C499" s="345" t="s">
        <v>339</v>
      </c>
      <c r="D499" s="347">
        <v>126428292</v>
      </c>
      <c r="E499" s="348">
        <v>17026.740000000002</v>
      </c>
      <c r="F499" s="829"/>
      <c r="G499" s="829"/>
      <c r="H499" s="828">
        <f>+VLOOKUP(B499,Composición!$C:$C,1,0)</f>
        <v>4130112201</v>
      </c>
      <c r="I499" s="829"/>
      <c r="J499" s="829"/>
    </row>
    <row r="500" spans="1:10" s="14" customFormat="1" ht="16.5" customHeight="1">
      <c r="A500" s="14" t="str">
        <f t="shared" si="54"/>
        <v>I</v>
      </c>
      <c r="B500" s="345">
        <v>4130112202</v>
      </c>
      <c r="C500" s="345" t="s">
        <v>340</v>
      </c>
      <c r="D500" s="347">
        <v>2798548</v>
      </c>
      <c r="E500" s="348">
        <v>384.58</v>
      </c>
      <c r="F500" s="829">
        <f>+SUMIF(Composición!C:C,'BG 2023'!B500,Composición!G:G)</f>
        <v>21985662</v>
      </c>
      <c r="G500" s="830">
        <f t="shared" ref="G500:G501" si="57">+F500-D500</f>
        <v>19187114</v>
      </c>
      <c r="H500" s="828">
        <f>+VLOOKUP(B500,Composición!$C:$C,1,0)</f>
        <v>4130112202</v>
      </c>
      <c r="I500" s="829"/>
      <c r="J500" s="829"/>
    </row>
    <row r="501" spans="1:10" s="14" customFormat="1" ht="16.5" customHeight="1">
      <c r="A501" s="802" t="str">
        <f t="shared" si="54"/>
        <v>I</v>
      </c>
      <c r="B501" s="799">
        <v>4130112203</v>
      </c>
      <c r="C501" s="799" t="s">
        <v>340</v>
      </c>
      <c r="D501" s="800">
        <v>874326</v>
      </c>
      <c r="E501" s="801">
        <v>117.69</v>
      </c>
      <c r="F501" s="831">
        <f>+SUMIF(Composición!C:C,'BG 2023'!B501,Composición!G:G)</f>
        <v>2076620</v>
      </c>
      <c r="G501" s="833">
        <f t="shared" si="57"/>
        <v>1202294</v>
      </c>
      <c r="H501" s="832">
        <f>+VLOOKUP(B501,Composición!$C:$C,1,0)</f>
        <v>4130112203</v>
      </c>
      <c r="I501" s="829"/>
      <c r="J501" s="829"/>
    </row>
    <row r="502" spans="1:10" s="14" customFormat="1" ht="16.5" customHeight="1">
      <c r="A502" s="31" t="str">
        <f t="shared" si="54"/>
        <v>NI</v>
      </c>
      <c r="B502" s="350">
        <v>41301123</v>
      </c>
      <c r="C502" s="350" t="s">
        <v>341</v>
      </c>
      <c r="D502" s="340">
        <v>1320251548</v>
      </c>
      <c r="E502" s="341">
        <v>181151.02</v>
      </c>
      <c r="F502" s="829"/>
      <c r="G502" s="829"/>
      <c r="H502" s="828">
        <f>+VLOOKUP(B502,Composición!$C:$C,1,0)</f>
        <v>41301123</v>
      </c>
      <c r="I502" s="829"/>
      <c r="J502" s="829"/>
    </row>
    <row r="503" spans="1:10" s="14" customFormat="1" ht="16.5" customHeight="1">
      <c r="A503" s="14" t="str">
        <f t="shared" si="54"/>
        <v>I</v>
      </c>
      <c r="B503" s="345">
        <v>4130112301</v>
      </c>
      <c r="C503" s="345" t="s">
        <v>57</v>
      </c>
      <c r="D503" s="347">
        <v>81007922</v>
      </c>
      <c r="E503" s="348">
        <v>11105.599999999999</v>
      </c>
      <c r="F503" s="829"/>
      <c r="G503" s="829"/>
      <c r="H503" s="828">
        <f>+VLOOKUP(B503,Composición!$C:$C,1,0)</f>
        <v>4130112301</v>
      </c>
      <c r="I503" s="829"/>
      <c r="J503" s="829"/>
    </row>
    <row r="504" spans="1:10" s="780" customFormat="1" ht="16.5" customHeight="1">
      <c r="A504" s="780" t="str">
        <f t="shared" si="54"/>
        <v>I</v>
      </c>
      <c r="B504" s="781">
        <v>4130112302</v>
      </c>
      <c r="C504" s="781" t="s">
        <v>254</v>
      </c>
      <c r="D504" s="782">
        <v>92955885</v>
      </c>
      <c r="E504" s="783">
        <v>12797.85</v>
      </c>
      <c r="F504" s="834">
        <f>+SUMIF(Composición!C:C,'BG 2023'!B504,Composición!G:G)</f>
        <v>22737581</v>
      </c>
      <c r="G504" s="835">
        <f>+F504-D504</f>
        <v>-70218304</v>
      </c>
      <c r="H504" s="828">
        <f>+VLOOKUP(B504,Composición!$C:$C,1,0)</f>
        <v>4130112302</v>
      </c>
      <c r="I504" s="834"/>
      <c r="J504" s="834"/>
    </row>
    <row r="505" spans="1:10" s="14" customFormat="1" ht="16.5" customHeight="1">
      <c r="A505" s="14" t="str">
        <f t="shared" si="54"/>
        <v>I</v>
      </c>
      <c r="B505" s="345">
        <v>4130112304</v>
      </c>
      <c r="C505" s="345" t="s">
        <v>258</v>
      </c>
      <c r="D505" s="347">
        <v>67419955</v>
      </c>
      <c r="E505" s="348">
        <v>9260.3399999999983</v>
      </c>
      <c r="F505" s="829"/>
      <c r="G505" s="829"/>
      <c r="H505" s="828">
        <f>+VLOOKUP(B505,Composición!$C:$C,1,0)</f>
        <v>4130112304</v>
      </c>
      <c r="I505" s="829"/>
      <c r="J505" s="829"/>
    </row>
    <row r="506" spans="1:10" s="14" customFormat="1" ht="16.5" customHeight="1">
      <c r="A506" s="14" t="str">
        <f t="shared" si="54"/>
        <v>I</v>
      </c>
      <c r="B506" s="345">
        <v>4130112305</v>
      </c>
      <c r="C506" s="345" t="s">
        <v>59</v>
      </c>
      <c r="D506" s="347">
        <v>188510723</v>
      </c>
      <c r="E506" s="348">
        <v>25759.91</v>
      </c>
      <c r="F506" s="829"/>
      <c r="G506" s="829"/>
      <c r="H506" s="828">
        <f>+VLOOKUP(B506,Composición!$C:$C,1,0)</f>
        <v>4130112305</v>
      </c>
      <c r="I506" s="829"/>
      <c r="J506" s="829"/>
    </row>
    <row r="507" spans="1:10" s="14" customFormat="1" ht="16.5" customHeight="1">
      <c r="A507" s="14" t="str">
        <f t="shared" si="54"/>
        <v>I</v>
      </c>
      <c r="B507" s="345">
        <v>4130112306</v>
      </c>
      <c r="C507" s="345" t="s">
        <v>60</v>
      </c>
      <c r="D507" s="347">
        <v>279390963</v>
      </c>
      <c r="E507" s="348">
        <v>38429.119999999995</v>
      </c>
      <c r="F507" s="829"/>
      <c r="G507" s="829"/>
      <c r="H507" s="828">
        <f>+VLOOKUP(B507,Composición!$C:$C,1,0)</f>
        <v>4130112306</v>
      </c>
      <c r="I507" s="829"/>
      <c r="J507" s="829"/>
    </row>
    <row r="508" spans="1:10" s="14" customFormat="1" ht="16.5" customHeight="1">
      <c r="A508" s="14" t="str">
        <f t="shared" ref="A508:A518" si="58">IF(LEN(B508)&gt;8,"I","NI")</f>
        <v>I</v>
      </c>
      <c r="B508" s="345">
        <v>4130112307</v>
      </c>
      <c r="C508" s="345" t="s">
        <v>63</v>
      </c>
      <c r="D508" s="347">
        <v>62123602</v>
      </c>
      <c r="E508" s="348">
        <v>8520.3799999999992</v>
      </c>
      <c r="F508" s="829"/>
      <c r="G508" s="829"/>
      <c r="H508" s="828">
        <f>+VLOOKUP(B508,Composición!$C:$C,1,0)</f>
        <v>4130112307</v>
      </c>
      <c r="I508" s="829"/>
      <c r="J508" s="829"/>
    </row>
    <row r="509" spans="1:10" s="14" customFormat="1" ht="16.5" customHeight="1">
      <c r="A509" s="14" t="str">
        <f t="shared" si="58"/>
        <v>I</v>
      </c>
      <c r="B509" s="345">
        <v>4130112308</v>
      </c>
      <c r="C509" s="345" t="s">
        <v>64</v>
      </c>
      <c r="D509" s="347">
        <v>28966721</v>
      </c>
      <c r="E509" s="348">
        <v>3984.32</v>
      </c>
      <c r="F509" s="829"/>
      <c r="G509" s="829"/>
      <c r="H509" s="828">
        <f>+VLOOKUP(B509,Composición!$C:$C,1,0)</f>
        <v>4130112308</v>
      </c>
      <c r="I509" s="829"/>
      <c r="J509" s="829"/>
    </row>
    <row r="510" spans="1:10" s="14" customFormat="1" ht="16.5" customHeight="1">
      <c r="A510" s="802" t="str">
        <f t="shared" si="58"/>
        <v>I</v>
      </c>
      <c r="B510" s="799">
        <v>4130112309</v>
      </c>
      <c r="C510" s="799" t="s">
        <v>66</v>
      </c>
      <c r="D510" s="800">
        <v>2570816</v>
      </c>
      <c r="E510" s="801">
        <v>345.68</v>
      </c>
      <c r="F510" s="831"/>
      <c r="G510" s="831"/>
      <c r="H510" s="832">
        <f>+VLOOKUP(B510,Composición!$C:$C,1,0)</f>
        <v>4130112309</v>
      </c>
      <c r="I510" s="829"/>
      <c r="J510" s="829"/>
    </row>
    <row r="511" spans="1:10" s="14" customFormat="1" ht="16.5" customHeight="1">
      <c r="A511" s="802" t="str">
        <f t="shared" si="58"/>
        <v>I</v>
      </c>
      <c r="B511" s="799">
        <v>4130112313</v>
      </c>
      <c r="C511" s="799" t="s">
        <v>267</v>
      </c>
      <c r="D511" s="800">
        <v>7276471</v>
      </c>
      <c r="E511" s="801">
        <v>987.58</v>
      </c>
      <c r="F511" s="831">
        <f>+SUMIF(Composición!C:C,'BG 2023'!B511,Composición!G:G)</f>
        <v>0</v>
      </c>
      <c r="G511" s="833">
        <f>+F511-D511</f>
        <v>-7276471</v>
      </c>
      <c r="H511" s="832">
        <f>+VLOOKUP(B511,Composición!$C:$C,1,0)</f>
        <v>4130112313</v>
      </c>
      <c r="I511" s="829"/>
      <c r="J511" s="829"/>
    </row>
    <row r="512" spans="1:10" s="14" customFormat="1" ht="16.5" customHeight="1">
      <c r="A512" s="14" t="str">
        <f t="shared" si="58"/>
        <v>I</v>
      </c>
      <c r="B512" s="345">
        <v>4130112317</v>
      </c>
      <c r="C512" s="345" t="s">
        <v>271</v>
      </c>
      <c r="D512" s="347">
        <v>33966151</v>
      </c>
      <c r="E512" s="348">
        <v>4637.37</v>
      </c>
      <c r="F512" s="829"/>
      <c r="G512" s="829"/>
      <c r="H512" s="828">
        <f>+VLOOKUP(B512,Composición!$C:$C,1,0)</f>
        <v>4130112317</v>
      </c>
      <c r="I512" s="829"/>
      <c r="J512" s="829"/>
    </row>
    <row r="513" spans="1:10" s="14" customFormat="1" ht="16.5" customHeight="1">
      <c r="A513" s="14" t="str">
        <f t="shared" si="58"/>
        <v>I</v>
      </c>
      <c r="B513" s="345">
        <v>4130112329</v>
      </c>
      <c r="C513" s="345" t="s">
        <v>279</v>
      </c>
      <c r="D513" s="347">
        <v>21017373</v>
      </c>
      <c r="E513" s="348">
        <v>2867.65</v>
      </c>
      <c r="F513" s="829"/>
      <c r="G513" s="829"/>
      <c r="H513" s="828">
        <f>+VLOOKUP(B513,Composición!$C:$C,1,0)</f>
        <v>4130112329</v>
      </c>
      <c r="I513" s="829"/>
      <c r="J513" s="829"/>
    </row>
    <row r="514" spans="1:10" s="14" customFormat="1" ht="16.5" customHeight="1">
      <c r="A514" s="14" t="str">
        <f t="shared" si="58"/>
        <v>I</v>
      </c>
      <c r="B514" s="345">
        <v>4130112331</v>
      </c>
      <c r="C514" s="345" t="s">
        <v>53</v>
      </c>
      <c r="D514" s="347">
        <v>315254224</v>
      </c>
      <c r="E514" s="348">
        <v>43374.53</v>
      </c>
      <c r="F514" s="829"/>
      <c r="G514" s="829"/>
      <c r="H514" s="828">
        <f>+VLOOKUP(B514,Composición!$C:$C,1,0)</f>
        <v>4130112331</v>
      </c>
      <c r="I514" s="829"/>
      <c r="J514" s="829"/>
    </row>
    <row r="515" spans="1:10" s="14" customFormat="1" ht="16.5" customHeight="1">
      <c r="A515" s="14" t="str">
        <f t="shared" si="58"/>
        <v>I</v>
      </c>
      <c r="B515" s="345">
        <v>4130112333</v>
      </c>
      <c r="C515" s="345" t="s">
        <v>342</v>
      </c>
      <c r="D515" s="347">
        <v>12789924</v>
      </c>
      <c r="E515" s="348">
        <v>1741.4</v>
      </c>
      <c r="F515" s="829"/>
      <c r="G515" s="829"/>
      <c r="H515" s="828">
        <f>+VLOOKUP(B515,Composición!$C:$C,1,0)</f>
        <v>4130112333</v>
      </c>
      <c r="I515" s="829"/>
      <c r="J515" s="829"/>
    </row>
    <row r="516" spans="1:10" s="14" customFormat="1" ht="16.5" customHeight="1">
      <c r="A516" s="14" t="str">
        <f t="shared" si="58"/>
        <v>I</v>
      </c>
      <c r="B516" s="345">
        <v>4130112343</v>
      </c>
      <c r="C516" s="345" t="s">
        <v>343</v>
      </c>
      <c r="D516" s="347">
        <v>4560000</v>
      </c>
      <c r="E516" s="348">
        <v>618.24</v>
      </c>
      <c r="F516" s="829"/>
      <c r="G516" s="829"/>
      <c r="H516" s="828">
        <f>+VLOOKUP(B516,Composición!$C:$C,1,0)</f>
        <v>4130112343</v>
      </c>
      <c r="I516" s="829"/>
      <c r="J516" s="829"/>
    </row>
    <row r="517" spans="1:10" s="14" customFormat="1" ht="16.5" customHeight="1">
      <c r="A517" s="14" t="str">
        <f t="shared" si="58"/>
        <v>I</v>
      </c>
      <c r="B517" s="345">
        <v>4130112348</v>
      </c>
      <c r="C517" s="345" t="s">
        <v>344</v>
      </c>
      <c r="D517" s="347">
        <v>30539127</v>
      </c>
      <c r="E517" s="348">
        <v>4217.9400000000005</v>
      </c>
      <c r="F517" s="829">
        <f>+SUMIF(Composición!C:C,'BG 2023'!B517,Composición!G:G)</f>
        <v>5</v>
      </c>
      <c r="G517" s="830">
        <f t="shared" ref="G517:G518" si="59">+F517-D517</f>
        <v>-30539122</v>
      </c>
      <c r="H517" s="828">
        <f>+VLOOKUP(B517,Composición!$C:$C,1,0)</f>
        <v>4130112348</v>
      </c>
      <c r="I517" s="829"/>
      <c r="J517" s="829"/>
    </row>
    <row r="518" spans="1:10" s="14" customFormat="1" ht="16.5" customHeight="1">
      <c r="A518" s="14" t="str">
        <f t="shared" si="58"/>
        <v>I</v>
      </c>
      <c r="B518" s="345">
        <v>4130112350</v>
      </c>
      <c r="C518" s="345" t="s">
        <v>345</v>
      </c>
      <c r="D518" s="347">
        <v>13492735</v>
      </c>
      <c r="E518" s="348">
        <v>1858.64</v>
      </c>
      <c r="F518" s="829">
        <f>+SUMIF(Composición!C:C,'BG 2023'!B518,Composición!G:G)</f>
        <v>0</v>
      </c>
      <c r="G518" s="830">
        <f t="shared" si="59"/>
        <v>-13492735</v>
      </c>
      <c r="H518" s="828">
        <f>+VLOOKUP(B518,Composición!$C:$C,1,0)</f>
        <v>4130112350</v>
      </c>
      <c r="I518" s="829"/>
      <c r="J518" s="829"/>
    </row>
    <row r="519" spans="1:10" s="14" customFormat="1" ht="16.5" customHeight="1">
      <c r="A519" s="14" t="str">
        <f t="shared" si="54"/>
        <v>I</v>
      </c>
      <c r="B519" s="345">
        <v>4130112352</v>
      </c>
      <c r="C519" s="345" t="s">
        <v>346</v>
      </c>
      <c r="D519" s="347">
        <v>6994785</v>
      </c>
      <c r="E519" s="348">
        <v>963.73</v>
      </c>
      <c r="F519" s="829"/>
      <c r="G519" s="829"/>
      <c r="H519" s="828">
        <f>+VLOOKUP(B519,Composición!$C:$C,1,0)</f>
        <v>4130112352</v>
      </c>
      <c r="I519" s="829"/>
      <c r="J519" s="829"/>
    </row>
    <row r="520" spans="1:10" s="14" customFormat="1" ht="16.5" customHeight="1">
      <c r="A520" s="14" t="str">
        <f t="shared" si="54"/>
        <v>I</v>
      </c>
      <c r="B520" s="345">
        <v>4130112353</v>
      </c>
      <c r="C520" s="345" t="s">
        <v>347</v>
      </c>
      <c r="D520" s="347">
        <v>36972141</v>
      </c>
      <c r="E520" s="348">
        <v>5051.75</v>
      </c>
      <c r="F520" s="829"/>
      <c r="G520" s="829"/>
      <c r="H520" s="828">
        <f>+VLOOKUP(B520,Composición!$C:$C,1,0)</f>
        <v>4130112353</v>
      </c>
      <c r="I520" s="829"/>
      <c r="J520" s="829"/>
    </row>
    <row r="521" spans="1:10" s="14" customFormat="1" ht="16.5" customHeight="1">
      <c r="A521" s="14" t="str">
        <f t="shared" si="54"/>
        <v>I</v>
      </c>
      <c r="B521" s="345">
        <v>4130112354</v>
      </c>
      <c r="C521" s="345" t="s">
        <v>348</v>
      </c>
      <c r="D521" s="347">
        <v>3718437</v>
      </c>
      <c r="E521" s="348">
        <v>511.72</v>
      </c>
      <c r="F521" s="829"/>
      <c r="G521" s="829"/>
      <c r="H521" s="828">
        <f>+VLOOKUP(B521,Composición!$C:$C,1,0)</f>
        <v>4130112354</v>
      </c>
      <c r="I521" s="829"/>
      <c r="J521" s="829"/>
    </row>
    <row r="522" spans="1:10" s="14" customFormat="1" ht="16.5" customHeight="1">
      <c r="A522" s="802" t="str">
        <f t="shared" si="54"/>
        <v>I</v>
      </c>
      <c r="B522" s="799">
        <v>4130112356</v>
      </c>
      <c r="C522" s="799" t="s">
        <v>132</v>
      </c>
      <c r="D522" s="800">
        <v>3390612</v>
      </c>
      <c r="E522" s="801">
        <v>454.53</v>
      </c>
      <c r="F522" s="831"/>
      <c r="G522" s="831"/>
      <c r="H522" s="832">
        <f>+VLOOKUP(B522,Composición!$C:$C,1,0)</f>
        <v>4130112356</v>
      </c>
      <c r="I522" s="829"/>
      <c r="J522" s="829"/>
    </row>
    <row r="523" spans="1:10" s="14" customFormat="1" ht="16.5" customHeight="1">
      <c r="A523" s="802" t="str">
        <f t="shared" si="54"/>
        <v>I</v>
      </c>
      <c r="B523" s="799">
        <v>4130112357</v>
      </c>
      <c r="C523" s="799" t="s">
        <v>338</v>
      </c>
      <c r="D523" s="800">
        <v>27332981</v>
      </c>
      <c r="E523" s="801">
        <v>3662.74</v>
      </c>
      <c r="F523" s="831"/>
      <c r="G523" s="831"/>
      <c r="H523" s="832">
        <f>+VLOOKUP(B523,Composición!$C:$C,1,0)</f>
        <v>4130112357</v>
      </c>
      <c r="I523" s="829"/>
      <c r="J523" s="829"/>
    </row>
    <row r="524" spans="1:10" s="14" customFormat="1" ht="16.5" customHeight="1">
      <c r="A524" s="31" t="str">
        <f t="shared" si="54"/>
        <v>NI</v>
      </c>
      <c r="B524" s="350">
        <v>416</v>
      </c>
      <c r="C524" s="350" t="s">
        <v>349</v>
      </c>
      <c r="D524" s="340">
        <v>1095140336</v>
      </c>
      <c r="E524" s="341">
        <v>84984.98</v>
      </c>
      <c r="F524" s="829"/>
      <c r="G524" s="829"/>
      <c r="H524" s="828">
        <f>+VLOOKUP(B524,Composición!$C:$C,1,0)</f>
        <v>416</v>
      </c>
      <c r="I524" s="829"/>
      <c r="J524" s="829"/>
    </row>
    <row r="525" spans="1:10" s="14" customFormat="1" ht="16.5" customHeight="1">
      <c r="A525" s="31" t="str">
        <f t="shared" ref="A525:A527" si="60">IF(LEN(B525)&gt;8,"I","NI")</f>
        <v>NI</v>
      </c>
      <c r="B525" s="350">
        <v>41601</v>
      </c>
      <c r="C525" s="350" t="s">
        <v>350</v>
      </c>
      <c r="D525" s="340">
        <v>1095140336</v>
      </c>
      <c r="E525" s="341">
        <v>84984.98</v>
      </c>
      <c r="F525" s="829">
        <f>+SUMIF(Composición!C:C,'BG 2023'!B525,Composición!G:G)</f>
        <v>0</v>
      </c>
      <c r="G525" s="830">
        <f t="shared" ref="G525:G530" si="61">+F525-D525</f>
        <v>-1095140336</v>
      </c>
      <c r="H525" s="828">
        <f>+VLOOKUP(B525,Composición!$C:$C,1,0)</f>
        <v>41601</v>
      </c>
      <c r="I525" s="829"/>
      <c r="J525" s="829"/>
    </row>
    <row r="526" spans="1:10" s="14" customFormat="1" ht="16.5" customHeight="1">
      <c r="A526" s="31" t="str">
        <f t="shared" si="60"/>
        <v>NI</v>
      </c>
      <c r="B526" s="350">
        <v>416011</v>
      </c>
      <c r="C526" s="350" t="s">
        <v>350</v>
      </c>
      <c r="D526" s="340">
        <v>1095140336</v>
      </c>
      <c r="E526" s="341">
        <v>84984.98</v>
      </c>
      <c r="F526" s="829">
        <f>+SUMIF(Composición!C:C,'BG 2023'!B526,Composición!G:G)</f>
        <v>0</v>
      </c>
      <c r="G526" s="830">
        <f t="shared" si="61"/>
        <v>-1095140336</v>
      </c>
      <c r="H526" s="828">
        <f>+VLOOKUP(B526,Composición!$C:$C,1,0)</f>
        <v>416011</v>
      </c>
      <c r="I526" s="829"/>
      <c r="J526" s="829"/>
    </row>
    <row r="527" spans="1:10" s="14" customFormat="1" ht="16.5" customHeight="1">
      <c r="A527" s="31" t="str">
        <f t="shared" si="60"/>
        <v>NI</v>
      </c>
      <c r="B527" s="350">
        <v>4160115</v>
      </c>
      <c r="C527" s="350" t="s">
        <v>351</v>
      </c>
      <c r="D527" s="340">
        <v>475156214</v>
      </c>
      <c r="E527" s="341">
        <v>65413.32</v>
      </c>
      <c r="F527" s="829">
        <f>+SUMIF(Composición!C:C,'BG 2023'!B527,Composición!G:G)</f>
        <v>0</v>
      </c>
      <c r="G527" s="830">
        <f t="shared" si="61"/>
        <v>-475156214</v>
      </c>
      <c r="H527" s="828">
        <f>+VLOOKUP(B527,Composición!$C:$C,1,0)</f>
        <v>4160115</v>
      </c>
      <c r="I527" s="829"/>
      <c r="J527" s="829"/>
    </row>
    <row r="528" spans="1:10" s="14" customFormat="1" ht="16.5" customHeight="1">
      <c r="A528" s="31" t="str">
        <f t="shared" si="54"/>
        <v>NI</v>
      </c>
      <c r="B528" s="350">
        <v>41601151</v>
      </c>
      <c r="C528" s="350" t="s">
        <v>352</v>
      </c>
      <c r="D528" s="340">
        <v>311305565</v>
      </c>
      <c r="E528" s="341">
        <v>42855.55999999999</v>
      </c>
      <c r="F528" s="829">
        <f>+SUMIF(Composición!C:C,'BG 2023'!B528,Composición!G:G)</f>
        <v>0</v>
      </c>
      <c r="G528" s="830">
        <f t="shared" si="61"/>
        <v>-311305565</v>
      </c>
      <c r="H528" s="828">
        <f>+VLOOKUP(B528,Composición!$C:$C,1,0)</f>
        <v>41601151</v>
      </c>
      <c r="I528" s="829"/>
      <c r="J528" s="829"/>
    </row>
    <row r="529" spans="1:10" s="14" customFormat="1" ht="16.5" customHeight="1">
      <c r="A529" s="14" t="str">
        <f t="shared" si="54"/>
        <v>I</v>
      </c>
      <c r="B529" s="345">
        <v>4160115101</v>
      </c>
      <c r="C529" s="345" t="s">
        <v>353</v>
      </c>
      <c r="D529" s="347">
        <v>8634801</v>
      </c>
      <c r="E529" s="348">
        <v>1185.42</v>
      </c>
      <c r="F529" s="829">
        <f>+SUMIF(Composición!C:C,'BG 2023'!B529,Composición!G:G)</f>
        <v>29091884</v>
      </c>
      <c r="G529" s="830">
        <f t="shared" si="61"/>
        <v>20457083</v>
      </c>
      <c r="H529" s="828">
        <f>+VLOOKUP(B529,Composición!$C:$C,1,0)</f>
        <v>4160115101</v>
      </c>
      <c r="I529" s="829"/>
      <c r="J529" s="829"/>
    </row>
    <row r="530" spans="1:10" s="14" customFormat="1" ht="16.5" customHeight="1">
      <c r="A530" s="14" t="str">
        <f t="shared" si="54"/>
        <v>I</v>
      </c>
      <c r="B530" s="345">
        <v>4160115102</v>
      </c>
      <c r="C530" s="345" t="s">
        <v>354</v>
      </c>
      <c r="D530" s="347">
        <v>6002584</v>
      </c>
      <c r="E530" s="348">
        <v>826.69</v>
      </c>
      <c r="F530" s="829">
        <f>+SUMIF(Composición!C:C,'BG 2023'!B530,Composición!G:G)</f>
        <v>109888439</v>
      </c>
      <c r="G530" s="830">
        <f t="shared" si="61"/>
        <v>103885855</v>
      </c>
      <c r="H530" s="828">
        <f>+VLOOKUP(B530,Composición!$C:$C,1,0)</f>
        <v>4160115102</v>
      </c>
      <c r="I530" s="829"/>
      <c r="J530" s="829"/>
    </row>
    <row r="531" spans="1:10" s="14" customFormat="1" ht="16.5" customHeight="1">
      <c r="B531" s="345">
        <v>4160115103</v>
      </c>
      <c r="C531" s="345" t="s">
        <v>355</v>
      </c>
      <c r="D531" s="347">
        <v>277588848</v>
      </c>
      <c r="E531" s="348">
        <v>38213.149999999994</v>
      </c>
      <c r="F531" s="829"/>
      <c r="G531" s="829"/>
      <c r="H531" s="828">
        <f>+VLOOKUP(B531,Composición!$C:$C,1,0)</f>
        <v>4160115103</v>
      </c>
      <c r="I531" s="829"/>
      <c r="J531" s="829"/>
    </row>
    <row r="532" spans="1:10" s="14" customFormat="1" ht="16.5" customHeight="1">
      <c r="A532" s="14" t="str">
        <f t="shared" si="54"/>
        <v>I</v>
      </c>
      <c r="B532" s="345">
        <v>4160115104</v>
      </c>
      <c r="C532" s="345" t="s">
        <v>356</v>
      </c>
      <c r="D532" s="347">
        <v>1531841</v>
      </c>
      <c r="E532" s="348">
        <v>209.67</v>
      </c>
      <c r="F532" s="829"/>
      <c r="G532" s="829"/>
      <c r="H532" s="828">
        <f>+VLOOKUP(B532,Composición!$C:$C,1,0)</f>
        <v>4160115104</v>
      </c>
      <c r="I532" s="829"/>
      <c r="J532" s="829"/>
    </row>
    <row r="533" spans="1:10" s="14" customFormat="1" ht="16.5" customHeight="1">
      <c r="A533" s="14" t="str">
        <f t="shared" si="54"/>
        <v>I</v>
      </c>
      <c r="B533" s="345">
        <v>4160115105</v>
      </c>
      <c r="C533" s="345" t="s">
        <v>357</v>
      </c>
      <c r="D533" s="347">
        <v>14647680</v>
      </c>
      <c r="E533" s="348">
        <v>2023.87</v>
      </c>
      <c r="F533" s="829"/>
      <c r="G533" s="829"/>
      <c r="H533" s="828">
        <f>+VLOOKUP(B533,Composición!$C:$C,1,0)</f>
        <v>4160115105</v>
      </c>
      <c r="I533" s="829"/>
      <c r="J533" s="829"/>
    </row>
    <row r="534" spans="1:10" s="14" customFormat="1" ht="16.5" customHeight="1">
      <c r="A534" s="14" t="str">
        <f t="shared" si="54"/>
        <v>I</v>
      </c>
      <c r="B534" s="345">
        <v>4160115109</v>
      </c>
      <c r="C534" s="345" t="s">
        <v>358</v>
      </c>
      <c r="D534" s="347">
        <v>2899811</v>
      </c>
      <c r="E534" s="348">
        <v>396.76</v>
      </c>
      <c r="F534" s="829"/>
      <c r="G534" s="829"/>
      <c r="H534" s="828">
        <f>+VLOOKUP(B534,Composición!$C:$C,1,0)</f>
        <v>4160115109</v>
      </c>
      <c r="I534" s="829"/>
      <c r="J534" s="829"/>
    </row>
    <row r="535" spans="1:10" s="14" customFormat="1" ht="16.5" customHeight="1">
      <c r="A535" s="31" t="str">
        <f t="shared" si="54"/>
        <v>NI</v>
      </c>
      <c r="B535" s="350">
        <v>41601152</v>
      </c>
      <c r="C535" s="350" t="s">
        <v>359</v>
      </c>
      <c r="D535" s="340">
        <v>13641939</v>
      </c>
      <c r="E535" s="341">
        <v>1868.59</v>
      </c>
      <c r="F535" s="829"/>
      <c r="G535" s="829"/>
      <c r="H535" s="828">
        <f>+VLOOKUP(B535,Composición!$C:$C,1,0)</f>
        <v>41601152</v>
      </c>
      <c r="I535" s="829"/>
      <c r="J535" s="829"/>
    </row>
    <row r="536" spans="1:10" s="14" customFormat="1" ht="16.5" customHeight="1">
      <c r="A536" s="14" t="str">
        <f t="shared" si="54"/>
        <v>I</v>
      </c>
      <c r="B536" s="345">
        <v>4160115201</v>
      </c>
      <c r="C536" s="345" t="s">
        <v>360</v>
      </c>
      <c r="D536" s="347">
        <v>6888452</v>
      </c>
      <c r="E536" s="348">
        <v>944.56</v>
      </c>
      <c r="F536" s="829"/>
      <c r="G536" s="829"/>
      <c r="H536" s="828">
        <f>+VLOOKUP(B536,Composición!$C:$C,1,0)</f>
        <v>4160115201</v>
      </c>
      <c r="I536" s="829"/>
      <c r="J536" s="829"/>
    </row>
    <row r="537" spans="1:10" s="14" customFormat="1" ht="16.5" customHeight="1">
      <c r="A537" s="14" t="str">
        <f t="shared" si="54"/>
        <v>I</v>
      </c>
      <c r="B537" s="345">
        <v>4160115202</v>
      </c>
      <c r="C537" s="345" t="s">
        <v>361</v>
      </c>
      <c r="D537" s="347">
        <v>6752001</v>
      </c>
      <c r="E537" s="348">
        <v>923.82999999999993</v>
      </c>
      <c r="F537" s="829"/>
      <c r="G537" s="829"/>
      <c r="H537" s="828">
        <f>+VLOOKUP(B537,Composición!$C:$C,1,0)</f>
        <v>4160115202</v>
      </c>
      <c r="I537" s="829"/>
      <c r="J537" s="829"/>
    </row>
    <row r="538" spans="1:10" s="14" customFormat="1" ht="16.5" customHeight="1">
      <c r="A538" s="802" t="str">
        <f t="shared" si="54"/>
        <v>I</v>
      </c>
      <c r="B538" s="345">
        <v>4160115203</v>
      </c>
      <c r="C538" s="345" t="s">
        <v>362</v>
      </c>
      <c r="D538" s="347">
        <v>1486</v>
      </c>
      <c r="E538" s="348">
        <v>0.2</v>
      </c>
      <c r="F538" s="829"/>
      <c r="G538" s="829"/>
      <c r="H538" s="828">
        <f>+VLOOKUP(B538,Composición!$C:$C,1,0)</f>
        <v>4160115203</v>
      </c>
      <c r="I538" s="829"/>
      <c r="J538" s="829"/>
    </row>
    <row r="539" spans="1:10" s="14" customFormat="1" ht="16.5" customHeight="1">
      <c r="A539" s="31" t="str">
        <f t="shared" si="54"/>
        <v>NI</v>
      </c>
      <c r="B539" s="350">
        <v>41601153</v>
      </c>
      <c r="C539" s="350" t="s">
        <v>363</v>
      </c>
      <c r="D539" s="340">
        <v>150208710</v>
      </c>
      <c r="E539" s="341">
        <v>20689.169999999998</v>
      </c>
      <c r="F539" s="829">
        <f>+SUMIF(Composición!C:C,'BG 2023'!B539,Composición!G:G)</f>
        <v>0</v>
      </c>
      <c r="G539" s="830">
        <f>+F539-D539</f>
        <v>-150208710</v>
      </c>
      <c r="H539" s="828">
        <f>+VLOOKUP(B539,Composición!$C:$C,1,0)</f>
        <v>41601153</v>
      </c>
      <c r="I539" s="829"/>
      <c r="J539" s="829"/>
    </row>
    <row r="540" spans="1:10" s="14" customFormat="1" ht="16.5" customHeight="1">
      <c r="A540" s="14" t="str">
        <f t="shared" si="54"/>
        <v>I</v>
      </c>
      <c r="B540" s="345">
        <v>4160115301</v>
      </c>
      <c r="C540" s="345" t="s">
        <v>364</v>
      </c>
      <c r="D540" s="347">
        <v>94007166</v>
      </c>
      <c r="E540" s="348">
        <v>12929.17</v>
      </c>
      <c r="F540" s="829"/>
      <c r="G540" s="829"/>
      <c r="H540" s="828">
        <f>+VLOOKUP(B540,Composición!$C:$C,1,0)</f>
        <v>4160115301</v>
      </c>
      <c r="I540" s="829"/>
      <c r="J540" s="829"/>
    </row>
    <row r="541" spans="1:10" s="14" customFormat="1" ht="16.5" customHeight="1">
      <c r="A541" s="14" t="str">
        <f t="shared" si="54"/>
        <v>I</v>
      </c>
      <c r="B541" s="345">
        <v>4160115302</v>
      </c>
      <c r="C541" s="345" t="s">
        <v>365</v>
      </c>
      <c r="D541" s="347">
        <v>56201544</v>
      </c>
      <c r="E541" s="348">
        <v>7760</v>
      </c>
      <c r="F541" s="829"/>
      <c r="G541" s="829"/>
      <c r="H541" s="828">
        <f>+VLOOKUP(B541,Composición!$C:$C,1,0)</f>
        <v>4160115302</v>
      </c>
      <c r="I541" s="829"/>
      <c r="J541" s="829"/>
    </row>
    <row r="542" spans="1:10" s="14" customFormat="1" ht="16.5" customHeight="1">
      <c r="A542" s="31" t="str">
        <f t="shared" si="54"/>
        <v>NI</v>
      </c>
      <c r="B542" s="350">
        <v>4160116</v>
      </c>
      <c r="C542" s="350" t="s">
        <v>366</v>
      </c>
      <c r="D542" s="340">
        <v>85922522</v>
      </c>
      <c r="E542" s="341">
        <v>11828.980000000001</v>
      </c>
      <c r="F542" s="829"/>
      <c r="G542" s="829"/>
      <c r="H542" s="828">
        <f>+VLOOKUP(B542,Composición!$C:$C,1,0)</f>
        <v>4160116</v>
      </c>
      <c r="I542" s="829"/>
      <c r="J542" s="829"/>
    </row>
    <row r="543" spans="1:10" s="14" customFormat="1" ht="16.5" customHeight="1">
      <c r="A543" s="31" t="str">
        <f t="shared" si="54"/>
        <v>NI</v>
      </c>
      <c r="B543" s="350">
        <v>41601161</v>
      </c>
      <c r="C543" s="350" t="s">
        <v>367</v>
      </c>
      <c r="D543" s="340">
        <v>83030564</v>
      </c>
      <c r="E543" s="341">
        <v>11432.660000000002</v>
      </c>
      <c r="F543" s="829"/>
      <c r="G543" s="829"/>
      <c r="H543" s="828">
        <f>+VLOOKUP(B543,Composición!$C:$C,1,0)</f>
        <v>41601161</v>
      </c>
      <c r="I543" s="829"/>
      <c r="J543" s="829"/>
    </row>
    <row r="544" spans="1:10" s="14" customFormat="1" ht="16.5" customHeight="1">
      <c r="A544" s="14" t="str">
        <f t="shared" si="54"/>
        <v>I</v>
      </c>
      <c r="B544" s="345">
        <v>4160116101</v>
      </c>
      <c r="C544" s="345" t="s">
        <v>368</v>
      </c>
      <c r="D544" s="347">
        <v>2220142</v>
      </c>
      <c r="E544" s="348">
        <v>305.08999999999997</v>
      </c>
      <c r="F544" s="829">
        <f>+SUMIF(Composición!C:C,'BG 2023'!B544,Composición!G:G)</f>
        <v>6311501</v>
      </c>
      <c r="G544" s="830">
        <f t="shared" ref="G544:G545" si="62">+F544-D544</f>
        <v>4091359</v>
      </c>
      <c r="H544" s="828">
        <f>+VLOOKUP(B544,Composición!$C:$C,1,0)</f>
        <v>4160116101</v>
      </c>
      <c r="I544" s="829"/>
      <c r="J544" s="829"/>
    </row>
    <row r="545" spans="1:10" s="14" customFormat="1" ht="16.5" customHeight="1">
      <c r="A545" s="14" t="str">
        <f t="shared" si="54"/>
        <v>I</v>
      </c>
      <c r="B545" s="345">
        <v>4160116102</v>
      </c>
      <c r="C545" s="345" t="s">
        <v>369</v>
      </c>
      <c r="D545" s="347">
        <v>1500645</v>
      </c>
      <c r="E545" s="348">
        <v>206.70000000000005</v>
      </c>
      <c r="F545" s="829">
        <f>+SUMIF(Composición!C:C,'BG 2023'!B545,Composición!G:G)</f>
        <v>14141656</v>
      </c>
      <c r="G545" s="830">
        <f t="shared" si="62"/>
        <v>12641011</v>
      </c>
      <c r="H545" s="828">
        <f>+VLOOKUP(B545,Composición!$C:$C,1,0)</f>
        <v>4160116102</v>
      </c>
      <c r="I545" s="829"/>
      <c r="J545" s="829"/>
    </row>
    <row r="546" spans="1:10" s="14" customFormat="1" ht="16.5" customHeight="1">
      <c r="A546" s="14" t="str">
        <f t="shared" si="54"/>
        <v>I</v>
      </c>
      <c r="B546" s="345">
        <v>4160116103</v>
      </c>
      <c r="C546" s="345" t="s">
        <v>370</v>
      </c>
      <c r="D546" s="347">
        <v>74656840</v>
      </c>
      <c r="E546" s="348">
        <v>10279.149999999998</v>
      </c>
      <c r="F546" s="829"/>
      <c r="G546" s="829"/>
      <c r="H546" s="828">
        <f>+VLOOKUP(B546,Composición!$C:$C,1,0)</f>
        <v>4160116103</v>
      </c>
      <c r="I546" s="829"/>
      <c r="J546" s="829"/>
    </row>
    <row r="547" spans="1:10" s="14" customFormat="1" ht="16.5" customHeight="1">
      <c r="A547" s="14" t="str">
        <f t="shared" si="54"/>
        <v>I</v>
      </c>
      <c r="B547" s="345">
        <v>4160116104</v>
      </c>
      <c r="C547" s="345" t="s">
        <v>371</v>
      </c>
      <c r="D547" s="347">
        <v>382960</v>
      </c>
      <c r="E547" s="348">
        <v>52.42</v>
      </c>
      <c r="F547" s="829">
        <f>+SUMIF(Composición!C:C,'BG 2023'!B547,Composición!G:G)</f>
        <v>1506384</v>
      </c>
      <c r="G547" s="830">
        <f t="shared" ref="G547:G548" si="63">+F547-D547</f>
        <v>1123424</v>
      </c>
      <c r="H547" s="828">
        <f>+VLOOKUP(B547,Composición!$C:$C,1,0)</f>
        <v>4160116104</v>
      </c>
      <c r="I547" s="829"/>
      <c r="J547" s="829"/>
    </row>
    <row r="548" spans="1:10" s="14" customFormat="1" ht="16.5" customHeight="1">
      <c r="A548" s="14" t="str">
        <f t="shared" si="54"/>
        <v>I</v>
      </c>
      <c r="B548" s="345">
        <v>4160116105</v>
      </c>
      <c r="C548" s="345" t="s">
        <v>372</v>
      </c>
      <c r="D548" s="347">
        <v>3661920</v>
      </c>
      <c r="E548" s="348">
        <v>505.97</v>
      </c>
      <c r="F548" s="829">
        <f>+SUMIF(Composición!C:C,'BG 2023'!B548,Composición!G:G)</f>
        <v>3140978</v>
      </c>
      <c r="G548" s="830">
        <f t="shared" si="63"/>
        <v>-520942</v>
      </c>
      <c r="H548" s="828">
        <f>+VLOOKUP(B548,Composición!$C:$C,1,0)</f>
        <v>4160116105</v>
      </c>
      <c r="I548" s="829"/>
      <c r="J548" s="829"/>
    </row>
    <row r="549" spans="1:10" s="14" customFormat="1" ht="16.5" customHeight="1">
      <c r="A549" s="14" t="str">
        <f t="shared" si="54"/>
        <v>I</v>
      </c>
      <c r="B549" s="345">
        <v>4160116109</v>
      </c>
      <c r="C549" s="345" t="s">
        <v>373</v>
      </c>
      <c r="D549" s="347">
        <v>608057</v>
      </c>
      <c r="E549" s="348">
        <v>83.33</v>
      </c>
      <c r="F549" s="829"/>
      <c r="G549" s="829"/>
      <c r="H549" s="828">
        <f>+VLOOKUP(B549,Composición!$C:$C,1,0)</f>
        <v>4160116109</v>
      </c>
      <c r="I549" s="829"/>
      <c r="J549" s="829"/>
    </row>
    <row r="550" spans="1:10" s="14" customFormat="1" ht="16.5" customHeight="1">
      <c r="A550" s="31" t="str">
        <f t="shared" si="54"/>
        <v>NI</v>
      </c>
      <c r="B550" s="350">
        <v>41601162</v>
      </c>
      <c r="C550" s="350" t="s">
        <v>374</v>
      </c>
      <c r="D550" s="340">
        <v>2891958</v>
      </c>
      <c r="E550" s="341">
        <v>396.32</v>
      </c>
      <c r="F550" s="829"/>
      <c r="G550" s="829"/>
      <c r="H550" s="828">
        <f>+VLOOKUP(B550,Composición!$C:$C,1,0)</f>
        <v>41601162</v>
      </c>
      <c r="I550" s="829"/>
      <c r="J550" s="829"/>
    </row>
    <row r="551" spans="1:10" s="14" customFormat="1" ht="16.5" customHeight="1">
      <c r="A551" s="14" t="str">
        <f t="shared" si="54"/>
        <v>I</v>
      </c>
      <c r="B551" s="345">
        <v>4160116201</v>
      </c>
      <c r="C551" s="345" t="s">
        <v>375</v>
      </c>
      <c r="D551" s="347">
        <v>1570925</v>
      </c>
      <c r="E551" s="348">
        <v>215.38</v>
      </c>
      <c r="F551" s="829"/>
      <c r="G551" s="829"/>
      <c r="H551" s="828">
        <f>+VLOOKUP(B551,Composición!$C:$C,1,0)</f>
        <v>4160116201</v>
      </c>
      <c r="I551" s="829"/>
      <c r="J551" s="829"/>
    </row>
    <row r="552" spans="1:10" s="14" customFormat="1" ht="16.5" customHeight="1">
      <c r="A552" s="14" t="str">
        <f t="shared" si="54"/>
        <v>I</v>
      </c>
      <c r="B552" s="345">
        <v>4160116202</v>
      </c>
      <c r="C552" s="345" t="s">
        <v>376</v>
      </c>
      <c r="D552" s="347">
        <v>1320660</v>
      </c>
      <c r="E552" s="348">
        <v>180.89</v>
      </c>
      <c r="F552" s="829"/>
      <c r="G552" s="829"/>
      <c r="H552" s="828">
        <f>+VLOOKUP(B552,Composición!$C:$C,1,0)</f>
        <v>4160116202</v>
      </c>
      <c r="I552" s="829"/>
      <c r="J552" s="829"/>
    </row>
    <row r="553" spans="1:10" s="818" customFormat="1" ht="16.5" customHeight="1">
      <c r="A553" s="814" t="str">
        <f t="shared" si="54"/>
        <v>I</v>
      </c>
      <c r="B553" s="815">
        <v>4160116203</v>
      </c>
      <c r="C553" s="815" t="s">
        <v>377</v>
      </c>
      <c r="D553" s="816">
        <v>373</v>
      </c>
      <c r="E553" s="817">
        <v>0.05</v>
      </c>
      <c r="F553" s="831">
        <f>+SUMIF(Composición!C:C,'BG 2023'!B553,Composición!G:G)</f>
        <v>316087</v>
      </c>
      <c r="G553" s="833">
        <f t="shared" ref="G553:G555" si="64">+F553-D553</f>
        <v>315714</v>
      </c>
      <c r="H553" s="832">
        <f>+VLOOKUP(B553,Composición!$C:$C,1,0)</f>
        <v>4160116203</v>
      </c>
      <c r="I553" s="829"/>
      <c r="J553" s="829"/>
    </row>
    <row r="554" spans="1:10" s="14" customFormat="1" ht="16.5" customHeight="1">
      <c r="A554" s="31" t="str">
        <f t="shared" si="54"/>
        <v>NI</v>
      </c>
      <c r="B554" s="350">
        <v>4160117</v>
      </c>
      <c r="C554" s="350" t="s">
        <v>378</v>
      </c>
      <c r="D554" s="340">
        <v>534061600</v>
      </c>
      <c r="E554" s="341">
        <v>7742.68</v>
      </c>
      <c r="F554" s="829">
        <f>+SUMIF(Composición!C:C,'BG 2023'!B554,Composición!G:G)</f>
        <v>0</v>
      </c>
      <c r="G554" s="830">
        <f t="shared" si="64"/>
        <v>-534061600</v>
      </c>
      <c r="H554" s="828">
        <f>+VLOOKUP(B554,Composición!$C:$C,1,0)</f>
        <v>4160117</v>
      </c>
      <c r="I554" s="829"/>
      <c r="J554" s="829"/>
    </row>
    <row r="555" spans="1:10" s="14" customFormat="1" ht="16.5" customHeight="1">
      <c r="A555" s="31" t="str">
        <f t="shared" si="54"/>
        <v>NI</v>
      </c>
      <c r="B555" s="350">
        <v>41601171</v>
      </c>
      <c r="C555" s="350" t="s">
        <v>378</v>
      </c>
      <c r="D555" s="340">
        <v>534061600</v>
      </c>
      <c r="E555" s="341">
        <v>7742.68</v>
      </c>
      <c r="F555" s="829">
        <f>+SUMIF(Composición!C:C,'BG 2023'!B555,Composición!G:G)</f>
        <v>0</v>
      </c>
      <c r="G555" s="830">
        <f t="shared" si="64"/>
        <v>-534061600</v>
      </c>
      <c r="H555" s="828">
        <f>+VLOOKUP(B555,Composición!$C:$C,1,0)</f>
        <v>41601171</v>
      </c>
      <c r="I555" s="829"/>
      <c r="J555" s="829"/>
    </row>
    <row r="556" spans="1:10" s="14" customFormat="1" ht="16.5" customHeight="1">
      <c r="A556" s="802" t="str">
        <f t="shared" si="54"/>
        <v>I</v>
      </c>
      <c r="B556" s="799">
        <v>4160117101</v>
      </c>
      <c r="C556" s="799" t="s">
        <v>379</v>
      </c>
      <c r="D556" s="800">
        <v>86982290</v>
      </c>
      <c r="E556" s="801">
        <v>1355.98</v>
      </c>
      <c r="F556" s="831"/>
      <c r="G556" s="831"/>
      <c r="H556" s="832">
        <f>+VLOOKUP(B556,Composición!$C:$C,1,0)</f>
        <v>4160117101</v>
      </c>
      <c r="I556" s="829"/>
      <c r="J556" s="829"/>
    </row>
    <row r="557" spans="1:10" s="14" customFormat="1" ht="16.5" customHeight="1">
      <c r="A557" s="14" t="str">
        <f t="shared" si="54"/>
        <v>I</v>
      </c>
      <c r="B557" s="345">
        <v>4160117102</v>
      </c>
      <c r="C557" s="345" t="s">
        <v>380</v>
      </c>
      <c r="D557" s="347">
        <v>447079310</v>
      </c>
      <c r="E557" s="348">
        <v>6386.7000000000016</v>
      </c>
      <c r="F557" s="829">
        <f>+SUMIF(Composición!C:C,'BG 2023'!B557,Composición!G:G)</f>
        <v>1879366660</v>
      </c>
      <c r="G557" s="830">
        <f t="shared" ref="G557:G567" si="65">+F557-D557</f>
        <v>1432287350</v>
      </c>
      <c r="H557" s="828">
        <f>+VLOOKUP(B557,Composición!$C:$C,1,0)</f>
        <v>4160117102</v>
      </c>
      <c r="I557" s="829"/>
      <c r="J557" s="829"/>
    </row>
    <row r="558" spans="1:10" s="14" customFormat="1" ht="16.5" customHeight="1">
      <c r="A558" s="31" t="str">
        <f t="shared" si="54"/>
        <v>NI</v>
      </c>
      <c r="B558" s="350">
        <v>42</v>
      </c>
      <c r="C558" s="350" t="s">
        <v>381</v>
      </c>
      <c r="D558" s="340">
        <v>9431070608</v>
      </c>
      <c r="E558" s="341">
        <v>2326153.8084999998</v>
      </c>
      <c r="F558" s="829">
        <f>+SUMIF(Composición!C:C,'BG 2023'!B558,Composición!G:G)</f>
        <v>0</v>
      </c>
      <c r="G558" s="830">
        <f t="shared" si="65"/>
        <v>-9431070608</v>
      </c>
      <c r="H558" s="828">
        <f>+VLOOKUP(B558,Composición!$C:$C,1,0)</f>
        <v>42</v>
      </c>
      <c r="I558" s="829"/>
      <c r="J558" s="829"/>
    </row>
    <row r="559" spans="1:10" s="14" customFormat="1" ht="16.5" customHeight="1">
      <c r="A559" s="31" t="str">
        <f t="shared" si="54"/>
        <v>NI</v>
      </c>
      <c r="B559" s="350">
        <v>421</v>
      </c>
      <c r="C559" s="350" t="s">
        <v>382</v>
      </c>
      <c r="D559" s="340">
        <v>38139644</v>
      </c>
      <c r="E559" s="341">
        <v>5164.97</v>
      </c>
      <c r="F559" s="829">
        <f>+SUMIF(Composición!C:C,'BG 2023'!B559,Composición!G:G)</f>
        <v>0</v>
      </c>
      <c r="G559" s="830">
        <f t="shared" si="65"/>
        <v>-38139644</v>
      </c>
      <c r="H559" s="828">
        <f>+VLOOKUP(B559,Composición!$C:$C,1,0)</f>
        <v>421</v>
      </c>
      <c r="I559" s="829"/>
      <c r="J559" s="829"/>
    </row>
    <row r="560" spans="1:10" s="14" customFormat="1" ht="16.5" customHeight="1">
      <c r="A560" s="31" t="str">
        <f t="shared" si="54"/>
        <v>NI</v>
      </c>
      <c r="B560" s="350">
        <v>42101</v>
      </c>
      <c r="C560" s="350" t="s">
        <v>382</v>
      </c>
      <c r="D560" s="340">
        <v>38139644</v>
      </c>
      <c r="E560" s="341">
        <v>5164.97</v>
      </c>
      <c r="F560" s="829">
        <f>+SUMIF(Composición!C:C,'BG 2023'!B560,Composición!G:G)</f>
        <v>0</v>
      </c>
      <c r="G560" s="830">
        <f t="shared" si="65"/>
        <v>-38139644</v>
      </c>
      <c r="H560" s="828">
        <f>+VLOOKUP(B560,Composición!$C:$C,1,0)</f>
        <v>42101</v>
      </c>
      <c r="I560" s="829"/>
      <c r="J560" s="829"/>
    </row>
    <row r="561" spans="1:10" s="14" customFormat="1" ht="16.5" customHeight="1">
      <c r="A561" s="31" t="str">
        <f t="shared" si="54"/>
        <v>NI</v>
      </c>
      <c r="B561" s="350">
        <v>421011</v>
      </c>
      <c r="C561" s="350" t="s">
        <v>382</v>
      </c>
      <c r="D561" s="340">
        <v>38139644</v>
      </c>
      <c r="E561" s="341">
        <v>5164.97</v>
      </c>
      <c r="F561" s="829">
        <f>+SUMIF(Composición!C:C,'BG 2023'!B561,Composición!G:G)</f>
        <v>0</v>
      </c>
      <c r="G561" s="830">
        <f t="shared" si="65"/>
        <v>-38139644</v>
      </c>
      <c r="H561" s="828">
        <f>+VLOOKUP(B561,Composición!$C:$C,1,0)</f>
        <v>421011</v>
      </c>
      <c r="I561" s="829"/>
      <c r="J561" s="829"/>
    </row>
    <row r="562" spans="1:10" s="14" customFormat="1" ht="16.5" customHeight="1">
      <c r="A562" s="31" t="str">
        <f t="shared" si="54"/>
        <v>NI</v>
      </c>
      <c r="B562" s="350">
        <v>4210111</v>
      </c>
      <c r="C562" s="350" t="s">
        <v>382</v>
      </c>
      <c r="D562" s="340">
        <v>38139644</v>
      </c>
      <c r="E562" s="341">
        <v>5164.97</v>
      </c>
      <c r="F562" s="829">
        <f>+SUMIF(Composición!C:C,'BG 2023'!B562,Composición!G:G)</f>
        <v>0</v>
      </c>
      <c r="G562" s="830">
        <f t="shared" si="65"/>
        <v>-38139644</v>
      </c>
      <c r="H562" s="828">
        <f>+VLOOKUP(B562,Composición!$C:$C,1,0)</f>
        <v>4210111</v>
      </c>
      <c r="I562" s="829"/>
      <c r="J562" s="829"/>
    </row>
    <row r="563" spans="1:10" s="14" customFormat="1" ht="16.5" customHeight="1">
      <c r="A563" s="31" t="str">
        <f t="shared" si="54"/>
        <v>NI</v>
      </c>
      <c r="B563" s="350">
        <v>42101111</v>
      </c>
      <c r="C563" s="350" t="s">
        <v>383</v>
      </c>
      <c r="D563" s="340">
        <v>38139644</v>
      </c>
      <c r="E563" s="341">
        <v>5164.97</v>
      </c>
      <c r="F563" s="829">
        <f>+SUMIF(Composición!C:C,'BG 2023'!B563,Composición!G:G)</f>
        <v>0</v>
      </c>
      <c r="G563" s="830">
        <f t="shared" si="65"/>
        <v>-38139644</v>
      </c>
      <c r="H563" s="828">
        <f>+VLOOKUP(B563,Composición!$C:$C,1,0)</f>
        <v>42101111</v>
      </c>
      <c r="I563" s="829"/>
      <c r="J563" s="829"/>
    </row>
    <row r="564" spans="1:10" s="14" customFormat="1" ht="16.5" customHeight="1">
      <c r="A564" s="14" t="str">
        <f t="shared" ref="A564:A627" si="66">IF(LEN(B564)&gt;8,"I","NI")</f>
        <v>I</v>
      </c>
      <c r="B564" s="345">
        <v>4210111101</v>
      </c>
      <c r="C564" s="345" t="s">
        <v>383</v>
      </c>
      <c r="D564" s="347">
        <v>38139644</v>
      </c>
      <c r="E564" s="348">
        <v>5164.97</v>
      </c>
      <c r="F564" s="829">
        <f>+SUMIF(Composición!C:C,'BG 2023'!B564,Composición!G:G)</f>
        <v>18076441</v>
      </c>
      <c r="G564" s="830">
        <f t="shared" si="65"/>
        <v>-20063203</v>
      </c>
      <c r="H564" s="828">
        <f>+VLOOKUP(B564,Composición!$C:$C,1,0)</f>
        <v>4210111101</v>
      </c>
      <c r="I564" s="829"/>
      <c r="J564" s="829"/>
    </row>
    <row r="565" spans="1:10" s="14" customFormat="1" ht="16.5" customHeight="1">
      <c r="A565" s="31" t="str">
        <f t="shared" si="66"/>
        <v>NI</v>
      </c>
      <c r="B565" s="350">
        <v>422</v>
      </c>
      <c r="C565" s="350" t="s">
        <v>384</v>
      </c>
      <c r="D565" s="340">
        <v>9392930964</v>
      </c>
      <c r="E565" s="341">
        <v>2320988.8385000001</v>
      </c>
      <c r="F565" s="829">
        <f>+SUMIF(Composición!C:C,'BG 2023'!B565,Composición!G:G)</f>
        <v>0</v>
      </c>
      <c r="G565" s="830">
        <f t="shared" si="65"/>
        <v>-9392930964</v>
      </c>
      <c r="H565" s="828">
        <f>+VLOOKUP(B565,Composición!$C:$C,1,0)</f>
        <v>422</v>
      </c>
      <c r="I565" s="829"/>
      <c r="J565" s="829"/>
    </row>
    <row r="566" spans="1:10" s="14" customFormat="1" ht="16.5" customHeight="1">
      <c r="A566" s="31" t="str">
        <f t="shared" si="66"/>
        <v>NI</v>
      </c>
      <c r="B566" s="350">
        <v>42201</v>
      </c>
      <c r="C566" s="350" t="s">
        <v>384</v>
      </c>
      <c r="D566" s="340">
        <v>9392930964</v>
      </c>
      <c r="E566" s="341">
        <v>2320988.8385000001</v>
      </c>
      <c r="F566" s="829">
        <f>+SUMIF(Composición!C:C,'BG 2023'!B566,Composición!G:G)</f>
        <v>0</v>
      </c>
      <c r="G566" s="830">
        <f t="shared" si="65"/>
        <v>-9392930964</v>
      </c>
      <c r="H566" s="828">
        <f>+VLOOKUP(B566,Composición!$C:$C,1,0)</f>
        <v>42201</v>
      </c>
      <c r="I566" s="829"/>
      <c r="J566" s="829"/>
    </row>
    <row r="567" spans="1:10" s="14" customFormat="1" ht="16.5" customHeight="1">
      <c r="A567" s="31" t="str">
        <f t="shared" si="66"/>
        <v>NI</v>
      </c>
      <c r="B567" s="350">
        <v>422011</v>
      </c>
      <c r="C567" s="350" t="s">
        <v>384</v>
      </c>
      <c r="D567" s="340">
        <v>9392930964</v>
      </c>
      <c r="E567" s="341">
        <v>2320988.8385000001</v>
      </c>
      <c r="F567" s="829">
        <f>+SUMIF(Composición!C:C,'BG 2023'!B567,Composición!G:G)</f>
        <v>0</v>
      </c>
      <c r="G567" s="830">
        <f t="shared" si="65"/>
        <v>-9392930964</v>
      </c>
      <c r="H567" s="828">
        <f>+VLOOKUP(B567,Composición!$C:$C,1,0)</f>
        <v>422011</v>
      </c>
      <c r="I567" s="829"/>
      <c r="J567" s="829"/>
    </row>
    <row r="568" spans="1:10" s="14" customFormat="1" ht="16.5" customHeight="1">
      <c r="A568" s="31" t="str">
        <f t="shared" si="66"/>
        <v>NI</v>
      </c>
      <c r="B568" s="350">
        <v>4220111</v>
      </c>
      <c r="C568" s="350" t="s">
        <v>384</v>
      </c>
      <c r="D568" s="340">
        <v>9392930964</v>
      </c>
      <c r="E568" s="341">
        <v>2320988.8385000001</v>
      </c>
      <c r="F568" s="829"/>
      <c r="G568" s="829"/>
      <c r="H568" s="828">
        <f>+VLOOKUP(B568,Composición!$C:$C,1,0)</f>
        <v>4220111</v>
      </c>
      <c r="I568" s="829"/>
      <c r="J568" s="829"/>
    </row>
    <row r="569" spans="1:10" s="14" customFormat="1" ht="16.5" customHeight="1">
      <c r="A569" s="31" t="str">
        <f t="shared" si="66"/>
        <v>NI</v>
      </c>
      <c r="B569" s="350">
        <v>42201111</v>
      </c>
      <c r="C569" s="350" t="s">
        <v>384</v>
      </c>
      <c r="D569" s="340">
        <v>9392930964</v>
      </c>
      <c r="E569" s="341">
        <v>2320988.8385000001</v>
      </c>
      <c r="F569" s="829">
        <f>+SUMIF(Composición!C:C,'BG 2023'!B569,Composición!G:G)</f>
        <v>0</v>
      </c>
      <c r="G569" s="830">
        <f t="shared" ref="G569:G576" si="67">+F569-D569</f>
        <v>-9392930964</v>
      </c>
      <c r="H569" s="828">
        <f>+VLOOKUP(B569,Composición!$C:$C,1,0)</f>
        <v>42201111</v>
      </c>
      <c r="I569" s="829"/>
      <c r="J569" s="829"/>
    </row>
    <row r="570" spans="1:10" s="14" customFormat="1" ht="16.5" customHeight="1">
      <c r="A570" s="14" t="str">
        <f t="shared" si="66"/>
        <v>I</v>
      </c>
      <c r="B570" s="345">
        <v>4220111101</v>
      </c>
      <c r="C570" s="345" t="s">
        <v>385</v>
      </c>
      <c r="D570" s="347">
        <v>6135016088</v>
      </c>
      <c r="E570" s="348">
        <v>1641790.6109</v>
      </c>
      <c r="F570" s="829">
        <f>+SUMIF(Composición!C:C,'BG 2023'!B570,Composición!G:G)</f>
        <v>13030597785</v>
      </c>
      <c r="G570" s="830">
        <f t="shared" si="67"/>
        <v>6895581697</v>
      </c>
      <c r="H570" s="828">
        <f>+VLOOKUP(B570,Composición!$C:$C,1,0)</f>
        <v>4220111101</v>
      </c>
      <c r="I570" s="829"/>
      <c r="J570" s="829"/>
    </row>
    <row r="571" spans="1:10" s="14" customFormat="1" ht="16.5" customHeight="1">
      <c r="A571" s="14" t="str">
        <f t="shared" si="66"/>
        <v>I</v>
      </c>
      <c r="B571" s="345">
        <v>4220111102</v>
      </c>
      <c r="C571" s="345" t="s">
        <v>386</v>
      </c>
      <c r="D571" s="347">
        <v>3257914876</v>
      </c>
      <c r="E571" s="348">
        <v>679198.22759999998</v>
      </c>
      <c r="F571" s="829">
        <f>+SUMIF(Composición!C:C,'BG 2023'!B571,Composición!G:G)</f>
        <v>3924434844</v>
      </c>
      <c r="G571" s="830">
        <f t="shared" si="67"/>
        <v>666519968</v>
      </c>
      <c r="H571" s="828">
        <f>+VLOOKUP(B571,Composición!$C:$C,1,0)</f>
        <v>4220111102</v>
      </c>
      <c r="I571" s="829"/>
      <c r="J571" s="829"/>
    </row>
    <row r="572" spans="1:10" s="14" customFormat="1" ht="16.5" customHeight="1">
      <c r="A572" s="31" t="str">
        <f t="shared" si="66"/>
        <v>NI</v>
      </c>
      <c r="B572" s="350">
        <v>48</v>
      </c>
      <c r="C572" s="350" t="s">
        <v>387</v>
      </c>
      <c r="D572" s="340">
        <v>361552716</v>
      </c>
      <c r="E572" s="341">
        <v>49872.03</v>
      </c>
      <c r="F572" s="829">
        <f>+SUMIF(Composición!C:C,'BG 2023'!B572,Composición!G:G)</f>
        <v>0</v>
      </c>
      <c r="G572" s="830">
        <f t="shared" si="67"/>
        <v>-361552716</v>
      </c>
      <c r="H572" s="828">
        <f>+VLOOKUP(B572,Composición!$C:$C,1,0)</f>
        <v>48</v>
      </c>
      <c r="I572" s="829"/>
      <c r="J572" s="829"/>
    </row>
    <row r="573" spans="1:10" s="14" customFormat="1" ht="16.5" customHeight="1">
      <c r="A573" s="31" t="str">
        <f t="shared" si="66"/>
        <v>NI</v>
      </c>
      <c r="B573" s="350">
        <v>481</v>
      </c>
      <c r="C573" s="350" t="s">
        <v>388</v>
      </c>
      <c r="D573" s="340">
        <v>361552716</v>
      </c>
      <c r="E573" s="341">
        <v>49872.03</v>
      </c>
      <c r="F573" s="829">
        <f>+SUMIF(Composición!C:C,'BG 2023'!B573,Composición!G:G)</f>
        <v>0</v>
      </c>
      <c r="G573" s="830">
        <f t="shared" si="67"/>
        <v>-361552716</v>
      </c>
      <c r="H573" s="828">
        <f>+VLOOKUP(B573,Composición!$C:$C,1,0)</f>
        <v>481</v>
      </c>
      <c r="I573" s="829"/>
      <c r="J573" s="829"/>
    </row>
    <row r="574" spans="1:10" s="14" customFormat="1" ht="16.5" customHeight="1">
      <c r="A574" s="31" t="str">
        <f t="shared" si="66"/>
        <v>NI</v>
      </c>
      <c r="B574" s="350">
        <v>48101</v>
      </c>
      <c r="C574" s="350" t="s">
        <v>388</v>
      </c>
      <c r="D574" s="340">
        <v>361552716</v>
      </c>
      <c r="E574" s="341">
        <v>49872.03</v>
      </c>
      <c r="F574" s="829">
        <f>+SUMIF(Composición!C:C,'BG 2023'!B574,Composición!G:G)</f>
        <v>0</v>
      </c>
      <c r="G574" s="830">
        <f t="shared" si="67"/>
        <v>-361552716</v>
      </c>
      <c r="H574" s="828">
        <f>+VLOOKUP(B574,Composición!$C:$C,1,0)</f>
        <v>48101</v>
      </c>
      <c r="I574" s="829"/>
      <c r="J574" s="829"/>
    </row>
    <row r="575" spans="1:10" s="14" customFormat="1" ht="16.5" customHeight="1">
      <c r="A575" s="31" t="str">
        <f t="shared" si="66"/>
        <v>NI</v>
      </c>
      <c r="B575" s="350">
        <v>481011</v>
      </c>
      <c r="C575" s="350" t="s">
        <v>388</v>
      </c>
      <c r="D575" s="340">
        <v>361552716</v>
      </c>
      <c r="E575" s="341">
        <v>49872.03</v>
      </c>
      <c r="F575" s="829">
        <f>+SUMIF(Composición!C:C,'BG 2023'!B575,Composición!G:G)</f>
        <v>0</v>
      </c>
      <c r="G575" s="830">
        <f t="shared" si="67"/>
        <v>-361552716</v>
      </c>
      <c r="H575" s="828">
        <f>+VLOOKUP(B575,Composición!$C:$C,1,0)</f>
        <v>481011</v>
      </c>
      <c r="I575" s="829"/>
      <c r="J575" s="829"/>
    </row>
    <row r="576" spans="1:10" s="14" customFormat="1" ht="16.5" customHeight="1">
      <c r="A576" s="31" t="str">
        <f t="shared" si="66"/>
        <v>NI</v>
      </c>
      <c r="B576" s="350">
        <v>4810111</v>
      </c>
      <c r="C576" s="350" t="s">
        <v>388</v>
      </c>
      <c r="D576" s="340">
        <v>361552716</v>
      </c>
      <c r="E576" s="341">
        <v>49872.03</v>
      </c>
      <c r="F576" s="829">
        <f>+SUMIF(Composición!C:C,'BG 2023'!B576,Composición!G:G)</f>
        <v>0</v>
      </c>
      <c r="G576" s="830">
        <f t="shared" si="67"/>
        <v>-361552716</v>
      </c>
      <c r="H576" s="828">
        <f>+VLOOKUP(B576,Composición!$C:$C,1,0)</f>
        <v>4810111</v>
      </c>
      <c r="I576" s="829"/>
      <c r="J576" s="829"/>
    </row>
    <row r="577" spans="1:10" s="14" customFormat="1" ht="16.5" customHeight="1">
      <c r="A577" s="31" t="str">
        <f t="shared" si="66"/>
        <v>NI</v>
      </c>
      <c r="B577" s="350">
        <v>48101111</v>
      </c>
      <c r="C577" s="350" t="s">
        <v>388</v>
      </c>
      <c r="D577" s="340">
        <v>361552716</v>
      </c>
      <c r="E577" s="341">
        <v>49872.03</v>
      </c>
      <c r="F577" s="829"/>
      <c r="G577" s="829"/>
      <c r="H577" s="828">
        <f>+VLOOKUP(B577,Composición!$C:$C,1,0)</f>
        <v>48101111</v>
      </c>
      <c r="I577" s="829"/>
      <c r="J577" s="829"/>
    </row>
    <row r="578" spans="1:10" s="14" customFormat="1" ht="16.5" customHeight="1">
      <c r="A578" s="14" t="str">
        <f t="shared" si="66"/>
        <v>I</v>
      </c>
      <c r="B578" s="345">
        <v>4810111101</v>
      </c>
      <c r="C578" s="345" t="s">
        <v>389</v>
      </c>
      <c r="D578" s="347">
        <v>101400</v>
      </c>
      <c r="E578" s="348">
        <v>13.73</v>
      </c>
      <c r="F578" s="829">
        <f>+SUMIF(Composición!C:C,'BG 2023'!B578,Composición!G:G)</f>
        <v>0</v>
      </c>
      <c r="G578" s="830">
        <f>+F578-D578</f>
        <v>-101400</v>
      </c>
      <c r="H578" s="828">
        <f>+VLOOKUP(B578,Composición!$C:$C,1,0)</f>
        <v>4810111101</v>
      </c>
      <c r="I578" s="829"/>
      <c r="J578" s="829"/>
    </row>
    <row r="579" spans="1:10" s="14" customFormat="1" ht="16.5" customHeight="1">
      <c r="A579" s="14" t="str">
        <f t="shared" si="66"/>
        <v>I</v>
      </c>
      <c r="B579" s="345">
        <v>4810111102</v>
      </c>
      <c r="C579" s="345" t="s">
        <v>390</v>
      </c>
      <c r="D579" s="347">
        <v>878379</v>
      </c>
      <c r="E579" s="348">
        <v>126.3</v>
      </c>
      <c r="F579" s="829"/>
      <c r="G579" s="829"/>
      <c r="H579" s="828">
        <f>+VLOOKUP(B579,Composición!$C:$C,1,0)</f>
        <v>4810111102</v>
      </c>
      <c r="I579" s="829"/>
      <c r="J579" s="829"/>
    </row>
    <row r="580" spans="1:10" s="14" customFormat="1" ht="16.5" customHeight="1">
      <c r="A580" s="14" t="str">
        <f t="shared" si="66"/>
        <v>I</v>
      </c>
      <c r="B580" s="345">
        <v>4810111103</v>
      </c>
      <c r="C580" s="345" t="s">
        <v>391</v>
      </c>
      <c r="D580" s="347">
        <v>56695647</v>
      </c>
      <c r="E580" s="348">
        <v>7823.130000000001</v>
      </c>
      <c r="F580" s="829"/>
      <c r="G580" s="829"/>
      <c r="H580" s="828">
        <f>+VLOOKUP(B580,Composición!$C:$C,1,0)</f>
        <v>4810111103</v>
      </c>
      <c r="I580" s="829"/>
      <c r="J580" s="829"/>
    </row>
    <row r="581" spans="1:10" s="14" customFormat="1" ht="16.5" customHeight="1">
      <c r="A581" s="14" t="str">
        <f t="shared" si="66"/>
        <v>I</v>
      </c>
      <c r="B581" s="345">
        <v>4810111105</v>
      </c>
      <c r="C581" s="345" t="s">
        <v>392</v>
      </c>
      <c r="D581" s="347">
        <v>5400000</v>
      </c>
      <c r="E581" s="348">
        <v>743.67000000000007</v>
      </c>
      <c r="F581" s="829"/>
      <c r="G581" s="829"/>
      <c r="H581" s="828">
        <f>+VLOOKUP(B581,Composición!$C:$C,1,0)</f>
        <v>4810111105</v>
      </c>
      <c r="I581" s="829"/>
      <c r="J581" s="829"/>
    </row>
    <row r="582" spans="1:10" s="14" customFormat="1" ht="16.5" customHeight="1">
      <c r="A582" s="14" t="str">
        <f t="shared" si="66"/>
        <v>I</v>
      </c>
      <c r="B582" s="345">
        <v>4810111106</v>
      </c>
      <c r="C582" s="345" t="s">
        <v>393</v>
      </c>
      <c r="D582" s="347">
        <v>149304120</v>
      </c>
      <c r="E582" s="348">
        <v>20555.730000000003</v>
      </c>
      <c r="F582" s="829">
        <f>+SUMIF(Composición!C:C,'BG 2023'!B582,Composición!G:G)</f>
        <v>162659040</v>
      </c>
      <c r="G582" s="830">
        <f>+F582-D582</f>
        <v>13354920</v>
      </c>
      <c r="H582" s="828">
        <f>+VLOOKUP(B582,Composición!$C:$C,1,0)</f>
        <v>4810111106</v>
      </c>
      <c r="I582" s="829"/>
      <c r="J582" s="829"/>
    </row>
    <row r="583" spans="1:10" s="14" customFormat="1" ht="16.5" customHeight="1">
      <c r="A583" s="14" t="str">
        <f t="shared" si="66"/>
        <v>I</v>
      </c>
      <c r="B583" s="345">
        <v>4810111107</v>
      </c>
      <c r="C583" s="345" t="s">
        <v>394</v>
      </c>
      <c r="D583" s="347">
        <v>149173170</v>
      </c>
      <c r="E583" s="348">
        <v>20609.47</v>
      </c>
      <c r="F583" s="829"/>
      <c r="G583" s="829"/>
      <c r="H583" s="828">
        <f>+VLOOKUP(B583,Composición!$C:$C,1,0)</f>
        <v>4810111107</v>
      </c>
      <c r="I583" s="829"/>
      <c r="J583" s="829"/>
    </row>
    <row r="584" spans="1:10" s="14" customFormat="1" ht="16.5" customHeight="1">
      <c r="A584" s="31" t="str">
        <f t="shared" si="66"/>
        <v>NI</v>
      </c>
      <c r="B584" s="350">
        <v>5</v>
      </c>
      <c r="C584" s="350" t="s">
        <v>395</v>
      </c>
      <c r="D584" s="340">
        <v>24928244091</v>
      </c>
      <c r="E584" s="341">
        <v>4398713.6439000005</v>
      </c>
      <c r="F584" s="829"/>
      <c r="G584" s="829"/>
      <c r="H584" s="828">
        <f>+VLOOKUP(B584,Composición!$C:$C,1,0)</f>
        <v>5</v>
      </c>
      <c r="I584" s="829"/>
      <c r="J584" s="829"/>
    </row>
    <row r="585" spans="1:10" s="14" customFormat="1" ht="16.5" customHeight="1">
      <c r="A585" s="31" t="str">
        <f t="shared" si="66"/>
        <v>NI</v>
      </c>
      <c r="B585" s="350">
        <v>51</v>
      </c>
      <c r="C585" s="350" t="s">
        <v>396</v>
      </c>
      <c r="D585" s="340">
        <v>24852195755</v>
      </c>
      <c r="E585" s="341">
        <v>4388271.3539000005</v>
      </c>
      <c r="F585" s="829"/>
      <c r="G585" s="829"/>
      <c r="H585" s="828">
        <f>+VLOOKUP(B585,Composición!$C:$C,1,0)</f>
        <v>51</v>
      </c>
      <c r="I585" s="829"/>
      <c r="J585" s="829"/>
    </row>
    <row r="586" spans="1:10" s="14" customFormat="1" ht="16.5" customHeight="1">
      <c r="A586" s="31" t="str">
        <f t="shared" si="66"/>
        <v>NI</v>
      </c>
      <c r="B586" s="350">
        <v>511</v>
      </c>
      <c r="C586" s="350" t="s">
        <v>397</v>
      </c>
      <c r="D586" s="340">
        <v>2172964847</v>
      </c>
      <c r="E586" s="341">
        <v>257587.61</v>
      </c>
      <c r="F586" s="829"/>
      <c r="G586" s="829"/>
      <c r="H586" s="828">
        <f>+VLOOKUP(B586,Composición!$C:$C,1,0)</f>
        <v>511</v>
      </c>
      <c r="I586" s="829"/>
      <c r="J586" s="829"/>
    </row>
    <row r="587" spans="1:10" s="14" customFormat="1" ht="16.5" customHeight="1">
      <c r="A587" s="31" t="str">
        <f t="shared" si="66"/>
        <v>NI</v>
      </c>
      <c r="B587" s="350">
        <v>51101</v>
      </c>
      <c r="C587" s="350" t="s">
        <v>398</v>
      </c>
      <c r="D587" s="340">
        <v>214127705</v>
      </c>
      <c r="E587" s="341">
        <v>29214.09</v>
      </c>
      <c r="F587" s="829">
        <f>+SUMIF(Composición!C:C,'BG 2023'!B587,Composición!G:G)</f>
        <v>0</v>
      </c>
      <c r="G587" s="830">
        <f>+F587-D587</f>
        <v>-214127705</v>
      </c>
      <c r="H587" s="828">
        <f>+VLOOKUP(B587,Composición!$C:$C,1,0)</f>
        <v>51101</v>
      </c>
      <c r="I587" s="829"/>
      <c r="J587" s="829"/>
    </row>
    <row r="588" spans="1:10" s="14" customFormat="1" ht="16.5" customHeight="1">
      <c r="A588" s="31" t="str">
        <f t="shared" si="66"/>
        <v>NI</v>
      </c>
      <c r="B588" s="350">
        <v>511011</v>
      </c>
      <c r="C588" s="350" t="s">
        <v>398</v>
      </c>
      <c r="D588" s="340">
        <v>214127705</v>
      </c>
      <c r="E588" s="341">
        <v>29214.09</v>
      </c>
      <c r="F588" s="829"/>
      <c r="G588" s="829"/>
      <c r="H588" s="828">
        <f>+VLOOKUP(B588,Composición!$C:$C,1,0)</f>
        <v>511011</v>
      </c>
      <c r="I588" s="829"/>
      <c r="J588" s="829"/>
    </row>
    <row r="589" spans="1:10" s="14" customFormat="1" ht="16.5" customHeight="1">
      <c r="A589" s="31" t="str">
        <f t="shared" si="66"/>
        <v>NI</v>
      </c>
      <c r="B589" s="350">
        <v>5110111</v>
      </c>
      <c r="C589" s="350" t="s">
        <v>398</v>
      </c>
      <c r="D589" s="340">
        <v>214127705</v>
      </c>
      <c r="E589" s="341">
        <v>29214.09</v>
      </c>
      <c r="F589" s="829"/>
      <c r="G589" s="829"/>
      <c r="H589" s="828">
        <f>+VLOOKUP(B589,Composición!$C:$C,1,0)</f>
        <v>5110111</v>
      </c>
      <c r="I589" s="829"/>
      <c r="J589" s="829"/>
    </row>
    <row r="590" spans="1:10" s="14" customFormat="1" ht="16.5" customHeight="1">
      <c r="A590" s="31" t="str">
        <f t="shared" si="66"/>
        <v>NI</v>
      </c>
      <c r="B590" s="350">
        <v>51101111</v>
      </c>
      <c r="C590" s="350" t="s">
        <v>399</v>
      </c>
      <c r="D590" s="340">
        <v>7272727</v>
      </c>
      <c r="E590" s="341">
        <v>977.46</v>
      </c>
      <c r="F590" s="829"/>
      <c r="G590" s="829"/>
      <c r="H590" s="828">
        <f>+VLOOKUP(B590,Composición!$C:$C,1,0)</f>
        <v>51101111</v>
      </c>
      <c r="I590" s="829"/>
      <c r="J590" s="829"/>
    </row>
    <row r="591" spans="1:10" s="14" customFormat="1" ht="16.5" customHeight="1">
      <c r="A591" s="14" t="str">
        <f t="shared" si="66"/>
        <v>I</v>
      </c>
      <c r="B591" s="345">
        <v>5110111102</v>
      </c>
      <c r="C591" s="345" t="s">
        <v>400</v>
      </c>
      <c r="D591" s="347">
        <v>7272727</v>
      </c>
      <c r="E591" s="348">
        <v>977.46</v>
      </c>
      <c r="F591" s="829"/>
      <c r="G591" s="829"/>
      <c r="H591" s="828">
        <f>+VLOOKUP(B591,Composición!$C:$C,1,0)</f>
        <v>5110111102</v>
      </c>
      <c r="I591" s="829"/>
      <c r="J591" s="829"/>
    </row>
    <row r="592" spans="1:10" s="780" customFormat="1" ht="16.5" customHeight="1">
      <c r="A592" s="776" t="str">
        <f t="shared" si="66"/>
        <v>NI</v>
      </c>
      <c r="B592" s="777">
        <v>51101112</v>
      </c>
      <c r="C592" s="777" t="s">
        <v>401</v>
      </c>
      <c r="D592" s="778">
        <v>7500000</v>
      </c>
      <c r="E592" s="779">
        <v>1021.93</v>
      </c>
      <c r="F592" s="834">
        <f>+SUMIF(Composición!C:C,'BG 2023'!B592,Composición!G:G)</f>
        <v>0</v>
      </c>
      <c r="G592" s="835">
        <f t="shared" ref="G592:G593" si="68">+F592-D592</f>
        <v>-7500000</v>
      </c>
      <c r="H592" s="828">
        <f>+VLOOKUP(B592,Composición!$C:$C,1,0)</f>
        <v>51101112</v>
      </c>
      <c r="I592" s="834"/>
      <c r="J592" s="834"/>
    </row>
    <row r="593" spans="1:10" s="780" customFormat="1" ht="16.5" customHeight="1">
      <c r="A593" s="780" t="str">
        <f t="shared" si="66"/>
        <v>I</v>
      </c>
      <c r="B593" s="781">
        <v>5110111201</v>
      </c>
      <c r="C593" s="781" t="s">
        <v>402</v>
      </c>
      <c r="D593" s="782">
        <v>7500000</v>
      </c>
      <c r="E593" s="783">
        <v>1021.93</v>
      </c>
      <c r="F593" s="834">
        <f>+SUMIF(Composición!C:C,'BG 2023'!B593,Composición!G:G)</f>
        <v>0</v>
      </c>
      <c r="G593" s="835">
        <f t="shared" si="68"/>
        <v>-7500000</v>
      </c>
      <c r="H593" s="828">
        <f>+VLOOKUP(B593,Composición!$C:$C,1,0)</f>
        <v>5110111201</v>
      </c>
      <c r="I593" s="834"/>
      <c r="J593" s="834"/>
    </row>
    <row r="594" spans="1:10" s="14" customFormat="1" ht="16.5" customHeight="1">
      <c r="A594" s="31" t="str">
        <f t="shared" si="66"/>
        <v>NI</v>
      </c>
      <c r="B594" s="350">
        <v>51101113</v>
      </c>
      <c r="C594" s="350" t="s">
        <v>403</v>
      </c>
      <c r="D594" s="340">
        <v>199354978</v>
      </c>
      <c r="E594" s="341">
        <v>27214.7</v>
      </c>
      <c r="F594" s="829"/>
      <c r="G594" s="829"/>
      <c r="H594" s="828">
        <f>+VLOOKUP(B594,Composición!$C:$C,1,0)</f>
        <v>51101113</v>
      </c>
      <c r="I594" s="829"/>
      <c r="J594" s="829"/>
    </row>
    <row r="595" spans="1:10" s="14" customFormat="1" ht="16.5" customHeight="1">
      <c r="A595" s="14" t="str">
        <f t="shared" si="66"/>
        <v>I</v>
      </c>
      <c r="B595" s="345">
        <v>5110111301</v>
      </c>
      <c r="C595" s="345" t="s">
        <v>404</v>
      </c>
      <c r="D595" s="347">
        <v>199354978</v>
      </c>
      <c r="E595" s="348">
        <v>27214.7</v>
      </c>
      <c r="F595" s="829"/>
      <c r="G595" s="829"/>
      <c r="H595" s="828">
        <f>+VLOOKUP(B595,Composición!$C:$C,1,0)</f>
        <v>5110111301</v>
      </c>
      <c r="I595" s="829"/>
      <c r="J595" s="829"/>
    </row>
    <row r="596" spans="1:10" s="14" customFormat="1" ht="16.5" customHeight="1">
      <c r="A596" s="31" t="str">
        <f t="shared" si="66"/>
        <v>NI</v>
      </c>
      <c r="B596" s="350">
        <v>51102</v>
      </c>
      <c r="C596" s="350" t="s">
        <v>405</v>
      </c>
      <c r="D596" s="340">
        <v>279795358</v>
      </c>
      <c r="E596" s="341">
        <v>38259.210000000006</v>
      </c>
      <c r="F596" s="829"/>
      <c r="G596" s="829"/>
      <c r="H596" s="828">
        <f>+VLOOKUP(B596,Composición!$C:$C,1,0)</f>
        <v>51102</v>
      </c>
      <c r="I596" s="829"/>
      <c r="J596" s="829"/>
    </row>
    <row r="597" spans="1:10" s="14" customFormat="1" ht="16.5" customHeight="1">
      <c r="A597" s="31" t="str">
        <f t="shared" si="66"/>
        <v>NI</v>
      </c>
      <c r="B597" s="350">
        <v>511021</v>
      </c>
      <c r="C597" s="350" t="s">
        <v>405</v>
      </c>
      <c r="D597" s="340">
        <v>279795358</v>
      </c>
      <c r="E597" s="341">
        <v>38259.210000000006</v>
      </c>
      <c r="F597" s="829"/>
      <c r="G597" s="829"/>
      <c r="H597" s="828">
        <f>+VLOOKUP(B597,Composición!$C:$C,1,0)</f>
        <v>511021</v>
      </c>
      <c r="I597" s="829"/>
      <c r="J597" s="829"/>
    </row>
    <row r="598" spans="1:10" s="14" customFormat="1" ht="16.5" customHeight="1">
      <c r="A598" s="31" t="str">
        <f t="shared" si="66"/>
        <v>NI</v>
      </c>
      <c r="B598" s="350">
        <v>5110211</v>
      </c>
      <c r="C598" s="350" t="s">
        <v>405</v>
      </c>
      <c r="D598" s="340">
        <v>279795358</v>
      </c>
      <c r="E598" s="341">
        <v>38259.210000000006</v>
      </c>
      <c r="F598" s="829"/>
      <c r="G598" s="829"/>
      <c r="H598" s="828">
        <f>+VLOOKUP(B598,Composición!$C:$C,1,0)</f>
        <v>5110211</v>
      </c>
      <c r="I598" s="829"/>
      <c r="J598" s="829"/>
    </row>
    <row r="599" spans="1:10" s="14" customFormat="1" ht="16.5" customHeight="1">
      <c r="A599" s="31" t="str">
        <f t="shared" si="66"/>
        <v>NI</v>
      </c>
      <c r="B599" s="350">
        <v>51102111</v>
      </c>
      <c r="C599" s="350" t="s">
        <v>405</v>
      </c>
      <c r="D599" s="340">
        <v>224520476</v>
      </c>
      <c r="E599" s="341">
        <v>30664.679999999993</v>
      </c>
      <c r="F599" s="829">
        <f>+SUMIF(Composición!C:C,'BG 2023'!B599,Composición!G:G)</f>
        <v>0</v>
      </c>
      <c r="G599" s="830">
        <f t="shared" ref="G599:G601" si="69">+F599-D599</f>
        <v>-224520476</v>
      </c>
      <c r="H599" s="828">
        <f>+VLOOKUP(B599,Composición!$C:$C,1,0)</f>
        <v>51102111</v>
      </c>
      <c r="I599" s="829"/>
      <c r="J599" s="829"/>
    </row>
    <row r="600" spans="1:10" s="14" customFormat="1" ht="16.5" customHeight="1">
      <c r="A600" s="14" t="str">
        <f t="shared" si="66"/>
        <v>I</v>
      </c>
      <c r="B600" s="345">
        <v>5110211101</v>
      </c>
      <c r="C600" s="345" t="s">
        <v>406</v>
      </c>
      <c r="D600" s="347">
        <v>103576889</v>
      </c>
      <c r="E600" s="348">
        <v>14237.05</v>
      </c>
      <c r="F600" s="829">
        <f>+SUMIF(Composición!C:C,'BG 2023'!B600,Composición!G:G)</f>
        <v>486103677</v>
      </c>
      <c r="G600" s="830">
        <f t="shared" si="69"/>
        <v>382526788</v>
      </c>
      <c r="H600" s="828">
        <f>+VLOOKUP(B600,Composición!$C:$C,1,0)</f>
        <v>5110211101</v>
      </c>
      <c r="I600" s="829"/>
      <c r="J600" s="829"/>
    </row>
    <row r="601" spans="1:10" s="14" customFormat="1" ht="16.5" customHeight="1">
      <c r="A601" s="14" t="str">
        <f t="shared" si="66"/>
        <v>I</v>
      </c>
      <c r="B601" s="345">
        <v>5110211102</v>
      </c>
      <c r="C601" s="345" t="s">
        <v>407</v>
      </c>
      <c r="D601" s="347">
        <v>120943587</v>
      </c>
      <c r="E601" s="348">
        <v>16427.63</v>
      </c>
      <c r="F601" s="829">
        <f>+SUMIF(Composición!C:C,'BG 2023'!B601,Composición!G:G)</f>
        <v>252093722</v>
      </c>
      <c r="G601" s="830">
        <f t="shared" si="69"/>
        <v>131150135</v>
      </c>
      <c r="H601" s="828">
        <f>+VLOOKUP(B601,Composición!$C:$C,1,0)</f>
        <v>5110211102</v>
      </c>
      <c r="I601" s="829"/>
      <c r="J601" s="829"/>
    </row>
    <row r="602" spans="1:10" s="14" customFormat="1" ht="16.5" customHeight="1">
      <c r="A602" s="31" t="str">
        <f t="shared" si="66"/>
        <v>NI</v>
      </c>
      <c r="B602" s="350">
        <v>51102112</v>
      </c>
      <c r="C602" s="350" t="s">
        <v>366</v>
      </c>
      <c r="D602" s="340">
        <v>55274882</v>
      </c>
      <c r="E602" s="341">
        <v>7594.53</v>
      </c>
      <c r="F602" s="829"/>
      <c r="G602" s="829"/>
      <c r="H602" s="828">
        <f>+VLOOKUP(B602,Composición!$C:$C,1,0)</f>
        <v>51102112</v>
      </c>
      <c r="I602" s="829"/>
      <c r="J602" s="829"/>
    </row>
    <row r="603" spans="1:10" s="14" customFormat="1" ht="16.5" customHeight="1">
      <c r="A603" s="14" t="str">
        <f t="shared" si="66"/>
        <v>I</v>
      </c>
      <c r="B603" s="345">
        <v>5110211201</v>
      </c>
      <c r="C603" s="345" t="s">
        <v>408</v>
      </c>
      <c r="D603" s="347">
        <v>47793592</v>
      </c>
      <c r="E603" s="348">
        <v>6568.5</v>
      </c>
      <c r="F603" s="829"/>
      <c r="G603" s="829"/>
      <c r="H603" s="828">
        <f>+VLOOKUP(B603,Composición!$C:$C,1,0)</f>
        <v>5110211201</v>
      </c>
      <c r="I603" s="829"/>
      <c r="J603" s="829"/>
    </row>
    <row r="604" spans="1:10" s="14" customFormat="1" ht="16.5" customHeight="1">
      <c r="A604" s="14" t="str">
        <f t="shared" si="66"/>
        <v>I</v>
      </c>
      <c r="B604" s="345">
        <v>5110211202</v>
      </c>
      <c r="C604" s="345" t="s">
        <v>409</v>
      </c>
      <c r="D604" s="347">
        <v>7481290</v>
      </c>
      <c r="E604" s="348">
        <v>1026.03</v>
      </c>
      <c r="F604" s="829"/>
      <c r="G604" s="829"/>
      <c r="H604" s="828">
        <f>+VLOOKUP(B604,Composición!$C:$C,1,0)</f>
        <v>5110211202</v>
      </c>
      <c r="I604" s="829"/>
      <c r="J604" s="829"/>
    </row>
    <row r="605" spans="1:10" s="14" customFormat="1" ht="16.5" customHeight="1">
      <c r="A605" s="31" t="str">
        <f t="shared" si="66"/>
        <v>NI</v>
      </c>
      <c r="B605" s="350">
        <v>51103</v>
      </c>
      <c r="C605" s="350" t="s">
        <v>410</v>
      </c>
      <c r="D605" s="340">
        <v>1327178314</v>
      </c>
      <c r="E605" s="341">
        <v>183392.06</v>
      </c>
      <c r="F605" s="829"/>
      <c r="G605" s="829"/>
      <c r="H605" s="828">
        <f>+VLOOKUP(B605,Composición!$C:$C,1,0)</f>
        <v>51103</v>
      </c>
      <c r="I605" s="829"/>
      <c r="J605" s="829"/>
    </row>
    <row r="606" spans="1:10" s="14" customFormat="1" ht="16.5" customHeight="1">
      <c r="A606" s="31" t="str">
        <f t="shared" si="66"/>
        <v>NI</v>
      </c>
      <c r="B606" s="350">
        <v>511031</v>
      </c>
      <c r="C606" s="350" t="s">
        <v>336</v>
      </c>
      <c r="D606" s="340">
        <v>904753321</v>
      </c>
      <c r="E606" s="341">
        <v>124227.89</v>
      </c>
      <c r="F606" s="829"/>
      <c r="G606" s="829"/>
      <c r="H606" s="828">
        <f>+VLOOKUP(B606,Composición!$C:$C,1,0)</f>
        <v>511031</v>
      </c>
      <c r="I606" s="829"/>
      <c r="J606" s="829"/>
    </row>
    <row r="607" spans="1:10" s="14" customFormat="1" ht="16.5" customHeight="1">
      <c r="A607" s="31" t="str">
        <f t="shared" si="66"/>
        <v>NI</v>
      </c>
      <c r="B607" s="350">
        <v>5110311</v>
      </c>
      <c r="C607" s="350" t="s">
        <v>336</v>
      </c>
      <c r="D607" s="340">
        <v>904753321</v>
      </c>
      <c r="E607" s="341">
        <v>124227.89</v>
      </c>
      <c r="F607" s="829">
        <f>+SUMIF(Composición!C:C,'BG 2023'!B607,Composición!G:G)</f>
        <v>0</v>
      </c>
      <c r="G607" s="830">
        <f t="shared" ref="G607:G612" si="70">+F607-D607</f>
        <v>-904753321</v>
      </c>
      <c r="H607" s="828">
        <f>+VLOOKUP(B607,Composición!$C:$C,1,0)</f>
        <v>5110311</v>
      </c>
      <c r="I607" s="829"/>
      <c r="J607" s="829"/>
    </row>
    <row r="608" spans="1:10" s="14" customFormat="1" ht="16.5" customHeight="1">
      <c r="A608" s="31" t="str">
        <f t="shared" si="66"/>
        <v>NI</v>
      </c>
      <c r="B608" s="350">
        <v>51103111</v>
      </c>
      <c r="C608" s="350" t="s">
        <v>339</v>
      </c>
      <c r="D608" s="340">
        <v>571494830</v>
      </c>
      <c r="E608" s="341">
        <v>78289.83</v>
      </c>
      <c r="F608" s="829">
        <f>+SUMIF(Composición!C:C,'BG 2023'!B608,Composición!G:G)</f>
        <v>0</v>
      </c>
      <c r="G608" s="830">
        <f t="shared" si="70"/>
        <v>-571494830</v>
      </c>
      <c r="H608" s="828">
        <f>+VLOOKUP(B608,Composición!$C:$C,1,0)</f>
        <v>51103111</v>
      </c>
      <c r="I608" s="829"/>
      <c r="J608" s="829"/>
    </row>
    <row r="609" spans="1:10" s="14" customFormat="1" ht="16.5" customHeight="1">
      <c r="A609" s="14" t="str">
        <f t="shared" si="66"/>
        <v>I</v>
      </c>
      <c r="B609" s="345">
        <v>5110311101</v>
      </c>
      <c r="C609" s="345" t="s">
        <v>267</v>
      </c>
      <c r="D609" s="347">
        <v>142117320</v>
      </c>
      <c r="E609" s="348">
        <v>19335.96</v>
      </c>
      <c r="F609" s="829">
        <f>+SUMIF(Composición!C:C,'BG 2023'!B609,Composición!G:G)</f>
        <v>43330903</v>
      </c>
      <c r="G609" s="830">
        <f t="shared" si="70"/>
        <v>-98786417</v>
      </c>
      <c r="H609" s="828">
        <f>+VLOOKUP(B609,Composición!$C:$C,1,0)</f>
        <v>5110311101</v>
      </c>
      <c r="I609" s="829"/>
      <c r="J609" s="829"/>
    </row>
    <row r="610" spans="1:10" s="14" customFormat="1" ht="16.5" customHeight="1">
      <c r="A610" s="14" t="str">
        <f t="shared" si="66"/>
        <v>I</v>
      </c>
      <c r="B610" s="345">
        <v>5110311102</v>
      </c>
      <c r="C610" s="345" t="s">
        <v>63</v>
      </c>
      <c r="D610" s="347">
        <v>7613917</v>
      </c>
      <c r="E610" s="348">
        <v>1031.9000000000001</v>
      </c>
      <c r="F610" s="829">
        <f>+SUMIF(Composición!C:C,'BG 2023'!B610,Composición!G:G)</f>
        <v>1846668</v>
      </c>
      <c r="G610" s="830">
        <f t="shared" si="70"/>
        <v>-5767249</v>
      </c>
      <c r="H610" s="828">
        <f>+VLOOKUP(B610,Composición!$C:$C,1,0)</f>
        <v>5110311102</v>
      </c>
      <c r="I610" s="829"/>
      <c r="J610" s="829"/>
    </row>
    <row r="611" spans="1:10" s="14" customFormat="1" ht="16.5" customHeight="1">
      <c r="A611" s="14" t="str">
        <f t="shared" si="66"/>
        <v>I</v>
      </c>
      <c r="B611" s="345">
        <v>5110311103</v>
      </c>
      <c r="C611" s="345" t="s">
        <v>64</v>
      </c>
      <c r="D611" s="347">
        <v>318600358</v>
      </c>
      <c r="E611" s="348">
        <v>43714.21</v>
      </c>
      <c r="F611" s="829">
        <f>+SUMIF(Composición!C:C,'BG 2023'!B611,Composición!G:G)</f>
        <v>528246578</v>
      </c>
      <c r="G611" s="830">
        <f t="shared" si="70"/>
        <v>209646220</v>
      </c>
      <c r="H611" s="828">
        <f>+VLOOKUP(B611,Composición!$C:$C,1,0)</f>
        <v>5110311103</v>
      </c>
      <c r="I611" s="829"/>
      <c r="J611" s="829"/>
    </row>
    <row r="612" spans="1:10" s="14" customFormat="1" ht="16.5" customHeight="1">
      <c r="A612" s="14" t="str">
        <f t="shared" si="66"/>
        <v>I</v>
      </c>
      <c r="B612" s="345">
        <v>5110311104</v>
      </c>
      <c r="C612" s="345" t="s">
        <v>335</v>
      </c>
      <c r="D612" s="347">
        <v>99656407</v>
      </c>
      <c r="E612" s="348">
        <v>13736.87</v>
      </c>
      <c r="F612" s="829">
        <f>+SUMIF(Composición!C:C,'BG 2023'!B612,Composición!G:G)</f>
        <v>0</v>
      </c>
      <c r="G612" s="830">
        <f t="shared" si="70"/>
        <v>-99656407</v>
      </c>
      <c r="H612" s="828">
        <f>+VLOOKUP(B612,Composición!$C:$C,1,0)</f>
        <v>5110311104</v>
      </c>
      <c r="I612" s="829"/>
      <c r="J612" s="829"/>
    </row>
    <row r="613" spans="1:10" s="14" customFormat="1" ht="16.5" customHeight="1">
      <c r="A613" s="802" t="str">
        <f t="shared" si="66"/>
        <v>I</v>
      </c>
      <c r="B613" s="799">
        <v>5110311105</v>
      </c>
      <c r="C613" s="799" t="s">
        <v>411</v>
      </c>
      <c r="D613" s="800">
        <v>3506828</v>
      </c>
      <c r="E613" s="801">
        <v>470.89</v>
      </c>
      <c r="F613" s="831"/>
      <c r="G613" s="831"/>
      <c r="H613" s="832">
        <f>+VLOOKUP(B613,Composición!$C:$C,1,0)</f>
        <v>5110311105</v>
      </c>
      <c r="I613" s="829"/>
      <c r="J613" s="829"/>
    </row>
    <row r="614" spans="1:10" s="14" customFormat="1" ht="16.5" customHeight="1">
      <c r="A614" s="31" t="str">
        <f t="shared" si="66"/>
        <v>NI</v>
      </c>
      <c r="B614" s="350">
        <v>51103112</v>
      </c>
      <c r="C614" s="350" t="s">
        <v>412</v>
      </c>
      <c r="D614" s="340">
        <v>239007233</v>
      </c>
      <c r="E614" s="341">
        <v>32835.020000000004</v>
      </c>
      <c r="F614" s="829"/>
      <c r="G614" s="829"/>
      <c r="H614" s="828">
        <f>+VLOOKUP(B614,Composición!$C:$C,1,0)</f>
        <v>51103112</v>
      </c>
      <c r="I614" s="829"/>
      <c r="J614" s="829"/>
    </row>
    <row r="615" spans="1:10" s="14" customFormat="1" ht="16.5" customHeight="1">
      <c r="A615" s="14" t="str">
        <f t="shared" si="66"/>
        <v>I</v>
      </c>
      <c r="B615" s="345">
        <v>5110311201</v>
      </c>
      <c r="C615" s="345" t="s">
        <v>57</v>
      </c>
      <c r="D615" s="347">
        <v>4487029</v>
      </c>
      <c r="E615" s="348">
        <v>599.51</v>
      </c>
      <c r="F615" s="829"/>
      <c r="G615" s="829"/>
      <c r="H615" s="828">
        <f>+VLOOKUP(B615,Composición!$C:$C,1,0)</f>
        <v>5110311201</v>
      </c>
      <c r="I615" s="829"/>
      <c r="J615" s="829"/>
    </row>
    <row r="616" spans="1:10" s="14" customFormat="1" ht="16.5" customHeight="1">
      <c r="A616" s="14" t="str">
        <f t="shared" si="66"/>
        <v>I</v>
      </c>
      <c r="B616" s="345">
        <v>5110311202</v>
      </c>
      <c r="C616" s="345" t="s">
        <v>254</v>
      </c>
      <c r="D616" s="347">
        <v>56774</v>
      </c>
      <c r="E616" s="348">
        <v>7.82</v>
      </c>
      <c r="F616" s="829"/>
      <c r="G616" s="829"/>
      <c r="H616" s="828">
        <f>+VLOOKUP(B616,Composición!$C:$C,1,0)</f>
        <v>5110311202</v>
      </c>
      <c r="I616" s="829"/>
      <c r="J616" s="829"/>
    </row>
    <row r="617" spans="1:10" s="14" customFormat="1" ht="16.5" customHeight="1">
      <c r="A617" s="14" t="str">
        <f t="shared" si="66"/>
        <v>I</v>
      </c>
      <c r="B617" s="345">
        <v>5110311204</v>
      </c>
      <c r="C617" s="345" t="s">
        <v>258</v>
      </c>
      <c r="D617" s="347">
        <v>104412</v>
      </c>
      <c r="E617" s="348">
        <v>14.63</v>
      </c>
      <c r="F617" s="829">
        <f>+SUMIF(Composición!C:C,'BG 2023'!B617,Composición!G:G)</f>
        <v>66050</v>
      </c>
      <c r="G617" s="830">
        <f t="shared" ref="G617:G625" si="71">+F617-D617</f>
        <v>-38362</v>
      </c>
      <c r="H617" s="828">
        <f>+VLOOKUP(B617,Composición!$C:$C,1,0)</f>
        <v>5110311204</v>
      </c>
      <c r="I617" s="829"/>
      <c r="J617" s="829"/>
    </row>
    <row r="618" spans="1:10" s="14" customFormat="1" ht="16.5" customHeight="1">
      <c r="A618" s="14" t="str">
        <f t="shared" si="66"/>
        <v>I</v>
      </c>
      <c r="B618" s="345">
        <v>5110311205</v>
      </c>
      <c r="C618" s="345" t="s">
        <v>59</v>
      </c>
      <c r="D618" s="347">
        <v>3173989</v>
      </c>
      <c r="E618" s="348">
        <v>433.09</v>
      </c>
      <c r="F618" s="829">
        <f>+SUMIF(Composición!C:C,'BG 2023'!B618,Composición!G:G)</f>
        <v>122729834</v>
      </c>
      <c r="G618" s="830">
        <f t="shared" si="71"/>
        <v>119555845</v>
      </c>
      <c r="H618" s="828">
        <f>+VLOOKUP(B618,Composición!$C:$C,1,0)</f>
        <v>5110311205</v>
      </c>
      <c r="I618" s="829"/>
      <c r="J618" s="829"/>
    </row>
    <row r="619" spans="1:10" s="14" customFormat="1" ht="16.5" customHeight="1">
      <c r="A619" s="14" t="str">
        <f t="shared" si="66"/>
        <v>I</v>
      </c>
      <c r="B619" s="345">
        <v>5110311206</v>
      </c>
      <c r="C619" s="345" t="s">
        <v>60</v>
      </c>
      <c r="D619" s="347">
        <v>45793</v>
      </c>
      <c r="E619" s="348">
        <v>6.3</v>
      </c>
      <c r="F619" s="829">
        <f>+SUMIF(Composición!C:C,'BG 2023'!B619,Composición!G:G)</f>
        <v>2508987</v>
      </c>
      <c r="G619" s="830">
        <f t="shared" si="71"/>
        <v>2463194</v>
      </c>
      <c r="H619" s="828">
        <f>+VLOOKUP(B619,Composición!$C:$C,1,0)</f>
        <v>5110311206</v>
      </c>
      <c r="I619" s="829"/>
      <c r="J619" s="829"/>
    </row>
    <row r="620" spans="1:10" s="14" customFormat="1" ht="16.5" customHeight="1">
      <c r="A620" s="14" t="str">
        <f t="shared" si="66"/>
        <v>I</v>
      </c>
      <c r="B620" s="345">
        <v>5110311207</v>
      </c>
      <c r="C620" s="345" t="s">
        <v>63</v>
      </c>
      <c r="D620" s="347">
        <v>3151438</v>
      </c>
      <c r="E620" s="348">
        <v>430.33</v>
      </c>
      <c r="F620" s="829">
        <f>+SUMIF(Composición!C:C,'BG 2023'!B620,Composición!G:G)</f>
        <v>6281537</v>
      </c>
      <c r="G620" s="830">
        <f t="shared" si="71"/>
        <v>3130099</v>
      </c>
      <c r="H620" s="828">
        <f>+VLOOKUP(B620,Composición!$C:$C,1,0)</f>
        <v>5110311207</v>
      </c>
      <c r="I620" s="829"/>
      <c r="J620" s="829"/>
    </row>
    <row r="621" spans="1:10" s="14" customFormat="1" ht="16.5" customHeight="1">
      <c r="A621" s="14" t="str">
        <f t="shared" si="66"/>
        <v>I</v>
      </c>
      <c r="B621" s="345">
        <v>5110311208</v>
      </c>
      <c r="C621" s="345" t="s">
        <v>64</v>
      </c>
      <c r="D621" s="347">
        <v>6098071</v>
      </c>
      <c r="E621" s="348">
        <v>839.28000000000009</v>
      </c>
      <c r="F621" s="829">
        <f>+SUMIF(Composición!C:C,'BG 2023'!B621,Composición!G:G)</f>
        <v>5544723</v>
      </c>
      <c r="G621" s="830">
        <f t="shared" si="71"/>
        <v>-553348</v>
      </c>
      <c r="H621" s="828">
        <f>+VLOOKUP(B621,Composición!$C:$C,1,0)</f>
        <v>5110311208</v>
      </c>
      <c r="I621" s="829"/>
      <c r="J621" s="829"/>
    </row>
    <row r="622" spans="1:10" s="14" customFormat="1" ht="16.5" customHeight="1">
      <c r="A622" s="14" t="str">
        <f t="shared" si="66"/>
        <v>I</v>
      </c>
      <c r="B622" s="345">
        <v>5110311217</v>
      </c>
      <c r="C622" s="345" t="s">
        <v>271</v>
      </c>
      <c r="D622" s="347">
        <v>619711</v>
      </c>
      <c r="E622" s="348">
        <v>85.07</v>
      </c>
      <c r="F622" s="829">
        <f>+SUMIF(Composición!C:C,'BG 2023'!B622,Composición!G:G)</f>
        <v>34891064</v>
      </c>
      <c r="G622" s="830">
        <f t="shared" si="71"/>
        <v>34271353</v>
      </c>
      <c r="H622" s="828">
        <f>+VLOOKUP(B622,Composición!$C:$C,1,0)</f>
        <v>5110311217</v>
      </c>
      <c r="I622" s="829"/>
      <c r="J622" s="829"/>
    </row>
    <row r="623" spans="1:10" s="14" customFormat="1" ht="16.5" customHeight="1">
      <c r="A623" s="14" t="str">
        <f t="shared" si="66"/>
        <v>I</v>
      </c>
      <c r="B623" s="345">
        <v>5110311218</v>
      </c>
      <c r="C623" s="345" t="s">
        <v>274</v>
      </c>
      <c r="D623" s="347">
        <v>2312</v>
      </c>
      <c r="E623" s="348">
        <v>0.31000000000000005</v>
      </c>
      <c r="F623" s="829">
        <f>+SUMIF(Composición!C:C,'BG 2023'!B623,Composición!G:G)</f>
        <v>1259045</v>
      </c>
      <c r="G623" s="830">
        <f t="shared" si="71"/>
        <v>1256733</v>
      </c>
      <c r="H623" s="828">
        <f>+VLOOKUP(B623,Composición!$C:$C,1,0)</f>
        <v>5110311218</v>
      </c>
      <c r="I623" s="829"/>
      <c r="J623" s="829"/>
    </row>
    <row r="624" spans="1:10" s="14" customFormat="1" ht="16.5" customHeight="1">
      <c r="A624" s="14" t="str">
        <f t="shared" si="66"/>
        <v>I</v>
      </c>
      <c r="B624" s="345">
        <v>5110311219</v>
      </c>
      <c r="C624" s="345" t="s">
        <v>413</v>
      </c>
      <c r="D624" s="347">
        <v>10208</v>
      </c>
      <c r="E624" s="348">
        <v>1.41</v>
      </c>
      <c r="F624" s="829">
        <f>+SUMIF(Composición!C:C,'BG 2023'!B624,Composición!G:G)</f>
        <v>0</v>
      </c>
      <c r="G624" s="830">
        <f t="shared" si="71"/>
        <v>-10208</v>
      </c>
      <c r="H624" s="828">
        <f>+VLOOKUP(B624,Composición!$C:$C,1,0)</f>
        <v>5110311219</v>
      </c>
      <c r="I624" s="829"/>
      <c r="J624" s="829"/>
    </row>
    <row r="625" spans="1:10" s="780" customFormat="1" ht="16.5" customHeight="1">
      <c r="A625" s="780" t="str">
        <f t="shared" si="66"/>
        <v>I</v>
      </c>
      <c r="B625" s="781">
        <v>5110311229</v>
      </c>
      <c r="C625" s="781" t="s">
        <v>414</v>
      </c>
      <c r="D625" s="782">
        <v>541496</v>
      </c>
      <c r="E625" s="783">
        <v>73.760000000000005</v>
      </c>
      <c r="F625" s="834">
        <f>+SUMIF(Composición!C:C,'BG 2023'!B625,Composición!G:G)</f>
        <v>32021865</v>
      </c>
      <c r="G625" s="835">
        <f t="shared" si="71"/>
        <v>31480369</v>
      </c>
      <c r="H625" s="828">
        <f>+VLOOKUP(B625,Composición!$C:$C,1,0)</f>
        <v>5110311229</v>
      </c>
      <c r="I625" s="834"/>
      <c r="J625" s="834"/>
    </row>
    <row r="626" spans="1:10" s="14" customFormat="1" ht="16.5" customHeight="1">
      <c r="A626" s="14" t="str">
        <f t="shared" si="66"/>
        <v>I</v>
      </c>
      <c r="B626" s="345">
        <v>5110311231</v>
      </c>
      <c r="C626" s="345" t="s">
        <v>415</v>
      </c>
      <c r="D626" s="347">
        <v>220716000</v>
      </c>
      <c r="E626" s="348">
        <v>30343.51</v>
      </c>
      <c r="F626" s="829"/>
      <c r="G626" s="829"/>
      <c r="H626" s="828">
        <f>+VLOOKUP(B626,Composición!$C:$C,1,0)</f>
        <v>5110311231</v>
      </c>
      <c r="I626" s="829"/>
      <c r="J626" s="829"/>
    </row>
    <row r="627" spans="1:10" s="14" customFormat="1" ht="16.5" customHeight="1">
      <c r="A627" s="31" t="str">
        <f t="shared" si="66"/>
        <v>NI</v>
      </c>
      <c r="B627" s="350">
        <v>51103113</v>
      </c>
      <c r="C627" s="350" t="s">
        <v>416</v>
      </c>
      <c r="D627" s="340">
        <v>86682763</v>
      </c>
      <c r="E627" s="341">
        <v>12067.59</v>
      </c>
      <c r="F627" s="829"/>
      <c r="G627" s="829"/>
      <c r="H627" s="828">
        <f>+VLOOKUP(B627,Composición!$C:$C,1,0)</f>
        <v>51103113</v>
      </c>
      <c r="I627" s="829"/>
      <c r="J627" s="829"/>
    </row>
    <row r="628" spans="1:10" s="14" customFormat="1" ht="16.5" customHeight="1">
      <c r="A628" s="14" t="str">
        <f t="shared" ref="A628:A709" si="72">IF(LEN(B628)&gt;8,"I","NI")</f>
        <v>I</v>
      </c>
      <c r="B628" s="345">
        <v>5110311301</v>
      </c>
      <c r="C628" s="345" t="s">
        <v>57</v>
      </c>
      <c r="D628" s="347">
        <v>2855607</v>
      </c>
      <c r="E628" s="348">
        <v>388.75</v>
      </c>
      <c r="F628" s="829"/>
      <c r="G628" s="829"/>
      <c r="H628" s="828">
        <f>+VLOOKUP(B628,Composición!$C:$C,1,0)</f>
        <v>5110311301</v>
      </c>
      <c r="I628" s="829"/>
      <c r="J628" s="829"/>
    </row>
    <row r="629" spans="1:10" s="14" customFormat="1" ht="16.5" customHeight="1">
      <c r="A629" s="14" t="str">
        <f t="shared" si="72"/>
        <v>I</v>
      </c>
      <c r="B629" s="345">
        <v>5110311302</v>
      </c>
      <c r="C629" s="345" t="s">
        <v>254</v>
      </c>
      <c r="D629" s="347">
        <v>1487418</v>
      </c>
      <c r="E629" s="348">
        <v>206.28</v>
      </c>
      <c r="F629" s="829"/>
      <c r="G629" s="829"/>
      <c r="H629" s="828">
        <f>+VLOOKUP(B629,Composición!$C:$C,1,0)</f>
        <v>5110311302</v>
      </c>
      <c r="I629" s="829"/>
      <c r="J629" s="829"/>
    </row>
    <row r="630" spans="1:10" s="14" customFormat="1" ht="16.5" customHeight="1">
      <c r="A630" s="14" t="str">
        <f t="shared" si="72"/>
        <v>I</v>
      </c>
      <c r="B630" s="345">
        <v>5110311304</v>
      </c>
      <c r="C630" s="345" t="s">
        <v>258</v>
      </c>
      <c r="D630" s="347">
        <v>642682</v>
      </c>
      <c r="E630" s="348">
        <v>89.4</v>
      </c>
      <c r="F630" s="829">
        <f>+SUMIF(Composición!C:C,'BG 2023'!B630,Composición!G:G)</f>
        <v>0</v>
      </c>
      <c r="G630" s="830">
        <f t="shared" ref="G630:G632" si="73">+F630-D630</f>
        <v>-642682</v>
      </c>
      <c r="H630" s="828">
        <f>+VLOOKUP(B630,Composición!$C:$C,1,0)</f>
        <v>5110311304</v>
      </c>
      <c r="I630" s="829"/>
      <c r="J630" s="829"/>
    </row>
    <row r="631" spans="1:10" s="14" customFormat="1" ht="16.5" customHeight="1">
      <c r="A631" s="14" t="str">
        <f t="shared" si="72"/>
        <v>I</v>
      </c>
      <c r="B631" s="345">
        <v>5110311305</v>
      </c>
      <c r="C631" s="345" t="s">
        <v>59</v>
      </c>
      <c r="D631" s="347">
        <v>2167951</v>
      </c>
      <c r="E631" s="348">
        <v>298.45</v>
      </c>
      <c r="F631" s="829">
        <f>+SUMIF(Composición!C:C,'BG 2023'!B631,Composición!G:G)</f>
        <v>48370044</v>
      </c>
      <c r="G631" s="830">
        <f t="shared" si="73"/>
        <v>46202093</v>
      </c>
      <c r="H631" s="828">
        <f>+VLOOKUP(B631,Composición!$C:$C,1,0)</f>
        <v>5110311305</v>
      </c>
      <c r="I631" s="829"/>
      <c r="J631" s="829"/>
    </row>
    <row r="632" spans="1:10" s="14" customFormat="1" ht="16.5" customHeight="1">
      <c r="A632" s="14" t="str">
        <f t="shared" si="72"/>
        <v>I</v>
      </c>
      <c r="B632" s="345">
        <v>5110311306</v>
      </c>
      <c r="C632" s="345" t="s">
        <v>60</v>
      </c>
      <c r="D632" s="347">
        <v>141672</v>
      </c>
      <c r="E632" s="348">
        <v>19.41</v>
      </c>
      <c r="F632" s="829">
        <f>+SUMIF(Composición!C:C,'BG 2023'!B632,Composición!G:G)</f>
        <v>2733917</v>
      </c>
      <c r="G632" s="830">
        <f t="shared" si="73"/>
        <v>2592245</v>
      </c>
      <c r="H632" s="828">
        <f>+VLOOKUP(B632,Composición!$C:$C,1,0)</f>
        <v>5110311306</v>
      </c>
      <c r="I632" s="829"/>
      <c r="J632" s="829"/>
    </row>
    <row r="633" spans="1:10" s="14" customFormat="1" ht="16.5" customHeight="1">
      <c r="A633" s="14" t="str">
        <f t="shared" si="72"/>
        <v>I</v>
      </c>
      <c r="B633" s="345">
        <v>5110311307</v>
      </c>
      <c r="C633" s="345" t="s">
        <v>63</v>
      </c>
      <c r="D633" s="347">
        <v>662437</v>
      </c>
      <c r="E633" s="348">
        <v>88.84</v>
      </c>
      <c r="F633" s="829"/>
      <c r="G633" s="829"/>
      <c r="H633" s="828">
        <f>+VLOOKUP(B633,Composición!$C:$C,1,0)</f>
        <v>5110311307</v>
      </c>
      <c r="I633" s="829"/>
      <c r="J633" s="829"/>
    </row>
    <row r="634" spans="1:10" s="14" customFormat="1" ht="16.5" customHeight="1">
      <c r="A634" s="14" t="str">
        <f t="shared" si="72"/>
        <v>I</v>
      </c>
      <c r="B634" s="345">
        <v>5110311308</v>
      </c>
      <c r="C634" s="345" t="s">
        <v>64</v>
      </c>
      <c r="D634" s="347">
        <v>77830904</v>
      </c>
      <c r="E634" s="348">
        <v>10853.36</v>
      </c>
      <c r="F634" s="829"/>
      <c r="G634" s="829"/>
      <c r="H634" s="828">
        <f>+VLOOKUP(B634,Composición!$C:$C,1,0)</f>
        <v>5110311308</v>
      </c>
      <c r="I634" s="829"/>
      <c r="J634" s="829"/>
    </row>
    <row r="635" spans="1:10" s="802" customFormat="1" ht="16.5" customHeight="1">
      <c r="A635" s="802" t="str">
        <f t="shared" si="72"/>
        <v>I</v>
      </c>
      <c r="B635" s="799">
        <v>5110311321</v>
      </c>
      <c r="C635" s="799" t="s">
        <v>417</v>
      </c>
      <c r="D635" s="800">
        <v>26033</v>
      </c>
      <c r="E635" s="801">
        <v>3.51</v>
      </c>
      <c r="F635" s="831"/>
      <c r="G635" s="831"/>
      <c r="H635" s="832">
        <f>+VLOOKUP(B635,Composición!$C:$C,1,0)</f>
        <v>5110311321</v>
      </c>
      <c r="I635" s="831"/>
      <c r="J635" s="831"/>
    </row>
    <row r="636" spans="1:10" s="14" customFormat="1" ht="16.5" customHeight="1">
      <c r="A636" s="14" t="str">
        <f t="shared" si="72"/>
        <v>I</v>
      </c>
      <c r="B636" s="345">
        <v>5110311335</v>
      </c>
      <c r="C636" s="345" t="s">
        <v>418</v>
      </c>
      <c r="D636" s="347">
        <v>868059</v>
      </c>
      <c r="E636" s="348">
        <v>119.59</v>
      </c>
      <c r="F636" s="829"/>
      <c r="G636" s="829"/>
      <c r="H636" s="828">
        <f>+VLOOKUP(B636,Composición!$C:$C,1,0)</f>
        <v>5110311335</v>
      </c>
      <c r="I636" s="829"/>
      <c r="J636" s="829"/>
    </row>
    <row r="637" spans="1:10" s="14" customFormat="1" ht="16.5" customHeight="1">
      <c r="A637" s="31" t="str">
        <f t="shared" si="72"/>
        <v>NI</v>
      </c>
      <c r="B637" s="350">
        <v>51103115</v>
      </c>
      <c r="C637" s="350" t="s">
        <v>419</v>
      </c>
      <c r="D637" s="340">
        <v>7568495</v>
      </c>
      <c r="E637" s="341">
        <v>1035.45</v>
      </c>
      <c r="F637" s="829">
        <f>+SUMIF(Composición!C:C,'BG 2023'!B637,Composición!G:G)</f>
        <v>0</v>
      </c>
      <c r="G637" s="830">
        <f t="shared" ref="G637:G643" si="74">+F637-D637</f>
        <v>-7568495</v>
      </c>
      <c r="H637" s="828">
        <f>+VLOOKUP(B637,Composición!$C:$C,1,0)</f>
        <v>51103115</v>
      </c>
      <c r="I637" s="829"/>
      <c r="J637" s="829"/>
    </row>
    <row r="638" spans="1:10" s="14" customFormat="1" ht="16.5" customHeight="1">
      <c r="A638" s="14" t="str">
        <f t="shared" si="72"/>
        <v>I</v>
      </c>
      <c r="B638" s="345">
        <v>5110311501</v>
      </c>
      <c r="C638" s="345" t="s">
        <v>420</v>
      </c>
      <c r="D638" s="347">
        <v>7568495</v>
      </c>
      <c r="E638" s="348">
        <v>1035.45</v>
      </c>
      <c r="F638" s="829">
        <f>+SUMIF(Composición!C:C,'BG 2023'!B638,Composición!G:G)</f>
        <v>0</v>
      </c>
      <c r="G638" s="830">
        <f t="shared" si="74"/>
        <v>-7568495</v>
      </c>
      <c r="H638" s="828">
        <f>+VLOOKUP(B638,Composición!$C:$C,1,0)</f>
        <v>5110311501</v>
      </c>
      <c r="I638" s="829"/>
      <c r="J638" s="829"/>
    </row>
    <row r="639" spans="1:10" s="14" customFormat="1" ht="16.5" customHeight="1">
      <c r="A639" s="31" t="str">
        <f t="shared" si="72"/>
        <v>NI</v>
      </c>
      <c r="B639" s="350">
        <v>511032</v>
      </c>
      <c r="C639" s="350" t="s">
        <v>106</v>
      </c>
      <c r="D639" s="340">
        <v>422424993</v>
      </c>
      <c r="E639" s="341">
        <v>59164.17</v>
      </c>
      <c r="F639" s="829">
        <f>+SUMIF(Composición!C:C,'BG 2023'!B639,Composición!G:G)</f>
        <v>0</v>
      </c>
      <c r="G639" s="830">
        <f t="shared" si="74"/>
        <v>-422424993</v>
      </c>
      <c r="H639" s="828">
        <f>+VLOOKUP(B639,Composición!$C:$C,1,0)</f>
        <v>511032</v>
      </c>
      <c r="I639" s="829"/>
      <c r="J639" s="829"/>
    </row>
    <row r="640" spans="1:10" s="14" customFormat="1" ht="16.5" customHeight="1">
      <c r="A640" s="31" t="str">
        <f t="shared" si="72"/>
        <v>NI</v>
      </c>
      <c r="B640" s="350">
        <v>5110321</v>
      </c>
      <c r="C640" s="350" t="s">
        <v>106</v>
      </c>
      <c r="D640" s="340">
        <v>422424993</v>
      </c>
      <c r="E640" s="341">
        <v>59164.17</v>
      </c>
      <c r="F640" s="829">
        <f>+SUMIF(Composición!C:C,'BG 2023'!B640,Composición!G:G)</f>
        <v>0</v>
      </c>
      <c r="G640" s="830">
        <f t="shared" si="74"/>
        <v>-422424993</v>
      </c>
      <c r="H640" s="828">
        <f>+VLOOKUP(B640,Composición!$C:$C,1,0)</f>
        <v>5110321</v>
      </c>
      <c r="I640" s="829"/>
      <c r="J640" s="829"/>
    </row>
    <row r="641" spans="1:10" s="14" customFormat="1" ht="16.5" customHeight="1">
      <c r="A641" s="31" t="str">
        <f t="shared" si="72"/>
        <v>NI</v>
      </c>
      <c r="B641" s="350">
        <v>51103211</v>
      </c>
      <c r="C641" s="350" t="s">
        <v>106</v>
      </c>
      <c r="D641" s="340">
        <v>422424993</v>
      </c>
      <c r="E641" s="341">
        <v>59164.17</v>
      </c>
      <c r="F641" s="829">
        <f>+SUMIF(Composición!C:C,'BG 2023'!B641,Composición!G:G)</f>
        <v>0</v>
      </c>
      <c r="G641" s="830">
        <f t="shared" si="74"/>
        <v>-422424993</v>
      </c>
      <c r="H641" s="828">
        <f>+VLOOKUP(B641,Composición!$C:$C,1,0)</f>
        <v>51103211</v>
      </c>
      <c r="I641" s="829"/>
      <c r="J641" s="829"/>
    </row>
    <row r="642" spans="1:10" s="14" customFormat="1" ht="16.5" customHeight="1">
      <c r="A642" s="14" t="str">
        <f t="shared" si="72"/>
        <v>I</v>
      </c>
      <c r="B642" s="345">
        <v>5110321102</v>
      </c>
      <c r="C642" s="345" t="s">
        <v>421</v>
      </c>
      <c r="D642" s="347">
        <v>422424993</v>
      </c>
      <c r="E642" s="348">
        <v>59164.17</v>
      </c>
      <c r="F642" s="829">
        <f>+SUMIF(Composición!C:C,'BG 2023'!B642,Composición!G:G)</f>
        <v>228401350</v>
      </c>
      <c r="G642" s="830">
        <f t="shared" si="74"/>
        <v>-194023643</v>
      </c>
      <c r="H642" s="828">
        <f>+VLOOKUP(B642,Composición!$C:$C,1,0)</f>
        <v>5110321102</v>
      </c>
      <c r="I642" s="829"/>
      <c r="J642" s="829"/>
    </row>
    <row r="643" spans="1:10" s="14" customFormat="1" ht="16.5" customHeight="1">
      <c r="A643" s="31" t="str">
        <f t="shared" si="72"/>
        <v>NI</v>
      </c>
      <c r="B643" s="350">
        <v>51104</v>
      </c>
      <c r="C643" s="350" t="s">
        <v>422</v>
      </c>
      <c r="D643" s="340">
        <v>2942670</v>
      </c>
      <c r="E643" s="341">
        <v>404.9</v>
      </c>
      <c r="F643" s="829">
        <f>+SUMIF(Composición!C:C,'BG 2023'!B643,Composición!G:G)</f>
        <v>0</v>
      </c>
      <c r="G643" s="830">
        <f t="shared" si="74"/>
        <v>-2942670</v>
      </c>
      <c r="H643" s="828">
        <f>+VLOOKUP(B643,Composición!$C:$C,1,0)</f>
        <v>51104</v>
      </c>
      <c r="I643" s="829"/>
      <c r="J643" s="829"/>
    </row>
    <row r="644" spans="1:10" s="14" customFormat="1" ht="16.5" customHeight="1">
      <c r="A644" s="31" t="str">
        <f t="shared" si="72"/>
        <v>NI</v>
      </c>
      <c r="B644" s="350">
        <v>511041</v>
      </c>
      <c r="C644" s="350" t="s">
        <v>422</v>
      </c>
      <c r="D644" s="340">
        <v>2942670</v>
      </c>
      <c r="E644" s="341">
        <v>404.9</v>
      </c>
      <c r="F644" s="829"/>
      <c r="G644" s="829"/>
      <c r="H644" s="828">
        <f>+VLOOKUP(B644,Composición!$C:$C,1,0)</f>
        <v>511041</v>
      </c>
      <c r="I644" s="829"/>
      <c r="J644" s="829"/>
    </row>
    <row r="645" spans="1:10" s="14" customFormat="1" ht="16.5" customHeight="1">
      <c r="A645" s="31" t="str">
        <f t="shared" si="72"/>
        <v>NI</v>
      </c>
      <c r="B645" s="350">
        <v>5110411</v>
      </c>
      <c r="C645" s="350" t="s">
        <v>422</v>
      </c>
      <c r="D645" s="340">
        <v>2942670</v>
      </c>
      <c r="E645" s="341">
        <v>404.9</v>
      </c>
      <c r="F645" s="829"/>
      <c r="G645" s="829"/>
      <c r="H645" s="828">
        <f>+VLOOKUP(B645,Composición!$C:$C,1,0)</f>
        <v>5110411</v>
      </c>
      <c r="I645" s="829"/>
      <c r="J645" s="829"/>
    </row>
    <row r="646" spans="1:10" s="14" customFormat="1" ht="16.5" customHeight="1">
      <c r="A646" s="31" t="str">
        <f t="shared" si="72"/>
        <v>NI</v>
      </c>
      <c r="B646" s="350">
        <v>51104111</v>
      </c>
      <c r="C646" s="350" t="s">
        <v>422</v>
      </c>
      <c r="D646" s="340">
        <v>2942670</v>
      </c>
      <c r="E646" s="341">
        <v>404.9</v>
      </c>
      <c r="F646" s="829"/>
      <c r="G646" s="829"/>
      <c r="H646" s="828">
        <f>+VLOOKUP(B646,Composición!$C:$C,1,0)</f>
        <v>51104111</v>
      </c>
      <c r="I646" s="829"/>
      <c r="J646" s="829"/>
    </row>
    <row r="647" spans="1:10" s="14" customFormat="1" ht="16.5" customHeight="1">
      <c r="A647" s="14" t="str">
        <f t="shared" si="72"/>
        <v>I</v>
      </c>
      <c r="B647" s="345">
        <v>5110411101</v>
      </c>
      <c r="C647" s="345" t="s">
        <v>423</v>
      </c>
      <c r="D647" s="347">
        <v>2942670</v>
      </c>
      <c r="E647" s="348">
        <v>404.9</v>
      </c>
      <c r="F647" s="829"/>
      <c r="G647" s="829"/>
      <c r="H647" s="828">
        <f>+VLOOKUP(B647,Composición!$C:$C,1,0)</f>
        <v>5110411101</v>
      </c>
      <c r="I647" s="829"/>
      <c r="J647" s="829"/>
    </row>
    <row r="648" spans="1:10" s="14" customFormat="1" ht="16.5" customHeight="1">
      <c r="A648" s="31" t="str">
        <f t="shared" si="72"/>
        <v>NI</v>
      </c>
      <c r="B648" s="350">
        <v>51105</v>
      </c>
      <c r="C648" s="350" t="s">
        <v>424</v>
      </c>
      <c r="D648" s="340">
        <v>348920800</v>
      </c>
      <c r="E648" s="341">
        <v>6317.35</v>
      </c>
      <c r="F648" s="829">
        <f>+SUMIF(Composición!C:C,'BG 2023'!B648,Composición!G:G)</f>
        <v>0</v>
      </c>
      <c r="G648" s="830">
        <f t="shared" ref="G648:G650" si="75">+F648-D648</f>
        <v>-348920800</v>
      </c>
      <c r="H648" s="828">
        <f>+VLOOKUP(B648,Composición!$C:$C,1,0)</f>
        <v>51105</v>
      </c>
      <c r="I648" s="829"/>
      <c r="J648" s="829"/>
    </row>
    <row r="649" spans="1:10" s="14" customFormat="1" ht="16.5" customHeight="1">
      <c r="A649" s="31" t="str">
        <f t="shared" si="72"/>
        <v>NI</v>
      </c>
      <c r="B649" s="350">
        <v>511051</v>
      </c>
      <c r="C649" s="350" t="s">
        <v>424</v>
      </c>
      <c r="D649" s="340">
        <v>348920800</v>
      </c>
      <c r="E649" s="341">
        <v>6317.35</v>
      </c>
      <c r="F649" s="829">
        <f>+SUMIF(Composición!C:C,'BG 2023'!B649,Composición!G:G)</f>
        <v>0</v>
      </c>
      <c r="G649" s="830">
        <f t="shared" si="75"/>
        <v>-348920800</v>
      </c>
      <c r="H649" s="828">
        <f>+VLOOKUP(B649,Composición!$C:$C,1,0)</f>
        <v>511051</v>
      </c>
      <c r="I649" s="829"/>
      <c r="J649" s="829"/>
    </row>
    <row r="650" spans="1:10" s="14" customFormat="1" ht="16.5" customHeight="1">
      <c r="A650" s="31" t="str">
        <f t="shared" si="72"/>
        <v>NI</v>
      </c>
      <c r="B650" s="350">
        <v>5110511</v>
      </c>
      <c r="C650" s="350" t="s">
        <v>424</v>
      </c>
      <c r="D650" s="340">
        <v>348920800</v>
      </c>
      <c r="E650" s="341">
        <v>6317.35</v>
      </c>
      <c r="F650" s="829">
        <f>+SUMIF(Composición!C:C,'BG 2023'!B650,Composición!G:G)</f>
        <v>0</v>
      </c>
      <c r="G650" s="830">
        <f t="shared" si="75"/>
        <v>-348920800</v>
      </c>
      <c r="H650" s="828">
        <f>+VLOOKUP(B650,Composición!$C:$C,1,0)</f>
        <v>5110511</v>
      </c>
      <c r="I650" s="829"/>
      <c r="J650" s="829"/>
    </row>
    <row r="651" spans="1:10" s="14" customFormat="1" ht="16.5" customHeight="1">
      <c r="A651" s="31" t="str">
        <f t="shared" si="72"/>
        <v>NI</v>
      </c>
      <c r="B651" s="350">
        <v>51105111</v>
      </c>
      <c r="C651" s="350" t="s">
        <v>424</v>
      </c>
      <c r="D651" s="340">
        <v>348920800</v>
      </c>
      <c r="E651" s="341">
        <v>6317.35</v>
      </c>
      <c r="F651" s="829"/>
      <c r="G651" s="829"/>
      <c r="H651" s="828">
        <f>+VLOOKUP(B651,Composición!$C:$C,1,0)</f>
        <v>51105111</v>
      </c>
      <c r="I651" s="829"/>
      <c r="J651" s="829"/>
    </row>
    <row r="652" spans="1:10" s="14" customFormat="1" ht="16.5" customHeight="1">
      <c r="A652" s="14" t="str">
        <f t="shared" si="72"/>
        <v>I</v>
      </c>
      <c r="B652" s="345">
        <v>5110511101</v>
      </c>
      <c r="C652" s="345" t="s">
        <v>379</v>
      </c>
      <c r="D652" s="347">
        <v>45992420</v>
      </c>
      <c r="E652" s="348">
        <v>480.84</v>
      </c>
      <c r="F652" s="829"/>
      <c r="G652" s="829"/>
      <c r="H652" s="828">
        <f>+VLOOKUP(B652,Composición!$C:$C,1,0)</f>
        <v>5110511101</v>
      </c>
      <c r="I652" s="829"/>
      <c r="J652" s="829"/>
    </row>
    <row r="653" spans="1:10" s="14" customFormat="1" ht="16.5" customHeight="1">
      <c r="A653" s="14" t="str">
        <f t="shared" si="72"/>
        <v>I</v>
      </c>
      <c r="B653" s="345">
        <v>5110511102</v>
      </c>
      <c r="C653" s="345" t="s">
        <v>380</v>
      </c>
      <c r="D653" s="347">
        <v>302928380</v>
      </c>
      <c r="E653" s="348">
        <v>5836.51</v>
      </c>
      <c r="F653" s="829"/>
      <c r="G653" s="829"/>
      <c r="H653" s="828">
        <f>+VLOOKUP(B653,Composición!$C:$C,1,0)</f>
        <v>5110511102</v>
      </c>
      <c r="I653" s="829"/>
      <c r="J653" s="829"/>
    </row>
    <row r="654" spans="1:10" s="14" customFormat="1" ht="16.5" customHeight="1">
      <c r="A654" s="31" t="str">
        <f t="shared" si="72"/>
        <v>NI</v>
      </c>
      <c r="B654" s="350">
        <v>512</v>
      </c>
      <c r="C654" s="350" t="s">
        <v>425</v>
      </c>
      <c r="D654" s="340">
        <v>74680707</v>
      </c>
      <c r="E654" s="341">
        <v>10234.66</v>
      </c>
      <c r="F654" s="829"/>
      <c r="G654" s="829"/>
      <c r="H654" s="828">
        <f>+VLOOKUP(B654,Composición!$C:$C,1,0)</f>
        <v>512</v>
      </c>
      <c r="I654" s="829"/>
      <c r="J654" s="829"/>
    </row>
    <row r="655" spans="1:10" s="14" customFormat="1" ht="16.5" customHeight="1">
      <c r="A655" s="31" t="str">
        <f t="shared" si="72"/>
        <v>NI</v>
      </c>
      <c r="B655" s="350">
        <v>51201</v>
      </c>
      <c r="C655" s="350" t="s">
        <v>426</v>
      </c>
      <c r="D655" s="340">
        <v>74680707</v>
      </c>
      <c r="E655" s="341">
        <v>10234.66</v>
      </c>
      <c r="F655" s="829">
        <f>+SUMIF(Composición!C:C,'BG 2023'!B655,Composición!G:G)</f>
        <v>0</v>
      </c>
      <c r="G655" s="830">
        <f>+F655-D655</f>
        <v>-74680707</v>
      </c>
      <c r="H655" s="828">
        <f>+VLOOKUP(B655,Composición!$C:$C,1,0)</f>
        <v>51201</v>
      </c>
      <c r="I655" s="829"/>
      <c r="J655" s="829"/>
    </row>
    <row r="656" spans="1:10" s="14" customFormat="1" ht="16.5" customHeight="1">
      <c r="A656" s="31" t="str">
        <f t="shared" si="72"/>
        <v>NI</v>
      </c>
      <c r="B656" s="350">
        <v>512011</v>
      </c>
      <c r="C656" s="350" t="s">
        <v>426</v>
      </c>
      <c r="D656" s="340">
        <v>74680707</v>
      </c>
      <c r="E656" s="341">
        <v>10234.66</v>
      </c>
      <c r="F656" s="829"/>
      <c r="G656" s="829"/>
      <c r="H656" s="828">
        <f>+VLOOKUP(B656,Composición!$C:$C,1,0)</f>
        <v>512011</v>
      </c>
      <c r="I656" s="829"/>
      <c r="J656" s="829"/>
    </row>
    <row r="657" spans="1:10" s="14" customFormat="1" ht="16.5" customHeight="1">
      <c r="A657" s="31" t="str">
        <f t="shared" si="72"/>
        <v>NI</v>
      </c>
      <c r="B657" s="350">
        <v>5120111</v>
      </c>
      <c r="C657" s="350" t="s">
        <v>426</v>
      </c>
      <c r="D657" s="340">
        <v>74680707</v>
      </c>
      <c r="E657" s="341">
        <v>10234.66</v>
      </c>
      <c r="F657" s="829"/>
      <c r="G657" s="829"/>
      <c r="H657" s="828">
        <f>+VLOOKUP(B657,Composición!$C:$C,1,0)</f>
        <v>5120111</v>
      </c>
      <c r="I657" s="829"/>
      <c r="J657" s="829"/>
    </row>
    <row r="658" spans="1:10" s="14" customFormat="1" ht="16.5" customHeight="1">
      <c r="A658" s="31" t="str">
        <f t="shared" si="72"/>
        <v>NI</v>
      </c>
      <c r="B658" s="350">
        <v>51201111</v>
      </c>
      <c r="C658" s="350" t="s">
        <v>426</v>
      </c>
      <c r="D658" s="340">
        <v>74680707</v>
      </c>
      <c r="E658" s="341">
        <v>10234.66</v>
      </c>
      <c r="F658" s="829"/>
      <c r="G658" s="829"/>
      <c r="H658" s="828">
        <f>+VLOOKUP(B658,Composición!$C:$C,1,0)</f>
        <v>51201111</v>
      </c>
      <c r="I658" s="829"/>
      <c r="J658" s="829"/>
    </row>
    <row r="659" spans="1:10" s="14" customFormat="1" ht="16.5" customHeight="1">
      <c r="A659" s="14" t="str">
        <f t="shared" si="72"/>
        <v>I</v>
      </c>
      <c r="B659" s="345">
        <v>5120111101</v>
      </c>
      <c r="C659" s="345" t="s">
        <v>427</v>
      </c>
      <c r="D659" s="347">
        <v>35932972</v>
      </c>
      <c r="E659" s="348">
        <v>4941.42</v>
      </c>
      <c r="F659" s="829"/>
      <c r="G659" s="829"/>
      <c r="H659" s="828">
        <f>+VLOOKUP(B659,Composición!$C:$C,1,0)</f>
        <v>5120111101</v>
      </c>
      <c r="I659" s="829"/>
      <c r="J659" s="829"/>
    </row>
    <row r="660" spans="1:10" s="14" customFormat="1" ht="16.5" customHeight="1">
      <c r="A660" s="14" t="str">
        <f t="shared" si="72"/>
        <v>I</v>
      </c>
      <c r="B660" s="345">
        <v>5120111103</v>
      </c>
      <c r="C660" s="345" t="s">
        <v>428</v>
      </c>
      <c r="D660" s="347">
        <v>32502657</v>
      </c>
      <c r="E660" s="348">
        <v>4435.9599999999991</v>
      </c>
      <c r="F660" s="829">
        <f>+SUMIF(Composición!C:C,'BG 2023'!B660,Composición!G:G)</f>
        <v>48127656</v>
      </c>
      <c r="G660" s="830">
        <f t="shared" ref="G660:G662" si="76">+F660-D660</f>
        <v>15624999</v>
      </c>
      <c r="H660" s="828">
        <f>+VLOOKUP(B660,Composición!$C:$C,1,0)</f>
        <v>5120111103</v>
      </c>
      <c r="I660" s="829"/>
      <c r="J660" s="829"/>
    </row>
    <row r="661" spans="1:10" s="14" customFormat="1" ht="16.5" customHeight="1">
      <c r="A661" s="14" t="str">
        <f t="shared" si="72"/>
        <v>I</v>
      </c>
      <c r="B661" s="345">
        <v>5120111104</v>
      </c>
      <c r="C661" s="345" t="s">
        <v>429</v>
      </c>
      <c r="D661" s="347">
        <v>418182</v>
      </c>
      <c r="E661" s="348">
        <v>57.28</v>
      </c>
      <c r="F661" s="829">
        <f>+SUMIF(Composición!C:C,'BG 2023'!B661,Composición!G:G)</f>
        <v>41412543</v>
      </c>
      <c r="G661" s="830">
        <f t="shared" si="76"/>
        <v>40994361</v>
      </c>
      <c r="H661" s="828">
        <f>+VLOOKUP(B661,Composición!$C:$C,1,0)</f>
        <v>5120111104</v>
      </c>
      <c r="I661" s="829"/>
      <c r="J661" s="829"/>
    </row>
    <row r="662" spans="1:10" s="14" customFormat="1" ht="16.5" customHeight="1">
      <c r="A662" s="14" t="str">
        <f t="shared" si="72"/>
        <v>I</v>
      </c>
      <c r="B662" s="345">
        <v>5120111105</v>
      </c>
      <c r="C662" s="345" t="s">
        <v>430</v>
      </c>
      <c r="D662" s="347">
        <v>5826896</v>
      </c>
      <c r="E662" s="348">
        <v>800</v>
      </c>
      <c r="F662" s="829">
        <f>+SUMIF(Composición!C:C,'BG 2023'!B662,Composición!G:G)</f>
        <v>9600000</v>
      </c>
      <c r="G662" s="830">
        <f t="shared" si="76"/>
        <v>3773104</v>
      </c>
      <c r="H662" s="828">
        <f>+VLOOKUP(B662,Composición!$C:$C,1,0)</f>
        <v>5120111105</v>
      </c>
      <c r="I662" s="829"/>
      <c r="J662" s="829"/>
    </row>
    <row r="663" spans="1:10" s="14" customFormat="1" ht="16.5" customHeight="1">
      <c r="A663" s="31" t="str">
        <f t="shared" si="72"/>
        <v>NI</v>
      </c>
      <c r="B663" s="350">
        <v>513</v>
      </c>
      <c r="C663" s="350" t="s">
        <v>431</v>
      </c>
      <c r="D663" s="340">
        <v>11687345989</v>
      </c>
      <c r="E663" s="341">
        <v>1609909.8870000001</v>
      </c>
      <c r="F663" s="829"/>
      <c r="G663" s="829"/>
      <c r="H663" s="828">
        <f>+VLOOKUP(B663,Composición!$C:$C,1,0)</f>
        <v>513</v>
      </c>
      <c r="I663" s="829"/>
      <c r="J663" s="829"/>
    </row>
    <row r="664" spans="1:10" s="14" customFormat="1" ht="16.5" customHeight="1">
      <c r="A664" s="31" t="str">
        <f t="shared" si="72"/>
        <v>NI</v>
      </c>
      <c r="B664" s="350">
        <v>51301</v>
      </c>
      <c r="C664" s="350" t="s">
        <v>432</v>
      </c>
      <c r="D664" s="340">
        <v>3642061750</v>
      </c>
      <c r="E664" s="341">
        <v>499856.38</v>
      </c>
      <c r="F664" s="829"/>
      <c r="G664" s="829"/>
      <c r="H664" s="828">
        <f>+VLOOKUP(B664,Composición!$C:$C,1,0)</f>
        <v>51301</v>
      </c>
      <c r="I664" s="829"/>
      <c r="J664" s="829"/>
    </row>
    <row r="665" spans="1:10" s="14" customFormat="1" ht="16.5" customHeight="1">
      <c r="A665" s="31" t="str">
        <f t="shared" si="72"/>
        <v>NI</v>
      </c>
      <c r="B665" s="350">
        <v>513011</v>
      </c>
      <c r="C665" s="350" t="s">
        <v>432</v>
      </c>
      <c r="D665" s="340">
        <v>3642061750</v>
      </c>
      <c r="E665" s="341">
        <v>499856.38</v>
      </c>
      <c r="F665" s="829"/>
      <c r="G665" s="829"/>
      <c r="H665" s="828">
        <f>+VLOOKUP(B665,Composición!$C:$C,1,0)</f>
        <v>513011</v>
      </c>
      <c r="I665" s="829"/>
      <c r="J665" s="829"/>
    </row>
    <row r="666" spans="1:10" s="14" customFormat="1" ht="16.5" customHeight="1">
      <c r="A666" s="31" t="str">
        <f t="shared" si="72"/>
        <v>NI</v>
      </c>
      <c r="B666" s="350">
        <v>5130111</v>
      </c>
      <c r="C666" s="350" t="s">
        <v>432</v>
      </c>
      <c r="D666" s="340">
        <v>3642061750</v>
      </c>
      <c r="E666" s="341">
        <v>499856.38</v>
      </c>
      <c r="F666" s="829"/>
      <c r="G666" s="829"/>
      <c r="H666" s="828">
        <f>+VLOOKUP(B666,Composición!$C:$C,1,0)</f>
        <v>5130111</v>
      </c>
      <c r="I666" s="829"/>
      <c r="J666" s="829"/>
    </row>
    <row r="667" spans="1:10" s="14" customFormat="1" ht="16.5" customHeight="1">
      <c r="A667" s="31" t="str">
        <f t="shared" si="72"/>
        <v>NI</v>
      </c>
      <c r="B667" s="350">
        <v>51301111</v>
      </c>
      <c r="C667" s="350" t="s">
        <v>432</v>
      </c>
      <c r="D667" s="340">
        <v>3642061750</v>
      </c>
      <c r="E667" s="341">
        <v>499856.38</v>
      </c>
      <c r="F667" s="829">
        <f>+SUMIF(Composición!C:C,'BG 2023'!B667,Composición!G:G)</f>
        <v>0</v>
      </c>
      <c r="G667" s="830">
        <f t="shared" ref="G667:G668" si="77">+F667-D667</f>
        <v>-3642061750</v>
      </c>
      <c r="H667" s="828">
        <f>+VLOOKUP(B667,Composición!$C:$C,1,0)</f>
        <v>51301111</v>
      </c>
      <c r="I667" s="829"/>
      <c r="J667" s="829"/>
    </row>
    <row r="668" spans="1:10" s="14" customFormat="1" ht="16.5" customHeight="1">
      <c r="A668" s="14" t="str">
        <f t="shared" si="72"/>
        <v>I</v>
      </c>
      <c r="B668" s="345">
        <v>5130111101</v>
      </c>
      <c r="C668" s="345" t="s">
        <v>433</v>
      </c>
      <c r="D668" s="347">
        <v>3032294448</v>
      </c>
      <c r="E668" s="348">
        <v>416204.11</v>
      </c>
      <c r="F668" s="829">
        <f>+SUMIF(Composición!C:C,'BG 2023'!B668,Composición!G:G)</f>
        <v>2456520949</v>
      </c>
      <c r="G668" s="830">
        <f t="shared" si="77"/>
        <v>-575773499</v>
      </c>
      <c r="H668" s="828">
        <f>+VLOOKUP(B668,Composición!$C:$C,1,0)</f>
        <v>5130111101</v>
      </c>
      <c r="I668" s="829"/>
      <c r="J668" s="829"/>
    </row>
    <row r="669" spans="1:10" s="14" customFormat="1" ht="16.5" customHeight="1">
      <c r="A669" s="14" t="str">
        <f t="shared" si="72"/>
        <v>I</v>
      </c>
      <c r="B669" s="345">
        <v>5130111102</v>
      </c>
      <c r="C669" s="345" t="s">
        <v>434</v>
      </c>
      <c r="D669" s="347">
        <v>37365531</v>
      </c>
      <c r="E669" s="348">
        <v>5165.66</v>
      </c>
      <c r="F669" s="829"/>
      <c r="G669" s="829"/>
      <c r="H669" s="828">
        <f>+VLOOKUP(B669,Composición!$C:$C,1,0)</f>
        <v>5130111102</v>
      </c>
      <c r="I669" s="829"/>
      <c r="J669" s="829"/>
    </row>
    <row r="670" spans="1:10" s="14" customFormat="1" ht="16.5" customHeight="1">
      <c r="A670" s="14" t="str">
        <f t="shared" si="72"/>
        <v>I</v>
      </c>
      <c r="B670" s="345">
        <v>5130111104</v>
      </c>
      <c r="C670" s="345" t="s">
        <v>435</v>
      </c>
      <c r="D670" s="347">
        <v>346255473</v>
      </c>
      <c r="E670" s="348">
        <v>47530.29</v>
      </c>
      <c r="F670" s="829"/>
      <c r="G670" s="829"/>
      <c r="H670" s="828">
        <f>+VLOOKUP(B670,Composición!$C:$C,1,0)</f>
        <v>5130111104</v>
      </c>
      <c r="I670" s="829"/>
      <c r="J670" s="829"/>
    </row>
    <row r="671" spans="1:10" s="14" customFormat="1" ht="16.5" customHeight="1">
      <c r="A671" s="14" t="str">
        <f t="shared" si="72"/>
        <v>I</v>
      </c>
      <c r="B671" s="345">
        <v>5130111105</v>
      </c>
      <c r="C671" s="345" t="s">
        <v>436</v>
      </c>
      <c r="D671" s="347">
        <v>166491296</v>
      </c>
      <c r="E671" s="348">
        <v>22832.42</v>
      </c>
      <c r="F671" s="829"/>
      <c r="G671" s="829"/>
      <c r="H671" s="828">
        <f>+VLOOKUP(B671,Composición!$C:$C,1,0)</f>
        <v>5130111105</v>
      </c>
      <c r="I671" s="829"/>
      <c r="J671" s="829"/>
    </row>
    <row r="672" spans="1:10" s="14" customFormat="1" ht="16.5" customHeight="1">
      <c r="A672" s="14" t="str">
        <f t="shared" si="72"/>
        <v>I</v>
      </c>
      <c r="B672" s="345">
        <v>5130111106</v>
      </c>
      <c r="C672" s="345" t="s">
        <v>437</v>
      </c>
      <c r="D672" s="347">
        <v>15329269</v>
      </c>
      <c r="E672" s="348">
        <v>2100.0700000000002</v>
      </c>
      <c r="F672" s="829">
        <f>+SUMIF(Composición!C:C,'BG 2023'!B672,Composición!G:G)</f>
        <v>5460991.700000003</v>
      </c>
      <c r="G672" s="830">
        <f t="shared" ref="G672:G688" si="78">+F672-D672</f>
        <v>-9868277.299999997</v>
      </c>
      <c r="H672" s="828">
        <f>+VLOOKUP(B672,Composición!$C:$C,1,0)</f>
        <v>5130111106</v>
      </c>
      <c r="I672" s="829"/>
      <c r="J672" s="829"/>
    </row>
    <row r="673" spans="1:10" s="14" customFormat="1" ht="16.5" customHeight="1">
      <c r="A673" s="14" t="str">
        <f t="shared" si="72"/>
        <v>I</v>
      </c>
      <c r="B673" s="345">
        <v>5130111107</v>
      </c>
      <c r="C673" s="345" t="s">
        <v>438</v>
      </c>
      <c r="D673" s="347">
        <v>44325733</v>
      </c>
      <c r="E673" s="348">
        <v>6023.83</v>
      </c>
      <c r="F673" s="829">
        <f>+SUMIF(Composición!C:C,'BG 2023'!B673,Composición!G:G)</f>
        <v>113400314</v>
      </c>
      <c r="G673" s="830">
        <f t="shared" si="78"/>
        <v>69074581</v>
      </c>
      <c r="H673" s="828">
        <f>+VLOOKUP(B673,Composición!$C:$C,1,0)</f>
        <v>5130111107</v>
      </c>
      <c r="I673" s="829"/>
      <c r="J673" s="829"/>
    </row>
    <row r="674" spans="1:10" s="14" customFormat="1" ht="16.5" customHeight="1">
      <c r="A674" s="31" t="str">
        <f t="shared" si="72"/>
        <v>NI</v>
      </c>
      <c r="B674" s="350">
        <v>51302</v>
      </c>
      <c r="C674" s="350" t="s">
        <v>224</v>
      </c>
      <c r="D674" s="340">
        <v>1751034954</v>
      </c>
      <c r="E674" s="341">
        <v>240636.432</v>
      </c>
      <c r="F674" s="829">
        <f>+SUMIF(Composición!C:C,'BG 2023'!B674,Composición!G:G)</f>
        <v>0</v>
      </c>
      <c r="G674" s="830">
        <f t="shared" si="78"/>
        <v>-1751034954</v>
      </c>
      <c r="H674" s="828">
        <f>+VLOOKUP(B674,Composición!$C:$C,1,0)</f>
        <v>51302</v>
      </c>
      <c r="I674" s="829"/>
      <c r="J674" s="829"/>
    </row>
    <row r="675" spans="1:10" s="14" customFormat="1" ht="16.5" customHeight="1">
      <c r="A675" s="31" t="str">
        <f t="shared" si="72"/>
        <v>NI</v>
      </c>
      <c r="B675" s="350">
        <v>513021</v>
      </c>
      <c r="C675" s="350" t="s">
        <v>224</v>
      </c>
      <c r="D675" s="340">
        <v>1751034954</v>
      </c>
      <c r="E675" s="341">
        <v>240636.432</v>
      </c>
      <c r="F675" s="829">
        <f>+SUMIF(Composición!C:C,'BG 2023'!B675,Composición!G:G)</f>
        <v>0</v>
      </c>
      <c r="G675" s="830">
        <f t="shared" si="78"/>
        <v>-1751034954</v>
      </c>
      <c r="H675" s="828">
        <f>+VLOOKUP(B675,Composición!$C:$C,1,0)</f>
        <v>513021</v>
      </c>
      <c r="I675" s="829"/>
      <c r="J675" s="829"/>
    </row>
    <row r="676" spans="1:10" s="14" customFormat="1" ht="16.5" customHeight="1">
      <c r="A676" s="31" t="str">
        <f t="shared" si="72"/>
        <v>NI</v>
      </c>
      <c r="B676" s="350">
        <v>5130211</v>
      </c>
      <c r="C676" s="350" t="s">
        <v>224</v>
      </c>
      <c r="D676" s="340">
        <v>1751034954</v>
      </c>
      <c r="E676" s="341">
        <v>240636.432</v>
      </c>
      <c r="F676" s="829">
        <f>+SUMIF(Composición!C:C,'BG 2023'!B676,Composición!G:G)</f>
        <v>0</v>
      </c>
      <c r="G676" s="830">
        <f t="shared" si="78"/>
        <v>-1751034954</v>
      </c>
      <c r="H676" s="828">
        <f>+VLOOKUP(B676,Composición!$C:$C,1,0)</f>
        <v>5130211</v>
      </c>
      <c r="I676" s="829"/>
      <c r="J676" s="829"/>
    </row>
    <row r="677" spans="1:10" s="14" customFormat="1" ht="16.5" customHeight="1">
      <c r="A677" s="31" t="str">
        <f t="shared" si="72"/>
        <v>NI</v>
      </c>
      <c r="B677" s="350">
        <v>51302111</v>
      </c>
      <c r="C677" s="350" t="s">
        <v>224</v>
      </c>
      <c r="D677" s="340">
        <v>1751034954</v>
      </c>
      <c r="E677" s="341">
        <v>240636.432</v>
      </c>
      <c r="F677" s="829">
        <f>+SUMIF(Composición!C:C,'BG 2023'!B677,Composición!G:G)</f>
        <v>0</v>
      </c>
      <c r="G677" s="830">
        <f t="shared" si="78"/>
        <v>-1751034954</v>
      </c>
      <c r="H677" s="828">
        <f>+VLOOKUP(B677,Composición!$C:$C,1,0)</f>
        <v>51302111</v>
      </c>
      <c r="I677" s="829"/>
      <c r="J677" s="829"/>
    </row>
    <row r="678" spans="1:10" s="14" customFormat="1" ht="16.5" customHeight="1">
      <c r="A678" s="14" t="str">
        <f t="shared" si="72"/>
        <v>I</v>
      </c>
      <c r="B678" s="345">
        <v>5130211101</v>
      </c>
      <c r="C678" s="345" t="s">
        <v>439</v>
      </c>
      <c r="D678" s="347">
        <v>823325839</v>
      </c>
      <c r="E678" s="348">
        <v>113137.2</v>
      </c>
      <c r="F678" s="829">
        <f>+SUMIF(Composición!C:C,'BG 2023'!B678,Composición!G:G)</f>
        <v>834071649</v>
      </c>
      <c r="G678" s="830">
        <f t="shared" si="78"/>
        <v>10745810</v>
      </c>
      <c r="H678" s="828">
        <f>+VLOOKUP(B678,Composición!$C:$C,1,0)</f>
        <v>5130211101</v>
      </c>
      <c r="I678" s="829"/>
      <c r="J678" s="829"/>
    </row>
    <row r="679" spans="1:10" s="14" customFormat="1" ht="16.5" customHeight="1">
      <c r="A679" s="14" t="str">
        <f t="shared" si="72"/>
        <v>I</v>
      </c>
      <c r="B679" s="345">
        <v>5130211102</v>
      </c>
      <c r="C679" s="345" t="s">
        <v>440</v>
      </c>
      <c r="D679" s="347">
        <v>40111794</v>
      </c>
      <c r="E679" s="348">
        <v>5417.9</v>
      </c>
      <c r="F679" s="829">
        <f>+SUMIF(Composición!C:C,'BG 2023'!B679,Composición!G:G)</f>
        <v>41534116</v>
      </c>
      <c r="G679" s="830">
        <f t="shared" si="78"/>
        <v>1422322</v>
      </c>
      <c r="H679" s="828">
        <f>+VLOOKUP(B679,Composición!$C:$C,1,0)</f>
        <v>5130211102</v>
      </c>
      <c r="I679" s="829"/>
      <c r="J679" s="829"/>
    </row>
    <row r="680" spans="1:10" s="14" customFormat="1" ht="16.5" customHeight="1">
      <c r="A680" s="14" t="str">
        <f t="shared" si="72"/>
        <v>I</v>
      </c>
      <c r="B680" s="345">
        <v>5130211103</v>
      </c>
      <c r="C680" s="345" t="s">
        <v>441</v>
      </c>
      <c r="D680" s="347">
        <v>155000000</v>
      </c>
      <c r="E680" s="348">
        <v>21622.52</v>
      </c>
      <c r="F680" s="829">
        <f>+SUMIF(Composición!C:C,'BG 2023'!B680,Composición!G:G)</f>
        <v>0</v>
      </c>
      <c r="G680" s="830">
        <f t="shared" si="78"/>
        <v>-155000000</v>
      </c>
      <c r="H680" s="828">
        <f>+VLOOKUP(B680,Composición!$C:$C,1,0)</f>
        <v>5130211103</v>
      </c>
      <c r="I680" s="829"/>
      <c r="J680" s="829"/>
    </row>
    <row r="681" spans="1:10" s="14" customFormat="1" ht="16.5" customHeight="1">
      <c r="A681" s="14" t="str">
        <f t="shared" si="72"/>
        <v>I</v>
      </c>
      <c r="B681" s="345">
        <v>5130211104</v>
      </c>
      <c r="C681" s="345" t="s">
        <v>442</v>
      </c>
      <c r="D681" s="347">
        <v>65810726</v>
      </c>
      <c r="E681" s="348">
        <v>9064.8700000000008</v>
      </c>
      <c r="F681" s="829">
        <f>+SUMIF(Composición!C:C,'BG 2023'!B681,Composición!G:G)</f>
        <v>81955683</v>
      </c>
      <c r="G681" s="830">
        <f t="shared" si="78"/>
        <v>16144957</v>
      </c>
      <c r="H681" s="828">
        <f>+VLOOKUP(B681,Composición!$C:$C,1,0)</f>
        <v>5130211104</v>
      </c>
      <c r="I681" s="829"/>
      <c r="J681" s="829"/>
    </row>
    <row r="682" spans="1:10" s="14" customFormat="1" ht="16.5" customHeight="1">
      <c r="A682" s="14" t="str">
        <f t="shared" si="72"/>
        <v>I</v>
      </c>
      <c r="B682" s="345">
        <v>5130211105</v>
      </c>
      <c r="C682" s="345" t="s">
        <v>443</v>
      </c>
      <c r="D682" s="347">
        <v>2763636</v>
      </c>
      <c r="E682" s="348">
        <v>383.32</v>
      </c>
      <c r="F682" s="829">
        <f>+SUMIF(Composición!C:C,'BG 2023'!B682,Composición!G:G)</f>
        <v>0</v>
      </c>
      <c r="G682" s="830">
        <f t="shared" si="78"/>
        <v>-2763636</v>
      </c>
      <c r="H682" s="828">
        <f>+VLOOKUP(B682,Composición!$C:$C,1,0)</f>
        <v>5130211105</v>
      </c>
      <c r="I682" s="829"/>
      <c r="J682" s="829"/>
    </row>
    <row r="683" spans="1:10" s="14" customFormat="1" ht="16.5" customHeight="1">
      <c r="A683" s="14" t="str">
        <f t="shared" si="72"/>
        <v>I</v>
      </c>
      <c r="B683" s="345">
        <v>5130211106</v>
      </c>
      <c r="C683" s="345" t="s">
        <v>444</v>
      </c>
      <c r="D683" s="347">
        <v>74304086</v>
      </c>
      <c r="E683" s="348">
        <v>10176.4</v>
      </c>
      <c r="F683" s="829">
        <f>+SUMIF(Composición!C:C,'BG 2023'!B683,Composición!G:G)</f>
        <v>92194574</v>
      </c>
      <c r="G683" s="830">
        <f t="shared" si="78"/>
        <v>17890488</v>
      </c>
      <c r="H683" s="828">
        <f>+VLOOKUP(B683,Composición!$C:$C,1,0)</f>
        <v>5130211106</v>
      </c>
      <c r="I683" s="829"/>
      <c r="J683" s="829"/>
    </row>
    <row r="684" spans="1:10" s="14" customFormat="1" ht="16.5" customHeight="1">
      <c r="A684" s="14" t="str">
        <f t="shared" si="72"/>
        <v>I</v>
      </c>
      <c r="B684" s="345">
        <v>5130211107</v>
      </c>
      <c r="C684" s="345" t="s">
        <v>445</v>
      </c>
      <c r="D684" s="347">
        <v>194945168</v>
      </c>
      <c r="E684" s="348">
        <v>26707.3</v>
      </c>
      <c r="F684" s="829">
        <f>+SUMIF(Composición!C:C,'BG 2023'!B684,Composición!G:G)</f>
        <v>189018192</v>
      </c>
      <c r="G684" s="830">
        <f t="shared" si="78"/>
        <v>-5926976</v>
      </c>
      <c r="H684" s="828">
        <f>+VLOOKUP(B684,Composición!$C:$C,1,0)</f>
        <v>5130211107</v>
      </c>
      <c r="I684" s="829"/>
      <c r="J684" s="829"/>
    </row>
    <row r="685" spans="1:10" s="14" customFormat="1" ht="16.5" customHeight="1">
      <c r="A685" s="14" t="str">
        <f t="shared" si="72"/>
        <v>I</v>
      </c>
      <c r="B685" s="345">
        <v>5130211108</v>
      </c>
      <c r="C685" s="345" t="s">
        <v>446</v>
      </c>
      <c r="D685" s="347">
        <v>384978312</v>
      </c>
      <c r="E685" s="348">
        <v>52797.752</v>
      </c>
      <c r="F685" s="829">
        <f>+SUMIF(Composición!C:C,'BG 2023'!B685,Composición!G:G)</f>
        <v>380342101</v>
      </c>
      <c r="G685" s="830">
        <f t="shared" si="78"/>
        <v>-4636211</v>
      </c>
      <c r="H685" s="828">
        <f>+VLOOKUP(B685,Composición!$C:$C,1,0)</f>
        <v>5130211108</v>
      </c>
      <c r="I685" s="829"/>
      <c r="J685" s="829"/>
    </row>
    <row r="686" spans="1:10" s="14" customFormat="1" ht="16.5" customHeight="1">
      <c r="A686" s="14" t="str">
        <f t="shared" si="72"/>
        <v>I</v>
      </c>
      <c r="B686" s="345">
        <v>5130211109</v>
      </c>
      <c r="C686" s="345" t="s">
        <v>447</v>
      </c>
      <c r="D686" s="347">
        <v>445393</v>
      </c>
      <c r="E686" s="348">
        <v>60.39</v>
      </c>
      <c r="F686" s="829">
        <f>+SUMIF(Composición!C:C,'BG 2023'!B686,Composición!G:G)</f>
        <v>818182</v>
      </c>
      <c r="G686" s="830">
        <f t="shared" si="78"/>
        <v>372789</v>
      </c>
      <c r="H686" s="828">
        <f>+VLOOKUP(B686,Composición!$C:$C,1,0)</f>
        <v>5130211109</v>
      </c>
      <c r="I686" s="829"/>
      <c r="J686" s="829"/>
    </row>
    <row r="687" spans="1:10" s="14" customFormat="1" ht="16.5" customHeight="1">
      <c r="A687" s="14" t="str">
        <f t="shared" ref="A687:A704" si="79">IF(LEN(B687)&gt;8,"I","NI")</f>
        <v>I</v>
      </c>
      <c r="B687" s="345">
        <v>5130211111</v>
      </c>
      <c r="C687" s="345" t="s">
        <v>448</v>
      </c>
      <c r="D687" s="347">
        <v>9350000</v>
      </c>
      <c r="E687" s="348">
        <v>1268.78</v>
      </c>
      <c r="F687" s="829">
        <f>+SUMIF(Composición!C:C,'BG 2023'!B687,Composición!G:G)</f>
        <v>11900000</v>
      </c>
      <c r="G687" s="830">
        <f t="shared" si="78"/>
        <v>2550000</v>
      </c>
      <c r="H687" s="828">
        <f>+VLOOKUP(B687,Composición!$C:$C,1,0)</f>
        <v>5130211111</v>
      </c>
      <c r="I687" s="829"/>
      <c r="J687" s="829"/>
    </row>
    <row r="688" spans="1:10" s="14" customFormat="1" ht="16.5" customHeight="1">
      <c r="A688" s="31" t="str">
        <f t="shared" si="79"/>
        <v>NI</v>
      </c>
      <c r="B688" s="350">
        <v>51303</v>
      </c>
      <c r="C688" s="350" t="s">
        <v>438</v>
      </c>
      <c r="D688" s="340">
        <v>1749740001</v>
      </c>
      <c r="E688" s="341">
        <v>239669.59000000003</v>
      </c>
      <c r="F688" s="829">
        <f>+SUMIF(Composición!C:C,'BG 2023'!B688,Composición!G:G)</f>
        <v>0</v>
      </c>
      <c r="G688" s="830">
        <f t="shared" si="78"/>
        <v>-1749740001</v>
      </c>
      <c r="H688" s="828">
        <f>+VLOOKUP(B688,Composición!$C:$C,1,0)</f>
        <v>51303</v>
      </c>
      <c r="I688" s="829"/>
      <c r="J688" s="829"/>
    </row>
    <row r="689" spans="1:10" s="14" customFormat="1" ht="16.5" customHeight="1">
      <c r="A689" s="31" t="str">
        <f t="shared" si="79"/>
        <v>NI</v>
      </c>
      <c r="B689" s="350">
        <v>513031</v>
      </c>
      <c r="C689" s="350" t="s">
        <v>438</v>
      </c>
      <c r="D689" s="340">
        <v>1749740001</v>
      </c>
      <c r="E689" s="341">
        <v>239669.59000000003</v>
      </c>
      <c r="F689" s="829"/>
      <c r="G689" s="830"/>
      <c r="H689" s="828">
        <f>+VLOOKUP(B689,Composición!$C:$C,1,0)</f>
        <v>513031</v>
      </c>
      <c r="I689" s="829"/>
      <c r="J689" s="829"/>
    </row>
    <row r="690" spans="1:10" s="14" customFormat="1" ht="16.5" customHeight="1">
      <c r="A690" s="31" t="str">
        <f t="shared" si="79"/>
        <v>NI</v>
      </c>
      <c r="B690" s="350">
        <v>5130311</v>
      </c>
      <c r="C690" s="350" t="s">
        <v>438</v>
      </c>
      <c r="D690" s="340">
        <v>1749740001</v>
      </c>
      <c r="E690" s="341">
        <v>239669.59000000003</v>
      </c>
      <c r="F690" s="829"/>
      <c r="G690" s="830"/>
      <c r="H690" s="828">
        <f>+VLOOKUP(B690,Composición!$C:$C,1,0)</f>
        <v>5130311</v>
      </c>
      <c r="I690" s="829"/>
      <c r="J690" s="829"/>
    </row>
    <row r="691" spans="1:10" s="14" customFormat="1" ht="16.5" customHeight="1">
      <c r="A691" s="31" t="str">
        <f t="shared" si="79"/>
        <v>NI</v>
      </c>
      <c r="B691" s="350">
        <v>51303111</v>
      </c>
      <c r="C691" s="350" t="s">
        <v>438</v>
      </c>
      <c r="D691" s="340">
        <v>1749740001</v>
      </c>
      <c r="E691" s="341">
        <v>239669.59000000003</v>
      </c>
      <c r="F691" s="829"/>
      <c r="G691" s="830"/>
      <c r="H691" s="828">
        <f>+VLOOKUP(B691,Composición!$C:$C,1,0)</f>
        <v>51303111</v>
      </c>
      <c r="I691" s="829"/>
      <c r="J691" s="829"/>
    </row>
    <row r="692" spans="1:10" s="14" customFormat="1" ht="16.5" customHeight="1">
      <c r="A692" s="14" t="str">
        <f t="shared" si="79"/>
        <v>I</v>
      </c>
      <c r="B692" s="345">
        <v>5130311102</v>
      </c>
      <c r="C692" s="345" t="s">
        <v>449</v>
      </c>
      <c r="D692" s="347">
        <v>720000000</v>
      </c>
      <c r="E692" s="348">
        <v>98705.79</v>
      </c>
      <c r="F692" s="829"/>
      <c r="G692" s="830"/>
      <c r="H692" s="828">
        <f>+VLOOKUP(B692,Composición!$C:$C,1,0)</f>
        <v>5130311102</v>
      </c>
      <c r="I692" s="829"/>
      <c r="J692" s="829"/>
    </row>
    <row r="693" spans="1:10" s="14" customFormat="1" ht="16.5" customHeight="1">
      <c r="A693" s="14" t="str">
        <f t="shared" si="79"/>
        <v>I</v>
      </c>
      <c r="B693" s="345">
        <v>5130311103</v>
      </c>
      <c r="C693" s="345" t="s">
        <v>450</v>
      </c>
      <c r="D693" s="347">
        <v>60000000</v>
      </c>
      <c r="E693" s="348">
        <v>8244.94</v>
      </c>
      <c r="F693" s="829"/>
      <c r="G693" s="830"/>
      <c r="H693" s="828">
        <f>+VLOOKUP(B693,Composición!$C:$C,1,0)</f>
        <v>5130311103</v>
      </c>
      <c r="I693" s="829"/>
      <c r="J693" s="829"/>
    </row>
    <row r="694" spans="1:10" s="14" customFormat="1" ht="16.5" customHeight="1">
      <c r="A694" s="14" t="str">
        <f t="shared" si="79"/>
        <v>I</v>
      </c>
      <c r="B694" s="345">
        <v>5130311104</v>
      </c>
      <c r="C694" s="345" t="s">
        <v>451</v>
      </c>
      <c r="D694" s="347">
        <v>969740001</v>
      </c>
      <c r="E694" s="348">
        <v>132718.85999999999</v>
      </c>
      <c r="F694" s="829">
        <f>+SUMIF(Composición!C:C,'BG 2023'!B694,Composición!G:G)</f>
        <v>1319754167</v>
      </c>
      <c r="G694" s="830">
        <f>+F694-D694</f>
        <v>350014166</v>
      </c>
      <c r="H694" s="828">
        <f>+VLOOKUP(B694,Composición!$C:$C,1,0)</f>
        <v>5130311104</v>
      </c>
      <c r="I694" s="829"/>
      <c r="J694" s="829"/>
    </row>
    <row r="695" spans="1:10" s="14" customFormat="1" ht="16.5" customHeight="1">
      <c r="A695" s="31" t="str">
        <f t="shared" si="79"/>
        <v>NI</v>
      </c>
      <c r="B695" s="350">
        <v>51304</v>
      </c>
      <c r="C695" s="350" t="s">
        <v>452</v>
      </c>
      <c r="D695" s="340">
        <v>1768541677</v>
      </c>
      <c r="E695" s="341">
        <v>242823.93</v>
      </c>
      <c r="F695" s="829"/>
      <c r="G695" s="830"/>
      <c r="H695" s="828">
        <f>+VLOOKUP(B695,Composición!$C:$C,1,0)</f>
        <v>51304</v>
      </c>
      <c r="I695" s="829"/>
      <c r="J695" s="829"/>
    </row>
    <row r="696" spans="1:10" s="14" customFormat="1" ht="16.5" customHeight="1">
      <c r="A696" s="31" t="str">
        <f t="shared" si="79"/>
        <v>NI</v>
      </c>
      <c r="B696" s="350">
        <v>513041</v>
      </c>
      <c r="C696" s="350" t="s">
        <v>452</v>
      </c>
      <c r="D696" s="340">
        <v>1768541677</v>
      </c>
      <c r="E696" s="341">
        <v>242823.93</v>
      </c>
      <c r="F696" s="829">
        <f>+SUMIF(Composición!C:C,'BG 2023'!B696,Composición!G:G)</f>
        <v>0</v>
      </c>
      <c r="G696" s="830">
        <f t="shared" ref="G696:G698" si="80">+F696-D696</f>
        <v>-1768541677</v>
      </c>
      <c r="H696" s="828">
        <f>+VLOOKUP(B696,Composición!$C:$C,1,0)</f>
        <v>513041</v>
      </c>
      <c r="I696" s="829"/>
      <c r="J696" s="829"/>
    </row>
    <row r="697" spans="1:10" s="14" customFormat="1" ht="16.5" customHeight="1">
      <c r="A697" s="31" t="str">
        <f t="shared" si="79"/>
        <v>NI</v>
      </c>
      <c r="B697" s="350">
        <v>5130411</v>
      </c>
      <c r="C697" s="350" t="s">
        <v>452</v>
      </c>
      <c r="D697" s="340">
        <v>1768541677</v>
      </c>
      <c r="E697" s="341">
        <v>242823.93</v>
      </c>
      <c r="F697" s="829">
        <f>+SUMIF(Composición!C:C,'BG 2023'!B697,Composición!G:G)</f>
        <v>0</v>
      </c>
      <c r="G697" s="830">
        <f t="shared" si="80"/>
        <v>-1768541677</v>
      </c>
      <c r="H697" s="828">
        <f>+VLOOKUP(B697,Composición!$C:$C,1,0)</f>
        <v>5130411</v>
      </c>
      <c r="I697" s="829"/>
      <c r="J697" s="829"/>
    </row>
    <row r="698" spans="1:10" s="14" customFormat="1" ht="16.5" customHeight="1">
      <c r="A698" s="31" t="str">
        <f t="shared" si="79"/>
        <v>NI</v>
      </c>
      <c r="B698" s="350">
        <v>51304111</v>
      </c>
      <c r="C698" s="350" t="s">
        <v>452</v>
      </c>
      <c r="D698" s="340">
        <v>1768541677</v>
      </c>
      <c r="E698" s="341">
        <v>242823.93</v>
      </c>
      <c r="F698" s="829">
        <f>+SUMIF(Composición!C:C,'BG 2023'!B698,Composición!G:G)</f>
        <v>0</v>
      </c>
      <c r="G698" s="830">
        <f t="shared" si="80"/>
        <v>-1768541677</v>
      </c>
      <c r="H698" s="828">
        <f>+VLOOKUP(B698,Composición!$C:$C,1,0)</f>
        <v>51304111</v>
      </c>
      <c r="I698" s="829"/>
      <c r="J698" s="829"/>
    </row>
    <row r="699" spans="1:10" s="14" customFormat="1" ht="16.5" customHeight="1">
      <c r="A699" s="14" t="str">
        <f t="shared" si="79"/>
        <v>I</v>
      </c>
      <c r="B699" s="345">
        <v>5130411101</v>
      </c>
      <c r="C699" s="345" t="s">
        <v>453</v>
      </c>
      <c r="D699" s="347">
        <v>200415731</v>
      </c>
      <c r="E699" s="348">
        <v>27499.999999999996</v>
      </c>
      <c r="F699" s="829"/>
      <c r="G699" s="830"/>
      <c r="H699" s="828">
        <f>+VLOOKUP(B699,Composición!$C:$C,1,0)</f>
        <v>5130411101</v>
      </c>
      <c r="I699" s="829"/>
      <c r="J699" s="829"/>
    </row>
    <row r="700" spans="1:10" s="14" customFormat="1" ht="16.5" customHeight="1">
      <c r="A700" s="14" t="str">
        <f t="shared" si="79"/>
        <v>I</v>
      </c>
      <c r="B700" s="345">
        <v>5130411103</v>
      </c>
      <c r="C700" s="345" t="s">
        <v>454</v>
      </c>
      <c r="D700" s="347">
        <v>36711026</v>
      </c>
      <c r="E700" s="348">
        <v>5050.91</v>
      </c>
      <c r="F700" s="829">
        <f>+SUMIF(Composición!C:C,'BG 2023'!B700,Composición!G:G)</f>
        <v>35525284</v>
      </c>
      <c r="G700" s="830">
        <f t="shared" ref="G700:G701" si="81">+F700-D700</f>
        <v>-1185742</v>
      </c>
      <c r="H700" s="828">
        <f>+VLOOKUP(B700,Composición!$C:$C,1,0)</f>
        <v>5130411103</v>
      </c>
      <c r="I700" s="829"/>
      <c r="J700" s="829"/>
    </row>
    <row r="701" spans="1:10" s="14" customFormat="1" ht="16.5" customHeight="1">
      <c r="A701" s="14" t="str">
        <f t="shared" si="79"/>
        <v>I</v>
      </c>
      <c r="B701" s="345">
        <v>5130411104</v>
      </c>
      <c r="C701" s="345" t="s">
        <v>455</v>
      </c>
      <c r="D701" s="347">
        <v>19603456</v>
      </c>
      <c r="E701" s="348">
        <v>2636.88</v>
      </c>
      <c r="F701" s="829">
        <f>+SUMIF(Composición!C:C,'BG 2023'!B701,Composición!G:G)</f>
        <v>9530953</v>
      </c>
      <c r="G701" s="830">
        <f t="shared" si="81"/>
        <v>-10072503</v>
      </c>
      <c r="H701" s="828">
        <f>+VLOOKUP(B701,Composición!$C:$C,1,0)</f>
        <v>5130411104</v>
      </c>
      <c r="I701" s="829"/>
      <c r="J701" s="829"/>
    </row>
    <row r="702" spans="1:10" s="14" customFormat="1" ht="16.5" customHeight="1">
      <c r="A702" s="14" t="str">
        <f t="shared" si="79"/>
        <v>I</v>
      </c>
      <c r="B702" s="345">
        <v>5130411105</v>
      </c>
      <c r="C702" s="345" t="s">
        <v>456</v>
      </c>
      <c r="D702" s="347">
        <v>186655252</v>
      </c>
      <c r="E702" s="348">
        <v>25636.36</v>
      </c>
      <c r="F702" s="829"/>
      <c r="G702" s="830"/>
      <c r="H702" s="828">
        <f>+VLOOKUP(B702,Composición!$C:$C,1,0)</f>
        <v>5130411105</v>
      </c>
      <c r="I702" s="829"/>
      <c r="J702" s="829"/>
    </row>
    <row r="703" spans="1:10" s="14" customFormat="1" ht="16.5" customHeight="1">
      <c r="A703" s="14" t="str">
        <f t="shared" si="79"/>
        <v>I</v>
      </c>
      <c r="B703" s="345">
        <v>5130411106</v>
      </c>
      <c r="C703" s="345" t="s">
        <v>457</v>
      </c>
      <c r="D703" s="347">
        <v>327038116</v>
      </c>
      <c r="E703" s="348">
        <v>44871.4</v>
      </c>
      <c r="F703" s="829">
        <f>+SUMIF(Composición!C:C,'BG 2023'!B703,Composición!G:G)</f>
        <v>482961688</v>
      </c>
      <c r="G703" s="830">
        <f>+F703-D703</f>
        <v>155923572</v>
      </c>
      <c r="H703" s="828">
        <f>+VLOOKUP(B703,Composición!$C:$C,1,0)</f>
        <v>5130411106</v>
      </c>
      <c r="I703" s="829"/>
      <c r="J703" s="829"/>
    </row>
    <row r="704" spans="1:10" s="14" customFormat="1" ht="16.5" customHeight="1">
      <c r="A704" s="14" t="str">
        <f t="shared" si="79"/>
        <v>I</v>
      </c>
      <c r="B704" s="345">
        <v>5130411107</v>
      </c>
      <c r="C704" s="345" t="s">
        <v>458</v>
      </c>
      <c r="D704" s="347">
        <v>982095870</v>
      </c>
      <c r="E704" s="348">
        <v>134929.47999999998</v>
      </c>
      <c r="F704" s="829"/>
      <c r="G704" s="830"/>
      <c r="H704" s="828">
        <f>+VLOOKUP(B704,Composición!$C:$C,1,0)</f>
        <v>5130411107</v>
      </c>
      <c r="I704" s="829"/>
      <c r="J704" s="829"/>
    </row>
    <row r="705" spans="1:10" s="14" customFormat="1" ht="16.5" customHeight="1">
      <c r="A705" s="14" t="str">
        <f t="shared" si="72"/>
        <v>I</v>
      </c>
      <c r="B705" s="345">
        <v>5130411109</v>
      </c>
      <c r="C705" s="345" t="s">
        <v>459</v>
      </c>
      <c r="D705" s="347">
        <v>9598830</v>
      </c>
      <c r="E705" s="348">
        <v>1313.49</v>
      </c>
      <c r="F705" s="829"/>
      <c r="G705" s="830"/>
      <c r="H705" s="828">
        <f>+VLOOKUP(B705,Composición!$C:$C,1,0)</f>
        <v>5130411109</v>
      </c>
      <c r="I705" s="829"/>
      <c r="J705" s="829"/>
    </row>
    <row r="706" spans="1:10" s="14" customFormat="1" ht="16.5" customHeight="1">
      <c r="A706" s="14" t="str">
        <f t="shared" si="72"/>
        <v>I</v>
      </c>
      <c r="B706" s="345">
        <v>5130411110</v>
      </c>
      <c r="C706" s="345" t="s">
        <v>460</v>
      </c>
      <c r="D706" s="347">
        <v>6423396</v>
      </c>
      <c r="E706" s="348">
        <v>885.41</v>
      </c>
      <c r="F706" s="829"/>
      <c r="G706" s="830"/>
      <c r="H706" s="828">
        <f>+VLOOKUP(B706,Composición!$C:$C,1,0)</f>
        <v>5130411110</v>
      </c>
      <c r="I706" s="829"/>
      <c r="J706" s="829"/>
    </row>
    <row r="707" spans="1:10" s="14" customFormat="1" ht="16.5" customHeight="1">
      <c r="A707" s="31" t="str">
        <f t="shared" si="72"/>
        <v>NI</v>
      </c>
      <c r="B707" s="350">
        <v>51305</v>
      </c>
      <c r="C707" s="350" t="s">
        <v>461</v>
      </c>
      <c r="D707" s="340">
        <v>1157423177</v>
      </c>
      <c r="E707" s="341">
        <v>164850.39000000001</v>
      </c>
      <c r="F707" s="829"/>
      <c r="G707" s="830"/>
      <c r="H707" s="828">
        <f>+VLOOKUP(B707,Composición!$C:$C,1,0)</f>
        <v>51305</v>
      </c>
      <c r="I707" s="829"/>
      <c r="J707" s="829"/>
    </row>
    <row r="708" spans="1:10" s="14" customFormat="1" ht="16.5" customHeight="1">
      <c r="A708" s="31" t="str">
        <f t="shared" si="72"/>
        <v>NI</v>
      </c>
      <c r="B708" s="350">
        <v>513052</v>
      </c>
      <c r="C708" s="350" t="s">
        <v>462</v>
      </c>
      <c r="D708" s="340">
        <v>1157423177</v>
      </c>
      <c r="E708" s="341">
        <v>164850.39000000001</v>
      </c>
      <c r="F708" s="829"/>
      <c r="G708" s="830"/>
      <c r="H708" s="828">
        <f>+VLOOKUP(B708,Composición!$C:$C,1,0)</f>
        <v>513052</v>
      </c>
      <c r="I708" s="829"/>
      <c r="J708" s="829"/>
    </row>
    <row r="709" spans="1:10" s="14" customFormat="1" ht="16.5" customHeight="1">
      <c r="A709" s="31" t="str">
        <f t="shared" si="72"/>
        <v>NI</v>
      </c>
      <c r="B709" s="350">
        <v>5130521</v>
      </c>
      <c r="C709" s="350" t="s">
        <v>462</v>
      </c>
      <c r="D709" s="340">
        <v>1157423177</v>
      </c>
      <c r="E709" s="341">
        <v>164850.39000000001</v>
      </c>
      <c r="F709" s="829">
        <f>+SUMIF(Composición!C:C,'BG 2023'!B709,Composición!G:G)</f>
        <v>0</v>
      </c>
      <c r="G709" s="830">
        <f t="shared" ref="G709:G711" si="82">+F709-D709</f>
        <v>-1157423177</v>
      </c>
      <c r="H709" s="828">
        <f>+VLOOKUP(B709,Composición!$C:$C,1,0)</f>
        <v>5130521</v>
      </c>
      <c r="I709" s="829"/>
      <c r="J709" s="829"/>
    </row>
    <row r="710" spans="1:10" s="14" customFormat="1" ht="16.5" customHeight="1">
      <c r="A710" s="31" t="str">
        <f t="shared" ref="A710:A773" si="83">IF(LEN(B710)&gt;8,"I","NI")</f>
        <v>NI</v>
      </c>
      <c r="B710" s="350">
        <v>51305211</v>
      </c>
      <c r="C710" s="350" t="s">
        <v>462</v>
      </c>
      <c r="D710" s="340">
        <v>1157423177</v>
      </c>
      <c r="E710" s="341">
        <v>164850.39000000001</v>
      </c>
      <c r="F710" s="829">
        <f>+SUMIF(Composición!C:C,'BG 2023'!B710,Composición!G:G)</f>
        <v>0</v>
      </c>
      <c r="G710" s="830">
        <f t="shared" si="82"/>
        <v>-1157423177</v>
      </c>
      <c r="H710" s="828">
        <f>+VLOOKUP(B710,Composición!$C:$C,1,0)</f>
        <v>51305211</v>
      </c>
      <c r="I710" s="829"/>
      <c r="J710" s="829"/>
    </row>
    <row r="711" spans="1:10" s="14" customFormat="1" ht="16.5" customHeight="1">
      <c r="A711" s="14" t="str">
        <f t="shared" si="83"/>
        <v>I</v>
      </c>
      <c r="B711" s="345">
        <v>5130521102</v>
      </c>
      <c r="C711" s="345" t="s">
        <v>463</v>
      </c>
      <c r="D711" s="347">
        <v>361724754</v>
      </c>
      <c r="E711" s="348">
        <v>50000.04</v>
      </c>
      <c r="F711" s="829">
        <f>+SUMIF(Composición!C:C,'BG 2023'!B711,Composición!G:G)</f>
        <v>388269778</v>
      </c>
      <c r="G711" s="830">
        <f t="shared" si="82"/>
        <v>26545024</v>
      </c>
      <c r="H711" s="828">
        <f>+VLOOKUP(B711,Composición!$C:$C,1,0)</f>
        <v>5130521102</v>
      </c>
      <c r="I711" s="829"/>
      <c r="J711" s="829"/>
    </row>
    <row r="712" spans="1:10" s="14" customFormat="1" ht="16.5" customHeight="1">
      <c r="A712" s="14" t="str">
        <f t="shared" ref="A712:A718" si="84">IF(LEN(B712)&gt;8,"I","NI")</f>
        <v>I</v>
      </c>
      <c r="B712" s="345">
        <v>5130521104</v>
      </c>
      <c r="C712" s="345" t="s">
        <v>464</v>
      </c>
      <c r="D712" s="347">
        <v>425583425</v>
      </c>
      <c r="E712" s="348">
        <v>61112.37</v>
      </c>
      <c r="F712" s="829"/>
      <c r="G712" s="830"/>
      <c r="H712" s="828">
        <f>+VLOOKUP(B712,Composición!$C:$C,1,0)</f>
        <v>5130521104</v>
      </c>
      <c r="I712" s="829"/>
      <c r="J712" s="829"/>
    </row>
    <row r="713" spans="1:10" s="14" customFormat="1" ht="16.5" customHeight="1">
      <c r="A713" s="14" t="str">
        <f t="shared" si="84"/>
        <v>I</v>
      </c>
      <c r="B713" s="345">
        <v>5130521105</v>
      </c>
      <c r="C713" s="345" t="s">
        <v>465</v>
      </c>
      <c r="D713" s="347">
        <v>370114998</v>
      </c>
      <c r="E713" s="348">
        <v>53737.979999999996</v>
      </c>
      <c r="F713" s="829">
        <f>+SUMIF(Composición!C:C,'BG 2023'!B713,Composición!G:G)</f>
        <v>0</v>
      </c>
      <c r="G713" s="830">
        <f t="shared" ref="G713:G714" si="85">+F713-D713</f>
        <v>-370114998</v>
      </c>
      <c r="H713" s="828">
        <f>+VLOOKUP(B713,Composición!$C:$C,1,0)</f>
        <v>5130521105</v>
      </c>
      <c r="I713" s="829"/>
      <c r="J713" s="829"/>
    </row>
    <row r="714" spans="1:10" s="14" customFormat="1" ht="16.5" customHeight="1">
      <c r="A714" s="31" t="str">
        <f t="shared" si="84"/>
        <v>NI</v>
      </c>
      <c r="B714" s="350">
        <v>51306</v>
      </c>
      <c r="C714" s="350" t="s">
        <v>466</v>
      </c>
      <c r="D714" s="340">
        <v>7655860</v>
      </c>
      <c r="E714" s="341">
        <v>1046.32</v>
      </c>
      <c r="F714" s="829">
        <f>+SUMIF(Composición!C:C,'BG 2023'!B714,Composición!G:G)</f>
        <v>0</v>
      </c>
      <c r="G714" s="830">
        <f t="shared" si="85"/>
        <v>-7655860</v>
      </c>
      <c r="H714" s="828">
        <f>+VLOOKUP(B714,Composición!$C:$C,1,0)</f>
        <v>51306</v>
      </c>
      <c r="I714" s="829"/>
      <c r="J714" s="829"/>
    </row>
    <row r="715" spans="1:10" s="14" customFormat="1" ht="16.5" customHeight="1">
      <c r="A715" s="31" t="str">
        <f t="shared" si="84"/>
        <v>NI</v>
      </c>
      <c r="B715" s="350">
        <v>513061</v>
      </c>
      <c r="C715" s="350" t="s">
        <v>466</v>
      </c>
      <c r="D715" s="340">
        <v>7655860</v>
      </c>
      <c r="E715" s="341">
        <v>1046.32</v>
      </c>
      <c r="F715" s="829"/>
      <c r="G715" s="830"/>
      <c r="H715" s="828">
        <f>+VLOOKUP(B715,Composición!$C:$C,1,0)</f>
        <v>513061</v>
      </c>
      <c r="I715" s="829"/>
      <c r="J715" s="829"/>
    </row>
    <row r="716" spans="1:10" s="14" customFormat="1" ht="16.5" customHeight="1">
      <c r="A716" s="31" t="str">
        <f t="shared" si="84"/>
        <v>NI</v>
      </c>
      <c r="B716" s="350">
        <v>5130611</v>
      </c>
      <c r="C716" s="350" t="s">
        <v>466</v>
      </c>
      <c r="D716" s="340">
        <v>7655860</v>
      </c>
      <c r="E716" s="341">
        <v>1046.32</v>
      </c>
      <c r="F716" s="829">
        <f>+SUMIF(Composición!C:C,'BG 2023'!B716,Composición!G:G)</f>
        <v>0</v>
      </c>
      <c r="G716" s="830">
        <f t="shared" ref="G716:G717" si="86">+F716-D716</f>
        <v>-7655860</v>
      </c>
      <c r="H716" s="828">
        <f>+VLOOKUP(B716,Composición!$C:$C,1,0)</f>
        <v>5130611</v>
      </c>
      <c r="I716" s="829"/>
      <c r="J716" s="829"/>
    </row>
    <row r="717" spans="1:10" s="14" customFormat="1" ht="16.5" customHeight="1">
      <c r="A717" s="31" t="str">
        <f t="shared" si="84"/>
        <v>NI</v>
      </c>
      <c r="B717" s="350">
        <v>51306111</v>
      </c>
      <c r="C717" s="350" t="s">
        <v>466</v>
      </c>
      <c r="D717" s="340">
        <v>7655860</v>
      </c>
      <c r="E717" s="341">
        <v>1046.32</v>
      </c>
      <c r="F717" s="829">
        <f>+SUMIF(Composición!C:C,'BG 2023'!B717,Composición!G:G)</f>
        <v>0</v>
      </c>
      <c r="G717" s="830">
        <f t="shared" si="86"/>
        <v>-7655860</v>
      </c>
      <c r="H717" s="828">
        <f>+VLOOKUP(B717,Composición!$C:$C,1,0)</f>
        <v>51306111</v>
      </c>
      <c r="I717" s="829"/>
      <c r="J717" s="829"/>
    </row>
    <row r="718" spans="1:10" s="14" customFormat="1" ht="16.5" customHeight="1">
      <c r="A718" s="14" t="str">
        <f t="shared" si="84"/>
        <v>I</v>
      </c>
      <c r="B718" s="345">
        <v>5130611105</v>
      </c>
      <c r="C718" s="345" t="s">
        <v>467</v>
      </c>
      <c r="D718" s="347">
        <v>7655860</v>
      </c>
      <c r="E718" s="348">
        <v>1046.32</v>
      </c>
      <c r="F718" s="829"/>
      <c r="G718" s="830"/>
      <c r="H718" s="828">
        <f>+VLOOKUP(B718,Composición!$C:$C,1,0)</f>
        <v>5130611105</v>
      </c>
      <c r="I718" s="829"/>
      <c r="J718" s="829"/>
    </row>
    <row r="719" spans="1:10" s="14" customFormat="1" ht="16.5" customHeight="1">
      <c r="A719" s="31" t="str">
        <f t="shared" si="83"/>
        <v>NI</v>
      </c>
      <c r="B719" s="350">
        <v>51307</v>
      </c>
      <c r="C719" s="350" t="s">
        <v>468</v>
      </c>
      <c r="D719" s="340">
        <v>826940358</v>
      </c>
      <c r="E719" s="341">
        <v>113886.37</v>
      </c>
      <c r="F719" s="829"/>
      <c r="G719" s="830"/>
      <c r="H719" s="828">
        <f>+VLOOKUP(B719,Composición!$C:$C,1,0)</f>
        <v>51307</v>
      </c>
      <c r="I719" s="829"/>
      <c r="J719" s="829"/>
    </row>
    <row r="720" spans="1:10" s="14" customFormat="1" ht="16.5" customHeight="1">
      <c r="A720" s="31" t="str">
        <f t="shared" si="83"/>
        <v>NI</v>
      </c>
      <c r="B720" s="350">
        <v>513071</v>
      </c>
      <c r="C720" s="350" t="s">
        <v>468</v>
      </c>
      <c r="D720" s="340">
        <v>826940358</v>
      </c>
      <c r="E720" s="341">
        <v>113886.37</v>
      </c>
      <c r="F720" s="829"/>
      <c r="G720" s="830"/>
      <c r="H720" s="828">
        <f>+VLOOKUP(B720,Composición!$C:$C,1,0)</f>
        <v>513071</v>
      </c>
      <c r="I720" s="829"/>
      <c r="J720" s="829"/>
    </row>
    <row r="721" spans="1:10" s="14" customFormat="1" ht="16.5" customHeight="1">
      <c r="A721" s="31" t="str">
        <f t="shared" si="83"/>
        <v>NI</v>
      </c>
      <c r="B721" s="350">
        <v>5130711</v>
      </c>
      <c r="C721" s="350" t="s">
        <v>468</v>
      </c>
      <c r="D721" s="340">
        <v>826940358</v>
      </c>
      <c r="E721" s="341">
        <v>113886.37</v>
      </c>
      <c r="F721" s="829"/>
      <c r="G721" s="830"/>
      <c r="H721" s="828">
        <f>+VLOOKUP(B721,Composición!$C:$C,1,0)</f>
        <v>5130711</v>
      </c>
      <c r="I721" s="829"/>
      <c r="J721" s="829"/>
    </row>
    <row r="722" spans="1:10" s="14" customFormat="1" ht="16.5" customHeight="1">
      <c r="A722" s="31" t="str">
        <f t="shared" si="83"/>
        <v>NI</v>
      </c>
      <c r="B722" s="350">
        <v>51307111</v>
      </c>
      <c r="C722" s="350" t="s">
        <v>469</v>
      </c>
      <c r="D722" s="340">
        <v>826940358</v>
      </c>
      <c r="E722" s="341">
        <v>113886.37</v>
      </c>
      <c r="F722" s="829"/>
      <c r="G722" s="830"/>
      <c r="H722" s="828">
        <f>+VLOOKUP(B722,Composición!$C:$C,1,0)</f>
        <v>51307111</v>
      </c>
      <c r="I722" s="829"/>
      <c r="J722" s="829"/>
    </row>
    <row r="723" spans="1:10" s="14" customFormat="1" ht="16.5" customHeight="1">
      <c r="A723" s="14" t="str">
        <f t="shared" si="83"/>
        <v>I</v>
      </c>
      <c r="B723" s="345">
        <v>5130711101</v>
      </c>
      <c r="C723" s="345" t="s">
        <v>470</v>
      </c>
      <c r="D723" s="347">
        <v>349116460</v>
      </c>
      <c r="E723" s="348">
        <v>47722.73</v>
      </c>
      <c r="F723" s="829"/>
      <c r="G723" s="830"/>
      <c r="H723" s="828">
        <f>+VLOOKUP(B723,Composición!$C:$C,1,0)</f>
        <v>5130711101</v>
      </c>
      <c r="I723" s="829"/>
      <c r="J723" s="829"/>
    </row>
    <row r="724" spans="1:10" s="14" customFormat="1" ht="16.5" customHeight="1">
      <c r="A724" s="14" t="str">
        <f t="shared" si="83"/>
        <v>I</v>
      </c>
      <c r="B724" s="345">
        <v>5130711102</v>
      </c>
      <c r="C724" s="345" t="s">
        <v>471</v>
      </c>
      <c r="D724" s="347">
        <v>97080430</v>
      </c>
      <c r="E724" s="348">
        <v>13257.65</v>
      </c>
      <c r="F724" s="829">
        <f>+SUMIF(Composición!C:C,'BG 2023'!B724,Composición!G:G)</f>
        <v>75397480</v>
      </c>
      <c r="G724" s="830">
        <f t="shared" ref="G724" si="87">+F724-D724</f>
        <v>-21682950</v>
      </c>
      <c r="H724" s="828">
        <f>+VLOOKUP(B724,Composición!$C:$C,1,0)</f>
        <v>5130711102</v>
      </c>
      <c r="I724" s="829"/>
      <c r="J724" s="829"/>
    </row>
    <row r="725" spans="1:10" s="14" customFormat="1" ht="16.5" customHeight="1">
      <c r="A725" s="14" t="str">
        <f t="shared" si="83"/>
        <v>I</v>
      </c>
      <c r="B725" s="345">
        <v>5130711103</v>
      </c>
      <c r="C725" s="345" t="s">
        <v>472</v>
      </c>
      <c r="D725" s="347">
        <v>380743468</v>
      </c>
      <c r="E725" s="348">
        <v>52905.99</v>
      </c>
      <c r="F725" s="829">
        <f>+SUMIF(Composición!C:C,'BG 2023'!B725,Composición!G:G)</f>
        <v>309453386</v>
      </c>
      <c r="G725" s="830">
        <f>+F725-D725</f>
        <v>-71290082</v>
      </c>
      <c r="H725" s="828">
        <f>+VLOOKUP(B725,Composición!$C:$C,1,0)</f>
        <v>5130711103</v>
      </c>
      <c r="I725" s="829"/>
      <c r="J725" s="829"/>
    </row>
    <row r="726" spans="1:10" s="14" customFormat="1" ht="16.5" customHeight="1">
      <c r="A726" s="31" t="str">
        <f t="shared" si="83"/>
        <v>NI</v>
      </c>
      <c r="B726" s="350">
        <v>51309</v>
      </c>
      <c r="C726" s="350" t="s">
        <v>473</v>
      </c>
      <c r="D726" s="340">
        <v>21304489</v>
      </c>
      <c r="E726" s="341">
        <v>2930.94</v>
      </c>
      <c r="F726" s="828"/>
      <c r="G726" s="830"/>
      <c r="H726" s="828">
        <f>+VLOOKUP(B726,Composición!$C:$C,1,0)</f>
        <v>51309</v>
      </c>
      <c r="I726" s="829"/>
      <c r="J726" s="829"/>
    </row>
    <row r="727" spans="1:10" s="14" customFormat="1" ht="16.5" customHeight="1">
      <c r="A727" s="31" t="str">
        <f t="shared" si="83"/>
        <v>NI</v>
      </c>
      <c r="B727" s="350">
        <v>513091</v>
      </c>
      <c r="C727" s="350" t="s">
        <v>473</v>
      </c>
      <c r="D727" s="340">
        <v>21304489</v>
      </c>
      <c r="E727" s="341">
        <v>2930.94</v>
      </c>
      <c r="F727" s="828"/>
      <c r="G727" s="830"/>
      <c r="H727" s="828">
        <f>+VLOOKUP(B727,Composición!$C:$C,1,0)</f>
        <v>513091</v>
      </c>
      <c r="I727" s="829"/>
      <c r="J727" s="829"/>
    </row>
    <row r="728" spans="1:10" s="14" customFormat="1" ht="16.5" customHeight="1">
      <c r="A728" s="31" t="str">
        <f t="shared" si="83"/>
        <v>NI</v>
      </c>
      <c r="B728" s="350">
        <v>5130911</v>
      </c>
      <c r="C728" s="350" t="s">
        <v>473</v>
      </c>
      <c r="D728" s="340">
        <v>21304489</v>
      </c>
      <c r="E728" s="341">
        <v>2930.94</v>
      </c>
      <c r="F728" s="828"/>
      <c r="G728" s="830"/>
      <c r="H728" s="828">
        <f>+VLOOKUP(B728,Composición!$C:$C,1,0)</f>
        <v>5130911</v>
      </c>
      <c r="I728" s="829"/>
      <c r="J728" s="829"/>
    </row>
    <row r="729" spans="1:10" s="14" customFormat="1" ht="16.5" customHeight="1">
      <c r="A729" s="31" t="str">
        <f t="shared" si="83"/>
        <v>NI</v>
      </c>
      <c r="B729" s="350">
        <v>51309111</v>
      </c>
      <c r="C729" s="350" t="s">
        <v>473</v>
      </c>
      <c r="D729" s="340">
        <v>21304489</v>
      </c>
      <c r="E729" s="341">
        <v>2930.94</v>
      </c>
      <c r="F729" s="828"/>
      <c r="G729" s="830"/>
      <c r="H729" s="828">
        <f>+VLOOKUP(B729,Composición!$C:$C,1,0)</f>
        <v>51309111</v>
      </c>
      <c r="I729" s="829"/>
      <c r="J729" s="829"/>
    </row>
    <row r="730" spans="1:10" s="14" customFormat="1" ht="16.5" customHeight="1">
      <c r="A730" s="14" t="str">
        <f t="shared" si="83"/>
        <v>I</v>
      </c>
      <c r="B730" s="345">
        <v>5130911102</v>
      </c>
      <c r="C730" s="345" t="s">
        <v>474</v>
      </c>
      <c r="D730" s="347">
        <v>17367800</v>
      </c>
      <c r="E730" s="348">
        <v>2383.9299999999998</v>
      </c>
      <c r="F730" s="829"/>
      <c r="G730" s="830"/>
      <c r="H730" s="828">
        <f>+VLOOKUP(B730,Composición!$C:$C,1,0)</f>
        <v>5130911102</v>
      </c>
      <c r="I730" s="829"/>
      <c r="J730" s="829"/>
    </row>
    <row r="731" spans="1:10" s="14" customFormat="1" ht="16.5" customHeight="1">
      <c r="A731" s="14" t="str">
        <f t="shared" si="83"/>
        <v>I</v>
      </c>
      <c r="B731" s="345">
        <v>5130911105</v>
      </c>
      <c r="C731" s="345" t="s">
        <v>475</v>
      </c>
      <c r="D731" s="347">
        <v>3936689</v>
      </c>
      <c r="E731" s="348">
        <v>547.01</v>
      </c>
      <c r="F731" s="829"/>
      <c r="G731" s="830"/>
      <c r="H731" s="828">
        <f>+VLOOKUP(B731,Composición!$C:$C,1,0)</f>
        <v>5130911105</v>
      </c>
      <c r="I731" s="829"/>
      <c r="J731" s="829"/>
    </row>
    <row r="732" spans="1:10" s="14" customFormat="1" ht="16.5" customHeight="1">
      <c r="A732" s="31" t="str">
        <f t="shared" si="83"/>
        <v>NI</v>
      </c>
      <c r="B732" s="350">
        <v>513101</v>
      </c>
      <c r="C732" s="350" t="s">
        <v>476</v>
      </c>
      <c r="D732" s="340">
        <v>762643723</v>
      </c>
      <c r="E732" s="341">
        <v>104209.535</v>
      </c>
      <c r="F732" s="829"/>
      <c r="G732" s="830"/>
      <c r="H732" s="828">
        <f>+VLOOKUP(B732,Composición!$C:$C,1,0)</f>
        <v>513101</v>
      </c>
      <c r="I732" s="829"/>
      <c r="J732" s="829"/>
    </row>
    <row r="733" spans="1:10" s="14" customFormat="1" ht="16.5" customHeight="1">
      <c r="A733" s="31" t="str">
        <f t="shared" si="83"/>
        <v>NI</v>
      </c>
      <c r="B733" s="350">
        <v>5131011</v>
      </c>
      <c r="C733" s="350" t="s">
        <v>476</v>
      </c>
      <c r="D733" s="340">
        <v>762643723</v>
      </c>
      <c r="E733" s="341">
        <v>104209.535</v>
      </c>
      <c r="F733" s="829"/>
      <c r="G733" s="830"/>
      <c r="H733" s="828">
        <f>+VLOOKUP(B733,Composición!$C:$C,1,0)</f>
        <v>5131011</v>
      </c>
      <c r="I733" s="829"/>
      <c r="J733" s="829"/>
    </row>
    <row r="734" spans="1:10" s="14" customFormat="1" ht="16.5" customHeight="1">
      <c r="A734" s="31" t="str">
        <f t="shared" si="83"/>
        <v>NI</v>
      </c>
      <c r="B734" s="350">
        <v>51310111</v>
      </c>
      <c r="C734" s="350" t="s">
        <v>476</v>
      </c>
      <c r="D734" s="340">
        <v>762643723</v>
      </c>
      <c r="E734" s="341">
        <v>104209.535</v>
      </c>
      <c r="F734" s="829"/>
      <c r="G734" s="830"/>
      <c r="H734" s="828">
        <f>+VLOOKUP(B734,Composición!$C:$C,1,0)</f>
        <v>51310111</v>
      </c>
      <c r="I734" s="829"/>
      <c r="J734" s="829"/>
    </row>
    <row r="735" spans="1:10" s="14" customFormat="1" ht="16.5" customHeight="1">
      <c r="A735" s="14" t="str">
        <f t="shared" si="83"/>
        <v>I</v>
      </c>
      <c r="B735" s="345">
        <v>5131011101</v>
      </c>
      <c r="C735" s="345" t="s">
        <v>477</v>
      </c>
      <c r="D735" s="347">
        <v>13985740</v>
      </c>
      <c r="E735" s="348">
        <v>1914.63</v>
      </c>
      <c r="F735" s="829"/>
      <c r="G735" s="830"/>
      <c r="H735" s="828">
        <f>+VLOOKUP(B735,Composición!$C:$C,1,0)</f>
        <v>5131011101</v>
      </c>
      <c r="I735" s="829"/>
      <c r="J735" s="829"/>
    </row>
    <row r="736" spans="1:10" s="14" customFormat="1" ht="16.5" customHeight="1">
      <c r="A736" s="14" t="str">
        <f t="shared" si="83"/>
        <v>I</v>
      </c>
      <c r="B736" s="345">
        <v>5131011102</v>
      </c>
      <c r="C736" s="345" t="s">
        <v>478</v>
      </c>
      <c r="D736" s="347">
        <v>23372151</v>
      </c>
      <c r="E736" s="348">
        <v>3173.1699999999992</v>
      </c>
      <c r="F736" s="829"/>
      <c r="G736" s="830"/>
      <c r="H736" s="828">
        <f>+VLOOKUP(B736,Composición!$C:$C,1,0)</f>
        <v>5131011102</v>
      </c>
      <c r="I736" s="829"/>
      <c r="J736" s="829"/>
    </row>
    <row r="737" spans="1:10" s="14" customFormat="1" ht="16.5" customHeight="1">
      <c r="A737" s="14" t="str">
        <f t="shared" si="83"/>
        <v>I</v>
      </c>
      <c r="B737" s="345">
        <v>5131011104</v>
      </c>
      <c r="C737" s="345" t="s">
        <v>479</v>
      </c>
      <c r="D737" s="347">
        <v>79157362</v>
      </c>
      <c r="E737" s="348">
        <v>10825.02</v>
      </c>
      <c r="F737" s="829"/>
      <c r="G737" s="830"/>
      <c r="H737" s="828">
        <f>+VLOOKUP(B737,Composición!$C:$C,1,0)</f>
        <v>5131011104</v>
      </c>
      <c r="I737" s="829"/>
      <c r="J737" s="829"/>
    </row>
    <row r="738" spans="1:10" s="14" customFormat="1" ht="16.5" customHeight="1">
      <c r="A738" s="14" t="str">
        <f t="shared" si="83"/>
        <v>I</v>
      </c>
      <c r="B738" s="345">
        <v>5131011105</v>
      </c>
      <c r="C738" s="345" t="s">
        <v>480</v>
      </c>
      <c r="D738" s="347">
        <v>1039894</v>
      </c>
      <c r="E738" s="348">
        <v>140.44</v>
      </c>
      <c r="F738" s="829"/>
      <c r="G738" s="830"/>
      <c r="H738" s="828">
        <f>+VLOOKUP(B738,Composición!$C:$C,1,0)</f>
        <v>5131011105</v>
      </c>
      <c r="I738" s="829"/>
      <c r="J738" s="829"/>
    </row>
    <row r="739" spans="1:10" s="14" customFormat="1" ht="16.5" customHeight="1">
      <c r="A739" s="14" t="str">
        <f t="shared" si="83"/>
        <v>I</v>
      </c>
      <c r="B739" s="345">
        <v>5131011106</v>
      </c>
      <c r="C739" s="345" t="s">
        <v>481</v>
      </c>
      <c r="D739" s="347">
        <v>2989272</v>
      </c>
      <c r="E739" s="348">
        <v>410.96</v>
      </c>
      <c r="F739" s="829"/>
      <c r="G739" s="830"/>
      <c r="H739" s="828">
        <f>+VLOOKUP(B739,Composición!$C:$C,1,0)</f>
        <v>5131011106</v>
      </c>
      <c r="I739" s="829"/>
      <c r="J739" s="829"/>
    </row>
    <row r="740" spans="1:10" s="14" customFormat="1" ht="16.5" customHeight="1">
      <c r="A740" s="14" t="str">
        <f t="shared" si="83"/>
        <v>I</v>
      </c>
      <c r="B740" s="345">
        <v>5131011107</v>
      </c>
      <c r="C740" s="345" t="s">
        <v>482</v>
      </c>
      <c r="D740" s="347">
        <v>531034</v>
      </c>
      <c r="E740" s="348">
        <v>72.73</v>
      </c>
      <c r="F740" s="829"/>
      <c r="G740" s="830"/>
      <c r="H740" s="828">
        <f>+VLOOKUP(B740,Composición!$C:$C,1,0)</f>
        <v>5131011107</v>
      </c>
      <c r="I740" s="829"/>
      <c r="J740" s="829"/>
    </row>
    <row r="741" spans="1:10" s="14" customFormat="1" ht="16.5" customHeight="1">
      <c r="A741" s="14" t="str">
        <f t="shared" si="83"/>
        <v>I</v>
      </c>
      <c r="B741" s="345">
        <v>5131011108</v>
      </c>
      <c r="C741" s="345" t="s">
        <v>483</v>
      </c>
      <c r="D741" s="347">
        <v>23591740</v>
      </c>
      <c r="E741" s="348">
        <v>3226.95</v>
      </c>
      <c r="F741" s="829"/>
      <c r="G741" s="830"/>
      <c r="H741" s="828">
        <f>+VLOOKUP(B741,Composición!$C:$C,1,0)</f>
        <v>5131011108</v>
      </c>
      <c r="I741" s="829"/>
      <c r="J741" s="829"/>
    </row>
    <row r="742" spans="1:10" s="14" customFormat="1" ht="16.5" customHeight="1">
      <c r="A742" s="14" t="str">
        <f t="shared" si="83"/>
        <v>I</v>
      </c>
      <c r="B742" s="345">
        <v>5131011110</v>
      </c>
      <c r="C742" s="345" t="s">
        <v>484</v>
      </c>
      <c r="D742" s="347">
        <v>106857261</v>
      </c>
      <c r="E742" s="348">
        <v>14598.45</v>
      </c>
      <c r="F742" s="829"/>
      <c r="G742" s="830"/>
      <c r="H742" s="828">
        <f>+VLOOKUP(B742,Composición!$C:$C,1,0)</f>
        <v>5131011110</v>
      </c>
      <c r="I742" s="829"/>
      <c r="J742" s="829"/>
    </row>
    <row r="743" spans="1:10" s="14" customFormat="1" ht="16.5" customHeight="1">
      <c r="A743" s="14" t="str">
        <f t="shared" si="83"/>
        <v>I</v>
      </c>
      <c r="B743" s="345">
        <v>5131011112</v>
      </c>
      <c r="C743" s="345" t="s">
        <v>485</v>
      </c>
      <c r="D743" s="347">
        <v>2590000</v>
      </c>
      <c r="E743" s="348">
        <v>352.45</v>
      </c>
      <c r="F743" s="829"/>
      <c r="G743" s="830"/>
      <c r="H743" s="828">
        <f>+VLOOKUP(B743,Composición!$C:$C,1,0)</f>
        <v>5131011112</v>
      </c>
      <c r="I743" s="829"/>
      <c r="J743" s="829"/>
    </row>
    <row r="744" spans="1:10" s="14" customFormat="1" ht="16.5" customHeight="1">
      <c r="A744" s="14" t="str">
        <f t="shared" si="83"/>
        <v>I</v>
      </c>
      <c r="B744" s="345">
        <v>5131011113</v>
      </c>
      <c r="C744" s="345" t="s">
        <v>486</v>
      </c>
      <c r="D744" s="347">
        <v>7449718</v>
      </c>
      <c r="E744" s="348">
        <v>1024.01</v>
      </c>
      <c r="F744" s="829"/>
      <c r="G744" s="830"/>
      <c r="H744" s="828">
        <f>+VLOOKUP(B744,Composición!$C:$C,1,0)</f>
        <v>5131011113</v>
      </c>
      <c r="I744" s="829"/>
      <c r="J744" s="829"/>
    </row>
    <row r="745" spans="1:10" s="14" customFormat="1" ht="16.5" customHeight="1">
      <c r="A745" s="14" t="str">
        <f t="shared" si="83"/>
        <v>I</v>
      </c>
      <c r="B745" s="345">
        <v>5131011114</v>
      </c>
      <c r="C745" s="345" t="s">
        <v>487</v>
      </c>
      <c r="D745" s="347">
        <v>7186257</v>
      </c>
      <c r="E745" s="348">
        <v>989.31</v>
      </c>
      <c r="F745" s="829"/>
      <c r="G745" s="830"/>
      <c r="H745" s="828">
        <f>+VLOOKUP(B745,Composición!$C:$C,1,0)</f>
        <v>5131011114</v>
      </c>
      <c r="I745" s="829"/>
      <c r="J745" s="829"/>
    </row>
    <row r="746" spans="1:10" s="14" customFormat="1" ht="16.5" customHeight="1">
      <c r="A746" s="14" t="str">
        <f t="shared" si="83"/>
        <v>I</v>
      </c>
      <c r="B746" s="345">
        <v>5131011115</v>
      </c>
      <c r="C746" s="345" t="s">
        <v>488</v>
      </c>
      <c r="D746" s="347">
        <v>53079020</v>
      </c>
      <c r="E746" s="348">
        <v>7258.71</v>
      </c>
      <c r="F746" s="829"/>
      <c r="G746" s="830"/>
      <c r="H746" s="828">
        <f>+VLOOKUP(B746,Composición!$C:$C,1,0)</f>
        <v>5131011115</v>
      </c>
      <c r="I746" s="829"/>
      <c r="J746" s="829"/>
    </row>
    <row r="747" spans="1:10" s="14" customFormat="1" ht="16.5" customHeight="1">
      <c r="A747" s="14" t="str">
        <f t="shared" si="83"/>
        <v>I</v>
      </c>
      <c r="B747" s="345">
        <v>5131011116</v>
      </c>
      <c r="C747" s="345" t="s">
        <v>489</v>
      </c>
      <c r="D747" s="347">
        <v>24112030</v>
      </c>
      <c r="E747" s="348">
        <v>3281.71</v>
      </c>
      <c r="F747" s="829"/>
      <c r="G747" s="830"/>
      <c r="H747" s="828">
        <f>+VLOOKUP(B747,Composición!$C:$C,1,0)</f>
        <v>5131011116</v>
      </c>
      <c r="I747" s="829"/>
      <c r="J747" s="829"/>
    </row>
    <row r="748" spans="1:10" s="14" customFormat="1" ht="16.5" customHeight="1">
      <c r="A748" s="14" t="str">
        <f t="shared" si="83"/>
        <v>I</v>
      </c>
      <c r="B748" s="345">
        <v>5131011119</v>
      </c>
      <c r="C748" s="345" t="s">
        <v>490</v>
      </c>
      <c r="D748" s="347">
        <v>296663805</v>
      </c>
      <c r="E748" s="348">
        <v>40500</v>
      </c>
      <c r="F748" s="829"/>
      <c r="G748" s="830"/>
      <c r="H748" s="828">
        <f>+VLOOKUP(B748,Composición!$C:$C,1,0)</f>
        <v>5131011119</v>
      </c>
      <c r="I748" s="829"/>
      <c r="J748" s="829"/>
    </row>
    <row r="749" spans="1:10" s="14" customFormat="1" ht="16.5" customHeight="1">
      <c r="A749" s="14" t="str">
        <f t="shared" si="83"/>
        <v>I</v>
      </c>
      <c r="B749" s="345">
        <v>5131011122</v>
      </c>
      <c r="C749" s="345" t="s">
        <v>169</v>
      </c>
      <c r="D749" s="347">
        <v>47077754</v>
      </c>
      <c r="E749" s="348">
        <v>6540.5550000000003</v>
      </c>
      <c r="F749" s="829"/>
      <c r="G749" s="830"/>
      <c r="H749" s="828">
        <f>+VLOOKUP(B749,Composición!$C:$C,1,0)</f>
        <v>5131011122</v>
      </c>
      <c r="I749" s="829"/>
      <c r="J749" s="829"/>
    </row>
    <row r="750" spans="1:10" s="14" customFormat="1" ht="16.5" customHeight="1">
      <c r="A750" s="14" t="str">
        <f t="shared" si="83"/>
        <v>I</v>
      </c>
      <c r="B750" s="345">
        <v>5131011123</v>
      </c>
      <c r="C750" s="345" t="s">
        <v>170</v>
      </c>
      <c r="D750" s="347">
        <v>10445205</v>
      </c>
      <c r="E750" s="348">
        <v>1445.82</v>
      </c>
      <c r="F750" s="829"/>
      <c r="G750" s="830"/>
      <c r="H750" s="828">
        <f>+VLOOKUP(B750,Composición!$C:$C,1,0)</f>
        <v>5131011123</v>
      </c>
      <c r="I750" s="829"/>
      <c r="J750" s="829"/>
    </row>
    <row r="751" spans="1:10" s="14" customFormat="1" ht="16.5" customHeight="1">
      <c r="A751" s="14" t="str">
        <f t="shared" si="83"/>
        <v>I</v>
      </c>
      <c r="B751" s="345">
        <v>5131011124</v>
      </c>
      <c r="C751" s="345" t="s">
        <v>491</v>
      </c>
      <c r="D751" s="347">
        <v>45854541</v>
      </c>
      <c r="E751" s="348">
        <v>6160.05</v>
      </c>
      <c r="F751" s="829"/>
      <c r="G751" s="830"/>
      <c r="H751" s="828">
        <f>+VLOOKUP(B751,Composición!$C:$C,1,0)</f>
        <v>5131011124</v>
      </c>
      <c r="I751" s="829"/>
      <c r="J751" s="829"/>
    </row>
    <row r="752" spans="1:10" s="14" customFormat="1" ht="16.5" customHeight="1">
      <c r="A752" s="14" t="str">
        <f t="shared" si="83"/>
        <v>I</v>
      </c>
      <c r="B752" s="345">
        <v>5131011199</v>
      </c>
      <c r="C752" s="345" t="s">
        <v>492</v>
      </c>
      <c r="D752" s="347">
        <v>16660939</v>
      </c>
      <c r="E752" s="348">
        <v>2294.5699999999997</v>
      </c>
      <c r="F752" s="829"/>
      <c r="G752" s="830"/>
      <c r="H752" s="828">
        <f>+VLOOKUP(B752,Composición!$C:$C,1,0)</f>
        <v>5131011199</v>
      </c>
      <c r="I752" s="829"/>
      <c r="J752" s="829"/>
    </row>
    <row r="753" spans="1:10" s="14" customFormat="1" ht="16.5" customHeight="1">
      <c r="A753" s="31" t="str">
        <f t="shared" si="83"/>
        <v>NI</v>
      </c>
      <c r="B753" s="350">
        <v>514</v>
      </c>
      <c r="C753" s="350" t="s">
        <v>493</v>
      </c>
      <c r="D753" s="340">
        <v>10053844466</v>
      </c>
      <c r="E753" s="341">
        <v>2392349.7568999999</v>
      </c>
      <c r="F753" s="829"/>
      <c r="G753" s="830"/>
      <c r="H753" s="828">
        <f>+VLOOKUP(B753,Composición!$C:$C,1,0)</f>
        <v>514</v>
      </c>
      <c r="I753" s="829"/>
      <c r="J753" s="829"/>
    </row>
    <row r="754" spans="1:10" s="14" customFormat="1" ht="16.5" customHeight="1">
      <c r="A754" s="31" t="str">
        <f t="shared" si="83"/>
        <v>NI</v>
      </c>
      <c r="B754" s="350">
        <v>51401</v>
      </c>
      <c r="C754" s="350" t="s">
        <v>494</v>
      </c>
      <c r="D754" s="340">
        <v>10053844466</v>
      </c>
      <c r="E754" s="341">
        <v>2392349.7568999999</v>
      </c>
      <c r="F754" s="829"/>
      <c r="G754" s="830"/>
      <c r="H754" s="828">
        <f>+VLOOKUP(B754,Composición!$C:$C,1,0)</f>
        <v>51401</v>
      </c>
      <c r="I754" s="829"/>
      <c r="J754" s="829"/>
    </row>
    <row r="755" spans="1:10" s="14" customFormat="1" ht="16.5" customHeight="1">
      <c r="A755" s="31" t="str">
        <f t="shared" si="83"/>
        <v>NI</v>
      </c>
      <c r="B755" s="350">
        <v>514011</v>
      </c>
      <c r="C755" s="350" t="s">
        <v>494</v>
      </c>
      <c r="D755" s="340">
        <v>10053844466</v>
      </c>
      <c r="E755" s="341">
        <v>2392349.7568999999</v>
      </c>
      <c r="F755" s="829"/>
      <c r="G755" s="830"/>
      <c r="H755" s="828">
        <f>+VLOOKUP(B755,Composición!$C:$C,1,0)</f>
        <v>514011</v>
      </c>
      <c r="I755" s="829"/>
      <c r="J755" s="829"/>
    </row>
    <row r="756" spans="1:10" s="14" customFormat="1" ht="16.5" customHeight="1">
      <c r="A756" s="31" t="str">
        <f t="shared" si="83"/>
        <v>NI</v>
      </c>
      <c r="B756" s="350">
        <v>5140111</v>
      </c>
      <c r="C756" s="350" t="s">
        <v>494</v>
      </c>
      <c r="D756" s="340">
        <v>10053844466</v>
      </c>
      <c r="E756" s="341">
        <v>2392349.7568999999</v>
      </c>
      <c r="F756" s="829"/>
      <c r="G756" s="830"/>
      <c r="H756" s="828">
        <f>+VLOOKUP(B756,Composición!$C:$C,1,0)</f>
        <v>5140111</v>
      </c>
      <c r="I756" s="829"/>
      <c r="J756" s="829"/>
    </row>
    <row r="757" spans="1:10" s="14" customFormat="1" ht="16.5" customHeight="1">
      <c r="A757" s="31" t="str">
        <f t="shared" si="83"/>
        <v>NI</v>
      </c>
      <c r="B757" s="350">
        <v>51401111</v>
      </c>
      <c r="C757" s="350" t="s">
        <v>495</v>
      </c>
      <c r="D757" s="340">
        <v>493269424</v>
      </c>
      <c r="E757" s="341">
        <v>67698.039999999994</v>
      </c>
      <c r="F757" s="829"/>
      <c r="G757" s="830"/>
      <c r="H757" s="828">
        <f>+VLOOKUP(B757,Composición!$C:$C,1,0)</f>
        <v>51401111</v>
      </c>
      <c r="I757" s="829"/>
      <c r="J757" s="829"/>
    </row>
    <row r="758" spans="1:10" s="14" customFormat="1" ht="16.5" customHeight="1">
      <c r="A758" s="14" t="str">
        <f t="shared" si="83"/>
        <v>I</v>
      </c>
      <c r="B758" s="345">
        <v>5140111101</v>
      </c>
      <c r="C758" s="345" t="s">
        <v>495</v>
      </c>
      <c r="D758" s="347">
        <v>2194521</v>
      </c>
      <c r="E758" s="348">
        <v>301.3</v>
      </c>
      <c r="F758" s="829"/>
      <c r="G758" s="830"/>
      <c r="H758" s="828">
        <f>+VLOOKUP(B758,Composición!$C:$C,1,0)</f>
        <v>5140111101</v>
      </c>
      <c r="I758" s="829"/>
      <c r="J758" s="829"/>
    </row>
    <row r="759" spans="1:10" s="14" customFormat="1" ht="16.5" customHeight="1">
      <c r="A759" s="14" t="str">
        <f t="shared" si="83"/>
        <v>I</v>
      </c>
      <c r="B759" s="345">
        <v>5140111102</v>
      </c>
      <c r="C759" s="345" t="s">
        <v>496</v>
      </c>
      <c r="D759" s="347">
        <v>491074903</v>
      </c>
      <c r="E759" s="348">
        <v>67396.740000000005</v>
      </c>
      <c r="F759" s="829"/>
      <c r="G759" s="830"/>
      <c r="H759" s="828">
        <f>+VLOOKUP(B759,Composición!$C:$C,1,0)</f>
        <v>5140111102</v>
      </c>
      <c r="I759" s="829"/>
      <c r="J759" s="829"/>
    </row>
    <row r="760" spans="1:10" s="14" customFormat="1" ht="16.5" customHeight="1">
      <c r="A760" s="31" t="str">
        <f t="shared" si="83"/>
        <v>NI</v>
      </c>
      <c r="B760" s="350">
        <v>51401112</v>
      </c>
      <c r="C760" s="350" t="s">
        <v>497</v>
      </c>
      <c r="D760" s="340">
        <v>43830271</v>
      </c>
      <c r="E760" s="341">
        <v>6039.06</v>
      </c>
      <c r="F760" s="829"/>
      <c r="G760" s="830"/>
      <c r="H760" s="828">
        <f>+VLOOKUP(B760,Composición!$C:$C,1,0)</f>
        <v>51401112</v>
      </c>
      <c r="I760" s="829"/>
      <c r="J760" s="829"/>
    </row>
    <row r="761" spans="1:10" s="14" customFormat="1" ht="16.5" customHeight="1">
      <c r="A761" s="14" t="str">
        <f t="shared" si="83"/>
        <v>I</v>
      </c>
      <c r="B761" s="345">
        <v>5140111201</v>
      </c>
      <c r="C761" s="345" t="s">
        <v>498</v>
      </c>
      <c r="D761" s="347">
        <v>25064159</v>
      </c>
      <c r="E761" s="348">
        <v>3464.66</v>
      </c>
      <c r="F761" s="829"/>
      <c r="G761" s="830"/>
      <c r="H761" s="828">
        <f>+VLOOKUP(B761,Composición!$C:$C,1,0)</f>
        <v>5140111201</v>
      </c>
      <c r="I761" s="829"/>
      <c r="J761" s="829"/>
    </row>
    <row r="762" spans="1:10" s="14" customFormat="1" ht="16.5" customHeight="1">
      <c r="A762" s="14" t="str">
        <f t="shared" si="83"/>
        <v>I</v>
      </c>
      <c r="B762" s="345">
        <v>5140111203</v>
      </c>
      <c r="C762" s="345" t="s">
        <v>499</v>
      </c>
      <c r="D762" s="347">
        <v>6074427</v>
      </c>
      <c r="E762" s="348">
        <v>827.52</v>
      </c>
      <c r="F762" s="829"/>
      <c r="G762" s="830"/>
      <c r="H762" s="828">
        <f>+VLOOKUP(B762,Composición!$C:$C,1,0)</f>
        <v>5140111203</v>
      </c>
      <c r="I762" s="829"/>
      <c r="J762" s="829"/>
    </row>
    <row r="763" spans="1:10" s="14" customFormat="1" ht="16.5" customHeight="1">
      <c r="A763" s="14" t="str">
        <f t="shared" si="83"/>
        <v>I</v>
      </c>
      <c r="B763" s="345">
        <v>5140111204</v>
      </c>
      <c r="C763" s="345" t="s">
        <v>500</v>
      </c>
      <c r="D763" s="347">
        <v>12691685</v>
      </c>
      <c r="E763" s="348">
        <v>1746.88</v>
      </c>
      <c r="F763" s="829"/>
      <c r="G763" s="830"/>
      <c r="H763" s="828">
        <f>+VLOOKUP(B763,Composición!$C:$C,1,0)</f>
        <v>5140111204</v>
      </c>
      <c r="I763" s="829"/>
      <c r="J763" s="829"/>
    </row>
    <row r="764" spans="1:10" s="14" customFormat="1" ht="16.5" customHeight="1">
      <c r="A764" s="31" t="str">
        <f t="shared" si="83"/>
        <v>NI</v>
      </c>
      <c r="B764" s="350">
        <v>51401113</v>
      </c>
      <c r="C764" s="350" t="s">
        <v>501</v>
      </c>
      <c r="D764" s="340">
        <v>9225344771</v>
      </c>
      <c r="E764" s="341">
        <v>2278598.2669000002</v>
      </c>
      <c r="F764" s="829"/>
      <c r="G764" s="830"/>
      <c r="H764" s="828">
        <f>+VLOOKUP(B764,Composición!$C:$C,1,0)</f>
        <v>51401113</v>
      </c>
      <c r="I764" s="829"/>
      <c r="J764" s="829"/>
    </row>
    <row r="765" spans="1:10" s="14" customFormat="1" ht="16.5" customHeight="1">
      <c r="A765" s="14" t="str">
        <f t="shared" si="83"/>
        <v>I</v>
      </c>
      <c r="B765" s="345">
        <v>5140111301</v>
      </c>
      <c r="C765" s="345" t="s">
        <v>385</v>
      </c>
      <c r="D765" s="347">
        <v>5865971373</v>
      </c>
      <c r="E765" s="348">
        <v>1562057.7163</v>
      </c>
      <c r="F765" s="829"/>
      <c r="G765" s="830"/>
      <c r="H765" s="828">
        <f>+VLOOKUP(B765,Composición!$C:$C,1,0)</f>
        <v>5140111301</v>
      </c>
      <c r="I765" s="829"/>
      <c r="J765" s="829"/>
    </row>
    <row r="766" spans="1:10" s="14" customFormat="1" ht="16.5" customHeight="1">
      <c r="A766" s="14" t="str">
        <f t="shared" si="83"/>
        <v>I</v>
      </c>
      <c r="B766" s="345">
        <v>5140111302</v>
      </c>
      <c r="C766" s="345" t="s">
        <v>386</v>
      </c>
      <c r="D766" s="347">
        <v>3359373398</v>
      </c>
      <c r="E766" s="348">
        <v>716540.55059999996</v>
      </c>
      <c r="F766" s="829"/>
      <c r="G766" s="830"/>
      <c r="H766" s="828">
        <f>+VLOOKUP(B766,Composición!$C:$C,1,0)</f>
        <v>5140111302</v>
      </c>
      <c r="I766" s="829"/>
      <c r="J766" s="829"/>
    </row>
    <row r="767" spans="1:10" s="14" customFormat="1" ht="16.5" customHeight="1">
      <c r="A767" s="31" t="str">
        <f t="shared" si="83"/>
        <v>NI</v>
      </c>
      <c r="B767" s="350">
        <v>51401114</v>
      </c>
      <c r="C767" s="350" t="s">
        <v>502</v>
      </c>
      <c r="D767" s="340">
        <v>291400000</v>
      </c>
      <c r="E767" s="341">
        <v>40014.39</v>
      </c>
      <c r="F767" s="829"/>
      <c r="G767" s="830"/>
      <c r="H767" s="828">
        <f>+VLOOKUP(B767,Composición!$C:$C,1,0)</f>
        <v>51401114</v>
      </c>
      <c r="I767" s="829"/>
      <c r="J767" s="829"/>
    </row>
    <row r="768" spans="1:10" s="14" customFormat="1" ht="16.5" customHeight="1">
      <c r="A768" s="14" t="str">
        <f t="shared" si="83"/>
        <v>I</v>
      </c>
      <c r="B768" s="345">
        <v>5140111401</v>
      </c>
      <c r="C768" s="345" t="s">
        <v>502</v>
      </c>
      <c r="D768" s="347">
        <v>291400000</v>
      </c>
      <c r="E768" s="348">
        <v>40014.39</v>
      </c>
      <c r="F768" s="829"/>
      <c r="G768" s="830"/>
      <c r="H768" s="828">
        <f>+VLOOKUP(B768,Composición!$C:$C,1,0)</f>
        <v>5140111401</v>
      </c>
      <c r="I768" s="829"/>
      <c r="J768" s="829"/>
    </row>
    <row r="769" spans="1:10" s="14" customFormat="1" ht="16.5" customHeight="1">
      <c r="A769" s="31" t="str">
        <f t="shared" si="83"/>
        <v>NI</v>
      </c>
      <c r="B769" s="350">
        <v>515</v>
      </c>
      <c r="C769" s="350" t="s">
        <v>503</v>
      </c>
      <c r="D769" s="340">
        <v>863359746</v>
      </c>
      <c r="E769" s="341">
        <v>118189.44</v>
      </c>
      <c r="F769" s="829"/>
      <c r="G769" s="830"/>
      <c r="H769" s="828">
        <f>+VLOOKUP(B769,Composición!$C:$C,1,0)</f>
        <v>515</v>
      </c>
      <c r="I769" s="829"/>
      <c r="J769" s="829"/>
    </row>
    <row r="770" spans="1:10" s="14" customFormat="1" ht="16.5" customHeight="1">
      <c r="A770" s="31" t="str">
        <f t="shared" si="83"/>
        <v>NI</v>
      </c>
      <c r="B770" s="350">
        <v>51501</v>
      </c>
      <c r="C770" s="350" t="s">
        <v>504</v>
      </c>
      <c r="D770" s="340">
        <v>863359746</v>
      </c>
      <c r="E770" s="341">
        <v>118189.44</v>
      </c>
      <c r="F770" s="829"/>
      <c r="G770" s="830"/>
      <c r="H770" s="828">
        <f>+VLOOKUP(B770,Composición!$C:$C,1,0)</f>
        <v>51501</v>
      </c>
      <c r="I770" s="829"/>
      <c r="J770" s="829"/>
    </row>
    <row r="771" spans="1:10" s="14" customFormat="1" ht="16.5" customHeight="1">
      <c r="A771" s="31" t="str">
        <f t="shared" si="83"/>
        <v>NI</v>
      </c>
      <c r="B771" s="350">
        <v>515011</v>
      </c>
      <c r="C771" s="350" t="s">
        <v>504</v>
      </c>
      <c r="D771" s="340">
        <v>863359746</v>
      </c>
      <c r="E771" s="341">
        <v>118189.44</v>
      </c>
      <c r="F771" s="829"/>
      <c r="G771" s="830"/>
      <c r="H771" s="828">
        <f>+VLOOKUP(B771,Composición!$C:$C,1,0)</f>
        <v>515011</v>
      </c>
      <c r="I771" s="829"/>
      <c r="J771" s="829"/>
    </row>
    <row r="772" spans="1:10" s="14" customFormat="1" ht="16.5" customHeight="1">
      <c r="A772" s="31" t="str">
        <f t="shared" si="83"/>
        <v>NI</v>
      </c>
      <c r="B772" s="350">
        <v>5150111</v>
      </c>
      <c r="C772" s="350" t="s">
        <v>504</v>
      </c>
      <c r="D772" s="340">
        <v>863359746</v>
      </c>
      <c r="E772" s="341">
        <v>118189.44</v>
      </c>
      <c r="F772" s="829"/>
      <c r="G772" s="830"/>
      <c r="H772" s="828">
        <f>+VLOOKUP(B772,Composición!$C:$C,1,0)</f>
        <v>5150111</v>
      </c>
      <c r="I772" s="829"/>
      <c r="J772" s="829"/>
    </row>
    <row r="773" spans="1:10" s="14" customFormat="1" ht="16.5" customHeight="1">
      <c r="A773" s="31" t="str">
        <f t="shared" si="83"/>
        <v>NI</v>
      </c>
      <c r="B773" s="350">
        <v>51501111</v>
      </c>
      <c r="C773" s="350" t="s">
        <v>505</v>
      </c>
      <c r="D773" s="340">
        <v>829100550</v>
      </c>
      <c r="E773" s="341">
        <v>113484.15999999999</v>
      </c>
      <c r="F773" s="829"/>
      <c r="G773" s="830"/>
      <c r="H773" s="828">
        <f>+VLOOKUP(B773,Composición!$C:$C,1,0)</f>
        <v>51501111</v>
      </c>
      <c r="I773" s="829"/>
      <c r="J773" s="829"/>
    </row>
    <row r="774" spans="1:10" s="14" customFormat="1" ht="16.5" customHeight="1">
      <c r="A774" s="14" t="str">
        <f t="shared" ref="A774:A791" si="88">IF(LEN(B774)&gt;8,"I","NI")</f>
        <v>I</v>
      </c>
      <c r="B774" s="345">
        <v>5150111101</v>
      </c>
      <c r="C774" s="345" t="s">
        <v>506</v>
      </c>
      <c r="D774" s="347">
        <v>426755525</v>
      </c>
      <c r="E774" s="348">
        <v>58198.1</v>
      </c>
      <c r="F774" s="829"/>
      <c r="G774" s="830"/>
      <c r="H774" s="828">
        <f>+VLOOKUP(B774,Composición!$C:$C,1,0)</f>
        <v>5150111101</v>
      </c>
      <c r="I774" s="829"/>
      <c r="J774" s="829"/>
    </row>
    <row r="775" spans="1:10" s="14" customFormat="1" ht="16.5" customHeight="1">
      <c r="A775" s="14" t="str">
        <f t="shared" si="88"/>
        <v>I</v>
      </c>
      <c r="B775" s="345">
        <v>5150111102</v>
      </c>
      <c r="C775" s="345" t="s">
        <v>507</v>
      </c>
      <c r="D775" s="347">
        <v>199512474</v>
      </c>
      <c r="E775" s="348">
        <v>27461.48</v>
      </c>
      <c r="F775" s="829"/>
      <c r="G775" s="830"/>
      <c r="H775" s="828">
        <f>+VLOOKUP(B775,Composición!$C:$C,1,0)</f>
        <v>5150111102</v>
      </c>
      <c r="I775" s="829"/>
      <c r="J775" s="829"/>
    </row>
    <row r="776" spans="1:10" s="14" customFormat="1" ht="16.5" customHeight="1">
      <c r="A776" s="14" t="str">
        <f t="shared" si="88"/>
        <v>I</v>
      </c>
      <c r="B776" s="345">
        <v>5150111103</v>
      </c>
      <c r="C776" s="345" t="s">
        <v>508</v>
      </c>
      <c r="D776" s="347">
        <v>202832551</v>
      </c>
      <c r="E776" s="348">
        <v>27824.579999999998</v>
      </c>
      <c r="F776" s="829"/>
      <c r="G776" s="830"/>
      <c r="H776" s="828">
        <f>+VLOOKUP(B776,Composición!$C:$C,1,0)</f>
        <v>5150111103</v>
      </c>
      <c r="I776" s="829"/>
      <c r="J776" s="829"/>
    </row>
    <row r="777" spans="1:10" s="14" customFormat="1" ht="16.5" customHeight="1">
      <c r="A777" s="31" t="str">
        <f t="shared" si="88"/>
        <v>NI</v>
      </c>
      <c r="B777" s="350">
        <v>51501112</v>
      </c>
      <c r="C777" s="350" t="s">
        <v>509</v>
      </c>
      <c r="D777" s="340">
        <v>27233386</v>
      </c>
      <c r="E777" s="341">
        <v>3736.7299999999996</v>
      </c>
      <c r="F777" s="829"/>
      <c r="G777" s="830"/>
      <c r="H777" s="828">
        <f>+VLOOKUP(B777,Composición!$C:$C,1,0)</f>
        <v>51501112</v>
      </c>
      <c r="I777" s="829"/>
      <c r="J777" s="829"/>
    </row>
    <row r="778" spans="1:10" s="14" customFormat="1" ht="16.5" customHeight="1">
      <c r="A778" s="14" t="str">
        <f t="shared" si="88"/>
        <v>I</v>
      </c>
      <c r="B778" s="345">
        <v>5150111201</v>
      </c>
      <c r="C778" s="345" t="s">
        <v>510</v>
      </c>
      <c r="D778" s="347">
        <v>364000</v>
      </c>
      <c r="E778" s="348">
        <v>50.420000000000073</v>
      </c>
      <c r="F778" s="829"/>
      <c r="G778" s="830"/>
      <c r="H778" s="828">
        <f>+VLOOKUP(B778,Composición!$C:$C,1,0)</f>
        <v>5150111201</v>
      </c>
      <c r="I778" s="829"/>
      <c r="J778" s="829"/>
    </row>
    <row r="779" spans="1:10" s="14" customFormat="1" ht="16.5" customHeight="1">
      <c r="A779" s="14" t="str">
        <f t="shared" si="88"/>
        <v>I</v>
      </c>
      <c r="B779" s="345">
        <v>5150111203</v>
      </c>
      <c r="C779" s="345" t="s">
        <v>511</v>
      </c>
      <c r="D779" s="347">
        <v>26707386</v>
      </c>
      <c r="E779" s="348">
        <v>3664.43</v>
      </c>
      <c r="F779" s="829"/>
      <c r="G779" s="830"/>
      <c r="H779" s="828">
        <f>+VLOOKUP(B779,Composición!$C:$C,1,0)</f>
        <v>5150111203</v>
      </c>
      <c r="I779" s="829"/>
      <c r="J779" s="829"/>
    </row>
    <row r="780" spans="1:10" s="14" customFormat="1" ht="16.5" customHeight="1">
      <c r="A780" s="14" t="str">
        <f t="shared" si="88"/>
        <v>I</v>
      </c>
      <c r="B780" s="345">
        <v>5150111204</v>
      </c>
      <c r="C780" s="345" t="s">
        <v>512</v>
      </c>
      <c r="D780" s="347">
        <v>162000</v>
      </c>
      <c r="E780" s="348">
        <v>21.88</v>
      </c>
      <c r="F780" s="829"/>
      <c r="G780" s="830"/>
      <c r="H780" s="828">
        <f>+VLOOKUP(B780,Composición!$C:$C,1,0)</f>
        <v>5150111204</v>
      </c>
      <c r="I780" s="829"/>
      <c r="J780" s="829"/>
    </row>
    <row r="781" spans="1:10" s="14" customFormat="1" ht="16.5" customHeight="1">
      <c r="A781" s="31" t="str">
        <f t="shared" si="88"/>
        <v>NI</v>
      </c>
      <c r="B781" s="350">
        <v>51501113</v>
      </c>
      <c r="C781" s="350" t="s">
        <v>513</v>
      </c>
      <c r="D781" s="340">
        <v>7025810</v>
      </c>
      <c r="E781" s="341">
        <v>968.55</v>
      </c>
      <c r="F781" s="829"/>
      <c r="G781" s="830"/>
      <c r="H781" s="828">
        <f>+VLOOKUP(B781,Composición!$C:$C,1,0)</f>
        <v>51501113</v>
      </c>
      <c r="I781" s="829"/>
      <c r="J781" s="829"/>
    </row>
    <row r="782" spans="1:10" s="14" customFormat="1" ht="16.5" customHeight="1">
      <c r="A782" s="14" t="str">
        <f t="shared" si="88"/>
        <v>I</v>
      </c>
      <c r="B782" s="345">
        <v>5150411102</v>
      </c>
      <c r="C782" s="345" t="s">
        <v>514</v>
      </c>
      <c r="D782" s="347">
        <v>285940</v>
      </c>
      <c r="E782" s="348">
        <v>39.340000000000003</v>
      </c>
      <c r="F782" s="829"/>
      <c r="G782" s="830"/>
      <c r="H782" s="828">
        <f>+VLOOKUP(B782,Composición!$C:$C,1,0)</f>
        <v>5150411102</v>
      </c>
      <c r="I782" s="829"/>
      <c r="J782" s="829"/>
    </row>
    <row r="783" spans="1:10" s="14" customFormat="1" ht="16.5" customHeight="1">
      <c r="A783" s="14" t="str">
        <f t="shared" si="88"/>
        <v>I</v>
      </c>
      <c r="B783" s="345">
        <v>5150411103</v>
      </c>
      <c r="C783" s="345" t="s">
        <v>515</v>
      </c>
      <c r="D783" s="347">
        <v>6739870</v>
      </c>
      <c r="E783" s="348">
        <v>929.21</v>
      </c>
      <c r="F783" s="829"/>
      <c r="G783" s="830"/>
      <c r="H783" s="828">
        <f>+VLOOKUP(B783,Composición!$C:$C,1,0)</f>
        <v>5150411103</v>
      </c>
      <c r="I783" s="829"/>
      <c r="J783" s="829"/>
    </row>
    <row r="784" spans="1:10" s="14" customFormat="1" ht="16.5" customHeight="1">
      <c r="A784" s="31" t="str">
        <f t="shared" si="88"/>
        <v>NI</v>
      </c>
      <c r="B784" s="350">
        <v>52</v>
      </c>
      <c r="C784" s="350" t="s">
        <v>516</v>
      </c>
      <c r="D784" s="340">
        <v>76048336</v>
      </c>
      <c r="E784" s="341">
        <v>10442.289999999999</v>
      </c>
      <c r="F784" s="829"/>
      <c r="G784" s="830"/>
      <c r="H784" s="828">
        <f>+VLOOKUP(B784,Composición!$C:$C,1,0)</f>
        <v>52</v>
      </c>
      <c r="I784" s="829"/>
      <c r="J784" s="829"/>
    </row>
    <row r="785" spans="1:10" s="14" customFormat="1" ht="16.5" customHeight="1">
      <c r="A785" s="31" t="str">
        <f t="shared" si="88"/>
        <v>NI</v>
      </c>
      <c r="B785" s="350">
        <v>521</v>
      </c>
      <c r="C785" s="350" t="s">
        <v>516</v>
      </c>
      <c r="D785" s="340">
        <v>76048336</v>
      </c>
      <c r="E785" s="341">
        <v>10442.289999999999</v>
      </c>
      <c r="F785" s="829"/>
      <c r="G785" s="830"/>
      <c r="H785" s="828">
        <f>+VLOOKUP(B785,Composición!$C:$C,1,0)</f>
        <v>521</v>
      </c>
      <c r="I785" s="829"/>
      <c r="J785" s="829"/>
    </row>
    <row r="786" spans="1:10" s="14" customFormat="1" ht="16.5" customHeight="1">
      <c r="A786" s="31" t="str">
        <f t="shared" si="88"/>
        <v>NI</v>
      </c>
      <c r="B786" s="350">
        <v>52101</v>
      </c>
      <c r="C786" s="350" t="s">
        <v>516</v>
      </c>
      <c r="D786" s="340">
        <v>76048336</v>
      </c>
      <c r="E786" s="341">
        <v>10442.289999999999</v>
      </c>
      <c r="F786" s="829"/>
      <c r="G786" s="830"/>
      <c r="H786" s="828">
        <f>+VLOOKUP(B786,Composición!$C:$C,1,0)</f>
        <v>52101</v>
      </c>
      <c r="I786" s="829"/>
      <c r="J786" s="829"/>
    </row>
    <row r="787" spans="1:10" s="14" customFormat="1" ht="16.5" customHeight="1">
      <c r="A787" s="31" t="str">
        <f t="shared" si="88"/>
        <v>NI</v>
      </c>
      <c r="B787" s="350">
        <v>521011</v>
      </c>
      <c r="C787" s="350" t="s">
        <v>516</v>
      </c>
      <c r="D787" s="340">
        <v>76048336</v>
      </c>
      <c r="E787" s="341">
        <v>10442.289999999999</v>
      </c>
      <c r="F787" s="829"/>
      <c r="G787" s="830"/>
      <c r="H787" s="828">
        <f>+VLOOKUP(B787,Composición!$C:$C,1,0)</f>
        <v>521011</v>
      </c>
      <c r="I787" s="829"/>
      <c r="J787" s="829"/>
    </row>
    <row r="788" spans="1:10" s="14" customFormat="1" ht="16.5" customHeight="1">
      <c r="A788" s="31" t="str">
        <f t="shared" si="88"/>
        <v>NI</v>
      </c>
      <c r="B788" s="350">
        <v>5210111</v>
      </c>
      <c r="C788" s="350" t="s">
        <v>516</v>
      </c>
      <c r="D788" s="340">
        <v>76048336</v>
      </c>
      <c r="E788" s="341">
        <v>10442.289999999999</v>
      </c>
      <c r="F788" s="829"/>
      <c r="G788" s="830"/>
      <c r="H788" s="828">
        <f>+VLOOKUP(B788,Composición!$C:$C,1,0)</f>
        <v>5210111</v>
      </c>
      <c r="I788" s="829"/>
      <c r="J788" s="829"/>
    </row>
    <row r="789" spans="1:10" s="14" customFormat="1" ht="16.5" customHeight="1">
      <c r="A789" s="31" t="str">
        <f t="shared" si="88"/>
        <v>NI</v>
      </c>
      <c r="B789" s="350">
        <v>52101111</v>
      </c>
      <c r="C789" s="350" t="s">
        <v>516</v>
      </c>
      <c r="D789" s="340">
        <v>76048336</v>
      </c>
      <c r="E789" s="341">
        <v>10442.289999999999</v>
      </c>
      <c r="F789" s="829"/>
      <c r="G789" s="830"/>
      <c r="H789" s="828">
        <f>+VLOOKUP(B789,Composición!$C:$C,1,0)</f>
        <v>52101111</v>
      </c>
      <c r="I789" s="829"/>
      <c r="J789" s="829"/>
    </row>
    <row r="790" spans="1:10" s="14" customFormat="1" ht="16.5" customHeight="1">
      <c r="A790" s="14" t="str">
        <f t="shared" si="88"/>
        <v>I</v>
      </c>
      <c r="B790" s="345">
        <v>5210111101</v>
      </c>
      <c r="C790" s="345" t="s">
        <v>517</v>
      </c>
      <c r="D790" s="347">
        <v>7589</v>
      </c>
      <c r="E790" s="348">
        <v>7.2800000000000011</v>
      </c>
      <c r="F790" s="829"/>
      <c r="G790" s="830"/>
      <c r="H790" s="828">
        <f>+VLOOKUP(B790,Composición!$C:$C,1,0)</f>
        <v>5210111101</v>
      </c>
      <c r="I790" s="829"/>
      <c r="J790" s="829"/>
    </row>
    <row r="791" spans="1:10" s="14" customFormat="1" ht="16.5" customHeight="1">
      <c r="A791" s="14" t="str">
        <f t="shared" si="88"/>
        <v>I</v>
      </c>
      <c r="B791" s="345">
        <v>5210111102</v>
      </c>
      <c r="C791" s="345" t="s">
        <v>518</v>
      </c>
      <c r="D791" s="347">
        <v>76040747</v>
      </c>
      <c r="E791" s="348">
        <v>10435.01</v>
      </c>
      <c r="F791" s="829"/>
      <c r="G791" s="830"/>
      <c r="H791" s="828">
        <f>+VLOOKUP(B791,Composición!$C:$C,1,0)</f>
        <v>5210111102</v>
      </c>
      <c r="I791" s="829"/>
      <c r="J791" s="829"/>
    </row>
    <row r="792" spans="1:10" s="14" customFormat="1" ht="16.5" customHeight="1">
      <c r="A792" s="31"/>
      <c r="B792" s="345"/>
      <c r="C792" s="345"/>
      <c r="D792" s="347"/>
      <c r="E792" s="348"/>
      <c r="F792" s="829"/>
      <c r="G792" s="830"/>
      <c r="H792" s="829"/>
      <c r="I792" s="829"/>
      <c r="J792" s="829"/>
    </row>
    <row r="793" spans="1:10" s="14" customFormat="1" ht="16.5" customHeight="1">
      <c r="A793" s="798"/>
      <c r="B793" s="803"/>
      <c r="C793" s="803" t="s">
        <v>519</v>
      </c>
      <c r="D793" s="804">
        <v>3169167210</v>
      </c>
      <c r="E793" s="805">
        <v>423367.95</v>
      </c>
      <c r="F793" s="829"/>
      <c r="G793" s="830"/>
      <c r="H793" s="829"/>
      <c r="I793" s="829"/>
      <c r="J793" s="829"/>
    </row>
    <row r="794" spans="1:10" s="14" customFormat="1" ht="16.5" customHeight="1">
      <c r="A794" s="31"/>
      <c r="B794" s="345"/>
      <c r="C794" s="345"/>
      <c r="D794" s="347"/>
      <c r="E794" s="348"/>
      <c r="F794" s="829"/>
      <c r="G794" s="830"/>
      <c r="H794" s="829"/>
      <c r="I794" s="829"/>
      <c r="J794" s="829"/>
    </row>
  </sheetData>
  <sheetProtection algorithmName="SHA-512" hashValue="su7Ee4uC/C5Mk4/kf04fT5BUb5d9hB1ycMfdXLKYT6iFmBLX4ieT6fiFtFVaXP3aDhpq9rYPRhqnqgo0/7Rm7A==" saltValue="1x0Bvl6aFWR+/UrlsX7K5w==" spinCount="100000" sheet="1" objects="1" scenarios="1"/>
  <autoFilter ref="A4:H794" xr:uid="{8A9CB713-C8B2-4C0A-81D7-6B4959532737}"/>
  <mergeCells count="2">
    <mergeCell ref="D1:E1"/>
    <mergeCell ref="D2:E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M755"/>
  <sheetViews>
    <sheetView showGridLines="0" zoomScale="80" zoomScaleNormal="80" workbookViewId="0">
      <pane ySplit="9" topLeftCell="A35" activePane="bottomLeft" state="frozen"/>
      <selection activeCell="B254" sqref="B254:B256"/>
      <selection pane="bottomLeft" activeCell="B4" sqref="B4:I4"/>
    </sheetView>
  </sheetViews>
  <sheetFormatPr baseColWidth="10" defaultColWidth="11.44140625" defaultRowHeight="15.6"/>
  <cols>
    <col min="1" max="1" width="2.44140625" style="1" customWidth="1"/>
    <col min="2" max="2" width="44.33203125" style="1" customWidth="1"/>
    <col min="3" max="3" width="21.5546875" style="1" customWidth="1"/>
    <col min="4" max="4" width="21.44140625" style="1" customWidth="1"/>
    <col min="5" max="5" width="21.44140625" style="24" customWidth="1"/>
    <col min="6" max="6" width="52.88671875" style="1" customWidth="1"/>
    <col min="7" max="7" width="21.44140625" style="1" customWidth="1"/>
    <col min="8" max="9" width="21.44140625" style="152" customWidth="1"/>
    <col min="10" max="10" width="17.44140625" style="1" bestFit="1" customWidth="1"/>
    <col min="11" max="11" width="19.33203125" style="1" customWidth="1"/>
    <col min="12" max="12" width="21.5546875" style="1" customWidth="1"/>
    <col min="13" max="16384" width="11.44140625" style="1"/>
  </cols>
  <sheetData>
    <row r="1" spans="1:13">
      <c r="H1" s="677" t="s">
        <v>1332</v>
      </c>
    </row>
    <row r="2" spans="1:13">
      <c r="E2" s="786"/>
      <c r="F2" s="4"/>
    </row>
    <row r="3" spans="1:13">
      <c r="B3" s="4"/>
      <c r="D3" s="46"/>
      <c r="E3" s="740"/>
    </row>
    <row r="4" spans="1:13" s="5" customFormat="1">
      <c r="A4" s="1"/>
      <c r="B4" s="1498" t="s">
        <v>1173</v>
      </c>
      <c r="C4" s="1498"/>
      <c r="D4" s="1498"/>
      <c r="E4" s="1498"/>
      <c r="F4" s="1498"/>
      <c r="G4" s="1498"/>
      <c r="H4" s="1498"/>
      <c r="I4" s="1498"/>
    </row>
    <row r="5" spans="1:13" ht="17.399999999999999">
      <c r="B5" s="1499" t="s">
        <v>1333</v>
      </c>
      <c r="C5" s="1499"/>
      <c r="D5" s="1499"/>
      <c r="E5" s="1499"/>
      <c r="F5" s="1499"/>
      <c r="G5" s="1499"/>
      <c r="H5" s="1499"/>
      <c r="I5" s="1499"/>
    </row>
    <row r="6" spans="1:13">
      <c r="B6" s="1503" t="s">
        <v>3015</v>
      </c>
      <c r="C6" s="1503"/>
      <c r="D6" s="1503"/>
      <c r="E6" s="1503"/>
      <c r="F6" s="1503"/>
      <c r="G6" s="1503"/>
      <c r="H6" s="1503"/>
      <c r="I6" s="1503"/>
    </row>
    <row r="7" spans="1:13">
      <c r="B7" s="1500" t="s">
        <v>1334</v>
      </c>
      <c r="C7" s="1500"/>
      <c r="D7" s="1500"/>
      <c r="E7" s="1500"/>
      <c r="F7" s="1500"/>
      <c r="G7" s="1500"/>
      <c r="H7" s="1500"/>
      <c r="I7" s="1500"/>
    </row>
    <row r="8" spans="1:13" ht="7.5" customHeight="1">
      <c r="B8" s="290"/>
      <c r="C8" s="290"/>
      <c r="D8" s="290"/>
      <c r="E8" s="290"/>
      <c r="F8" s="290"/>
      <c r="G8" s="290"/>
    </row>
    <row r="9" spans="1:13" s="152" customFormat="1" ht="16.2" thickBot="1">
      <c r="A9" s="1"/>
      <c r="B9" s="553" t="s">
        <v>10</v>
      </c>
      <c r="C9" s="554"/>
      <c r="D9" s="555">
        <v>45657</v>
      </c>
      <c r="E9" s="374" t="s">
        <v>1335</v>
      </c>
      <c r="F9" s="373" t="s">
        <v>1336</v>
      </c>
      <c r="G9" s="373"/>
      <c r="H9" s="555">
        <f>+D9</f>
        <v>45657</v>
      </c>
      <c r="I9" s="374" t="s">
        <v>1335</v>
      </c>
    </row>
    <row r="10" spans="1:13" s="152" customFormat="1">
      <c r="A10" s="3"/>
      <c r="B10" s="378" t="s">
        <v>11</v>
      </c>
      <c r="C10" s="1501"/>
      <c r="D10" s="1501"/>
      <c r="E10" s="556"/>
      <c r="F10" s="378" t="s">
        <v>194</v>
      </c>
      <c r="G10" s="1502"/>
      <c r="H10" s="1502"/>
      <c r="I10" s="375"/>
    </row>
    <row r="11" spans="1:13" s="152" customFormat="1">
      <c r="A11" s="3"/>
      <c r="B11" s="366" t="s">
        <v>1337</v>
      </c>
      <c r="C11" s="772" t="s">
        <v>1338</v>
      </c>
      <c r="D11" s="551">
        <f>+SUM(D12)</f>
        <v>5387885019</v>
      </c>
      <c r="E11" s="444">
        <f>+SUM(E12)</f>
        <v>4977928582</v>
      </c>
      <c r="F11" s="366" t="s">
        <v>1339</v>
      </c>
      <c r="G11" s="773" t="s">
        <v>1340</v>
      </c>
      <c r="H11" s="551">
        <f>+SUM(H12:H14)</f>
        <v>188590043</v>
      </c>
      <c r="I11" s="444">
        <f>+SUM(I12:I14)</f>
        <v>680741973</v>
      </c>
      <c r="K11" s="1276">
        <f>+E39-I11</f>
        <v>73116587840</v>
      </c>
      <c r="L11" s="569">
        <v>0</v>
      </c>
      <c r="M11" s="152" t="s">
        <v>2597</v>
      </c>
    </row>
    <row r="12" spans="1:13" s="152" customFormat="1">
      <c r="A12" s="91"/>
      <c r="B12" s="331" t="s">
        <v>13</v>
      </c>
      <c r="C12" s="382"/>
      <c r="D12" s="445" cm="1">
        <f t="array" ref="D12">+SUMIF(Composición!B:B,'Balance General'!B12:B12,Composición!G:G)</f>
        <v>5387885019</v>
      </c>
      <c r="E12" s="446" cm="1">
        <f t="array" ref="E12">+SUMIF(Composición!B:B,'Balance General'!B12:B12,Composición!J:J)</f>
        <v>4977928582</v>
      </c>
      <c r="F12" s="331" t="s">
        <v>703</v>
      </c>
      <c r="G12" s="382"/>
      <c r="H12" s="445" cm="1">
        <f t="array" ref="H12">+SUMIF(Composición!B:B,'Balance General'!F12:F12,Composición!G:G)</f>
        <v>118205844</v>
      </c>
      <c r="I12" s="447">
        <f>+SUMIF(Composición!B:B,'Balance General'!F12,Composición!J:J)</f>
        <v>105144100</v>
      </c>
    </row>
    <row r="13" spans="1:13" s="152" customFormat="1">
      <c r="A13" s="91"/>
      <c r="B13" s="366" t="s">
        <v>1341</v>
      </c>
      <c r="C13" s="773" t="s">
        <v>1340</v>
      </c>
      <c r="D13" s="551">
        <f>+SUM(D14:D18)</f>
        <v>102048589310</v>
      </c>
      <c r="E13" s="444">
        <f>+SUM(E14:E18)</f>
        <v>63099029614</v>
      </c>
      <c r="F13" s="331" t="s">
        <v>808</v>
      </c>
      <c r="G13" s="382"/>
      <c r="H13" s="445" cm="1">
        <f t="array" ref="H13">+SUMIF(Composición!B:B,'Balance General'!F13:F13,Composición!G:G)</f>
        <v>62769658</v>
      </c>
      <c r="I13" s="447">
        <f>+SUMIF(Composición!B:B,'Balance General'!F13,Composición!J:J)</f>
        <v>575596057</v>
      </c>
      <c r="L13" s="568"/>
    </row>
    <row r="14" spans="1:13" s="152" customFormat="1">
      <c r="A14" s="91"/>
      <c r="B14" s="331" t="s">
        <v>3100</v>
      </c>
      <c r="C14" s="382"/>
      <c r="D14" s="445" cm="1">
        <f t="array" ref="D14">+SUMIF(Composición!B:B,'Balance General'!B14:B14,Composición!G:G)</f>
        <v>1249280000</v>
      </c>
      <c r="E14" s="446" cm="1">
        <f t="array" ref="E14">+SUMIF(Composición!B:B,'Balance General'!B14:B14,Composición!J:J)</f>
        <v>3298357000</v>
      </c>
      <c r="F14" s="331" t="s">
        <v>802</v>
      </c>
      <c r="H14" s="445" cm="1">
        <f t="array" ref="H14">+SUMIF(Composición!B:B,'Balance General'!F14:F14,Composición!G:G)</f>
        <v>7614541</v>
      </c>
      <c r="I14" s="447">
        <f>+SUMIF(Composición!B:B,'Balance General'!F14,Composición!J:J)</f>
        <v>1816</v>
      </c>
      <c r="K14" s="568"/>
      <c r="L14" s="568"/>
    </row>
    <row r="15" spans="1:13" s="152" customFormat="1">
      <c r="A15" s="91"/>
      <c r="B15" s="331" t="s">
        <v>3101</v>
      </c>
      <c r="C15" s="382"/>
      <c r="D15" s="445" cm="1">
        <f t="array" ref="D15">+SUMIF(Composición!B:B,'Balance General'!B15:B15,Composición!G:G)</f>
        <v>49546215971</v>
      </c>
      <c r="E15" s="447" cm="1">
        <f t="array" ref="E15">+SUMIF(Composición!B:B,'Balance General'!B15:B15,Composición!J:J)</f>
        <v>24367516500</v>
      </c>
      <c r="F15" s="331"/>
      <c r="I15" s="444"/>
      <c r="J15" s="445"/>
      <c r="K15" s="568"/>
      <c r="L15" s="568"/>
    </row>
    <row r="16" spans="1:13" s="152" customFormat="1">
      <c r="A16" s="91"/>
      <c r="B16" s="331" t="s">
        <v>3102</v>
      </c>
      <c r="C16" s="382"/>
      <c r="D16" s="445" cm="1">
        <f t="array" ref="D16">+SUMIF(Composición!B:B,'Balance General'!B16:B16,Composición!G:G)</f>
        <v>13944163362</v>
      </c>
      <c r="E16" s="447" cm="1">
        <f t="array" ref="E16">+SUMIF(Composición!B:B,'Balance General'!B16:B16,Composición!J:J)</f>
        <v>9947417794</v>
      </c>
      <c r="F16" s="366" t="s">
        <v>1342</v>
      </c>
      <c r="H16" s="551">
        <f>+SUM(H17:H19)</f>
        <v>1121768886</v>
      </c>
      <c r="I16" s="444">
        <f>+SUM(I17:I19)</f>
        <v>575189086</v>
      </c>
      <c r="J16" s="445"/>
      <c r="K16" s="568"/>
      <c r="L16" s="568"/>
    </row>
    <row r="17" spans="1:12" s="152" customFormat="1">
      <c r="A17" s="91"/>
      <c r="B17" s="331" t="s">
        <v>3103</v>
      </c>
      <c r="C17" s="382"/>
      <c r="D17" s="445" cm="1">
        <f t="array" ref="D17">+SUMIF(Composición!B:B,'Balance General'!B17:B17,Composición!G:G)</f>
        <v>38002750089</v>
      </c>
      <c r="E17" s="447" cm="1">
        <f t="array" ref="E17">+SUMIF(Composición!B:B,'Balance General'!B17:B17,Composición!J:J)</f>
        <v>25915482594</v>
      </c>
      <c r="F17" s="331" t="s">
        <v>196</v>
      </c>
      <c r="G17" s="1298" t="s">
        <v>1343</v>
      </c>
      <c r="H17" s="445">
        <f>+SUMIF(Composición!B:B,'Balance General'!F17,Composición!G:G)</f>
        <v>513813292</v>
      </c>
      <c r="I17" s="447">
        <f>+SUMIF(Composición!B:B,'Balance General'!F17,Composición!J:J)</f>
        <v>128518091</v>
      </c>
      <c r="J17" s="445"/>
      <c r="K17" s="568"/>
      <c r="L17" s="568"/>
    </row>
    <row r="18" spans="1:12" s="152" customFormat="1">
      <c r="A18" s="91"/>
      <c r="B18" s="331" t="s">
        <v>3109</v>
      </c>
      <c r="C18" s="382"/>
      <c r="D18" s="445" cm="1">
        <f t="array" ref="D18">+SUMIF(Composición!B:B,'Balance General'!B18:B18,Composición!G:G)</f>
        <v>-693820112</v>
      </c>
      <c r="E18" s="447" cm="1">
        <f t="array" ref="E18">+SUMIF(Composición!B:B,'Balance General'!B18:B18,Composición!J:J)</f>
        <v>-429744274</v>
      </c>
      <c r="F18" s="331" t="s">
        <v>1865</v>
      </c>
      <c r="G18" s="1298" t="s">
        <v>1344</v>
      </c>
      <c r="H18" s="445">
        <f>+SUMIF(Composición!B:B,'Balance General'!F18,Composición!G:G)</f>
        <v>594148019</v>
      </c>
      <c r="I18" s="447">
        <f>+SUMIF(Composición!B:B,'Balance General'!F18,Composición!J:J)</f>
        <v>445214785</v>
      </c>
    </row>
    <row r="19" spans="1:12" s="152" customFormat="1">
      <c r="A19" s="91"/>
      <c r="B19" s="366" t="s">
        <v>1345</v>
      </c>
      <c r="C19" s="1298" t="s">
        <v>1346</v>
      </c>
      <c r="D19" s="551">
        <f>+SUM(D20:D22)</f>
        <v>2153094334</v>
      </c>
      <c r="E19" s="444">
        <f>+SUM(E20:E22)</f>
        <v>1873047874</v>
      </c>
      <c r="F19" s="331" t="s">
        <v>3108</v>
      </c>
      <c r="G19" s="1298" t="s">
        <v>1347</v>
      </c>
      <c r="H19" s="445">
        <f>+SUMIF(Composición!B:B,'Balance General'!F19,Composición!G:G)</f>
        <v>13807575</v>
      </c>
      <c r="I19" s="447">
        <f>+SUMIF(Composición!B:B,'Balance General'!F19,Composición!J:J)</f>
        <v>1456210</v>
      </c>
    </row>
    <row r="20" spans="1:12" s="152" customFormat="1">
      <c r="A20" s="91"/>
      <c r="B20" s="331" t="s">
        <v>27</v>
      </c>
      <c r="C20" s="377"/>
      <c r="D20" s="445" cm="1">
        <f t="array" ref="D20">+SUMIF(Composición!B:B,'Balance General'!B20:B20,Composición!G:G)</f>
        <v>631699350</v>
      </c>
      <c r="E20" s="447" cm="1">
        <f t="array" ref="E20">+SUMIF(Composición!B:B,'Balance General'!B20:B20,Composición!J:J)</f>
        <v>339579535</v>
      </c>
      <c r="F20" s="366" t="s">
        <v>1348</v>
      </c>
      <c r="G20" s="381"/>
      <c r="H20" s="551">
        <f>+SUM(H21)</f>
        <v>25976842868</v>
      </c>
      <c r="I20" s="951">
        <f>+SUM(I21)</f>
        <v>10373275742</v>
      </c>
    </row>
    <row r="21" spans="1:12" s="152" customFormat="1">
      <c r="A21" s="91"/>
      <c r="B21" s="331" t="s">
        <v>522</v>
      </c>
      <c r="C21" s="377"/>
      <c r="D21" s="881" cm="1">
        <f t="array" ref="D21">+SUMIF(Composición!B:B,'Balance General'!B21:B21,Composición!G:G)</f>
        <v>0</v>
      </c>
      <c r="E21" s="643" cm="1">
        <f t="array" ref="E21">+SUMIF(Composición!B:B,'Balance General'!B21:B21,Composición!J:J)</f>
        <v>0</v>
      </c>
      <c r="F21" s="331" t="s">
        <v>209</v>
      </c>
      <c r="G21" s="1298" t="s">
        <v>1349</v>
      </c>
      <c r="H21" s="445">
        <f>+SUMIF(Composición!B:B,'Balance General'!F21,Composición!G:G)</f>
        <v>25976842868</v>
      </c>
      <c r="I21" s="950">
        <f>+SUMIF(Composición!B:B,'Balance General'!F21,Composición!J:J)</f>
        <v>10373275742</v>
      </c>
    </row>
    <row r="22" spans="1:12" s="152" customFormat="1">
      <c r="A22" s="91"/>
      <c r="B22" s="331" t="s">
        <v>654</v>
      </c>
      <c r="C22" s="377"/>
      <c r="D22" s="445" cm="1">
        <f t="array" ref="D22">+SUMIF(Composición!B:B,'Balance General'!B22:B22,Composición!G:G)</f>
        <v>1521394984</v>
      </c>
      <c r="E22" s="447" cm="1">
        <f t="array" ref="E22">+SUMIF(Composición!B:B,'Balance General'!B22:B22,Composición!J:J)</f>
        <v>1533468339</v>
      </c>
      <c r="F22" s="331"/>
      <c r="G22" s="773"/>
      <c r="H22" s="445"/>
      <c r="I22" s="643"/>
    </row>
    <row r="23" spans="1:12" s="152" customFormat="1">
      <c r="A23" s="91"/>
      <c r="B23" s="366" t="s">
        <v>1350</v>
      </c>
      <c r="C23" s="1298" t="s">
        <v>1351</v>
      </c>
      <c r="D23" s="551">
        <f>+SUM(D24)</f>
        <v>427625452</v>
      </c>
      <c r="E23" s="444">
        <f>+SUM(E24)</f>
        <v>99550515</v>
      </c>
      <c r="F23" s="366" t="s">
        <v>1352</v>
      </c>
      <c r="G23" s="1298" t="s">
        <v>1353</v>
      </c>
      <c r="H23" s="551">
        <f>+SUM(H24:H28)</f>
        <v>2024369977</v>
      </c>
      <c r="I23" s="444">
        <f>+SUM(I24:I28)</f>
        <v>887114166</v>
      </c>
    </row>
    <row r="24" spans="1:12" s="152" customFormat="1" ht="16.2" thickBot="1">
      <c r="A24" s="91"/>
      <c r="B24" s="331" t="s">
        <v>1852</v>
      </c>
      <c r="C24" s="557"/>
      <c r="D24" s="445" cm="1">
        <f t="array" ref="D24">+SUMIF(Composición!B:B,'Balance General'!B24:B24,Composición!G:G)</f>
        <v>427625452</v>
      </c>
      <c r="E24" s="447" cm="1">
        <f t="array" ref="E24">+SUMIF(Composición!B:B,'Balance General'!B24:B24,Composición!J:J)</f>
        <v>99550515</v>
      </c>
      <c r="F24" s="331" t="s">
        <v>1354</v>
      </c>
      <c r="G24" s="560"/>
      <c r="H24" s="445">
        <f>+SUMIF(Composición!B:B,'Balance General'!F24,Composición!G:G)</f>
        <v>1666191338</v>
      </c>
      <c r="I24" s="950">
        <f>+SUMIF(Composición!B:B,'Balance General'!F24,Composición!J:J)</f>
        <v>426755525</v>
      </c>
    </row>
    <row r="25" spans="1:12" s="152" customFormat="1" ht="16.2" thickBot="1">
      <c r="A25" s="91"/>
      <c r="B25" s="366" t="s">
        <v>1355</v>
      </c>
      <c r="C25" s="557"/>
      <c r="D25" s="448">
        <f>+D23+D19+D13+D11</f>
        <v>110017194115</v>
      </c>
      <c r="E25" s="449">
        <f>+E23+E19+E13+E11</f>
        <v>70049556585</v>
      </c>
      <c r="F25" s="331" t="s">
        <v>904</v>
      </c>
      <c r="G25" s="560"/>
      <c r="H25" s="445">
        <f>+SUMIF(Composición!B:B,'Balance General'!F25,Composición!G:G)</f>
        <v>252656625</v>
      </c>
      <c r="I25" s="950">
        <f>+SUMIF(Composición!B:B,'Balance General'!F25,Composición!J:J)</f>
        <v>262610286</v>
      </c>
    </row>
    <row r="26" spans="1:12" s="152" customFormat="1">
      <c r="A26" s="91"/>
      <c r="B26" s="171"/>
      <c r="C26" s="172"/>
      <c r="D26" s="551"/>
      <c r="E26" s="444"/>
      <c r="F26" s="331" t="s">
        <v>905</v>
      </c>
      <c r="G26" s="560"/>
      <c r="H26" s="445">
        <f>+SUMIF(Composición!B:B,'Balance General'!F26,Composición!G:G)</f>
        <v>4782626</v>
      </c>
      <c r="I26" s="447">
        <f>+SUMIF(Composición!B:B,'Balance General'!F26,Composición!J:J)</f>
        <v>3305700</v>
      </c>
    </row>
    <row r="27" spans="1:12" s="152" customFormat="1">
      <c r="A27" s="91"/>
      <c r="B27" s="366" t="s">
        <v>171</v>
      </c>
      <c r="D27" s="558"/>
      <c r="E27" s="450"/>
      <c r="F27" s="331" t="s">
        <v>1356</v>
      </c>
      <c r="G27" s="560"/>
      <c r="H27" s="881">
        <f>+SUMIF(Composición!B:B,'Balance General'!F27,Composición!G:G)</f>
        <v>0</v>
      </c>
      <c r="I27" s="447">
        <f>+SUMIF(Composición!B:B,'Balance General'!F27,Composición!J:J)</f>
        <v>5833591</v>
      </c>
    </row>
    <row r="28" spans="1:12" s="152" customFormat="1">
      <c r="A28" s="91"/>
      <c r="B28" s="366" t="s">
        <v>1357</v>
      </c>
      <c r="C28" s="1298" t="s">
        <v>1340</v>
      </c>
      <c r="D28" s="551">
        <f>+SUM(C29:D30)</f>
        <v>1738958904</v>
      </c>
      <c r="E28" s="444">
        <f>+SUM(E29:E30)</f>
        <v>1668742466</v>
      </c>
      <c r="F28" s="331" t="s">
        <v>1358</v>
      </c>
      <c r="G28" s="560"/>
      <c r="H28" s="445">
        <f>+SUMIF(Composición!B:B,'Balance General'!F28,Composición!G:G)</f>
        <v>100739388</v>
      </c>
      <c r="I28" s="447">
        <f>+SUMIF(Composición!B:B,'Balance General'!F28,Composición!J:J)</f>
        <v>188609064</v>
      </c>
    </row>
    <row r="29" spans="1:12" s="152" customFormat="1">
      <c r="A29" s="91"/>
      <c r="B29" s="331" t="s">
        <v>3104</v>
      </c>
      <c r="C29" s="377"/>
      <c r="D29" s="445" cm="1">
        <f t="array" ref="D29">+SUMIF(Composición!B:B,'Balance General'!B29:B29,Composición!G:G)</f>
        <v>735958904</v>
      </c>
      <c r="E29" s="447" cm="1">
        <f t="array" ref="E29">+SUMIF(Composición!B:B,'Balance General'!B29:B29,Composición!J:J)</f>
        <v>665742466</v>
      </c>
      <c r="I29" s="450"/>
    </row>
    <row r="30" spans="1:12" s="152" customFormat="1">
      <c r="A30" s="91"/>
      <c r="B30" s="331" t="s">
        <v>835</v>
      </c>
      <c r="C30" s="377"/>
      <c r="D30" s="445" cm="1">
        <f t="array" ref="D30">+SUMIF(Composición!B:B,'Balance General'!B30:B30,Composición!G:G)</f>
        <v>1003000000</v>
      </c>
      <c r="E30" s="447" cm="1">
        <f t="array" ref="E30">+SUMIF(Composición!B:B,'Balance General'!B30:B30,Composición!J:J)</f>
        <v>1003000000</v>
      </c>
      <c r="F30" s="366" t="s">
        <v>1359</v>
      </c>
      <c r="G30" s="561"/>
      <c r="H30" s="551">
        <f>+SUM(H31:H32)</f>
        <v>15179553617</v>
      </c>
      <c r="I30" s="444">
        <f>+SUM(I31:I32)</f>
        <v>8962535416</v>
      </c>
    </row>
    <row r="31" spans="1:12" s="152" customFormat="1">
      <c r="A31" s="91"/>
      <c r="B31" s="366" t="s">
        <v>3107</v>
      </c>
      <c r="C31" s="1298" t="s">
        <v>1360</v>
      </c>
      <c r="D31" s="551">
        <f>+SUM(C32:D34)</f>
        <v>2518344227</v>
      </c>
      <c r="E31" s="444">
        <f>+SUM(E32:E34)</f>
        <v>2033836042</v>
      </c>
      <c r="F31" s="331" t="s">
        <v>863</v>
      </c>
      <c r="G31" s="1298" t="s">
        <v>1361</v>
      </c>
      <c r="H31" s="445">
        <f>+SUMIF(Composición!B:B,'Balance General'!F31,Composición!G:G)</f>
        <v>1631204090</v>
      </c>
      <c r="I31" s="447">
        <f>+SUMIF(Composición!B:B,'Balance General'!F31,Composición!J:J)</f>
        <v>1213666817</v>
      </c>
    </row>
    <row r="32" spans="1:12" s="152" customFormat="1" ht="16.2" thickBot="1">
      <c r="A32" s="91"/>
      <c r="B32" s="331" t="s">
        <v>852</v>
      </c>
      <c r="C32" s="377"/>
      <c r="D32" s="445" cm="1">
        <f t="array" ref="D32">+SUMIF(Composición!B:B,'Balance General'!B32:B32,Composición!G:G)</f>
        <v>2905069770</v>
      </c>
      <c r="E32" s="447" cm="1">
        <f t="array" ref="E32">+SUMIF(Composición!B:B,'Balance General'!B32:B32,Composición!J:J)</f>
        <v>1849633864</v>
      </c>
      <c r="F32" s="331" t="s">
        <v>881</v>
      </c>
      <c r="G32" s="1298" t="s">
        <v>1362</v>
      </c>
      <c r="H32" s="445">
        <f>+SUMIF(Composición!B:B,'Balance General'!F32,Composición!G:G)</f>
        <v>13548349527</v>
      </c>
      <c r="I32" s="447">
        <f>+SUMIF(Composición!B:B,'Balance General'!F32,Composición!J:J)</f>
        <v>7748868599</v>
      </c>
      <c r="J32" s="569"/>
    </row>
    <row r="33" spans="1:9" s="152" customFormat="1" ht="16.2" thickBot="1">
      <c r="A33" s="91"/>
      <c r="B33" s="331" t="s">
        <v>538</v>
      </c>
      <c r="C33" s="377"/>
      <c r="D33" s="445" cm="1">
        <f t="array" ref="D33">+SUMIF(Composición!B:B,'Balance General'!B33:B33,Composición!G:G)</f>
        <v>777258485</v>
      </c>
      <c r="E33" s="447" cm="1">
        <f t="array" ref="E33">+SUMIF(Composición!B:B,'Balance General'!B33:B33,Composición!J:J)</f>
        <v>363399500</v>
      </c>
      <c r="F33" s="366" t="s">
        <v>1363</v>
      </c>
      <c r="H33" s="451">
        <f>+H30+H23+H20+H16+H11</f>
        <v>44491125391</v>
      </c>
      <c r="I33" s="449">
        <f>+I30+I23+I20+I16+I11</f>
        <v>21478856383</v>
      </c>
    </row>
    <row r="34" spans="1:9" s="152" customFormat="1">
      <c r="A34" s="91"/>
      <c r="B34" s="331" t="s">
        <v>3106</v>
      </c>
      <c r="C34" s="377"/>
      <c r="D34" s="445" cm="1">
        <f t="array" ref="D34">+SUMIF(Composición!B:B,'Balance General'!B34:B34,Composición!G:G)</f>
        <v>-1163984028</v>
      </c>
      <c r="E34" s="447" cm="1">
        <f t="array" ref="E34">+SUMIF(Composición!B:B,'Balance General'!B34:B34,Composición!J:J)</f>
        <v>-179197322</v>
      </c>
      <c r="F34" s="366" t="s">
        <v>1364</v>
      </c>
      <c r="H34" s="452">
        <f>+H33</f>
        <v>44491125391</v>
      </c>
      <c r="I34" s="453">
        <f>+I33</f>
        <v>21478856383</v>
      </c>
    </row>
    <row r="35" spans="1:9" s="152" customFormat="1">
      <c r="A35" s="91"/>
      <c r="B35" s="366" t="s">
        <v>1350</v>
      </c>
      <c r="C35" s="1298" t="s">
        <v>1351</v>
      </c>
      <c r="D35" s="987">
        <f>SUM(D36)</f>
        <v>0</v>
      </c>
      <c r="E35" s="951">
        <f>SUM(E36)</f>
        <v>45194720</v>
      </c>
      <c r="F35" s="367"/>
      <c r="H35" s="558"/>
      <c r="I35" s="450"/>
    </row>
    <row r="36" spans="1:9" s="152" customFormat="1" ht="16.2" thickBot="1">
      <c r="A36" s="3"/>
      <c r="B36" s="331" t="s">
        <v>3105</v>
      </c>
      <c r="C36" s="377"/>
      <c r="D36" s="881" cm="1">
        <f t="array" ref="D36">+SUMIF(Composición!B:B,'Balance General'!B36:B36,Composición!G:G)</f>
        <v>0</v>
      </c>
      <c r="E36" s="950" cm="1">
        <f t="array" ref="E36">+SUMIF(Composición!B:B,'Balance General'!B36:B36,Composición!J:J)</f>
        <v>45194720</v>
      </c>
      <c r="F36" s="366" t="s">
        <v>238</v>
      </c>
      <c r="G36" s="1298" t="s">
        <v>1365</v>
      </c>
      <c r="H36" s="558"/>
      <c r="I36" s="450"/>
    </row>
    <row r="37" spans="1:9" s="152" customFormat="1" ht="16.2" thickBot="1">
      <c r="A37" s="3"/>
      <c r="B37" s="366" t="s">
        <v>1366</v>
      </c>
      <c r="C37" s="383"/>
      <c r="D37" s="563">
        <f>+D28+D31+D35</f>
        <v>4257303131</v>
      </c>
      <c r="E37" s="563">
        <f>+E28+E31+E35</f>
        <v>3747773228</v>
      </c>
      <c r="F37" s="368" t="s">
        <v>935</v>
      </c>
      <c r="H37" s="454">
        <f>+SUMIF(Composición!B:B,'Balance General'!F37,Composición!G:G)</f>
        <v>69783371855</v>
      </c>
      <c r="I37" s="455">
        <f>+SUMIF(Composición!B:B,'Balance General'!F37,Composición!J:J)</f>
        <v>52318473430</v>
      </c>
    </row>
    <row r="38" spans="1:9" s="152" customFormat="1" ht="16.8" thickBot="1">
      <c r="A38" s="3"/>
      <c r="B38" s="366"/>
      <c r="C38" s="383"/>
      <c r="D38" s="551"/>
      <c r="E38" s="444"/>
      <c r="F38" s="380" t="s">
        <v>1367</v>
      </c>
      <c r="H38" s="558"/>
      <c r="I38" s="456"/>
    </row>
    <row r="39" spans="1:9" s="152" customFormat="1" ht="16.2" thickBot="1">
      <c r="A39" s="3"/>
      <c r="B39" s="550" t="s">
        <v>1368</v>
      </c>
      <c r="C39" s="559"/>
      <c r="D39" s="552">
        <f>+D25+D37</f>
        <v>114274497246</v>
      </c>
      <c r="E39" s="457">
        <f>+E25+E37</f>
        <v>73797329813</v>
      </c>
      <c r="F39" s="550" t="s">
        <v>1369</v>
      </c>
      <c r="G39" s="559"/>
      <c r="H39" s="552">
        <f>+H34+H37</f>
        <v>114274497246</v>
      </c>
      <c r="I39" s="457">
        <f>+I34+I37</f>
        <v>73797329813</v>
      </c>
    </row>
    <row r="40" spans="1:9" s="152" customFormat="1" ht="18.75" customHeight="1">
      <c r="A40" s="3"/>
      <c r="B40" s="290" t="s">
        <v>1370</v>
      </c>
      <c r="C40" s="699"/>
      <c r="D40" s="700">
        <f>+D39-Composición!G1770</f>
        <v>0</v>
      </c>
      <c r="E40" s="700">
        <f>+E39-Composición!J1770</f>
        <v>0</v>
      </c>
      <c r="F40" s="709"/>
      <c r="G40" s="376"/>
      <c r="H40" s="541">
        <f>+H39-(Composición!G1771+Composición!G1772)</f>
        <v>0</v>
      </c>
      <c r="I40" s="541">
        <f>+I39-(Composición!J1771+Composición!J1772)</f>
        <v>0</v>
      </c>
    </row>
    <row r="41" spans="1:9" s="376" customFormat="1">
      <c r="A41" s="698"/>
      <c r="B41" s="1497" t="s">
        <v>1371</v>
      </c>
      <c r="C41" s="1497"/>
      <c r="D41" s="1497"/>
      <c r="E41" s="877">
        <f>+D39*10%</f>
        <v>11427449724.6</v>
      </c>
      <c r="F41" s="1273"/>
      <c r="H41" s="541">
        <f>+H39-D39</f>
        <v>0</v>
      </c>
      <c r="I41" s="541">
        <f>+I39-E39</f>
        <v>0</v>
      </c>
    </row>
    <row r="42" spans="1:9" s="376" customFormat="1">
      <c r="A42" s="698"/>
      <c r="B42" s="1273"/>
      <c r="C42" s="24"/>
      <c r="D42" s="1467">
        <f>+D39*10%</f>
        <v>11427449724.6</v>
      </c>
      <c r="E42" s="24"/>
      <c r="F42" s="1274"/>
      <c r="G42" s="48"/>
      <c r="H42" s="291"/>
      <c r="I42" s="152"/>
    </row>
    <row r="43" spans="1:9">
      <c r="A43" s="91"/>
      <c r="B43" s="48"/>
      <c r="C43" s="24"/>
      <c r="D43" s="48"/>
      <c r="F43" s="24"/>
    </row>
    <row r="44" spans="1:9" ht="16.2" thickBot="1">
      <c r="A44" s="91"/>
      <c r="B44" s="469" t="s">
        <v>249</v>
      </c>
      <c r="C44" s="562">
        <f>+D9</f>
        <v>45657</v>
      </c>
      <c r="D44" s="562">
        <v>45291</v>
      </c>
      <c r="F44" s="24"/>
    </row>
    <row r="45" spans="1:9">
      <c r="A45" s="91"/>
      <c r="B45" s="475" t="s">
        <v>1114</v>
      </c>
      <c r="C45" s="843">
        <f>+'BG 12.2024'!D361</f>
        <v>2949569752954</v>
      </c>
      <c r="D45" s="844">
        <v>1854581611119</v>
      </c>
      <c r="F45" s="24"/>
    </row>
    <row r="46" spans="1:9" ht="16.2" thickBot="1">
      <c r="A46" s="3"/>
      <c r="B46" s="230" t="s">
        <v>1151</v>
      </c>
      <c r="C46" s="845">
        <f>+'BG 12.2024'!D413</f>
        <v>2949569752954</v>
      </c>
      <c r="D46" s="846">
        <v>1854581611119</v>
      </c>
      <c r="F46" s="24"/>
    </row>
    <row r="47" spans="1:9">
      <c r="A47" s="91"/>
      <c r="C47" s="24"/>
      <c r="F47" s="24"/>
    </row>
    <row r="48" spans="1:9">
      <c r="A48" s="91"/>
      <c r="H48" s="1"/>
    </row>
    <row r="49" spans="1:9">
      <c r="A49" s="91"/>
      <c r="B49" s="1" t="s">
        <v>1291</v>
      </c>
      <c r="C49" s="2"/>
      <c r="D49" s="2"/>
      <c r="E49" s="83"/>
      <c r="G49" s="5"/>
      <c r="H49" s="1"/>
      <c r="I49" s="1"/>
    </row>
    <row r="50" spans="1:9" ht="15.6" customHeight="1">
      <c r="A50" s="91"/>
    </row>
    <row r="51" spans="1:9">
      <c r="A51" s="91"/>
    </row>
    <row r="52" spans="1:9">
      <c r="A52" s="91"/>
    </row>
    <row r="53" spans="1:9">
      <c r="A53" s="91"/>
    </row>
    <row r="54" spans="1:9">
      <c r="A54" s="91"/>
    </row>
    <row r="55" spans="1:9">
      <c r="A55" s="91"/>
      <c r="C55" s="49" t="s">
        <v>2819</v>
      </c>
      <c r="D55" s="268"/>
      <c r="F55" s="49"/>
      <c r="G55" s="49" t="s">
        <v>1292</v>
      </c>
    </row>
    <row r="56" spans="1:9">
      <c r="A56" s="91"/>
      <c r="C56" s="50" t="s">
        <v>1201</v>
      </c>
      <c r="D56" s="50"/>
      <c r="F56" s="50"/>
      <c r="G56" s="269" t="s">
        <v>1372</v>
      </c>
    </row>
    <row r="57" spans="1:9">
      <c r="A57" s="91"/>
    </row>
    <row r="58" spans="1:9">
      <c r="A58" s="91"/>
    </row>
    <row r="59" spans="1:9">
      <c r="A59" s="91"/>
    </row>
    <row r="60" spans="1:9">
      <c r="A60" s="91"/>
      <c r="G60" s="24"/>
    </row>
    <row r="61" spans="1:9">
      <c r="A61" s="91"/>
      <c r="C61" s="24"/>
      <c r="G61" s="149"/>
    </row>
    <row r="62" spans="1:9">
      <c r="A62" s="91"/>
    </row>
    <row r="63" spans="1:9">
      <c r="A63" s="91"/>
    </row>
    <row r="64" spans="1:9">
      <c r="A64" s="91"/>
      <c r="C64" s="49" t="s">
        <v>1203</v>
      </c>
      <c r="D64" s="49"/>
      <c r="E64" s="2"/>
      <c r="G64" s="49" t="s">
        <v>1272</v>
      </c>
    </row>
    <row r="65" spans="1:7">
      <c r="A65" s="91"/>
      <c r="C65" s="50" t="s">
        <v>1295</v>
      </c>
      <c r="D65" s="50"/>
      <c r="E65" s="2"/>
      <c r="G65" s="269" t="s">
        <v>1273</v>
      </c>
    </row>
    <row r="66" spans="1:7">
      <c r="A66" s="91"/>
    </row>
    <row r="67" spans="1:7">
      <c r="A67" s="91"/>
    </row>
    <row r="68" spans="1:7">
      <c r="A68" s="91"/>
    </row>
    <row r="69" spans="1:7">
      <c r="A69" s="91"/>
    </row>
    <row r="70" spans="1:7">
      <c r="A70" s="91"/>
    </row>
    <row r="71" spans="1:7">
      <c r="A71" s="91"/>
    </row>
    <row r="72" spans="1:7">
      <c r="A72" s="91"/>
    </row>
    <row r="73" spans="1:7">
      <c r="A73" s="91"/>
    </row>
    <row r="74" spans="1:7">
      <c r="A74" s="91"/>
    </row>
    <row r="82" spans="1:1">
      <c r="A82" s="180"/>
    </row>
    <row r="83" spans="1:1">
      <c r="A83" s="180"/>
    </row>
    <row r="129" s="1" customFormat="1"/>
    <row r="130" s="1" customFormat="1"/>
    <row r="131" s="1" customFormat="1"/>
    <row r="132" s="1" customFormat="1"/>
    <row r="133" s="1" customFormat="1"/>
    <row r="134" s="1" customFormat="1"/>
    <row r="135" s="1" customFormat="1"/>
    <row r="136" s="1" customFormat="1"/>
    <row r="137" s="1" customFormat="1"/>
    <row r="755" spans="2:2">
      <c r="B755" s="1" t="s">
        <v>863</v>
      </c>
    </row>
  </sheetData>
  <mergeCells count="7">
    <mergeCell ref="B41:D41"/>
    <mergeCell ref="B4:I4"/>
    <mergeCell ref="B5:I5"/>
    <mergeCell ref="B7:I7"/>
    <mergeCell ref="C10:D10"/>
    <mergeCell ref="G10:H10"/>
    <mergeCell ref="B6:I6"/>
  </mergeCells>
  <hyperlinks>
    <hyperlink ref="H1" location="Índice!A1" display="Índice!A1" xr:uid="{B3DE9E38-7CE1-48FF-9DD4-5506C80EE024}"/>
    <hyperlink ref="C11" location="'Nota 5 - Inc. 5.a a 5.d'!A1" display="(Nota 5.d)" xr:uid="{C5659EFD-78F7-4C74-93B8-88925E964129}"/>
    <hyperlink ref="C13" location="'Nota 5 - Inc. 5.e'!A1" display="(Nota 5.e)" xr:uid="{31FA43D9-F57A-4515-ADF1-78C876F8F719}"/>
    <hyperlink ref="C19" location="Notas!A1" display="(Nota 5.f)" xr:uid="{D0474969-4197-4368-B69F-625D0F9AD366}"/>
    <hyperlink ref="G11" location="'Nota 5 - Inc. 5.e'!A1" display="(Nota 5.e)" xr:uid="{A3EDDBA6-C566-4F3C-A4EB-50914039550D}"/>
    <hyperlink ref="C23" location="Notas!A1" display="(Nota 5.f)" xr:uid="{E31CBF83-9883-4953-AFC0-94E27F79168A}"/>
    <hyperlink ref="C28" location="Notas!A1" display="(Nota 5.f)" xr:uid="{4174F43F-A740-4655-9815-FD344E2B21D0}"/>
    <hyperlink ref="C31" location="Notas!A1" display="(Nota 5.f)" xr:uid="{F154F046-403B-4A66-A074-6FDB9FEE23E9}"/>
    <hyperlink ref="C35" location="Notas!A1" display="(Nota 5.f)" xr:uid="{4DC479CF-8D46-48AA-B381-2EEB5A65782B}"/>
    <hyperlink ref="G36" location="Notas!A1" display="(Nota 5.f)" xr:uid="{07EDC755-36C7-49C9-B380-CDDCFA63ACF4}"/>
    <hyperlink ref="G32" location="Notas!A1" display="(Nota 5.f)" xr:uid="{A7048373-81EE-4364-B4D5-25E595AF0275}"/>
    <hyperlink ref="G31" location="Notas!A1" display="(Nota 5.f)" xr:uid="{F0CC90C3-8ADC-4458-B015-A6561487B3E1}"/>
    <hyperlink ref="G23" location="Notas!A1" display="(Nota 5.f)" xr:uid="{86A32EDB-970D-466F-86F8-3BE795382AAA}"/>
    <hyperlink ref="G21" location="Notas!A1" display="(Nota 5.f)" xr:uid="{6A164E7B-DA47-4FDC-BB63-FC8D4236B66C}"/>
    <hyperlink ref="G19" location="Notas!A1" display="(Nota 5.f)" xr:uid="{B9481176-9F1E-4DB7-9913-F3C4701A5B85}"/>
    <hyperlink ref="G18" location="Notas!A1" display="(Nota 5.f)" xr:uid="{4481171B-6D30-4554-B311-0E24D61AB8E4}"/>
    <hyperlink ref="G17" location="Notas!A1" display="(Nota 5.f)" xr:uid="{56A26553-81C9-4EF9-9991-C9D088ED0943}"/>
  </hyperlinks>
  <pageMargins left="0.7" right="0.7" top="0.75" bottom="0.75" header="0.3" footer="0.3"/>
  <pageSetup paperSize="9" scale="3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I95"/>
  <sheetViews>
    <sheetView showGridLines="0" zoomScale="80" zoomScaleNormal="80" zoomScaleSheetLayoutView="80" workbookViewId="0">
      <pane ySplit="9" topLeftCell="A56" activePane="bottomLeft" state="frozen"/>
      <selection activeCell="D45" sqref="D45"/>
      <selection pane="bottomLeft" activeCell="B6" sqref="B6:F6"/>
    </sheetView>
  </sheetViews>
  <sheetFormatPr baseColWidth="10" defaultColWidth="11.44140625" defaultRowHeight="15.6"/>
  <cols>
    <col min="1" max="1" width="2.44140625" style="1" customWidth="1"/>
    <col min="2" max="2" width="52.88671875" style="1" customWidth="1"/>
    <col min="3" max="4" width="20" style="1" customWidth="1"/>
    <col min="5" max="5" width="22.88671875" style="149" customWidth="1"/>
    <col min="6" max="6" width="22.88671875" style="1" customWidth="1"/>
    <col min="7" max="7" width="24.5546875" style="1" customWidth="1"/>
    <col min="8" max="8" width="20" style="1" bestFit="1" customWidth="1"/>
    <col min="9" max="9" width="15.88671875" style="1" bestFit="1" customWidth="1"/>
    <col min="10" max="16384" width="11.44140625" style="1"/>
  </cols>
  <sheetData>
    <row r="1" spans="1:9">
      <c r="B1" s="147"/>
      <c r="C1" s="147"/>
      <c r="D1" s="147"/>
      <c r="E1" s="147"/>
      <c r="F1" s="147"/>
      <c r="G1" s="677" t="s">
        <v>1332</v>
      </c>
    </row>
    <row r="2" spans="1:9">
      <c r="B2" s="147"/>
      <c r="C2" s="147"/>
      <c r="D2" s="147"/>
      <c r="E2" s="147"/>
      <c r="F2" s="147"/>
      <c r="G2" s="147"/>
    </row>
    <row r="3" spans="1:9">
      <c r="B3" s="147"/>
      <c r="C3" s="147"/>
      <c r="D3" s="147"/>
      <c r="E3" s="147"/>
      <c r="F3" s="147"/>
      <c r="G3" s="147"/>
    </row>
    <row r="4" spans="1:9">
      <c r="B4" s="1507" t="s">
        <v>1173</v>
      </c>
      <c r="C4" s="1507"/>
      <c r="D4" s="1507"/>
      <c r="E4" s="1507"/>
      <c r="F4" s="1507"/>
      <c r="G4" s="1507"/>
    </row>
    <row r="5" spans="1:9" ht="17.399999999999999">
      <c r="B5" s="459" t="s">
        <v>1376</v>
      </c>
      <c r="C5" s="147"/>
      <c r="D5" s="147"/>
      <c r="E5" s="51"/>
      <c r="F5" s="147"/>
      <c r="G5" s="147"/>
    </row>
    <row r="6" spans="1:9" ht="31.5" customHeight="1">
      <c r="B6" s="1509" t="s">
        <v>3016</v>
      </c>
      <c r="C6" s="1509"/>
      <c r="D6" s="1509"/>
      <c r="E6" s="1509"/>
      <c r="F6" s="1509"/>
      <c r="G6" s="458"/>
    </row>
    <row r="7" spans="1:9">
      <c r="B7" s="1508" t="s">
        <v>1334</v>
      </c>
      <c r="C7" s="1508"/>
      <c r="D7" s="1508"/>
      <c r="E7" s="1508"/>
      <c r="F7" s="1508"/>
      <c r="G7" s="1508"/>
    </row>
    <row r="8" spans="1:9" ht="7.5" customHeight="1" thickBot="1">
      <c r="B8" s="290"/>
      <c r="C8" s="290"/>
      <c r="D8" s="290"/>
      <c r="E8" s="290"/>
      <c r="F8" s="290"/>
      <c r="G8" s="290"/>
      <c r="H8" s="152"/>
      <c r="I8" s="152"/>
    </row>
    <row r="9" spans="1:9" ht="16.2" thickBot="1">
      <c r="B9" s="169"/>
      <c r="C9" s="170"/>
      <c r="D9" s="170"/>
      <c r="E9" s="404">
        <v>45657</v>
      </c>
      <c r="F9" s="156" t="s">
        <v>2608</v>
      </c>
    </row>
    <row r="10" spans="1:9">
      <c r="A10" s="3"/>
      <c r="B10" s="369" t="s">
        <v>1377</v>
      </c>
      <c r="C10" s="425"/>
      <c r="D10" s="370"/>
      <c r="E10" s="462">
        <f>+E12+E15+E17+SUM(E20:E26)</f>
        <v>40117090339</v>
      </c>
      <c r="F10" s="453">
        <f>+F12+F15+F17+SUM(F20:F26)</f>
        <v>18641404911</v>
      </c>
    </row>
    <row r="11" spans="1:9" ht="6.75" customHeight="1">
      <c r="A11" s="91"/>
      <c r="B11" s="173"/>
      <c r="C11" s="176"/>
      <c r="D11" s="172"/>
      <c r="E11" s="463"/>
      <c r="F11" s="444"/>
    </row>
    <row r="12" spans="1:9" ht="15.6" customHeight="1">
      <c r="A12" s="91"/>
      <c r="B12" s="174" t="s">
        <v>289</v>
      </c>
      <c r="D12" s="172"/>
      <c r="E12" s="463">
        <f>+SUM(E13:E14)</f>
        <v>1381815309</v>
      </c>
      <c r="F12" s="444">
        <f>+SUM(F13:F14)</f>
        <v>369704434</v>
      </c>
    </row>
    <row r="13" spans="1:9" ht="15.6" customHeight="1">
      <c r="A13" s="91"/>
      <c r="B13" s="173" t="s">
        <v>950</v>
      </c>
      <c r="C13" s="176"/>
      <c r="D13" s="172"/>
      <c r="E13" s="464">
        <f>+SUMIF(Composición!B:B,'Estado de Resultados'!B13,Composición!G:G)</f>
        <v>1356232290</v>
      </c>
      <c r="F13" s="447">
        <f>+SUMIF(Composición!B:B,'Estado de Resultados'!B13,Composición!J:J)</f>
        <v>350978680</v>
      </c>
    </row>
    <row r="14" spans="1:9" ht="15.6" customHeight="1">
      <c r="A14" s="91"/>
      <c r="B14" s="173" t="s">
        <v>943</v>
      </c>
      <c r="C14" s="176"/>
      <c r="D14" s="172"/>
      <c r="E14" s="464">
        <f>+SUMIF(Composición!B:B,'Estado de Resultados'!B14,Composición!G:G)</f>
        <v>25583019</v>
      </c>
      <c r="F14" s="447">
        <f>+SUMIF(Composición!B:B,'Estado de Resultados'!B14,Composición!J:J)</f>
        <v>18725754</v>
      </c>
    </row>
    <row r="15" spans="1:9" ht="15.6" customHeight="1">
      <c r="A15" s="91"/>
      <c r="B15" s="174" t="s">
        <v>1378</v>
      </c>
      <c r="C15" s="371"/>
      <c r="D15" s="172"/>
      <c r="E15" s="463">
        <f>+SUM(E16)</f>
        <v>1665267510</v>
      </c>
      <c r="F15" s="444">
        <f>+SUM(F16)</f>
        <v>517157073</v>
      </c>
    </row>
    <row r="16" spans="1:9" ht="15.6" customHeight="1">
      <c r="A16" s="91"/>
      <c r="B16" s="173" t="s">
        <v>960</v>
      </c>
      <c r="C16" s="176"/>
      <c r="D16" s="172"/>
      <c r="E16" s="464">
        <f>+SUMIF(Composición!B:B,'Estado de Resultados'!B16,Composición!G:G)</f>
        <v>1665267510</v>
      </c>
      <c r="F16" s="447">
        <f>+SUMIF(Composición!B:B,'Estado de Resultados'!B16,Composición!J:J)</f>
        <v>517157073</v>
      </c>
    </row>
    <row r="17" spans="1:7" ht="15.6" customHeight="1">
      <c r="A17" s="91"/>
      <c r="B17" s="174" t="s">
        <v>1379</v>
      </c>
      <c r="C17" s="371"/>
      <c r="D17" s="172"/>
      <c r="E17" s="463">
        <f>+SUM(E18)</f>
        <v>204002204</v>
      </c>
      <c r="F17" s="444">
        <f>+SUM(F18)</f>
        <v>34940128</v>
      </c>
    </row>
    <row r="18" spans="1:7" ht="15.6" customHeight="1">
      <c r="A18" s="91"/>
      <c r="B18" s="173" t="s">
        <v>957</v>
      </c>
      <c r="C18" s="176"/>
      <c r="D18" s="176"/>
      <c r="E18" s="464">
        <f>+SUMIF(Composición!B:B,'Estado de Resultados'!B18,Composición!G:G)</f>
        <v>204002204</v>
      </c>
      <c r="F18" s="447">
        <f>+SUMIF(Composición!B:B,'Estado de Resultados'!B18,Composición!J:J)</f>
        <v>34940128</v>
      </c>
    </row>
    <row r="19" spans="1:7" ht="4.2" customHeight="1">
      <c r="A19" s="91"/>
      <c r="B19" s="173"/>
      <c r="C19" s="176"/>
      <c r="D19" s="176"/>
      <c r="E19" s="464"/>
      <c r="F19" s="447"/>
    </row>
    <row r="20" spans="1:7" ht="15.6" customHeight="1">
      <c r="A20" s="91"/>
      <c r="B20" s="173" t="s">
        <v>966</v>
      </c>
      <c r="C20" s="176"/>
      <c r="D20" s="176"/>
      <c r="E20" s="464">
        <f>+SUMIF(Composición!B:B,'Estado de Resultados'!B20,Composición!G:G)</f>
        <v>356675114</v>
      </c>
      <c r="F20" s="447">
        <f>+SUMIF(Composición!B:B,'Estado de Resultados'!B20,Composición!J:J)</f>
        <v>174286115</v>
      </c>
    </row>
    <row r="21" spans="1:7" ht="15.6" customHeight="1">
      <c r="A21" s="91"/>
      <c r="B21" s="173" t="s">
        <v>977</v>
      </c>
      <c r="C21" s="176"/>
      <c r="D21" s="176"/>
      <c r="E21" s="464">
        <f>+SUMIF(Composición!B:B,'Estado de Resultados'!B21,Composición!G:G)</f>
        <v>5675771688</v>
      </c>
      <c r="F21" s="447">
        <f>+SUMIF(Composición!B:B,'Estado de Resultados'!B21,Composición!J:J)</f>
        <v>1736889556</v>
      </c>
    </row>
    <row r="22" spans="1:7" ht="15.6" customHeight="1">
      <c r="A22" s="91"/>
      <c r="B22" s="173" t="s">
        <v>994</v>
      </c>
      <c r="C22" s="176"/>
      <c r="D22" s="176"/>
      <c r="E22" s="464">
        <f>+SUMIF(Composición!B:B,'Estado de Resultados'!B22,Composición!G:G)</f>
        <v>3182287032</v>
      </c>
      <c r="F22" s="447">
        <f>+SUMIF(Composición!B:B,'Estado de Resultados'!B22,Composición!J:J)</f>
        <v>1143483122</v>
      </c>
    </row>
    <row r="23" spans="1:7" ht="15.6" customHeight="1">
      <c r="A23" s="91"/>
      <c r="B23" s="173" t="s">
        <v>995</v>
      </c>
      <c r="C23" s="176"/>
      <c r="D23" s="774" t="s">
        <v>1380</v>
      </c>
      <c r="E23" s="464">
        <f>+SUMIF(Composición!B:B,'Estado de Resultados'!B23,Composición!G:G)</f>
        <v>381866372</v>
      </c>
      <c r="F23" s="447">
        <f>+SUMIF(Composición!B:B,'Estado de Resultados'!B23,Composición!J:J)</f>
        <v>177642752</v>
      </c>
      <c r="G23" s="8"/>
    </row>
    <row r="24" spans="1:7" ht="15.6" customHeight="1">
      <c r="A24" s="91"/>
      <c r="B24" s="173" t="s">
        <v>945</v>
      </c>
      <c r="C24" s="176"/>
      <c r="D24" s="774" t="s">
        <v>1380</v>
      </c>
      <c r="E24" s="464">
        <f>+SUMIF(Composición!B:B,'Estado de Resultados'!B24,Composición!G:G)</f>
        <v>22835584350</v>
      </c>
      <c r="F24" s="447">
        <f>+SUMIF(Composición!B:B,'Estado de Resultados'!B24,Composición!J:J)</f>
        <v>12244726334</v>
      </c>
      <c r="G24" s="8">
        <v>7932912688</v>
      </c>
    </row>
    <row r="25" spans="1:7" ht="15.6" customHeight="1">
      <c r="A25" s="91"/>
      <c r="B25" s="173" t="s">
        <v>962</v>
      </c>
      <c r="C25" s="176"/>
      <c r="D25" s="774" t="s">
        <v>1381</v>
      </c>
      <c r="E25" s="464">
        <f>+SUMIF(Composición!B:B,'Estado de Resultados'!B25,Composición!G:G)</f>
        <v>140668933</v>
      </c>
      <c r="F25" s="447">
        <f>+SUMIF(Composición!B:B,'Estado de Resultados'!B25,Composición!J:J)</f>
        <v>45515122</v>
      </c>
      <c r="G25" s="1277">
        <f>+G24-F24</f>
        <v>-4311813646</v>
      </c>
    </row>
    <row r="26" spans="1:7" ht="15.6" customHeight="1">
      <c r="A26" s="91"/>
      <c r="B26" s="173" t="s">
        <v>974</v>
      </c>
      <c r="D26" s="774" t="s">
        <v>1382</v>
      </c>
      <c r="E26" s="464">
        <f>+SUMIF(Composición!B:B,'Estado de Resultados'!B26,Composición!G:G)</f>
        <v>4293151827</v>
      </c>
      <c r="F26" s="447">
        <f>+SUMIF(Composición!B:B,'Estado de Resultados'!B26,Composición!J:J)</f>
        <v>2197060275</v>
      </c>
    </row>
    <row r="27" spans="1:7" ht="15.6" customHeight="1">
      <c r="A27" s="91"/>
      <c r="B27" s="173"/>
      <c r="C27" s="176"/>
      <c r="D27" s="219"/>
      <c r="E27" s="463"/>
      <c r="F27" s="444"/>
    </row>
    <row r="28" spans="1:7" ht="15.6" customHeight="1">
      <c r="A28" s="91"/>
      <c r="B28" s="171" t="s">
        <v>1383</v>
      </c>
      <c r="C28" s="172"/>
      <c r="D28" s="219"/>
      <c r="E28" s="463">
        <f>+SUM(E29:E32)</f>
        <v>-5367041519</v>
      </c>
      <c r="F28" s="444">
        <f>+SUM(F29:F32)</f>
        <v>-2172964847</v>
      </c>
    </row>
    <row r="29" spans="1:7" ht="15.6" customHeight="1">
      <c r="A29" s="91"/>
      <c r="B29" s="173" t="s">
        <v>398</v>
      </c>
      <c r="C29" s="176"/>
      <c r="D29" s="219"/>
      <c r="E29" s="464">
        <f>-+SUMIF(Composición!B:B,'Estado de Resultados'!B29,Composición!G:G)</f>
        <v>-446163677</v>
      </c>
      <c r="F29" s="447">
        <f>-+SUMIF(Composición!B:B,'Estado de Resultados'!B29,Composición!J:J)</f>
        <v>-214127705</v>
      </c>
    </row>
    <row r="30" spans="1:7" ht="15.6" customHeight="1">
      <c r="A30" s="91"/>
      <c r="B30" s="173" t="s">
        <v>1036</v>
      </c>
      <c r="C30" s="176"/>
      <c r="D30" s="219"/>
      <c r="E30" s="464">
        <f>-+SUMIF(Composición!B:B,'Estado de Resultados'!B30,Composición!G:G)</f>
        <v>-913242865</v>
      </c>
      <c r="F30" s="447">
        <f>-+SUMIF(Composición!B:B,'Estado de Resultados'!B30,Composición!J:J)</f>
        <v>-279795358</v>
      </c>
    </row>
    <row r="31" spans="1:7" ht="15.6" customHeight="1">
      <c r="A31" s="91"/>
      <c r="B31" s="173" t="s">
        <v>410</v>
      </c>
      <c r="C31" s="176"/>
      <c r="D31" s="774" t="s">
        <v>1384</v>
      </c>
      <c r="E31" s="464">
        <f>-+SUMIF(Composición!B:B,'Estado de Resultados'!B31,Composición!G:G)</f>
        <v>-3779233627</v>
      </c>
      <c r="F31" s="447">
        <f>-+SUMIF(Composición!B:B,'Estado de Resultados'!B31,Composición!J:J)</f>
        <v>-1256616791</v>
      </c>
    </row>
    <row r="32" spans="1:7" ht="15.6" customHeight="1">
      <c r="A32" s="91"/>
      <c r="B32" s="173" t="s">
        <v>1042</v>
      </c>
      <c r="C32" s="176"/>
      <c r="D32" s="460"/>
      <c r="E32" s="464">
        <f>-+SUMIF(Composición!B:B,'Estado de Resultados'!B32,Composición!G:G)</f>
        <v>-228401350</v>
      </c>
      <c r="F32" s="447">
        <f>-+SUMIF(Composición!B:B,'Estado de Resultados'!B32,Composición!J:J)</f>
        <v>-422424993</v>
      </c>
    </row>
    <row r="33" spans="1:6" ht="15.6" customHeight="1" thickBot="1">
      <c r="A33" s="91"/>
      <c r="B33" s="173"/>
      <c r="C33" s="176"/>
      <c r="D33" s="460"/>
      <c r="E33" s="466"/>
      <c r="F33" s="467"/>
    </row>
    <row r="34" spans="1:6" ht="15.6" customHeight="1">
      <c r="A34" s="91"/>
      <c r="B34" s="171" t="s">
        <v>1385</v>
      </c>
      <c r="C34" s="172"/>
      <c r="D34" s="460"/>
      <c r="E34" s="462">
        <f>+E28+E10</f>
        <v>34750048820</v>
      </c>
      <c r="F34" s="453">
        <f>+F28+F10</f>
        <v>16468440064</v>
      </c>
    </row>
    <row r="35" spans="1:6" ht="15.6" customHeight="1">
      <c r="A35" s="91"/>
      <c r="B35" s="171"/>
      <c r="C35" s="172"/>
      <c r="D35" s="460"/>
      <c r="E35" s="463"/>
      <c r="F35" s="444"/>
    </row>
    <row r="36" spans="1:6" ht="15.6" customHeight="1">
      <c r="A36" s="91"/>
      <c r="B36" s="171" t="s">
        <v>1386</v>
      </c>
      <c r="C36" s="172"/>
      <c r="D36" s="460"/>
      <c r="E36" s="463">
        <f>+SUM(E37:E39)</f>
        <v>-399255835</v>
      </c>
      <c r="F36" s="444">
        <f>+SUM(F37:F39)</f>
        <v>-74680707</v>
      </c>
    </row>
    <row r="37" spans="1:6" ht="15.6" customHeight="1">
      <c r="A37" s="91"/>
      <c r="B37" s="173" t="s">
        <v>1046</v>
      </c>
      <c r="D37" s="219"/>
      <c r="E37" s="464">
        <f>-+SUMIF(Composición!B:B,'Estado de Resultados'!B37,Composición!G:G)</f>
        <v>-300115636</v>
      </c>
      <c r="F37" s="447">
        <f>-+SUMIF(Composición!B:B,'Estado de Resultados'!B37,Composición!J:J)</f>
        <v>-35932972</v>
      </c>
    </row>
    <row r="38" spans="1:6" ht="15.6" hidden="1" customHeight="1">
      <c r="A38" s="91"/>
      <c r="B38" s="173" t="s">
        <v>1387</v>
      </c>
      <c r="D38" s="219"/>
      <c r="E38" s="645">
        <f>+SUMIF(Composición!B:B,'Estado de Resultados'!B38,Composición!G:G)</f>
        <v>0</v>
      </c>
      <c r="F38" s="643">
        <f>+SUMIF(Composición!B:B,'Estado de Resultados'!B38,Composición!J:J)</f>
        <v>0</v>
      </c>
    </row>
    <row r="39" spans="1:6" ht="15.6" customHeight="1">
      <c r="A39" s="91"/>
      <c r="B39" s="173" t="s">
        <v>2021</v>
      </c>
      <c r="C39" s="176"/>
      <c r="D39" s="774" t="s">
        <v>1384</v>
      </c>
      <c r="E39" s="464">
        <f>-+SUMIF(Composición!B:B,'Estado de Resultados'!B39,Composición!G:G)</f>
        <v>-99140199</v>
      </c>
      <c r="F39" s="447">
        <f>-+SUMIF(Composición!B:B,'Estado de Resultados'!B39,Composición!J:J)</f>
        <v>-38747735</v>
      </c>
    </row>
    <row r="40" spans="1:6" ht="15.6" customHeight="1">
      <c r="A40" s="91"/>
      <c r="B40" s="171"/>
      <c r="C40" s="172"/>
      <c r="D40" s="219"/>
      <c r="E40" s="463"/>
      <c r="F40" s="444"/>
    </row>
    <row r="41" spans="1:6" ht="15.6" customHeight="1">
      <c r="A41" s="91"/>
      <c r="B41" s="171" t="s">
        <v>1388</v>
      </c>
      <c r="C41" s="172"/>
      <c r="D41" s="460"/>
      <c r="E41" s="463">
        <f>+SUM(E42:E49)</f>
        <v>-14248440267</v>
      </c>
      <c r="F41" s="444">
        <f>+SUM(F42:F49)</f>
        <v>-12459180481</v>
      </c>
    </row>
    <row r="42" spans="1:6" ht="15.6" customHeight="1">
      <c r="A42" s="91"/>
      <c r="B42" s="173" t="s">
        <v>1049</v>
      </c>
      <c r="D42" s="460"/>
      <c r="E42" s="464">
        <f>-SUMIF(Composición!B:B,'Estado de Resultados'!B42,Composición!G:G)</f>
        <v>-6881912434</v>
      </c>
      <c r="F42" s="447">
        <f>-+SUMIF(Composición!B:B,'Estado de Resultados'!B42,Composición!J:J)</f>
        <v>-5586913545</v>
      </c>
    </row>
    <row r="43" spans="1:6" ht="15.6" customHeight="1">
      <c r="A43" s="91"/>
      <c r="B43" s="173" t="s">
        <v>461</v>
      </c>
      <c r="D43" s="219"/>
      <c r="E43" s="464">
        <f>-SUMIF(Composición!B:B,'Estado de Resultados'!B43,Composición!G:G)</f>
        <v>-984786710</v>
      </c>
      <c r="F43" s="447">
        <f>+-SUMIF(Composición!B:B,'Estado de Resultados'!B43,Composición!J:J)</f>
        <v>-1157423177</v>
      </c>
    </row>
    <row r="44" spans="1:6" ht="15.6" customHeight="1">
      <c r="A44" s="91"/>
      <c r="B44" s="173" t="s">
        <v>1082</v>
      </c>
      <c r="C44" s="176"/>
      <c r="D44" s="219"/>
      <c r="E44" s="464">
        <f>-SUMIF(Composición!B:B,'Estado de Resultados'!B44,Composición!G:G)</f>
        <v>-9968610</v>
      </c>
      <c r="F44" s="447">
        <f>+-SUMIF(Composición!B:B,'Estado de Resultados'!B44,Composición!J:J)</f>
        <v>-7655860</v>
      </c>
    </row>
    <row r="45" spans="1:6" ht="15.6" customHeight="1">
      <c r="A45" s="91"/>
      <c r="B45" s="173" t="s">
        <v>1084</v>
      </c>
      <c r="C45" s="176"/>
      <c r="D45" s="219"/>
      <c r="E45" s="464">
        <f>-SUMIF(Composición!B:B,'Estado de Resultados'!B45,Composición!G:G)</f>
        <v>-732747236</v>
      </c>
      <c r="F45" s="447">
        <f>+-SUMIF(Composición!B:B,'Estado de Resultados'!B45,Composición!J:J)</f>
        <v>-826940358</v>
      </c>
    </row>
    <row r="46" spans="1:6" ht="15.6" customHeight="1">
      <c r="A46" s="91"/>
      <c r="B46" s="173" t="s">
        <v>1091</v>
      </c>
      <c r="C46" s="176"/>
      <c r="D46" s="219"/>
      <c r="E46" s="464">
        <f>-SUMIF(Composición!B:B,'Estado de Resultados'!B46,Composición!G:G)</f>
        <v>-448447392</v>
      </c>
      <c r="F46" s="447">
        <f>+-SUMIF(Composición!B:B,'Estado de Resultados'!B46,Composición!J:J)</f>
        <v>-345941479</v>
      </c>
    </row>
    <row r="47" spans="1:6" ht="15.6" customHeight="1">
      <c r="A47" s="91"/>
      <c r="B47" s="173" t="s">
        <v>1109</v>
      </c>
      <c r="D47" s="219"/>
      <c r="E47" s="464">
        <f>-SUMIF(Composición!B:B,'Estado de Resultados'!B47,Composición!G:G)</f>
        <v>-365545</v>
      </c>
      <c r="F47" s="447">
        <f>+-SUMIF(Composición!B:B,'Estado de Resultados'!B47,Composición!J:J)</f>
        <v>-7025810</v>
      </c>
    </row>
    <row r="48" spans="1:6" ht="15.6" customHeight="1">
      <c r="A48" s="91"/>
      <c r="B48" s="173" t="s">
        <v>473</v>
      </c>
      <c r="D48" s="219"/>
      <c r="E48" s="464">
        <f>-SUMIF(Composición!B:B,'Estado de Resultados'!B48,Composición!G:G)</f>
        <v>-59832488</v>
      </c>
      <c r="F48" s="447">
        <f>+-SUMIF(Composición!B:B,'Estado de Resultados'!B48,Composición!J:J)</f>
        <v>-220816963</v>
      </c>
    </row>
    <row r="49" spans="1:6" ht="15.6" customHeight="1">
      <c r="A49" s="91"/>
      <c r="B49" s="173" t="s">
        <v>1389</v>
      </c>
      <c r="C49" s="176"/>
      <c r="D49" s="774" t="s">
        <v>1384</v>
      </c>
      <c r="E49" s="464">
        <f>-SUMIF(Composición!B:B,'Estado de Resultados'!B49,Composición!G:G)</f>
        <v>-5130379852</v>
      </c>
      <c r="F49" s="447">
        <f>+-SUMIF(Composición!B:B,'Estado de Resultados'!B49,Composición!J:J)</f>
        <v>-4306463289</v>
      </c>
    </row>
    <row r="50" spans="1:6" ht="15.6" customHeight="1" thickBot="1">
      <c r="A50" s="91"/>
      <c r="B50" s="173"/>
      <c r="C50" s="176"/>
      <c r="D50" s="460"/>
      <c r="E50" s="466"/>
      <c r="F50" s="467"/>
    </row>
    <row r="51" spans="1:6" ht="15.6" customHeight="1">
      <c r="A51" s="91"/>
      <c r="B51" s="171" t="s">
        <v>1390</v>
      </c>
      <c r="C51" s="172"/>
      <c r="D51" s="172"/>
      <c r="E51" s="463">
        <f>+E34+E36+E41</f>
        <v>20102352718</v>
      </c>
      <c r="F51" s="444">
        <f>+F34+F36+F41</f>
        <v>3934578876</v>
      </c>
    </row>
    <row r="52" spans="1:6" ht="10.5" customHeight="1">
      <c r="A52" s="91"/>
      <c r="B52" s="171"/>
      <c r="C52" s="172"/>
      <c r="D52" s="172"/>
      <c r="E52" s="463"/>
      <c r="F52" s="444"/>
    </row>
    <row r="53" spans="1:6" ht="15.6" customHeight="1">
      <c r="A53" s="91"/>
      <c r="B53" s="171" t="s">
        <v>1391</v>
      </c>
      <c r="C53" s="172"/>
      <c r="D53" s="774" t="s">
        <v>1392</v>
      </c>
      <c r="E53" s="463">
        <f>+SUM(E54:E55)</f>
        <v>-21843309</v>
      </c>
      <c r="F53" s="444">
        <f>+SUM(F54:F55)</f>
        <v>-69668557</v>
      </c>
    </row>
    <row r="54" spans="1:6" ht="15.6" customHeight="1">
      <c r="A54" s="91"/>
      <c r="B54" s="173" t="s">
        <v>3066</v>
      </c>
      <c r="C54" s="176"/>
      <c r="D54" s="172"/>
      <c r="E54" s="464">
        <f>+SUMIF(Composición!B:B,'Estado de Resultados'!B54,Composición!G:G)</f>
        <v>10491456</v>
      </c>
      <c r="F54" s="447">
        <f>+SUMIF(Composición!B:B,'Estado de Resultados'!B54,Composición!J:J)</f>
        <v>6379779</v>
      </c>
    </row>
    <row r="55" spans="1:6" ht="15.6" customHeight="1">
      <c r="A55" s="91"/>
      <c r="B55" s="173" t="s">
        <v>3067</v>
      </c>
      <c r="C55" s="176"/>
      <c r="D55" s="172"/>
      <c r="E55" s="464">
        <f>-SUMIF(Composición!B:B,'Estado de Resultados'!B55,Composición!G:G)</f>
        <v>-32334765</v>
      </c>
      <c r="F55" s="447">
        <f>-+SUMIF(Composición!B:B,'Estado de Resultados'!B55,Composición!J:J)</f>
        <v>-76048336</v>
      </c>
    </row>
    <row r="56" spans="1:6" ht="15.6" customHeight="1">
      <c r="A56" s="91"/>
      <c r="B56" s="171"/>
      <c r="C56" s="172"/>
      <c r="D56" s="172"/>
      <c r="E56" s="463"/>
      <c r="F56" s="444"/>
    </row>
    <row r="57" spans="1:6" ht="15.6" customHeight="1">
      <c r="A57" s="91"/>
      <c r="B57" s="171" t="s">
        <v>1393</v>
      </c>
      <c r="C57" s="172"/>
      <c r="D57" s="774" t="s">
        <v>1394</v>
      </c>
      <c r="E57" s="463">
        <f>+E58+E61</f>
        <v>-1070373250</v>
      </c>
      <c r="F57" s="444">
        <f>+F58+F61</f>
        <v>-325683231</v>
      </c>
    </row>
    <row r="58" spans="1:6" ht="15.6" customHeight="1">
      <c r="A58" s="91"/>
      <c r="B58" s="171" t="s">
        <v>1395</v>
      </c>
      <c r="D58" s="172"/>
      <c r="E58" s="463">
        <f>+SUM(E59:E60)</f>
        <v>4205120783</v>
      </c>
      <c r="F58" s="444">
        <f>+SUM(F59:F60)</f>
        <v>269044715</v>
      </c>
    </row>
    <row r="59" spans="1:6" ht="15.6" hidden="1" customHeight="1">
      <c r="A59" s="91"/>
      <c r="B59" s="173" t="s">
        <v>382</v>
      </c>
      <c r="D59" s="172"/>
      <c r="E59" s="643">
        <f>+SUMIF(Composición!B:B,'Estado de Resultados'!B59,Composición!G:G)</f>
        <v>0</v>
      </c>
      <c r="F59" s="643">
        <f>+SUMIF(Composición!B:B,'Estado de Resultados'!B59,Composición!J:J)</f>
        <v>0</v>
      </c>
    </row>
    <row r="60" spans="1:6" ht="15.6" customHeight="1">
      <c r="A60" s="91"/>
      <c r="B60" s="173" t="s">
        <v>1027</v>
      </c>
      <c r="D60" s="172"/>
      <c r="E60" s="464">
        <f>+Composición!G1204-Composición!G1487</f>
        <v>4205120783</v>
      </c>
      <c r="F60" s="447">
        <f>+Composición!J1204-Composición!J1487</f>
        <v>269044715</v>
      </c>
    </row>
    <row r="61" spans="1:6" ht="15.6" customHeight="1">
      <c r="A61" s="91"/>
      <c r="B61" s="171" t="s">
        <v>1396</v>
      </c>
      <c r="D61" s="172"/>
      <c r="E61" s="463">
        <f>+SUM(E62:E63)</f>
        <v>-5275494033</v>
      </c>
      <c r="F61" s="463">
        <f>+SUM(F62:F63)</f>
        <v>-594727946</v>
      </c>
    </row>
    <row r="62" spans="1:6" ht="15.6" customHeight="1">
      <c r="A62" s="91"/>
      <c r="B62" s="173" t="s">
        <v>1099</v>
      </c>
      <c r="D62" s="176"/>
      <c r="E62" s="464">
        <f>-+SUMIF(Composición!B:B,'Estado de Resultados'!B62,Composición!G:G)</f>
        <v>-1857591523</v>
      </c>
      <c r="F62" s="447">
        <f>-+SUMIF(Composición!B:B,'Estado de Resultados'!B62,Composición!J:J)</f>
        <v>-493269424</v>
      </c>
    </row>
    <row r="63" spans="1:6" ht="15.6" customHeight="1">
      <c r="A63" s="91"/>
      <c r="B63" s="173" t="s">
        <v>1027</v>
      </c>
      <c r="D63" s="176"/>
      <c r="E63" s="464">
        <f>+Composición!G1205-Composición!G1488</f>
        <v>-3417902510</v>
      </c>
      <c r="F63" s="447">
        <f>+Composición!J1205-Composición!J1488</f>
        <v>-101458522</v>
      </c>
    </row>
    <row r="64" spans="1:6" ht="15.6" customHeight="1">
      <c r="A64" s="91"/>
      <c r="B64" s="173"/>
      <c r="C64" s="176"/>
      <c r="D64" s="176"/>
      <c r="E64" s="464"/>
      <c r="F64" s="447"/>
    </row>
    <row r="65" spans="1:6" ht="15.6" customHeight="1">
      <c r="A65" s="91"/>
      <c r="B65" s="171" t="s">
        <v>1397</v>
      </c>
      <c r="C65" s="172"/>
      <c r="D65" s="176"/>
      <c r="E65" s="463">
        <f>+SUM(E66)</f>
        <v>120953603</v>
      </c>
      <c r="F65" s="770">
        <f>+SUM(F66)</f>
        <v>56695647</v>
      </c>
    </row>
    <row r="66" spans="1:6" ht="15.6" customHeight="1">
      <c r="A66" s="91"/>
      <c r="B66" s="173" t="s">
        <v>391</v>
      </c>
      <c r="D66" s="176"/>
      <c r="E66" s="464">
        <f>+SUMIF(Composición!B:B,'Estado de Resultados'!B66,Composición!G:G)</f>
        <v>120953603</v>
      </c>
      <c r="F66" s="771">
        <f>+SUMIF(Composición!B:B,'Estado de Resultados'!B66,Composición!J:J)</f>
        <v>56695647</v>
      </c>
    </row>
    <row r="67" spans="1:6" ht="15.6" customHeight="1" thickBot="1">
      <c r="A67" s="91"/>
      <c r="B67" s="171"/>
      <c r="C67" s="172"/>
      <c r="D67" s="172"/>
      <c r="E67" s="465"/>
      <c r="F67" s="455"/>
    </row>
    <row r="68" spans="1:6" ht="15.6" customHeight="1">
      <c r="A68" s="91"/>
      <c r="B68" s="171" t="s">
        <v>1398</v>
      </c>
      <c r="C68" s="172"/>
      <c r="D68" s="172"/>
      <c r="E68" s="463">
        <f>+E65+E57+E51+E53</f>
        <v>19131089762</v>
      </c>
      <c r="F68" s="444">
        <f>+F65+F57+F51+F53</f>
        <v>3595922735</v>
      </c>
    </row>
    <row r="69" spans="1:6" ht="15.6" customHeight="1" thickBot="1">
      <c r="A69" s="91"/>
      <c r="B69" s="171"/>
      <c r="C69" s="172"/>
      <c r="D69" s="172"/>
      <c r="E69" s="465"/>
      <c r="F69" s="455"/>
    </row>
    <row r="70" spans="1:6" ht="15.6" customHeight="1">
      <c r="A70" s="91"/>
      <c r="B70" s="171" t="s">
        <v>1105</v>
      </c>
      <c r="C70" s="172"/>
      <c r="D70" s="774" t="s">
        <v>1399</v>
      </c>
      <c r="E70" s="909">
        <f>-SUMIF(Composición!B:B,'Estado de Resultados'!B70,Composición!G:G)</f>
        <v>-1666191338</v>
      </c>
      <c r="F70" s="444">
        <f>-SUMIF(Composición!B:B,'Estado de Resultados'!B70,Composición!J:J)</f>
        <v>-426755525</v>
      </c>
    </row>
    <row r="71" spans="1:6" ht="15.6" customHeight="1" thickBot="1">
      <c r="A71" s="91"/>
      <c r="B71" s="171"/>
      <c r="C71" s="172"/>
      <c r="D71" s="172"/>
      <c r="E71" s="465"/>
      <c r="F71" s="455"/>
    </row>
    <row r="72" spans="1:6" ht="22.5" customHeight="1" thickBot="1">
      <c r="A72" s="91"/>
      <c r="B72" s="178" t="s">
        <v>1400</v>
      </c>
      <c r="C72" s="179"/>
      <c r="D72" s="179"/>
      <c r="E72" s="489">
        <f>+E68+E70</f>
        <v>17464898424</v>
      </c>
      <c r="F72" s="457">
        <f>+F68+F70</f>
        <v>3169167210</v>
      </c>
    </row>
    <row r="73" spans="1:6">
      <c r="B73" s="709" t="s">
        <v>1401</v>
      </c>
      <c r="E73" s="379">
        <f>+E72-(Composición!$G$1775-Composición!$G$1776)</f>
        <v>0</v>
      </c>
      <c r="F73" s="379">
        <f>+F72-(Composición!$J$1775-Composición!$J$1776)</f>
        <v>0</v>
      </c>
    </row>
    <row r="74" spans="1:6">
      <c r="B74" s="1" t="str">
        <f>+'Balance General'!B41</f>
        <v>Las notas 1 a 11 que se acompañan forman parte integrante de los Estados Financieros</v>
      </c>
      <c r="E74" s="379"/>
      <c r="F74" s="379"/>
    </row>
    <row r="75" spans="1:6" ht="15" customHeight="1">
      <c r="F75" s="4"/>
    </row>
    <row r="76" spans="1:6">
      <c r="B76" s="2"/>
      <c r="C76" s="2"/>
      <c r="D76" s="2"/>
      <c r="E76" s="52"/>
      <c r="F76" s="46"/>
    </row>
    <row r="77" spans="1:6">
      <c r="B77" s="2"/>
      <c r="C77" s="2"/>
      <c r="D77" s="2"/>
      <c r="E77" s="52"/>
    </row>
    <row r="78" spans="1:6">
      <c r="B78" s="1" t="s">
        <v>1291</v>
      </c>
      <c r="C78" s="2"/>
      <c r="D78" s="2"/>
      <c r="E78" s="52"/>
    </row>
    <row r="79" spans="1:6">
      <c r="C79" s="2"/>
      <c r="D79" s="2"/>
      <c r="E79" s="52"/>
    </row>
    <row r="80" spans="1:6">
      <c r="C80" s="2"/>
      <c r="D80" s="2"/>
      <c r="E80" s="52"/>
    </row>
    <row r="81" spans="1:7">
      <c r="C81" s="2"/>
      <c r="D81" s="2"/>
      <c r="E81" s="52"/>
    </row>
    <row r="82" spans="1:7">
      <c r="B82" s="2"/>
      <c r="C82" s="2"/>
      <c r="D82" s="2"/>
      <c r="E82" s="52"/>
    </row>
    <row r="83" spans="1:7">
      <c r="B83" s="2"/>
      <c r="C83" s="2"/>
      <c r="D83" s="2"/>
      <c r="E83" s="52"/>
    </row>
    <row r="84" spans="1:7">
      <c r="A84" s="180"/>
      <c r="B84" s="49" t="s">
        <v>2819</v>
      </c>
      <c r="C84" s="2"/>
      <c r="D84" s="2"/>
      <c r="E84" s="1504" t="s">
        <v>1292</v>
      </c>
      <c r="F84" s="1504"/>
    </row>
    <row r="85" spans="1:7">
      <c r="A85" s="180"/>
      <c r="B85" s="50" t="s">
        <v>1201</v>
      </c>
      <c r="C85" s="2"/>
      <c r="D85" s="2"/>
      <c r="E85" s="1477" t="s">
        <v>1293</v>
      </c>
      <c r="F85" s="1477"/>
    </row>
    <row r="86" spans="1:7">
      <c r="F86" s="48"/>
      <c r="G86" s="48"/>
    </row>
    <row r="91" spans="1:7">
      <c r="B91" s="24"/>
      <c r="E91" s="1505"/>
      <c r="F91" s="1505"/>
    </row>
    <row r="92" spans="1:7">
      <c r="B92" s="149"/>
      <c r="E92" s="1506"/>
      <c r="F92" s="1506"/>
    </row>
    <row r="93" spans="1:7">
      <c r="B93" s="49" t="s">
        <v>1203</v>
      </c>
      <c r="C93" s="49"/>
      <c r="D93" s="2"/>
      <c r="E93" s="1504" t="s">
        <v>1272</v>
      </c>
      <c r="F93" s="1504" t="s">
        <v>1272</v>
      </c>
    </row>
    <row r="94" spans="1:7">
      <c r="B94" s="50" t="s">
        <v>1295</v>
      </c>
      <c r="C94" s="50"/>
      <c r="D94" s="2"/>
      <c r="E94" s="1477" t="s">
        <v>1273</v>
      </c>
      <c r="F94" s="1477"/>
    </row>
    <row r="95" spans="1:7">
      <c r="B95" s="2"/>
      <c r="C95" s="2"/>
      <c r="D95" s="2"/>
      <c r="E95" s="2"/>
      <c r="F95" s="3"/>
    </row>
  </sheetData>
  <customSheetViews>
    <customSheetView guid="{970CBB53-F4B3-462F-AEFE-2BC403F5F0AD}" scale="80" showPageBreaks="1" showGridLines="0" fitToPage="1" printArea="1">
      <pane ySplit="6" topLeftCell="A43" activePane="bottomLeft" state="frozen"/>
      <selection pane="bottomLeft" activeCell="E9" sqref="E9"/>
      <pageMargins left="0" right="0" top="0" bottom="0" header="0" footer="0"/>
      <printOptions horizontalCentered="1"/>
      <pageSetup paperSize="9" scale="10" orientation="portrait" r:id="rId1"/>
    </customSheetView>
    <customSheetView guid="{7F8679DA-D059-4901-ACAC-85DFCE49504A}" scale="80" showGridLines="0" fitToPage="1">
      <selection activeCell="B4" sqref="B4"/>
      <pageMargins left="0" right="0" top="0" bottom="0" header="0" footer="0"/>
      <printOptions horizontalCentered="1"/>
      <pageSetup paperSize="9" scale="49" orientation="portrait" r:id="rId2"/>
    </customSheetView>
    <customSheetView guid="{599159CD-1620-491F-A2F6-FFBFC633DFF1}" scale="80" showPageBreaks="1" showGridLines="0" fitToPage="1" printArea="1" topLeftCell="A66">
      <selection activeCell="A92" sqref="A92:XFD93"/>
      <pageMargins left="0" right="0" top="0" bottom="0" header="0" footer="0"/>
      <printOptions horizontalCentered="1"/>
      <pageSetup paperSize="9" scale="49" orientation="portrait" r:id="rId3"/>
    </customSheetView>
  </customSheetViews>
  <mergeCells count="9">
    <mergeCell ref="E93:F93"/>
    <mergeCell ref="E94:F94"/>
    <mergeCell ref="E91:F91"/>
    <mergeCell ref="E92:F92"/>
    <mergeCell ref="B4:G4"/>
    <mergeCell ref="B7:G7"/>
    <mergeCell ref="B6:F6"/>
    <mergeCell ref="E84:F84"/>
    <mergeCell ref="E85:F85"/>
  </mergeCells>
  <hyperlinks>
    <hyperlink ref="G1" location="Índice!A1" display="Índice!A1" xr:uid="{427A3F6B-E9F5-491A-82C7-91433822F26C}"/>
    <hyperlink ref="D23" location="Notas!A1" display="(Nota 5.f)" xr:uid="{BA520D22-8214-405C-9A68-C4B665B52FEE}"/>
    <hyperlink ref="D24" location="Notas!A1" display="(Nota 5.f)" xr:uid="{17F369BF-54C4-476A-9AB4-F1B7D9E3721B}"/>
    <hyperlink ref="D25" location="Notas!A1" display="(Nota 5.f)" xr:uid="{AB8FA8F0-63E7-41F3-9249-D258A69E5C0D}"/>
    <hyperlink ref="D26" location="Notas!A1" display="(Nota 5.f)" xr:uid="{2CC35A94-3F09-4F35-8D96-CBB7242691CC}"/>
    <hyperlink ref="D31" location="Notas!A1" display="(Nota 5.f)" xr:uid="{24D988B4-8EF7-4488-87FE-667B324052A3}"/>
    <hyperlink ref="D39" location="Notas!A1" display="(Nota 5.f)" xr:uid="{F86EBF43-52A6-4199-80BA-3B9C96511E1D}"/>
    <hyperlink ref="D49" location="Notas!A1" display="(Nota 5.f)" xr:uid="{BC7CB5AC-A402-4BE9-9B68-4786CA33B08C}"/>
    <hyperlink ref="D53" location="Notas!A1" display="(Nota 5.f)" xr:uid="{9D3E017B-ECE6-4AB0-A280-12EF19F036E7}"/>
    <hyperlink ref="D57" location="Notas!A1" display="(Nota 5.f)" xr:uid="{8DCB23B5-2A12-4D45-A56A-305778001BC6}"/>
    <hyperlink ref="D70" location="Notas!A1" display="(Nota 5.f)" xr:uid="{A2A80EC0-B9AD-4710-9B85-A5548F80AA54}"/>
  </hyperlinks>
  <printOptions horizontalCentered="1"/>
  <pageMargins left="0.48" right="0.39" top="0.74803149606299213" bottom="0.74803149606299213" header="0.31496062992125984" footer="0.31496062992125984"/>
  <pageSetup paperSize="9" scale="54" orientation="portrait" r:id="rId4"/>
  <ignoredErrors>
    <ignoredError sqref="E16:F16" formula="1"/>
  </ignoredError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K86"/>
  <sheetViews>
    <sheetView showGridLines="0" zoomScale="80" zoomScaleNormal="80" zoomScaleSheetLayoutView="80" workbookViewId="0">
      <pane ySplit="9" topLeftCell="A24" activePane="bottomLeft" state="frozen"/>
      <selection activeCell="D45" sqref="D45"/>
      <selection pane="bottomLeft" activeCell="B5" sqref="B5:F5"/>
    </sheetView>
  </sheetViews>
  <sheetFormatPr baseColWidth="10" defaultColWidth="11.44140625" defaultRowHeight="15.6"/>
  <cols>
    <col min="1" max="1" width="2.44140625" style="1" customWidth="1"/>
    <col min="2" max="2" width="52.88671875" style="2" customWidth="1"/>
    <col min="3" max="4" width="20" style="2" customWidth="1"/>
    <col min="5" max="5" width="22.88671875" style="2" customWidth="1"/>
    <col min="6" max="6" width="22.88671875" style="3" customWidth="1"/>
    <col min="7" max="7" width="24.109375" style="1" customWidth="1"/>
    <col min="8" max="8" width="15.77734375" style="1" bestFit="1" customWidth="1"/>
    <col min="9" max="16384" width="11.44140625" style="1"/>
  </cols>
  <sheetData>
    <row r="1" spans="1:9">
      <c r="G1" s="677" t="s">
        <v>1332</v>
      </c>
    </row>
    <row r="4" spans="1:9">
      <c r="B4" s="1514" t="s">
        <v>1173</v>
      </c>
      <c r="C4" s="1514"/>
      <c r="D4" s="1514"/>
      <c r="E4" s="1514"/>
      <c r="F4" s="1514"/>
      <c r="G4" s="52"/>
    </row>
    <row r="5" spans="1:9" ht="17.399999999999999">
      <c r="B5" s="1515" t="s">
        <v>1402</v>
      </c>
      <c r="C5" s="1515"/>
      <c r="D5" s="1515"/>
      <c r="E5" s="1515"/>
      <c r="F5" s="1515"/>
      <c r="G5" s="99"/>
    </row>
    <row r="6" spans="1:9" ht="31.5" customHeight="1">
      <c r="B6" s="1509" t="s">
        <v>3016</v>
      </c>
      <c r="C6" s="1509"/>
      <c r="D6" s="1509"/>
      <c r="E6" s="1509"/>
      <c r="F6" s="1509"/>
      <c r="G6" s="458"/>
    </row>
    <row r="7" spans="1:9">
      <c r="B7" s="1516" t="s">
        <v>1334</v>
      </c>
      <c r="C7" s="1516"/>
      <c r="D7" s="1516"/>
      <c r="E7" s="1516"/>
      <c r="F7" s="1516"/>
      <c r="G7" s="99"/>
    </row>
    <row r="8" spans="1:9" ht="7.5" customHeight="1" thickBot="1">
      <c r="B8" s="290"/>
      <c r="C8" s="290"/>
      <c r="D8" s="290"/>
      <c r="E8" s="290"/>
      <c r="F8" s="290"/>
      <c r="G8" s="290"/>
      <c r="H8" s="152"/>
      <c r="I8" s="152"/>
    </row>
    <row r="9" spans="1:9" ht="16.2" thickBot="1">
      <c r="B9" s="153"/>
      <c r="C9" s="154"/>
      <c r="D9" s="155"/>
      <c r="E9" s="151">
        <v>45657</v>
      </c>
      <c r="F9" s="151">
        <v>45291</v>
      </c>
    </row>
    <row r="10" spans="1:9">
      <c r="A10" s="3"/>
      <c r="B10" s="1517" t="s">
        <v>1403</v>
      </c>
      <c r="C10" s="1518"/>
      <c r="D10" s="1518"/>
      <c r="E10" s="775"/>
      <c r="F10" s="157"/>
    </row>
    <row r="11" spans="1:9" s="5" customFormat="1">
      <c r="A11" s="3"/>
      <c r="B11" s="158" t="s">
        <v>1404</v>
      </c>
      <c r="C11" s="159"/>
      <c r="D11" s="159"/>
      <c r="E11" s="435">
        <f>+'CA FE'!$H$1512</f>
        <v>22280724051</v>
      </c>
      <c r="F11" s="435">
        <v>12010532945</v>
      </c>
      <c r="G11" s="30"/>
    </row>
    <row r="12" spans="1:9" s="5" customFormat="1">
      <c r="A12" s="91"/>
      <c r="B12" s="158" t="s">
        <v>1309</v>
      </c>
      <c r="C12" s="161"/>
      <c r="D12" s="100"/>
      <c r="E12" s="435">
        <f>+'CA FE'!$I$1512</f>
        <v>-6416939427</v>
      </c>
      <c r="F12" s="435">
        <v>-4619123504</v>
      </c>
    </row>
    <row r="13" spans="1:9" s="5" customFormat="1">
      <c r="A13" s="91"/>
      <c r="B13" s="158" t="s">
        <v>1405</v>
      </c>
      <c r="C13" s="159"/>
      <c r="D13" s="159"/>
      <c r="E13" s="435">
        <f>+'CA FE'!$J$1512</f>
        <v>3271302533</v>
      </c>
      <c r="F13" s="435">
        <v>18908728</v>
      </c>
      <c r="G13" s="101"/>
    </row>
    <row r="14" spans="1:9" s="5" customFormat="1" ht="16.2" thickBot="1">
      <c r="A14" s="91"/>
      <c r="B14" s="158" t="s">
        <v>1406</v>
      </c>
      <c r="C14" s="161"/>
      <c r="D14" s="100"/>
      <c r="E14" s="435">
        <f>+'CA FE'!$L$1512+'CA FE'!M1512</f>
        <v>-7394733938</v>
      </c>
      <c r="F14" s="435">
        <v>-4737063486.5</v>
      </c>
      <c r="G14" s="101"/>
    </row>
    <row r="15" spans="1:9" s="5" customFormat="1">
      <c r="A15" s="91"/>
      <c r="B15" s="163" t="s">
        <v>1407</v>
      </c>
      <c r="C15" s="159"/>
      <c r="D15" s="159"/>
      <c r="E15" s="437">
        <f>SUM(E11:E14)</f>
        <v>11740353219</v>
      </c>
      <c r="F15" s="437">
        <f>SUM(F11:F14)</f>
        <v>2673254682.5</v>
      </c>
    </row>
    <row r="16" spans="1:9" s="5" customFormat="1">
      <c r="A16" s="91"/>
      <c r="B16" s="163"/>
      <c r="C16" s="159"/>
      <c r="D16" s="159"/>
      <c r="E16" s="434"/>
      <c r="F16" s="434"/>
    </row>
    <row r="17" spans="1:8" s="5" customFormat="1">
      <c r="A17" s="91"/>
      <c r="B17" s="1510" t="s">
        <v>1408</v>
      </c>
      <c r="C17" s="1511"/>
      <c r="D17" s="1511"/>
      <c r="E17" s="434"/>
      <c r="F17" s="434"/>
    </row>
    <row r="18" spans="1:8" s="5" customFormat="1" hidden="1">
      <c r="A18" s="91"/>
      <c r="B18" s="158" t="s">
        <v>1409</v>
      </c>
      <c r="C18" s="161"/>
      <c r="D18" s="100"/>
      <c r="E18" s="645">
        <f>+'CA FE'!O1512</f>
        <v>0</v>
      </c>
      <c r="F18" s="1405">
        <v>0</v>
      </c>
      <c r="G18" s="101"/>
      <c r="H18" s="101"/>
    </row>
    <row r="19" spans="1:8" s="5" customFormat="1">
      <c r="A19" s="91"/>
      <c r="B19" s="158" t="s">
        <v>1410</v>
      </c>
      <c r="C19" s="161"/>
      <c r="D19" s="100"/>
      <c r="E19" s="435">
        <f>+'CA FE'!R1512</f>
        <v>-1424100175</v>
      </c>
      <c r="F19" s="435">
        <v>-1313904889</v>
      </c>
      <c r="G19" s="101"/>
      <c r="H19" s="101"/>
    </row>
    <row r="20" spans="1:8" s="5" customFormat="1">
      <c r="A20" s="91"/>
      <c r="B20" s="1512" t="s">
        <v>1411</v>
      </c>
      <c r="C20" s="1513"/>
      <c r="D20" s="1513"/>
      <c r="E20" s="435">
        <f>+'CA FE'!S1512</f>
        <v>-29661854421</v>
      </c>
      <c r="F20" s="435">
        <v>-46319046422.400002</v>
      </c>
    </row>
    <row r="21" spans="1:8" s="5" customFormat="1">
      <c r="A21" s="91"/>
      <c r="B21" s="158" t="s">
        <v>1412</v>
      </c>
      <c r="C21" s="159"/>
      <c r="D21" s="159"/>
      <c r="E21" s="435">
        <f>+'CA FE'!$T$1512</f>
        <v>4888597277</v>
      </c>
      <c r="F21" s="435">
        <v>1814888620</v>
      </c>
      <c r="H21" s="30"/>
    </row>
    <row r="22" spans="1:8" s="5" customFormat="1" ht="16.2" thickBot="1">
      <c r="A22" s="91"/>
      <c r="B22" s="158" t="s">
        <v>1413</v>
      </c>
      <c r="C22" s="159"/>
      <c r="D22" s="159"/>
      <c r="E22" s="435">
        <f>+'CA FE'!$U$1512</f>
        <v>204138454</v>
      </c>
      <c r="F22" s="435">
        <v>237545542</v>
      </c>
      <c r="H22" s="30"/>
    </row>
    <row r="23" spans="1:8" s="5" customFormat="1">
      <c r="A23" s="91"/>
      <c r="B23" s="171" t="s">
        <v>1414</v>
      </c>
      <c r="C23" s="172"/>
      <c r="D23" s="159"/>
      <c r="E23" s="439">
        <f>SUM(E18:E22)</f>
        <v>-25993218865</v>
      </c>
      <c r="F23" s="437">
        <f>SUM(F18:F22)</f>
        <v>-45580517149.400002</v>
      </c>
      <c r="H23" s="30"/>
    </row>
    <row r="24" spans="1:8" s="5" customFormat="1">
      <c r="A24" s="91"/>
      <c r="B24" s="163"/>
      <c r="C24" s="159"/>
      <c r="D24" s="159"/>
      <c r="E24" s="440"/>
      <c r="F24" s="434"/>
      <c r="H24" s="30"/>
    </row>
    <row r="25" spans="1:8" s="5" customFormat="1">
      <c r="A25" s="91"/>
      <c r="B25" s="1510" t="s">
        <v>1415</v>
      </c>
      <c r="C25" s="1511"/>
      <c r="D25" s="1511"/>
      <c r="E25" s="436"/>
      <c r="F25" s="435"/>
      <c r="G25" s="30"/>
    </row>
    <row r="26" spans="1:8" s="5" customFormat="1">
      <c r="A26" s="91"/>
      <c r="B26" s="158" t="s">
        <v>3110</v>
      </c>
      <c r="C26" s="159"/>
      <c r="D26" s="159"/>
      <c r="E26" s="645">
        <f>+'CA FE'!$V$1512</f>
        <v>0</v>
      </c>
      <c r="F26" s="435">
        <v>36150000000</v>
      </c>
      <c r="G26" s="59"/>
    </row>
    <row r="27" spans="1:8" s="5" customFormat="1">
      <c r="A27" s="91"/>
      <c r="B27" s="158" t="s">
        <v>1416</v>
      </c>
      <c r="C27" s="159"/>
      <c r="D27" s="159"/>
      <c r="E27" s="435">
        <f>+'CA FE'!$W$1512</f>
        <v>15603567126</v>
      </c>
      <c r="F27" s="435">
        <v>10373275742</v>
      </c>
      <c r="G27" s="59"/>
    </row>
    <row r="28" spans="1:8" s="5" customFormat="1" ht="16.2" thickBot="1">
      <c r="A28" s="91"/>
      <c r="B28" s="158" t="s">
        <v>1417</v>
      </c>
      <c r="C28" s="159"/>
      <c r="D28" s="159"/>
      <c r="E28" s="435">
        <f>+'CA FE'!$Y$1512</f>
        <v>-1763637804</v>
      </c>
      <c r="F28" s="435">
        <v>-491074903</v>
      </c>
    </row>
    <row r="29" spans="1:8" s="5" customFormat="1">
      <c r="A29" s="91"/>
      <c r="B29" s="171" t="s">
        <v>1418</v>
      </c>
      <c r="C29" s="159"/>
      <c r="D29" s="159"/>
      <c r="E29" s="439">
        <f>SUM(E26:E28)</f>
        <v>13839929322</v>
      </c>
      <c r="F29" s="437">
        <f>SUM(F26:F28)</f>
        <v>46032200839</v>
      </c>
    </row>
    <row r="30" spans="1:8" s="5" customFormat="1" ht="9" customHeight="1" thickBot="1">
      <c r="A30" s="91"/>
      <c r="B30" s="163"/>
      <c r="C30" s="159"/>
      <c r="D30" s="159"/>
      <c r="E30" s="443"/>
      <c r="F30" s="443"/>
    </row>
    <row r="31" spans="1:8" s="5" customFormat="1">
      <c r="A31" s="91"/>
      <c r="B31" s="158" t="s">
        <v>1419</v>
      </c>
      <c r="C31" s="165"/>
      <c r="D31" s="100"/>
      <c r="E31" s="436">
        <f>+'CA FE'!$Z$1512</f>
        <v>822892761</v>
      </c>
      <c r="F31" s="1364">
        <v>174905474</v>
      </c>
    </row>
    <row r="32" spans="1:8" s="5" customFormat="1" ht="9.75" customHeight="1" thickBot="1">
      <c r="A32" s="91"/>
      <c r="B32" s="158"/>
      <c r="C32" s="165"/>
      <c r="D32" s="100"/>
      <c r="E32" s="441"/>
      <c r="F32" s="438"/>
    </row>
    <row r="33" spans="1:11" s="5" customFormat="1" ht="22.5" customHeight="1">
      <c r="A33" s="91"/>
      <c r="B33" s="1510" t="s">
        <v>1420</v>
      </c>
      <c r="C33" s="1511"/>
      <c r="D33" s="1511"/>
      <c r="E33" s="439">
        <f>+E15+E23+E29+E31</f>
        <v>409956437</v>
      </c>
      <c r="F33" s="437">
        <f>+F15+F23+F29+F31</f>
        <v>3299843846.0999985</v>
      </c>
    </row>
    <row r="34" spans="1:11" s="5" customFormat="1" ht="22.5" customHeight="1" thickBot="1">
      <c r="A34" s="91"/>
      <c r="B34" s="158" t="s">
        <v>1421</v>
      </c>
      <c r="C34" s="159"/>
      <c r="D34" s="159"/>
      <c r="E34" s="441">
        <f>+'Balance General'!E12</f>
        <v>4977928582</v>
      </c>
      <c r="F34" s="438">
        <v>1678084736</v>
      </c>
      <c r="G34" s="101"/>
    </row>
    <row r="35" spans="1:11" s="5" customFormat="1" ht="22.5" customHeight="1" thickBot="1">
      <c r="A35" s="91"/>
      <c r="B35" s="167" t="s">
        <v>1422</v>
      </c>
      <c r="C35" s="168"/>
      <c r="D35" s="168"/>
      <c r="E35" s="442">
        <f>+E33+E34</f>
        <v>5387885019</v>
      </c>
      <c r="F35" s="442">
        <f>+F33+F34</f>
        <v>4977928582.0999985</v>
      </c>
      <c r="G35" s="406">
        <f>+E35-'Balance General'!D12</f>
        <v>0</v>
      </c>
      <c r="H35" s="406">
        <f>+F35-'Balance General'!E12</f>
        <v>9.999847412109375E-2</v>
      </c>
    </row>
    <row r="36" spans="1:11" s="5" customFormat="1">
      <c r="A36" s="91"/>
      <c r="B36" s="1" t="str">
        <f>+'Balance General'!B41</f>
        <v>Las notas 1 a 11 que se acompañan forman parte integrante de los Estados Financieros</v>
      </c>
      <c r="C36" s="730"/>
      <c r="D36" s="165"/>
      <c r="E36" s="407"/>
      <c r="F36" s="407"/>
      <c r="G36" s="406"/>
      <c r="H36" s="406"/>
    </row>
    <row r="37" spans="1:11" s="5" customFormat="1">
      <c r="A37" s="91"/>
      <c r="B37" s="1"/>
      <c r="C37" s="1"/>
      <c r="D37" s="1"/>
      <c r="E37" s="1"/>
      <c r="F37" s="1"/>
      <c r="G37" s="7">
        <f>+G35/2</f>
        <v>0</v>
      </c>
      <c r="H37" s="7"/>
      <c r="I37" s="6"/>
    </row>
    <row r="38" spans="1:11">
      <c r="A38" s="91"/>
      <c r="E38" s="120"/>
      <c r="F38" s="1"/>
      <c r="G38" s="8"/>
      <c r="H38" s="8"/>
      <c r="I38" s="8"/>
    </row>
    <row r="39" spans="1:11">
      <c r="A39" s="91"/>
      <c r="B39" s="1"/>
      <c r="C39" s="1"/>
      <c r="D39" s="1"/>
      <c r="E39" s="121"/>
      <c r="F39" s="1"/>
      <c r="G39" s="1227">
        <f>+G35*2</f>
        <v>0</v>
      </c>
      <c r="H39" s="8"/>
      <c r="I39" s="8"/>
    </row>
    <row r="40" spans="1:11" ht="15.6" customHeight="1">
      <c r="A40" s="91"/>
      <c r="B40" s="1" t="s">
        <v>1291</v>
      </c>
      <c r="E40" s="83"/>
      <c r="F40" s="1"/>
      <c r="G40" s="5"/>
    </row>
    <row r="41" spans="1:11" ht="15.6" customHeight="1">
      <c r="A41" s="91"/>
      <c r="B41" s="1"/>
      <c r="E41" s="83"/>
      <c r="F41" s="1"/>
      <c r="G41" s="5"/>
    </row>
    <row r="42" spans="1:11" ht="15.6" customHeight="1">
      <c r="A42" s="91"/>
      <c r="B42" s="1"/>
      <c r="E42" s="83"/>
      <c r="F42" s="1"/>
      <c r="G42" s="5"/>
    </row>
    <row r="43" spans="1:11" ht="15.6" customHeight="1">
      <c r="A43" s="91"/>
      <c r="E43" s="1"/>
      <c r="F43" s="1"/>
      <c r="G43" s="5"/>
    </row>
    <row r="44" spans="1:11" ht="15.6" customHeight="1">
      <c r="A44" s="91"/>
      <c r="E44" s="1"/>
      <c r="F44" s="1"/>
      <c r="G44" s="5"/>
    </row>
    <row r="45" spans="1:11" ht="15.6" customHeight="1">
      <c r="A45" s="91"/>
      <c r="E45" s="1"/>
      <c r="F45" s="1"/>
      <c r="G45" s="5"/>
    </row>
    <row r="46" spans="1:11" ht="15.6" customHeight="1">
      <c r="A46" s="91"/>
      <c r="E46" s="1"/>
      <c r="F46" s="1"/>
      <c r="G46" s="5"/>
    </row>
    <row r="47" spans="1:11">
      <c r="A47" s="3"/>
      <c r="B47" s="49" t="s">
        <v>2819</v>
      </c>
      <c r="E47" s="1504" t="s">
        <v>1292</v>
      </c>
      <c r="F47" s="1504"/>
      <c r="H47" s="180"/>
      <c r="J47" s="217"/>
      <c r="K47" s="152"/>
    </row>
    <row r="48" spans="1:11">
      <c r="A48" s="91"/>
      <c r="B48" s="50" t="s">
        <v>1201</v>
      </c>
      <c r="E48" s="1477" t="s">
        <v>1293</v>
      </c>
      <c r="F48" s="1477"/>
      <c r="H48" s="180"/>
      <c r="J48" s="217"/>
      <c r="K48" s="152"/>
    </row>
    <row r="49" spans="1:7">
      <c r="A49" s="91"/>
    </row>
    <row r="50" spans="1:7">
      <c r="A50" s="91"/>
    </row>
    <row r="51" spans="1:7">
      <c r="A51" s="91"/>
    </row>
    <row r="52" spans="1:7">
      <c r="A52" s="91"/>
    </row>
    <row r="53" spans="1:7" s="184" customFormat="1">
      <c r="A53" s="1448"/>
    </row>
    <row r="54" spans="1:7" s="184" customFormat="1">
      <c r="G54" s="24"/>
    </row>
    <row r="55" spans="1:7" s="184" customFormat="1">
      <c r="G55" s="149"/>
    </row>
    <row r="56" spans="1:7">
      <c r="A56" s="91"/>
      <c r="B56" s="49" t="s">
        <v>1203</v>
      </c>
      <c r="C56" s="49"/>
      <c r="E56" s="1504" t="s">
        <v>1272</v>
      </c>
      <c r="F56" s="1504" t="s">
        <v>1272</v>
      </c>
    </row>
    <row r="57" spans="1:7">
      <c r="A57" s="91"/>
      <c r="B57" s="50" t="s">
        <v>1295</v>
      </c>
      <c r="C57" s="50"/>
      <c r="E57" s="1477" t="s">
        <v>1273</v>
      </c>
      <c r="F57" s="1477"/>
    </row>
    <row r="58" spans="1:7">
      <c r="A58" s="91"/>
    </row>
    <row r="59" spans="1:7">
      <c r="A59" s="91"/>
    </row>
    <row r="60" spans="1:7">
      <c r="A60" s="91"/>
    </row>
    <row r="61" spans="1:7">
      <c r="A61" s="91"/>
    </row>
    <row r="62" spans="1:7">
      <c r="A62" s="91"/>
    </row>
    <row r="63" spans="1:7">
      <c r="A63" s="91"/>
    </row>
    <row r="64" spans="1:7">
      <c r="A64" s="91"/>
    </row>
    <row r="65" spans="1:1">
      <c r="A65" s="91"/>
    </row>
    <row r="66" spans="1:1">
      <c r="A66" s="91"/>
    </row>
    <row r="67" spans="1:1">
      <c r="A67" s="91"/>
    </row>
    <row r="68" spans="1:1">
      <c r="A68" s="91"/>
    </row>
    <row r="69" spans="1:1">
      <c r="A69" s="91"/>
    </row>
    <row r="70" spans="1:1">
      <c r="A70" s="91"/>
    </row>
    <row r="71" spans="1:1">
      <c r="A71" s="91"/>
    </row>
    <row r="72" spans="1:1">
      <c r="A72" s="91"/>
    </row>
    <row r="73" spans="1:1">
      <c r="A73" s="91"/>
    </row>
    <row r="74" spans="1:1">
      <c r="A74" s="91"/>
    </row>
    <row r="75" spans="1:1">
      <c r="A75" s="91"/>
    </row>
    <row r="76" spans="1:1">
      <c r="A76" s="91"/>
    </row>
    <row r="77" spans="1:1">
      <c r="A77" s="91"/>
    </row>
    <row r="85" spans="1:1">
      <c r="A85" s="180"/>
    </row>
    <row r="86" spans="1:1">
      <c r="A86" s="180"/>
    </row>
  </sheetData>
  <mergeCells count="13">
    <mergeCell ref="E56:F56"/>
    <mergeCell ref="E57:F57"/>
    <mergeCell ref="B17:D17"/>
    <mergeCell ref="B20:D20"/>
    <mergeCell ref="B4:F4"/>
    <mergeCell ref="B5:F5"/>
    <mergeCell ref="B7:F7"/>
    <mergeCell ref="B10:D10"/>
    <mergeCell ref="B6:F6"/>
    <mergeCell ref="E47:F47"/>
    <mergeCell ref="E48:F48"/>
    <mergeCell ref="B25:D25"/>
    <mergeCell ref="B33:D33"/>
  </mergeCells>
  <hyperlinks>
    <hyperlink ref="G1" location="Índice!A1" display="Índice!A1" xr:uid="{B0CA5070-A6DA-4755-B3CE-0BD25605E94C}"/>
  </hyperlinks>
  <pageMargins left="0.7" right="0.7" top="0.75" bottom="0.75" header="0.3" footer="0.3"/>
  <pageSetup paperSize="9" scale="5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N66"/>
  <sheetViews>
    <sheetView showGridLines="0" zoomScale="70" zoomScaleNormal="70" zoomScaleSheetLayoutView="80" workbookViewId="0">
      <pane ySplit="11" topLeftCell="A12" activePane="bottomLeft" state="frozen"/>
      <selection pane="bottomLeft" activeCell="B6" sqref="B6:L6"/>
    </sheetView>
  </sheetViews>
  <sheetFormatPr baseColWidth="10" defaultColWidth="11.44140625" defaultRowHeight="15.6"/>
  <cols>
    <col min="1" max="1" width="2.88671875" style="5" customWidth="1"/>
    <col min="2" max="2" width="40" style="100" customWidth="1"/>
    <col min="3" max="11" width="20" style="5" customWidth="1"/>
    <col min="12" max="12" width="25.6640625" style="5" customWidth="1"/>
    <col min="13" max="13" width="22.21875" style="5" customWidth="1"/>
    <col min="14" max="16384" width="11.44140625" style="5"/>
  </cols>
  <sheetData>
    <row r="1" spans="2:13">
      <c r="K1" s="677" t="s">
        <v>1332</v>
      </c>
    </row>
    <row r="4" spans="2:13">
      <c r="B4" s="1522" t="s">
        <v>1173</v>
      </c>
      <c r="C4" s="1522"/>
      <c r="D4" s="1522"/>
      <c r="E4" s="1522"/>
      <c r="F4" s="1522"/>
      <c r="G4" s="1522"/>
      <c r="H4" s="1522"/>
      <c r="I4" s="1522"/>
    </row>
    <row r="5" spans="2:13" ht="17.399999999999999">
      <c r="B5" s="1499" t="s">
        <v>1423</v>
      </c>
      <c r="C5" s="1499"/>
      <c r="D5" s="1499"/>
      <c r="E5" s="1499"/>
      <c r="F5" s="1499"/>
      <c r="G5" s="1499"/>
      <c r="H5" s="1499"/>
      <c r="I5" s="1499"/>
    </row>
    <row r="6" spans="2:13" ht="15.75" customHeight="1">
      <c r="B6" s="1533" t="s">
        <v>3016</v>
      </c>
      <c r="C6" s="1533"/>
      <c r="D6" s="1533"/>
      <c r="E6" s="1533"/>
      <c r="F6" s="1533"/>
      <c r="G6" s="1533"/>
      <c r="H6" s="1533"/>
      <c r="I6" s="1533"/>
      <c r="J6" s="1533"/>
      <c r="K6" s="1533"/>
      <c r="L6" s="1533"/>
    </row>
    <row r="7" spans="2:13" ht="16.2">
      <c r="B7" s="1523" t="s">
        <v>1334</v>
      </c>
      <c r="C7" s="1523"/>
      <c r="D7" s="1523"/>
      <c r="E7" s="1523"/>
      <c r="F7" s="1523"/>
      <c r="G7" s="1523"/>
      <c r="H7" s="1523"/>
      <c r="I7" s="1523"/>
    </row>
    <row r="8" spans="2:13" s="1" customFormat="1" ht="7.5" customHeight="1" thickBot="1">
      <c r="B8" s="290"/>
      <c r="C8" s="290"/>
      <c r="D8" s="290"/>
      <c r="E8" s="290"/>
      <c r="F8" s="290"/>
      <c r="G8" s="290"/>
      <c r="H8" s="152"/>
      <c r="I8" s="152"/>
    </row>
    <row r="9" spans="2:13" ht="16.350000000000001" customHeight="1" thickBot="1">
      <c r="B9" s="1531" t="s">
        <v>1424</v>
      </c>
      <c r="C9" s="1524" t="s">
        <v>1425</v>
      </c>
      <c r="D9" s="1525"/>
      <c r="E9" s="1526"/>
      <c r="F9" s="468"/>
      <c r="G9" s="1524" t="s">
        <v>591</v>
      </c>
      <c r="H9" s="1525"/>
      <c r="I9" s="1526"/>
      <c r="J9" s="1524" t="s">
        <v>245</v>
      </c>
      <c r="K9" s="1526"/>
      <c r="L9" s="1519" t="s">
        <v>1426</v>
      </c>
    </row>
    <row r="10" spans="2:13" ht="15.75" customHeight="1">
      <c r="B10" s="1532"/>
      <c r="C10" s="1527" t="s">
        <v>1427</v>
      </c>
      <c r="D10" s="1527" t="s">
        <v>1428</v>
      </c>
      <c r="E10" s="1527" t="s">
        <v>1429</v>
      </c>
      <c r="F10" s="1529" t="s">
        <v>244</v>
      </c>
      <c r="G10" s="1527" t="s">
        <v>1430</v>
      </c>
      <c r="H10" s="1527" t="s">
        <v>1431</v>
      </c>
      <c r="I10" s="1527" t="s">
        <v>1432</v>
      </c>
      <c r="J10" s="1527" t="s">
        <v>1433</v>
      </c>
      <c r="K10" s="1527" t="s">
        <v>1434</v>
      </c>
      <c r="L10" s="1520"/>
    </row>
    <row r="11" spans="2:13" ht="16.2" thickBot="1">
      <c r="B11" s="1532"/>
      <c r="C11" s="1528"/>
      <c r="D11" s="1528"/>
      <c r="E11" s="1528"/>
      <c r="F11" s="1530"/>
      <c r="G11" s="1528"/>
      <c r="H11" s="1528"/>
      <c r="I11" s="1528"/>
      <c r="J11" s="1528"/>
      <c r="K11" s="1528"/>
      <c r="L11" s="1521"/>
    </row>
    <row r="12" spans="2:13" ht="27" customHeight="1" thickBot="1">
      <c r="B12" s="418" t="s">
        <v>1435</v>
      </c>
      <c r="C12" s="419">
        <v>0</v>
      </c>
      <c r="D12" s="419">
        <v>0</v>
      </c>
      <c r="E12" s="424">
        <v>54350000000</v>
      </c>
      <c r="F12" s="420">
        <v>740857678.39999998</v>
      </c>
      <c r="G12" s="421">
        <v>0</v>
      </c>
      <c r="H12" s="419">
        <v>0</v>
      </c>
      <c r="I12" s="422">
        <v>0</v>
      </c>
      <c r="J12" s="644">
        <v>-5941551458</v>
      </c>
      <c r="K12" s="644">
        <v>3169167210</v>
      </c>
      <c r="L12" s="420">
        <v>52318473429.999901</v>
      </c>
      <c r="M12" s="100"/>
    </row>
    <row r="13" spans="2:13" ht="22.5" customHeight="1" thickBot="1">
      <c r="B13" s="163" t="s">
        <v>1436</v>
      </c>
      <c r="C13" s="164"/>
      <c r="D13" s="164"/>
      <c r="E13" s="736"/>
      <c r="F13" s="235"/>
      <c r="G13" s="164"/>
      <c r="H13" s="164"/>
      <c r="I13" s="409"/>
      <c r="J13" s="195"/>
      <c r="K13" s="409"/>
      <c r="L13" s="731"/>
      <c r="M13" s="100"/>
    </row>
    <row r="14" spans="2:13" ht="27" customHeight="1">
      <c r="B14" s="410" t="s">
        <v>2605</v>
      </c>
      <c r="C14" s="157">
        <v>0</v>
      </c>
      <c r="D14" s="157">
        <v>0</v>
      </c>
      <c r="E14" s="164">
        <v>0</v>
      </c>
      <c r="F14" s="157">
        <v>0</v>
      </c>
      <c r="G14" s="157">
        <v>0</v>
      </c>
      <c r="H14" s="157">
        <v>0</v>
      </c>
      <c r="I14" s="413">
        <v>0</v>
      </c>
      <c r="J14" s="742">
        <f>Composición!G924-J11</f>
        <v>0</v>
      </c>
      <c r="K14" s="741">
        <f>-K11</f>
        <v>0</v>
      </c>
      <c r="L14" s="157">
        <v>0</v>
      </c>
      <c r="M14" s="100"/>
    </row>
    <row r="15" spans="2:13" ht="27" customHeight="1">
      <c r="B15" s="158" t="s">
        <v>1437</v>
      </c>
      <c r="C15" s="164">
        <v>0</v>
      </c>
      <c r="D15" s="164">
        <v>0</v>
      </c>
      <c r="E15" s="164">
        <v>0</v>
      </c>
      <c r="F15" s="164">
        <v>0</v>
      </c>
      <c r="G15" s="164">
        <v>0</v>
      </c>
      <c r="H15" s="164">
        <v>0</v>
      </c>
      <c r="I15" s="409">
        <v>0</v>
      </c>
      <c r="J15" s="679">
        <f>+K12</f>
        <v>3169167210</v>
      </c>
      <c r="K15" s="679">
        <f>-J15</f>
        <v>-3169167210</v>
      </c>
      <c r="L15" s="679">
        <f>SUM(C15:K15)+0.1</f>
        <v>0.1</v>
      </c>
      <c r="M15" s="100"/>
    </row>
    <row r="16" spans="2:13" ht="27" customHeight="1">
      <c r="B16" s="158" t="s">
        <v>2603</v>
      </c>
      <c r="C16" s="164">
        <v>0</v>
      </c>
      <c r="D16" s="164">
        <v>0</v>
      </c>
      <c r="E16" s="164">
        <v>0</v>
      </c>
      <c r="F16" s="164">
        <v>0</v>
      </c>
      <c r="G16" s="1087">
        <f>+Composición!G915</f>
        <v>158458361</v>
      </c>
      <c r="H16" s="164">
        <v>0</v>
      </c>
      <c r="I16" s="409">
        <v>0</v>
      </c>
      <c r="J16" s="679">
        <f>-G16</f>
        <v>-158458361</v>
      </c>
      <c r="K16" s="680">
        <f>SUM(C16:J16)</f>
        <v>0</v>
      </c>
      <c r="L16" s="679">
        <f>SUM(C16:K16)+0.1</f>
        <v>0.1</v>
      </c>
      <c r="M16" s="100"/>
    </row>
    <row r="17" spans="2:13" ht="27" customHeight="1">
      <c r="B17" s="158" t="s">
        <v>2604</v>
      </c>
      <c r="C17" s="164">
        <v>0</v>
      </c>
      <c r="D17" s="164">
        <v>0</v>
      </c>
      <c r="E17" s="164">
        <v>0</v>
      </c>
      <c r="F17" s="164">
        <f>+Composición!G908-Composición!J908</f>
        <v>0</v>
      </c>
      <c r="G17" s="164">
        <v>0</v>
      </c>
      <c r="H17" s="164">
        <v>0</v>
      </c>
      <c r="I17" s="409">
        <v>0</v>
      </c>
      <c r="J17" s="1455">
        <v>0.4</v>
      </c>
      <c r="K17" s="680">
        <v>0</v>
      </c>
      <c r="L17" s="679">
        <f>SUM(C17:K17)</f>
        <v>0.4</v>
      </c>
      <c r="M17" s="100"/>
    </row>
    <row r="18" spans="2:13" ht="27" customHeight="1">
      <c r="B18" s="158" t="s">
        <v>1330</v>
      </c>
      <c r="C18" s="164">
        <v>0</v>
      </c>
      <c r="D18" s="164">
        <v>0</v>
      </c>
      <c r="E18" s="164">
        <v>0</v>
      </c>
      <c r="F18" s="164">
        <v>0</v>
      </c>
      <c r="G18" s="164">
        <v>0</v>
      </c>
      <c r="H18" s="164">
        <v>0</v>
      </c>
      <c r="I18" s="409">
        <v>0</v>
      </c>
      <c r="J18" s="235">
        <v>0</v>
      </c>
      <c r="K18" s="679">
        <f>+Composición!G926</f>
        <v>17464898424</v>
      </c>
      <c r="L18" s="679">
        <f>SUM(C18:K18)</f>
        <v>17464898424</v>
      </c>
      <c r="M18" s="100"/>
    </row>
    <row r="19" spans="2:13" ht="27" customHeight="1" thickBot="1">
      <c r="B19" s="414" t="s">
        <v>2606</v>
      </c>
      <c r="C19" s="415">
        <v>0</v>
      </c>
      <c r="D19" s="415">
        <v>0</v>
      </c>
      <c r="E19" s="415">
        <v>0</v>
      </c>
      <c r="F19" s="415">
        <v>0</v>
      </c>
      <c r="G19" s="415">
        <v>0</v>
      </c>
      <c r="H19" s="415">
        <v>0</v>
      </c>
      <c r="I19" s="416">
        <v>0</v>
      </c>
      <c r="J19" s="417">
        <v>0</v>
      </c>
      <c r="K19" s="416">
        <v>0</v>
      </c>
      <c r="L19" s="935">
        <f>SUM(C19:K19)</f>
        <v>0</v>
      </c>
      <c r="M19" s="100"/>
    </row>
    <row r="20" spans="2:13" ht="27" customHeight="1" thickBot="1">
      <c r="B20" s="423" t="s">
        <v>3012</v>
      </c>
      <c r="C20" s="411">
        <f t="shared" ref="C20:I20" si="0">SUM(C12:C19)</f>
        <v>0</v>
      </c>
      <c r="D20" s="411">
        <f t="shared" si="0"/>
        <v>0</v>
      </c>
      <c r="E20" s="411">
        <f>SUM(E12:E19)</f>
        <v>54350000000</v>
      </c>
      <c r="F20" s="411">
        <f>SUM(F12:F19)</f>
        <v>740857678.39999998</v>
      </c>
      <c r="G20" s="411">
        <f>SUM(G12:G19)</f>
        <v>158458361</v>
      </c>
      <c r="H20" s="411">
        <f t="shared" si="0"/>
        <v>0</v>
      </c>
      <c r="I20" s="411">
        <f t="shared" si="0"/>
        <v>0</v>
      </c>
      <c r="J20" s="644">
        <f>SUM(J12:J19)</f>
        <v>-2930842608.5999999</v>
      </c>
      <c r="K20" s="644">
        <f>SUM(K12:K19)</f>
        <v>17464898424</v>
      </c>
      <c r="L20" s="424">
        <f>SUM(L12:L19)</f>
        <v>69783371854.599899</v>
      </c>
      <c r="M20" s="433">
        <f>+L20-'Balance General'!$H$37</f>
        <v>-0.4001007080078125</v>
      </c>
    </row>
    <row r="21" spans="2:13" ht="27" customHeight="1" thickBot="1">
      <c r="B21" s="423" t="s">
        <v>1438</v>
      </c>
      <c r="C21" s="411">
        <v>0</v>
      </c>
      <c r="D21" s="411">
        <v>0</v>
      </c>
      <c r="E21" s="411">
        <f>+E12</f>
        <v>54350000000</v>
      </c>
      <c r="F21" s="411">
        <f t="shared" ref="F21:L21" si="1">+F12</f>
        <v>740857678.39999998</v>
      </c>
      <c r="G21" s="411">
        <f t="shared" si="1"/>
        <v>0</v>
      </c>
      <c r="H21" s="411">
        <f t="shared" si="1"/>
        <v>0</v>
      </c>
      <c r="I21" s="411">
        <f t="shared" si="1"/>
        <v>0</v>
      </c>
      <c r="J21" s="644">
        <f t="shared" si="1"/>
        <v>-5941551458</v>
      </c>
      <c r="K21" s="644">
        <f t="shared" si="1"/>
        <v>3169167210</v>
      </c>
      <c r="L21" s="411">
        <f t="shared" si="1"/>
        <v>52318473429.999901</v>
      </c>
      <c r="M21" s="433">
        <f>+L21-'Balance General'!$I$37</f>
        <v>-9.918212890625E-5</v>
      </c>
    </row>
    <row r="22" spans="2:13">
      <c r="B22" s="470" t="str">
        <f>+'Balance General'!B41</f>
        <v>Las notas 1 a 11 que se acompañan forman parte integrante de los Estados Financieros</v>
      </c>
      <c r="C22" s="470"/>
      <c r="D22" s="470"/>
      <c r="E22" s="1090">
        <f>+E20-Composición!G894</f>
        <v>0</v>
      </c>
      <c r="F22" s="1090">
        <f>+F20-Composición!G908</f>
        <v>0.39999997615814209</v>
      </c>
      <c r="G22" s="1090">
        <f>+G20-Composición!G915</f>
        <v>0</v>
      </c>
      <c r="H22" s="6"/>
      <c r="I22" s="6"/>
      <c r="J22" s="1456">
        <f>+J20-Composición!G925</f>
        <v>-0.59999990463256836</v>
      </c>
      <c r="K22" s="7">
        <f>+K20-Composición!G926</f>
        <v>0</v>
      </c>
      <c r="L22" s="1089"/>
      <c r="M22" s="6"/>
    </row>
    <row r="23" spans="2:13">
      <c r="B23" s="5"/>
      <c r="D23" s="101"/>
      <c r="E23" s="470"/>
      <c r="F23" s="470"/>
      <c r="G23" s="470"/>
      <c r="H23" s="470"/>
      <c r="I23" s="470"/>
      <c r="J23" s="470"/>
      <c r="K23" s="470"/>
      <c r="L23" s="1454"/>
      <c r="M23" s="101"/>
    </row>
    <row r="24" spans="2:13">
      <c r="D24" s="101"/>
      <c r="E24" s="470"/>
      <c r="F24" s="470"/>
      <c r="G24" s="470"/>
      <c r="H24" s="470"/>
      <c r="I24" s="470"/>
      <c r="J24" s="470"/>
      <c r="K24" s="470"/>
      <c r="L24" s="1454"/>
      <c r="M24" s="101"/>
    </row>
    <row r="25" spans="2:13" s="13" customFormat="1">
      <c r="B25" s="470" t="s">
        <v>1291</v>
      </c>
      <c r="C25" s="470"/>
      <c r="D25" s="101"/>
      <c r="E25" s="470"/>
      <c r="F25" s="470"/>
      <c r="G25" s="470"/>
      <c r="H25" s="470"/>
      <c r="I25" s="470"/>
      <c r="J25" s="1039"/>
      <c r="K25" s="1039"/>
      <c r="L25" s="1039"/>
      <c r="M25" s="1057"/>
    </row>
    <row r="26" spans="2:13">
      <c r="C26" s="285"/>
      <c r="E26" s="286"/>
      <c r="K26" s="116"/>
    </row>
    <row r="27" spans="2:13">
      <c r="C27" s="287"/>
      <c r="K27" s="116"/>
    </row>
    <row r="28" spans="2:13">
      <c r="C28" s="287"/>
      <c r="K28" s="116"/>
    </row>
    <row r="29" spans="2:13">
      <c r="C29" s="287"/>
      <c r="K29" s="116"/>
    </row>
    <row r="30" spans="2:13">
      <c r="G30" s="268"/>
    </row>
    <row r="31" spans="2:13">
      <c r="C31" s="1535" t="s">
        <v>2819</v>
      </c>
      <c r="D31" s="1535"/>
      <c r="E31" s="288"/>
      <c r="J31" s="1504" t="s">
        <v>1292</v>
      </c>
      <c r="K31" s="1504"/>
    </row>
    <row r="32" spans="2:13" s="269" customFormat="1">
      <c r="C32" s="1536" t="s">
        <v>1201</v>
      </c>
      <c r="D32" s="1536"/>
      <c r="E32" s="289"/>
      <c r="J32" s="1477" t="s">
        <v>1293</v>
      </c>
      <c r="K32" s="1477"/>
      <c r="L32" s="5"/>
    </row>
    <row r="33" spans="1:14">
      <c r="G33" s="58"/>
    </row>
    <row r="36" spans="1:14" s="1" customFormat="1">
      <c r="A36" s="57"/>
      <c r="B36" s="57"/>
      <c r="C36" s="184"/>
      <c r="D36" s="184"/>
      <c r="E36" s="184"/>
      <c r="F36" s="184"/>
      <c r="G36" s="184"/>
      <c r="H36" s="94"/>
      <c r="N36" s="57"/>
    </row>
    <row r="37" spans="1:14" s="1" customFormat="1">
      <c r="A37" s="57"/>
      <c r="B37" s="57"/>
      <c r="C37" s="184"/>
      <c r="D37" s="184"/>
      <c r="E37" s="184"/>
      <c r="F37" s="184"/>
      <c r="G37" s="184"/>
      <c r="H37" s="94"/>
      <c r="N37" s="57"/>
    </row>
    <row r="38" spans="1:14" s="1" customFormat="1">
      <c r="A38" s="57"/>
      <c r="B38" s="57"/>
      <c r="C38" s="184"/>
      <c r="D38" s="184"/>
      <c r="E38" s="184"/>
      <c r="F38" s="184"/>
      <c r="G38" s="184"/>
      <c r="H38" s="94"/>
      <c r="N38" s="57"/>
    </row>
    <row r="39" spans="1:14" s="1" customFormat="1">
      <c r="A39" s="57"/>
      <c r="B39" s="57"/>
      <c r="C39" s="184"/>
      <c r="D39" s="184"/>
      <c r="E39" s="184"/>
      <c r="F39" s="184"/>
      <c r="G39" s="184"/>
      <c r="H39" s="94"/>
      <c r="N39" s="57"/>
    </row>
    <row r="40" spans="1:14" s="184" customFormat="1">
      <c r="C40" s="1535" t="s">
        <v>1203</v>
      </c>
      <c r="D40" s="1535"/>
      <c r="G40" s="24"/>
      <c r="J40" s="1504" t="s">
        <v>1272</v>
      </c>
      <c r="K40" s="1504" t="s">
        <v>1272</v>
      </c>
    </row>
    <row r="41" spans="1:14" s="184" customFormat="1">
      <c r="C41" s="1536" t="s">
        <v>1295</v>
      </c>
      <c r="D41" s="1536"/>
      <c r="G41" s="149"/>
      <c r="J41" s="1477" t="s">
        <v>1273</v>
      </c>
      <c r="K41" s="1477"/>
    </row>
    <row r="42" spans="1:14" s="184" customFormat="1">
      <c r="A42" s="1448"/>
    </row>
    <row r="43" spans="1:14" ht="15" customHeight="1"/>
    <row r="45" spans="1:14">
      <c r="C45" s="1479"/>
      <c r="D45" s="1479"/>
      <c r="J45" s="1505"/>
      <c r="K45" s="1505"/>
    </row>
    <row r="46" spans="1:14">
      <c r="C46" s="1534"/>
      <c r="D46" s="1534"/>
      <c r="J46" s="1506"/>
      <c r="K46" s="1506"/>
    </row>
    <row r="66" spans="4:4">
      <c r="D66" s="5">
        <v>0</v>
      </c>
    </row>
  </sheetData>
  <mergeCells count="30">
    <mergeCell ref="J10:J11"/>
    <mergeCell ref="C45:D45"/>
    <mergeCell ref="C46:D46"/>
    <mergeCell ref="J45:K45"/>
    <mergeCell ref="J46:K46"/>
    <mergeCell ref="J31:K31"/>
    <mergeCell ref="J32:K32"/>
    <mergeCell ref="C31:D31"/>
    <mergeCell ref="C32:D32"/>
    <mergeCell ref="K10:K11"/>
    <mergeCell ref="J40:K40"/>
    <mergeCell ref="J41:K41"/>
    <mergeCell ref="C40:D40"/>
    <mergeCell ref="C41:D41"/>
    <mergeCell ref="L9:L11"/>
    <mergeCell ref="B4:I4"/>
    <mergeCell ref="B5:I5"/>
    <mergeCell ref="B7:I7"/>
    <mergeCell ref="C9:E9"/>
    <mergeCell ref="D10:D11"/>
    <mergeCell ref="F10:F11"/>
    <mergeCell ref="G10:G11"/>
    <mergeCell ref="B9:B11"/>
    <mergeCell ref="C10:C11"/>
    <mergeCell ref="E10:E11"/>
    <mergeCell ref="H10:H11"/>
    <mergeCell ref="I10:I11"/>
    <mergeCell ref="B6:L6"/>
    <mergeCell ref="J9:K9"/>
    <mergeCell ref="G9:I9"/>
  </mergeCells>
  <hyperlinks>
    <hyperlink ref="K1" location="Índice!A1" display="Índice!A1" xr:uid="{2C2B9F85-72C8-41E2-9794-5F92ADF036E0}"/>
  </hyperlinks>
  <pageMargins left="0.75" right="0.75" top="1" bottom="1" header="0.5" footer="0.5"/>
  <pageSetup scale="47"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A1295"/>
  <sheetViews>
    <sheetView showGridLines="0" zoomScale="80" zoomScaleNormal="80" zoomScaleSheetLayoutView="90" workbookViewId="0">
      <pane ySplit="7" topLeftCell="A8" activePane="bottomLeft" state="frozen"/>
      <selection pane="bottomLeft" activeCell="C4" sqref="C4:L4"/>
    </sheetView>
  </sheetViews>
  <sheetFormatPr baseColWidth="10" defaultColWidth="11.44140625" defaultRowHeight="15.6"/>
  <cols>
    <col min="1" max="1" width="2.5546875" style="57" customWidth="1"/>
    <col min="2" max="2" width="3.21875" style="57" customWidth="1"/>
    <col min="3" max="3" width="60.77734375" style="1" customWidth="1"/>
    <col min="4" max="4" width="26.88671875" style="1" customWidth="1"/>
    <col min="5" max="5" width="24" style="1" customWidth="1"/>
    <col min="6" max="6" width="16.88671875" style="1" customWidth="1"/>
    <col min="7" max="7" width="20.77734375" style="1" customWidth="1"/>
    <col min="8" max="8" width="17.21875" style="1" bestFit="1" customWidth="1"/>
    <col min="9" max="9" width="20.77734375" style="1" customWidth="1"/>
    <col min="10" max="10" width="15.6640625" style="1" customWidth="1"/>
    <col min="11" max="13" width="21.109375" style="1" customWidth="1"/>
    <col min="14" max="14" width="11.44140625" style="57"/>
    <col min="15" max="15" width="17" style="1" customWidth="1"/>
    <col min="16" max="16384" width="11.44140625" style="1"/>
  </cols>
  <sheetData>
    <row r="1" spans="1:13">
      <c r="K1" s="677"/>
    </row>
    <row r="4" spans="1:13">
      <c r="C4" s="1506" t="s">
        <v>1173</v>
      </c>
      <c r="D4" s="1506"/>
      <c r="E4" s="1506"/>
      <c r="F4" s="1506"/>
      <c r="G4" s="1506"/>
      <c r="H4" s="1506"/>
      <c r="I4" s="1506"/>
      <c r="J4" s="1506"/>
      <c r="K4" s="1506"/>
      <c r="L4" s="1506"/>
    </row>
    <row r="5" spans="1:13" ht="17.399999999999999">
      <c r="C5" s="1474" t="s">
        <v>2828</v>
      </c>
      <c r="D5" s="1474"/>
      <c r="E5" s="1474"/>
      <c r="F5" s="1474"/>
      <c r="G5" s="1474"/>
      <c r="H5" s="1474"/>
      <c r="I5" s="1474"/>
      <c r="J5" s="1474"/>
      <c r="K5" s="1474"/>
      <c r="L5" s="1474"/>
    </row>
    <row r="6" spans="1:13" ht="17.399999999999999" customHeight="1">
      <c r="C6" s="1506" t="s">
        <v>2974</v>
      </c>
      <c r="D6" s="1506"/>
      <c r="E6" s="1506"/>
      <c r="F6" s="1506"/>
      <c r="G6" s="1506"/>
      <c r="H6" s="1506"/>
      <c r="I6" s="1506"/>
      <c r="J6" s="1506"/>
      <c r="K6" s="1506"/>
      <c r="L6" s="1506"/>
    </row>
    <row r="7" spans="1:13" ht="7.5" customHeight="1"/>
    <row r="8" spans="1:13">
      <c r="C8" s="10" t="s">
        <v>1170</v>
      </c>
    </row>
    <row r="9" spans="1:13">
      <c r="C9" s="10"/>
    </row>
    <row r="10" spans="1:13" s="180" customFormat="1">
      <c r="A10" s="57"/>
      <c r="B10" s="1406" t="s">
        <v>2820</v>
      </c>
      <c r="C10" s="146" t="s">
        <v>1171</v>
      </c>
      <c r="D10" s="1"/>
      <c r="E10" s="1"/>
      <c r="F10" s="1"/>
      <c r="G10" s="1"/>
      <c r="H10" s="1"/>
      <c r="I10" s="1"/>
      <c r="J10" s="1"/>
      <c r="M10" s="217"/>
    </row>
    <row r="11" spans="1:13" s="180" customFormat="1" ht="16.2" thickBot="1">
      <c r="A11" s="57"/>
      <c r="B11" s="1406"/>
      <c r="C11" s="245"/>
      <c r="D11" s="1"/>
      <c r="E11" s="1"/>
      <c r="F11" s="1"/>
      <c r="G11" s="1"/>
      <c r="H11" s="1"/>
      <c r="I11" s="1"/>
      <c r="J11" s="1"/>
      <c r="M11" s="217"/>
    </row>
    <row r="12" spans="1:13" s="180" customFormat="1" ht="16.2" thickBot="1">
      <c r="A12" s="1318"/>
      <c r="B12" s="1406"/>
      <c r="C12" s="239" t="s">
        <v>1172</v>
      </c>
      <c r="D12" s="293"/>
      <c r="E12" s="294" t="s">
        <v>1173</v>
      </c>
      <c r="F12" s="294"/>
      <c r="G12" s="294"/>
      <c r="H12" s="294"/>
      <c r="I12" s="294"/>
      <c r="J12" s="295"/>
      <c r="M12" s="217"/>
    </row>
    <row r="13" spans="1:13" s="180" customFormat="1" ht="16.2" thickBot="1">
      <c r="A13" s="1318"/>
      <c r="B13" s="1406"/>
      <c r="C13" s="619" t="s">
        <v>1174</v>
      </c>
      <c r="D13" s="297"/>
      <c r="E13" s="1" t="s">
        <v>1175</v>
      </c>
      <c r="F13" s="1"/>
      <c r="G13" s="1"/>
      <c r="H13" s="1"/>
      <c r="I13" s="1"/>
      <c r="J13" s="123"/>
      <c r="M13" s="217"/>
    </row>
    <row r="14" spans="1:13" s="180" customFormat="1" ht="16.2" thickBot="1">
      <c r="A14" s="1319"/>
      <c r="B14" s="1406"/>
      <c r="C14" s="239" t="s">
        <v>1176</v>
      </c>
      <c r="D14" s="293"/>
      <c r="E14" s="294" t="s">
        <v>1177</v>
      </c>
      <c r="F14" s="294"/>
      <c r="G14" s="294"/>
      <c r="H14" s="294"/>
      <c r="I14" s="294"/>
      <c r="J14" s="295"/>
      <c r="M14" s="217"/>
    </row>
    <row r="15" spans="1:13" s="180" customFormat="1" ht="16.2" thickBot="1">
      <c r="A15" s="1319"/>
      <c r="B15" s="1406"/>
      <c r="C15" s="239" t="s">
        <v>1178</v>
      </c>
      <c r="D15" s="293"/>
      <c r="E15" s="294" t="s">
        <v>1179</v>
      </c>
      <c r="F15" s="294"/>
      <c r="G15" s="294"/>
      <c r="H15" s="294"/>
      <c r="I15" s="294"/>
      <c r="J15" s="295"/>
      <c r="M15" s="217"/>
    </row>
    <row r="16" spans="1:13" s="180" customFormat="1" ht="16.2" thickBot="1">
      <c r="A16" s="1319"/>
      <c r="B16" s="1406"/>
      <c r="C16" s="619" t="s">
        <v>1180</v>
      </c>
      <c r="D16" s="297"/>
      <c r="E16" s="1" t="s">
        <v>1181</v>
      </c>
      <c r="F16" s="1"/>
      <c r="G16" s="1"/>
      <c r="H16" s="1"/>
      <c r="I16" s="1"/>
      <c r="J16" s="123"/>
      <c r="M16" s="217"/>
    </row>
    <row r="17" spans="1:13" s="180" customFormat="1" ht="16.2" thickBot="1">
      <c r="A17" s="1319"/>
      <c r="B17" s="1406"/>
      <c r="C17" s="239" t="s">
        <v>1182</v>
      </c>
      <c r="D17" s="293"/>
      <c r="E17" s="1414" t="s">
        <v>1183</v>
      </c>
      <c r="F17" s="294"/>
      <c r="G17" s="294"/>
      <c r="H17" s="294"/>
      <c r="I17" s="294"/>
      <c r="J17" s="295"/>
      <c r="M17" s="217"/>
    </row>
    <row r="18" spans="1:13" s="180" customFormat="1" ht="16.2" thickBot="1">
      <c r="A18" s="1319"/>
      <c r="B18" s="1406"/>
      <c r="C18" s="239" t="s">
        <v>1184</v>
      </c>
      <c r="D18" s="293"/>
      <c r="E18" s="1414" t="s">
        <v>1185</v>
      </c>
      <c r="F18" s="294"/>
      <c r="G18" s="294"/>
      <c r="H18" s="294"/>
      <c r="I18" s="294"/>
      <c r="J18" s="295"/>
      <c r="M18" s="217"/>
    </row>
    <row r="19" spans="1:13" s="180" customFormat="1" ht="16.2" thickBot="1">
      <c r="A19" s="1319"/>
      <c r="B19" s="1406"/>
      <c r="C19" s="538" t="s">
        <v>1186</v>
      </c>
      <c r="D19" s="298"/>
      <c r="E19" s="299" t="s">
        <v>1179</v>
      </c>
      <c r="F19" s="299"/>
      <c r="G19" s="299"/>
      <c r="H19" s="299"/>
      <c r="I19" s="299"/>
      <c r="J19" s="300"/>
      <c r="M19" s="217"/>
    </row>
    <row r="20" spans="1:13" s="180" customFormat="1">
      <c r="A20" s="1319"/>
      <c r="B20" s="1406"/>
      <c r="C20" s="245"/>
      <c r="D20" s="1"/>
      <c r="E20" s="1"/>
      <c r="F20" s="1"/>
      <c r="G20" s="1"/>
      <c r="H20" s="1"/>
      <c r="I20" s="1"/>
      <c r="J20" s="1"/>
      <c r="M20" s="217"/>
    </row>
    <row r="21" spans="1:13" s="180" customFormat="1">
      <c r="A21" s="1319"/>
      <c r="B21" s="1406"/>
      <c r="C21" s="245"/>
      <c r="D21" s="1"/>
      <c r="E21" s="1"/>
      <c r="F21" s="1"/>
      <c r="G21" s="1"/>
      <c r="H21" s="1"/>
      <c r="I21" s="1"/>
      <c r="J21" s="1"/>
      <c r="M21" s="217"/>
    </row>
    <row r="22" spans="1:13" s="180" customFormat="1">
      <c r="A22" s="1319"/>
      <c r="B22" s="1406" t="s">
        <v>2821</v>
      </c>
      <c r="C22" s="146" t="s">
        <v>1187</v>
      </c>
      <c r="D22" s="1"/>
      <c r="E22" s="1"/>
      <c r="F22" s="1"/>
      <c r="G22" s="1"/>
      <c r="H22" s="1"/>
      <c r="I22" s="1"/>
      <c r="J22" s="1"/>
      <c r="M22" s="217"/>
    </row>
    <row r="23" spans="1:13" s="180" customFormat="1" ht="16.2" thickBot="1">
      <c r="A23" s="1319"/>
      <c r="B23" s="1406"/>
      <c r="C23" s="245"/>
      <c r="D23" s="1"/>
      <c r="E23" s="1"/>
      <c r="F23" s="1"/>
      <c r="G23" s="1"/>
      <c r="H23" s="1"/>
      <c r="I23" s="1"/>
      <c r="J23" s="1"/>
      <c r="M23" s="217"/>
    </row>
    <row r="24" spans="1:13" s="180" customFormat="1" ht="16.2" thickBot="1">
      <c r="A24" s="1319"/>
      <c r="B24" s="1406"/>
      <c r="C24" s="239" t="s">
        <v>1188</v>
      </c>
      <c r="D24" s="293"/>
      <c r="E24" s="294" t="s">
        <v>1189</v>
      </c>
      <c r="F24" s="294"/>
      <c r="G24" s="294"/>
      <c r="H24" s="294"/>
      <c r="I24" s="294"/>
      <c r="J24" s="295"/>
      <c r="M24" s="217"/>
    </row>
    <row r="25" spans="1:13" s="180" customFormat="1" ht="16.2" thickBot="1">
      <c r="A25" s="1319"/>
      <c r="B25" s="1317"/>
      <c r="C25" s="239" t="s">
        <v>1190</v>
      </c>
      <c r="D25" s="293"/>
      <c r="E25" s="294" t="s">
        <v>1191</v>
      </c>
      <c r="F25" s="294"/>
      <c r="G25" s="294"/>
      <c r="H25" s="294"/>
      <c r="I25" s="294"/>
      <c r="J25" s="295"/>
      <c r="M25" s="217"/>
    </row>
    <row r="26" spans="1:13" s="180" customFormat="1" ht="16.2" thickBot="1">
      <c r="A26" s="1319"/>
      <c r="B26" s="1317"/>
      <c r="C26" s="239" t="s">
        <v>1192</v>
      </c>
      <c r="D26" s="293"/>
      <c r="E26" s="294" t="s">
        <v>1193</v>
      </c>
      <c r="F26" s="294"/>
      <c r="G26" s="294"/>
      <c r="H26" s="294"/>
      <c r="I26" s="294"/>
      <c r="J26" s="295"/>
      <c r="M26" s="217"/>
    </row>
    <row r="27" spans="1:13" s="180" customFormat="1" ht="16.2" thickBot="1">
      <c r="A27" s="1319"/>
      <c r="B27" s="1317"/>
      <c r="C27" s="239" t="s">
        <v>1188</v>
      </c>
      <c r="D27" s="293"/>
      <c r="E27" s="294" t="s">
        <v>1194</v>
      </c>
      <c r="F27" s="294"/>
      <c r="G27" s="294"/>
      <c r="H27" s="294"/>
      <c r="I27" s="294"/>
      <c r="J27" s="295"/>
      <c r="M27" s="217"/>
    </row>
    <row r="28" spans="1:13" s="180" customFormat="1" ht="16.2" thickBot="1">
      <c r="A28" s="1319"/>
      <c r="B28" s="1317"/>
      <c r="C28" s="239" t="s">
        <v>1190</v>
      </c>
      <c r="D28" s="293"/>
      <c r="E28" s="294" t="s">
        <v>1195</v>
      </c>
      <c r="F28" s="294"/>
      <c r="G28" s="294"/>
      <c r="H28" s="294"/>
      <c r="I28" s="294"/>
      <c r="J28" s="295"/>
      <c r="M28" s="217"/>
    </row>
    <row r="29" spans="1:13" s="180" customFormat="1">
      <c r="A29" s="1319"/>
      <c r="B29" s="1317"/>
      <c r="M29" s="217"/>
    </row>
    <row r="30" spans="1:13" s="180" customFormat="1">
      <c r="A30" s="1319"/>
      <c r="B30" s="1317"/>
      <c r="M30" s="217"/>
    </row>
    <row r="31" spans="1:13" s="180" customFormat="1">
      <c r="A31" s="1319"/>
      <c r="B31" s="1406" t="s">
        <v>2822</v>
      </c>
      <c r="C31" s="260" t="s">
        <v>1196</v>
      </c>
      <c r="M31" s="217"/>
    </row>
    <row r="32" spans="1:13" s="180" customFormat="1">
      <c r="A32" s="1319"/>
      <c r="B32" s="1317"/>
      <c r="M32" s="217"/>
    </row>
    <row r="33" spans="1:13" s="180" customFormat="1">
      <c r="A33" s="1319"/>
      <c r="B33" s="1317"/>
      <c r="C33" s="301" t="s">
        <v>1197</v>
      </c>
      <c r="D33" s="1572" t="s">
        <v>1198</v>
      </c>
      <c r="E33" s="1572"/>
      <c r="F33" s="1572"/>
      <c r="G33" s="1572"/>
      <c r="M33" s="217"/>
    </row>
    <row r="34" spans="1:13" s="180" customFormat="1">
      <c r="A34" s="1319"/>
      <c r="B34" s="1317"/>
      <c r="C34" s="302" t="s">
        <v>1199</v>
      </c>
      <c r="D34" s="617" t="s">
        <v>2819</v>
      </c>
      <c r="E34" s="618"/>
      <c r="F34" s="304"/>
      <c r="G34" s="305"/>
      <c r="M34" s="217"/>
    </row>
    <row r="35" spans="1:13" s="180" customFormat="1">
      <c r="A35" s="1319"/>
      <c r="B35" s="1317"/>
      <c r="C35" s="306" t="s">
        <v>1200</v>
      </c>
      <c r="D35" s="307"/>
      <c r="E35" s="308"/>
      <c r="F35" s="308"/>
      <c r="G35" s="309"/>
      <c r="M35" s="217"/>
    </row>
    <row r="36" spans="1:13" s="180" customFormat="1">
      <c r="A36" s="1319"/>
      <c r="B36" s="1317"/>
      <c r="C36" s="717" t="s">
        <v>1201</v>
      </c>
      <c r="D36" s="303" t="s">
        <v>2819</v>
      </c>
      <c r="E36" s="303"/>
      <c r="F36" s="304"/>
      <c r="G36" s="305"/>
      <c r="M36" s="217"/>
    </row>
    <row r="37" spans="1:13" s="180" customFormat="1">
      <c r="A37" s="1318"/>
      <c r="B37" s="1317"/>
      <c r="C37" s="719" t="s">
        <v>1202</v>
      </c>
      <c r="D37" s="724" t="s">
        <v>1203</v>
      </c>
      <c r="E37" s="303"/>
      <c r="F37" s="304"/>
      <c r="G37" s="305"/>
      <c r="M37" s="217"/>
    </row>
    <row r="38" spans="1:13" s="180" customFormat="1">
      <c r="A38" s="1318"/>
      <c r="B38" s="1317"/>
      <c r="C38" s="720"/>
      <c r="D38" s="725" t="s">
        <v>1204</v>
      </c>
      <c r="E38" s="261"/>
      <c r="G38" s="718"/>
      <c r="M38" s="217"/>
    </row>
    <row r="39" spans="1:13" s="180" customFormat="1">
      <c r="A39" s="1318"/>
      <c r="B39" s="1317"/>
      <c r="C39" s="720"/>
      <c r="D39" s="725" t="s">
        <v>1205</v>
      </c>
      <c r="E39" s="261"/>
      <c r="G39" s="718"/>
      <c r="M39" s="217"/>
    </row>
    <row r="40" spans="1:13" s="180" customFormat="1">
      <c r="A40" s="1318"/>
      <c r="B40" s="1317"/>
      <c r="C40" s="721"/>
      <c r="D40" s="725" t="s">
        <v>1206</v>
      </c>
      <c r="E40" s="722"/>
      <c r="F40" s="324"/>
      <c r="G40" s="723"/>
      <c r="M40" s="217"/>
    </row>
    <row r="41" spans="1:13" s="180" customFormat="1">
      <c r="A41" s="1318"/>
      <c r="B41" s="1317"/>
      <c r="C41" s="720" t="s">
        <v>1207</v>
      </c>
      <c r="D41" s="1060" t="s">
        <v>1208</v>
      </c>
      <c r="G41" s="718"/>
      <c r="M41" s="217"/>
    </row>
    <row r="42" spans="1:13" s="180" customFormat="1">
      <c r="A42" s="1318"/>
      <c r="B42" s="1317"/>
      <c r="C42" s="720" t="s">
        <v>1209</v>
      </c>
      <c r="D42" s="1061" t="s">
        <v>1210</v>
      </c>
      <c r="G42" s="718"/>
      <c r="M42" s="217"/>
    </row>
    <row r="43" spans="1:13" s="180" customFormat="1">
      <c r="A43" s="1318"/>
      <c r="B43" s="1317"/>
      <c r="C43" s="306" t="s">
        <v>1211</v>
      </c>
      <c r="D43" s="307"/>
      <c r="E43" s="308"/>
      <c r="F43" s="308"/>
      <c r="G43" s="309"/>
      <c r="M43" s="217"/>
    </row>
    <row r="44" spans="1:13" s="180" customFormat="1">
      <c r="A44" s="1319"/>
      <c r="B44" s="1317"/>
      <c r="C44" s="310" t="s">
        <v>1212</v>
      </c>
      <c r="D44" s="303" t="s">
        <v>2819</v>
      </c>
      <c r="E44" s="303"/>
      <c r="F44" s="304"/>
      <c r="G44" s="305"/>
      <c r="M44" s="217"/>
    </row>
    <row r="45" spans="1:13" s="180" customFormat="1">
      <c r="A45" s="1319"/>
      <c r="B45" s="1317"/>
      <c r="C45" s="310" t="s">
        <v>1213</v>
      </c>
      <c r="D45" s="303" t="s">
        <v>1203</v>
      </c>
      <c r="E45" s="303"/>
      <c r="F45" s="304"/>
      <c r="G45" s="305"/>
      <c r="M45" s="217"/>
    </row>
    <row r="46" spans="1:13" s="180" customFormat="1">
      <c r="A46" s="1319"/>
      <c r="B46" s="1317"/>
      <c r="C46" s="310" t="s">
        <v>1214</v>
      </c>
      <c r="D46" s="303" t="s">
        <v>1215</v>
      </c>
      <c r="E46" s="303"/>
      <c r="F46" s="304"/>
      <c r="G46" s="305"/>
      <c r="M46" s="217"/>
    </row>
    <row r="47" spans="1:13" s="180" customFormat="1">
      <c r="A47" s="1319"/>
      <c r="B47" s="1317"/>
      <c r="C47" s="310" t="s">
        <v>1216</v>
      </c>
      <c r="D47" s="303" t="s">
        <v>1217</v>
      </c>
      <c r="E47" s="303"/>
      <c r="F47" s="304"/>
      <c r="G47" s="305"/>
      <c r="M47" s="217"/>
    </row>
    <row r="48" spans="1:13" s="180" customFormat="1">
      <c r="A48" s="1319"/>
      <c r="B48" s="1317"/>
      <c r="C48" s="310" t="s">
        <v>1218</v>
      </c>
      <c r="D48" s="303" t="s">
        <v>1219</v>
      </c>
      <c r="E48" s="303"/>
      <c r="F48" s="304"/>
      <c r="G48" s="305"/>
      <c r="M48" s="217"/>
    </row>
    <row r="49" spans="1:14" s="180" customFormat="1">
      <c r="A49" s="1319"/>
      <c r="B49" s="1317"/>
      <c r="C49" s="310" t="s">
        <v>1220</v>
      </c>
      <c r="D49" s="303" t="s">
        <v>1221</v>
      </c>
      <c r="E49" s="303"/>
      <c r="F49" s="304"/>
      <c r="G49" s="305"/>
      <c r="M49" s="217"/>
    </row>
    <row r="50" spans="1:14" s="180" customFormat="1">
      <c r="A50" s="1318"/>
      <c r="B50" s="1317"/>
      <c r="C50" s="310" t="s">
        <v>1222</v>
      </c>
      <c r="D50" s="311" t="s">
        <v>1223</v>
      </c>
      <c r="E50" s="311"/>
      <c r="F50" s="312"/>
      <c r="G50" s="313"/>
      <c r="M50" s="217"/>
    </row>
    <row r="51" spans="1:14" s="180" customFormat="1">
      <c r="A51" s="1319"/>
      <c r="B51" s="1317"/>
      <c r="C51" s="181"/>
      <c r="E51" s="261"/>
      <c r="M51" s="217"/>
    </row>
    <row r="52" spans="1:14" s="180" customFormat="1">
      <c r="A52" s="1319"/>
      <c r="B52" s="1317"/>
      <c r="E52" s="288"/>
      <c r="M52" s="217"/>
    </row>
    <row r="53" spans="1:14" s="180" customFormat="1">
      <c r="A53" s="1319"/>
      <c r="B53" s="1406" t="s">
        <v>2823</v>
      </c>
      <c r="C53" s="245" t="s">
        <v>1224</v>
      </c>
      <c r="M53" s="217"/>
    </row>
    <row r="54" spans="1:14" s="180" customFormat="1">
      <c r="A54" s="1319"/>
      <c r="B54" s="1317"/>
      <c r="M54" s="217"/>
    </row>
    <row r="55" spans="1:14" s="180" customFormat="1">
      <c r="A55" s="1319"/>
      <c r="B55" s="1317"/>
      <c r="C55" s="1533" t="s">
        <v>3017</v>
      </c>
      <c r="D55" s="1533"/>
      <c r="E55" s="1533"/>
      <c r="F55" s="1533"/>
      <c r="G55" s="1533"/>
      <c r="H55" s="1533"/>
      <c r="I55" s="1533"/>
      <c r="J55" s="1533"/>
      <c r="K55" s="1533"/>
      <c r="M55" s="217"/>
    </row>
    <row r="56" spans="1:14" s="180" customFormat="1">
      <c r="A56" s="1319"/>
      <c r="B56" s="1317"/>
      <c r="M56" s="217"/>
    </row>
    <row r="57" spans="1:14" s="180" customFormat="1">
      <c r="A57" s="1319"/>
      <c r="B57" s="1317"/>
      <c r="C57" s="314" t="s">
        <v>1225</v>
      </c>
      <c r="D57" s="1537">
        <v>54350000000</v>
      </c>
      <c r="E57" s="1537"/>
      <c r="M57" s="217"/>
    </row>
    <row r="58" spans="1:14" s="180" customFormat="1">
      <c r="A58" s="1319"/>
      <c r="B58" s="1317"/>
      <c r="C58" s="315" t="s">
        <v>1226</v>
      </c>
      <c r="D58" s="1537">
        <v>54350000000</v>
      </c>
      <c r="E58" s="1537"/>
      <c r="M58" s="217"/>
    </row>
    <row r="59" spans="1:14" s="180" customFormat="1">
      <c r="A59" s="1319"/>
      <c r="B59" s="1317"/>
      <c r="C59" s="315" t="s">
        <v>1227</v>
      </c>
      <c r="D59" s="1537">
        <v>54350000000</v>
      </c>
      <c r="E59" s="1537"/>
      <c r="F59" s="1297"/>
      <c r="G59" s="1296"/>
      <c r="M59" s="217"/>
    </row>
    <row r="60" spans="1:14" s="180" customFormat="1">
      <c r="A60" s="1319"/>
      <c r="B60" s="1317"/>
      <c r="C60" s="315" t="s">
        <v>1228</v>
      </c>
      <c r="D60" s="1537">
        <v>1000000</v>
      </c>
      <c r="E60" s="1537"/>
      <c r="I60" s="732"/>
      <c r="M60" s="217"/>
    </row>
    <row r="61" spans="1:14" s="180" customFormat="1">
      <c r="A61" s="1319"/>
      <c r="B61" s="1317"/>
      <c r="M61" s="217"/>
    </row>
    <row r="62" spans="1:14" s="180" customFormat="1" ht="16.2" thickBot="1">
      <c r="A62" s="1319"/>
      <c r="B62" s="1317"/>
      <c r="M62" s="217"/>
    </row>
    <row r="63" spans="1:14" s="180" customFormat="1" ht="16.2" thickBot="1">
      <c r="A63" s="1319"/>
      <c r="B63" s="1573" t="s">
        <v>1229</v>
      </c>
      <c r="C63" s="1573"/>
      <c r="D63" s="1573"/>
      <c r="E63" s="1573"/>
      <c r="F63" s="1573"/>
      <c r="G63" s="1573"/>
      <c r="H63" s="1573"/>
      <c r="I63" s="1573"/>
      <c r="J63" s="1573"/>
      <c r="M63" s="217"/>
    </row>
    <row r="64" spans="1:14" s="180" customFormat="1" ht="78.599999999999994" thickBot="1">
      <c r="A64" s="1319"/>
      <c r="B64" s="1407" t="s">
        <v>1230</v>
      </c>
      <c r="C64" s="316" t="s">
        <v>1231</v>
      </c>
      <c r="D64" s="316" t="s">
        <v>1232</v>
      </c>
      <c r="E64" s="316" t="s">
        <v>1233</v>
      </c>
      <c r="F64" s="316" t="s">
        <v>1234</v>
      </c>
      <c r="G64" s="316" t="s">
        <v>1235</v>
      </c>
      <c r="H64" s="316" t="s">
        <v>1236</v>
      </c>
      <c r="I64" s="316" t="s">
        <v>1237</v>
      </c>
      <c r="J64" s="316" t="s">
        <v>1238</v>
      </c>
      <c r="N64" s="217"/>
    </row>
    <row r="65" spans="1:27" s="180" customFormat="1">
      <c r="A65" s="1319"/>
      <c r="B65" s="1408">
        <v>1</v>
      </c>
      <c r="C65" s="315" t="s">
        <v>1239</v>
      </c>
      <c r="D65" s="317" t="s">
        <v>1240</v>
      </c>
      <c r="E65" s="745" t="s">
        <v>1241</v>
      </c>
      <c r="F65" s="745">
        <v>54349</v>
      </c>
      <c r="G65" s="317" t="s">
        <v>1242</v>
      </c>
      <c r="H65" s="745">
        <v>54349</v>
      </c>
      <c r="I65" s="746">
        <v>54349000000</v>
      </c>
      <c r="J65" s="747">
        <v>0.99990000000000001</v>
      </c>
      <c r="M65" s="217"/>
      <c r="N65" s="217"/>
      <c r="O65" s="217"/>
      <c r="P65" s="217"/>
      <c r="Q65" s="217"/>
      <c r="R65" s="217"/>
      <c r="S65" s="217"/>
      <c r="T65" s="217"/>
      <c r="U65" s="217"/>
      <c r="V65" s="217"/>
      <c r="W65" s="217"/>
      <c r="X65" s="217"/>
      <c r="Y65" s="217"/>
      <c r="Z65" s="217"/>
      <c r="AA65" s="217"/>
    </row>
    <row r="66" spans="1:27" s="180" customFormat="1" ht="16.2" thickBot="1">
      <c r="A66" s="1319"/>
      <c r="B66" s="1409">
        <v>2</v>
      </c>
      <c r="C66" s="748" t="s">
        <v>1243</v>
      </c>
      <c r="D66" s="318" t="s">
        <v>1240</v>
      </c>
      <c r="E66" s="749">
        <f>+H65</f>
        <v>54349</v>
      </c>
      <c r="F66" s="318">
        <v>1</v>
      </c>
      <c r="G66" s="318" t="s">
        <v>1242</v>
      </c>
      <c r="H66" s="318">
        <v>1</v>
      </c>
      <c r="I66" s="750">
        <v>1000000</v>
      </c>
      <c r="J66" s="751">
        <v>1E-4</v>
      </c>
      <c r="M66" s="217"/>
      <c r="N66" s="217"/>
      <c r="O66" s="217"/>
      <c r="P66" s="217"/>
      <c r="Q66" s="217"/>
      <c r="R66" s="217"/>
      <c r="S66" s="217"/>
      <c r="T66" s="217"/>
      <c r="U66" s="217"/>
      <c r="V66" s="217"/>
      <c r="W66" s="217"/>
      <c r="X66" s="217"/>
      <c r="Y66" s="217"/>
      <c r="Z66" s="217"/>
      <c r="AA66" s="217"/>
    </row>
    <row r="67" spans="1:27" s="180" customFormat="1">
      <c r="A67" s="1319"/>
      <c r="B67" s="1317"/>
      <c r="M67" s="217"/>
      <c r="N67" s="217"/>
      <c r="O67" s="217"/>
      <c r="P67" s="217"/>
      <c r="Q67" s="217"/>
      <c r="R67" s="217"/>
      <c r="S67" s="217"/>
      <c r="T67" s="217"/>
      <c r="U67" s="217"/>
      <c r="V67" s="217"/>
      <c r="W67" s="217"/>
      <c r="X67" s="217"/>
      <c r="Y67" s="217"/>
      <c r="Z67" s="217"/>
      <c r="AA67" s="217"/>
    </row>
    <row r="68" spans="1:27" s="180" customFormat="1" ht="16.2" thickBot="1">
      <c r="A68" s="1319"/>
      <c r="B68" s="1317"/>
      <c r="M68" s="217"/>
      <c r="N68" s="217"/>
      <c r="O68" s="217"/>
      <c r="P68" s="217"/>
      <c r="Q68" s="217"/>
      <c r="R68" s="217"/>
      <c r="S68" s="217"/>
      <c r="T68" s="217"/>
      <c r="U68" s="217"/>
      <c r="V68" s="217"/>
      <c r="W68" s="217"/>
      <c r="X68" s="217"/>
      <c r="Y68" s="217"/>
      <c r="Z68" s="217"/>
      <c r="AA68" s="217"/>
    </row>
    <row r="69" spans="1:27" s="180" customFormat="1" ht="16.2" thickBot="1">
      <c r="A69" s="1319"/>
      <c r="B69" s="1573" t="s">
        <v>1244</v>
      </c>
      <c r="C69" s="1573"/>
      <c r="D69" s="1573"/>
      <c r="E69" s="1573"/>
      <c r="F69" s="1573"/>
      <c r="G69" s="1573"/>
      <c r="H69" s="1573"/>
      <c r="I69" s="1573"/>
      <c r="J69" s="1573"/>
      <c r="M69" s="217"/>
    </row>
    <row r="70" spans="1:27" s="180" customFormat="1" ht="78.599999999999994" thickBot="1">
      <c r="A70" s="1319"/>
      <c r="B70" s="1407" t="s">
        <v>1230</v>
      </c>
      <c r="C70" s="316" t="s">
        <v>1231</v>
      </c>
      <c r="D70" s="316" t="s">
        <v>1232</v>
      </c>
      <c r="E70" s="316" t="s">
        <v>1233</v>
      </c>
      <c r="F70" s="316" t="s">
        <v>1234</v>
      </c>
      <c r="G70" s="316" t="s">
        <v>1235</v>
      </c>
      <c r="H70" s="316" t="s">
        <v>1236</v>
      </c>
      <c r="I70" s="316" t="s">
        <v>1237</v>
      </c>
      <c r="J70" s="316" t="s">
        <v>1245</v>
      </c>
    </row>
    <row r="71" spans="1:27" s="180" customFormat="1">
      <c r="A71" s="1319"/>
      <c r="B71" s="1408">
        <v>1</v>
      </c>
      <c r="C71" s="315" t="s">
        <v>1239</v>
      </c>
      <c r="D71" s="317" t="s">
        <v>1240</v>
      </c>
      <c r="E71" s="745" t="s">
        <v>1241</v>
      </c>
      <c r="F71" s="745">
        <v>54349</v>
      </c>
      <c r="G71" s="317" t="s">
        <v>1242</v>
      </c>
      <c r="H71" s="745">
        <v>54349</v>
      </c>
      <c r="I71" s="746">
        <v>54349000000</v>
      </c>
      <c r="J71" s="878">
        <v>0.99998160000000003</v>
      </c>
      <c r="M71" s="217"/>
    </row>
    <row r="72" spans="1:27" s="180" customFormat="1" ht="16.2" thickBot="1">
      <c r="A72" s="1319"/>
      <c r="B72" s="1409">
        <v>2</v>
      </c>
      <c r="C72" s="748" t="s">
        <v>1243</v>
      </c>
      <c r="D72" s="318" t="s">
        <v>1240</v>
      </c>
      <c r="E72" s="749">
        <v>54350</v>
      </c>
      <c r="F72" s="318">
        <v>1</v>
      </c>
      <c r="G72" s="318" t="s">
        <v>1242</v>
      </c>
      <c r="H72" s="318">
        <v>1</v>
      </c>
      <c r="I72" s="750">
        <v>1000000</v>
      </c>
      <c r="J72" s="879">
        <v>1.84E-5</v>
      </c>
      <c r="M72" s="217"/>
    </row>
    <row r="73" spans="1:27" s="180" customFormat="1">
      <c r="A73" s="1319"/>
      <c r="B73" s="1317"/>
      <c r="M73" s="217"/>
    </row>
    <row r="74" spans="1:27" s="180" customFormat="1" ht="16.2" thickBot="1">
      <c r="A74" s="1319"/>
      <c r="B74" s="1317"/>
      <c r="M74" s="217"/>
      <c r="N74" s="217"/>
      <c r="O74" s="217"/>
      <c r="P74" s="217"/>
      <c r="Q74" s="217"/>
      <c r="R74" s="217"/>
      <c r="S74" s="217"/>
      <c r="T74" s="217"/>
      <c r="U74" s="217"/>
      <c r="V74" s="217"/>
      <c r="W74" s="217"/>
      <c r="X74" s="217"/>
      <c r="Y74" s="217"/>
      <c r="Z74" s="217"/>
      <c r="AA74" s="217"/>
    </row>
    <row r="75" spans="1:27" s="180" customFormat="1" ht="31.8" thickBot="1">
      <c r="A75" s="1319"/>
      <c r="B75" s="1571" t="s">
        <v>1246</v>
      </c>
      <c r="C75" s="1571"/>
      <c r="D75" s="1571"/>
      <c r="E75" s="1571"/>
      <c r="F75" s="1571"/>
      <c r="G75" s="1571"/>
      <c r="H75" s="1571"/>
      <c r="I75" s="1571"/>
      <c r="J75" s="1443" t="s">
        <v>1247</v>
      </c>
      <c r="M75" s="217"/>
    </row>
    <row r="76" spans="1:27" s="180" customFormat="1">
      <c r="A76" s="1319"/>
      <c r="B76" s="1410" t="s">
        <v>1248</v>
      </c>
      <c r="C76" s="1411"/>
      <c r="D76" s="743"/>
      <c r="E76" s="743"/>
      <c r="F76" s="743"/>
      <c r="G76" s="743"/>
      <c r="H76" s="743"/>
      <c r="I76" s="743"/>
      <c r="J76" s="744">
        <v>0.99990000000000001</v>
      </c>
      <c r="M76" s="217"/>
    </row>
    <row r="77" spans="1:27" s="180" customFormat="1" ht="16.2" thickBot="1">
      <c r="A77" s="1319"/>
      <c r="B77" s="1321"/>
      <c r="C77" s="319"/>
      <c r="D77" s="319"/>
      <c r="E77" s="319"/>
      <c r="F77" s="319"/>
      <c r="G77" s="319"/>
      <c r="H77" s="319"/>
      <c r="I77" s="319"/>
      <c r="J77" s="320"/>
      <c r="M77" s="217"/>
    </row>
    <row r="78" spans="1:27" s="180" customFormat="1" ht="16.2" thickBot="1">
      <c r="A78" s="1319"/>
      <c r="B78" s="1412" t="s">
        <v>1249</v>
      </c>
      <c r="C78" s="321"/>
      <c r="D78" s="321"/>
      <c r="E78" s="321"/>
      <c r="F78" s="321"/>
      <c r="G78" s="321"/>
      <c r="H78" s="321"/>
      <c r="I78" s="321"/>
      <c r="J78" s="322"/>
      <c r="M78" s="217"/>
    </row>
    <row r="79" spans="1:27" s="180" customFormat="1">
      <c r="A79" s="1319"/>
      <c r="B79" s="1320"/>
      <c r="C79" s="323" t="s">
        <v>1250</v>
      </c>
      <c r="D79" s="324"/>
      <c r="E79" s="324"/>
      <c r="F79" s="324"/>
      <c r="G79" s="324"/>
      <c r="H79" s="324"/>
      <c r="I79" s="324"/>
      <c r="J79" s="325">
        <v>1</v>
      </c>
      <c r="M79" s="217"/>
    </row>
    <row r="80" spans="1:27" s="180" customFormat="1" ht="16.2" thickBot="1">
      <c r="A80" s="57"/>
      <c r="B80" s="1322"/>
      <c r="C80" s="304"/>
      <c r="D80" s="304"/>
      <c r="E80" s="304"/>
      <c r="F80" s="304"/>
      <c r="G80" s="304"/>
      <c r="H80" s="304"/>
      <c r="I80" s="304"/>
      <c r="J80" s="320"/>
      <c r="M80" s="217"/>
    </row>
    <row r="81" spans="1:13" s="180" customFormat="1" ht="16.2" thickBot="1">
      <c r="A81" s="57"/>
      <c r="B81" s="1412" t="s">
        <v>1251</v>
      </c>
      <c r="C81" s="326"/>
      <c r="D81" s="326"/>
      <c r="E81" s="326"/>
      <c r="F81" s="326"/>
      <c r="G81" s="326"/>
      <c r="H81" s="326"/>
      <c r="I81" s="326"/>
      <c r="J81" s="322"/>
      <c r="M81" s="217"/>
    </row>
    <row r="82" spans="1:13" s="180" customFormat="1">
      <c r="A82" s="57"/>
      <c r="B82" s="1323"/>
      <c r="C82" s="324" t="s">
        <v>1252</v>
      </c>
      <c r="D82" s="324"/>
      <c r="E82" s="324"/>
      <c r="F82" s="324"/>
      <c r="G82" s="324"/>
      <c r="H82" s="324"/>
      <c r="I82" s="324"/>
      <c r="J82" s="325">
        <v>1</v>
      </c>
      <c r="M82" s="217"/>
    </row>
    <row r="83" spans="1:13" s="180" customFormat="1" ht="16.2" thickBot="1">
      <c r="A83" s="57"/>
      <c r="B83" s="1322"/>
      <c r="C83" s="304"/>
      <c r="D83" s="304"/>
      <c r="E83" s="304"/>
      <c r="F83" s="304"/>
      <c r="G83" s="304"/>
      <c r="H83" s="304"/>
      <c r="I83" s="304"/>
      <c r="J83" s="320"/>
      <c r="M83" s="217"/>
    </row>
    <row r="84" spans="1:13" s="180" customFormat="1" ht="16.2" thickBot="1">
      <c r="A84" s="57"/>
      <c r="B84" s="1413" t="s">
        <v>1253</v>
      </c>
      <c r="C84" s="326"/>
      <c r="D84" s="326"/>
      <c r="E84" s="326"/>
      <c r="F84" s="326"/>
      <c r="G84" s="326"/>
      <c r="H84" s="326"/>
      <c r="I84" s="326"/>
      <c r="J84" s="322"/>
      <c r="M84" s="217"/>
    </row>
    <row r="85" spans="1:13" s="180" customFormat="1">
      <c r="A85" s="57"/>
      <c r="B85" s="1323"/>
      <c r="C85" s="324" t="s">
        <v>1254</v>
      </c>
      <c r="D85" s="324"/>
      <c r="E85" s="324"/>
      <c r="F85" s="324"/>
      <c r="G85" s="324"/>
      <c r="H85" s="324"/>
      <c r="I85" s="324"/>
      <c r="J85" s="325">
        <v>0.26150000000000001</v>
      </c>
      <c r="M85" s="217"/>
    </row>
    <row r="86" spans="1:13" s="180" customFormat="1">
      <c r="A86" s="57"/>
      <c r="B86" s="1324"/>
      <c r="C86" s="312" t="s">
        <v>1255</v>
      </c>
      <c r="D86" s="312"/>
      <c r="E86" s="312"/>
      <c r="F86" s="312"/>
      <c r="G86" s="312"/>
      <c r="H86" s="312"/>
      <c r="I86" s="312"/>
      <c r="J86" s="327">
        <v>0.1983</v>
      </c>
      <c r="M86" s="217"/>
    </row>
    <row r="87" spans="1:13" s="180" customFormat="1">
      <c r="A87" s="217"/>
      <c r="B87" s="1324"/>
      <c r="C87" s="312" t="s">
        <v>1256</v>
      </c>
      <c r="D87" s="312"/>
      <c r="E87" s="312"/>
      <c r="F87" s="312"/>
      <c r="G87" s="312"/>
      <c r="H87" s="312"/>
      <c r="I87" s="312"/>
      <c r="J87" s="327">
        <v>0.52290000000000003</v>
      </c>
      <c r="M87" s="217"/>
    </row>
    <row r="88" spans="1:13" s="180" customFormat="1" ht="16.2" thickBot="1">
      <c r="A88" s="217"/>
      <c r="B88" s="1322"/>
      <c r="C88" s="304"/>
      <c r="D88" s="304"/>
      <c r="E88" s="304"/>
      <c r="F88" s="304"/>
      <c r="G88" s="304"/>
      <c r="H88" s="304"/>
      <c r="I88" s="304"/>
      <c r="J88" s="320"/>
      <c r="M88" s="217"/>
    </row>
    <row r="89" spans="1:13" s="180" customFormat="1" ht="16.2" thickBot="1">
      <c r="A89" s="57"/>
      <c r="B89" s="1413" t="s">
        <v>1257</v>
      </c>
      <c r="C89" s="326"/>
      <c r="D89" s="326"/>
      <c r="E89" s="326"/>
      <c r="F89" s="326"/>
      <c r="G89" s="326"/>
      <c r="H89" s="326"/>
      <c r="I89" s="326"/>
      <c r="J89" s="322"/>
      <c r="M89" s="217"/>
    </row>
    <row r="90" spans="1:13" s="180" customFormat="1">
      <c r="A90" s="57"/>
      <c r="B90" s="1323"/>
      <c r="C90" s="324" t="s">
        <v>1255</v>
      </c>
      <c r="D90" s="324"/>
      <c r="E90" s="324"/>
      <c r="F90" s="324"/>
      <c r="G90" s="324"/>
      <c r="H90" s="324"/>
      <c r="I90" s="324"/>
      <c r="J90" s="327">
        <v>0.5</v>
      </c>
      <c r="M90" s="217"/>
    </row>
    <row r="91" spans="1:13" s="180" customFormat="1">
      <c r="A91" s="57"/>
      <c r="B91" s="1324"/>
      <c r="C91" s="312" t="s">
        <v>1258</v>
      </c>
      <c r="D91" s="312"/>
      <c r="E91" s="312"/>
      <c r="F91" s="312"/>
      <c r="G91" s="312"/>
      <c r="H91" s="312"/>
      <c r="I91" s="312"/>
      <c r="J91" s="327">
        <v>0.5</v>
      </c>
      <c r="M91" s="217"/>
    </row>
    <row r="92" spans="1:13" s="180" customFormat="1" ht="16.2" thickBot="1">
      <c r="A92" s="57"/>
      <c r="B92" s="1322"/>
      <c r="C92" s="304"/>
      <c r="D92" s="304"/>
      <c r="E92" s="304"/>
      <c r="F92" s="304"/>
      <c r="G92" s="304"/>
      <c r="H92" s="304"/>
      <c r="I92" s="304"/>
      <c r="J92" s="320"/>
      <c r="M92" s="217"/>
    </row>
    <row r="93" spans="1:13" s="180" customFormat="1" ht="16.2" thickBot="1">
      <c r="A93" s="57"/>
      <c r="B93" s="1413" t="s">
        <v>1259</v>
      </c>
      <c r="C93" s="326"/>
      <c r="D93" s="326"/>
      <c r="E93" s="326"/>
      <c r="F93" s="326"/>
      <c r="G93" s="326"/>
      <c r="H93" s="326"/>
      <c r="I93" s="326"/>
      <c r="J93" s="322"/>
      <c r="M93" s="217"/>
    </row>
    <row r="94" spans="1:13" s="180" customFormat="1">
      <c r="A94" s="57"/>
      <c r="B94" s="1323"/>
      <c r="C94" s="324" t="s">
        <v>1260</v>
      </c>
      <c r="D94" s="324"/>
      <c r="E94" s="324"/>
      <c r="F94" s="324"/>
      <c r="G94" s="324"/>
      <c r="H94" s="324"/>
      <c r="I94" s="324"/>
      <c r="J94" s="325">
        <v>0.5</v>
      </c>
      <c r="M94" s="217"/>
    </row>
    <row r="95" spans="1:13" s="180" customFormat="1">
      <c r="A95" s="57"/>
      <c r="B95" s="1324"/>
      <c r="C95" s="312" t="s">
        <v>1261</v>
      </c>
      <c r="D95" s="312"/>
      <c r="E95" s="312"/>
      <c r="F95" s="312"/>
      <c r="G95" s="312"/>
      <c r="H95" s="312"/>
      <c r="I95" s="312"/>
      <c r="J95" s="327">
        <v>0.5</v>
      </c>
      <c r="M95" s="217"/>
    </row>
    <row r="96" spans="1:13" s="180" customFormat="1">
      <c r="A96" s="57"/>
      <c r="B96" s="1324"/>
      <c r="C96" s="312" t="s">
        <v>1262</v>
      </c>
      <c r="D96" s="312"/>
      <c r="E96" s="312"/>
      <c r="F96" s="312"/>
      <c r="G96" s="312"/>
      <c r="H96" s="312"/>
      <c r="I96" s="312"/>
      <c r="J96" s="327">
        <v>0.44</v>
      </c>
      <c r="M96" s="217"/>
    </row>
    <row r="97" spans="1:13" s="180" customFormat="1" ht="16.2" thickBot="1">
      <c r="A97" s="57"/>
      <c r="B97" s="1322"/>
      <c r="C97" s="304"/>
      <c r="D97" s="304"/>
      <c r="E97" s="304"/>
      <c r="F97" s="304"/>
      <c r="G97" s="304"/>
      <c r="H97" s="304"/>
      <c r="I97" s="304"/>
      <c r="J97" s="320"/>
      <c r="M97" s="217"/>
    </row>
    <row r="98" spans="1:13" s="180" customFormat="1" ht="16.2" thickBot="1">
      <c r="A98" s="57"/>
      <c r="B98" s="1413" t="s">
        <v>1263</v>
      </c>
      <c r="C98" s="326"/>
      <c r="D98" s="326"/>
      <c r="E98" s="326"/>
      <c r="F98" s="326"/>
      <c r="G98" s="326"/>
      <c r="H98" s="326"/>
      <c r="I98" s="326"/>
      <c r="J98" s="322"/>
      <c r="M98" s="217"/>
    </row>
    <row r="99" spans="1:13" s="180" customFormat="1">
      <c r="A99" s="57"/>
      <c r="B99" s="1323"/>
      <c r="C99" s="324" t="s">
        <v>2829</v>
      </c>
      <c r="D99" s="324"/>
      <c r="E99" s="324"/>
      <c r="F99" s="324"/>
      <c r="G99" s="324"/>
      <c r="H99" s="324"/>
      <c r="I99" s="324"/>
      <c r="J99" s="325">
        <v>6.9669817999999994E-2</v>
      </c>
      <c r="M99" s="217"/>
    </row>
    <row r="100" spans="1:13" s="180" customFormat="1">
      <c r="A100" s="57"/>
      <c r="B100" s="1323"/>
      <c r="C100" s="324" t="s">
        <v>2830</v>
      </c>
      <c r="D100" s="324"/>
      <c r="E100" s="324"/>
      <c r="F100" s="324"/>
      <c r="G100" s="324"/>
      <c r="H100" s="324"/>
      <c r="I100" s="324"/>
      <c r="J100" s="325">
        <v>6.7941920000000003E-2</v>
      </c>
      <c r="M100" s="217"/>
    </row>
    <row r="101" spans="1:13" s="180" customFormat="1">
      <c r="A101" s="57"/>
      <c r="B101" s="1323"/>
      <c r="C101" s="324" t="s">
        <v>2831</v>
      </c>
      <c r="D101" s="324"/>
      <c r="E101" s="324"/>
      <c r="F101" s="324"/>
      <c r="G101" s="324"/>
      <c r="H101" s="324"/>
      <c r="I101" s="324"/>
      <c r="J101" s="325">
        <v>3.9031361000000001E-2</v>
      </c>
      <c r="M101" s="217"/>
    </row>
    <row r="102" spans="1:13" s="180" customFormat="1">
      <c r="A102" s="57"/>
      <c r="B102" s="1323"/>
      <c r="C102" s="324" t="s">
        <v>2832</v>
      </c>
      <c r="D102" s="324"/>
      <c r="E102" s="324"/>
      <c r="F102" s="324"/>
      <c r="G102" s="324"/>
      <c r="H102" s="324"/>
      <c r="I102" s="324"/>
      <c r="J102" s="325">
        <v>3.9048567999999999E-2</v>
      </c>
      <c r="M102" s="217"/>
    </row>
    <row r="103" spans="1:13" s="180" customFormat="1">
      <c r="A103" s="57"/>
      <c r="B103" s="1323"/>
      <c r="C103" s="324" t="s">
        <v>2833</v>
      </c>
      <c r="D103" s="324"/>
      <c r="E103" s="324"/>
      <c r="F103" s="324"/>
      <c r="G103" s="324"/>
      <c r="H103" s="324"/>
      <c r="I103" s="324"/>
      <c r="J103" s="325">
        <v>5.1407000000000004E-4</v>
      </c>
      <c r="M103" s="217"/>
    </row>
    <row r="104" spans="1:13" s="180" customFormat="1">
      <c r="A104" s="57"/>
      <c r="B104" s="1323"/>
      <c r="C104" s="324" t="s">
        <v>2834</v>
      </c>
      <c r="D104" s="324"/>
      <c r="E104" s="324"/>
      <c r="F104" s="324"/>
      <c r="G104" s="324"/>
      <c r="H104" s="324"/>
      <c r="I104" s="324"/>
      <c r="J104" s="325">
        <v>3.0267509999999998E-3</v>
      </c>
      <c r="M104" s="217"/>
    </row>
    <row r="105" spans="1:13" s="180" customFormat="1">
      <c r="A105" s="57"/>
      <c r="B105" s="1323"/>
      <c r="C105" s="324" t="s">
        <v>2835</v>
      </c>
      <c r="D105" s="324"/>
      <c r="E105" s="324"/>
      <c r="F105" s="324"/>
      <c r="G105" s="324"/>
      <c r="H105" s="324"/>
      <c r="I105" s="324"/>
      <c r="J105" s="325">
        <v>5.2846810000000003E-3</v>
      </c>
      <c r="M105" s="217"/>
    </row>
    <row r="106" spans="1:13" s="180" customFormat="1">
      <c r="A106" s="57"/>
      <c r="B106" s="1323"/>
      <c r="C106" s="324" t="s">
        <v>2836</v>
      </c>
      <c r="D106" s="324"/>
      <c r="E106" s="324"/>
      <c r="F106" s="324"/>
      <c r="G106" s="324"/>
      <c r="H106" s="324"/>
      <c r="I106" s="324"/>
      <c r="J106" s="325">
        <v>5.2846810000000003E-3</v>
      </c>
      <c r="M106" s="217"/>
    </row>
    <row r="107" spans="1:13" s="180" customFormat="1">
      <c r="A107" s="57"/>
      <c r="B107" s="1323"/>
      <c r="C107" s="324" t="s">
        <v>2837</v>
      </c>
      <c r="D107" s="324"/>
      <c r="E107" s="324"/>
      <c r="F107" s="324"/>
      <c r="G107" s="324"/>
      <c r="H107" s="324"/>
      <c r="I107" s="324"/>
      <c r="J107" s="325">
        <v>5.2846810000000003E-3</v>
      </c>
      <c r="M107" s="217"/>
    </row>
    <row r="108" spans="1:13" s="180" customFormat="1">
      <c r="A108" s="57"/>
      <c r="B108" s="1323"/>
      <c r="C108" s="324" t="s">
        <v>2838</v>
      </c>
      <c r="D108" s="324"/>
      <c r="E108" s="324"/>
      <c r="F108" s="324"/>
      <c r="G108" s="324"/>
      <c r="H108" s="324"/>
      <c r="I108" s="324"/>
      <c r="J108" s="325">
        <v>3.7944319999999999E-3</v>
      </c>
      <c r="M108" s="217"/>
    </row>
    <row r="109" spans="1:13" s="180" customFormat="1">
      <c r="A109" s="57"/>
      <c r="B109" s="1323"/>
      <c r="C109" s="324" t="s">
        <v>2839</v>
      </c>
      <c r="D109" s="324"/>
      <c r="E109" s="324"/>
      <c r="F109" s="324"/>
      <c r="G109" s="324"/>
      <c r="H109" s="324"/>
      <c r="I109" s="324"/>
      <c r="J109" s="325">
        <v>3.725023E-3</v>
      </c>
      <c r="M109" s="217"/>
    </row>
    <row r="110" spans="1:13" s="180" customFormat="1">
      <c r="A110" s="57"/>
      <c r="B110" s="1323"/>
      <c r="C110" s="324" t="s">
        <v>2840</v>
      </c>
      <c r="D110" s="324"/>
      <c r="E110" s="324"/>
      <c r="F110" s="324"/>
      <c r="G110" s="324"/>
      <c r="H110" s="324"/>
      <c r="I110" s="324"/>
      <c r="J110" s="325">
        <v>3.8625040000000001E-3</v>
      </c>
      <c r="M110" s="217"/>
    </row>
    <row r="111" spans="1:13" s="180" customFormat="1">
      <c r="A111" s="57"/>
      <c r="B111" s="1323"/>
      <c r="C111" s="324" t="s">
        <v>2841</v>
      </c>
      <c r="D111" s="324"/>
      <c r="E111" s="324"/>
      <c r="F111" s="324"/>
      <c r="G111" s="324"/>
      <c r="H111" s="324"/>
      <c r="I111" s="324"/>
      <c r="J111" s="325">
        <v>6.2671139999999998E-3</v>
      </c>
      <c r="M111" s="217"/>
    </row>
    <row r="112" spans="1:13" s="180" customFormat="1">
      <c r="A112" s="57"/>
      <c r="B112" s="1323"/>
      <c r="C112" s="324" t="s">
        <v>2842</v>
      </c>
      <c r="D112" s="324"/>
      <c r="E112" s="324"/>
      <c r="F112" s="324"/>
      <c r="G112" s="324"/>
      <c r="H112" s="324"/>
      <c r="I112" s="324"/>
      <c r="J112" s="325">
        <v>3.7306309999999999E-3</v>
      </c>
      <c r="M112" s="217"/>
    </row>
    <row r="113" spans="1:13" s="180" customFormat="1">
      <c r="A113" s="57"/>
      <c r="B113" s="1323"/>
      <c r="C113" s="324" t="s">
        <v>2843</v>
      </c>
      <c r="D113" s="324"/>
      <c r="E113" s="324"/>
      <c r="F113" s="324"/>
      <c r="G113" s="324"/>
      <c r="H113" s="324"/>
      <c r="I113" s="324"/>
      <c r="J113" s="325">
        <v>3.7308929999999999E-3</v>
      </c>
      <c r="M113" s="217"/>
    </row>
    <row r="114" spans="1:13" s="180" customFormat="1">
      <c r="A114" s="57"/>
      <c r="B114" s="1323"/>
      <c r="C114" s="324" t="s">
        <v>2844</v>
      </c>
      <c r="D114" s="324"/>
      <c r="E114" s="324"/>
      <c r="F114" s="324"/>
      <c r="G114" s="324"/>
      <c r="H114" s="324"/>
      <c r="I114" s="324"/>
      <c r="J114" s="325">
        <v>3.731697E-3</v>
      </c>
      <c r="M114" s="217"/>
    </row>
    <row r="115" spans="1:13" s="180" customFormat="1">
      <c r="A115" s="57"/>
      <c r="B115" s="1323"/>
      <c r="C115" s="324" t="s">
        <v>2845</v>
      </c>
      <c r="D115" s="324"/>
      <c r="E115" s="324"/>
      <c r="F115" s="324"/>
      <c r="G115" s="324"/>
      <c r="H115" s="324"/>
      <c r="I115" s="324"/>
      <c r="J115" s="325">
        <v>8.9110679999999994E-3</v>
      </c>
      <c r="M115" s="217"/>
    </row>
    <row r="116" spans="1:13" s="180" customFormat="1">
      <c r="A116" s="57"/>
      <c r="B116" s="1323"/>
      <c r="C116" s="324" t="s">
        <v>2846</v>
      </c>
      <c r="D116" s="324"/>
      <c r="E116" s="324"/>
      <c r="F116" s="324"/>
      <c r="G116" s="324"/>
      <c r="H116" s="324"/>
      <c r="I116" s="324"/>
      <c r="J116" s="325">
        <v>4.0580140000000004E-3</v>
      </c>
      <c r="M116" s="217"/>
    </row>
    <row r="117" spans="1:13" s="180" customFormat="1">
      <c r="A117" s="57"/>
      <c r="B117" s="1323"/>
      <c r="C117" s="324" t="s">
        <v>2847</v>
      </c>
      <c r="D117" s="324"/>
      <c r="E117" s="324"/>
      <c r="F117" s="324"/>
      <c r="G117" s="324"/>
      <c r="H117" s="324"/>
      <c r="I117" s="324"/>
      <c r="J117" s="325">
        <v>4.0580140000000004E-3</v>
      </c>
      <c r="M117" s="217"/>
    </row>
    <row r="118" spans="1:13" s="180" customFormat="1">
      <c r="A118" s="57"/>
      <c r="B118" s="1323"/>
      <c r="C118" s="324" t="s">
        <v>2848</v>
      </c>
      <c r="D118" s="324"/>
      <c r="E118" s="324"/>
      <c r="F118" s="324"/>
      <c r="G118" s="324"/>
      <c r="H118" s="324"/>
      <c r="I118" s="324"/>
      <c r="J118" s="325">
        <v>1.5039501E-2</v>
      </c>
      <c r="M118" s="217"/>
    </row>
    <row r="119" spans="1:13" s="180" customFormat="1">
      <c r="A119" s="57"/>
      <c r="B119" s="1323"/>
      <c r="C119" s="324" t="s">
        <v>2849</v>
      </c>
      <c r="D119" s="324"/>
      <c r="E119" s="324"/>
      <c r="F119" s="324"/>
      <c r="G119" s="324"/>
      <c r="H119" s="324"/>
      <c r="I119" s="324"/>
      <c r="J119" s="325">
        <v>6.9116000000000002E-4</v>
      </c>
      <c r="M119" s="217"/>
    </row>
    <row r="120" spans="1:13" s="180" customFormat="1">
      <c r="A120" s="57"/>
      <c r="B120" s="1323"/>
      <c r="C120" s="324" t="s">
        <v>2850</v>
      </c>
      <c r="D120" s="324"/>
      <c r="E120" s="324"/>
      <c r="F120" s="324"/>
      <c r="G120" s="324"/>
      <c r="H120" s="324"/>
      <c r="I120" s="324"/>
      <c r="J120" s="325">
        <v>6.9116000000000002E-4</v>
      </c>
      <c r="M120" s="217"/>
    </row>
    <row r="121" spans="1:13" s="180" customFormat="1">
      <c r="A121" s="57"/>
      <c r="B121" s="1323"/>
      <c r="C121" s="324" t="s">
        <v>2851</v>
      </c>
      <c r="D121" s="324"/>
      <c r="E121" s="324"/>
      <c r="F121" s="324"/>
      <c r="G121" s="324"/>
      <c r="H121" s="324"/>
      <c r="I121" s="324"/>
      <c r="J121" s="325">
        <v>6.9116000000000002E-4</v>
      </c>
      <c r="M121" s="217"/>
    </row>
    <row r="122" spans="1:13" s="180" customFormat="1">
      <c r="A122" s="57"/>
      <c r="B122" s="1323"/>
      <c r="C122" s="324" t="s">
        <v>2852</v>
      </c>
      <c r="D122" s="324"/>
      <c r="E122" s="324"/>
      <c r="F122" s="324"/>
      <c r="G122" s="324"/>
      <c r="H122" s="324"/>
      <c r="I122" s="324"/>
      <c r="J122" s="325">
        <v>1.7225792E-2</v>
      </c>
      <c r="M122" s="217"/>
    </row>
    <row r="123" spans="1:13" s="180" customFormat="1">
      <c r="A123" s="57"/>
      <c r="B123" s="1323"/>
      <c r="C123" s="324" t="s">
        <v>2853</v>
      </c>
      <c r="D123" s="324"/>
      <c r="E123" s="324"/>
      <c r="F123" s="324"/>
      <c r="G123" s="324"/>
      <c r="H123" s="324"/>
      <c r="I123" s="324"/>
      <c r="J123" s="325">
        <v>2.7300000000000002E-7</v>
      </c>
      <c r="M123" s="217"/>
    </row>
    <row r="124" spans="1:13" s="180" customFormat="1">
      <c r="A124" s="57"/>
      <c r="B124" s="1323"/>
      <c r="C124" s="324" t="s">
        <v>2854</v>
      </c>
      <c r="D124" s="324"/>
      <c r="E124" s="324"/>
      <c r="F124" s="324"/>
      <c r="G124" s="324"/>
      <c r="H124" s="324"/>
      <c r="I124" s="324"/>
      <c r="J124" s="325">
        <v>2.7300000000000002E-7</v>
      </c>
      <c r="M124" s="217"/>
    </row>
    <row r="125" spans="1:13" s="180" customFormat="1">
      <c r="A125" s="57"/>
      <c r="B125" s="1323"/>
      <c r="C125" s="324" t="s">
        <v>2855</v>
      </c>
      <c r="D125" s="324"/>
      <c r="E125" s="324"/>
      <c r="F125" s="324"/>
      <c r="G125" s="324"/>
      <c r="H125" s="324"/>
      <c r="I125" s="324"/>
      <c r="J125" s="325">
        <v>1.7265207000000001E-2</v>
      </c>
      <c r="M125" s="217"/>
    </row>
    <row r="126" spans="1:13" s="180" customFormat="1">
      <c r="A126" s="57"/>
      <c r="B126" s="1323"/>
      <c r="C126" s="324" t="s">
        <v>2856</v>
      </c>
      <c r="D126" s="324"/>
      <c r="E126" s="324"/>
      <c r="F126" s="324"/>
      <c r="G126" s="324"/>
      <c r="H126" s="324"/>
      <c r="I126" s="324"/>
      <c r="J126" s="325">
        <v>3.4937000000000001E-5</v>
      </c>
      <c r="M126" s="217"/>
    </row>
    <row r="127" spans="1:13" s="180" customFormat="1">
      <c r="A127" s="57"/>
      <c r="B127" s="1323"/>
      <c r="C127" s="324" t="s">
        <v>2857</v>
      </c>
      <c r="D127" s="324"/>
      <c r="E127" s="324"/>
      <c r="F127" s="324"/>
      <c r="G127" s="324"/>
      <c r="H127" s="324"/>
      <c r="I127" s="324"/>
      <c r="J127" s="325">
        <v>3.4937000000000001E-5</v>
      </c>
      <c r="M127" s="217"/>
    </row>
    <row r="128" spans="1:13" s="180" customFormat="1">
      <c r="A128" s="57"/>
      <c r="B128" s="1323"/>
      <c r="C128" s="324" t="s">
        <v>2858</v>
      </c>
      <c r="D128" s="324"/>
      <c r="E128" s="324"/>
      <c r="F128" s="324"/>
      <c r="G128" s="324"/>
      <c r="H128" s="324"/>
      <c r="I128" s="324"/>
      <c r="J128" s="325">
        <v>3.2564999999999997E-5</v>
      </c>
      <c r="M128" s="217"/>
    </row>
    <row r="129" spans="1:13" s="180" customFormat="1">
      <c r="A129" s="57"/>
      <c r="B129" s="1323"/>
      <c r="C129" s="324" t="s">
        <v>2859</v>
      </c>
      <c r="D129" s="324"/>
      <c r="E129" s="324"/>
      <c r="F129" s="324"/>
      <c r="G129" s="324"/>
      <c r="H129" s="324"/>
      <c r="I129" s="324"/>
      <c r="J129" s="325">
        <v>2.7228690000000002E-3</v>
      </c>
      <c r="M129" s="217"/>
    </row>
    <row r="130" spans="1:13" s="180" customFormat="1">
      <c r="A130" s="57"/>
      <c r="B130" s="1323"/>
      <c r="C130" s="324" t="s">
        <v>2860</v>
      </c>
      <c r="D130" s="324"/>
      <c r="E130" s="324"/>
      <c r="F130" s="324"/>
      <c r="G130" s="324"/>
      <c r="H130" s="324"/>
      <c r="I130" s="324"/>
      <c r="J130" s="325">
        <v>4.4520745E-2</v>
      </c>
      <c r="M130" s="217"/>
    </row>
    <row r="131" spans="1:13" s="180" customFormat="1">
      <c r="A131" s="57"/>
      <c r="B131" s="1323"/>
      <c r="C131" s="324" t="s">
        <v>2861</v>
      </c>
      <c r="D131" s="324"/>
      <c r="E131" s="324"/>
      <c r="F131" s="324"/>
      <c r="G131" s="324"/>
      <c r="H131" s="324"/>
      <c r="I131" s="324"/>
      <c r="J131" s="325">
        <v>6.6176032999999995E-2</v>
      </c>
      <c r="M131" s="217"/>
    </row>
    <row r="132" spans="1:13" s="180" customFormat="1">
      <c r="A132" s="57"/>
      <c r="B132" s="1323"/>
      <c r="C132" s="324" t="s">
        <v>2862</v>
      </c>
      <c r="D132" s="324"/>
      <c r="E132" s="324"/>
      <c r="F132" s="324"/>
      <c r="G132" s="324"/>
      <c r="H132" s="324"/>
      <c r="I132" s="324"/>
      <c r="J132" s="325">
        <v>3.6860999999999998E-5</v>
      </c>
      <c r="M132" s="217"/>
    </row>
    <row r="133" spans="1:13" s="180" customFormat="1" ht="16.2" thickBot="1">
      <c r="A133" s="57"/>
      <c r="B133" s="1325"/>
      <c r="C133" s="328" t="s">
        <v>1256</v>
      </c>
      <c r="D133" s="328"/>
      <c r="E133" s="328"/>
      <c r="F133" s="328"/>
      <c r="G133" s="328"/>
      <c r="H133" s="328"/>
      <c r="I133" s="328"/>
      <c r="J133" s="329">
        <v>0.55385392300000003</v>
      </c>
      <c r="M133" s="217"/>
    </row>
    <row r="134" spans="1:13" s="180" customFormat="1">
      <c r="A134" s="57"/>
      <c r="B134" s="1317"/>
      <c r="C134" s="180" t="s">
        <v>1264</v>
      </c>
      <c r="M134" s="217"/>
    </row>
    <row r="135" spans="1:13" s="180" customFormat="1">
      <c r="A135" s="57"/>
      <c r="B135" s="1317"/>
      <c r="M135" s="217"/>
    </row>
    <row r="136" spans="1:13" s="180" customFormat="1">
      <c r="A136" s="57"/>
      <c r="B136" s="1317"/>
      <c r="M136" s="217"/>
    </row>
    <row r="137" spans="1:13" s="180" customFormat="1">
      <c r="A137" s="57"/>
      <c r="B137" s="1406" t="s">
        <v>2824</v>
      </c>
      <c r="C137" s="172" t="s">
        <v>1265</v>
      </c>
      <c r="M137" s="217"/>
    </row>
    <row r="138" spans="1:13" s="180" customFormat="1">
      <c r="A138" s="57"/>
      <c r="M138" s="217"/>
    </row>
    <row r="139" spans="1:13" s="180" customFormat="1">
      <c r="A139" s="57"/>
      <c r="B139" s="1406" t="s">
        <v>2825</v>
      </c>
      <c r="C139" s="172" t="s">
        <v>1266</v>
      </c>
    </row>
    <row r="140" spans="1:13" s="180" customFormat="1">
      <c r="A140" s="57"/>
      <c r="B140" s="1406" t="s">
        <v>2826</v>
      </c>
      <c r="C140" s="172" t="s">
        <v>1267</v>
      </c>
    </row>
    <row r="141" spans="1:13" s="180" customFormat="1">
      <c r="A141" s="57"/>
      <c r="B141" s="1406"/>
      <c r="M141" s="217"/>
    </row>
    <row r="142" spans="1:13" s="180" customFormat="1">
      <c r="A142" s="57"/>
      <c r="B142" s="1406" t="s">
        <v>2827</v>
      </c>
      <c r="C142" s="172" t="s">
        <v>1268</v>
      </c>
      <c r="M142" s="217"/>
    </row>
    <row r="143" spans="1:13" s="180" customFormat="1">
      <c r="A143" s="57"/>
      <c r="B143" s="1317"/>
      <c r="M143" s="217"/>
    </row>
    <row r="144" spans="1:13" s="180" customFormat="1">
      <c r="A144" s="57"/>
      <c r="B144" s="1317"/>
      <c r="C144" s="729" t="s">
        <v>1268</v>
      </c>
      <c r="D144" s="313"/>
      <c r="E144" s="729" t="s">
        <v>1269</v>
      </c>
      <c r="F144" s="312"/>
      <c r="G144" s="313"/>
      <c r="M144" s="217"/>
    </row>
    <row r="145" spans="1:18" s="180" customFormat="1">
      <c r="A145" s="57"/>
      <c r="B145" s="1326"/>
      <c r="C145" s="726" t="s">
        <v>2819</v>
      </c>
      <c r="D145" s="718"/>
      <c r="E145" s="726" t="s">
        <v>1201</v>
      </c>
      <c r="G145" s="718"/>
      <c r="M145" s="217"/>
    </row>
    <row r="146" spans="1:18" s="180" customFormat="1">
      <c r="A146" s="57"/>
      <c r="B146" s="1326"/>
      <c r="C146" s="726" t="s">
        <v>1204</v>
      </c>
      <c r="D146" s="718"/>
      <c r="E146" s="726" t="s">
        <v>1270</v>
      </c>
      <c r="G146" s="718"/>
      <c r="M146" s="217"/>
    </row>
    <row r="147" spans="1:18" s="180" customFormat="1">
      <c r="A147" s="57"/>
      <c r="B147" s="1317"/>
      <c r="C147" s="726" t="s">
        <v>1206</v>
      </c>
      <c r="D147" s="718"/>
      <c r="E147" s="726" t="s">
        <v>1270</v>
      </c>
      <c r="G147" s="718"/>
      <c r="M147" s="217"/>
      <c r="N147" s="217"/>
      <c r="O147" s="217"/>
      <c r="P147" s="217"/>
      <c r="Q147" s="217"/>
      <c r="R147" s="217"/>
    </row>
    <row r="148" spans="1:18" s="180" customFormat="1">
      <c r="A148" s="57"/>
      <c r="B148" s="1317"/>
      <c r="C148" s="726" t="s">
        <v>1271</v>
      </c>
      <c r="D148" s="718"/>
      <c r="E148" s="726" t="s">
        <v>1270</v>
      </c>
      <c r="G148" s="718"/>
      <c r="M148" s="217"/>
      <c r="N148" s="217"/>
      <c r="O148" s="217"/>
      <c r="P148" s="217"/>
      <c r="Q148" s="217"/>
      <c r="R148" s="217"/>
    </row>
    <row r="149" spans="1:18" s="180" customFormat="1">
      <c r="A149" s="57"/>
      <c r="B149" s="1317"/>
      <c r="C149" s="726" t="s">
        <v>1203</v>
      </c>
      <c r="D149" s="718"/>
      <c r="E149" s="726" t="s">
        <v>1270</v>
      </c>
      <c r="G149" s="718"/>
      <c r="M149" s="217"/>
      <c r="N149" s="217"/>
      <c r="O149" s="217"/>
      <c r="P149" s="217"/>
      <c r="Q149" s="217"/>
      <c r="R149" s="217"/>
    </row>
    <row r="150" spans="1:18" s="180" customFormat="1">
      <c r="A150" s="57"/>
      <c r="B150" s="1317"/>
      <c r="C150" s="726" t="s">
        <v>1272</v>
      </c>
      <c r="D150" s="718"/>
      <c r="E150" s="726" t="s">
        <v>1273</v>
      </c>
      <c r="G150" s="718"/>
      <c r="M150" s="217"/>
      <c r="N150" s="217"/>
      <c r="O150" s="217"/>
      <c r="P150" s="217"/>
      <c r="Q150" s="217"/>
      <c r="R150" s="217"/>
    </row>
    <row r="151" spans="1:18" s="180" customFormat="1">
      <c r="A151" s="57"/>
      <c r="B151" s="1317"/>
      <c r="C151" s="726" t="s">
        <v>1210</v>
      </c>
      <c r="D151" s="718"/>
      <c r="E151" s="726" t="s">
        <v>2692</v>
      </c>
      <c r="G151" s="718"/>
      <c r="M151" s="217"/>
      <c r="N151" s="217"/>
      <c r="O151" s="217"/>
      <c r="P151" s="217"/>
      <c r="Q151" s="217"/>
      <c r="R151" s="217"/>
    </row>
    <row r="152" spans="1:18" s="180" customFormat="1">
      <c r="A152" s="57"/>
      <c r="B152" s="1317"/>
      <c r="C152" s="726" t="s">
        <v>1215</v>
      </c>
      <c r="D152" s="718"/>
      <c r="E152" s="726" t="s">
        <v>1214</v>
      </c>
      <c r="G152" s="718"/>
      <c r="M152" s="217"/>
    </row>
    <row r="153" spans="1:18" s="180" customFormat="1">
      <c r="A153" s="57"/>
      <c r="B153" s="1317"/>
      <c r="C153" s="726" t="s">
        <v>1217</v>
      </c>
      <c r="D153" s="718"/>
      <c r="E153" s="726" t="s">
        <v>1216</v>
      </c>
      <c r="G153" s="718"/>
      <c r="M153" s="217"/>
    </row>
    <row r="154" spans="1:18" s="180" customFormat="1">
      <c r="A154" s="57"/>
      <c r="B154" s="1317"/>
      <c r="C154" s="726" t="s">
        <v>1203</v>
      </c>
      <c r="D154" s="718"/>
      <c r="E154" s="726" t="s">
        <v>1213</v>
      </c>
      <c r="G154" s="718"/>
      <c r="M154" s="217"/>
    </row>
    <row r="155" spans="1:18" s="180" customFormat="1">
      <c r="A155" s="57"/>
      <c r="B155" s="1317"/>
      <c r="C155" s="727" t="s">
        <v>1219</v>
      </c>
      <c r="D155" s="718"/>
      <c r="E155" s="727" t="s">
        <v>1218</v>
      </c>
      <c r="G155" s="718"/>
      <c r="M155" s="217"/>
    </row>
    <row r="156" spans="1:18" s="180" customFormat="1">
      <c r="A156" s="57"/>
      <c r="B156" s="1317"/>
      <c r="C156" s="727" t="s">
        <v>1221</v>
      </c>
      <c r="D156" s="718"/>
      <c r="E156" s="727" t="s">
        <v>1220</v>
      </c>
      <c r="G156" s="718"/>
      <c r="M156" s="217"/>
    </row>
    <row r="157" spans="1:18" s="180" customFormat="1">
      <c r="A157" s="57"/>
      <c r="B157" s="1317"/>
      <c r="C157" s="726" t="s">
        <v>1274</v>
      </c>
      <c r="D157" s="718"/>
      <c r="E157" s="726" t="s">
        <v>1222</v>
      </c>
      <c r="G157" s="718"/>
      <c r="M157" s="217"/>
    </row>
    <row r="158" spans="1:18" s="180" customFormat="1">
      <c r="A158" s="57"/>
      <c r="B158" s="1317"/>
      <c r="C158" s="726" t="s">
        <v>1275</v>
      </c>
      <c r="D158" s="718"/>
      <c r="E158" s="726" t="s">
        <v>1276</v>
      </c>
      <c r="G158" s="718"/>
      <c r="M158" s="217"/>
    </row>
    <row r="159" spans="1:18" s="180" customFormat="1">
      <c r="A159" s="57"/>
      <c r="B159" s="1317"/>
      <c r="C159" s="726" t="s">
        <v>1277</v>
      </c>
      <c r="D159" s="718"/>
      <c r="E159" s="726" t="s">
        <v>1278</v>
      </c>
      <c r="G159" s="718"/>
      <c r="M159" s="217"/>
    </row>
    <row r="160" spans="1:18" s="180" customFormat="1">
      <c r="A160" s="57"/>
      <c r="B160" s="1317"/>
      <c r="C160" s="726" t="s">
        <v>1279</v>
      </c>
      <c r="D160" s="718"/>
      <c r="E160" s="726" t="s">
        <v>1278</v>
      </c>
      <c r="G160" s="718"/>
      <c r="M160" s="217"/>
    </row>
    <row r="161" spans="1:16" s="180" customFormat="1">
      <c r="A161" s="57"/>
      <c r="B161" s="1317"/>
      <c r="C161" s="726" t="s">
        <v>1280</v>
      </c>
      <c r="D161" s="718"/>
      <c r="E161" s="726" t="s">
        <v>1278</v>
      </c>
      <c r="G161" s="718"/>
      <c r="M161" s="217"/>
    </row>
    <row r="162" spans="1:16" s="180" customFormat="1">
      <c r="A162" s="57"/>
      <c r="B162" s="1317"/>
      <c r="C162" s="726" t="s">
        <v>1281</v>
      </c>
      <c r="D162" s="718"/>
      <c r="E162" s="726" t="s">
        <v>1278</v>
      </c>
      <c r="G162" s="718"/>
      <c r="M162" s="217"/>
    </row>
    <row r="163" spans="1:16" s="180" customFormat="1">
      <c r="A163" s="57"/>
      <c r="B163" s="1317"/>
      <c r="C163" s="726" t="s">
        <v>1284</v>
      </c>
      <c r="D163" s="718"/>
      <c r="E163" s="726" t="s">
        <v>1283</v>
      </c>
      <c r="G163" s="718"/>
      <c r="M163" s="217"/>
    </row>
    <row r="164" spans="1:16" s="180" customFormat="1">
      <c r="A164" s="57"/>
      <c r="B164" s="1317"/>
      <c r="C164" s="726" t="s">
        <v>1282</v>
      </c>
      <c r="D164" s="718"/>
      <c r="E164" s="726" t="s">
        <v>1283</v>
      </c>
      <c r="G164" s="718"/>
      <c r="M164" s="217"/>
    </row>
    <row r="165" spans="1:16" s="180" customFormat="1">
      <c r="A165" s="57"/>
      <c r="B165" s="1317"/>
      <c r="C165" s="728"/>
      <c r="D165" s="723"/>
      <c r="E165" s="728"/>
      <c r="F165" s="324"/>
      <c r="G165" s="723"/>
      <c r="M165" s="217"/>
    </row>
    <row r="166" spans="1:16" s="180" customFormat="1">
      <c r="A166" s="57"/>
      <c r="B166" s="1317"/>
      <c r="C166" s="330"/>
      <c r="E166" s="222"/>
      <c r="M166" s="217"/>
    </row>
    <row r="167" spans="1:16" s="180" customFormat="1">
      <c r="A167" s="57"/>
      <c r="B167" s="1317"/>
      <c r="M167" s="217"/>
    </row>
    <row r="168" spans="1:16" s="180" customFormat="1">
      <c r="A168" s="57"/>
      <c r="B168" s="1317"/>
      <c r="C168" s="181" t="s">
        <v>1285</v>
      </c>
      <c r="E168" s="180" t="s">
        <v>1239</v>
      </c>
      <c r="M168" s="217"/>
    </row>
    <row r="169" spans="1:16" s="180" customFormat="1">
      <c r="A169" s="57"/>
      <c r="B169" s="1317"/>
      <c r="C169" s="5" t="s">
        <v>1286</v>
      </c>
      <c r="E169" s="180" t="s">
        <v>1287</v>
      </c>
      <c r="M169" s="217"/>
    </row>
    <row r="170" spans="1:16" s="180" customFormat="1">
      <c r="A170" s="57"/>
      <c r="B170" s="1317"/>
      <c r="C170" s="176" t="s">
        <v>1288</v>
      </c>
      <c r="E170" s="880">
        <v>0.99998160000000003</v>
      </c>
      <c r="M170" s="217"/>
    </row>
    <row r="171" spans="1:16" s="180" customFormat="1">
      <c r="A171" s="57"/>
      <c r="B171" s="1317"/>
      <c r="C171" s="5" t="s">
        <v>1289</v>
      </c>
      <c r="E171" s="180" t="s">
        <v>1290</v>
      </c>
      <c r="M171" s="217"/>
    </row>
    <row r="173" spans="1:16">
      <c r="C173" s="10" t="s">
        <v>1439</v>
      </c>
    </row>
    <row r="174" spans="1:16">
      <c r="C174" s="10"/>
    </row>
    <row r="175" spans="1:16">
      <c r="C175" s="10" t="s">
        <v>1440</v>
      </c>
    </row>
    <row r="176" spans="1:16" s="270" customFormat="1" ht="42.75" customHeight="1">
      <c r="A176" s="271"/>
      <c r="B176" s="271"/>
      <c r="C176" s="1539" t="s">
        <v>3018</v>
      </c>
      <c r="D176" s="1539"/>
      <c r="E176" s="1539"/>
      <c r="F176" s="1539"/>
      <c r="G176" s="1539"/>
      <c r="H176" s="1539"/>
      <c r="I176" s="1539"/>
      <c r="J176" s="1539"/>
      <c r="K176" s="1539"/>
      <c r="L176" s="1539"/>
      <c r="M176" s="1548"/>
      <c r="N176" s="1548"/>
      <c r="O176" s="1548"/>
      <c r="P176" s="1548"/>
    </row>
    <row r="177" spans="3:14">
      <c r="C177" s="10" t="s">
        <v>1441</v>
      </c>
    </row>
    <row r="178" spans="3:14" ht="10.35" customHeight="1"/>
    <row r="179" spans="3:14">
      <c r="C179" s="10" t="s">
        <v>1442</v>
      </c>
    </row>
    <row r="180" spans="3:14" ht="10.35" customHeight="1"/>
    <row r="181" spans="3:14" ht="37.5" customHeight="1">
      <c r="C181" s="1541" t="s">
        <v>1443</v>
      </c>
      <c r="D181" s="1541"/>
      <c r="E181" s="1541"/>
      <c r="F181" s="1541"/>
      <c r="G181" s="1541"/>
      <c r="H181" s="1541"/>
      <c r="I181" s="1541"/>
      <c r="J181" s="1541"/>
      <c r="K181" s="1541"/>
      <c r="L181" s="1541"/>
      <c r="N181" s="271"/>
    </row>
    <row r="182" spans="3:14" ht="10.35" customHeight="1">
      <c r="C182" s="1541"/>
      <c r="D182" s="1541"/>
      <c r="E182" s="1541"/>
      <c r="F182" s="1541"/>
      <c r="G182" s="1541"/>
      <c r="H182" s="1541"/>
      <c r="I182" s="1541"/>
      <c r="J182" s="1541"/>
      <c r="K182" s="1541"/>
      <c r="L182" s="1541"/>
    </row>
    <row r="183" spans="3:14" ht="46.35" customHeight="1">
      <c r="C183" s="1541"/>
      <c r="D183" s="1541"/>
      <c r="E183" s="1541"/>
      <c r="F183" s="1541"/>
      <c r="G183" s="1541"/>
      <c r="H183" s="1541"/>
      <c r="I183" s="1541"/>
      <c r="J183" s="1541"/>
      <c r="K183" s="1541"/>
      <c r="L183" s="1541"/>
    </row>
    <row r="184" spans="3:14" ht="10.35" customHeight="1">
      <c r="C184" s="1541"/>
      <c r="D184" s="1541"/>
      <c r="E184" s="1541"/>
      <c r="F184" s="1541"/>
      <c r="G184" s="1541"/>
      <c r="H184" s="1541"/>
      <c r="I184" s="1541"/>
      <c r="J184" s="1541"/>
      <c r="K184" s="1541"/>
      <c r="L184" s="1541"/>
    </row>
    <row r="185" spans="3:14" ht="27.75" customHeight="1">
      <c r="C185" s="1541"/>
      <c r="D185" s="1541"/>
      <c r="E185" s="1541"/>
      <c r="F185" s="1541"/>
      <c r="G185" s="1541"/>
      <c r="H185" s="1541"/>
      <c r="I185" s="1541"/>
      <c r="J185" s="1541"/>
      <c r="K185" s="1541"/>
      <c r="L185" s="1541"/>
    </row>
    <row r="186" spans="3:14" ht="8.1" customHeight="1">
      <c r="C186" s="1541"/>
      <c r="D186" s="1541"/>
      <c r="E186" s="1541"/>
      <c r="F186" s="1541"/>
      <c r="G186" s="1541"/>
      <c r="H186" s="1541"/>
      <c r="I186" s="1541"/>
      <c r="J186" s="1541"/>
      <c r="K186" s="1541"/>
      <c r="L186" s="1541"/>
    </row>
    <row r="187" spans="3:14" ht="24.6" customHeight="1">
      <c r="C187" s="1541"/>
      <c r="D187" s="1541"/>
      <c r="E187" s="1541"/>
      <c r="F187" s="1541"/>
      <c r="G187" s="1541"/>
      <c r="H187" s="1541"/>
      <c r="I187" s="1541"/>
      <c r="J187" s="1541"/>
      <c r="K187" s="1541"/>
      <c r="L187" s="1541"/>
    </row>
    <row r="188" spans="3:14" ht="6.6" hidden="1" customHeight="1">
      <c r="C188" s="1541"/>
      <c r="D188" s="1541"/>
      <c r="E188" s="1541"/>
      <c r="F188" s="1541"/>
      <c r="G188" s="1541"/>
      <c r="H188" s="1541"/>
      <c r="I188" s="1541"/>
      <c r="J188" s="1541"/>
      <c r="K188" s="1541"/>
      <c r="L188" s="1541"/>
    </row>
    <row r="189" spans="3:14" ht="16.350000000000001" customHeight="1">
      <c r="C189" s="270"/>
      <c r="D189" s="270"/>
      <c r="E189" s="270"/>
      <c r="F189" s="270"/>
      <c r="G189" s="270"/>
      <c r="H189" s="270"/>
      <c r="I189" s="270"/>
      <c r="J189" s="270"/>
      <c r="K189" s="270"/>
      <c r="L189" s="270"/>
    </row>
    <row r="190" spans="3:14" ht="12.75" customHeight="1">
      <c r="C190" s="272" t="s">
        <v>1444</v>
      </c>
    </row>
    <row r="191" spans="3:14" ht="6.75" customHeight="1"/>
    <row r="192" spans="3:14" ht="13.35" customHeight="1">
      <c r="C192" s="1" t="s">
        <v>1445</v>
      </c>
    </row>
    <row r="193" spans="1:14" ht="13.35" customHeight="1" thickBot="1"/>
    <row r="194" spans="1:14" ht="31.5" customHeight="1" thickBot="1">
      <c r="C194" s="1557" t="s">
        <v>1446</v>
      </c>
      <c r="D194" s="1566" t="s">
        <v>1447</v>
      </c>
      <c r="E194" s="1566"/>
      <c r="F194" s="1557" t="s">
        <v>1448</v>
      </c>
      <c r="G194" s="273" t="s">
        <v>1449</v>
      </c>
      <c r="H194" s="273" t="s">
        <v>1450</v>
      </c>
      <c r="I194" s="273" t="s">
        <v>1451</v>
      </c>
    </row>
    <row r="195" spans="1:14" ht="16.2" thickBot="1">
      <c r="C195" s="1557"/>
      <c r="D195" s="215" t="s">
        <v>1452</v>
      </c>
      <c r="E195" s="215" t="s">
        <v>1453</v>
      </c>
      <c r="F195" s="1567"/>
      <c r="G195" s="215" t="s">
        <v>1454</v>
      </c>
      <c r="H195" s="215" t="s">
        <v>1454</v>
      </c>
      <c r="I195" s="215" t="s">
        <v>1454</v>
      </c>
    </row>
    <row r="196" spans="1:14" ht="19.2" customHeight="1" thickBot="1">
      <c r="C196" s="274" t="s">
        <v>2972</v>
      </c>
      <c r="D196" s="275" t="s">
        <v>1242</v>
      </c>
      <c r="E196" s="276">
        <v>54350</v>
      </c>
      <c r="F196" s="275" t="s">
        <v>1455</v>
      </c>
      <c r="G196" s="277">
        <v>1000000</v>
      </c>
      <c r="H196" s="277">
        <v>54350000000</v>
      </c>
      <c r="I196" s="277">
        <v>54350000000</v>
      </c>
    </row>
    <row r="197" spans="1:14" ht="19.2" customHeight="1" thickBot="1">
      <c r="C197" s="274" t="s">
        <v>1456</v>
      </c>
      <c r="D197" s="275" t="s">
        <v>1242</v>
      </c>
      <c r="E197" s="276">
        <v>54350</v>
      </c>
      <c r="F197" s="275" t="s">
        <v>1455</v>
      </c>
      <c r="G197" s="277">
        <v>1000000</v>
      </c>
      <c r="H197" s="277">
        <v>54350000000</v>
      </c>
      <c r="I197" s="277">
        <v>54350000000</v>
      </c>
    </row>
    <row r="198" spans="1:14" ht="13.35" customHeight="1"/>
    <row r="200" spans="1:14">
      <c r="C200" s="272" t="s">
        <v>1457</v>
      </c>
    </row>
    <row r="201" spans="1:14" ht="10.35" customHeight="1"/>
    <row r="202" spans="1:14" s="270" customFormat="1" ht="22.2" customHeight="1">
      <c r="A202" s="271"/>
      <c r="B202" s="271"/>
      <c r="C202" s="1539" t="s">
        <v>1458</v>
      </c>
      <c r="D202" s="1539"/>
      <c r="E202" s="1539"/>
      <c r="F202" s="1539"/>
      <c r="G202" s="1539"/>
      <c r="H202" s="1539"/>
      <c r="I202" s="1539"/>
      <c r="J202" s="1539"/>
      <c r="K202" s="1539"/>
      <c r="L202" s="1539"/>
      <c r="N202" s="271"/>
    </row>
    <row r="203" spans="1:14" s="270" customFormat="1" ht="7.5" customHeight="1">
      <c r="A203" s="271"/>
      <c r="B203" s="271"/>
      <c r="N203" s="271"/>
    </row>
    <row r="204" spans="1:14" s="270" customFormat="1" ht="15.75" customHeight="1">
      <c r="A204" s="271"/>
      <c r="B204" s="271"/>
      <c r="C204" s="1543" t="s">
        <v>1459</v>
      </c>
      <c r="D204" s="1543"/>
      <c r="E204" s="1543"/>
      <c r="F204" s="1543"/>
      <c r="G204" s="1543"/>
      <c r="H204" s="1543"/>
      <c r="I204" s="1543"/>
      <c r="J204" s="1543"/>
      <c r="K204" s="1543"/>
      <c r="L204" s="1543"/>
      <c r="N204" s="271"/>
    </row>
    <row r="205" spans="1:14" s="270" customFormat="1" ht="16.2" thickBot="1">
      <c r="A205" s="271"/>
      <c r="B205" s="271"/>
      <c r="N205" s="271"/>
    </row>
    <row r="206" spans="1:14" s="270" customFormat="1" ht="31.8" thickBot="1">
      <c r="A206" s="271"/>
      <c r="B206" s="271"/>
      <c r="E206" s="1566" t="s">
        <v>1460</v>
      </c>
      <c r="F206" s="1566"/>
      <c r="G206" s="278" t="s">
        <v>1461</v>
      </c>
      <c r="H206" s="279" t="s">
        <v>1462</v>
      </c>
      <c r="I206" s="279" t="s">
        <v>1463</v>
      </c>
      <c r="L206" s="271"/>
    </row>
    <row r="207" spans="1:14" ht="16.2" thickBot="1">
      <c r="E207" s="1570" t="s">
        <v>1455</v>
      </c>
      <c r="F207" s="1570"/>
      <c r="G207" s="1457" t="s">
        <v>1455</v>
      </c>
      <c r="H207" s="280">
        <v>600000000</v>
      </c>
      <c r="I207" s="281">
        <v>2.2700000000000001E-2</v>
      </c>
      <c r="L207" s="57"/>
      <c r="N207" s="1"/>
    </row>
    <row r="208" spans="1:14" ht="13.35" customHeight="1">
      <c r="C208" s="282"/>
      <c r="D208" s="283"/>
      <c r="E208" s="283"/>
      <c r="F208" s="282"/>
      <c r="G208" s="282"/>
      <c r="H208" s="282"/>
      <c r="I208" s="282"/>
    </row>
    <row r="209" spans="3:12" ht="13.35" customHeight="1">
      <c r="C209" s="282"/>
      <c r="D209" s="283"/>
      <c r="E209" s="283"/>
      <c r="F209" s="282"/>
      <c r="G209" s="282"/>
      <c r="H209" s="282"/>
      <c r="I209" s="282"/>
    </row>
    <row r="210" spans="3:12">
      <c r="C210" s="10" t="s">
        <v>1464</v>
      </c>
    </row>
    <row r="212" spans="3:12">
      <c r="C212" s="10" t="s">
        <v>1465</v>
      </c>
    </row>
    <row r="213" spans="3:12" ht="6.75" customHeight="1">
      <c r="C213" s="10"/>
      <c r="D213" s="119"/>
      <c r="E213" s="119"/>
      <c r="F213" s="119"/>
      <c r="G213" s="119"/>
      <c r="H213" s="119"/>
      <c r="I213" s="119"/>
      <c r="J213" s="119"/>
      <c r="K213" s="119"/>
      <c r="L213" s="119"/>
    </row>
    <row r="214" spans="3:12" ht="15.75" customHeight="1">
      <c r="C214" s="1" t="s">
        <v>1466</v>
      </c>
    </row>
    <row r="215" spans="3:12" ht="10.35" customHeight="1"/>
    <row r="216" spans="3:12">
      <c r="C216" s="10" t="s">
        <v>1467</v>
      </c>
    </row>
    <row r="217" spans="3:12" ht="6.75" customHeight="1">
      <c r="C217" s="10"/>
      <c r="D217" s="119"/>
      <c r="E217" s="119"/>
      <c r="F217" s="119"/>
      <c r="G217" s="119"/>
      <c r="H217" s="119"/>
      <c r="I217" s="119"/>
      <c r="J217" s="119"/>
      <c r="K217" s="119"/>
      <c r="L217" s="119"/>
    </row>
    <row r="218" spans="3:12" ht="46.8" customHeight="1">
      <c r="C218" s="1541" t="s">
        <v>3028</v>
      </c>
      <c r="D218" s="1541"/>
      <c r="E218" s="1541"/>
      <c r="F218" s="1541"/>
      <c r="G218" s="1541"/>
      <c r="H218" s="1541"/>
      <c r="I218" s="1541"/>
      <c r="J218" s="1541"/>
      <c r="K218" s="1541"/>
      <c r="L218" s="1541"/>
    </row>
    <row r="219" spans="3:12">
      <c r="C219" s="119"/>
      <c r="D219" s="119"/>
      <c r="E219" s="119"/>
      <c r="F219" s="119"/>
      <c r="G219" s="119"/>
      <c r="H219" s="119"/>
      <c r="I219" s="119"/>
      <c r="J219" s="119"/>
      <c r="K219" s="119"/>
      <c r="L219" s="119"/>
    </row>
    <row r="220" spans="3:12">
      <c r="C220" s="9" t="s">
        <v>1468</v>
      </c>
      <c r="D220" s="119"/>
      <c r="E220" s="119"/>
      <c r="F220" s="119"/>
      <c r="G220" s="119"/>
      <c r="H220" s="119"/>
      <c r="I220" s="119"/>
      <c r="J220" s="119"/>
      <c r="K220" s="119"/>
      <c r="L220" s="119"/>
    </row>
    <row r="221" spans="3:12" ht="6.75" customHeight="1">
      <c r="C221" s="10"/>
      <c r="D221" s="119"/>
      <c r="E221" s="119"/>
      <c r="F221" s="119"/>
      <c r="G221" s="119"/>
      <c r="H221" s="119"/>
      <c r="I221" s="119"/>
      <c r="J221" s="119"/>
      <c r="K221" s="119"/>
      <c r="L221" s="119"/>
    </row>
    <row r="222" spans="3:12" ht="33.6" customHeight="1">
      <c r="C222" s="1541" t="s">
        <v>1469</v>
      </c>
      <c r="D222" s="1541"/>
      <c r="E222" s="1541"/>
      <c r="F222" s="1541"/>
      <c r="G222" s="1541"/>
      <c r="H222" s="1541"/>
      <c r="I222" s="1541"/>
      <c r="J222" s="1541"/>
      <c r="K222" s="1541"/>
      <c r="L222" s="1541"/>
    </row>
    <row r="223" spans="3:12">
      <c r="C223" s="119"/>
      <c r="D223" s="119"/>
      <c r="E223" s="119"/>
      <c r="F223" s="119"/>
      <c r="G223" s="119"/>
      <c r="H223" s="119"/>
      <c r="I223" s="119"/>
      <c r="J223" s="119"/>
      <c r="K223" s="119"/>
      <c r="L223" s="119"/>
    </row>
    <row r="224" spans="3:12">
      <c r="C224" s="10" t="s">
        <v>1470</v>
      </c>
      <c r="D224" s="119"/>
      <c r="E224" s="119"/>
      <c r="F224" s="119"/>
      <c r="G224" s="119"/>
      <c r="H224" s="119"/>
      <c r="I224" s="119"/>
      <c r="J224" s="119"/>
      <c r="K224" s="119"/>
      <c r="L224" s="119"/>
    </row>
    <row r="225" spans="1:14" ht="10.35" customHeight="1">
      <c r="C225" s="10"/>
    </row>
    <row r="226" spans="1:14">
      <c r="C226" s="9" t="s">
        <v>1471</v>
      </c>
      <c r="D226" s="119"/>
      <c r="E226" s="119"/>
      <c r="F226" s="119"/>
      <c r="G226" s="119"/>
      <c r="H226" s="119"/>
      <c r="I226" s="119"/>
      <c r="J226" s="119"/>
      <c r="K226" s="119"/>
      <c r="L226" s="119"/>
    </row>
    <row r="227" spans="1:14" ht="6.75" customHeight="1">
      <c r="C227" s="10"/>
      <c r="D227" s="119"/>
      <c r="E227" s="119"/>
      <c r="F227" s="119"/>
      <c r="G227" s="119"/>
      <c r="H227" s="119"/>
      <c r="I227" s="119"/>
      <c r="J227" s="119"/>
      <c r="K227" s="119"/>
      <c r="L227" s="119"/>
    </row>
    <row r="228" spans="1:14" ht="48.6" customHeight="1">
      <c r="C228" s="1540" t="s">
        <v>3065</v>
      </c>
      <c r="D228" s="1540"/>
      <c r="E228" s="1540"/>
      <c r="F228" s="1540"/>
      <c r="G228" s="1540"/>
      <c r="H228" s="1540"/>
      <c r="I228" s="1540"/>
      <c r="J228" s="1540"/>
      <c r="K228" s="1540"/>
      <c r="L228" s="1540"/>
    </row>
    <row r="229" spans="1:14">
      <c r="C229" s="119"/>
      <c r="D229" s="119"/>
      <c r="E229" s="119"/>
      <c r="F229" s="119"/>
      <c r="G229" s="119"/>
      <c r="H229" s="119"/>
      <c r="I229" s="119"/>
      <c r="J229" s="119"/>
      <c r="K229" s="119"/>
      <c r="L229" s="119"/>
    </row>
    <row r="230" spans="1:14" ht="14.1" customHeight="1">
      <c r="C230" s="9" t="s">
        <v>1472</v>
      </c>
      <c r="D230" s="9"/>
      <c r="E230" s="9"/>
      <c r="F230" s="9"/>
      <c r="G230" s="9"/>
      <c r="H230" s="9"/>
      <c r="I230" s="9"/>
      <c r="J230" s="9"/>
      <c r="K230" s="9"/>
      <c r="L230" s="9"/>
    </row>
    <row r="231" spans="1:14" ht="6.75" customHeight="1">
      <c r="C231" s="10"/>
      <c r="D231" s="119"/>
      <c r="E231" s="119"/>
      <c r="F231" s="119"/>
      <c r="G231" s="119"/>
      <c r="H231" s="119"/>
      <c r="I231" s="119"/>
      <c r="J231" s="119"/>
      <c r="K231" s="119"/>
      <c r="L231" s="119"/>
    </row>
    <row r="232" spans="1:14" ht="12" customHeight="1">
      <c r="C232" s="10" t="s">
        <v>1473</v>
      </c>
    </row>
    <row r="233" spans="1:14" ht="6.75" customHeight="1">
      <c r="C233" s="10"/>
      <c r="D233" s="119"/>
      <c r="E233" s="119"/>
      <c r="F233" s="119"/>
      <c r="G233" s="119"/>
      <c r="H233" s="119"/>
      <c r="I233" s="119"/>
      <c r="J233" s="119"/>
      <c r="K233" s="119"/>
      <c r="L233" s="119"/>
    </row>
    <row r="234" spans="1:14" ht="46.2" customHeight="1">
      <c r="C234" s="1539" t="s">
        <v>1474</v>
      </c>
      <c r="D234" s="1539"/>
      <c r="E234" s="1539"/>
      <c r="F234" s="1539"/>
      <c r="G234" s="1539"/>
      <c r="H234" s="1539"/>
      <c r="I234" s="1539"/>
      <c r="J234" s="1539"/>
      <c r="K234" s="1539"/>
      <c r="L234" s="1539"/>
    </row>
    <row r="235" spans="1:14" s="118" customFormat="1" ht="18" customHeight="1">
      <c r="A235" s="284"/>
      <c r="B235" s="284"/>
      <c r="C235" s="270"/>
      <c r="D235" s="270"/>
      <c r="E235" s="270"/>
      <c r="F235" s="270"/>
      <c r="G235" s="270"/>
      <c r="H235" s="270"/>
      <c r="I235" s="270"/>
      <c r="J235" s="270"/>
      <c r="K235" s="270"/>
      <c r="L235" s="270"/>
      <c r="N235" s="284"/>
    </row>
    <row r="236" spans="1:14">
      <c r="C236" s="10" t="s">
        <v>1475</v>
      </c>
      <c r="D236" s="119"/>
      <c r="E236" s="119"/>
      <c r="F236" s="119"/>
      <c r="G236" s="119"/>
      <c r="H236" s="119"/>
      <c r="I236" s="119"/>
      <c r="J236" s="119"/>
      <c r="K236" s="119"/>
      <c r="L236" s="119"/>
    </row>
    <row r="237" spans="1:14" ht="6.75" customHeight="1">
      <c r="C237" s="10"/>
      <c r="D237" s="119"/>
      <c r="E237" s="119"/>
      <c r="F237" s="119"/>
      <c r="G237" s="119"/>
      <c r="H237" s="119"/>
      <c r="I237" s="119"/>
      <c r="J237" s="119"/>
      <c r="K237" s="119"/>
      <c r="L237" s="119"/>
    </row>
    <row r="238" spans="1:14" ht="52.8" customHeight="1">
      <c r="C238" s="1569" t="s">
        <v>1476</v>
      </c>
      <c r="D238" s="1569"/>
      <c r="E238" s="1569"/>
      <c r="F238" s="1569"/>
      <c r="G238" s="1569"/>
      <c r="H238" s="1569"/>
      <c r="I238" s="1569"/>
      <c r="J238" s="1569"/>
      <c r="K238" s="1569"/>
      <c r="L238" s="1569"/>
    </row>
    <row r="239" spans="1:14" ht="13.35" customHeight="1">
      <c r="C239" s="119"/>
      <c r="D239" s="119"/>
      <c r="E239" s="119"/>
      <c r="F239" s="119"/>
      <c r="G239" s="119"/>
      <c r="H239" s="119"/>
      <c r="I239" s="119"/>
      <c r="J239" s="119"/>
      <c r="K239" s="119"/>
      <c r="L239" s="119"/>
    </row>
    <row r="240" spans="1:14" ht="13.35" customHeight="1">
      <c r="C240" s="10" t="s">
        <v>1477</v>
      </c>
      <c r="D240" s="119"/>
      <c r="E240" s="119"/>
      <c r="F240" s="119"/>
      <c r="G240" s="119"/>
      <c r="H240" s="119"/>
      <c r="I240" s="119"/>
      <c r="J240" s="119"/>
      <c r="K240" s="119"/>
      <c r="L240" s="119"/>
    </row>
    <row r="241" spans="1:14" ht="6.75" customHeight="1">
      <c r="C241" s="10"/>
      <c r="D241" s="119"/>
      <c r="E241" s="119"/>
      <c r="F241" s="119"/>
      <c r="G241" s="119"/>
      <c r="H241" s="119"/>
      <c r="I241" s="119"/>
      <c r="J241" s="119"/>
      <c r="K241" s="119"/>
      <c r="L241" s="119"/>
    </row>
    <row r="242" spans="1:14" ht="34.200000000000003" customHeight="1">
      <c r="C242" s="1539" t="s">
        <v>1478</v>
      </c>
      <c r="D242" s="1539"/>
      <c r="E242" s="1539"/>
      <c r="F242" s="1539"/>
      <c r="G242" s="1539"/>
      <c r="H242" s="1539"/>
      <c r="I242" s="1539"/>
      <c r="J242" s="1539"/>
      <c r="K242" s="1539"/>
      <c r="L242" s="1539"/>
    </row>
    <row r="243" spans="1:14" s="118" customFormat="1" ht="18" customHeight="1">
      <c r="A243" s="284"/>
      <c r="B243" s="284"/>
      <c r="C243" s="270"/>
      <c r="D243" s="270"/>
      <c r="E243" s="270"/>
      <c r="F243" s="270"/>
      <c r="G243" s="270"/>
      <c r="H243" s="270"/>
      <c r="I243" s="270"/>
      <c r="J243" s="270"/>
      <c r="K243" s="270"/>
      <c r="L243" s="270"/>
      <c r="N243" s="284"/>
    </row>
    <row r="244" spans="1:14" ht="13.35" customHeight="1">
      <c r="C244" s="10" t="s">
        <v>1479</v>
      </c>
      <c r="D244" s="119"/>
      <c r="E244" s="119"/>
      <c r="F244" s="119"/>
      <c r="G244" s="119"/>
      <c r="H244" s="119"/>
      <c r="I244" s="119"/>
      <c r="J244" s="119"/>
      <c r="K244" s="119"/>
      <c r="L244" s="119"/>
    </row>
    <row r="245" spans="1:14" ht="6.75" customHeight="1">
      <c r="C245" s="10"/>
      <c r="D245" s="119"/>
      <c r="E245" s="119"/>
      <c r="F245" s="119"/>
      <c r="G245" s="119"/>
      <c r="H245" s="119"/>
      <c r="I245" s="119"/>
      <c r="J245" s="119"/>
      <c r="K245" s="119"/>
      <c r="L245" s="119"/>
    </row>
    <row r="246" spans="1:14" ht="48.6" customHeight="1">
      <c r="C246" s="1539" t="s">
        <v>3029</v>
      </c>
      <c r="D246" s="1539"/>
      <c r="E246" s="1539"/>
      <c r="F246" s="1539"/>
      <c r="G246" s="1539"/>
      <c r="H246" s="1539"/>
      <c r="I246" s="1539"/>
      <c r="J246" s="1539"/>
      <c r="K246" s="1539"/>
      <c r="L246" s="1539"/>
    </row>
    <row r="247" spans="1:14" s="118" customFormat="1" ht="18" customHeight="1">
      <c r="A247" s="284"/>
      <c r="B247" s="284"/>
      <c r="C247" s="270"/>
      <c r="D247" s="270"/>
      <c r="E247" s="270"/>
      <c r="F247" s="270"/>
      <c r="G247" s="270"/>
      <c r="H247" s="270"/>
      <c r="I247" s="270"/>
      <c r="J247" s="270"/>
      <c r="K247" s="270"/>
      <c r="L247" s="270"/>
      <c r="N247" s="284"/>
    </row>
    <row r="248" spans="1:14">
      <c r="C248" s="10" t="s">
        <v>1480</v>
      </c>
    </row>
    <row r="249" spans="1:14" ht="6.75" customHeight="1">
      <c r="C249" s="10"/>
      <c r="D249" s="119"/>
      <c r="E249" s="119"/>
      <c r="F249" s="119"/>
      <c r="G249" s="119"/>
      <c r="H249" s="119"/>
      <c r="I249" s="119"/>
      <c r="J249" s="119"/>
      <c r="K249" s="119"/>
      <c r="L249" s="119"/>
    </row>
    <row r="250" spans="1:14" s="118" customFormat="1" ht="37.950000000000003" customHeight="1">
      <c r="A250" s="284"/>
      <c r="B250" s="284"/>
      <c r="C250" s="1569" t="s">
        <v>1481</v>
      </c>
      <c r="D250" s="1569"/>
      <c r="E250" s="1569"/>
      <c r="F250" s="1569"/>
      <c r="G250" s="1569"/>
      <c r="H250" s="1569"/>
      <c r="I250" s="1569"/>
      <c r="J250" s="1569"/>
      <c r="K250" s="1569"/>
      <c r="L250" s="1569"/>
      <c r="N250" s="284"/>
    </row>
    <row r="251" spans="1:14" s="118" customFormat="1" ht="18" customHeight="1">
      <c r="A251" s="284"/>
      <c r="B251" s="284"/>
      <c r="C251" s="270"/>
      <c r="D251" s="270"/>
      <c r="E251" s="270"/>
      <c r="F251" s="270"/>
      <c r="G251" s="270"/>
      <c r="H251" s="270"/>
      <c r="I251" s="270"/>
      <c r="J251" s="270"/>
      <c r="K251" s="270"/>
      <c r="L251" s="270"/>
      <c r="N251" s="284"/>
    </row>
    <row r="252" spans="1:14">
      <c r="C252" s="10" t="s">
        <v>1482</v>
      </c>
    </row>
    <row r="253" spans="1:14" ht="6.75" customHeight="1">
      <c r="C253" s="10"/>
      <c r="D253" s="119"/>
      <c r="E253" s="119"/>
      <c r="F253" s="119"/>
      <c r="G253" s="119"/>
      <c r="H253" s="119"/>
      <c r="I253" s="119"/>
      <c r="J253" s="119"/>
      <c r="K253" s="119"/>
      <c r="L253" s="119"/>
    </row>
    <row r="254" spans="1:14" ht="39" customHeight="1">
      <c r="C254" s="1569" t="s">
        <v>1483</v>
      </c>
      <c r="D254" s="1569"/>
      <c r="E254" s="1569"/>
      <c r="F254" s="1569"/>
      <c r="G254" s="1569"/>
      <c r="H254" s="1569"/>
      <c r="I254" s="1569"/>
      <c r="J254" s="1569"/>
      <c r="K254" s="1569"/>
      <c r="L254" s="1569"/>
    </row>
    <row r="255" spans="1:14" s="118" customFormat="1" ht="18" customHeight="1">
      <c r="A255" s="284"/>
      <c r="B255" s="284"/>
      <c r="C255" s="270"/>
      <c r="D255" s="270"/>
      <c r="E255" s="270"/>
      <c r="F255" s="270"/>
      <c r="G255" s="270"/>
      <c r="H255" s="270"/>
      <c r="I255" s="270"/>
      <c r="J255" s="270"/>
      <c r="K255" s="270"/>
      <c r="L255" s="270"/>
      <c r="N255" s="284"/>
    </row>
    <row r="256" spans="1:14">
      <c r="C256" s="10" t="s">
        <v>1484</v>
      </c>
      <c r="D256" s="270"/>
      <c r="E256" s="270"/>
      <c r="F256" s="270"/>
      <c r="G256" s="270"/>
      <c r="H256" s="270"/>
      <c r="I256" s="270"/>
      <c r="J256" s="270"/>
      <c r="K256" s="270"/>
      <c r="L256" s="270"/>
    </row>
    <row r="257" spans="3:12" ht="6.75" customHeight="1">
      <c r="C257" s="10"/>
      <c r="D257" s="119"/>
      <c r="E257" s="119"/>
      <c r="F257" s="119"/>
      <c r="G257" s="119"/>
      <c r="H257" s="119"/>
      <c r="I257" s="119"/>
      <c r="J257" s="119"/>
      <c r="K257" s="119"/>
      <c r="L257" s="119"/>
    </row>
    <row r="258" spans="3:12" ht="198.6" customHeight="1">
      <c r="C258" s="1569" t="s">
        <v>3030</v>
      </c>
      <c r="D258" s="1569"/>
      <c r="E258" s="1569"/>
      <c r="F258" s="1569"/>
      <c r="G258" s="1569"/>
      <c r="H258" s="1569"/>
      <c r="I258" s="1569"/>
      <c r="J258" s="1569"/>
      <c r="K258" s="1569"/>
      <c r="L258" s="1569"/>
    </row>
    <row r="260" spans="3:12">
      <c r="C260" s="10" t="s">
        <v>1485</v>
      </c>
      <c r="D260" s="10"/>
      <c r="E260" s="10"/>
      <c r="F260" s="10"/>
      <c r="G260" s="10"/>
      <c r="H260" s="10"/>
    </row>
    <row r="261" spans="3:12" ht="6.75" customHeight="1">
      <c r="C261" s="10"/>
      <c r="D261" s="119"/>
      <c r="E261" s="119"/>
      <c r="F261" s="119"/>
      <c r="G261" s="119"/>
      <c r="H261" s="119"/>
      <c r="I261" s="119"/>
      <c r="J261" s="119"/>
      <c r="K261" s="119"/>
      <c r="L261" s="119"/>
    </row>
    <row r="262" spans="3:12" ht="15.6" customHeight="1">
      <c r="C262" s="1539" t="s">
        <v>3031</v>
      </c>
      <c r="D262" s="1539"/>
      <c r="E262" s="1539"/>
      <c r="F262" s="1539"/>
      <c r="G262" s="1539"/>
      <c r="H262" s="1539"/>
      <c r="I262" s="1539"/>
      <c r="J262" s="1539"/>
      <c r="K262" s="1539"/>
      <c r="L262" s="1539"/>
    </row>
    <row r="264" spans="3:12">
      <c r="C264" s="102" t="s">
        <v>1832</v>
      </c>
      <c r="D264" s="184"/>
      <c r="E264" s="184"/>
      <c r="F264" s="184"/>
      <c r="G264" s="184"/>
      <c r="H264" s="184"/>
      <c r="I264" s="184"/>
      <c r="J264" s="184"/>
    </row>
    <row r="265" spans="3:12">
      <c r="C265" s="102"/>
      <c r="D265" s="184"/>
      <c r="E265" s="184"/>
      <c r="F265" s="184"/>
      <c r="G265" s="184"/>
      <c r="H265" s="184"/>
      <c r="I265" s="184"/>
      <c r="J265" s="184"/>
    </row>
    <row r="266" spans="3:12" ht="49.8" customHeight="1">
      <c r="C266" s="1542" t="s">
        <v>1833</v>
      </c>
      <c r="D266" s="1542"/>
      <c r="E266" s="1542"/>
      <c r="F266" s="1542"/>
      <c r="G266" s="1542"/>
      <c r="H266" s="1542"/>
      <c r="I266" s="1542"/>
      <c r="J266" s="1542"/>
    </row>
    <row r="267" spans="3:12" ht="16.2" thickBot="1">
      <c r="D267" s="184"/>
      <c r="E267" s="184"/>
      <c r="F267" s="184"/>
      <c r="G267" s="184"/>
      <c r="H267" s="184"/>
      <c r="I267" s="184"/>
      <c r="J267" s="184"/>
    </row>
    <row r="268" spans="3:12" ht="31.2">
      <c r="C268" s="482" t="s">
        <v>1834</v>
      </c>
      <c r="D268" s="185" t="s">
        <v>3019</v>
      </c>
      <c r="E268" s="185" t="s">
        <v>1835</v>
      </c>
      <c r="G268" s="186"/>
      <c r="H268" s="186"/>
      <c r="I268" s="186"/>
      <c r="J268" s="186"/>
    </row>
    <row r="269" spans="3:12" ht="19.2" customHeight="1">
      <c r="C269" s="187" t="s">
        <v>1836</v>
      </c>
      <c r="D269" s="1078">
        <v>7831.26</v>
      </c>
      <c r="E269" s="402">
        <v>7263.59</v>
      </c>
      <c r="G269" s="184"/>
      <c r="H269" s="184"/>
      <c r="I269" s="184"/>
      <c r="J269" s="184"/>
    </row>
    <row r="270" spans="3:12" ht="19.2" customHeight="1" thickBot="1">
      <c r="C270" s="188" t="s">
        <v>1837</v>
      </c>
      <c r="D270" s="1079">
        <v>7831.26</v>
      </c>
      <c r="E270" s="403">
        <v>7283.62</v>
      </c>
      <c r="G270" s="184"/>
      <c r="H270" s="184"/>
      <c r="I270" s="184"/>
      <c r="J270" s="184"/>
    </row>
    <row r="271" spans="3:12">
      <c r="C271" s="184"/>
      <c r="D271" s="184"/>
      <c r="E271" s="189"/>
      <c r="F271" s="189"/>
      <c r="G271" s="184"/>
      <c r="H271" s="184"/>
      <c r="I271" s="184"/>
      <c r="J271" s="184"/>
    </row>
    <row r="272" spans="3:12">
      <c r="C272" s="184"/>
      <c r="D272" s="184"/>
      <c r="E272" s="189"/>
      <c r="F272" s="189"/>
      <c r="G272" s="184"/>
      <c r="H272" s="184"/>
      <c r="I272" s="184"/>
      <c r="J272" s="184"/>
    </row>
    <row r="273" spans="3:10">
      <c r="C273" s="102" t="s">
        <v>1838</v>
      </c>
      <c r="D273" s="184"/>
      <c r="E273" s="184"/>
      <c r="F273" s="184"/>
      <c r="G273" s="184"/>
      <c r="H273" s="184"/>
      <c r="I273" s="184"/>
      <c r="J273" s="184"/>
    </row>
    <row r="274" spans="3:10" ht="15.6" customHeight="1">
      <c r="C274" s="1543" t="s">
        <v>1839</v>
      </c>
      <c r="D274" s="1543"/>
      <c r="E274" s="1543"/>
      <c r="F274" s="1543"/>
      <c r="G274" s="1543"/>
      <c r="H274" s="1543"/>
      <c r="I274" s="1543"/>
      <c r="J274" s="184"/>
    </row>
    <row r="275" spans="3:10" ht="16.2" thickBot="1">
      <c r="C275" s="1544" t="s">
        <v>1840</v>
      </c>
      <c r="D275" s="1544"/>
      <c r="E275" s="1544"/>
      <c r="F275" s="1544"/>
      <c r="G275" s="1544"/>
      <c r="H275" s="1544"/>
      <c r="I275" s="1544"/>
      <c r="J275" s="184"/>
    </row>
    <row r="276" spans="3:10" ht="16.2" thickBot="1">
      <c r="C276" s="1529" t="s">
        <v>1841</v>
      </c>
      <c r="D276" s="267" t="s">
        <v>1842</v>
      </c>
      <c r="E276" s="267" t="s">
        <v>1842</v>
      </c>
      <c r="F276" s="267" t="s">
        <v>1843</v>
      </c>
      <c r="G276" s="267" t="s">
        <v>3020</v>
      </c>
      <c r="H276" s="267" t="s">
        <v>1843</v>
      </c>
      <c r="I276" s="190" t="s">
        <v>1844</v>
      </c>
      <c r="J276" s="191"/>
    </row>
    <row r="277" spans="3:10" ht="16.2" thickBot="1">
      <c r="C277" s="1529"/>
      <c r="D277" s="474" t="s">
        <v>1845</v>
      </c>
      <c r="E277" s="474" t="s">
        <v>1846</v>
      </c>
      <c r="F277" s="480">
        <v>45657</v>
      </c>
      <c r="G277" s="481" t="s">
        <v>1454</v>
      </c>
      <c r="H277" s="480">
        <v>45291</v>
      </c>
      <c r="I277" s="471" t="s">
        <v>2598</v>
      </c>
      <c r="J277" s="192"/>
    </row>
    <row r="278" spans="3:10">
      <c r="C278" s="369" t="s">
        <v>1847</v>
      </c>
      <c r="D278" s="475"/>
      <c r="E278" s="478"/>
      <c r="F278" s="478"/>
      <c r="G278" s="478"/>
      <c r="H278" s="478"/>
      <c r="I278" s="472"/>
      <c r="J278" s="192"/>
    </row>
    <row r="279" spans="3:10">
      <c r="C279" s="171" t="s">
        <v>1848</v>
      </c>
      <c r="D279" s="229"/>
      <c r="E279" s="484"/>
      <c r="F279" s="162"/>
      <c r="G279" s="162"/>
      <c r="H279" s="162"/>
      <c r="I279" s="177"/>
      <c r="J279" s="194"/>
    </row>
    <row r="280" spans="3:10">
      <c r="C280" s="173" t="s">
        <v>13</v>
      </c>
      <c r="D280" s="229" t="s">
        <v>1849</v>
      </c>
      <c r="E280" s="485">
        <f>+SUMIFS(Composición!H:H,Composición!E:E,"USD",Composición!B:B,Notas!C280)</f>
        <v>298319.15999999968</v>
      </c>
      <c r="F280" s="485">
        <f>+$D$269</f>
        <v>7831.26</v>
      </c>
      <c r="G280" s="464">
        <f>+E280*F280</f>
        <v>2336214904.9415975</v>
      </c>
      <c r="H280" s="485">
        <f>+$E$269</f>
        <v>7263.59</v>
      </c>
      <c r="I280" s="447">
        <f>+SUMIFS(Composición!J:J,Composición!E:E,"usd",Composición!A:A,"activo",Composición!B:B,Notas!C280)-3</f>
        <v>4318901778</v>
      </c>
      <c r="J280" s="856"/>
    </row>
    <row r="281" spans="3:10">
      <c r="C281" s="171" t="s">
        <v>1850</v>
      </c>
      <c r="D281" s="476"/>
      <c r="E281" s="486"/>
      <c r="F281" s="485"/>
      <c r="G281" s="463"/>
      <c r="H281" s="485"/>
      <c r="I281" s="447"/>
      <c r="J281" s="194"/>
    </row>
    <row r="282" spans="3:10">
      <c r="C282" s="173" t="s">
        <v>654</v>
      </c>
      <c r="D282" s="229" t="s">
        <v>1849</v>
      </c>
      <c r="E282" s="485">
        <f>+SUMIFS(Composición!H:H,Composición!E:E,"USD",Composición!B:B,Notas!C282)</f>
        <v>80281.370000000054</v>
      </c>
      <c r="F282" s="485">
        <f>+$D$269</f>
        <v>7831.26</v>
      </c>
      <c r="G282" s="464">
        <f>+E282*F282</f>
        <v>628704281.62620044</v>
      </c>
      <c r="H282" s="485">
        <f>+$E$269</f>
        <v>7263.59</v>
      </c>
      <c r="I282" s="447">
        <f>+SUMIFS(Composición!J:J,Composición!E:E,"usd",Composición!A:A,"activo",Composición!B:B,Notas!C282)</f>
        <v>434222931</v>
      </c>
      <c r="J282" s="196"/>
    </row>
    <row r="283" spans="3:10">
      <c r="C283" s="171" t="s">
        <v>1852</v>
      </c>
      <c r="D283" s="229"/>
      <c r="E283" s="485"/>
      <c r="F283" s="485"/>
      <c r="G283" s="464"/>
      <c r="H283" s="485"/>
      <c r="I283" s="447"/>
      <c r="J283" s="196"/>
    </row>
    <row r="284" spans="3:10">
      <c r="C284" s="173" t="s">
        <v>661</v>
      </c>
      <c r="D284" s="229" t="s">
        <v>1849</v>
      </c>
      <c r="E284" s="485">
        <f>+SUMIFS(Composición!H:H,Composición!E:E,"USD",Composición!B:B,Notas!C284)</f>
        <v>9012.3700000000044</v>
      </c>
      <c r="F284" s="485">
        <f>+$D$269</f>
        <v>7831.26</v>
      </c>
      <c r="G284" s="464">
        <f>+E284*F284</f>
        <v>70578212.686200038</v>
      </c>
      <c r="H284" s="485">
        <f>+$E$269</f>
        <v>7263.59</v>
      </c>
      <c r="I284" s="447">
        <f>1572.095*H284</f>
        <v>11419053.521050001</v>
      </c>
      <c r="J284" s="196"/>
    </row>
    <row r="285" spans="3:10">
      <c r="C285" s="171" t="s">
        <v>1341</v>
      </c>
      <c r="D285" s="229"/>
      <c r="E285" s="485"/>
      <c r="F285" s="485"/>
      <c r="G285" s="464"/>
      <c r="H285" s="485"/>
      <c r="I285" s="447"/>
      <c r="J285" s="192"/>
    </row>
    <row r="286" spans="3:10">
      <c r="C286" s="173" t="s">
        <v>1853</v>
      </c>
      <c r="D286" s="229" t="s">
        <v>1849</v>
      </c>
      <c r="E286" s="485">
        <f>+Composición!H217</f>
        <v>180000</v>
      </c>
      <c r="F286" s="485">
        <f t="shared" ref="F286:F299" si="0">+$D$269</f>
        <v>7831.26</v>
      </c>
      <c r="G286" s="464">
        <f t="shared" ref="G286:G299" si="1">+E286*F286</f>
        <v>1409626800</v>
      </c>
      <c r="H286" s="485">
        <f t="shared" ref="H286:H293" si="2">+$E$269</f>
        <v>7263.59</v>
      </c>
      <c r="I286" s="447">
        <f>+Composición!J217</f>
        <v>1815897500</v>
      </c>
      <c r="J286" s="192"/>
    </row>
    <row r="287" spans="3:10">
      <c r="C287" s="173" t="s">
        <v>56</v>
      </c>
      <c r="D287" s="229" t="s">
        <v>1849</v>
      </c>
      <c r="E287" s="485">
        <f>+Composición!H211</f>
        <v>275000</v>
      </c>
      <c r="F287" s="485">
        <f t="shared" si="0"/>
        <v>7831.26</v>
      </c>
      <c r="G287" s="464">
        <f t="shared" ref="G287" si="3">+E287*F287</f>
        <v>2153596500</v>
      </c>
      <c r="H287" s="485">
        <f t="shared" si="2"/>
        <v>7263.59</v>
      </c>
      <c r="I287" s="643">
        <f>+Composición!J211</f>
        <v>0</v>
      </c>
      <c r="J287" s="192"/>
    </row>
    <row r="288" spans="3:10">
      <c r="C288" s="173" t="s">
        <v>3032</v>
      </c>
      <c r="D288" s="229" t="s">
        <v>1849</v>
      </c>
      <c r="E288" s="485">
        <f>+Composición!H231</f>
        <v>882000</v>
      </c>
      <c r="F288" s="485">
        <f t="shared" si="0"/>
        <v>7831.26</v>
      </c>
      <c r="G288" s="1404">
        <f>+E288*F288</f>
        <v>6907171320</v>
      </c>
      <c r="H288" s="485">
        <f t="shared" si="2"/>
        <v>7263.59</v>
      </c>
      <c r="I288" s="643">
        <f>+Composición!J231</f>
        <v>0</v>
      </c>
      <c r="J288" s="192"/>
    </row>
    <row r="289" spans="3:10">
      <c r="C289" s="173" t="s">
        <v>526</v>
      </c>
      <c r="D289" s="229" t="s">
        <v>1849</v>
      </c>
      <c r="E289" s="485">
        <f>+Composición!H214</f>
        <v>146000</v>
      </c>
      <c r="F289" s="485">
        <f t="shared" si="0"/>
        <v>7831.26</v>
      </c>
      <c r="G289" s="1444">
        <f t="shared" si="1"/>
        <v>1143363960</v>
      </c>
      <c r="H289" s="485">
        <f t="shared" si="2"/>
        <v>7263.59</v>
      </c>
      <c r="I289" s="643">
        <f>+Composición!J214</f>
        <v>0</v>
      </c>
      <c r="J289" s="192"/>
    </row>
    <row r="290" spans="3:10">
      <c r="C290" s="173" t="s">
        <v>62</v>
      </c>
      <c r="D290" s="229" t="s">
        <v>1849</v>
      </c>
      <c r="E290" s="643">
        <f>+Composición!H221+Composición!H237</f>
        <v>0</v>
      </c>
      <c r="F290" s="485">
        <f t="shared" si="0"/>
        <v>7831.26</v>
      </c>
      <c r="G290" s="643">
        <f t="shared" si="1"/>
        <v>0</v>
      </c>
      <c r="H290" s="485">
        <f t="shared" si="2"/>
        <v>7263.59</v>
      </c>
      <c r="I290" s="447">
        <f>+Composición!J221+Composición!J237</f>
        <v>2062859560</v>
      </c>
      <c r="J290" s="192"/>
    </row>
    <row r="291" spans="3:10">
      <c r="C291" s="173" t="s">
        <v>1854</v>
      </c>
      <c r="D291" s="229" t="s">
        <v>1849</v>
      </c>
      <c r="E291" s="485">
        <f>+Composición!H325+Composición!H321+Composición!H323+Composición!H333</f>
        <v>234292.3900000006</v>
      </c>
      <c r="F291" s="485">
        <f t="shared" si="0"/>
        <v>7831.26</v>
      </c>
      <c r="G291" s="464">
        <f t="shared" si="1"/>
        <v>1834804622.1114047</v>
      </c>
      <c r="H291" s="485">
        <f t="shared" si="2"/>
        <v>7263.59</v>
      </c>
      <c r="I291" s="447">
        <f>+Composición!J321+Composición!J327+Composición!J337+Composición!J325+Composición!J333</f>
        <v>709558222</v>
      </c>
      <c r="J291" s="192"/>
    </row>
    <row r="292" spans="3:10">
      <c r="C292" s="173" t="s">
        <v>1855</v>
      </c>
      <c r="D292" s="229" t="s">
        <v>1849</v>
      </c>
      <c r="E292" s="485">
        <f>+Composición!H356+Composición!H352+Composición!H354+Composición!H364</f>
        <v>-228543.35999999923</v>
      </c>
      <c r="F292" s="485">
        <f t="shared" si="0"/>
        <v>7831.26</v>
      </c>
      <c r="G292" s="464">
        <f t="shared" si="1"/>
        <v>-1789782473.433594</v>
      </c>
      <c r="H292" s="485">
        <f t="shared" si="2"/>
        <v>7263.59</v>
      </c>
      <c r="I292" s="447">
        <f>+Composición!J354+Composición!J356+Composición!J358+Composición!J364+Composición!J352+Composición!J368+Composición!J364</f>
        <v>-690191370</v>
      </c>
      <c r="J292" s="192"/>
    </row>
    <row r="293" spans="3:10">
      <c r="C293" s="173" t="s">
        <v>1856</v>
      </c>
      <c r="D293" s="229" t="s">
        <v>1849</v>
      </c>
      <c r="E293" s="485">
        <f>+Composición!H291+Composición!H295+Composición!H293+Composición!H289</f>
        <v>778.1399999999993</v>
      </c>
      <c r="F293" s="485">
        <f t="shared" si="0"/>
        <v>7831.26</v>
      </c>
      <c r="G293" s="464">
        <f t="shared" si="1"/>
        <v>6093816.6563999951</v>
      </c>
      <c r="H293" s="485">
        <f t="shared" si="2"/>
        <v>7263.59</v>
      </c>
      <c r="I293" s="447">
        <f>+Composición!J291+Composición!J295+Composición!J293</f>
        <v>7798844</v>
      </c>
      <c r="J293" s="192"/>
    </row>
    <row r="294" spans="3:10">
      <c r="C294" s="173" t="s">
        <v>27</v>
      </c>
      <c r="D294" s="229" t="s">
        <v>1849</v>
      </c>
      <c r="E294" s="485">
        <f>+SUMIFS(Composición!H:H,Composición!E:E,"USD",Composición!B:B,Notas!C294)-Composición!H157</f>
        <v>77476.100000010803</v>
      </c>
      <c r="F294" s="485">
        <f t="shared" si="0"/>
        <v>7831.26</v>
      </c>
      <c r="G294" s="464">
        <f t="shared" si="1"/>
        <v>606735482.88608468</v>
      </c>
      <c r="H294" s="485">
        <v>7263.59</v>
      </c>
      <c r="I294" s="447">
        <v>336957068</v>
      </c>
      <c r="J294" s="192"/>
    </row>
    <row r="295" spans="3:10">
      <c r="C295" s="173" t="s">
        <v>1858</v>
      </c>
      <c r="D295" s="229" t="s">
        <v>1849</v>
      </c>
      <c r="E295" s="485">
        <f>+Composición!H434</f>
        <v>1313000</v>
      </c>
      <c r="F295" s="485">
        <f t="shared" si="0"/>
        <v>7831.26</v>
      </c>
      <c r="G295" s="464">
        <f t="shared" si="1"/>
        <v>10282444380</v>
      </c>
      <c r="H295" s="485">
        <f>+$E$269</f>
        <v>7263.59</v>
      </c>
      <c r="I295" s="447">
        <f>+Composición!J434</f>
        <v>7837413610</v>
      </c>
      <c r="J295" s="192"/>
    </row>
    <row r="296" spans="3:10">
      <c r="C296" s="173" t="s">
        <v>1859</v>
      </c>
      <c r="D296" s="229" t="s">
        <v>1849</v>
      </c>
      <c r="E296" s="485">
        <f>+Composición!H439</f>
        <v>315307.3899999999</v>
      </c>
      <c r="F296" s="485">
        <f t="shared" si="0"/>
        <v>7831.26</v>
      </c>
      <c r="G296" s="464">
        <f t="shared" si="1"/>
        <v>2469254151.0113993</v>
      </c>
      <c r="H296" s="485">
        <f>+$E$269</f>
        <v>7263.59</v>
      </c>
      <c r="I296" s="447">
        <f>+Composición!J439</f>
        <v>2493044516</v>
      </c>
      <c r="J296" s="192"/>
    </row>
    <row r="297" spans="3:10">
      <c r="C297" s="173" t="s">
        <v>1860</v>
      </c>
      <c r="D297" s="229" t="s">
        <v>1849</v>
      </c>
      <c r="E297" s="485">
        <f>+Composición!H443</f>
        <v>-301198.48</v>
      </c>
      <c r="F297" s="485">
        <f t="shared" si="0"/>
        <v>7831.26</v>
      </c>
      <c r="G297" s="464">
        <f t="shared" si="1"/>
        <v>-2358763608.4847999</v>
      </c>
      <c r="H297" s="485">
        <f>+$E$269</f>
        <v>7263.59</v>
      </c>
      <c r="I297" s="447">
        <f>+Composición!J443</f>
        <v>-2409845743</v>
      </c>
      <c r="J297" s="192"/>
    </row>
    <row r="298" spans="3:10">
      <c r="C298" s="173" t="s">
        <v>1861</v>
      </c>
      <c r="D298" s="229" t="s">
        <v>1849</v>
      </c>
      <c r="E298" s="485">
        <f>+Composición!H447</f>
        <v>2963.7199999999993</v>
      </c>
      <c r="F298" s="485">
        <f t="shared" si="0"/>
        <v>7831.26</v>
      </c>
      <c r="G298" s="464">
        <f t="shared" si="1"/>
        <v>23209661.887199994</v>
      </c>
      <c r="H298" s="485">
        <f>+$E$269</f>
        <v>7263.59</v>
      </c>
      <c r="I298" s="447">
        <f>+Composición!J447</f>
        <v>22147761</v>
      </c>
      <c r="J298" s="192"/>
    </row>
    <row r="299" spans="3:10">
      <c r="C299" s="173" t="s">
        <v>769</v>
      </c>
      <c r="D299" s="229" t="s">
        <v>1849</v>
      </c>
      <c r="E299" s="485">
        <f>+Composición!H390+Composición!H414</f>
        <v>-88596.23</v>
      </c>
      <c r="F299" s="485">
        <f t="shared" si="0"/>
        <v>7831.26</v>
      </c>
      <c r="G299" s="464">
        <f t="shared" si="1"/>
        <v>-693820112.14979994</v>
      </c>
      <c r="H299" s="485">
        <f>+$E$269</f>
        <v>7263.59</v>
      </c>
      <c r="I299" s="447">
        <f>+Composición!J390+Composición!J414</f>
        <v>-429744274</v>
      </c>
      <c r="J299" s="192"/>
    </row>
    <row r="300" spans="3:10">
      <c r="C300" s="173"/>
      <c r="D300" s="229"/>
      <c r="E300" s="485"/>
      <c r="F300" s="485"/>
      <c r="G300" s="464"/>
      <c r="H300" s="485"/>
      <c r="I300" s="447"/>
      <c r="J300" s="192"/>
    </row>
    <row r="301" spans="3:10">
      <c r="C301" s="171" t="s">
        <v>1863</v>
      </c>
      <c r="D301" s="229" t="s">
        <v>1849</v>
      </c>
      <c r="E301" s="486">
        <f>SUM(E279:E299)</f>
        <v>3196092.5700000119</v>
      </c>
      <c r="F301" s="485"/>
      <c r="G301" s="483">
        <f>SUM(G279:G299)+1</f>
        <v>25029431900.738297</v>
      </c>
      <c r="H301" s="485"/>
      <c r="I301" s="483">
        <f>SUM(I279:I299)</f>
        <v>16520439456.521049</v>
      </c>
      <c r="J301" s="1166">
        <v>3323390.21</v>
      </c>
    </row>
    <row r="302" spans="3:10">
      <c r="C302" s="171"/>
      <c r="D302" s="229"/>
      <c r="E302" s="1230">
        <v>3844110.87</v>
      </c>
      <c r="F302" s="1231">
        <f>+E302-E301</f>
        <v>648018.29999998817</v>
      </c>
      <c r="G302" s="483"/>
      <c r="H302" s="485"/>
      <c r="I302" s="487"/>
      <c r="J302" s="1228"/>
    </row>
    <row r="303" spans="3:10">
      <c r="C303" s="171" t="s">
        <v>1864</v>
      </c>
      <c r="D303" s="477"/>
      <c r="E303" s="486"/>
      <c r="F303" s="485"/>
      <c r="G303" s="463"/>
      <c r="H303" s="485"/>
      <c r="I303" s="447"/>
      <c r="J303" s="1167"/>
    </row>
    <row r="304" spans="3:10">
      <c r="C304" s="171" t="s">
        <v>1341</v>
      </c>
      <c r="D304" s="477"/>
      <c r="E304" s="486"/>
      <c r="F304" s="485"/>
      <c r="G304" s="463"/>
      <c r="H304" s="485"/>
      <c r="I304" s="447"/>
      <c r="J304" s="1167"/>
    </row>
    <row r="305" spans="3:10">
      <c r="C305" s="173" t="s">
        <v>1857</v>
      </c>
      <c r="D305" s="229" t="s">
        <v>1849</v>
      </c>
      <c r="E305" s="485">
        <f>-Composición!H777-Composición!H772-Composición!H778</f>
        <v>-47.69</v>
      </c>
      <c r="F305" s="485">
        <f>+$D$269</f>
        <v>7831.26</v>
      </c>
      <c r="G305" s="464">
        <f>E305*F305</f>
        <v>-373472.78940000001</v>
      </c>
      <c r="H305" s="485">
        <f>+$E$270</f>
        <v>7283.62</v>
      </c>
      <c r="I305" s="447">
        <f>-(+Composición!J269+Composición!J273+Composición!J275+Composición!J285+Composición!J263)</f>
        <v>-5042893</v>
      </c>
      <c r="J305" s="1167"/>
    </row>
    <row r="306" spans="3:10">
      <c r="C306" s="173" t="s">
        <v>1862</v>
      </c>
      <c r="D306" s="229" t="s">
        <v>1849</v>
      </c>
      <c r="E306" s="485">
        <f>-Composición!H788</f>
        <v>-0.27</v>
      </c>
      <c r="F306" s="485">
        <f>+$D$269</f>
        <v>7831.26</v>
      </c>
      <c r="G306" s="464">
        <f>+E306*F306</f>
        <v>-2114.4402</v>
      </c>
      <c r="H306" s="485">
        <f>+$E$269</f>
        <v>7263.59</v>
      </c>
      <c r="I306" s="447">
        <f>-Composición!J451</f>
        <v>-1816</v>
      </c>
      <c r="J306" s="192"/>
    </row>
    <row r="307" spans="3:10">
      <c r="C307" s="171" t="s">
        <v>522</v>
      </c>
      <c r="D307" s="477"/>
      <c r="E307" s="486"/>
      <c r="F307" s="485"/>
      <c r="G307" s="643"/>
      <c r="H307" s="485"/>
      <c r="I307" s="447"/>
      <c r="J307" s="1168"/>
    </row>
    <row r="308" spans="3:10">
      <c r="C308" s="173" t="s">
        <v>196</v>
      </c>
      <c r="D308" s="229" t="s">
        <v>1849</v>
      </c>
      <c r="E308" s="485">
        <f>-+SUMIFS(Composición!H:H,Composición!E:E,"USD",Composición!B:B,Notas!C308)</f>
        <v>-65534.960000038147</v>
      </c>
      <c r="F308" s="485">
        <f>+$D$270</f>
        <v>7831.26</v>
      </c>
      <c r="G308" s="464">
        <f>+E308*F308</f>
        <v>-513221310.84989876</v>
      </c>
      <c r="H308" s="485">
        <f>+$E$270</f>
        <v>7283.62</v>
      </c>
      <c r="I308" s="447">
        <f>-17644.805*H308</f>
        <v>-128518054.5941</v>
      </c>
      <c r="J308" s="1168"/>
    </row>
    <row r="309" spans="3:10">
      <c r="C309" s="173" t="s">
        <v>1865</v>
      </c>
      <c r="D309" s="229" t="s">
        <v>1849</v>
      </c>
      <c r="E309" s="485">
        <f>-+SUMIFS(Composición!H:H,Composición!E:E,"USD",Composición!B:B,Notas!C309)</f>
        <v>-72334.220000000088</v>
      </c>
      <c r="F309" s="485">
        <f>+$D$270</f>
        <v>7831.26</v>
      </c>
      <c r="G309" s="464">
        <f>+E309*F309</f>
        <v>-566468083.71720076</v>
      </c>
      <c r="H309" s="485">
        <f>+$E$270</f>
        <v>7283.62</v>
      </c>
      <c r="I309" s="447">
        <f>-+SUMIFS(Composición!J:J,Composición!A:A,"pasivo",Composición!E:E,"usd",Composición!B:B,Notas!C309)</f>
        <v>-409532751</v>
      </c>
      <c r="J309" s="1168"/>
    </row>
    <row r="310" spans="3:10">
      <c r="C310" s="171" t="s">
        <v>1866</v>
      </c>
      <c r="D310" s="229"/>
      <c r="E310" s="485"/>
      <c r="F310" s="485"/>
      <c r="G310" s="464"/>
      <c r="H310" s="485"/>
      <c r="I310" s="447"/>
      <c r="J310" s="1168"/>
    </row>
    <row r="311" spans="3:10">
      <c r="C311" s="173" t="s">
        <v>1867</v>
      </c>
      <c r="D311" s="229" t="s">
        <v>1849</v>
      </c>
      <c r="E311" s="485">
        <f>-+SUMIFS(Composición!H:H,Composición!E:E,"USD",Composición!B:B,Notas!C311)</f>
        <v>-647843.71999999881</v>
      </c>
      <c r="F311" s="485">
        <f>+$D$270</f>
        <v>7831.26</v>
      </c>
      <c r="G311" s="464">
        <f>+E311*F311</f>
        <v>-5073432610.687191</v>
      </c>
      <c r="H311" s="485">
        <f>+$E$270</f>
        <v>7283.62</v>
      </c>
      <c r="I311" s="643">
        <f>+SUMIFS(Composición!J:J,Composición!A:A,"pasivo",Composición!E:E,"usd",Composición!B:B,Notas!C311)</f>
        <v>0</v>
      </c>
      <c r="J311" s="1168"/>
    </row>
    <row r="312" spans="3:10">
      <c r="C312" s="171" t="s">
        <v>1359</v>
      </c>
      <c r="D312" s="477"/>
      <c r="E312" s="486"/>
      <c r="F312" s="485"/>
      <c r="G312" s="463"/>
      <c r="H312" s="485"/>
      <c r="I312" s="447"/>
      <c r="J312" s="1168"/>
    </row>
    <row r="313" spans="3:10" hidden="1">
      <c r="C313" s="158" t="s">
        <v>1868</v>
      </c>
      <c r="D313" s="229" t="s">
        <v>1849</v>
      </c>
      <c r="E313" s="645">
        <f>+SUMIFS(Composición!H:H,Composición!E:E,"USD",Composición!B:B,Notas!C313)</f>
        <v>0</v>
      </c>
      <c r="F313" s="485">
        <f>+$D$270</f>
        <v>7831.26</v>
      </c>
      <c r="G313" s="645">
        <f>+E313*F313</f>
        <v>0</v>
      </c>
      <c r="H313" s="485">
        <f>+$E$270</f>
        <v>7283.62</v>
      </c>
      <c r="I313" s="643">
        <f>-+SUMIFS(Composición!J:J,Composición!A:A,"pasivo",Composición!E:E,"usd",Composición!B:B,Notas!C313)</f>
        <v>0</v>
      </c>
      <c r="J313" s="1168"/>
    </row>
    <row r="314" spans="3:10">
      <c r="C314" s="158" t="s">
        <v>1869</v>
      </c>
      <c r="D314" s="229" t="s">
        <v>1849</v>
      </c>
      <c r="E314" s="485">
        <f>-+SUMIFS(Composición!H:H,Composición!E:E,"USD",Composición!B:B,Notas!C314)</f>
        <v>-1280914.68</v>
      </c>
      <c r="F314" s="485">
        <f>+$D$270</f>
        <v>7831.26</v>
      </c>
      <c r="G314" s="464">
        <f>+E314*F314</f>
        <v>-10031175896.896799</v>
      </c>
      <c r="H314" s="485">
        <f>+$E$270</f>
        <v>7283.62</v>
      </c>
      <c r="I314" s="447">
        <f>-1063876.013*H314</f>
        <v>-7748868605.8070602</v>
      </c>
      <c r="J314" s="1169"/>
    </row>
    <row r="315" spans="3:10">
      <c r="C315" s="158" t="s">
        <v>863</v>
      </c>
      <c r="D315" s="229" t="s">
        <v>1849</v>
      </c>
      <c r="E315" s="485">
        <f>-(+Composición!H859+Composición!H831+Composición!H814+Composición!H837+Composición!H686)</f>
        <v>-12829.840000000007</v>
      </c>
      <c r="F315" s="485">
        <f>+$D$270</f>
        <v>7831.26</v>
      </c>
      <c r="G315" s="464">
        <f>+E315*F315</f>
        <v>-100473812.79840006</v>
      </c>
      <c r="H315" s="485">
        <f>+$E$270</f>
        <v>7283.62</v>
      </c>
      <c r="I315" s="447">
        <f>-8411.68*H315</f>
        <v>-61267480.681600004</v>
      </c>
      <c r="J315" s="1169"/>
    </row>
    <row r="316" spans="3:10">
      <c r="C316" s="173"/>
      <c r="D316" s="229"/>
      <c r="E316" s="485"/>
      <c r="F316" s="464"/>
      <c r="G316" s="464"/>
      <c r="H316" s="464"/>
      <c r="I316" s="447"/>
      <c r="J316" s="1168"/>
    </row>
    <row r="317" spans="3:10">
      <c r="C317" s="163" t="s">
        <v>1364</v>
      </c>
      <c r="D317" s="229" t="s">
        <v>1849</v>
      </c>
      <c r="E317" s="486">
        <f>SUM(E305:E315)</f>
        <v>-2079505.3800000371</v>
      </c>
      <c r="F317" s="464"/>
      <c r="G317" s="463">
        <f>+SUM(G305:G315)</f>
        <v>-16285147302.17909</v>
      </c>
      <c r="H317" s="464"/>
      <c r="I317" s="444">
        <f>+SUM(I304:I315)</f>
        <v>-8353231601.0827599</v>
      </c>
      <c r="J317" s="1170">
        <v>1428425.81</v>
      </c>
    </row>
    <row r="318" spans="3:10">
      <c r="C318" s="173"/>
      <c r="D318" s="229"/>
      <c r="E318" s="485"/>
      <c r="F318" s="464"/>
      <c r="G318" s="464"/>
      <c r="H318" s="464"/>
      <c r="I318" s="447"/>
      <c r="J318" s="1168"/>
    </row>
    <row r="319" spans="3:10" ht="16.2" thickBot="1">
      <c r="C319" s="167" t="s">
        <v>1870</v>
      </c>
      <c r="D319" s="230"/>
      <c r="E319" s="490">
        <f>+E301+E317</f>
        <v>1116587.1899999748</v>
      </c>
      <c r="F319" s="466"/>
      <c r="G319" s="489">
        <f>+G301+G317</f>
        <v>8744284598.559206</v>
      </c>
      <c r="H319" s="465"/>
      <c r="I319" s="489">
        <f>+I301+I317</f>
        <v>8167207855.4382896</v>
      </c>
      <c r="J319" s="1170">
        <v>8353231630</v>
      </c>
    </row>
    <row r="320" spans="3:10">
      <c r="C320" s="710" t="s">
        <v>2599</v>
      </c>
      <c r="D320" s="184"/>
      <c r="E320" s="1232">
        <v>2631154.09</v>
      </c>
      <c r="F320" s="184"/>
      <c r="G320" s="184"/>
      <c r="H320" s="184"/>
      <c r="I320" s="184"/>
      <c r="J320" s="1171"/>
    </row>
    <row r="321" spans="3:10">
      <c r="C321" s="184"/>
      <c r="D321" s="184"/>
      <c r="E321" s="1233">
        <f>+E320+E317</f>
        <v>551648.70999996271</v>
      </c>
      <c r="F321" s="184"/>
      <c r="G321" s="184"/>
      <c r="H321" s="184"/>
      <c r="I321" s="184"/>
      <c r="J321" s="1171"/>
    </row>
    <row r="322" spans="3:10">
      <c r="C322" s="102" t="s">
        <v>1871</v>
      </c>
      <c r="D322" s="184"/>
      <c r="E322" s="184"/>
      <c r="F322" s="184"/>
      <c r="G322" s="184"/>
      <c r="H322" s="184"/>
      <c r="I322" s="184"/>
      <c r="J322" s="1171"/>
    </row>
    <row r="323" spans="3:10" ht="16.2" thickBot="1">
      <c r="C323" s="184"/>
      <c r="D323" s="184"/>
      <c r="E323" s="184"/>
      <c r="F323" s="184"/>
      <c r="G323" s="184"/>
      <c r="H323" s="184"/>
      <c r="I323" s="184"/>
      <c r="J323" s="1171"/>
    </row>
    <row r="324" spans="3:10">
      <c r="C324" s="1546" t="s">
        <v>1872</v>
      </c>
      <c r="D324" s="1546" t="s">
        <v>1843</v>
      </c>
      <c r="E324" s="197" t="s">
        <v>1873</v>
      </c>
      <c r="F324" s="1546" t="s">
        <v>1843</v>
      </c>
      <c r="G324" s="197" t="s">
        <v>1873</v>
      </c>
      <c r="H324" s="198"/>
      <c r="I324" s="199"/>
      <c r="J324" s="1171"/>
    </row>
    <row r="325" spans="3:10" ht="16.2" thickBot="1">
      <c r="C325" s="1546"/>
      <c r="D325" s="1546"/>
      <c r="E325" s="182" t="s">
        <v>1874</v>
      </c>
      <c r="F325" s="1546"/>
      <c r="G325" s="182" t="s">
        <v>1874</v>
      </c>
      <c r="H325" s="200"/>
      <c r="I325" s="200"/>
      <c r="J325" s="1171"/>
    </row>
    <row r="326" spans="3:10" ht="16.2" thickBot="1">
      <c r="C326" s="1546"/>
      <c r="D326" s="488" t="s">
        <v>3033</v>
      </c>
      <c r="E326" s="488" t="s">
        <v>3034</v>
      </c>
      <c r="F326" s="488" t="s">
        <v>1875</v>
      </c>
      <c r="G326" s="488" t="s">
        <v>1875</v>
      </c>
      <c r="H326" s="200"/>
      <c r="I326" s="200"/>
      <c r="J326" s="198"/>
    </row>
    <row r="327" spans="3:10" ht="15.6" customHeight="1">
      <c r="C327" s="491" t="s">
        <v>1876</v>
      </c>
      <c r="D327" s="494">
        <f>+$D$269</f>
        <v>7831.26</v>
      </c>
      <c r="E327" s="495">
        <f>+Composición!G1204</f>
        <v>13030597785</v>
      </c>
      <c r="F327" s="494">
        <f>+H280</f>
        <v>7263.59</v>
      </c>
      <c r="G327" s="495">
        <f>+Composición!J1204</f>
        <v>6135016088</v>
      </c>
      <c r="H327" s="200"/>
      <c r="I327" s="201"/>
      <c r="J327" s="184"/>
    </row>
    <row r="328" spans="3:10" ht="15.6" customHeight="1" thickBot="1">
      <c r="C328" s="492" t="s">
        <v>1877</v>
      </c>
      <c r="D328" s="479">
        <f>+$D$270</f>
        <v>7831.26</v>
      </c>
      <c r="E328" s="160">
        <f>+Composición!G1205</f>
        <v>3924434844</v>
      </c>
      <c r="F328" s="479">
        <f>+F327</f>
        <v>7263.59</v>
      </c>
      <c r="G328" s="160">
        <f>+Composición!J1205</f>
        <v>3257914876</v>
      </c>
      <c r="H328" s="200"/>
      <c r="I328" s="201"/>
      <c r="J328" s="184"/>
    </row>
    <row r="329" spans="3:10" ht="15.6" customHeight="1" thickBot="1">
      <c r="C329" s="969" t="s">
        <v>1878</v>
      </c>
      <c r="D329" s="970"/>
      <c r="E329" s="674">
        <f>+SUM(E327:E328)</f>
        <v>16955032629</v>
      </c>
      <c r="F329" s="674"/>
      <c r="G329" s="674">
        <f>+SUM(G327:G328)</f>
        <v>9392930964</v>
      </c>
      <c r="H329" s="200"/>
      <c r="I329" s="201"/>
      <c r="J329" s="184"/>
    </row>
    <row r="330" spans="3:10" ht="15.6" customHeight="1">
      <c r="C330" s="493"/>
      <c r="D330" s="372"/>
      <c r="E330" s="166"/>
      <c r="F330" s="372"/>
      <c r="G330" s="166"/>
      <c r="H330" s="200"/>
      <c r="I330" s="201"/>
      <c r="J330" s="184"/>
    </row>
    <row r="331" spans="3:10" ht="15.6" customHeight="1">
      <c r="C331" s="1299" t="s">
        <v>1879</v>
      </c>
      <c r="D331" s="479">
        <f>+$D$269</f>
        <v>7831.26</v>
      </c>
      <c r="E331" s="646">
        <f>-Composición!G1487</f>
        <v>-8825477002</v>
      </c>
      <c r="F331" s="647">
        <f>+F327</f>
        <v>7263.59</v>
      </c>
      <c r="G331" s="646">
        <f>-Composición!J1487</f>
        <v>-5865971373</v>
      </c>
      <c r="H331" s="200"/>
      <c r="I331" s="201"/>
      <c r="J331" s="184"/>
    </row>
    <row r="332" spans="3:10" ht="15.6" customHeight="1" thickBot="1">
      <c r="C332" s="492" t="s">
        <v>1880</v>
      </c>
      <c r="D332" s="479">
        <f>+$D$270</f>
        <v>7831.26</v>
      </c>
      <c r="E332" s="646">
        <f>-Composición!G1488</f>
        <v>-7342337354</v>
      </c>
      <c r="F332" s="647">
        <f>+F327</f>
        <v>7263.59</v>
      </c>
      <c r="G332" s="646">
        <f>-Composición!J1488</f>
        <v>-3359373398</v>
      </c>
      <c r="H332" s="200"/>
      <c r="I332" s="201"/>
      <c r="J332" s="184"/>
    </row>
    <row r="333" spans="3:10" ht="15.6" customHeight="1" thickBot="1">
      <c r="C333" s="969" t="s">
        <v>1881</v>
      </c>
      <c r="D333" s="970"/>
      <c r="E333" s="674">
        <f>+SUM(E331:E332)</f>
        <v>-16167814356</v>
      </c>
      <c r="F333" s="674"/>
      <c r="G333" s="674">
        <f>+SUM(G331:G332)</f>
        <v>-9225344771</v>
      </c>
      <c r="H333" s="200"/>
      <c r="I333" s="201"/>
      <c r="J333" s="184"/>
    </row>
    <row r="334" spans="3:10" ht="15.6" customHeight="1" thickBot="1">
      <c r="C334" s="493"/>
      <c r="D334" s="372"/>
      <c r="E334" s="648"/>
      <c r="F334" s="648"/>
      <c r="G334" s="648"/>
      <c r="H334" s="250"/>
      <c r="I334" s="496"/>
      <c r="J334" s="102"/>
    </row>
    <row r="335" spans="3:10" ht="15.6" customHeight="1" thickBot="1">
      <c r="C335" s="969" t="s">
        <v>1882</v>
      </c>
      <c r="D335" s="970"/>
      <c r="E335" s="674">
        <f>+E329+E333</f>
        <v>787218273</v>
      </c>
      <c r="F335" s="970"/>
      <c r="G335" s="674">
        <f>+G329+G333</f>
        <v>167586193</v>
      </c>
      <c r="H335" s="250"/>
      <c r="I335" s="496"/>
      <c r="J335" s="102"/>
    </row>
    <row r="336" spans="3:10">
      <c r="C336" s="184"/>
      <c r="D336" s="184"/>
      <c r="E336" s="408">
        <f>+E335-('Estado de Resultados'!$E$60+'Estado de Resultados'!$E$63)</f>
        <v>0</v>
      </c>
      <c r="F336" s="184"/>
      <c r="G336" s="408">
        <f>+G335-('Estado de Resultados'!$F$60+'Estado de Resultados'!$F$63)</f>
        <v>0</v>
      </c>
      <c r="H336" s="184"/>
      <c r="I336" s="184"/>
      <c r="J336" s="184"/>
    </row>
    <row r="337" spans="1:10">
      <c r="C337" s="184"/>
      <c r="D337" s="184"/>
      <c r="E337" s="202"/>
      <c r="F337" s="184"/>
      <c r="G337" s="184"/>
      <c r="H337" s="184"/>
      <c r="I337" s="184"/>
      <c r="J337" s="184"/>
    </row>
    <row r="338" spans="1:10">
      <c r="C338" s="102" t="s">
        <v>1883</v>
      </c>
      <c r="D338" s="184"/>
      <c r="E338" s="203"/>
      <c r="F338" s="184"/>
      <c r="G338" s="184"/>
      <c r="H338" s="184"/>
      <c r="I338" s="184"/>
      <c r="J338" s="184"/>
    </row>
    <row r="339" spans="1:10">
      <c r="C339" s="184" t="s">
        <v>1884</v>
      </c>
      <c r="D339" s="184"/>
      <c r="E339" s="184"/>
      <c r="F339" s="184"/>
      <c r="G339" s="184"/>
      <c r="H339" s="184"/>
      <c r="I339" s="184"/>
      <c r="J339" s="184"/>
    </row>
    <row r="340" spans="1:10" ht="16.2" thickBot="1">
      <c r="C340" s="102"/>
      <c r="D340" s="184"/>
      <c r="E340" s="184"/>
      <c r="F340" s="184"/>
      <c r="G340" s="184"/>
      <c r="H340" s="184"/>
      <c r="I340" s="184"/>
      <c r="J340" s="184"/>
    </row>
    <row r="341" spans="1:10">
      <c r="C341" s="1545" t="s">
        <v>1885</v>
      </c>
      <c r="D341" s="207">
        <v>45657</v>
      </c>
      <c r="E341" s="208" t="s">
        <v>1335</v>
      </c>
      <c r="F341" s="184"/>
      <c r="G341" s="184"/>
      <c r="H341" s="184"/>
      <c r="I341" s="184"/>
      <c r="J341" s="184"/>
    </row>
    <row r="342" spans="1:10" ht="16.2" thickBot="1">
      <c r="C342" s="1545"/>
      <c r="D342" s="209" t="s">
        <v>1454</v>
      </c>
      <c r="E342" s="210" t="s">
        <v>1454</v>
      </c>
      <c r="F342" s="184"/>
      <c r="G342" s="184"/>
      <c r="H342" s="184"/>
      <c r="I342" s="184"/>
      <c r="J342" s="184"/>
    </row>
    <row r="343" spans="1:10">
      <c r="C343" s="1088" t="s">
        <v>1886</v>
      </c>
      <c r="D343" s="1077"/>
      <c r="E343" s="1077"/>
      <c r="F343" s="184"/>
      <c r="G343" s="184"/>
      <c r="H343" s="184"/>
      <c r="I343" s="184"/>
      <c r="J343" s="184"/>
    </row>
    <row r="344" spans="1:10">
      <c r="B344" s="8">
        <v>1111411101</v>
      </c>
      <c r="C344" s="211" t="s">
        <v>1887</v>
      </c>
      <c r="D344" s="212">
        <f>+IFERROR(VLOOKUP(Notas!B344,Composición!$C$4:$G$691,5,0),0)</f>
        <v>1351999</v>
      </c>
      <c r="E344" s="212">
        <v>0</v>
      </c>
      <c r="F344" s="184"/>
      <c r="G344" s="184"/>
      <c r="H344" s="184"/>
      <c r="I344" s="184"/>
      <c r="J344" s="184"/>
    </row>
    <row r="345" spans="1:10">
      <c r="B345" s="8">
        <v>1111411102</v>
      </c>
      <c r="C345" s="211" t="s">
        <v>1888</v>
      </c>
      <c r="D345" s="212">
        <f>+IFERROR(VLOOKUP(Notas!B345,Composición!$C$4:$G$691,5,0),0)</f>
        <v>783126</v>
      </c>
      <c r="E345" s="212">
        <v>0</v>
      </c>
      <c r="F345" s="184"/>
      <c r="G345" s="184"/>
      <c r="H345" s="184"/>
      <c r="I345" s="184"/>
      <c r="J345" s="184"/>
    </row>
    <row r="346" spans="1:10" hidden="1">
      <c r="B346" s="8"/>
      <c r="C346" s="211" t="s">
        <v>1889</v>
      </c>
      <c r="D346" s="212">
        <f>+IFERROR(VLOOKUP(Notas!B346,Composición!$C$4:$G$691,5,0),0)</f>
        <v>0</v>
      </c>
      <c r="E346" s="212">
        <v>0</v>
      </c>
      <c r="F346" s="184"/>
      <c r="G346" s="184"/>
      <c r="H346" s="184"/>
      <c r="I346" s="184"/>
      <c r="J346" s="184"/>
    </row>
    <row r="347" spans="1:10">
      <c r="B347" s="8">
        <v>1111421101</v>
      </c>
      <c r="C347" s="211" t="s">
        <v>2595</v>
      </c>
      <c r="D347" s="212">
        <f>+IFERROR(VLOOKUP(Notas!B347,Composición!$C$4:$G$691,5,0),0)</f>
        <v>488815659</v>
      </c>
      <c r="E347" s="212">
        <v>128164665.46790001</v>
      </c>
      <c r="F347" s="204"/>
      <c r="G347" s="204"/>
      <c r="H347" s="184"/>
      <c r="I347" s="184"/>
      <c r="J347" s="184"/>
    </row>
    <row r="348" spans="1:10">
      <c r="B348" s="8"/>
      <c r="C348" s="211"/>
      <c r="D348" s="212"/>
      <c r="E348" s="212"/>
      <c r="F348" s="184"/>
      <c r="G348" s="184"/>
      <c r="H348" s="184"/>
      <c r="I348" s="184"/>
      <c r="J348" s="184"/>
    </row>
    <row r="349" spans="1:10">
      <c r="B349" s="8"/>
      <c r="C349" s="1088" t="s">
        <v>1890</v>
      </c>
      <c r="D349" s="1077"/>
      <c r="E349" s="1077"/>
      <c r="F349" s="184"/>
      <c r="G349" s="184"/>
      <c r="H349" s="184"/>
      <c r="I349" s="184"/>
      <c r="J349" s="184"/>
    </row>
    <row r="350" spans="1:10">
      <c r="A350" s="1327"/>
      <c r="B350" s="1415">
        <v>1111411204</v>
      </c>
      <c r="C350" s="211" t="s">
        <v>1891</v>
      </c>
      <c r="D350" s="212">
        <f>+IFERROR(VLOOKUP(Notas!B350,Composición!$C$4:$G$691,5,0),0)</f>
        <v>1554453894</v>
      </c>
      <c r="E350" s="212">
        <v>163907048.59630001</v>
      </c>
      <c r="F350" s="184"/>
      <c r="G350" s="184"/>
      <c r="H350" s="184"/>
      <c r="I350" s="184"/>
      <c r="J350" s="184"/>
    </row>
    <row r="351" spans="1:10">
      <c r="B351" s="8">
        <v>1111411203</v>
      </c>
      <c r="C351" s="211" t="s">
        <v>1892</v>
      </c>
      <c r="D351" s="212">
        <f>+IFERROR(VLOOKUP(Notas!B351,Composición!$C$4:$G$691,5,0),0)</f>
        <v>2458879652</v>
      </c>
      <c r="E351" s="212">
        <v>638998663.39999998</v>
      </c>
      <c r="F351" s="184"/>
      <c r="G351" s="184"/>
      <c r="H351" s="184"/>
      <c r="I351" s="184"/>
      <c r="J351" s="184"/>
    </row>
    <row r="352" spans="1:10">
      <c r="A352" s="1327"/>
      <c r="B352" s="1415">
        <v>1111412202</v>
      </c>
      <c r="C352" s="211" t="s">
        <v>3138</v>
      </c>
      <c r="D352" s="212">
        <f>+IFERROR(VLOOKUP(Notas!B352,Composición!$C$4:$G$691,5,0),0)</f>
        <v>40096051</v>
      </c>
      <c r="E352" s="212">
        <v>37189580.799999997</v>
      </c>
      <c r="F352" s="184"/>
      <c r="G352" s="184"/>
      <c r="H352" s="184"/>
      <c r="I352" s="184"/>
      <c r="J352" s="184"/>
    </row>
    <row r="353" spans="1:10">
      <c r="A353" s="1327"/>
      <c r="B353" s="1415">
        <v>1111412201</v>
      </c>
      <c r="C353" s="211" t="s">
        <v>3139</v>
      </c>
      <c r="D353" s="212">
        <f>+IFERROR(VLOOKUP(Notas!B353,Composición!$C$4:$G$691,5,0),0)</f>
        <v>5180000</v>
      </c>
      <c r="E353" s="212">
        <v>6117000</v>
      </c>
      <c r="F353" s="184"/>
      <c r="G353" s="184"/>
      <c r="H353" s="184"/>
      <c r="I353" s="184"/>
      <c r="J353" s="184"/>
    </row>
    <row r="354" spans="1:10">
      <c r="B354" s="8"/>
      <c r="C354" s="211"/>
      <c r="D354" s="212"/>
      <c r="E354" s="212"/>
      <c r="F354" s="184"/>
      <c r="G354" s="184"/>
      <c r="H354" s="184"/>
      <c r="I354" s="184"/>
      <c r="J354" s="184"/>
    </row>
    <row r="355" spans="1:10">
      <c r="B355" s="8"/>
      <c r="C355" s="1088" t="s">
        <v>2596</v>
      </c>
      <c r="D355" s="1077"/>
      <c r="E355" s="1077"/>
      <c r="F355" s="184"/>
      <c r="G355" s="184"/>
      <c r="H355" s="184"/>
      <c r="I355" s="184"/>
      <c r="J355" s="184"/>
    </row>
    <row r="356" spans="1:10" hidden="1">
      <c r="A356" s="1327"/>
      <c r="B356" s="1415">
        <v>1111411301</v>
      </c>
      <c r="C356" s="211" t="s">
        <v>1894</v>
      </c>
      <c r="D356" s="212">
        <f>+IFERROR(VLOOKUP(Notas!B356,Composición!$C$4:$G$691,5,0),0)</f>
        <v>0</v>
      </c>
      <c r="E356" s="212">
        <v>0</v>
      </c>
      <c r="F356" s="184"/>
      <c r="G356" s="184"/>
      <c r="H356" s="184"/>
      <c r="I356" s="184"/>
      <c r="J356" s="184"/>
    </row>
    <row r="357" spans="1:10">
      <c r="A357" s="1327"/>
      <c r="B357" s="1415">
        <v>1111411402</v>
      </c>
      <c r="C357" s="211" t="s">
        <v>3111</v>
      </c>
      <c r="D357" s="212">
        <f>+IFERROR(VLOOKUP(Notas!B357,Composición!$C$4:$G$691,5,0),0)</f>
        <v>0</v>
      </c>
      <c r="E357" s="212">
        <v>1546533079.3537951</v>
      </c>
      <c r="F357" s="184"/>
      <c r="G357" s="184"/>
      <c r="H357" s="184"/>
      <c r="I357" s="184"/>
      <c r="J357" s="184"/>
    </row>
    <row r="358" spans="1:10" hidden="1">
      <c r="B358" s="8"/>
      <c r="C358" s="211"/>
      <c r="D358" s="212"/>
      <c r="E358" s="212"/>
      <c r="F358" s="184"/>
      <c r="G358" s="184"/>
      <c r="H358" s="184"/>
      <c r="I358" s="184"/>
      <c r="J358" s="184"/>
    </row>
    <row r="359" spans="1:10">
      <c r="A359" s="1327"/>
      <c r="B359" s="1415">
        <v>1111412401</v>
      </c>
      <c r="C359" s="211" t="s">
        <v>3112</v>
      </c>
      <c r="D359" s="212">
        <f>+IFERROR(VLOOKUP(Notas!B359,Composición!$C$4:$G$691,5,0),0)</f>
        <v>446093182</v>
      </c>
      <c r="E359" s="212">
        <v>500138</v>
      </c>
      <c r="F359" s="1328"/>
      <c r="G359" s="1328"/>
      <c r="H359" s="1328"/>
      <c r="I359" s="1328"/>
      <c r="J359" s="184"/>
    </row>
    <row r="360" spans="1:10">
      <c r="A360" s="1327"/>
      <c r="B360" s="1415">
        <v>1111412403</v>
      </c>
      <c r="C360" s="211" t="s">
        <v>3113</v>
      </c>
      <c r="D360" s="212">
        <f>+IFERROR(VLOOKUP(Notas!B360,Composición!$C$4:$G$691,5,0),0)</f>
        <v>102974421</v>
      </c>
      <c r="E360" s="212">
        <v>0</v>
      </c>
      <c r="F360" s="184"/>
      <c r="G360" s="184"/>
      <c r="H360" s="184"/>
      <c r="I360" s="184"/>
      <c r="J360" s="184"/>
    </row>
    <row r="361" spans="1:10">
      <c r="A361" s="1327"/>
      <c r="B361" s="1415">
        <v>1111412404</v>
      </c>
      <c r="C361" s="211" t="s">
        <v>3114</v>
      </c>
      <c r="D361" s="212">
        <f>+IFERROR(VLOOKUP(Notas!B361,Composición!$C$4:$G$691,5,0),0)</f>
        <v>46351270</v>
      </c>
      <c r="E361" s="212">
        <v>1740356.1640000001</v>
      </c>
      <c r="F361" s="184"/>
      <c r="G361" s="184"/>
      <c r="H361" s="184"/>
      <c r="I361" s="184"/>
      <c r="J361" s="184"/>
    </row>
    <row r="362" spans="1:10">
      <c r="A362" s="1327"/>
      <c r="B362" s="1415">
        <v>1111412402</v>
      </c>
      <c r="C362" s="211" t="s">
        <v>3115</v>
      </c>
      <c r="D362" s="212">
        <f>+IFERROR(VLOOKUP(Notas!B362,Composición!$C$4:$G$691,5,0),0)</f>
        <v>13619266</v>
      </c>
      <c r="E362" s="212">
        <v>2327636300.8340001</v>
      </c>
      <c r="F362" s="1328"/>
      <c r="G362" s="1328"/>
      <c r="H362" s="1328"/>
      <c r="I362" s="1328"/>
      <c r="J362" s="184"/>
    </row>
    <row r="363" spans="1:10">
      <c r="A363" s="1327"/>
      <c r="B363" s="1415">
        <v>1111412405</v>
      </c>
      <c r="C363" s="211" t="s">
        <v>3116</v>
      </c>
      <c r="D363" s="212">
        <f>+IFERROR(VLOOKUP(Notas!B363,Composición!$C$4:$G$691,5,0),0)</f>
        <v>9507150</v>
      </c>
      <c r="E363" s="212">
        <v>0</v>
      </c>
      <c r="F363" s="184"/>
      <c r="G363" s="184"/>
      <c r="H363" s="184"/>
      <c r="I363" s="184"/>
      <c r="J363" s="184"/>
    </row>
    <row r="364" spans="1:10">
      <c r="A364" s="1327"/>
      <c r="B364" s="1415">
        <v>1111412407</v>
      </c>
      <c r="C364" s="211" t="s">
        <v>3117</v>
      </c>
      <c r="D364" s="212">
        <f>+IFERROR(VLOOKUP(Notas!B364,Composición!$C$4:$G$691,5,0),0)</f>
        <v>1971863</v>
      </c>
      <c r="E364" s="212">
        <v>0</v>
      </c>
      <c r="F364" s="184"/>
      <c r="G364" s="184"/>
      <c r="H364" s="184"/>
      <c r="I364" s="184"/>
      <c r="J364" s="184"/>
    </row>
    <row r="365" spans="1:10">
      <c r="B365" s="8"/>
      <c r="C365" s="211"/>
      <c r="D365" s="212"/>
      <c r="E365" s="212"/>
      <c r="F365" s="184"/>
      <c r="G365" s="184"/>
      <c r="H365" s="184"/>
      <c r="I365" s="184"/>
      <c r="J365" s="184"/>
    </row>
    <row r="366" spans="1:10">
      <c r="B366" s="8"/>
      <c r="C366" s="1088" t="s">
        <v>1893</v>
      </c>
      <c r="D366" s="1077"/>
      <c r="E366" s="1077"/>
      <c r="F366" s="1328"/>
      <c r="G366" s="1328"/>
      <c r="H366" s="1328"/>
      <c r="I366" s="1328"/>
      <c r="J366" s="184"/>
    </row>
    <row r="367" spans="1:10" hidden="1">
      <c r="B367" s="8"/>
      <c r="C367" s="211" t="s">
        <v>1894</v>
      </c>
      <c r="D367" s="212">
        <f>+IFERROR(VLOOKUP(Notas!B367,Composición!$C$4:$G$691,5,0),0)</f>
        <v>0</v>
      </c>
      <c r="E367" s="212">
        <v>0</v>
      </c>
      <c r="F367" s="1328"/>
      <c r="G367" s="1328"/>
      <c r="H367" s="1328"/>
      <c r="I367" s="1328"/>
      <c r="J367" s="184"/>
    </row>
    <row r="368" spans="1:10">
      <c r="A368" s="1327"/>
      <c r="B368" s="1415">
        <v>1111412304</v>
      </c>
      <c r="C368" s="211" t="s">
        <v>1895</v>
      </c>
      <c r="D368" s="212">
        <f>+IFERROR(VLOOKUP(Notas!B368,Composición!$C$4:$G$691,5,0),0)</f>
        <v>39234613</v>
      </c>
      <c r="E368" s="212">
        <v>36390585.899999999</v>
      </c>
      <c r="F368" s="1328"/>
      <c r="G368" s="1328"/>
      <c r="H368" s="1328"/>
      <c r="I368" s="1328"/>
      <c r="J368" s="1234"/>
    </row>
    <row r="369" spans="1:10">
      <c r="A369" s="1327"/>
      <c r="B369" s="1415">
        <v>1111412306</v>
      </c>
      <c r="C369" s="211" t="s">
        <v>2801</v>
      </c>
      <c r="D369" s="212">
        <f>+IFERROR(VLOOKUP(Notas!B369,Composición!$C$4:$G$691,5,0),0)</f>
        <v>39156300</v>
      </c>
      <c r="E369" s="212">
        <v>36317951.779077001</v>
      </c>
      <c r="F369" s="1328"/>
      <c r="G369" s="1328"/>
      <c r="H369" s="1328"/>
      <c r="I369" s="1328"/>
      <c r="J369" s="184"/>
    </row>
    <row r="370" spans="1:10">
      <c r="A370" s="1327"/>
      <c r="B370" s="1415">
        <v>1111412312</v>
      </c>
      <c r="C370" s="211" t="s">
        <v>1896</v>
      </c>
      <c r="D370" s="212">
        <f>+IFERROR(VLOOKUP(Notas!B370,Composición!$C$4:$G$691,5,0),0)</f>
        <v>39156300</v>
      </c>
      <c r="E370" s="212">
        <v>0</v>
      </c>
      <c r="F370" s="1328"/>
      <c r="G370" s="1328"/>
      <c r="H370" s="1328"/>
      <c r="I370" s="1328"/>
      <c r="J370" s="1234"/>
    </row>
    <row r="371" spans="1:10">
      <c r="A371" s="1327"/>
      <c r="B371" s="1415">
        <v>1111412310</v>
      </c>
      <c r="C371" s="211" t="s">
        <v>1897</v>
      </c>
      <c r="D371" s="212">
        <f>+IFERROR(VLOOKUP(Notas!B371,Composición!$C$4:$G$691,5,0),0)</f>
        <v>33277686</v>
      </c>
      <c r="E371" s="212">
        <v>0</v>
      </c>
      <c r="F371" s="1328"/>
      <c r="G371" s="1328"/>
      <c r="H371" s="1328"/>
      <c r="I371" s="1328"/>
      <c r="J371" s="184"/>
    </row>
    <row r="372" spans="1:10">
      <c r="B372" s="8">
        <v>1111412313</v>
      </c>
      <c r="C372" s="211" t="s">
        <v>3061</v>
      </c>
      <c r="D372" s="212">
        <f>+IFERROR(VLOOKUP(Notas!B372,Composición!$C$4:$G$691,5,0),0)</f>
        <v>31763591</v>
      </c>
      <c r="E372" s="212">
        <v>0</v>
      </c>
      <c r="F372" s="184"/>
      <c r="G372" s="184"/>
      <c r="H372" s="184"/>
      <c r="I372" s="184"/>
      <c r="J372" s="184"/>
    </row>
    <row r="373" spans="1:10">
      <c r="A373" s="1327"/>
      <c r="B373" s="1415">
        <v>1111412307</v>
      </c>
      <c r="C373" s="211" t="s">
        <v>2800</v>
      </c>
      <c r="D373" s="212">
        <f>+IFERROR(VLOOKUP(Notas!B373,Composición!$C$4:$G$691,5,0),0)</f>
        <v>9999990</v>
      </c>
      <c r="E373" s="212">
        <v>0</v>
      </c>
      <c r="F373" s="184"/>
      <c r="G373" s="184"/>
      <c r="H373" s="184"/>
      <c r="I373" s="184"/>
      <c r="J373" s="184"/>
    </row>
    <row r="374" spans="1:10">
      <c r="A374" s="1327"/>
      <c r="B374" s="1415">
        <v>1111412303</v>
      </c>
      <c r="C374" s="211" t="s">
        <v>1898</v>
      </c>
      <c r="D374" s="212">
        <f>+IFERROR(VLOOKUP(Notas!B374,Composición!$C$4:$G$691,5,0),0)</f>
        <v>8700000</v>
      </c>
      <c r="E374" s="212">
        <v>0</v>
      </c>
      <c r="F374" s="1328"/>
      <c r="G374" s="1328"/>
      <c r="H374" s="1384"/>
      <c r="I374" s="1328"/>
      <c r="J374" s="1234"/>
    </row>
    <row r="375" spans="1:10">
      <c r="A375" s="1327"/>
      <c r="B375" s="1415">
        <v>1111412309</v>
      </c>
      <c r="C375" s="211" t="s">
        <v>1900</v>
      </c>
      <c r="D375" s="212">
        <f>+IFERROR(VLOOKUP(Notas!B375,Composición!$C$4:$G$691,5,0),0)</f>
        <v>7143006</v>
      </c>
      <c r="E375" s="212">
        <v>0</v>
      </c>
      <c r="F375" s="1328"/>
      <c r="G375" s="1328"/>
      <c r="H375" s="1384"/>
      <c r="I375" s="1328"/>
      <c r="J375" s="184"/>
    </row>
    <row r="376" spans="1:10">
      <c r="A376" s="1327"/>
      <c r="B376" s="1415">
        <v>1111412311</v>
      </c>
      <c r="C376" s="211" t="s">
        <v>1899</v>
      </c>
      <c r="D376" s="212">
        <f>+IFERROR(VLOOKUP(Notas!B376,Composición!$C$4:$G$691,5,0),0)</f>
        <v>6536000</v>
      </c>
      <c r="E376" s="212">
        <v>3461000</v>
      </c>
      <c r="F376" s="1328"/>
      <c r="G376" s="1328"/>
      <c r="H376" s="1384"/>
      <c r="I376" s="1328"/>
      <c r="J376" s="184"/>
    </row>
    <row r="377" spans="1:10">
      <c r="B377" s="8">
        <v>1111412314</v>
      </c>
      <c r="C377" s="211" t="s">
        <v>3062</v>
      </c>
      <c r="D377" s="212">
        <f>+IFERROR(VLOOKUP(Notas!B377,Composición!$C$4:$G$691,5,0),0)</f>
        <v>2840000</v>
      </c>
      <c r="E377" s="212">
        <v>0</v>
      </c>
      <c r="F377" s="184"/>
      <c r="G377" s="184"/>
      <c r="H377" s="184"/>
      <c r="I377" s="184"/>
      <c r="J377" s="184"/>
    </row>
    <row r="378" spans="1:10">
      <c r="A378" s="1327"/>
      <c r="B378" s="1415">
        <v>1111412305</v>
      </c>
      <c r="C378" s="211" t="s">
        <v>3063</v>
      </c>
      <c r="D378" s="212">
        <f>+IFERROR(VLOOKUP(Notas!B378,Composición!$C$4:$G$691,5,0),0)</f>
        <v>0</v>
      </c>
      <c r="E378" s="212">
        <v>3000000</v>
      </c>
      <c r="F378" s="1328"/>
      <c r="G378" s="1328"/>
      <c r="H378" s="1328"/>
      <c r="I378" s="1328"/>
      <c r="J378" s="184"/>
    </row>
    <row r="379" spans="1:10">
      <c r="A379" s="1327"/>
      <c r="B379" s="1415">
        <v>1111411302</v>
      </c>
      <c r="C379" s="211" t="s">
        <v>1901</v>
      </c>
      <c r="D379" s="212">
        <f>+IFERROR(VLOOKUP(Notas!B379,Composición!$C$4:$G$691,5,0),0)</f>
        <v>0</v>
      </c>
      <c r="E379" s="212">
        <v>41022211.884423003</v>
      </c>
      <c r="F379" s="1328"/>
      <c r="G379" s="1328"/>
      <c r="H379" s="1328"/>
      <c r="I379" s="1328"/>
      <c r="J379" s="184"/>
    </row>
    <row r="380" spans="1:10">
      <c r="B380" s="8"/>
      <c r="C380" s="211" t="s">
        <v>1902</v>
      </c>
      <c r="D380" s="212">
        <f>+IFERROR(VLOOKUP(Notas!B380,Composición!$C$4:$G$691,5,0),0)</f>
        <v>0</v>
      </c>
      <c r="E380" s="212">
        <v>6950000</v>
      </c>
      <c r="F380" s="184"/>
      <c r="G380" s="184"/>
      <c r="H380" s="184"/>
      <c r="I380" s="184"/>
      <c r="J380" s="184"/>
    </row>
    <row r="381" spans="1:10" hidden="1">
      <c r="B381" s="8"/>
      <c r="C381" s="211" t="s">
        <v>1903</v>
      </c>
      <c r="D381" s="212">
        <f>+IFERROR(VLOOKUP(#REF!,Composición!$C$4:$G$691,5,0),0)</f>
        <v>0</v>
      </c>
      <c r="E381" s="212">
        <v>0</v>
      </c>
      <c r="F381" s="184"/>
      <c r="G381" s="184"/>
      <c r="H381" s="184"/>
      <c r="I381" s="184"/>
      <c r="J381" s="184"/>
    </row>
    <row r="382" spans="1:10" ht="16.2" thickBot="1">
      <c r="B382" s="8"/>
      <c r="C382" s="211"/>
      <c r="D382" s="212"/>
      <c r="E382" s="212"/>
      <c r="F382" s="184"/>
      <c r="G382" s="184"/>
      <c r="H382" s="184"/>
      <c r="I382" s="184"/>
      <c r="J382" s="184"/>
    </row>
    <row r="383" spans="1:10" ht="16.2" thickBot="1">
      <c r="C383" s="213" t="s">
        <v>1331</v>
      </c>
      <c r="D383" s="214">
        <f>SUM(D343:D382)</f>
        <v>5387885019</v>
      </c>
      <c r="E383" s="214">
        <f>SUM(E343:E382)</f>
        <v>4977928582.1794949</v>
      </c>
      <c r="F383" s="379">
        <f>+D383-'Balance General'!D12</f>
        <v>0</v>
      </c>
      <c r="G383" s="379">
        <f>+E383-'Balance General'!E12</f>
        <v>0.17949485778808594</v>
      </c>
      <c r="H383" s="184"/>
      <c r="I383" s="184"/>
      <c r="J383" s="184"/>
    </row>
    <row r="384" spans="1:10">
      <c r="C384" s="710" t="s">
        <v>1370</v>
      </c>
      <c r="D384" s="184"/>
      <c r="E384" s="203"/>
      <c r="F384" s="184"/>
      <c r="G384" s="184"/>
      <c r="H384" s="184"/>
      <c r="I384" s="184"/>
      <c r="J384" s="184"/>
    </row>
    <row r="386" spans="1:15">
      <c r="A386" s="1328"/>
      <c r="B386" s="1328"/>
      <c r="C386" s="102" t="s">
        <v>1788</v>
      </c>
      <c r="D386" s="102"/>
      <c r="E386" s="102"/>
      <c r="F386" s="102"/>
      <c r="G386" s="184"/>
      <c r="H386" s="184"/>
      <c r="I386" s="184"/>
      <c r="J386" s="184"/>
      <c r="K386" s="246"/>
      <c r="L386" s="184"/>
      <c r="M386" s="184"/>
      <c r="N386" s="184"/>
      <c r="O386" s="216"/>
    </row>
    <row r="387" spans="1:15">
      <c r="A387" s="1328"/>
      <c r="B387" s="1328"/>
      <c r="C387" s="184"/>
      <c r="D387" s="184"/>
      <c r="E387" s="184"/>
      <c r="F387" s="184"/>
      <c r="G387" s="184"/>
      <c r="H387" s="184"/>
      <c r="I387" s="184"/>
      <c r="J387" s="184"/>
      <c r="K387" s="697"/>
      <c r="L387" s="184"/>
      <c r="M387" s="184"/>
      <c r="N387" s="184"/>
      <c r="O387" s="216"/>
    </row>
    <row r="388" spans="1:15">
      <c r="A388" s="217"/>
      <c r="B388" s="1328"/>
      <c r="C388" s="102" t="s">
        <v>1789</v>
      </c>
      <c r="D388" s="180"/>
      <c r="E388" s="217"/>
      <c r="F388" s="180"/>
      <c r="G388" s="180"/>
      <c r="H388" s="180"/>
      <c r="I388" s="180"/>
      <c r="J388" s="180"/>
      <c r="K388" s="697"/>
      <c r="L388" s="697"/>
      <c r="M388" s="180"/>
      <c r="N388" s="180"/>
      <c r="O388" s="216"/>
    </row>
    <row r="389" spans="1:15">
      <c r="A389" s="217"/>
      <c r="B389" s="1328"/>
      <c r="C389" s="102"/>
      <c r="D389" s="180"/>
      <c r="E389" s="180"/>
      <c r="F389" s="180"/>
      <c r="G389" s="180"/>
      <c r="H389" s="180"/>
      <c r="I389" s="180"/>
      <c r="J389" s="180"/>
      <c r="K389" s="180"/>
      <c r="L389" s="180"/>
      <c r="M389" s="180"/>
      <c r="N389" s="180"/>
      <c r="O389" s="216"/>
    </row>
    <row r="390" spans="1:15">
      <c r="A390" s="217"/>
      <c r="B390" s="1328"/>
      <c r="C390" s="184" t="s">
        <v>3035</v>
      </c>
      <c r="D390" s="180"/>
      <c r="E390" s="180"/>
      <c r="F390" s="180"/>
      <c r="G390" s="180"/>
      <c r="H390" s="180"/>
      <c r="I390" s="180"/>
      <c r="J390" s="180"/>
      <c r="K390" s="180"/>
      <c r="L390" s="180"/>
      <c r="M390" s="180"/>
      <c r="N390" s="180"/>
      <c r="O390" s="216"/>
    </row>
    <row r="391" spans="1:15" ht="16.2" thickBot="1">
      <c r="A391" s="217"/>
      <c r="B391" s="1328"/>
      <c r="C391" s="102"/>
      <c r="D391" s="180"/>
      <c r="E391" s="180"/>
      <c r="F391" s="180"/>
      <c r="G391" s="180"/>
      <c r="H391" s="180"/>
      <c r="I391" s="180"/>
      <c r="J391" s="180"/>
      <c r="K391" s="180"/>
      <c r="L391" s="180"/>
      <c r="M391" s="180"/>
      <c r="N391" s="180"/>
      <c r="O391" s="216"/>
    </row>
    <row r="392" spans="1:15" ht="16.2" customHeight="1" thickBot="1">
      <c r="A392" s="217"/>
      <c r="B392" s="1329"/>
      <c r="C392" s="1547" t="s">
        <v>1790</v>
      </c>
      <c r="D392" s="1547"/>
      <c r="E392" s="1547"/>
      <c r="F392" s="1547"/>
      <c r="G392" s="1547"/>
      <c r="H392" s="1547"/>
      <c r="I392" s="1547"/>
      <c r="J392" s="1027"/>
      <c r="K392" s="1538" t="s">
        <v>1791</v>
      </c>
      <c r="L392" s="1538"/>
      <c r="M392" s="1538"/>
      <c r="N392" s="217"/>
      <c r="O392" s="543"/>
    </row>
    <row r="393" spans="1:15" ht="46.8" customHeight="1" thickBot="1">
      <c r="A393" s="217"/>
      <c r="B393" s="1328"/>
      <c r="C393" s="1568" t="s">
        <v>1792</v>
      </c>
      <c r="D393" s="1555" t="s">
        <v>1793</v>
      </c>
      <c r="E393" s="1555" t="s">
        <v>1794</v>
      </c>
      <c r="F393" s="1556" t="s">
        <v>1795</v>
      </c>
      <c r="G393" s="1556"/>
      <c r="H393" s="1557" t="s">
        <v>1796</v>
      </c>
      <c r="I393" s="1557" t="s">
        <v>1797</v>
      </c>
      <c r="J393" s="1557" t="s">
        <v>1798</v>
      </c>
      <c r="K393" s="500" t="s">
        <v>1425</v>
      </c>
      <c r="L393" s="500" t="s">
        <v>1799</v>
      </c>
      <c r="M393" s="273" t="s">
        <v>238</v>
      </c>
      <c r="N393" s="217"/>
      <c r="O393" s="543"/>
    </row>
    <row r="394" spans="1:15" ht="16.2" thickBot="1">
      <c r="A394" s="217"/>
      <c r="B394" s="1328"/>
      <c r="C394" s="1568"/>
      <c r="D394" s="1555"/>
      <c r="E394" s="1555"/>
      <c r="F394" s="505" t="s">
        <v>1454</v>
      </c>
      <c r="G394" s="505" t="s">
        <v>640</v>
      </c>
      <c r="H394" s="1557"/>
      <c r="I394" s="1557"/>
      <c r="J394" s="1557"/>
      <c r="K394" s="789" t="s">
        <v>1454</v>
      </c>
      <c r="L394" s="789" t="s">
        <v>1454</v>
      </c>
      <c r="M394" s="215" t="s">
        <v>1454</v>
      </c>
      <c r="N394" s="217"/>
      <c r="O394" s="543"/>
    </row>
    <row r="395" spans="1:15">
      <c r="A395" s="217"/>
      <c r="B395" s="1328"/>
      <c r="C395" s="503" t="s">
        <v>48</v>
      </c>
      <c r="D395" s="501"/>
      <c r="E395" s="501"/>
      <c r="F395" s="501"/>
      <c r="G395" s="501"/>
      <c r="H395" s="501"/>
      <c r="I395" s="501"/>
      <c r="J395" s="501"/>
      <c r="K395" s="501"/>
      <c r="L395" s="501"/>
      <c r="M395" s="497"/>
      <c r="N395" s="217"/>
      <c r="O395" s="543"/>
    </row>
    <row r="396" spans="1:15">
      <c r="A396" s="217"/>
      <c r="B396" s="1328"/>
      <c r="C396" s="503" t="s">
        <v>1800</v>
      </c>
      <c r="D396" s="501"/>
      <c r="E396" s="501"/>
      <c r="F396" s="501"/>
      <c r="G396" s="501"/>
      <c r="H396" s="501"/>
      <c r="I396" s="501"/>
      <c r="J396" s="501"/>
      <c r="K396" s="501"/>
      <c r="L396" s="501"/>
      <c r="M396" s="497"/>
      <c r="N396" s="217"/>
      <c r="O396" s="1190">
        <v>1000000</v>
      </c>
    </row>
    <row r="397" spans="1:15">
      <c r="A397" s="858" t="str">
        <f>+CONCATENATE(C397,D397)</f>
        <v>SUDAMERIS BANK S.A.E.C.A.Acciones</v>
      </c>
      <c r="B397" s="858" t="s">
        <v>2947</v>
      </c>
      <c r="C397" s="1279" t="s">
        <v>1634</v>
      </c>
      <c r="D397" s="1280" t="s">
        <v>415</v>
      </c>
      <c r="E397" s="1281">
        <f>+I397/F397</f>
        <v>0</v>
      </c>
      <c r="F397" s="1282">
        <v>1000</v>
      </c>
      <c r="G397" s="1283">
        <v>0</v>
      </c>
      <c r="H397" s="1282">
        <f>+VLOOKUP(B397,'12 Cartera Propia'!$D$10:$Q$216,14,0)</f>
        <v>1249280000</v>
      </c>
      <c r="I397" s="1284">
        <f>+VLOOKUP(B397,'12 Cartera Propia'!$D$10:$S$216,15,0)</f>
        <v>0</v>
      </c>
      <c r="J397" s="1282">
        <f>+H397+I397</f>
        <v>1249280000</v>
      </c>
      <c r="K397" s="1282">
        <f>2597686.176711*$O$396</f>
        <v>2597686176711</v>
      </c>
      <c r="L397" s="1282">
        <f>674886.927756*$O$396</f>
        <v>674886927756</v>
      </c>
      <c r="M397" s="1282">
        <f>3767694.936282*$O$396</f>
        <v>3767694936282</v>
      </c>
      <c r="N397" s="180"/>
      <c r="O397" s="218"/>
    </row>
    <row r="398" spans="1:15" ht="16.2" thickBot="1">
      <c r="A398" s="217"/>
      <c r="B398" s="217"/>
      <c r="C398" s="195"/>
      <c r="D398" s="507"/>
      <c r="E398" s="230"/>
      <c r="F398" s="510"/>
      <c r="G398" s="690"/>
      <c r="H398" s="510"/>
      <c r="I398" s="510"/>
      <c r="J398" s="510"/>
      <c r="K398" s="510"/>
      <c r="L398" s="510"/>
      <c r="M398" s="716"/>
      <c r="N398" s="180"/>
      <c r="O398" s="218"/>
    </row>
    <row r="399" spans="1:15">
      <c r="A399" s="217"/>
      <c r="B399" s="217"/>
      <c r="C399" s="502" t="s">
        <v>688</v>
      </c>
      <c r="D399" s="506"/>
      <c r="E399" s="502"/>
      <c r="F399" s="511"/>
      <c r="G399" s="691"/>
      <c r="H399" s="511"/>
      <c r="I399" s="511"/>
      <c r="J399" s="511"/>
      <c r="K399" s="511"/>
      <c r="L399" s="511"/>
      <c r="M399" s="512"/>
      <c r="N399" s="853">
        <v>1000000</v>
      </c>
      <c r="O399" s="216"/>
    </row>
    <row r="400" spans="1:15">
      <c r="A400" s="1418" t="s">
        <v>3043</v>
      </c>
      <c r="B400" s="1419" t="s">
        <v>2718</v>
      </c>
      <c r="C400" s="1279" t="s">
        <v>2741</v>
      </c>
      <c r="D400" s="1280" t="s">
        <v>1671</v>
      </c>
      <c r="E400" s="1281">
        <v>1000</v>
      </c>
      <c r="F400" s="1282">
        <v>1000000</v>
      </c>
      <c r="G400" s="1283">
        <v>0</v>
      </c>
      <c r="H400" s="1282">
        <f>+VLOOKUP(B400,'12 Cartera Propia'!$D$10:$S$216,14,0)</f>
        <v>1002588010.878598</v>
      </c>
      <c r="I400" s="1282">
        <f>+VLOOKUP(B400,'12 Cartera Propia'!$D$10:$S$216,15,0)</f>
        <v>-3806204.0326731498</v>
      </c>
      <c r="J400" s="1282">
        <f>+H400+I400</f>
        <v>998781806.84592485</v>
      </c>
      <c r="K400" s="1282" t="s">
        <v>1801</v>
      </c>
      <c r="L400" s="1282" t="s">
        <v>1801</v>
      </c>
      <c r="M400" s="1282" t="s">
        <v>1801</v>
      </c>
      <c r="N400" s="180"/>
      <c r="O400" s="218"/>
    </row>
    <row r="401" spans="1:15">
      <c r="A401" s="1416" t="s">
        <v>3042</v>
      </c>
      <c r="B401" s="1419" t="s">
        <v>1729</v>
      </c>
      <c r="C401" s="1279" t="s">
        <v>1609</v>
      </c>
      <c r="D401" s="1280" t="s">
        <v>1671</v>
      </c>
      <c r="E401" s="1281">
        <v>5000</v>
      </c>
      <c r="F401" s="1282">
        <v>1000000</v>
      </c>
      <c r="G401" s="1283">
        <v>0</v>
      </c>
      <c r="H401" s="1282">
        <f>+VLOOKUP(B401,'12 Cartera Propia'!$D$10:$S$216,14,0)</f>
        <v>5159294105.4379406</v>
      </c>
      <c r="I401" s="1284">
        <f>+VLOOKUP(B401,'12 Cartera Propia'!$D$10:$S$216,15,0)</f>
        <v>0</v>
      </c>
      <c r="J401" s="1282">
        <f t="shared" ref="J401:J464" si="4">+H401+I401</f>
        <v>5159294105.4379406</v>
      </c>
      <c r="K401" s="1282">
        <f>1444979.067713*$O$396</f>
        <v>1444979067713</v>
      </c>
      <c r="L401" s="1282">
        <f>82446.306299*$O$396</f>
        <v>82446306299</v>
      </c>
      <c r="M401" s="1282">
        <f>2112026.9227963*$O$396</f>
        <v>2112026922796.3</v>
      </c>
      <c r="N401" s="180"/>
      <c r="O401" s="218"/>
    </row>
    <row r="402" spans="1:15">
      <c r="A402" s="1416" t="s">
        <v>3046</v>
      </c>
      <c r="B402" s="1419" t="s">
        <v>2719</v>
      </c>
      <c r="C402" s="1279" t="s">
        <v>1684</v>
      </c>
      <c r="D402" s="1280" t="s">
        <v>58</v>
      </c>
      <c r="E402" s="1281">
        <v>1</v>
      </c>
      <c r="F402" s="1282">
        <v>50000000</v>
      </c>
      <c r="G402" s="1283">
        <v>0</v>
      </c>
      <c r="H402" s="1282">
        <f>+VLOOKUP(B402,'12 Cartera Propia'!$D$10:$S$216,14,0)</f>
        <v>50258219.178082198</v>
      </c>
      <c r="I402" s="1282">
        <f>+VLOOKUP(B402,'12 Cartera Propia'!$D$10:$S$216,15,0)</f>
        <v>-107334.90092955</v>
      </c>
      <c r="J402" s="1282">
        <f t="shared" si="4"/>
        <v>50150884.27715265</v>
      </c>
      <c r="K402" s="1282">
        <f>2772496.877765*$O$396</f>
        <v>2772496877765</v>
      </c>
      <c r="L402" s="1282">
        <f>1060227.888577*$O$396</f>
        <v>1060227888577</v>
      </c>
      <c r="M402" s="1282">
        <f>5322552.078375*$O$396</f>
        <v>5322552078375</v>
      </c>
      <c r="N402" s="180"/>
      <c r="O402" s="218"/>
    </row>
    <row r="403" spans="1:15">
      <c r="A403" s="1416" t="s">
        <v>3046</v>
      </c>
      <c r="B403" s="1419" t="s">
        <v>2720</v>
      </c>
      <c r="C403" s="1279" t="s">
        <v>1684</v>
      </c>
      <c r="D403" s="1280" t="s">
        <v>58</v>
      </c>
      <c r="E403" s="1281">
        <v>1</v>
      </c>
      <c r="F403" s="1282">
        <v>100000000</v>
      </c>
      <c r="G403" s="1283">
        <v>0</v>
      </c>
      <c r="H403" s="1282">
        <f>+VLOOKUP(B403,'12 Cartera Propia'!$D$10:$S$216,14,0)</f>
        <v>100115068.4931507</v>
      </c>
      <c r="I403" s="1282">
        <f>+VLOOKUP(B403,'12 Cartera Propia'!$D$10:$S$216,15,0)</f>
        <v>-465079.511207968</v>
      </c>
      <c r="J403" s="1282">
        <f t="shared" si="4"/>
        <v>99649988.981942728</v>
      </c>
      <c r="K403" s="1282">
        <f>2772496.877765*$O$396</f>
        <v>2772496877765</v>
      </c>
      <c r="L403" s="1282">
        <f>1060227.888577*$O$396</f>
        <v>1060227888577</v>
      </c>
      <c r="M403" s="1282">
        <f>5322552.078375*$O$396</f>
        <v>5322552078375</v>
      </c>
      <c r="N403" s="180"/>
      <c r="O403" s="218"/>
    </row>
    <row r="404" spans="1:15">
      <c r="A404" s="1416" t="s">
        <v>3057</v>
      </c>
      <c r="B404" s="1419" t="s">
        <v>2722</v>
      </c>
      <c r="C404" s="1279" t="s">
        <v>2601</v>
      </c>
      <c r="D404" s="1280" t="s">
        <v>58</v>
      </c>
      <c r="E404" s="1281">
        <v>1</v>
      </c>
      <c r="F404" s="1282">
        <v>250000000</v>
      </c>
      <c r="G404" s="1283">
        <v>0</v>
      </c>
      <c r="H404" s="1282">
        <f>+VLOOKUP(B404,'12 Cartera Propia'!$D$10:$S$216,14,0)</f>
        <v>255239726.02739727</v>
      </c>
      <c r="I404" s="1284">
        <f>+VLOOKUP(B404,'12 Cartera Propia'!$D$10:$S$216,15,0)</f>
        <v>0</v>
      </c>
      <c r="J404" s="1282">
        <f t="shared" si="4"/>
        <v>255239726.02739727</v>
      </c>
      <c r="K404" s="1282">
        <f t="shared" ref="K404:K409" si="5">286379.9*$O$396</f>
        <v>286379900000</v>
      </c>
      <c r="L404" s="1282">
        <f t="shared" ref="L404:L409" si="6">41012.732513*$O$396</f>
        <v>41012732513</v>
      </c>
      <c r="M404" s="1282">
        <f t="shared" ref="M404:M409" si="7">366065.14814*$O$396</f>
        <v>366065148140</v>
      </c>
      <c r="N404" s="180"/>
      <c r="O404" s="218"/>
    </row>
    <row r="405" spans="1:15">
      <c r="A405" s="1416" t="s">
        <v>3057</v>
      </c>
      <c r="B405" s="1419" t="s">
        <v>2723</v>
      </c>
      <c r="C405" s="1279" t="s">
        <v>2601</v>
      </c>
      <c r="D405" s="1280" t="s">
        <v>58</v>
      </c>
      <c r="E405" s="1281">
        <v>1</v>
      </c>
      <c r="F405" s="1282">
        <v>250000000</v>
      </c>
      <c r="G405" s="1283">
        <v>0</v>
      </c>
      <c r="H405" s="1282">
        <f>+VLOOKUP(B405,'12 Cartera Propia'!$D$10:$S$216,14,0)</f>
        <v>255239726.02739727</v>
      </c>
      <c r="I405" s="1284">
        <f>+VLOOKUP(B405,'12 Cartera Propia'!$D$10:$S$216,15,0)</f>
        <v>0</v>
      </c>
      <c r="J405" s="1282">
        <f t="shared" si="4"/>
        <v>255239726.02739727</v>
      </c>
      <c r="K405" s="1282">
        <f t="shared" si="5"/>
        <v>286379900000</v>
      </c>
      <c r="L405" s="1282">
        <f t="shared" si="6"/>
        <v>41012732513</v>
      </c>
      <c r="M405" s="1282">
        <f t="shared" si="7"/>
        <v>366065148140</v>
      </c>
      <c r="N405" s="180"/>
      <c r="O405" s="218"/>
    </row>
    <row r="406" spans="1:15">
      <c r="A406" s="1416" t="s">
        <v>3057</v>
      </c>
      <c r="B406" s="1419" t="s">
        <v>2724</v>
      </c>
      <c r="C406" s="1279" t="s">
        <v>2601</v>
      </c>
      <c r="D406" s="1280" t="s">
        <v>58</v>
      </c>
      <c r="E406" s="1281">
        <v>1</v>
      </c>
      <c r="F406" s="1282">
        <v>250000000</v>
      </c>
      <c r="G406" s="1283">
        <v>0</v>
      </c>
      <c r="H406" s="1282">
        <f>+VLOOKUP(B406,'12 Cartera Propia'!$D$10:$S$216,14,0)</f>
        <v>255239726.02739725</v>
      </c>
      <c r="I406" s="1284">
        <f>+VLOOKUP(B406,'12 Cartera Propia'!$D$10:$S$216,15,0)</f>
        <v>0</v>
      </c>
      <c r="J406" s="1282">
        <f t="shared" si="4"/>
        <v>255239726.02739725</v>
      </c>
      <c r="K406" s="1282">
        <f t="shared" si="5"/>
        <v>286379900000</v>
      </c>
      <c r="L406" s="1282">
        <f t="shared" si="6"/>
        <v>41012732513</v>
      </c>
      <c r="M406" s="1282">
        <f t="shared" si="7"/>
        <v>366065148140</v>
      </c>
      <c r="N406" s="180"/>
      <c r="O406" s="218"/>
    </row>
    <row r="407" spans="1:15">
      <c r="A407" s="1416" t="s">
        <v>3057</v>
      </c>
      <c r="B407" s="1419" t="s">
        <v>2725</v>
      </c>
      <c r="C407" s="1279" t="s">
        <v>2601</v>
      </c>
      <c r="D407" s="1280" t="s">
        <v>58</v>
      </c>
      <c r="E407" s="1281">
        <v>1</v>
      </c>
      <c r="F407" s="1282">
        <v>250000000</v>
      </c>
      <c r="G407" s="1283">
        <v>0</v>
      </c>
      <c r="H407" s="1282">
        <f>+VLOOKUP(B407,'12 Cartera Propia'!$D$10:$S$216,14,0)</f>
        <v>255239726.02739725</v>
      </c>
      <c r="I407" s="1284">
        <f>+VLOOKUP(B407,'12 Cartera Propia'!$D$10:$S$216,15,0)</f>
        <v>0</v>
      </c>
      <c r="J407" s="1282">
        <f t="shared" si="4"/>
        <v>255239726.02739725</v>
      </c>
      <c r="K407" s="1282">
        <f t="shared" si="5"/>
        <v>286379900000</v>
      </c>
      <c r="L407" s="1282">
        <f t="shared" si="6"/>
        <v>41012732513</v>
      </c>
      <c r="M407" s="1282">
        <f t="shared" si="7"/>
        <v>366065148140</v>
      </c>
      <c r="N407" s="180"/>
      <c r="O407" s="218"/>
    </row>
    <row r="408" spans="1:15">
      <c r="A408" s="1416" t="s">
        <v>3057</v>
      </c>
      <c r="B408" s="1419" t="s">
        <v>2726</v>
      </c>
      <c r="C408" s="1279" t="s">
        <v>2601</v>
      </c>
      <c r="D408" s="1280" t="s">
        <v>58</v>
      </c>
      <c r="E408" s="1281">
        <v>1</v>
      </c>
      <c r="F408" s="1282">
        <v>250000000</v>
      </c>
      <c r="G408" s="1283">
        <v>0</v>
      </c>
      <c r="H408" s="1282">
        <f>+VLOOKUP(B408,'12 Cartera Propia'!$D$10:$S$216,14,0)</f>
        <v>255239726.02739725</v>
      </c>
      <c r="I408" s="1284">
        <f>+VLOOKUP(B408,'12 Cartera Propia'!$D$10:$S$216,15,0)</f>
        <v>0</v>
      </c>
      <c r="J408" s="1282">
        <f t="shared" si="4"/>
        <v>255239726.02739725</v>
      </c>
      <c r="K408" s="1282">
        <f t="shared" si="5"/>
        <v>286379900000</v>
      </c>
      <c r="L408" s="1282">
        <f t="shared" si="6"/>
        <v>41012732513</v>
      </c>
      <c r="M408" s="1282">
        <f t="shared" si="7"/>
        <v>366065148140</v>
      </c>
      <c r="N408" s="180"/>
      <c r="O408" s="218"/>
    </row>
    <row r="409" spans="1:15">
      <c r="A409" s="1416" t="s">
        <v>3057</v>
      </c>
      <c r="B409" s="1419" t="s">
        <v>2727</v>
      </c>
      <c r="C409" s="1279" t="s">
        <v>2601</v>
      </c>
      <c r="D409" s="1280" t="s">
        <v>58</v>
      </c>
      <c r="E409" s="1281">
        <v>1</v>
      </c>
      <c r="F409" s="1282">
        <v>250000000</v>
      </c>
      <c r="G409" s="1283">
        <v>0</v>
      </c>
      <c r="H409" s="1282">
        <f>+VLOOKUP(B409,'12 Cartera Propia'!$D$10:$S$216,14,0)</f>
        <v>255239726.02739725</v>
      </c>
      <c r="I409" s="1284">
        <f>+VLOOKUP(B409,'12 Cartera Propia'!$D$10:$S$216,15,0)</f>
        <v>0</v>
      </c>
      <c r="J409" s="1282">
        <f t="shared" si="4"/>
        <v>255239726.02739725</v>
      </c>
      <c r="K409" s="1282">
        <f t="shared" si="5"/>
        <v>286379900000</v>
      </c>
      <c r="L409" s="1282">
        <f t="shared" si="6"/>
        <v>41012732513</v>
      </c>
      <c r="M409" s="1282">
        <f t="shared" si="7"/>
        <v>366065148140</v>
      </c>
      <c r="N409" s="180"/>
      <c r="O409" s="218"/>
    </row>
    <row r="410" spans="1:15">
      <c r="A410" s="1418" t="s">
        <v>3054</v>
      </c>
      <c r="B410" s="1419" t="s">
        <v>2873</v>
      </c>
      <c r="C410" s="1279" t="s">
        <v>1689</v>
      </c>
      <c r="D410" s="1280" t="s">
        <v>58</v>
      </c>
      <c r="E410" s="1281">
        <v>1</v>
      </c>
      <c r="F410" s="1282">
        <v>1000000000</v>
      </c>
      <c r="G410" s="1283">
        <v>0</v>
      </c>
      <c r="H410" s="1282">
        <f>+VLOOKUP(B410,'12 Cartera Propia'!$D$10:$S$216,14,0)</f>
        <v>1020622684.9315071</v>
      </c>
      <c r="I410" s="1282">
        <f>+VLOOKUP(B410,'12 Cartera Propia'!$D$10:$S$216,15,0)</f>
        <v>-14663.123599049701</v>
      </c>
      <c r="J410" s="1282">
        <f t="shared" si="4"/>
        <v>1020608021.8079081</v>
      </c>
      <c r="K410" s="1282">
        <f t="shared" ref="K410:K419" si="8">163528*$O$396</f>
        <v>163528000000</v>
      </c>
      <c r="L410" s="1282">
        <f t="shared" ref="L410:L419" si="9">32705.618446*$O$396</f>
        <v>32705618446</v>
      </c>
      <c r="M410" s="1282">
        <f t="shared" ref="M410:M419" si="10">258258.428231*$O$396</f>
        <v>258258428231</v>
      </c>
      <c r="N410" s="180"/>
      <c r="O410" s="218"/>
    </row>
    <row r="411" spans="1:15">
      <c r="A411" s="1418" t="s">
        <v>3054</v>
      </c>
      <c r="B411" s="1419" t="s">
        <v>2874</v>
      </c>
      <c r="C411" s="1279" t="s">
        <v>1689</v>
      </c>
      <c r="D411" s="1280" t="s">
        <v>58</v>
      </c>
      <c r="E411" s="1281">
        <v>1</v>
      </c>
      <c r="F411" s="1282">
        <v>1000000000</v>
      </c>
      <c r="G411" s="1283">
        <v>0</v>
      </c>
      <c r="H411" s="1282">
        <f>+VLOOKUP(B411,'12 Cartera Propia'!$D$10:$S$216,14,0)</f>
        <v>1020622684.9315071</v>
      </c>
      <c r="I411" s="1282">
        <f>+VLOOKUP(B411,'12 Cartera Propia'!$D$10:$S$216,15,0)</f>
        <v>-14663.123599049701</v>
      </c>
      <c r="J411" s="1282">
        <f t="shared" si="4"/>
        <v>1020608021.8079081</v>
      </c>
      <c r="K411" s="1282">
        <f t="shared" si="8"/>
        <v>163528000000</v>
      </c>
      <c r="L411" s="1282">
        <f t="shared" si="9"/>
        <v>32705618446</v>
      </c>
      <c r="M411" s="1282">
        <f t="shared" si="10"/>
        <v>258258428231</v>
      </c>
      <c r="N411" s="180"/>
      <c r="O411" s="218"/>
    </row>
    <row r="412" spans="1:15">
      <c r="A412" s="1418" t="s">
        <v>3054</v>
      </c>
      <c r="B412" s="1419" t="s">
        <v>2875</v>
      </c>
      <c r="C412" s="1279" t="s">
        <v>1689</v>
      </c>
      <c r="D412" s="1280" t="s">
        <v>58</v>
      </c>
      <c r="E412" s="1281">
        <v>1</v>
      </c>
      <c r="F412" s="1282">
        <v>250000000</v>
      </c>
      <c r="G412" s="1283">
        <v>0</v>
      </c>
      <c r="H412" s="1282">
        <f>+VLOOKUP(B412,'12 Cartera Propia'!$D$10:$S$216,14,0)</f>
        <v>251842123.28767124</v>
      </c>
      <c r="I412" s="1284">
        <f>+VLOOKUP(B412,'12 Cartera Propia'!$D$10:$S$216,15,0)</f>
        <v>0</v>
      </c>
      <c r="J412" s="1282">
        <f t="shared" si="4"/>
        <v>251842123.28767124</v>
      </c>
      <c r="K412" s="1282">
        <f t="shared" si="8"/>
        <v>163528000000</v>
      </c>
      <c r="L412" s="1282">
        <f t="shared" si="9"/>
        <v>32705618446</v>
      </c>
      <c r="M412" s="1282">
        <f t="shared" si="10"/>
        <v>258258428231</v>
      </c>
      <c r="N412" s="180"/>
      <c r="O412" s="218"/>
    </row>
    <row r="413" spans="1:15">
      <c r="A413" s="1418" t="s">
        <v>3054</v>
      </c>
      <c r="B413" s="1419" t="s">
        <v>2876</v>
      </c>
      <c r="C413" s="1279" t="s">
        <v>1689</v>
      </c>
      <c r="D413" s="1280" t="s">
        <v>58</v>
      </c>
      <c r="E413" s="1281">
        <v>1</v>
      </c>
      <c r="F413" s="1282">
        <v>250000000</v>
      </c>
      <c r="G413" s="1283">
        <v>0</v>
      </c>
      <c r="H413" s="1282">
        <f>+VLOOKUP(B413,'12 Cartera Propia'!$D$10:$S$216,14,0)</f>
        <v>251842123.28767124</v>
      </c>
      <c r="I413" s="1284">
        <f>+VLOOKUP(B413,'12 Cartera Propia'!$D$10:$S$216,15,0)</f>
        <v>0</v>
      </c>
      <c r="J413" s="1282">
        <f t="shared" si="4"/>
        <v>251842123.28767124</v>
      </c>
      <c r="K413" s="1282">
        <f t="shared" si="8"/>
        <v>163528000000</v>
      </c>
      <c r="L413" s="1282">
        <f t="shared" si="9"/>
        <v>32705618446</v>
      </c>
      <c r="M413" s="1282">
        <f t="shared" si="10"/>
        <v>258258428231</v>
      </c>
      <c r="N413" s="180"/>
      <c r="O413" s="218"/>
    </row>
    <row r="414" spans="1:15">
      <c r="A414" s="1418" t="s">
        <v>3054</v>
      </c>
      <c r="B414" s="1419" t="s">
        <v>2877</v>
      </c>
      <c r="C414" s="1279" t="s">
        <v>1689</v>
      </c>
      <c r="D414" s="1280" t="s">
        <v>58</v>
      </c>
      <c r="E414" s="1281">
        <v>1</v>
      </c>
      <c r="F414" s="1282">
        <v>250000000</v>
      </c>
      <c r="G414" s="1283">
        <v>0</v>
      </c>
      <c r="H414" s="1282">
        <f>+VLOOKUP(B414,'12 Cartera Propia'!$D$10:$S$216,14,0)</f>
        <v>251842123.28767124</v>
      </c>
      <c r="I414" s="1284">
        <f>+VLOOKUP(B414,'12 Cartera Propia'!$D$10:$S$216,15,0)</f>
        <v>0</v>
      </c>
      <c r="J414" s="1282">
        <f t="shared" si="4"/>
        <v>251842123.28767124</v>
      </c>
      <c r="K414" s="1282">
        <f t="shared" si="8"/>
        <v>163528000000</v>
      </c>
      <c r="L414" s="1282">
        <f t="shared" si="9"/>
        <v>32705618446</v>
      </c>
      <c r="M414" s="1282">
        <f t="shared" si="10"/>
        <v>258258428231</v>
      </c>
      <c r="N414" s="180"/>
      <c r="O414" s="218"/>
    </row>
    <row r="415" spans="1:15">
      <c r="A415" s="1418" t="s">
        <v>3054</v>
      </c>
      <c r="B415" s="1419" t="s">
        <v>2878</v>
      </c>
      <c r="C415" s="1279" t="s">
        <v>1689</v>
      </c>
      <c r="D415" s="1280" t="s">
        <v>58</v>
      </c>
      <c r="E415" s="1281">
        <v>1</v>
      </c>
      <c r="F415" s="1282">
        <v>250000000</v>
      </c>
      <c r="G415" s="1283">
        <v>0</v>
      </c>
      <c r="H415" s="1282">
        <f>+VLOOKUP(B415,'12 Cartera Propia'!$D$10:$S$216,14,0)</f>
        <v>251842123.28767124</v>
      </c>
      <c r="I415" s="1284">
        <f>+VLOOKUP(B415,'12 Cartera Propia'!$D$10:$S$216,15,0)</f>
        <v>0</v>
      </c>
      <c r="J415" s="1282">
        <f t="shared" si="4"/>
        <v>251842123.28767124</v>
      </c>
      <c r="K415" s="1282">
        <f t="shared" si="8"/>
        <v>163528000000</v>
      </c>
      <c r="L415" s="1282">
        <f t="shared" si="9"/>
        <v>32705618446</v>
      </c>
      <c r="M415" s="1282">
        <f t="shared" si="10"/>
        <v>258258428231</v>
      </c>
      <c r="N415" s="180"/>
      <c r="O415" s="218"/>
    </row>
    <row r="416" spans="1:15">
      <c r="A416" s="1418" t="s">
        <v>3054</v>
      </c>
      <c r="B416" s="1419" t="s">
        <v>2879</v>
      </c>
      <c r="C416" s="1279" t="s">
        <v>1689</v>
      </c>
      <c r="D416" s="1280" t="s">
        <v>58</v>
      </c>
      <c r="E416" s="1281">
        <v>1</v>
      </c>
      <c r="F416" s="1282">
        <v>200000000</v>
      </c>
      <c r="G416" s="1283">
        <v>0</v>
      </c>
      <c r="H416" s="1282">
        <f>+VLOOKUP(B416,'12 Cartera Propia'!$D$10:$S$216,14,0)</f>
        <v>201473698.630137</v>
      </c>
      <c r="I416" s="1284">
        <f>+VLOOKUP(B416,'12 Cartera Propia'!$D$10:$S$216,15,0)</f>
        <v>0</v>
      </c>
      <c r="J416" s="1282">
        <f t="shared" si="4"/>
        <v>201473698.630137</v>
      </c>
      <c r="K416" s="1282">
        <f t="shared" si="8"/>
        <v>163528000000</v>
      </c>
      <c r="L416" s="1282">
        <f t="shared" si="9"/>
        <v>32705618446</v>
      </c>
      <c r="M416" s="1282">
        <f t="shared" si="10"/>
        <v>258258428231</v>
      </c>
      <c r="N416" s="180"/>
      <c r="O416" s="218"/>
    </row>
    <row r="417" spans="1:15">
      <c r="A417" s="1418" t="s">
        <v>3054</v>
      </c>
      <c r="B417" s="1419" t="s">
        <v>2880</v>
      </c>
      <c r="C417" s="1279" t="s">
        <v>1689</v>
      </c>
      <c r="D417" s="1280" t="s">
        <v>58</v>
      </c>
      <c r="E417" s="1281">
        <v>1</v>
      </c>
      <c r="F417" s="1282">
        <v>200000000</v>
      </c>
      <c r="G417" s="1283">
        <v>0</v>
      </c>
      <c r="H417" s="1282">
        <f>+VLOOKUP(B417,'12 Cartera Propia'!$D$10:$S$216,14,0)</f>
        <v>201473698.630137</v>
      </c>
      <c r="I417" s="1284">
        <f>+VLOOKUP(B417,'12 Cartera Propia'!$D$10:$S$216,15,0)</f>
        <v>0</v>
      </c>
      <c r="J417" s="1282">
        <f t="shared" si="4"/>
        <v>201473698.630137</v>
      </c>
      <c r="K417" s="1282">
        <f t="shared" si="8"/>
        <v>163528000000</v>
      </c>
      <c r="L417" s="1282">
        <f t="shared" si="9"/>
        <v>32705618446</v>
      </c>
      <c r="M417" s="1282">
        <f t="shared" si="10"/>
        <v>258258428231</v>
      </c>
      <c r="N417" s="180"/>
      <c r="O417" s="218"/>
    </row>
    <row r="418" spans="1:15">
      <c r="A418" s="1418" t="s">
        <v>3054</v>
      </c>
      <c r="B418" s="1419" t="s">
        <v>2881</v>
      </c>
      <c r="C418" s="1279" t="s">
        <v>1689</v>
      </c>
      <c r="D418" s="1280" t="s">
        <v>58</v>
      </c>
      <c r="E418" s="1281">
        <v>1</v>
      </c>
      <c r="F418" s="1282">
        <v>200000000</v>
      </c>
      <c r="G418" s="1283">
        <v>0</v>
      </c>
      <c r="H418" s="1282">
        <f>+VLOOKUP(B418,'12 Cartera Propia'!$D$10:$S$216,14,0)</f>
        <v>201473698.630137</v>
      </c>
      <c r="I418" s="1284">
        <f>+VLOOKUP(B418,'12 Cartera Propia'!$D$10:$S$216,15,0)</f>
        <v>0</v>
      </c>
      <c r="J418" s="1282">
        <f t="shared" si="4"/>
        <v>201473698.630137</v>
      </c>
      <c r="K418" s="1282">
        <f t="shared" si="8"/>
        <v>163528000000</v>
      </c>
      <c r="L418" s="1282">
        <f t="shared" si="9"/>
        <v>32705618446</v>
      </c>
      <c r="M418" s="1282">
        <f t="shared" si="10"/>
        <v>258258428231</v>
      </c>
      <c r="N418" s="180"/>
      <c r="O418" s="218"/>
    </row>
    <row r="419" spans="1:15">
      <c r="A419" s="1418" t="s">
        <v>3054</v>
      </c>
      <c r="B419" s="1419" t="s">
        <v>2882</v>
      </c>
      <c r="C419" s="1279" t="s">
        <v>1689</v>
      </c>
      <c r="D419" s="1280" t="s">
        <v>58</v>
      </c>
      <c r="E419" s="1281">
        <v>1</v>
      </c>
      <c r="F419" s="1282">
        <v>200000000</v>
      </c>
      <c r="G419" s="1283">
        <v>0</v>
      </c>
      <c r="H419" s="1282">
        <f>+VLOOKUP(B419,'12 Cartera Propia'!$D$10:$S$216,14,0)</f>
        <v>201473698.630137</v>
      </c>
      <c r="I419" s="1284">
        <f>+VLOOKUP(B419,'12 Cartera Propia'!$D$10:$S$216,15,0)</f>
        <v>0</v>
      </c>
      <c r="J419" s="1282">
        <f t="shared" si="4"/>
        <v>201473698.630137</v>
      </c>
      <c r="K419" s="1282">
        <f t="shared" si="8"/>
        <v>163528000000</v>
      </c>
      <c r="L419" s="1282">
        <f t="shared" si="9"/>
        <v>32705618446</v>
      </c>
      <c r="M419" s="1282">
        <f t="shared" si="10"/>
        <v>258258428231</v>
      </c>
      <c r="N419" s="180"/>
      <c r="O419" s="218"/>
    </row>
    <row r="420" spans="1:15">
      <c r="A420" s="1416" t="s">
        <v>3052</v>
      </c>
      <c r="B420" s="1419" t="s">
        <v>2883</v>
      </c>
      <c r="C420" s="1279" t="s">
        <v>1548</v>
      </c>
      <c r="D420" s="1280" t="s">
        <v>58</v>
      </c>
      <c r="E420" s="1281">
        <v>1</v>
      </c>
      <c r="F420" s="1282">
        <v>100000000</v>
      </c>
      <c r="G420" s="1283">
        <v>0</v>
      </c>
      <c r="H420" s="1282">
        <f>+VLOOKUP(B420,'12 Cartera Propia'!$D$10:$S$216,14,0)</f>
        <v>100678664.7088875</v>
      </c>
      <c r="I420" s="1284">
        <f>+VLOOKUP(B420,'12 Cartera Propia'!$D$10:$S$216,15,0)</f>
        <v>0</v>
      </c>
      <c r="J420" s="1282">
        <f t="shared" si="4"/>
        <v>100678664.7088875</v>
      </c>
      <c r="K420" s="1282">
        <f t="shared" ref="K420:K428" si="11">133770*$O$396</f>
        <v>133770000000</v>
      </c>
      <c r="L420" s="1282">
        <f t="shared" ref="L420:L428" si="12">5156.546159*$O$396</f>
        <v>5156546159</v>
      </c>
      <c r="M420" s="1282">
        <f t="shared" ref="M420:M428" si="13">149171.661842*$O$396</f>
        <v>149171661842</v>
      </c>
      <c r="N420" s="180"/>
      <c r="O420" s="218"/>
    </row>
    <row r="421" spans="1:15">
      <c r="A421" s="1416" t="s">
        <v>3052</v>
      </c>
      <c r="B421" s="1419" t="s">
        <v>2884</v>
      </c>
      <c r="C421" s="1279" t="s">
        <v>1548</v>
      </c>
      <c r="D421" s="1280" t="s">
        <v>58</v>
      </c>
      <c r="E421" s="1281">
        <v>1</v>
      </c>
      <c r="F421" s="1282">
        <v>100000000</v>
      </c>
      <c r="G421" s="1283">
        <v>0</v>
      </c>
      <c r="H421" s="1282">
        <f>+VLOOKUP(B421,'12 Cartera Propia'!$D$10:$S$216,14,0)</f>
        <v>100678664.7088875</v>
      </c>
      <c r="I421" s="1284">
        <f>+VLOOKUP(B421,'12 Cartera Propia'!$D$10:$S$216,15,0)</f>
        <v>0</v>
      </c>
      <c r="J421" s="1282">
        <f t="shared" si="4"/>
        <v>100678664.7088875</v>
      </c>
      <c r="K421" s="1282">
        <f t="shared" si="11"/>
        <v>133770000000</v>
      </c>
      <c r="L421" s="1282">
        <f t="shared" si="12"/>
        <v>5156546159</v>
      </c>
      <c r="M421" s="1282">
        <f t="shared" si="13"/>
        <v>149171661842</v>
      </c>
      <c r="N421" s="180"/>
      <c r="O421" s="218"/>
    </row>
    <row r="422" spans="1:15">
      <c r="A422" s="1416" t="s">
        <v>3052</v>
      </c>
      <c r="B422" s="1419" t="s">
        <v>2885</v>
      </c>
      <c r="C422" s="1279" t="s">
        <v>1548</v>
      </c>
      <c r="D422" s="1280" t="s">
        <v>58</v>
      </c>
      <c r="E422" s="1281">
        <v>1</v>
      </c>
      <c r="F422" s="1282">
        <v>100000000</v>
      </c>
      <c r="G422" s="1283">
        <v>0</v>
      </c>
      <c r="H422" s="1282">
        <f>+VLOOKUP(B422,'12 Cartera Propia'!$D$10:$S$216,14,0)</f>
        <v>100678664.7088875</v>
      </c>
      <c r="I422" s="1284">
        <f>+VLOOKUP(B422,'12 Cartera Propia'!$D$10:$S$216,15,0)</f>
        <v>0</v>
      </c>
      <c r="J422" s="1282">
        <f t="shared" si="4"/>
        <v>100678664.7088875</v>
      </c>
      <c r="K422" s="1282">
        <f t="shared" si="11"/>
        <v>133770000000</v>
      </c>
      <c r="L422" s="1282">
        <f t="shared" si="12"/>
        <v>5156546159</v>
      </c>
      <c r="M422" s="1282">
        <f t="shared" si="13"/>
        <v>149171661842</v>
      </c>
      <c r="N422" s="180"/>
      <c r="O422" s="218"/>
    </row>
    <row r="423" spans="1:15">
      <c r="A423" s="1416" t="s">
        <v>3052</v>
      </c>
      <c r="B423" s="1419" t="s">
        <v>2886</v>
      </c>
      <c r="C423" s="1279" t="s">
        <v>1548</v>
      </c>
      <c r="D423" s="1280" t="s">
        <v>58</v>
      </c>
      <c r="E423" s="1281">
        <v>1</v>
      </c>
      <c r="F423" s="1282">
        <v>100000000</v>
      </c>
      <c r="G423" s="1283">
        <v>0</v>
      </c>
      <c r="H423" s="1282">
        <f>+VLOOKUP(B423,'12 Cartera Propia'!$D$10:$S$216,14,0)</f>
        <v>100678664.7088875</v>
      </c>
      <c r="I423" s="1284">
        <f>+VLOOKUP(B423,'12 Cartera Propia'!$D$10:$S$216,15,0)</f>
        <v>0</v>
      </c>
      <c r="J423" s="1282">
        <f t="shared" si="4"/>
        <v>100678664.7088875</v>
      </c>
      <c r="K423" s="1282">
        <f t="shared" si="11"/>
        <v>133770000000</v>
      </c>
      <c r="L423" s="1282">
        <f t="shared" si="12"/>
        <v>5156546159</v>
      </c>
      <c r="M423" s="1282">
        <f t="shared" si="13"/>
        <v>149171661842</v>
      </c>
      <c r="N423" s="180"/>
      <c r="O423" s="218"/>
    </row>
    <row r="424" spans="1:15">
      <c r="A424" s="1416" t="s">
        <v>3052</v>
      </c>
      <c r="B424" s="1419" t="s">
        <v>2887</v>
      </c>
      <c r="C424" s="1279" t="s">
        <v>1548</v>
      </c>
      <c r="D424" s="1280" t="s">
        <v>58</v>
      </c>
      <c r="E424" s="1281">
        <v>1</v>
      </c>
      <c r="F424" s="1282">
        <v>100000000</v>
      </c>
      <c r="G424" s="1283">
        <v>0</v>
      </c>
      <c r="H424" s="1282">
        <f>+VLOOKUP(B424,'12 Cartera Propia'!$D$10:$S$216,14,0)</f>
        <v>100678664.7088875</v>
      </c>
      <c r="I424" s="1284">
        <f>+VLOOKUP(B424,'12 Cartera Propia'!$D$10:$S$216,15,0)</f>
        <v>0</v>
      </c>
      <c r="J424" s="1282">
        <f t="shared" si="4"/>
        <v>100678664.7088875</v>
      </c>
      <c r="K424" s="1282">
        <f t="shared" si="11"/>
        <v>133770000000</v>
      </c>
      <c r="L424" s="1282">
        <f t="shared" si="12"/>
        <v>5156546159</v>
      </c>
      <c r="M424" s="1282">
        <f t="shared" si="13"/>
        <v>149171661842</v>
      </c>
      <c r="N424" s="180"/>
      <c r="O424" s="218"/>
    </row>
    <row r="425" spans="1:15">
      <c r="A425" s="1416" t="s">
        <v>3052</v>
      </c>
      <c r="B425" s="1419" t="s">
        <v>2888</v>
      </c>
      <c r="C425" s="1279" t="s">
        <v>1548</v>
      </c>
      <c r="D425" s="1280" t="s">
        <v>58</v>
      </c>
      <c r="E425" s="1281">
        <v>1</v>
      </c>
      <c r="F425" s="1282">
        <v>100000000</v>
      </c>
      <c r="G425" s="1283">
        <v>0</v>
      </c>
      <c r="H425" s="1282">
        <f>+VLOOKUP(B425,'12 Cartera Propia'!$D$10:$S$216,14,0)</f>
        <v>100678664.7088875</v>
      </c>
      <c r="I425" s="1284">
        <f>+VLOOKUP(B425,'12 Cartera Propia'!$D$10:$S$216,15,0)</f>
        <v>0</v>
      </c>
      <c r="J425" s="1282">
        <f t="shared" si="4"/>
        <v>100678664.7088875</v>
      </c>
      <c r="K425" s="1282">
        <f t="shared" si="11"/>
        <v>133770000000</v>
      </c>
      <c r="L425" s="1282">
        <f t="shared" si="12"/>
        <v>5156546159</v>
      </c>
      <c r="M425" s="1282">
        <f t="shared" si="13"/>
        <v>149171661842</v>
      </c>
      <c r="N425" s="180"/>
      <c r="O425" s="218"/>
    </row>
    <row r="426" spans="1:15">
      <c r="A426" s="1416" t="s">
        <v>3052</v>
      </c>
      <c r="B426" s="1419" t="s">
        <v>2889</v>
      </c>
      <c r="C426" s="1279" t="s">
        <v>1548</v>
      </c>
      <c r="D426" s="1280" t="s">
        <v>58</v>
      </c>
      <c r="E426" s="1281">
        <v>1</v>
      </c>
      <c r="F426" s="1282">
        <v>100000000</v>
      </c>
      <c r="G426" s="1283">
        <v>0</v>
      </c>
      <c r="H426" s="1282">
        <f>+VLOOKUP(B426,'12 Cartera Propia'!$D$10:$S$216,14,0)</f>
        <v>100678664.7088875</v>
      </c>
      <c r="I426" s="1284">
        <f>+VLOOKUP(B426,'12 Cartera Propia'!$D$10:$S$216,15,0)</f>
        <v>0</v>
      </c>
      <c r="J426" s="1282">
        <f t="shared" si="4"/>
        <v>100678664.7088875</v>
      </c>
      <c r="K426" s="1282">
        <f t="shared" si="11"/>
        <v>133770000000</v>
      </c>
      <c r="L426" s="1282">
        <f t="shared" si="12"/>
        <v>5156546159</v>
      </c>
      <c r="M426" s="1282">
        <f t="shared" si="13"/>
        <v>149171661842</v>
      </c>
      <c r="N426" s="180"/>
      <c r="O426" s="218"/>
    </row>
    <row r="427" spans="1:15">
      <c r="A427" s="1416" t="s">
        <v>3052</v>
      </c>
      <c r="B427" s="1419" t="s">
        <v>2890</v>
      </c>
      <c r="C427" s="1279" t="s">
        <v>1548</v>
      </c>
      <c r="D427" s="1280" t="s">
        <v>58</v>
      </c>
      <c r="E427" s="1281">
        <v>1</v>
      </c>
      <c r="F427" s="1282">
        <v>100000000</v>
      </c>
      <c r="G427" s="1283">
        <v>0</v>
      </c>
      <c r="H427" s="1282">
        <f>+VLOOKUP(B427,'12 Cartera Propia'!$D$10:$S$216,14,0)</f>
        <v>100678664.7088875</v>
      </c>
      <c r="I427" s="1284">
        <f>+VLOOKUP(B427,'12 Cartera Propia'!$D$10:$S$216,15,0)</f>
        <v>0</v>
      </c>
      <c r="J427" s="1282">
        <f t="shared" si="4"/>
        <v>100678664.7088875</v>
      </c>
      <c r="K427" s="1282">
        <f t="shared" si="11"/>
        <v>133770000000</v>
      </c>
      <c r="L427" s="1282">
        <f t="shared" si="12"/>
        <v>5156546159</v>
      </c>
      <c r="M427" s="1282">
        <f t="shared" si="13"/>
        <v>149171661842</v>
      </c>
      <c r="N427" s="180"/>
      <c r="O427" s="218"/>
    </row>
    <row r="428" spans="1:15">
      <c r="A428" s="1416" t="s">
        <v>3052</v>
      </c>
      <c r="B428" s="1419" t="s">
        <v>2891</v>
      </c>
      <c r="C428" s="1279" t="s">
        <v>1548</v>
      </c>
      <c r="D428" s="1280" t="s">
        <v>58</v>
      </c>
      <c r="E428" s="1281">
        <v>1</v>
      </c>
      <c r="F428" s="1282">
        <v>100000000</v>
      </c>
      <c r="G428" s="1283">
        <v>0</v>
      </c>
      <c r="H428" s="1282">
        <f>+VLOOKUP(B428,'12 Cartera Propia'!$D$10:$S$216,14,0)</f>
        <v>100678664.7088875</v>
      </c>
      <c r="I428" s="1284">
        <f>+VLOOKUP(B428,'12 Cartera Propia'!$D$10:$S$216,15,0)</f>
        <v>0</v>
      </c>
      <c r="J428" s="1282">
        <f t="shared" si="4"/>
        <v>100678664.7088875</v>
      </c>
      <c r="K428" s="1282">
        <f t="shared" si="11"/>
        <v>133770000000</v>
      </c>
      <c r="L428" s="1282">
        <f t="shared" si="12"/>
        <v>5156546159</v>
      </c>
      <c r="M428" s="1282">
        <f t="shared" si="13"/>
        <v>149171661842</v>
      </c>
      <c r="N428" s="180"/>
      <c r="O428" s="218"/>
    </row>
    <row r="429" spans="1:15">
      <c r="A429" s="1416" t="s">
        <v>3056</v>
      </c>
      <c r="B429" s="1419" t="s">
        <v>2892</v>
      </c>
      <c r="C429" s="1279" t="s">
        <v>2650</v>
      </c>
      <c r="D429" s="1280" t="s">
        <v>58</v>
      </c>
      <c r="E429" s="1281">
        <v>1</v>
      </c>
      <c r="F429" s="1282">
        <v>200000000</v>
      </c>
      <c r="G429" s="1283">
        <v>0</v>
      </c>
      <c r="H429" s="1282">
        <f>+VLOOKUP(B429,'12 Cartera Propia'!$D$10:$S$216,14,0)</f>
        <v>207934465.15576172</v>
      </c>
      <c r="I429" s="1284">
        <f>+VLOOKUP(B429,'12 Cartera Propia'!$D$10:$S$216,15,0)</f>
        <v>0</v>
      </c>
      <c r="J429" s="1282">
        <f t="shared" si="4"/>
        <v>207934465.15576172</v>
      </c>
      <c r="K429" s="1282">
        <f t="shared" ref="K429:K444" si="14">86196*$O$396</f>
        <v>86196000000</v>
      </c>
      <c r="L429" s="1282">
        <f t="shared" ref="L429:L444" si="15">79210.09071459*$O$396</f>
        <v>79210090714.589996</v>
      </c>
      <c r="M429" s="1282">
        <f t="shared" ref="M429:M444" si="16">230158.20760059*$O$396</f>
        <v>230158207600.59</v>
      </c>
      <c r="N429" s="180"/>
      <c r="O429" s="218"/>
    </row>
    <row r="430" spans="1:15">
      <c r="A430" s="1416" t="s">
        <v>3056</v>
      </c>
      <c r="B430" s="1419" t="s">
        <v>2893</v>
      </c>
      <c r="C430" s="1279" t="s">
        <v>2650</v>
      </c>
      <c r="D430" s="1280" t="s">
        <v>58</v>
      </c>
      <c r="E430" s="1281">
        <v>1</v>
      </c>
      <c r="F430" s="1282">
        <v>200000000</v>
      </c>
      <c r="G430" s="1283">
        <v>0</v>
      </c>
      <c r="H430" s="1282">
        <f>+VLOOKUP(B430,'12 Cartera Propia'!$D$10:$S$216,14,0)</f>
        <v>207934465.15576172</v>
      </c>
      <c r="I430" s="1284">
        <f>+VLOOKUP(B430,'12 Cartera Propia'!$D$10:$S$216,15,0)</f>
        <v>0</v>
      </c>
      <c r="J430" s="1282">
        <f t="shared" si="4"/>
        <v>207934465.15576172</v>
      </c>
      <c r="K430" s="1282">
        <f t="shared" si="14"/>
        <v>86196000000</v>
      </c>
      <c r="L430" s="1282">
        <f t="shared" si="15"/>
        <v>79210090714.589996</v>
      </c>
      <c r="M430" s="1282">
        <f t="shared" si="16"/>
        <v>230158207600.59</v>
      </c>
      <c r="N430" s="180"/>
      <c r="O430" s="218"/>
    </row>
    <row r="431" spans="1:15">
      <c r="A431" s="1416" t="s">
        <v>3056</v>
      </c>
      <c r="B431" s="1419" t="s">
        <v>2894</v>
      </c>
      <c r="C431" s="1279" t="s">
        <v>2650</v>
      </c>
      <c r="D431" s="1280" t="s">
        <v>58</v>
      </c>
      <c r="E431" s="1281">
        <v>1</v>
      </c>
      <c r="F431" s="1282">
        <v>200000000</v>
      </c>
      <c r="G431" s="1283">
        <v>0</v>
      </c>
      <c r="H431" s="1282">
        <f>+VLOOKUP(B431,'12 Cartera Propia'!$D$10:$S$216,14,0)</f>
        <v>207934465.15576172</v>
      </c>
      <c r="I431" s="1284">
        <f>+VLOOKUP(B431,'12 Cartera Propia'!$D$10:$S$216,15,0)</f>
        <v>0</v>
      </c>
      <c r="J431" s="1282">
        <f t="shared" si="4"/>
        <v>207934465.15576172</v>
      </c>
      <c r="K431" s="1282">
        <f t="shared" si="14"/>
        <v>86196000000</v>
      </c>
      <c r="L431" s="1282">
        <f t="shared" si="15"/>
        <v>79210090714.589996</v>
      </c>
      <c r="M431" s="1282">
        <f t="shared" si="16"/>
        <v>230158207600.59</v>
      </c>
      <c r="N431" s="180"/>
      <c r="O431" s="218"/>
    </row>
    <row r="432" spans="1:15">
      <c r="A432" s="1416" t="s">
        <v>3056</v>
      </c>
      <c r="B432" s="1419" t="s">
        <v>2895</v>
      </c>
      <c r="C432" s="1279" t="s">
        <v>2650</v>
      </c>
      <c r="D432" s="1280" t="s">
        <v>58</v>
      </c>
      <c r="E432" s="1281">
        <v>1</v>
      </c>
      <c r="F432" s="1282">
        <v>200000000</v>
      </c>
      <c r="G432" s="1283">
        <v>0</v>
      </c>
      <c r="H432" s="1282">
        <f>+VLOOKUP(B432,'12 Cartera Propia'!$D$10:$S$216,14,0)</f>
        <v>207934465.15576172</v>
      </c>
      <c r="I432" s="1284">
        <f>+VLOOKUP(B432,'12 Cartera Propia'!$D$10:$S$216,15,0)</f>
        <v>0</v>
      </c>
      <c r="J432" s="1282">
        <f t="shared" si="4"/>
        <v>207934465.15576172</v>
      </c>
      <c r="K432" s="1282">
        <f t="shared" si="14"/>
        <v>86196000000</v>
      </c>
      <c r="L432" s="1282">
        <f t="shared" si="15"/>
        <v>79210090714.589996</v>
      </c>
      <c r="M432" s="1282">
        <f t="shared" si="16"/>
        <v>230158207600.59</v>
      </c>
      <c r="N432" s="180"/>
      <c r="O432" s="218"/>
    </row>
    <row r="433" spans="1:15">
      <c r="A433" s="1416" t="s">
        <v>3056</v>
      </c>
      <c r="B433" s="1419" t="s">
        <v>2896</v>
      </c>
      <c r="C433" s="1279" t="s">
        <v>2650</v>
      </c>
      <c r="D433" s="1280" t="s">
        <v>58</v>
      </c>
      <c r="E433" s="1281">
        <v>1</v>
      </c>
      <c r="F433" s="1282">
        <v>200000000</v>
      </c>
      <c r="G433" s="1283">
        <v>0</v>
      </c>
      <c r="H433" s="1282">
        <f>+VLOOKUP(B433,'12 Cartera Propia'!$D$10:$S$216,14,0)</f>
        <v>205652233.52122754</v>
      </c>
      <c r="I433" s="1284">
        <f>+VLOOKUP(B433,'12 Cartera Propia'!$D$10:$S$216,15,0)</f>
        <v>0</v>
      </c>
      <c r="J433" s="1282">
        <f t="shared" si="4"/>
        <v>205652233.52122754</v>
      </c>
      <c r="K433" s="1282">
        <f t="shared" si="14"/>
        <v>86196000000</v>
      </c>
      <c r="L433" s="1282">
        <f t="shared" si="15"/>
        <v>79210090714.589996</v>
      </c>
      <c r="M433" s="1282">
        <f t="shared" si="16"/>
        <v>230158207600.59</v>
      </c>
      <c r="N433" s="180"/>
      <c r="O433" s="218"/>
    </row>
    <row r="434" spans="1:15">
      <c r="A434" s="1416" t="s">
        <v>3056</v>
      </c>
      <c r="B434" s="1419" t="s">
        <v>2897</v>
      </c>
      <c r="C434" s="1279" t="s">
        <v>2650</v>
      </c>
      <c r="D434" s="1280" t="s">
        <v>58</v>
      </c>
      <c r="E434" s="1281">
        <v>1</v>
      </c>
      <c r="F434" s="1282">
        <v>100000000</v>
      </c>
      <c r="G434" s="1283">
        <v>0</v>
      </c>
      <c r="H434" s="1282">
        <f>+VLOOKUP(B434,'12 Cartera Propia'!$D$10:$S$216,14,0)</f>
        <v>100777534.24657534</v>
      </c>
      <c r="I434" s="1284">
        <f>+VLOOKUP(B434,'12 Cartera Propia'!$D$10:$S$216,15,0)</f>
        <v>0</v>
      </c>
      <c r="J434" s="1282">
        <f t="shared" si="4"/>
        <v>100777534.24657534</v>
      </c>
      <c r="K434" s="1282">
        <f t="shared" si="14"/>
        <v>86196000000</v>
      </c>
      <c r="L434" s="1282">
        <f t="shared" si="15"/>
        <v>79210090714.589996</v>
      </c>
      <c r="M434" s="1282">
        <f t="shared" si="16"/>
        <v>230158207600.59</v>
      </c>
      <c r="N434" s="180"/>
      <c r="O434" s="218"/>
    </row>
    <row r="435" spans="1:15">
      <c r="A435" s="1416" t="s">
        <v>3056</v>
      </c>
      <c r="B435" s="1419" t="s">
        <v>2898</v>
      </c>
      <c r="C435" s="1279" t="s">
        <v>2650</v>
      </c>
      <c r="D435" s="1280" t="s">
        <v>58</v>
      </c>
      <c r="E435" s="1281">
        <v>1</v>
      </c>
      <c r="F435" s="1282">
        <v>100000000</v>
      </c>
      <c r="G435" s="1283">
        <v>0</v>
      </c>
      <c r="H435" s="1282">
        <f>+VLOOKUP(B435,'12 Cartera Propia'!$D$10:$S$216,14,0)</f>
        <v>100777534.24657534</v>
      </c>
      <c r="I435" s="1284">
        <f>+VLOOKUP(B435,'12 Cartera Propia'!$D$10:$S$216,15,0)</f>
        <v>0</v>
      </c>
      <c r="J435" s="1282">
        <f t="shared" si="4"/>
        <v>100777534.24657534</v>
      </c>
      <c r="K435" s="1282">
        <f t="shared" si="14"/>
        <v>86196000000</v>
      </c>
      <c r="L435" s="1282">
        <f t="shared" si="15"/>
        <v>79210090714.589996</v>
      </c>
      <c r="M435" s="1282">
        <f t="shared" si="16"/>
        <v>230158207600.59</v>
      </c>
      <c r="N435" s="180"/>
      <c r="O435" s="218"/>
    </row>
    <row r="436" spans="1:15">
      <c r="A436" s="1416" t="s">
        <v>3056</v>
      </c>
      <c r="B436" s="1419" t="s">
        <v>2899</v>
      </c>
      <c r="C436" s="1279" t="s">
        <v>2650</v>
      </c>
      <c r="D436" s="1280" t="s">
        <v>58</v>
      </c>
      <c r="E436" s="1281">
        <v>1</v>
      </c>
      <c r="F436" s="1282">
        <v>100000000</v>
      </c>
      <c r="G436" s="1283">
        <v>0</v>
      </c>
      <c r="H436" s="1282">
        <f>+VLOOKUP(B436,'12 Cartera Propia'!$D$10:$S$216,14,0)</f>
        <v>100777534.24657534</v>
      </c>
      <c r="I436" s="1284">
        <f>+VLOOKUP(B436,'12 Cartera Propia'!$D$10:$S$216,15,0)</f>
        <v>0</v>
      </c>
      <c r="J436" s="1282">
        <f t="shared" si="4"/>
        <v>100777534.24657534</v>
      </c>
      <c r="K436" s="1282">
        <f t="shared" si="14"/>
        <v>86196000000</v>
      </c>
      <c r="L436" s="1282">
        <f t="shared" si="15"/>
        <v>79210090714.589996</v>
      </c>
      <c r="M436" s="1282">
        <f t="shared" si="16"/>
        <v>230158207600.59</v>
      </c>
      <c r="N436" s="180"/>
      <c r="O436" s="218"/>
    </row>
    <row r="437" spans="1:15">
      <c r="A437" s="1416" t="s">
        <v>3056</v>
      </c>
      <c r="B437" s="1419" t="s">
        <v>2900</v>
      </c>
      <c r="C437" s="1279" t="s">
        <v>2650</v>
      </c>
      <c r="D437" s="1280" t="s">
        <v>58</v>
      </c>
      <c r="E437" s="1281">
        <v>1</v>
      </c>
      <c r="F437" s="1282">
        <v>100000000</v>
      </c>
      <c r="G437" s="1283">
        <v>0</v>
      </c>
      <c r="H437" s="1282">
        <f>+VLOOKUP(B437,'12 Cartera Propia'!$D$10:$S$216,14,0)</f>
        <v>100777534.24657534</v>
      </c>
      <c r="I437" s="1284">
        <f>+VLOOKUP(B437,'12 Cartera Propia'!$D$10:$S$216,15,0)</f>
        <v>0</v>
      </c>
      <c r="J437" s="1282">
        <f t="shared" si="4"/>
        <v>100777534.24657534</v>
      </c>
      <c r="K437" s="1282">
        <f t="shared" si="14"/>
        <v>86196000000</v>
      </c>
      <c r="L437" s="1282">
        <f t="shared" si="15"/>
        <v>79210090714.589996</v>
      </c>
      <c r="M437" s="1282">
        <f t="shared" si="16"/>
        <v>230158207600.59</v>
      </c>
      <c r="N437" s="180"/>
      <c r="O437" s="218"/>
    </row>
    <row r="438" spans="1:15">
      <c r="A438" s="1416" t="s">
        <v>3056</v>
      </c>
      <c r="B438" s="1419" t="s">
        <v>2901</v>
      </c>
      <c r="C438" s="1279" t="s">
        <v>2650</v>
      </c>
      <c r="D438" s="1280" t="s">
        <v>58</v>
      </c>
      <c r="E438" s="1281">
        <v>1</v>
      </c>
      <c r="F438" s="1282">
        <v>100000000</v>
      </c>
      <c r="G438" s="1283">
        <v>0</v>
      </c>
      <c r="H438" s="1282">
        <f>+VLOOKUP(B438,'12 Cartera Propia'!$D$10:$S$216,14,0)</f>
        <v>100777534.24657534</v>
      </c>
      <c r="I438" s="1284">
        <f>+VLOOKUP(B438,'12 Cartera Propia'!$D$10:$S$216,15,0)</f>
        <v>0</v>
      </c>
      <c r="J438" s="1282">
        <f t="shared" si="4"/>
        <v>100777534.24657534</v>
      </c>
      <c r="K438" s="1282">
        <f t="shared" si="14"/>
        <v>86196000000</v>
      </c>
      <c r="L438" s="1282">
        <f t="shared" si="15"/>
        <v>79210090714.589996</v>
      </c>
      <c r="M438" s="1282">
        <f t="shared" si="16"/>
        <v>230158207600.59</v>
      </c>
      <c r="N438" s="180"/>
      <c r="O438" s="218"/>
    </row>
    <row r="439" spans="1:15">
      <c r="A439" s="1416" t="s">
        <v>3056</v>
      </c>
      <c r="B439" s="1419" t="s">
        <v>2902</v>
      </c>
      <c r="C439" s="1279" t="s">
        <v>2650</v>
      </c>
      <c r="D439" s="1280" t="s">
        <v>58</v>
      </c>
      <c r="E439" s="1281">
        <v>1</v>
      </c>
      <c r="F439" s="1282">
        <v>100000000</v>
      </c>
      <c r="G439" s="1283">
        <v>0</v>
      </c>
      <c r="H439" s="1282">
        <f>+VLOOKUP(B439,'12 Cartera Propia'!$D$10:$S$216,14,0)</f>
        <v>100777534.24657534</v>
      </c>
      <c r="I439" s="1284">
        <f>+VLOOKUP(B439,'12 Cartera Propia'!$D$10:$S$216,15,0)</f>
        <v>0</v>
      </c>
      <c r="J439" s="1282">
        <f t="shared" si="4"/>
        <v>100777534.24657534</v>
      </c>
      <c r="K439" s="1282">
        <f t="shared" si="14"/>
        <v>86196000000</v>
      </c>
      <c r="L439" s="1282">
        <f t="shared" si="15"/>
        <v>79210090714.589996</v>
      </c>
      <c r="M439" s="1282">
        <f t="shared" si="16"/>
        <v>230158207600.59</v>
      </c>
      <c r="N439" s="180"/>
      <c r="O439" s="218"/>
    </row>
    <row r="440" spans="1:15">
      <c r="A440" s="1416" t="s">
        <v>3056</v>
      </c>
      <c r="B440" s="1419" t="s">
        <v>2903</v>
      </c>
      <c r="C440" s="1279" t="s">
        <v>2650</v>
      </c>
      <c r="D440" s="1280" t="s">
        <v>58</v>
      </c>
      <c r="E440" s="1281">
        <v>1</v>
      </c>
      <c r="F440" s="1282">
        <v>100000000</v>
      </c>
      <c r="G440" s="1283">
        <v>0</v>
      </c>
      <c r="H440" s="1282">
        <f>+VLOOKUP(B440,'12 Cartera Propia'!$D$10:$S$216,14,0)</f>
        <v>100777534.24657534</v>
      </c>
      <c r="I440" s="1284">
        <f>+VLOOKUP(B440,'12 Cartera Propia'!$D$10:$S$216,15,0)</f>
        <v>0</v>
      </c>
      <c r="J440" s="1282">
        <f t="shared" si="4"/>
        <v>100777534.24657534</v>
      </c>
      <c r="K440" s="1282">
        <f t="shared" si="14"/>
        <v>86196000000</v>
      </c>
      <c r="L440" s="1282">
        <f t="shared" si="15"/>
        <v>79210090714.589996</v>
      </c>
      <c r="M440" s="1282">
        <f t="shared" si="16"/>
        <v>230158207600.59</v>
      </c>
      <c r="N440" s="180"/>
      <c r="O440" s="218"/>
    </row>
    <row r="441" spans="1:15">
      <c r="A441" s="1416" t="s">
        <v>3056</v>
      </c>
      <c r="B441" s="1419" t="s">
        <v>2904</v>
      </c>
      <c r="C441" s="1279" t="s">
        <v>2650</v>
      </c>
      <c r="D441" s="1280" t="s">
        <v>58</v>
      </c>
      <c r="E441" s="1281">
        <v>1</v>
      </c>
      <c r="F441" s="1282">
        <v>100000000</v>
      </c>
      <c r="G441" s="1283">
        <v>0</v>
      </c>
      <c r="H441" s="1282">
        <f>+VLOOKUP(B441,'12 Cartera Propia'!$D$10:$S$216,14,0)</f>
        <v>100777534.24657534</v>
      </c>
      <c r="I441" s="1284">
        <f>+VLOOKUP(B441,'12 Cartera Propia'!$D$10:$S$216,15,0)</f>
        <v>0</v>
      </c>
      <c r="J441" s="1282">
        <f t="shared" si="4"/>
        <v>100777534.24657534</v>
      </c>
      <c r="K441" s="1282">
        <f t="shared" si="14"/>
        <v>86196000000</v>
      </c>
      <c r="L441" s="1282">
        <f t="shared" si="15"/>
        <v>79210090714.589996</v>
      </c>
      <c r="M441" s="1282">
        <f t="shared" si="16"/>
        <v>230158207600.59</v>
      </c>
      <c r="N441" s="180"/>
      <c r="O441" s="218"/>
    </row>
    <row r="442" spans="1:15">
      <c r="A442" s="1416" t="s">
        <v>3056</v>
      </c>
      <c r="B442" s="1419" t="s">
        <v>2905</v>
      </c>
      <c r="C442" s="1279" t="s">
        <v>2650</v>
      </c>
      <c r="D442" s="1280" t="s">
        <v>58</v>
      </c>
      <c r="E442" s="1281">
        <v>1</v>
      </c>
      <c r="F442" s="1282">
        <v>100000000</v>
      </c>
      <c r="G442" s="1283">
        <v>0</v>
      </c>
      <c r="H442" s="1282">
        <f>+VLOOKUP(B442,'12 Cartera Propia'!$D$10:$S$216,14,0)</f>
        <v>100777534.24657534</v>
      </c>
      <c r="I442" s="1284">
        <f>+VLOOKUP(B442,'12 Cartera Propia'!$D$10:$S$216,15,0)</f>
        <v>0</v>
      </c>
      <c r="J442" s="1282">
        <f t="shared" si="4"/>
        <v>100777534.24657534</v>
      </c>
      <c r="K442" s="1282">
        <f t="shared" si="14"/>
        <v>86196000000</v>
      </c>
      <c r="L442" s="1282">
        <f t="shared" si="15"/>
        <v>79210090714.589996</v>
      </c>
      <c r="M442" s="1282">
        <f t="shared" si="16"/>
        <v>230158207600.59</v>
      </c>
      <c r="N442" s="180"/>
      <c r="O442" s="218"/>
    </row>
    <row r="443" spans="1:15">
      <c r="A443" s="1416" t="s">
        <v>3056</v>
      </c>
      <c r="B443" s="1419" t="s">
        <v>2906</v>
      </c>
      <c r="C443" s="1279" t="s">
        <v>2650</v>
      </c>
      <c r="D443" s="1280" t="s">
        <v>58</v>
      </c>
      <c r="E443" s="1281">
        <v>1</v>
      </c>
      <c r="F443" s="1282">
        <v>100000000</v>
      </c>
      <c r="G443" s="1283">
        <v>0</v>
      </c>
      <c r="H443" s="1282">
        <f>+VLOOKUP(B443,'12 Cartera Propia'!$D$10:$S$216,14,0)</f>
        <v>100777534.24657534</v>
      </c>
      <c r="I443" s="1284">
        <f>+VLOOKUP(B443,'12 Cartera Propia'!$D$10:$S$216,15,0)</f>
        <v>0</v>
      </c>
      <c r="J443" s="1282">
        <f t="shared" si="4"/>
        <v>100777534.24657534</v>
      </c>
      <c r="K443" s="1282">
        <f t="shared" si="14"/>
        <v>86196000000</v>
      </c>
      <c r="L443" s="1282">
        <f t="shared" si="15"/>
        <v>79210090714.589996</v>
      </c>
      <c r="M443" s="1282">
        <f t="shared" si="16"/>
        <v>230158207600.59</v>
      </c>
      <c r="N443" s="180"/>
      <c r="O443" s="218"/>
    </row>
    <row r="444" spans="1:15">
      <c r="A444" s="1416" t="s">
        <v>3056</v>
      </c>
      <c r="B444" s="1419" t="s">
        <v>2907</v>
      </c>
      <c r="C444" s="1279" t="s">
        <v>2650</v>
      </c>
      <c r="D444" s="1280" t="s">
        <v>58</v>
      </c>
      <c r="E444" s="1281">
        <v>1</v>
      </c>
      <c r="F444" s="1282">
        <v>100000000</v>
      </c>
      <c r="G444" s="1283">
        <v>0</v>
      </c>
      <c r="H444" s="1282">
        <f>+VLOOKUP(B444,'12 Cartera Propia'!$D$10:$S$216,14,0)</f>
        <v>100116438.32876705</v>
      </c>
      <c r="I444" s="1282">
        <f>+VLOOKUP(B444,'12 Cartera Propia'!$D$10:$S$216,15,0)</f>
        <v>-3106.7541969061199</v>
      </c>
      <c r="J444" s="1282">
        <f t="shared" si="4"/>
        <v>100113331.57457013</v>
      </c>
      <c r="K444" s="1282">
        <f t="shared" si="14"/>
        <v>86196000000</v>
      </c>
      <c r="L444" s="1282">
        <f t="shared" si="15"/>
        <v>79210090714.589996</v>
      </c>
      <c r="M444" s="1282">
        <f t="shared" si="16"/>
        <v>230158207600.59</v>
      </c>
      <c r="N444" s="180"/>
      <c r="O444" s="218"/>
    </row>
    <row r="445" spans="1:15">
      <c r="A445" s="1416" t="s">
        <v>3053</v>
      </c>
      <c r="B445" s="1419" t="s">
        <v>2908</v>
      </c>
      <c r="C445" s="1279" t="s">
        <v>1530</v>
      </c>
      <c r="D445" s="1280" t="s">
        <v>58</v>
      </c>
      <c r="E445" s="1281">
        <v>1</v>
      </c>
      <c r="F445" s="1282">
        <v>100000000</v>
      </c>
      <c r="G445" s="1283">
        <v>0</v>
      </c>
      <c r="H445" s="1282">
        <f>+VLOOKUP(B445,'12 Cartera Propia'!$D$10:$S$216,14,0)</f>
        <v>102190149.86029544</v>
      </c>
      <c r="I445" s="1284">
        <f>+VLOOKUP(B445,'12 Cartera Propia'!$D$10:$S$216,15,0)</f>
        <v>0</v>
      </c>
      <c r="J445" s="1282">
        <f t="shared" si="4"/>
        <v>102190149.86029544</v>
      </c>
      <c r="K445" s="1282">
        <f t="shared" ref="K445:K450" si="17">126500*$O$396</f>
        <v>126500000000</v>
      </c>
      <c r="L445" s="1282">
        <f t="shared" ref="L445:L450" si="18">25301.176447*$O$396</f>
        <v>25301176447</v>
      </c>
      <c r="M445" s="1282">
        <f t="shared" ref="M445:M450" si="19">186344.724353*$O$396</f>
        <v>186344724353</v>
      </c>
      <c r="N445" s="180"/>
      <c r="O445" s="218"/>
    </row>
    <row r="446" spans="1:15">
      <c r="A446" s="1416" t="s">
        <v>3053</v>
      </c>
      <c r="B446" s="1419" t="s">
        <v>2909</v>
      </c>
      <c r="C446" s="1279" t="s">
        <v>1530</v>
      </c>
      <c r="D446" s="1280" t="s">
        <v>58</v>
      </c>
      <c r="E446" s="1281">
        <v>1</v>
      </c>
      <c r="F446" s="1282">
        <v>100000000</v>
      </c>
      <c r="G446" s="1283">
        <v>0</v>
      </c>
      <c r="H446" s="1282">
        <f>+VLOOKUP(B446,'12 Cartera Propia'!$D$10:$S$216,14,0)</f>
        <v>102190149.86029544</v>
      </c>
      <c r="I446" s="1284">
        <f>+VLOOKUP(B446,'12 Cartera Propia'!$D$10:$S$216,15,0)</f>
        <v>0</v>
      </c>
      <c r="J446" s="1282">
        <f t="shared" si="4"/>
        <v>102190149.86029544</v>
      </c>
      <c r="K446" s="1282">
        <f t="shared" si="17"/>
        <v>126500000000</v>
      </c>
      <c r="L446" s="1282">
        <f t="shared" si="18"/>
        <v>25301176447</v>
      </c>
      <c r="M446" s="1282">
        <f t="shared" si="19"/>
        <v>186344724353</v>
      </c>
      <c r="N446" s="180"/>
      <c r="O446" s="218"/>
    </row>
    <row r="447" spans="1:15">
      <c r="A447" s="1416" t="s">
        <v>3053</v>
      </c>
      <c r="B447" s="1419" t="s">
        <v>2910</v>
      </c>
      <c r="C447" s="1279" t="s">
        <v>1530</v>
      </c>
      <c r="D447" s="1280" t="s">
        <v>58</v>
      </c>
      <c r="E447" s="1281">
        <v>1</v>
      </c>
      <c r="F447" s="1282">
        <v>100000000</v>
      </c>
      <c r="G447" s="1283">
        <v>0</v>
      </c>
      <c r="H447" s="1282">
        <f>+VLOOKUP(B447,'12 Cartera Propia'!$D$10:$S$216,14,0)</f>
        <v>102190149.86029544</v>
      </c>
      <c r="I447" s="1284">
        <f>+VLOOKUP(B447,'12 Cartera Propia'!$D$10:$S$216,15,0)</f>
        <v>0</v>
      </c>
      <c r="J447" s="1282">
        <f t="shared" si="4"/>
        <v>102190149.86029544</v>
      </c>
      <c r="K447" s="1282">
        <f t="shared" si="17"/>
        <v>126500000000</v>
      </c>
      <c r="L447" s="1282">
        <f t="shared" si="18"/>
        <v>25301176447</v>
      </c>
      <c r="M447" s="1282">
        <f t="shared" si="19"/>
        <v>186344724353</v>
      </c>
      <c r="N447" s="180"/>
      <c r="O447" s="218"/>
    </row>
    <row r="448" spans="1:15">
      <c r="A448" s="1416" t="s">
        <v>3053</v>
      </c>
      <c r="B448" s="1419" t="s">
        <v>2911</v>
      </c>
      <c r="C448" s="1279" t="s">
        <v>1530</v>
      </c>
      <c r="D448" s="1280" t="s">
        <v>58</v>
      </c>
      <c r="E448" s="1281">
        <v>1</v>
      </c>
      <c r="F448" s="1282">
        <v>100000000</v>
      </c>
      <c r="G448" s="1283">
        <v>0</v>
      </c>
      <c r="H448" s="1282">
        <f>+VLOOKUP(B448,'12 Cartera Propia'!$D$10:$S$216,14,0)</f>
        <v>102190149.86029544</v>
      </c>
      <c r="I448" s="1284">
        <f>+VLOOKUP(B448,'12 Cartera Propia'!$D$10:$S$216,15,0)</f>
        <v>0</v>
      </c>
      <c r="J448" s="1282">
        <f t="shared" si="4"/>
        <v>102190149.86029544</v>
      </c>
      <c r="K448" s="1282">
        <f t="shared" si="17"/>
        <v>126500000000</v>
      </c>
      <c r="L448" s="1282">
        <f t="shared" si="18"/>
        <v>25301176447</v>
      </c>
      <c r="M448" s="1282">
        <f t="shared" si="19"/>
        <v>186344724353</v>
      </c>
      <c r="N448" s="180"/>
      <c r="O448" s="218"/>
    </row>
    <row r="449" spans="1:15">
      <c r="A449" s="1416" t="s">
        <v>3053</v>
      </c>
      <c r="B449" s="1419" t="s">
        <v>2912</v>
      </c>
      <c r="C449" s="1279" t="s">
        <v>1530</v>
      </c>
      <c r="D449" s="1280" t="s">
        <v>58</v>
      </c>
      <c r="E449" s="1281">
        <v>1</v>
      </c>
      <c r="F449" s="1282">
        <v>100000000</v>
      </c>
      <c r="G449" s="1283">
        <v>0</v>
      </c>
      <c r="H449" s="1282">
        <f>+VLOOKUP(B449,'12 Cartera Propia'!$D$10:$S$216,14,0)</f>
        <v>102190149.86029544</v>
      </c>
      <c r="I449" s="1284">
        <f>+VLOOKUP(B449,'12 Cartera Propia'!$D$10:$S$216,15,0)</f>
        <v>0</v>
      </c>
      <c r="J449" s="1282">
        <f t="shared" si="4"/>
        <v>102190149.86029544</v>
      </c>
      <c r="K449" s="1282">
        <f t="shared" si="17"/>
        <v>126500000000</v>
      </c>
      <c r="L449" s="1282">
        <f t="shared" si="18"/>
        <v>25301176447</v>
      </c>
      <c r="M449" s="1282">
        <f t="shared" si="19"/>
        <v>186344724353</v>
      </c>
      <c r="N449" s="180"/>
      <c r="O449" s="218"/>
    </row>
    <row r="450" spans="1:15">
      <c r="A450" s="1416" t="s">
        <v>3053</v>
      </c>
      <c r="B450" s="1419" t="s">
        <v>2913</v>
      </c>
      <c r="C450" s="1279" t="s">
        <v>1530</v>
      </c>
      <c r="D450" s="1280" t="s">
        <v>58</v>
      </c>
      <c r="E450" s="1281">
        <v>1</v>
      </c>
      <c r="F450" s="1282">
        <v>100000000</v>
      </c>
      <c r="G450" s="1283">
        <v>0</v>
      </c>
      <c r="H450" s="1282">
        <f>+VLOOKUP(B450,'12 Cartera Propia'!$D$10:$S$216,14,0)</f>
        <v>101875565.02397259</v>
      </c>
      <c r="I450" s="1284">
        <f>+VLOOKUP(B450,'12 Cartera Propia'!$D$10:$S$216,15,0)</f>
        <v>0</v>
      </c>
      <c r="J450" s="1282">
        <f t="shared" si="4"/>
        <v>101875565.02397259</v>
      </c>
      <c r="K450" s="1282">
        <f t="shared" si="17"/>
        <v>126500000000</v>
      </c>
      <c r="L450" s="1282">
        <f t="shared" si="18"/>
        <v>25301176447</v>
      </c>
      <c r="M450" s="1282">
        <f t="shared" si="19"/>
        <v>186344724353</v>
      </c>
      <c r="N450" s="180"/>
      <c r="O450" s="218"/>
    </row>
    <row r="451" spans="1:15">
      <c r="A451" s="1416" t="s">
        <v>3048</v>
      </c>
      <c r="B451" s="1419" t="s">
        <v>2915</v>
      </c>
      <c r="C451" s="1279" t="s">
        <v>2914</v>
      </c>
      <c r="D451" s="1280" t="s">
        <v>58</v>
      </c>
      <c r="E451" s="1281">
        <v>1</v>
      </c>
      <c r="F451" s="1282">
        <v>500000000</v>
      </c>
      <c r="G451" s="1283">
        <v>0</v>
      </c>
      <c r="H451" s="1282">
        <f>+VLOOKUP(B451,'12 Cartera Propia'!$D$10:$S$216,14,0)</f>
        <v>501991095.8904109</v>
      </c>
      <c r="I451" s="1284">
        <f>+VLOOKUP(B451,'12 Cartera Propia'!$D$10:$S$216,15,0)</f>
        <v>0</v>
      </c>
      <c r="J451" s="1282">
        <f t="shared" si="4"/>
        <v>501991095.8904109</v>
      </c>
      <c r="K451" s="1282">
        <f t="shared" ref="K451:K456" si="20">570000*$O$396</f>
        <v>570000000000</v>
      </c>
      <c r="L451" s="1282">
        <f t="shared" ref="L451:L456" si="21">330146.119577*$O$396</f>
        <v>330146119577</v>
      </c>
      <c r="M451" s="1282">
        <f t="shared" ref="M451:M456" si="22">1373940.759565*$O$396</f>
        <v>1373940759565</v>
      </c>
      <c r="N451" s="180"/>
      <c r="O451" s="218"/>
    </row>
    <row r="452" spans="1:15">
      <c r="A452" s="1416" t="s">
        <v>3048</v>
      </c>
      <c r="B452" s="1419" t="s">
        <v>2916</v>
      </c>
      <c r="C452" s="1279" t="s">
        <v>2914</v>
      </c>
      <c r="D452" s="1280" t="s">
        <v>58</v>
      </c>
      <c r="E452" s="1281">
        <v>1</v>
      </c>
      <c r="F452" s="1282">
        <v>500000000</v>
      </c>
      <c r="G452" s="1283">
        <v>0</v>
      </c>
      <c r="H452" s="1282">
        <f>+VLOOKUP(B452,'12 Cartera Propia'!$D$10:$S$216,14,0)</f>
        <v>501991095.8904109</v>
      </c>
      <c r="I452" s="1284">
        <f>+VLOOKUP(B452,'12 Cartera Propia'!$D$10:$S$216,15,0)</f>
        <v>0</v>
      </c>
      <c r="J452" s="1282">
        <f t="shared" si="4"/>
        <v>501991095.8904109</v>
      </c>
      <c r="K452" s="1282">
        <f t="shared" si="20"/>
        <v>570000000000</v>
      </c>
      <c r="L452" s="1282">
        <f t="shared" si="21"/>
        <v>330146119577</v>
      </c>
      <c r="M452" s="1282">
        <f t="shared" si="22"/>
        <v>1373940759565</v>
      </c>
      <c r="N452" s="180"/>
      <c r="O452" s="218"/>
    </row>
    <row r="453" spans="1:15">
      <c r="A453" s="1416" t="s">
        <v>3048</v>
      </c>
      <c r="B453" s="1419" t="s">
        <v>2917</v>
      </c>
      <c r="C453" s="1279" t="s">
        <v>2914</v>
      </c>
      <c r="D453" s="1280" t="s">
        <v>58</v>
      </c>
      <c r="E453" s="1281">
        <v>1</v>
      </c>
      <c r="F453" s="1282">
        <v>500000000</v>
      </c>
      <c r="G453" s="1283">
        <v>0</v>
      </c>
      <c r="H453" s="1282">
        <f>+VLOOKUP(B453,'12 Cartera Propia'!$D$10:$S$216,14,0)</f>
        <v>501991095.8904109</v>
      </c>
      <c r="I453" s="1284">
        <f>+VLOOKUP(B453,'12 Cartera Propia'!$D$10:$S$216,15,0)</f>
        <v>0</v>
      </c>
      <c r="J453" s="1282">
        <f t="shared" si="4"/>
        <v>501991095.8904109</v>
      </c>
      <c r="K453" s="1282">
        <f t="shared" si="20"/>
        <v>570000000000</v>
      </c>
      <c r="L453" s="1282">
        <f t="shared" si="21"/>
        <v>330146119577</v>
      </c>
      <c r="M453" s="1282">
        <f t="shared" si="22"/>
        <v>1373940759565</v>
      </c>
      <c r="N453" s="180"/>
      <c r="O453" s="218"/>
    </row>
    <row r="454" spans="1:15">
      <c r="A454" s="1416" t="s">
        <v>3048</v>
      </c>
      <c r="B454" s="1419" t="s">
        <v>2918</v>
      </c>
      <c r="C454" s="1279" t="s">
        <v>2914</v>
      </c>
      <c r="D454" s="1280" t="s">
        <v>58</v>
      </c>
      <c r="E454" s="1281">
        <v>1</v>
      </c>
      <c r="F454" s="1282">
        <v>500000000</v>
      </c>
      <c r="G454" s="1283">
        <v>0</v>
      </c>
      <c r="H454" s="1282">
        <f>+VLOOKUP(B454,'12 Cartera Propia'!$D$10:$S$216,14,0)</f>
        <v>501991095.8904109</v>
      </c>
      <c r="I454" s="1284">
        <f>+VLOOKUP(B454,'12 Cartera Propia'!$D$10:$S$216,15,0)</f>
        <v>0</v>
      </c>
      <c r="J454" s="1282">
        <f t="shared" si="4"/>
        <v>501991095.8904109</v>
      </c>
      <c r="K454" s="1282">
        <f t="shared" si="20"/>
        <v>570000000000</v>
      </c>
      <c r="L454" s="1282">
        <f t="shared" si="21"/>
        <v>330146119577</v>
      </c>
      <c r="M454" s="1282">
        <f t="shared" si="22"/>
        <v>1373940759565</v>
      </c>
      <c r="N454" s="180"/>
      <c r="O454" s="218"/>
    </row>
    <row r="455" spans="1:15">
      <c r="A455" s="1416" t="s">
        <v>3048</v>
      </c>
      <c r="B455" s="1419" t="s">
        <v>2919</v>
      </c>
      <c r="C455" s="1279" t="s">
        <v>2914</v>
      </c>
      <c r="D455" s="1280" t="s">
        <v>58</v>
      </c>
      <c r="E455" s="1281">
        <v>1</v>
      </c>
      <c r="F455" s="1282">
        <v>500000000</v>
      </c>
      <c r="G455" s="1283">
        <v>0</v>
      </c>
      <c r="H455" s="1282">
        <f>+VLOOKUP(B455,'12 Cartera Propia'!$D$10:$S$216,14,0)</f>
        <v>501991095.8904109</v>
      </c>
      <c r="I455" s="1284">
        <f>+VLOOKUP(B455,'12 Cartera Propia'!$D$10:$S$216,15,0)</f>
        <v>0</v>
      </c>
      <c r="J455" s="1282">
        <f t="shared" si="4"/>
        <v>501991095.8904109</v>
      </c>
      <c r="K455" s="1282">
        <f t="shared" si="20"/>
        <v>570000000000</v>
      </c>
      <c r="L455" s="1282">
        <f t="shared" si="21"/>
        <v>330146119577</v>
      </c>
      <c r="M455" s="1282">
        <f t="shared" si="22"/>
        <v>1373940759565</v>
      </c>
      <c r="N455" s="180"/>
      <c r="O455" s="218"/>
    </row>
    <row r="456" spans="1:15">
      <c r="A456" s="1416" t="s">
        <v>3048</v>
      </c>
      <c r="B456" s="1419" t="s">
        <v>2920</v>
      </c>
      <c r="C456" s="1279" t="s">
        <v>2914</v>
      </c>
      <c r="D456" s="1280" t="s">
        <v>58</v>
      </c>
      <c r="E456" s="1281">
        <v>1</v>
      </c>
      <c r="F456" s="1282">
        <v>500000000</v>
      </c>
      <c r="G456" s="1283">
        <v>0</v>
      </c>
      <c r="H456" s="1282">
        <f>+VLOOKUP(B456,'12 Cartera Propia'!$D$10:$S$216,14,0)</f>
        <v>501991095.8904109</v>
      </c>
      <c r="I456" s="1284">
        <f>+VLOOKUP(B456,'12 Cartera Propia'!$D$10:$S$216,15,0)</f>
        <v>0</v>
      </c>
      <c r="J456" s="1282">
        <f t="shared" si="4"/>
        <v>501991095.8904109</v>
      </c>
      <c r="K456" s="1282">
        <f t="shared" si="20"/>
        <v>570000000000</v>
      </c>
      <c r="L456" s="1282">
        <f t="shared" si="21"/>
        <v>330146119577</v>
      </c>
      <c r="M456" s="1282">
        <f t="shared" si="22"/>
        <v>1373940759565</v>
      </c>
      <c r="N456" s="180"/>
      <c r="O456" s="218"/>
    </row>
    <row r="457" spans="1:15">
      <c r="A457" s="1416" t="s">
        <v>3047</v>
      </c>
      <c r="B457" s="1419" t="s">
        <v>2921</v>
      </c>
      <c r="C457" s="1279" t="s">
        <v>1688</v>
      </c>
      <c r="D457" s="1280" t="s">
        <v>58</v>
      </c>
      <c r="E457" s="1281">
        <v>1</v>
      </c>
      <c r="F457" s="1282">
        <v>500000000</v>
      </c>
      <c r="G457" s="1283">
        <v>0</v>
      </c>
      <c r="H457" s="1282">
        <f>+VLOOKUP(B457,'12 Cartera Propia'!$D$10:$S$216,14,0)</f>
        <v>502350684.93150687</v>
      </c>
      <c r="I457" s="1282">
        <f>+VLOOKUP(B457,'12 Cartera Propia'!$D$10:$S$216,15,0)</f>
        <v>-3843676.4134151898</v>
      </c>
      <c r="J457" s="1282">
        <f t="shared" si="4"/>
        <v>498507008.51809168</v>
      </c>
      <c r="K457" s="1282">
        <f>696666.67*$O$396</f>
        <v>696666670000</v>
      </c>
      <c r="L457" s="1282">
        <f>304744.009772*$O$396</f>
        <v>304744009772</v>
      </c>
      <c r="M457" s="1282">
        <f>1399821.745483*$O$396</f>
        <v>1399821745483</v>
      </c>
      <c r="N457" s="180"/>
      <c r="O457" s="218"/>
    </row>
    <row r="458" spans="1:15">
      <c r="A458" s="1416" t="s">
        <v>3050</v>
      </c>
      <c r="B458" s="1419" t="s">
        <v>2922</v>
      </c>
      <c r="C458" s="1279" t="s">
        <v>1600</v>
      </c>
      <c r="D458" s="1280" t="s">
        <v>2973</v>
      </c>
      <c r="E458" s="1281">
        <v>1</v>
      </c>
      <c r="F458" s="1282">
        <v>50000000</v>
      </c>
      <c r="G458" s="1283">
        <v>0</v>
      </c>
      <c r="H458" s="1282">
        <f>+VLOOKUP(B458,'12 Cartera Propia'!$D$10:$S$216,14,0)</f>
        <v>52771917.80821918</v>
      </c>
      <c r="I458" s="1282">
        <f>+VLOOKUP(B458,'12 Cartera Propia'!$D$10:$S$216,15,0)</f>
        <v>-29814.090270459899</v>
      </c>
      <c r="J458" s="1282">
        <f t="shared" si="4"/>
        <v>52742103.71794872</v>
      </c>
      <c r="K458" s="1282">
        <f>1133000*$O$396</f>
        <v>1133000000000</v>
      </c>
      <c r="L458" s="1282">
        <f>1275405.268927*$O$396</f>
        <v>1275405268927</v>
      </c>
      <c r="M458" s="1282">
        <f>5827383.065736*$O$396</f>
        <v>5827383065736</v>
      </c>
      <c r="N458" s="180"/>
      <c r="O458" s="218"/>
    </row>
    <row r="459" spans="1:15">
      <c r="A459" s="1416" t="s">
        <v>3050</v>
      </c>
      <c r="B459" s="1419" t="s">
        <v>2923</v>
      </c>
      <c r="C459" s="1279" t="s">
        <v>1600</v>
      </c>
      <c r="D459" s="1280" t="s">
        <v>2973</v>
      </c>
      <c r="E459" s="1281">
        <v>1</v>
      </c>
      <c r="F459" s="1282">
        <v>50000000</v>
      </c>
      <c r="G459" s="1283">
        <v>0</v>
      </c>
      <c r="H459" s="1282">
        <f>+VLOOKUP(B459,'12 Cartera Propia'!$D$10:$S$216,14,0)</f>
        <v>52771917.80821918</v>
      </c>
      <c r="I459" s="1282">
        <f>+VLOOKUP(B459,'12 Cartera Propia'!$D$10:$S$216,15,0)</f>
        <v>-29814.090270459899</v>
      </c>
      <c r="J459" s="1282">
        <f t="shared" si="4"/>
        <v>52742103.71794872</v>
      </c>
      <c r="K459" s="1282">
        <f>1133000*$O$396</f>
        <v>1133000000000</v>
      </c>
      <c r="L459" s="1282">
        <f>1275405.268927*$O$396</f>
        <v>1275405268927</v>
      </c>
      <c r="M459" s="1282">
        <f>5827383.065736*$O$396</f>
        <v>5827383065736</v>
      </c>
      <c r="N459" s="180"/>
      <c r="O459" s="218"/>
    </row>
    <row r="460" spans="1:15">
      <c r="A460" s="1418" t="s">
        <v>3038</v>
      </c>
      <c r="B460" s="1419" t="s">
        <v>2641</v>
      </c>
      <c r="C460" s="1279" t="s">
        <v>1511</v>
      </c>
      <c r="D460" s="1280" t="s">
        <v>56</v>
      </c>
      <c r="E460" s="1281">
        <v>806</v>
      </c>
      <c r="F460" s="1282">
        <v>1000000</v>
      </c>
      <c r="G460" s="1283">
        <v>0</v>
      </c>
      <c r="H460" s="1282">
        <f>+VLOOKUP(B460,'12 Cartera Propia'!$D$10:$S$216,14,0)</f>
        <v>812771838.52302837</v>
      </c>
      <c r="I460" s="1284">
        <f>+VLOOKUP(B460,'12 Cartera Propia'!$D$10:$S$216,15,0)</f>
        <v>0</v>
      </c>
      <c r="J460" s="1282">
        <f t="shared" si="4"/>
        <v>812771838.52302837</v>
      </c>
      <c r="K460" s="1282">
        <f>570000*$O$396</f>
        <v>570000000000</v>
      </c>
      <c r="L460" s="1282">
        <f>330146.119577*$O$396</f>
        <v>330146119577</v>
      </c>
      <c r="M460" s="1282">
        <f>1373940.759565*$O$396</f>
        <v>1373940759565</v>
      </c>
      <c r="N460" s="180"/>
      <c r="O460" s="218"/>
    </row>
    <row r="461" spans="1:15">
      <c r="A461" s="1418" t="s">
        <v>3038</v>
      </c>
      <c r="B461" s="1419" t="s">
        <v>1695</v>
      </c>
      <c r="C461" s="1279" t="s">
        <v>1511</v>
      </c>
      <c r="D461" s="1280" t="s">
        <v>56</v>
      </c>
      <c r="E461" s="1281">
        <v>455</v>
      </c>
      <c r="F461" s="1282">
        <v>1000000</v>
      </c>
      <c r="G461" s="1283">
        <v>0</v>
      </c>
      <c r="H461" s="1282">
        <f>+VLOOKUP(B461,'12 Cartera Propia'!$D$10:$S$216,14,0)</f>
        <v>457706522.30310482</v>
      </c>
      <c r="I461" s="1284">
        <f>+VLOOKUP(B461,'12 Cartera Propia'!$D$10:$S$216,15,0)</f>
        <v>0</v>
      </c>
      <c r="J461" s="1282">
        <f t="shared" si="4"/>
        <v>457706522.30310482</v>
      </c>
      <c r="K461" s="1282">
        <f>570000*$O$396</f>
        <v>570000000000</v>
      </c>
      <c r="L461" s="1282">
        <f>330146.119577*$O$396</f>
        <v>330146119577</v>
      </c>
      <c r="M461" s="1282">
        <f>1373940.759565*$O$396</f>
        <v>1373940759565</v>
      </c>
      <c r="N461" s="180"/>
      <c r="O461" s="218"/>
    </row>
    <row r="462" spans="1:15">
      <c r="A462" s="1418" t="s">
        <v>3038</v>
      </c>
      <c r="B462" s="1419" t="s">
        <v>2925</v>
      </c>
      <c r="C462" s="1279" t="s">
        <v>1511</v>
      </c>
      <c r="D462" s="1280" t="s">
        <v>56</v>
      </c>
      <c r="E462" s="1281">
        <v>775</v>
      </c>
      <c r="F462" s="1282">
        <v>1000000</v>
      </c>
      <c r="G462" s="1283">
        <v>0</v>
      </c>
      <c r="H462" s="1282">
        <f>+VLOOKUP(B462,'12 Cartera Propia'!$D$10:$S$216,14,0)</f>
        <v>775153938.35616434</v>
      </c>
      <c r="I462" s="1284">
        <f>+VLOOKUP(B462,'12 Cartera Propia'!$D$10:$S$216,15,0)</f>
        <v>0</v>
      </c>
      <c r="J462" s="1282">
        <f t="shared" si="4"/>
        <v>775153938.35616434</v>
      </c>
      <c r="K462" s="1282">
        <f>570000*$O$396</f>
        <v>570000000000</v>
      </c>
      <c r="L462" s="1282">
        <f>330146.119577*$O$396</f>
        <v>330146119577</v>
      </c>
      <c r="M462" s="1282">
        <f>1373940.759565*$O$396</f>
        <v>1373940759565</v>
      </c>
      <c r="N462" s="180"/>
      <c r="O462" s="218"/>
    </row>
    <row r="463" spans="1:15">
      <c r="A463" s="1416" t="s">
        <v>3039</v>
      </c>
      <c r="B463" s="1419" t="s">
        <v>2729</v>
      </c>
      <c r="C463" s="1279" t="s">
        <v>1548</v>
      </c>
      <c r="D463" s="1280" t="s">
        <v>56</v>
      </c>
      <c r="E463" s="1281">
        <v>495</v>
      </c>
      <c r="F463" s="1282">
        <v>1000000</v>
      </c>
      <c r="G463" s="1283">
        <v>0</v>
      </c>
      <c r="H463" s="1282">
        <f>+VLOOKUP(B463,'12 Cartera Propia'!$D$10:$S$216,14,0)</f>
        <v>511545627</v>
      </c>
      <c r="I463" s="1282">
        <f>+VLOOKUP(B463,'12 Cartera Propia'!$D$10:$S$216,15,0)</f>
        <v>-1681407.3474470701</v>
      </c>
      <c r="J463" s="1282">
        <f t="shared" si="4"/>
        <v>509864219.6525529</v>
      </c>
      <c r="K463" s="1282">
        <f>133770*$O$396</f>
        <v>133770000000</v>
      </c>
      <c r="L463" s="1282">
        <f>5156.546159*$O$396</f>
        <v>5156546159</v>
      </c>
      <c r="M463" s="1282">
        <f>149171.661842*$O$396</f>
        <v>149171661842</v>
      </c>
      <c r="N463" s="180"/>
      <c r="O463" s="218"/>
    </row>
    <row r="464" spans="1:15">
      <c r="A464" s="1416" t="s">
        <v>3039</v>
      </c>
      <c r="B464" s="1419" t="s">
        <v>2730</v>
      </c>
      <c r="C464" s="1279" t="s">
        <v>1548</v>
      </c>
      <c r="D464" s="1280" t="s">
        <v>56</v>
      </c>
      <c r="E464" s="1281">
        <v>440</v>
      </c>
      <c r="F464" s="1282">
        <v>1000000</v>
      </c>
      <c r="G464" s="1283">
        <v>0</v>
      </c>
      <c r="H464" s="1282">
        <f>+VLOOKUP(B464,'12 Cartera Propia'!$D$10:$S$216,14,0)</f>
        <v>458437951.00075454</v>
      </c>
      <c r="I464" s="1284">
        <f>+VLOOKUP(B464,'12 Cartera Propia'!$D$10:$S$216,15,0)</f>
        <v>0</v>
      </c>
      <c r="J464" s="1282">
        <f t="shared" si="4"/>
        <v>458437951.00075454</v>
      </c>
      <c r="K464" s="1282">
        <f>133770*$O$396</f>
        <v>133770000000</v>
      </c>
      <c r="L464" s="1282">
        <f>5156.546159*$O$396</f>
        <v>5156546159</v>
      </c>
      <c r="M464" s="1282">
        <f>149171.661842*$O$396</f>
        <v>149171661842</v>
      </c>
      <c r="N464" s="180"/>
      <c r="O464" s="218"/>
    </row>
    <row r="465" spans="1:15">
      <c r="A465" s="1416" t="s">
        <v>3040</v>
      </c>
      <c r="B465" s="1419" t="s">
        <v>2927</v>
      </c>
      <c r="C465" s="1279" t="s">
        <v>2926</v>
      </c>
      <c r="D465" s="1280" t="s">
        <v>56</v>
      </c>
      <c r="E465" s="1281">
        <v>975</v>
      </c>
      <c r="F465" s="1282">
        <v>1000000</v>
      </c>
      <c r="G465" s="1283">
        <v>0</v>
      </c>
      <c r="H465" s="1282">
        <f>+VLOOKUP(B465,'12 Cartera Propia'!$D$10:$S$216,14,0)</f>
        <v>977218458.90410924</v>
      </c>
      <c r="I465" s="1284">
        <f>+VLOOKUP(B465,'12 Cartera Propia'!$D$10:$S$216,15,0)</f>
        <v>0</v>
      </c>
      <c r="J465" s="1282">
        <f t="shared" ref="J465:J490" si="23">+H465+I465</f>
        <v>977218458.90410924</v>
      </c>
      <c r="K465" s="1282">
        <f>2406780.558105*$O$396</f>
        <v>2406780558105</v>
      </c>
      <c r="L465" s="1282">
        <f>340085.289606*$O$396</f>
        <v>340085289606</v>
      </c>
      <c r="M465" s="1282">
        <f>3171025.395687*$O$396</f>
        <v>3171025395687</v>
      </c>
      <c r="N465" s="180"/>
      <c r="O465" s="218"/>
    </row>
    <row r="466" spans="1:15">
      <c r="A466" s="1416" t="s">
        <v>3041</v>
      </c>
      <c r="B466" s="1419" t="s">
        <v>1697</v>
      </c>
      <c r="C466" s="1279" t="s">
        <v>1600</v>
      </c>
      <c r="D466" s="1280" t="s">
        <v>2975</v>
      </c>
      <c r="E466" s="1281">
        <v>2075</v>
      </c>
      <c r="F466" s="1282">
        <v>1000000</v>
      </c>
      <c r="G466" s="1283">
        <v>0</v>
      </c>
      <c r="H466" s="1282">
        <f>+VLOOKUP(B466,'12 Cartera Propia'!$D$10:$S$216,14,0)</f>
        <v>2083226677.5999999</v>
      </c>
      <c r="I466" s="1282">
        <f>+VLOOKUP(B466,'12 Cartera Propia'!$D$10:$S$216,15,0)</f>
        <v>-105440315</v>
      </c>
      <c r="J466" s="1282">
        <f t="shared" si="23"/>
        <v>1977786362.5999999</v>
      </c>
      <c r="K466" s="1282">
        <f t="shared" ref="K466:K474" si="24">1133000*$O$396</f>
        <v>1133000000000</v>
      </c>
      <c r="L466" s="1282">
        <f t="shared" ref="L466:L474" si="25">1275405.268927*$O$396</f>
        <v>1275405268927</v>
      </c>
      <c r="M466" s="1282">
        <f t="shared" ref="M466:M474" si="26">5827383.065736*$O$396</f>
        <v>5827383065736</v>
      </c>
      <c r="N466" s="180"/>
      <c r="O466" s="218"/>
    </row>
    <row r="467" spans="1:15">
      <c r="A467" s="1416" t="s">
        <v>3041</v>
      </c>
      <c r="B467" s="1419" t="s">
        <v>1659</v>
      </c>
      <c r="C467" s="1279" t="s">
        <v>1600</v>
      </c>
      <c r="D467" s="1280" t="s">
        <v>2975</v>
      </c>
      <c r="E467" s="1281">
        <v>650</v>
      </c>
      <c r="F467" s="1282">
        <v>1000000</v>
      </c>
      <c r="G467" s="1283">
        <v>0</v>
      </c>
      <c r="H467" s="1282">
        <f>+VLOOKUP(B467,'12 Cartera Propia'!$D$10:$S$216,14,0)</f>
        <v>666089866.32602739</v>
      </c>
      <c r="I467" s="1284">
        <f>+VLOOKUP(B467,'12 Cartera Propia'!$D$10:$S$216,15,0)</f>
        <v>0</v>
      </c>
      <c r="J467" s="1282">
        <f t="shared" si="23"/>
        <v>666089866.32602739</v>
      </c>
      <c r="K467" s="1282">
        <f t="shared" si="24"/>
        <v>1133000000000</v>
      </c>
      <c r="L467" s="1282">
        <f t="shared" si="25"/>
        <v>1275405268927</v>
      </c>
      <c r="M467" s="1282">
        <f t="shared" si="26"/>
        <v>5827383065736</v>
      </c>
      <c r="N467" s="180"/>
      <c r="O467" s="218"/>
    </row>
    <row r="468" spans="1:15">
      <c r="A468" s="1416" t="s">
        <v>3041</v>
      </c>
      <c r="B468" s="1419" t="s">
        <v>2731</v>
      </c>
      <c r="C468" s="1279" t="s">
        <v>1600</v>
      </c>
      <c r="D468" s="1280" t="s">
        <v>2975</v>
      </c>
      <c r="E468" s="1281">
        <v>1443</v>
      </c>
      <c r="F468" s="1282">
        <v>1000000</v>
      </c>
      <c r="G468" s="1283">
        <v>0</v>
      </c>
      <c r="H468" s="1282">
        <f>+VLOOKUP(B468,'12 Cartera Propia'!$D$10:$S$216,14,0)</f>
        <v>1452007877.76438</v>
      </c>
      <c r="I468" s="1284">
        <f>+VLOOKUP(B468,'12 Cartera Propia'!$D$10:$S$216,15,0)</f>
        <v>0</v>
      </c>
      <c r="J468" s="1282">
        <f t="shared" si="23"/>
        <v>1452007877.76438</v>
      </c>
      <c r="K468" s="1282">
        <f t="shared" si="24"/>
        <v>1133000000000</v>
      </c>
      <c r="L468" s="1282">
        <f t="shared" si="25"/>
        <v>1275405268927</v>
      </c>
      <c r="M468" s="1282">
        <f t="shared" si="26"/>
        <v>5827383065736</v>
      </c>
      <c r="N468" s="180"/>
      <c r="O468" s="218"/>
    </row>
    <row r="469" spans="1:15">
      <c r="A469" s="1416" t="s">
        <v>3041</v>
      </c>
      <c r="B469" s="1419" t="s">
        <v>2732</v>
      </c>
      <c r="C469" s="1279" t="s">
        <v>1600</v>
      </c>
      <c r="D469" s="1280" t="s">
        <v>2975</v>
      </c>
      <c r="E469" s="1281">
        <v>1533</v>
      </c>
      <c r="F469" s="1282">
        <v>1000000</v>
      </c>
      <c r="G469" s="1283">
        <v>0</v>
      </c>
      <c r="H469" s="1282">
        <f>+VLOOKUP(B469,'12 Cartera Propia'!$D$10:$S$216,14,0)</f>
        <v>1569976799.5999999</v>
      </c>
      <c r="I469" s="1284">
        <f>+VLOOKUP(B469,'12 Cartera Propia'!$D$10:$S$216,15,0)</f>
        <v>0</v>
      </c>
      <c r="J469" s="1282">
        <f t="shared" si="23"/>
        <v>1569976799.5999999</v>
      </c>
      <c r="K469" s="1282">
        <f t="shared" si="24"/>
        <v>1133000000000</v>
      </c>
      <c r="L469" s="1282">
        <f t="shared" si="25"/>
        <v>1275405268927</v>
      </c>
      <c r="M469" s="1282">
        <f t="shared" si="26"/>
        <v>5827383065736</v>
      </c>
      <c r="N469" s="180"/>
      <c r="O469" s="218"/>
    </row>
    <row r="470" spans="1:15">
      <c r="A470" s="1416" t="s">
        <v>3041</v>
      </c>
      <c r="B470" s="1419" t="s">
        <v>2733</v>
      </c>
      <c r="C470" s="1279" t="s">
        <v>1600</v>
      </c>
      <c r="D470" s="1280" t="s">
        <v>2975</v>
      </c>
      <c r="E470" s="1281">
        <v>159</v>
      </c>
      <c r="F470" s="1282">
        <v>1000000</v>
      </c>
      <c r="G470" s="1283">
        <v>0</v>
      </c>
      <c r="H470" s="1282">
        <f>+VLOOKUP(B470,'12 Cartera Propia'!$D$10:$S$216,14,0)</f>
        <v>162781151.15068489</v>
      </c>
      <c r="I470" s="1284">
        <f>+VLOOKUP(B470,'12 Cartera Propia'!$D$10:$S$216,15,0)</f>
        <v>0</v>
      </c>
      <c r="J470" s="1282">
        <f t="shared" si="23"/>
        <v>162781151.15068489</v>
      </c>
      <c r="K470" s="1282">
        <f t="shared" si="24"/>
        <v>1133000000000</v>
      </c>
      <c r="L470" s="1282">
        <f t="shared" si="25"/>
        <v>1275405268927</v>
      </c>
      <c r="M470" s="1282">
        <f t="shared" si="26"/>
        <v>5827383065736</v>
      </c>
      <c r="N470" s="180"/>
      <c r="O470" s="218"/>
    </row>
    <row r="471" spans="1:15">
      <c r="A471" s="1416" t="s">
        <v>3041</v>
      </c>
      <c r="B471" s="1419" t="s">
        <v>2928</v>
      </c>
      <c r="C471" s="1279" t="s">
        <v>1600</v>
      </c>
      <c r="D471" s="1280" t="s">
        <v>2975</v>
      </c>
      <c r="E471" s="1281">
        <v>35</v>
      </c>
      <c r="F471" s="1282">
        <v>1000000</v>
      </c>
      <c r="G471" s="1283">
        <v>0</v>
      </c>
      <c r="H471" s="1282">
        <f>+VLOOKUP(B471,'12 Cartera Propia'!$D$10:$S$216,14,0)</f>
        <v>35535644</v>
      </c>
      <c r="I471" s="1284">
        <f>+VLOOKUP(B471,'12 Cartera Propia'!$D$10:$S$216,15,0)</f>
        <v>0</v>
      </c>
      <c r="J471" s="1282">
        <f t="shared" si="23"/>
        <v>35535644</v>
      </c>
      <c r="K471" s="1282">
        <f t="shared" si="24"/>
        <v>1133000000000</v>
      </c>
      <c r="L471" s="1282">
        <f t="shared" si="25"/>
        <v>1275405268927</v>
      </c>
      <c r="M471" s="1282">
        <f t="shared" si="26"/>
        <v>5827383065736</v>
      </c>
      <c r="N471" s="180"/>
      <c r="O471" s="218"/>
    </row>
    <row r="472" spans="1:15">
      <c r="A472" s="1416" t="s">
        <v>3041</v>
      </c>
      <c r="B472" s="1419" t="s">
        <v>2929</v>
      </c>
      <c r="C472" s="1279" t="s">
        <v>1600</v>
      </c>
      <c r="D472" s="1280" t="s">
        <v>2975</v>
      </c>
      <c r="E472" s="1281">
        <v>63</v>
      </c>
      <c r="F472" s="1282">
        <v>1000000</v>
      </c>
      <c r="G472" s="1283">
        <v>0</v>
      </c>
      <c r="H472" s="1282">
        <f>+VLOOKUP(B472,'12 Cartera Propia'!$D$10:$S$216,14,0)</f>
        <v>63604368.356164396</v>
      </c>
      <c r="I472" s="1284">
        <f>+VLOOKUP(B472,'12 Cartera Propia'!$D$10:$S$216,15,0)</f>
        <v>0</v>
      </c>
      <c r="J472" s="1282">
        <f t="shared" si="23"/>
        <v>63604368.356164396</v>
      </c>
      <c r="K472" s="1282">
        <f t="shared" si="24"/>
        <v>1133000000000</v>
      </c>
      <c r="L472" s="1282">
        <f t="shared" si="25"/>
        <v>1275405268927</v>
      </c>
      <c r="M472" s="1282">
        <f t="shared" si="26"/>
        <v>5827383065736</v>
      </c>
      <c r="N472" s="180"/>
      <c r="O472" s="218"/>
    </row>
    <row r="473" spans="1:15">
      <c r="A473" s="1416" t="s">
        <v>3041</v>
      </c>
      <c r="B473" s="1419" t="s">
        <v>2930</v>
      </c>
      <c r="C473" s="1279" t="s">
        <v>1600</v>
      </c>
      <c r="D473" s="1280" t="s">
        <v>2975</v>
      </c>
      <c r="E473" s="1281">
        <v>840</v>
      </c>
      <c r="F473" s="1282">
        <v>1000000</v>
      </c>
      <c r="G473" s="1283">
        <v>0</v>
      </c>
      <c r="H473" s="1282">
        <f>+VLOOKUP(B473,'12 Cartera Propia'!$D$10:$S$216,14,0)</f>
        <v>844517589.27397299</v>
      </c>
      <c r="I473" s="1284">
        <f>+VLOOKUP(B473,'12 Cartera Propia'!$D$10:$S$216,15,0)</f>
        <v>0</v>
      </c>
      <c r="J473" s="1282">
        <f t="shared" si="23"/>
        <v>844517589.27397299</v>
      </c>
      <c r="K473" s="1282">
        <f t="shared" si="24"/>
        <v>1133000000000</v>
      </c>
      <c r="L473" s="1282">
        <f t="shared" si="25"/>
        <v>1275405268927</v>
      </c>
      <c r="M473" s="1282">
        <f t="shared" si="26"/>
        <v>5827383065736</v>
      </c>
      <c r="N473" s="180"/>
      <c r="O473" s="218"/>
    </row>
    <row r="474" spans="1:15">
      <c r="A474" s="1416" t="s">
        <v>3041</v>
      </c>
      <c r="B474" s="1419" t="s">
        <v>2931</v>
      </c>
      <c r="C474" s="1279" t="s">
        <v>1600</v>
      </c>
      <c r="D474" s="1280" t="s">
        <v>2975</v>
      </c>
      <c r="E474" s="1281">
        <v>2160</v>
      </c>
      <c r="F474" s="1282">
        <v>1000000</v>
      </c>
      <c r="G474" s="1283">
        <v>0</v>
      </c>
      <c r="H474" s="1282">
        <f>+VLOOKUP(B474,'12 Cartera Propia'!$D$10:$S$216,14,0)</f>
        <v>2165326027.6164384</v>
      </c>
      <c r="I474" s="1284">
        <f>+VLOOKUP(B474,'12 Cartera Propia'!$D$10:$S$216,15,0)</f>
        <v>0</v>
      </c>
      <c r="J474" s="1282">
        <f t="shared" si="23"/>
        <v>2165326027.6164384</v>
      </c>
      <c r="K474" s="1282">
        <f t="shared" si="24"/>
        <v>1133000000000</v>
      </c>
      <c r="L474" s="1282">
        <f t="shared" si="25"/>
        <v>1275405268927</v>
      </c>
      <c r="M474" s="1282">
        <f t="shared" si="26"/>
        <v>5827383065736</v>
      </c>
      <c r="N474" s="180"/>
      <c r="O474" s="218"/>
    </row>
    <row r="475" spans="1:15">
      <c r="A475" s="1416" t="s">
        <v>3044</v>
      </c>
      <c r="B475" s="1419" t="s">
        <v>2933</v>
      </c>
      <c r="C475" s="1279" t="s">
        <v>1634</v>
      </c>
      <c r="D475" s="1280" t="s">
        <v>526</v>
      </c>
      <c r="E475" s="1281">
        <v>255</v>
      </c>
      <c r="F475" s="1282">
        <v>1000000</v>
      </c>
      <c r="G475" s="1283">
        <v>0</v>
      </c>
      <c r="H475" s="1282">
        <f>+VLOOKUP(B475,'12 Cartera Propia'!$D$10:$S$216,14,0)</f>
        <v>265324352.99246705</v>
      </c>
      <c r="I475" s="1284">
        <f>+VLOOKUP(B475,'12 Cartera Propia'!$D$10:$S$216,15,0)</f>
        <v>0</v>
      </c>
      <c r="J475" s="1282">
        <f t="shared" si="23"/>
        <v>265324352.99246705</v>
      </c>
      <c r="K475" s="1282">
        <f t="shared" ref="K475:K476" si="27">2597686.176711*$O$396</f>
        <v>2597686176711</v>
      </c>
      <c r="L475" s="1282">
        <f t="shared" ref="L475:L476" si="28">674886.927756*$O$396</f>
        <v>674886927756</v>
      </c>
      <c r="M475" s="1282">
        <f t="shared" ref="M475:M476" si="29">3767694.936282*$O$396</f>
        <v>3767694936282</v>
      </c>
      <c r="N475" s="180"/>
      <c r="O475" s="218"/>
    </row>
    <row r="476" spans="1:15">
      <c r="A476" s="1416" t="s">
        <v>3044</v>
      </c>
      <c r="B476" s="1419" t="s">
        <v>2734</v>
      </c>
      <c r="C476" s="1279" t="s">
        <v>1634</v>
      </c>
      <c r="D476" s="1280" t="s">
        <v>526</v>
      </c>
      <c r="E476" s="1281">
        <v>1306</v>
      </c>
      <c r="F476" s="1282">
        <v>1000000</v>
      </c>
      <c r="G476" s="1283">
        <v>0</v>
      </c>
      <c r="H476" s="1282">
        <f>+VLOOKUP(B476,'12 Cartera Propia'!$D$10:$S$216,14,0)</f>
        <v>1309392021.9178076</v>
      </c>
      <c r="I476" s="1284">
        <f>+VLOOKUP(B476,'12 Cartera Propia'!$D$10:$S$216,15,0)</f>
        <v>0</v>
      </c>
      <c r="J476" s="1282">
        <f t="shared" si="23"/>
        <v>1309392021.9178076</v>
      </c>
      <c r="K476" s="1282">
        <f t="shared" si="27"/>
        <v>2597686176711</v>
      </c>
      <c r="L476" s="1282">
        <f t="shared" si="28"/>
        <v>674886927756</v>
      </c>
      <c r="M476" s="1282">
        <f t="shared" si="29"/>
        <v>3767694936282</v>
      </c>
      <c r="N476" s="180"/>
      <c r="O476" s="218"/>
    </row>
    <row r="477" spans="1:15">
      <c r="A477" s="1416" t="s">
        <v>3037</v>
      </c>
      <c r="B477" s="1419" t="s">
        <v>1786</v>
      </c>
      <c r="C477" s="1279" t="s">
        <v>2934</v>
      </c>
      <c r="D477" s="1280" t="s">
        <v>62</v>
      </c>
      <c r="E477" s="1281">
        <v>120</v>
      </c>
      <c r="F477" s="1282">
        <v>1000000</v>
      </c>
      <c r="G477" s="1283">
        <v>0</v>
      </c>
      <c r="H477" s="1282">
        <f>+VLOOKUP(B477,'12 Cartera Propia'!$D$10:$S$216,14,0)</f>
        <v>123445479.45205484</v>
      </c>
      <c r="I477" s="1282">
        <f>+VLOOKUP(B477,'12 Cartera Propia'!$D$10:$S$216,15,0)</f>
        <v>-1174442.3433401401</v>
      </c>
      <c r="J477" s="1282">
        <f t="shared" si="23"/>
        <v>122271037.1087147</v>
      </c>
      <c r="K477" s="1282">
        <f>146400*$O$396</f>
        <v>146400000000</v>
      </c>
      <c r="L477" s="1282">
        <f>225796*$O$396</f>
        <v>225796000000</v>
      </c>
      <c r="M477" s="1282">
        <f>936307*$O$396</f>
        <v>936307000000</v>
      </c>
      <c r="N477" s="180"/>
      <c r="O477" s="218"/>
    </row>
    <row r="478" spans="1:15">
      <c r="A478" s="1418" t="s">
        <v>3036</v>
      </c>
      <c r="B478" s="1419" t="s">
        <v>1699</v>
      </c>
      <c r="C478" s="1279" t="s">
        <v>1616</v>
      </c>
      <c r="D478" s="1280" t="s">
        <v>62</v>
      </c>
      <c r="E478" s="1281">
        <v>300</v>
      </c>
      <c r="F478" s="1282">
        <v>1000000</v>
      </c>
      <c r="G478" s="1283">
        <v>0</v>
      </c>
      <c r="H478" s="1282">
        <f>+VLOOKUP(B478,'12 Cartera Propia'!$D$10:$S$216,14,0)</f>
        <v>321028584.69714427</v>
      </c>
      <c r="I478" s="1284">
        <f>+VLOOKUP(B478,'12 Cartera Propia'!$D$10:$S$216,15,0)</f>
        <v>0</v>
      </c>
      <c r="J478" s="1282">
        <f t="shared" si="23"/>
        <v>321028584.69714427</v>
      </c>
      <c r="K478" s="1282">
        <f>327245*$O$396</f>
        <v>327245000000</v>
      </c>
      <c r="L478" s="1282">
        <f>134308*$O$396</f>
        <v>134308000000</v>
      </c>
      <c r="M478" s="1282">
        <f>829026*$O$396</f>
        <v>829026000000</v>
      </c>
      <c r="N478" s="180"/>
      <c r="O478" s="218"/>
    </row>
    <row r="479" spans="1:15">
      <c r="A479" s="1418" t="s">
        <v>3036</v>
      </c>
      <c r="B479" s="1419" t="s">
        <v>2871</v>
      </c>
      <c r="C479" s="1279" t="s">
        <v>1616</v>
      </c>
      <c r="D479" s="1280" t="s">
        <v>62</v>
      </c>
      <c r="E479" s="1281">
        <v>3303</v>
      </c>
      <c r="F479" s="1282">
        <v>1000000</v>
      </c>
      <c r="G479" s="1283">
        <v>0</v>
      </c>
      <c r="H479" s="1282">
        <f>+VLOOKUP(B479,'12 Cartera Propia'!$D$10:$S$216,14,0)</f>
        <v>3312881852.0547953</v>
      </c>
      <c r="I479" s="1284">
        <f>+VLOOKUP(B479,'12 Cartera Propia'!$D$10:$S$216,15,0)</f>
        <v>0</v>
      </c>
      <c r="J479" s="1282">
        <f t="shared" si="23"/>
        <v>3312881852.0547953</v>
      </c>
      <c r="K479" s="1282">
        <f t="shared" ref="K479:K480" si="30">327245*$O$396</f>
        <v>327245000000</v>
      </c>
      <c r="L479" s="1282">
        <f t="shared" ref="L479:L480" si="31">134308*$O$396</f>
        <v>134308000000</v>
      </c>
      <c r="M479" s="1282">
        <f t="shared" ref="M479:M480" si="32">829026*$O$396</f>
        <v>829026000000</v>
      </c>
      <c r="N479" s="180"/>
      <c r="O479" s="218"/>
    </row>
    <row r="480" spans="1:15">
      <c r="A480" s="1418" t="s">
        <v>3036</v>
      </c>
      <c r="B480" s="1419" t="s">
        <v>2935</v>
      </c>
      <c r="C480" s="1279" t="s">
        <v>1616</v>
      </c>
      <c r="D480" s="1280" t="s">
        <v>62</v>
      </c>
      <c r="E480" s="1281">
        <v>531</v>
      </c>
      <c r="F480" s="1282">
        <v>1000000</v>
      </c>
      <c r="G480" s="1283">
        <v>0</v>
      </c>
      <c r="H480" s="1282">
        <f>+VLOOKUP(B480,'12 Cartera Propia'!$D$10:$S$216,14,0)</f>
        <v>531109109.58904141</v>
      </c>
      <c r="I480" s="1282">
        <f>+VLOOKUP(B480,'12 Cartera Propia'!$D$10:$S$216,15,0)</f>
        <v>-1281446.7442975999</v>
      </c>
      <c r="J480" s="1282">
        <f t="shared" si="23"/>
        <v>529827662.84474379</v>
      </c>
      <c r="K480" s="1282">
        <f t="shared" si="30"/>
        <v>327245000000</v>
      </c>
      <c r="L480" s="1282">
        <f t="shared" si="31"/>
        <v>134308000000</v>
      </c>
      <c r="M480" s="1282">
        <f t="shared" si="32"/>
        <v>829026000000</v>
      </c>
      <c r="N480" s="180"/>
      <c r="O480" s="218"/>
    </row>
    <row r="481" spans="1:17">
      <c r="A481" s="1416" t="s">
        <v>3057</v>
      </c>
      <c r="B481" s="1419" t="s">
        <v>2735</v>
      </c>
      <c r="C481" s="1279" t="s">
        <v>2601</v>
      </c>
      <c r="D481" s="1280" t="s">
        <v>58</v>
      </c>
      <c r="E481" s="1281">
        <v>1</v>
      </c>
      <c r="F481" s="1337">
        <v>0</v>
      </c>
      <c r="G481" s="1283">
        <v>30000</v>
      </c>
      <c r="H481" s="1282">
        <f>+VLOOKUP(B481,'12 Cartera Propia'!$D$10:$S$216,14,0)</f>
        <v>240102578.62007999</v>
      </c>
      <c r="I481" s="1284">
        <f>+VLOOKUP(B481,'12 Cartera Propia'!$D$10:$S$216,15,0)</f>
        <v>0</v>
      </c>
      <c r="J481" s="1282">
        <f t="shared" si="23"/>
        <v>240102578.62007999</v>
      </c>
      <c r="K481" s="1282">
        <f>286379.9*$O$396</f>
        <v>286379900000</v>
      </c>
      <c r="L481" s="1282">
        <f>41012.732513*$O$396</f>
        <v>41012732513</v>
      </c>
      <c r="M481" s="1282">
        <f>366065.14814*$O$396</f>
        <v>366065148140</v>
      </c>
      <c r="N481" s="180"/>
      <c r="O481" s="218"/>
    </row>
    <row r="482" spans="1:17">
      <c r="A482" s="1416" t="s">
        <v>3051</v>
      </c>
      <c r="B482" s="1419" t="s">
        <v>2326</v>
      </c>
      <c r="C482" s="1279" t="s">
        <v>1515</v>
      </c>
      <c r="D482" s="1280" t="s">
        <v>58</v>
      </c>
      <c r="E482" s="1281">
        <v>1</v>
      </c>
      <c r="F482" s="1337">
        <v>0</v>
      </c>
      <c r="G482" s="1283">
        <v>50000</v>
      </c>
      <c r="H482" s="1282">
        <f>+VLOOKUP(B482,'12 Cartera Propia'!$D$10:$S$216,14,0)</f>
        <v>397532808.65430003</v>
      </c>
      <c r="I482" s="1284">
        <f>+VLOOKUP(B482,'12 Cartera Propia'!$D$10:$S$216,15,0)</f>
        <v>0</v>
      </c>
      <c r="J482" s="1282">
        <f t="shared" si="23"/>
        <v>397532808.65430003</v>
      </c>
      <c r="K482" s="1282">
        <f>2317139.769229*$O$396</f>
        <v>2317139769229</v>
      </c>
      <c r="L482" s="1282">
        <f>514185.658559*$O$396</f>
        <v>514185658559</v>
      </c>
      <c r="M482" s="1282">
        <f>3699425.509152*$O$396</f>
        <v>3699425509152</v>
      </c>
      <c r="N482" s="180"/>
      <c r="O482" s="218"/>
    </row>
    <row r="483" spans="1:17">
      <c r="A483" s="1416" t="s">
        <v>3051</v>
      </c>
      <c r="B483" s="1419" t="s">
        <v>2328</v>
      </c>
      <c r="C483" s="1279" t="s">
        <v>1515</v>
      </c>
      <c r="D483" s="1280" t="s">
        <v>58</v>
      </c>
      <c r="E483" s="1281">
        <v>1</v>
      </c>
      <c r="F483" s="1337">
        <v>0</v>
      </c>
      <c r="G483" s="1283">
        <v>50000</v>
      </c>
      <c r="H483" s="1282">
        <f>+VLOOKUP(B483,'12 Cartera Propia'!$D$10:$S$216,14,0)</f>
        <v>397532816.48556</v>
      </c>
      <c r="I483" s="1284">
        <f>+VLOOKUP(B483,'12 Cartera Propia'!$D$10:$S$216,15,0)</f>
        <v>0</v>
      </c>
      <c r="J483" s="1282">
        <f t="shared" si="23"/>
        <v>397532816.48556</v>
      </c>
      <c r="K483" s="1282">
        <f>2317139.769229*$O$396</f>
        <v>2317139769229</v>
      </c>
      <c r="L483" s="1282">
        <f>514185.658559*$O$396</f>
        <v>514185658559</v>
      </c>
      <c r="M483" s="1282">
        <f>3699425.509152*$O$396</f>
        <v>3699425509152</v>
      </c>
      <c r="N483" s="180"/>
      <c r="O483" s="218"/>
    </row>
    <row r="484" spans="1:17">
      <c r="A484" s="1416" t="s">
        <v>3051</v>
      </c>
      <c r="B484" s="1419" t="s">
        <v>2272</v>
      </c>
      <c r="C484" s="1279" t="s">
        <v>1515</v>
      </c>
      <c r="D484" s="1280" t="s">
        <v>58</v>
      </c>
      <c r="E484" s="1281">
        <v>1</v>
      </c>
      <c r="F484" s="1337">
        <v>0</v>
      </c>
      <c r="G484" s="1283">
        <v>50000</v>
      </c>
      <c r="H484" s="1282">
        <f>+VLOOKUP(B484,'12 Cartera Propia'!$D$10:$S$216,14,0)</f>
        <v>399331304.50085998</v>
      </c>
      <c r="I484" s="1284">
        <f>+VLOOKUP(B484,'12 Cartera Propia'!$D$10:$S$216,15,0)</f>
        <v>0</v>
      </c>
      <c r="J484" s="1282">
        <f t="shared" si="23"/>
        <v>399331304.50085998</v>
      </c>
      <c r="K484" s="1282">
        <f>2317139.769229*$O$396</f>
        <v>2317139769229</v>
      </c>
      <c r="L484" s="1282">
        <f>514185.658559*$O$396</f>
        <v>514185658559</v>
      </c>
      <c r="M484" s="1282">
        <f>3699425.509152*$O$396</f>
        <v>3699425509152</v>
      </c>
      <c r="N484" s="180"/>
      <c r="O484" s="218"/>
    </row>
    <row r="485" spans="1:17">
      <c r="A485" s="1416" t="s">
        <v>3041</v>
      </c>
      <c r="B485" s="1419" t="s">
        <v>2938</v>
      </c>
      <c r="C485" s="1279" t="s">
        <v>1600</v>
      </c>
      <c r="D485" s="1280" t="s">
        <v>2975</v>
      </c>
      <c r="E485" s="1281">
        <v>402</v>
      </c>
      <c r="F485" s="1337">
        <v>0</v>
      </c>
      <c r="G485" s="1283">
        <v>1000</v>
      </c>
      <c r="H485" s="1282">
        <f>+VLOOKUP(B485,'12 Cartera Propia'!$D$10:$S$216,14,0)</f>
        <v>3153600318.0636005</v>
      </c>
      <c r="I485" s="1284">
        <f>+VLOOKUP(B485,'12 Cartera Propia'!$D$10:$S$216,15,0)</f>
        <v>0</v>
      </c>
      <c r="J485" s="1282">
        <f t="shared" si="23"/>
        <v>3153600318.0636005</v>
      </c>
      <c r="K485" s="1282">
        <f>1133000*$O$396</f>
        <v>1133000000000</v>
      </c>
      <c r="L485" s="1282">
        <f>1275405.268927*$O$396</f>
        <v>1275405268927</v>
      </c>
      <c r="M485" s="1282">
        <f>5827383.065736*$O$396</f>
        <v>5827383065736</v>
      </c>
      <c r="N485" s="180"/>
      <c r="O485" s="218"/>
    </row>
    <row r="486" spans="1:17">
      <c r="A486" s="1416" t="s">
        <v>3041</v>
      </c>
      <c r="B486" s="1419" t="s">
        <v>2939</v>
      </c>
      <c r="C486" s="1279" t="s">
        <v>1600</v>
      </c>
      <c r="D486" s="1280" t="s">
        <v>2975</v>
      </c>
      <c r="E486" s="1281">
        <v>415</v>
      </c>
      <c r="F486" s="1337">
        <v>0</v>
      </c>
      <c r="G486" s="1283">
        <v>1000</v>
      </c>
      <c r="H486" s="1282">
        <f>+VLOOKUP(B486,'12 Cartera Propia'!$D$10:$S$216,14,0)</f>
        <v>3255742738.4302001</v>
      </c>
      <c r="I486" s="1284">
        <f>+VLOOKUP(B486,'12 Cartera Propia'!$D$10:$S$216,15,0)</f>
        <v>0</v>
      </c>
      <c r="J486" s="1282">
        <f t="shared" si="23"/>
        <v>3255742738.4302001</v>
      </c>
      <c r="K486" s="1282">
        <f>1133000*$O$396</f>
        <v>1133000000000</v>
      </c>
      <c r="L486" s="1282">
        <f>1275405.268927*$O$396</f>
        <v>1275405268927</v>
      </c>
      <c r="M486" s="1282">
        <f>5827383.065736*$O$396</f>
        <v>5827383065736</v>
      </c>
      <c r="N486" s="180"/>
      <c r="O486" s="218"/>
    </row>
    <row r="487" spans="1:17">
      <c r="A487" s="1416" t="s">
        <v>3041</v>
      </c>
      <c r="B487" s="1419" t="s">
        <v>2940</v>
      </c>
      <c r="C487" s="1279" t="s">
        <v>1600</v>
      </c>
      <c r="D487" s="1280" t="s">
        <v>2975</v>
      </c>
      <c r="E487" s="1281">
        <v>65</v>
      </c>
      <c r="F487" s="1337">
        <v>0</v>
      </c>
      <c r="G487" s="1283">
        <v>1000</v>
      </c>
      <c r="H487" s="1282">
        <f>+VLOOKUP(B487,'12 Cartera Propia'!$D$10:$S$216,14,0)</f>
        <v>511026209.47160006</v>
      </c>
      <c r="I487" s="1284">
        <f>+VLOOKUP(B487,'12 Cartera Propia'!$D$10:$S$216,15,0)</f>
        <v>0</v>
      </c>
      <c r="J487" s="1282">
        <f t="shared" si="23"/>
        <v>511026209.47160006</v>
      </c>
      <c r="K487" s="1282">
        <f>1133000*$O$396</f>
        <v>1133000000000</v>
      </c>
      <c r="L487" s="1282">
        <f>1275405.268927*$O$396</f>
        <v>1275405268927</v>
      </c>
      <c r="M487" s="1282">
        <f>5827383.065736*$O$396</f>
        <v>5827383065736</v>
      </c>
      <c r="N487" s="180"/>
      <c r="O487" s="218"/>
    </row>
    <row r="488" spans="1:17">
      <c r="A488" s="1416" t="s">
        <v>3040</v>
      </c>
      <c r="B488" s="1419" t="s">
        <v>2937</v>
      </c>
      <c r="C488" s="1279" t="s">
        <v>2926</v>
      </c>
      <c r="D488" s="1280" t="s">
        <v>56</v>
      </c>
      <c r="E488" s="1281">
        <v>275</v>
      </c>
      <c r="F488" s="1337">
        <v>0</v>
      </c>
      <c r="G488" s="1283">
        <v>1000</v>
      </c>
      <c r="H488" s="1282">
        <f>+VLOOKUP(B488,'12 Cartera Propia'!$D$10:$S$216,14,0)</f>
        <v>2157166144.9331999</v>
      </c>
      <c r="I488" s="1284">
        <f>+VLOOKUP(B488,'12 Cartera Propia'!$D$10:$S$216,15,0)</f>
        <v>0</v>
      </c>
      <c r="J488" s="1282">
        <f t="shared" si="23"/>
        <v>2157166144.9331999</v>
      </c>
      <c r="K488" s="1282">
        <f>2406780.558105*$O$396</f>
        <v>2406780558105</v>
      </c>
      <c r="L488" s="1282">
        <f>340085.289606*$O$396</f>
        <v>340085289606</v>
      </c>
      <c r="M488" s="1282">
        <f>3171025.395687*$O$396</f>
        <v>3171025395687</v>
      </c>
      <c r="N488" s="180"/>
      <c r="O488" s="218"/>
    </row>
    <row r="489" spans="1:17">
      <c r="A489" s="1416" t="s">
        <v>3045</v>
      </c>
      <c r="B489" s="1419" t="s">
        <v>2941</v>
      </c>
      <c r="C489" s="1279" t="s">
        <v>2737</v>
      </c>
      <c r="D489" s="1280" t="s">
        <v>526</v>
      </c>
      <c r="E489" s="1281">
        <v>131</v>
      </c>
      <c r="F489" s="1337">
        <v>0</v>
      </c>
      <c r="G489" s="1283">
        <v>1000</v>
      </c>
      <c r="H489" s="1282">
        <f>+VLOOKUP(B489,'12 Cartera Propia'!$D$10:$S$216,14,0)</f>
        <v>1031923947.6797402</v>
      </c>
      <c r="I489" s="1284">
        <f>+VLOOKUP(B489,'12 Cartera Propia'!$D$10:$S$216,15,0)</f>
        <v>0</v>
      </c>
      <c r="J489" s="1282">
        <f t="shared" si="23"/>
        <v>1031923947.6797402</v>
      </c>
      <c r="K489" s="1282">
        <f>464324*$O$396</f>
        <v>464324000000</v>
      </c>
      <c r="L489" s="1282">
        <f>70026.773646*$O$396</f>
        <v>70026773646</v>
      </c>
      <c r="M489" s="1282">
        <f>584260.272972*$O$396</f>
        <v>584260272972</v>
      </c>
      <c r="N489" s="180"/>
      <c r="O489" s="218"/>
    </row>
    <row r="490" spans="1:17">
      <c r="A490" s="1416" t="s">
        <v>3045</v>
      </c>
      <c r="B490" s="1419" t="s">
        <v>2942</v>
      </c>
      <c r="C490" s="1279" t="s">
        <v>2737</v>
      </c>
      <c r="D490" s="1280" t="s">
        <v>526</v>
      </c>
      <c r="E490" s="1281">
        <v>15</v>
      </c>
      <c r="F490" s="1337">
        <v>0</v>
      </c>
      <c r="G490" s="1283">
        <v>1000</v>
      </c>
      <c r="H490" s="1282">
        <f>+VLOOKUP(B490,'12 Cartera Propia'!$D$10:$S$216,14,0)</f>
        <v>120915680.29506001</v>
      </c>
      <c r="I490" s="1282">
        <f>+VLOOKUP(B490,'12 Cartera Propia'!$D$10:$S$216,15,0)</f>
        <v>-313876.9008</v>
      </c>
      <c r="J490" s="1282">
        <f t="shared" si="23"/>
        <v>120601803.39426</v>
      </c>
      <c r="K490" s="1282">
        <f>464324*$O$396</f>
        <v>464324000000</v>
      </c>
      <c r="L490" s="1282">
        <f>70026.773646*$O$396</f>
        <v>70026773646</v>
      </c>
      <c r="M490" s="1282">
        <f>584260.272972*$O$396</f>
        <v>584260272972</v>
      </c>
      <c r="N490" s="180"/>
      <c r="O490" s="218"/>
    </row>
    <row r="491" spans="1:17">
      <c r="A491" s="1416"/>
      <c r="B491" s="1419"/>
      <c r="C491" s="1279"/>
      <c r="D491" s="1280"/>
      <c r="E491" s="1281"/>
      <c r="F491" s="1337"/>
      <c r="G491" s="1283"/>
      <c r="H491" s="1282"/>
      <c r="I491" s="1284"/>
      <c r="J491" s="1282"/>
      <c r="K491" s="1282"/>
      <c r="L491" s="1282"/>
      <c r="M491" s="1335"/>
      <c r="N491" s="180"/>
      <c r="O491" s="218"/>
    </row>
    <row r="492" spans="1:17" s="180" customFormat="1">
      <c r="A492" s="1416"/>
      <c r="B492" s="1417"/>
      <c r="C492" s="509" t="s">
        <v>794</v>
      </c>
      <c r="D492" s="508"/>
      <c r="E492" s="504"/>
      <c r="F492" s="513"/>
      <c r="G492" s="692"/>
      <c r="H492" s="514"/>
      <c r="I492" s="514"/>
      <c r="J492" s="514"/>
      <c r="K492" s="514"/>
      <c r="L492" s="514"/>
      <c r="M492" s="515"/>
      <c r="O492" s="218"/>
      <c r="P492" s="218"/>
      <c r="Q492" s="218"/>
    </row>
    <row r="493" spans="1:17">
      <c r="A493" s="1416" t="s">
        <v>3150</v>
      </c>
      <c r="B493" s="1420" t="s">
        <v>1638</v>
      </c>
      <c r="C493" s="1279" t="s">
        <v>1637</v>
      </c>
      <c r="D493" s="1280" t="s">
        <v>62</v>
      </c>
      <c r="E493" s="1399">
        <v>340</v>
      </c>
      <c r="F493" s="1337">
        <v>0</v>
      </c>
      <c r="G493" s="1283">
        <v>1000</v>
      </c>
      <c r="H493" s="1282">
        <f>+'12 Cartera Propia'!Q163</f>
        <v>2683783538.6574597</v>
      </c>
      <c r="I493" s="1282">
        <f>+'12 Cartera Propia'!R163</f>
        <v>-1018.0638</v>
      </c>
      <c r="J493" s="1282">
        <f t="shared" ref="J493:J506" si="33">+H493+I493</f>
        <v>2683782520.5936599</v>
      </c>
      <c r="K493" s="1282">
        <v>37388119951</v>
      </c>
      <c r="L493" s="1282">
        <v>551914154</v>
      </c>
      <c r="M493" s="1282">
        <v>83649166074</v>
      </c>
      <c r="N493" s="180"/>
      <c r="O493" s="221"/>
    </row>
    <row r="494" spans="1:17">
      <c r="A494" s="1416" t="s">
        <v>3150</v>
      </c>
      <c r="B494" s="1420" t="s">
        <v>1640</v>
      </c>
      <c r="C494" s="1279" t="s">
        <v>1637</v>
      </c>
      <c r="D494" s="1280" t="s">
        <v>62</v>
      </c>
      <c r="E494" s="1400">
        <v>161</v>
      </c>
      <c r="F494" s="1337">
        <v>0</v>
      </c>
      <c r="G494" s="1283">
        <v>1000</v>
      </c>
      <c r="H494" s="1282">
        <f>+'12 Cartera Propia'!Q164</f>
        <v>1265668991.96292</v>
      </c>
      <c r="I494" s="1282">
        <f>+'12 Cartera Propia'!R164</f>
        <v>-391.56300000000005</v>
      </c>
      <c r="J494" s="1282">
        <f t="shared" si="33"/>
        <v>1265668600.39992</v>
      </c>
      <c r="K494" s="1282">
        <v>37388119951</v>
      </c>
      <c r="L494" s="1282">
        <v>551914154</v>
      </c>
      <c r="M494" s="1282">
        <v>83649166074</v>
      </c>
      <c r="N494" s="180"/>
      <c r="O494" s="221"/>
    </row>
    <row r="495" spans="1:17">
      <c r="A495" s="1416" t="s">
        <v>3150</v>
      </c>
      <c r="B495" s="1420" t="s">
        <v>1638</v>
      </c>
      <c r="C495" s="1279" t="s">
        <v>1637</v>
      </c>
      <c r="D495" s="1280" t="s">
        <v>62</v>
      </c>
      <c r="E495" s="1400">
        <v>141</v>
      </c>
      <c r="F495" s="1337">
        <v>0</v>
      </c>
      <c r="G495" s="1283">
        <v>1000</v>
      </c>
      <c r="H495" s="1282">
        <f>+'12 Cartera Propia'!Q165</f>
        <v>1112980879.61532</v>
      </c>
      <c r="I495" s="1282">
        <f>+'12 Cartera Propia'!R165</f>
        <v>-407.22552000000002</v>
      </c>
      <c r="J495" s="1282">
        <f t="shared" si="33"/>
        <v>1112980472.3898001</v>
      </c>
      <c r="K495" s="1282">
        <v>37388119951</v>
      </c>
      <c r="L495" s="1282">
        <v>551914154</v>
      </c>
      <c r="M495" s="1282">
        <v>83649166074</v>
      </c>
      <c r="N495" s="180"/>
      <c r="O495" s="221"/>
    </row>
    <row r="496" spans="1:17">
      <c r="A496" s="1416" t="s">
        <v>3150</v>
      </c>
      <c r="B496" s="1420" t="s">
        <v>1640</v>
      </c>
      <c r="C496" s="1279" t="s">
        <v>1637</v>
      </c>
      <c r="D496" s="1280" t="s">
        <v>62</v>
      </c>
      <c r="E496" s="1400">
        <v>53</v>
      </c>
      <c r="F496" s="1337">
        <v>0</v>
      </c>
      <c r="G496" s="1283">
        <v>1000</v>
      </c>
      <c r="H496" s="1282">
        <f>+'12 Cartera Propia'!Q166</f>
        <v>416648757.68909997</v>
      </c>
      <c r="I496" s="1282">
        <f>+'12 Cartera Propia'!R166</f>
        <v>-109.63764</v>
      </c>
      <c r="J496" s="1282">
        <f t="shared" si="33"/>
        <v>416648648.05145997</v>
      </c>
      <c r="K496" s="1282">
        <v>37388119951</v>
      </c>
      <c r="L496" s="1282">
        <v>551914154</v>
      </c>
      <c r="M496" s="1282">
        <v>83649166074</v>
      </c>
      <c r="N496" s="180"/>
      <c r="O496" s="221"/>
    </row>
    <row r="497" spans="1:15">
      <c r="A497" s="1416" t="s">
        <v>3150</v>
      </c>
      <c r="B497" s="1420" t="s">
        <v>1639</v>
      </c>
      <c r="C497" s="1279" t="s">
        <v>1637</v>
      </c>
      <c r="D497" s="1280" t="s">
        <v>62</v>
      </c>
      <c r="E497" s="1400">
        <v>321</v>
      </c>
      <c r="F497" s="1337">
        <v>0</v>
      </c>
      <c r="G497" s="1283">
        <v>1000</v>
      </c>
      <c r="H497" s="1282">
        <f>+'12 Cartera Propia'!Q167</f>
        <v>2570657103.6525002</v>
      </c>
      <c r="I497" s="1284">
        <f>+'12 Cartera Propia'!R167</f>
        <v>0</v>
      </c>
      <c r="J497" s="1282">
        <f t="shared" si="33"/>
        <v>2570657103.6525002</v>
      </c>
      <c r="K497" s="1282">
        <v>37388119951</v>
      </c>
      <c r="L497" s="1282">
        <v>551914154</v>
      </c>
      <c r="M497" s="1282">
        <v>83649166074</v>
      </c>
      <c r="N497" s="180"/>
      <c r="O497" s="221"/>
    </row>
    <row r="498" spans="1:15">
      <c r="A498" s="1416" t="s">
        <v>3150</v>
      </c>
      <c r="B498" s="1420" t="s">
        <v>1638</v>
      </c>
      <c r="C498" s="1279" t="s">
        <v>1637</v>
      </c>
      <c r="D498" s="1280" t="s">
        <v>62</v>
      </c>
      <c r="E498" s="1400">
        <v>9</v>
      </c>
      <c r="F498" s="1337">
        <v>0</v>
      </c>
      <c r="G498" s="1283">
        <v>1000</v>
      </c>
      <c r="H498" s="1282">
        <f>+'12 Cartera Propia'!Q168</f>
        <v>71041353.402600005</v>
      </c>
      <c r="I498" s="1284">
        <f>+'12 Cartera Propia'!R168</f>
        <v>0</v>
      </c>
      <c r="J498" s="1282">
        <f t="shared" si="33"/>
        <v>71041353.402600005</v>
      </c>
      <c r="K498" s="1282">
        <v>37388119951</v>
      </c>
      <c r="L498" s="1282">
        <v>551914154</v>
      </c>
      <c r="M498" s="1282">
        <v>83649166074</v>
      </c>
      <c r="N498" s="180"/>
      <c r="O498" s="221"/>
    </row>
    <row r="499" spans="1:15">
      <c r="A499" s="1416" t="s">
        <v>3150</v>
      </c>
      <c r="B499" s="1420" t="s">
        <v>1639</v>
      </c>
      <c r="C499" s="1279" t="s">
        <v>1637</v>
      </c>
      <c r="D499" s="1280" t="s">
        <v>62</v>
      </c>
      <c r="E499" s="1400">
        <v>52</v>
      </c>
      <c r="F499" s="1337">
        <v>0</v>
      </c>
      <c r="G499" s="1283">
        <v>1000</v>
      </c>
      <c r="H499" s="1282">
        <f>+'12 Cartera Propia'!Q169</f>
        <v>416426036.65470004</v>
      </c>
      <c r="I499" s="1284">
        <f>+'12 Cartera Propia'!R169</f>
        <v>0</v>
      </c>
      <c r="J499" s="1282">
        <f t="shared" si="33"/>
        <v>416426036.65470004</v>
      </c>
      <c r="K499" s="1282">
        <v>37388119951</v>
      </c>
      <c r="L499" s="1282">
        <v>551914154</v>
      </c>
      <c r="M499" s="1282">
        <v>83649166074</v>
      </c>
      <c r="N499" s="180"/>
      <c r="O499" s="221"/>
    </row>
    <row r="500" spans="1:15">
      <c r="A500" s="1416" t="s">
        <v>3150</v>
      </c>
      <c r="B500" s="1420" t="s">
        <v>1640</v>
      </c>
      <c r="C500" s="1279" t="s">
        <v>1637</v>
      </c>
      <c r="D500" s="1280" t="s">
        <v>62</v>
      </c>
      <c r="E500" s="1400">
        <v>75</v>
      </c>
      <c r="F500" s="1337">
        <v>0</v>
      </c>
      <c r="G500" s="1283">
        <v>1000</v>
      </c>
      <c r="H500" s="1282">
        <f>+'12 Cartera Propia'!Q170</f>
        <v>589597318.56419992</v>
      </c>
      <c r="I500" s="1282">
        <f>+'12 Cartera Propia'!R170</f>
        <v>-187.95024000000001</v>
      </c>
      <c r="J500" s="1282">
        <f t="shared" si="33"/>
        <v>589597130.61395991</v>
      </c>
      <c r="K500" s="1282">
        <v>37388119951</v>
      </c>
      <c r="L500" s="1282">
        <v>551914154</v>
      </c>
      <c r="M500" s="1282">
        <v>83649166074</v>
      </c>
      <c r="N500" s="180"/>
      <c r="O500" s="221"/>
    </row>
    <row r="501" spans="1:15">
      <c r="A501" s="1416" t="s">
        <v>3150</v>
      </c>
      <c r="B501" s="1420" t="s">
        <v>1639</v>
      </c>
      <c r="C501" s="1279" t="s">
        <v>1637</v>
      </c>
      <c r="D501" s="1280" t="s">
        <v>62</v>
      </c>
      <c r="E501" s="1400">
        <v>161</v>
      </c>
      <c r="F501" s="1337">
        <v>0</v>
      </c>
      <c r="G501" s="1283">
        <v>1000</v>
      </c>
      <c r="H501" s="1282">
        <f>+'12 Cartera Propia'!Q171</f>
        <v>1289340604.2150002</v>
      </c>
      <c r="I501" s="1284">
        <f>+'12 Cartera Propia'!R171</f>
        <v>0</v>
      </c>
      <c r="J501" s="1282">
        <f t="shared" si="33"/>
        <v>1289340604.2150002</v>
      </c>
      <c r="K501" s="1282">
        <v>37388119951</v>
      </c>
      <c r="L501" s="1282">
        <v>551914154</v>
      </c>
      <c r="M501" s="1282">
        <v>83649166074</v>
      </c>
      <c r="N501" s="180"/>
      <c r="O501" s="221"/>
    </row>
    <row r="502" spans="1:15">
      <c r="A502" s="1416" t="s">
        <v>3041</v>
      </c>
      <c r="B502" s="1420" t="s">
        <v>2944</v>
      </c>
      <c r="C502" s="1279" t="s">
        <v>1600</v>
      </c>
      <c r="D502" s="1280" t="s">
        <v>2975</v>
      </c>
      <c r="E502" s="1400">
        <v>1000</v>
      </c>
      <c r="F502" s="1285">
        <v>1000000</v>
      </c>
      <c r="G502" s="1283">
        <v>0</v>
      </c>
      <c r="H502" s="1282">
        <f>+'12 Cartera Propia'!Q178</f>
        <v>991164383.79452097</v>
      </c>
      <c r="I502" s="1284">
        <f>+'12 Cartera Propia'!R178</f>
        <v>0</v>
      </c>
      <c r="J502" s="1282">
        <f t="shared" si="33"/>
        <v>991164383.79452097</v>
      </c>
      <c r="K502" s="1282">
        <f>1133000*$O$396</f>
        <v>1133000000000</v>
      </c>
      <c r="L502" s="1282">
        <f>1275405.268927*$O$396</f>
        <v>1275405268927</v>
      </c>
      <c r="M502" s="1282">
        <f>5827383.065736*$O$396</f>
        <v>5827383065736</v>
      </c>
      <c r="N502" s="180"/>
      <c r="O502" s="221"/>
    </row>
    <row r="503" spans="1:15">
      <c r="A503" s="1418" t="s">
        <v>3038</v>
      </c>
      <c r="B503" s="1420" t="s">
        <v>1693</v>
      </c>
      <c r="C503" s="1279" t="s">
        <v>2946</v>
      </c>
      <c r="D503" s="1280" t="s">
        <v>56</v>
      </c>
      <c r="E503" s="1400">
        <v>153</v>
      </c>
      <c r="F503" s="1285">
        <v>1000000</v>
      </c>
      <c r="G503" s="1283">
        <v>0</v>
      </c>
      <c r="H503" s="1282">
        <f>+'12 Cartera Propia'!Q182</f>
        <v>155649139.45057389</v>
      </c>
      <c r="I503" s="1284">
        <f>+'12 Cartera Propia'!R182</f>
        <v>0</v>
      </c>
      <c r="J503" s="1282">
        <f t="shared" si="33"/>
        <v>155649139.45057389</v>
      </c>
      <c r="K503" s="1282">
        <f>570000*$O$396</f>
        <v>570000000000</v>
      </c>
      <c r="L503" s="1282">
        <f>330146.119577*$O$396</f>
        <v>330146119577</v>
      </c>
      <c r="M503" s="1282">
        <f>1373940.759565*$O$396</f>
        <v>1373940759565</v>
      </c>
      <c r="N503" s="180"/>
      <c r="O503" s="221"/>
    </row>
    <row r="504" spans="1:15">
      <c r="A504" s="1418" t="s">
        <v>3038</v>
      </c>
      <c r="B504" s="1420" t="s">
        <v>1694</v>
      </c>
      <c r="C504" s="1279" t="s">
        <v>2946</v>
      </c>
      <c r="D504" s="1280" t="s">
        <v>56</v>
      </c>
      <c r="E504" s="1400">
        <v>225</v>
      </c>
      <c r="F504" s="1285">
        <v>1000000</v>
      </c>
      <c r="G504" s="1283">
        <v>0</v>
      </c>
      <c r="H504" s="1282">
        <f>+'12 Cartera Propia'!Q183</f>
        <v>226611710.84931511</v>
      </c>
      <c r="I504" s="1284">
        <f>+'12 Cartera Propia'!R183</f>
        <v>0</v>
      </c>
      <c r="J504" s="1282">
        <f t="shared" si="33"/>
        <v>226611710.84931511</v>
      </c>
      <c r="K504" s="1282">
        <f>570000*$O$396</f>
        <v>570000000000</v>
      </c>
      <c r="L504" s="1282">
        <f>330146.119577*$O$396</f>
        <v>330146119577</v>
      </c>
      <c r="M504" s="1282">
        <f>1373940.759565*$O$396</f>
        <v>1373940759565</v>
      </c>
      <c r="N504" s="180"/>
      <c r="O504" s="221"/>
    </row>
    <row r="505" spans="1:15">
      <c r="A505" s="1416" t="s">
        <v>3043</v>
      </c>
      <c r="B505" s="1420" t="s">
        <v>2718</v>
      </c>
      <c r="C505" s="1279" t="s">
        <v>2741</v>
      </c>
      <c r="D505" s="1280" t="s">
        <v>1671</v>
      </c>
      <c r="E505" s="1400">
        <v>2000</v>
      </c>
      <c r="F505" s="1285">
        <v>1000000</v>
      </c>
      <c r="G505" s="1283">
        <v>0</v>
      </c>
      <c r="H505" s="1282">
        <f>+'12 Cartera Propia'!Q187</f>
        <v>2076176021.7571959</v>
      </c>
      <c r="I505" s="1282">
        <f>+'12 Cartera Propia'!R187</f>
        <v>-7612427.2871497199</v>
      </c>
      <c r="J505" s="1282">
        <f t="shared" si="33"/>
        <v>2068563594.4700463</v>
      </c>
      <c r="K505" s="1282" t="s">
        <v>1801</v>
      </c>
      <c r="L505" s="1282" t="s">
        <v>1801</v>
      </c>
      <c r="M505" s="1282" t="s">
        <v>1801</v>
      </c>
      <c r="N505" s="180"/>
      <c r="O505" s="221"/>
    </row>
    <row r="506" spans="1:15">
      <c r="A506" s="1416" t="s">
        <v>3043</v>
      </c>
      <c r="B506" s="1420" t="s">
        <v>1728</v>
      </c>
      <c r="C506" s="1279" t="s">
        <v>2741</v>
      </c>
      <c r="D506" s="1280" t="s">
        <v>1671</v>
      </c>
      <c r="E506" s="1400">
        <v>71</v>
      </c>
      <c r="F506" s="1285">
        <v>1000000</v>
      </c>
      <c r="G506" s="1283">
        <v>0</v>
      </c>
      <c r="H506" s="1282">
        <f>+'12 Cartera Propia'!Q188</f>
        <v>78417521.613657594</v>
      </c>
      <c r="I506" s="1284">
        <f>+'12 Cartera Propia'!R188</f>
        <v>0</v>
      </c>
      <c r="J506" s="1282">
        <f t="shared" si="33"/>
        <v>78417521.613657594</v>
      </c>
      <c r="K506" s="1282" t="s">
        <v>1801</v>
      </c>
      <c r="L506" s="1282" t="s">
        <v>1801</v>
      </c>
      <c r="M506" s="1282" t="s">
        <v>1801</v>
      </c>
      <c r="N506" s="180"/>
      <c r="O506" s="221"/>
    </row>
    <row r="507" spans="1:15" ht="16.2" thickBot="1">
      <c r="A507" s="1416"/>
      <c r="B507" s="1417"/>
      <c r="C507" s="195"/>
      <c r="D507" s="507"/>
      <c r="E507" s="230"/>
      <c r="F507" s="510"/>
      <c r="G507" s="690"/>
      <c r="H507" s="510"/>
      <c r="I507" s="510"/>
      <c r="J507" s="510"/>
      <c r="K507" s="510"/>
      <c r="L507" s="510"/>
      <c r="M507" s="716"/>
      <c r="N507" s="180"/>
      <c r="O507" s="218"/>
    </row>
    <row r="508" spans="1:15" hidden="1">
      <c r="A508" s="1416"/>
      <c r="B508" s="1417"/>
      <c r="C508" s="509" t="s">
        <v>794</v>
      </c>
      <c r="D508" s="508"/>
      <c r="E508" s="504"/>
      <c r="F508" s="513"/>
      <c r="G508" s="692"/>
      <c r="H508" s="514"/>
      <c r="I508" s="514"/>
      <c r="J508" s="514"/>
      <c r="K508" s="514"/>
      <c r="L508" s="514"/>
      <c r="M508" s="515"/>
      <c r="N508" s="180"/>
      <c r="O508" s="218"/>
    </row>
    <row r="509" spans="1:15" hidden="1">
      <c r="A509" s="1416"/>
      <c r="B509" s="1420"/>
      <c r="C509" s="1279"/>
      <c r="D509" s="1280"/>
      <c r="E509" s="1281"/>
      <c r="F509" s="1285"/>
      <c r="G509" s="1283">
        <v>0</v>
      </c>
      <c r="H509" s="1282">
        <f>+'12 Cartera Propia'!Q197</f>
        <v>0</v>
      </c>
      <c r="I509" s="1284">
        <f>+'12 Cartera Propia'!R176</f>
        <v>0</v>
      </c>
      <c r="J509" s="1282">
        <f>+H509+I509</f>
        <v>0</v>
      </c>
      <c r="K509" s="1282"/>
      <c r="L509" s="1282"/>
      <c r="M509" s="1282"/>
      <c r="N509" s="577"/>
      <c r="O509" s="221"/>
    </row>
    <row r="510" spans="1:15" hidden="1">
      <c r="A510" s="1416"/>
      <c r="B510" s="1420"/>
      <c r="C510" s="1279"/>
      <c r="D510" s="1280"/>
      <c r="E510" s="1281"/>
      <c r="F510" s="1285"/>
      <c r="G510" s="1283">
        <v>0</v>
      </c>
      <c r="H510" s="1282">
        <f>+'12 Cartera Propia'!Q202</f>
        <v>0</v>
      </c>
      <c r="I510" s="1284">
        <f>+'12 Cartera Propia'!R177</f>
        <v>0</v>
      </c>
      <c r="J510" s="1282">
        <f>+H510+I510</f>
        <v>0</v>
      </c>
      <c r="K510" s="1282"/>
      <c r="L510" s="1282"/>
      <c r="M510" s="1282"/>
      <c r="N510" s="577"/>
      <c r="O510" s="221"/>
    </row>
    <row r="511" spans="1:15" hidden="1">
      <c r="A511" s="1416"/>
      <c r="B511" s="1420"/>
      <c r="C511" s="1279"/>
      <c r="D511" s="1280"/>
      <c r="E511" s="1281"/>
      <c r="F511" s="1285"/>
      <c r="G511" s="1283">
        <v>0</v>
      </c>
      <c r="H511" s="1282">
        <f>+'12 Cartera Propia'!Q203</f>
        <v>0</v>
      </c>
      <c r="I511" s="1284">
        <f>+'12 Cartera Propia'!R178</f>
        <v>0</v>
      </c>
      <c r="J511" s="1282">
        <f>+H511+I511</f>
        <v>0</v>
      </c>
      <c r="K511" s="1282"/>
      <c r="L511" s="1282"/>
      <c r="M511" s="1282"/>
      <c r="N511" s="577"/>
      <c r="O511" s="221"/>
    </row>
    <row r="512" spans="1:15" hidden="1">
      <c r="A512" s="1416"/>
      <c r="B512" s="1420"/>
      <c r="C512" s="1279"/>
      <c r="D512" s="1280"/>
      <c r="E512" s="1281"/>
      <c r="F512" s="1285"/>
      <c r="G512" s="1283">
        <v>0</v>
      </c>
      <c r="H512" s="1282">
        <f>+'12 Cartera Propia'!Q204</f>
        <v>0</v>
      </c>
      <c r="I512" s="1284">
        <f>+'12 Cartera Propia'!R179</f>
        <v>0</v>
      </c>
      <c r="J512" s="1282">
        <f>+H512+I512</f>
        <v>0</v>
      </c>
      <c r="K512" s="1282"/>
      <c r="L512" s="1282"/>
      <c r="M512" s="1282"/>
      <c r="N512" s="577"/>
      <c r="O512" s="221"/>
    </row>
    <row r="513" spans="1:15" ht="16.2" hidden="1" thickBot="1">
      <c r="A513" s="1416"/>
      <c r="B513" s="1417"/>
      <c r="C513" s="195"/>
      <c r="D513" s="507"/>
      <c r="E513" s="230"/>
      <c r="F513" s="510"/>
      <c r="G513" s="690"/>
      <c r="H513" s="510"/>
      <c r="I513" s="510"/>
      <c r="J513" s="510"/>
      <c r="K513" s="510"/>
      <c r="L513" s="510"/>
      <c r="M513" s="716"/>
      <c r="N513" s="180"/>
      <c r="O513" s="218"/>
    </row>
    <row r="514" spans="1:15">
      <c r="A514" s="1416"/>
      <c r="B514" s="1421"/>
      <c r="C514" s="502" t="s">
        <v>1803</v>
      </c>
      <c r="D514" s="506"/>
      <c r="E514" s="502"/>
      <c r="F514" s="511"/>
      <c r="G514" s="691"/>
      <c r="H514" s="511"/>
      <c r="I514" s="511"/>
      <c r="J514" s="511"/>
      <c r="K514" s="511"/>
      <c r="L514" s="511"/>
      <c r="M514" s="512"/>
      <c r="N514" s="180"/>
      <c r="O514" s="216"/>
    </row>
    <row r="515" spans="1:15">
      <c r="A515" s="1416" t="s">
        <v>3059</v>
      </c>
      <c r="B515" s="1420" t="s">
        <v>1728</v>
      </c>
      <c r="C515" s="1279" t="s">
        <v>2741</v>
      </c>
      <c r="D515" s="1280" t="s">
        <v>1671</v>
      </c>
      <c r="E515" s="1281">
        <v>2433</v>
      </c>
      <c r="F515" s="1445">
        <v>1000000</v>
      </c>
      <c r="G515" s="1283">
        <v>0</v>
      </c>
      <c r="H515" s="1284">
        <f>+VLOOKUP(B515,'12 Cartera Propia AFS'!$D$8:$Q$118,12,0)</f>
        <v>2678281562</v>
      </c>
      <c r="I515" s="1284">
        <f>+VLOOKUP(B515,'12 Cartera Propia AFS'!$D$8:$Q$118,13,0)</f>
        <v>0</v>
      </c>
      <c r="J515" s="1282">
        <f t="shared" ref="J515:J578" si="34">+H515+I515</f>
        <v>2678281562</v>
      </c>
      <c r="K515" s="1282" t="s">
        <v>1801</v>
      </c>
      <c r="L515" s="1282" t="s">
        <v>1801</v>
      </c>
      <c r="M515" s="1282" t="s">
        <v>1801</v>
      </c>
      <c r="N515" s="180"/>
      <c r="O515" s="221"/>
    </row>
    <row r="516" spans="1:15">
      <c r="A516" s="1416" t="s">
        <v>3059</v>
      </c>
      <c r="B516" s="1420" t="s">
        <v>1672</v>
      </c>
      <c r="C516" s="1279" t="s">
        <v>2741</v>
      </c>
      <c r="D516" s="1280" t="s">
        <v>1671</v>
      </c>
      <c r="E516" s="1281">
        <v>68</v>
      </c>
      <c r="F516" s="1445">
        <v>1000000</v>
      </c>
      <c r="G516" s="1283">
        <v>0</v>
      </c>
      <c r="H516" s="1284">
        <f>+VLOOKUP(B516,'12 Cartera Propia AFS'!$D$8:$Q$118,12,0)</f>
        <v>71315769.924197182</v>
      </c>
      <c r="I516" s="1284">
        <f>+VLOOKUP(B516,'12 Cartera Propia AFS'!$D$8:$Q$118,13,0)</f>
        <v>0</v>
      </c>
      <c r="J516" s="1282">
        <f t="shared" si="34"/>
        <v>71315769.924197182</v>
      </c>
      <c r="K516" s="1282" t="s">
        <v>1801</v>
      </c>
      <c r="L516" s="1282" t="s">
        <v>1801</v>
      </c>
      <c r="M516" s="1282" t="s">
        <v>1801</v>
      </c>
      <c r="N516" s="180"/>
      <c r="O516" s="221"/>
    </row>
    <row r="517" spans="1:15">
      <c r="A517" s="1416" t="s">
        <v>3058</v>
      </c>
      <c r="B517" s="1420" t="s">
        <v>1669</v>
      </c>
      <c r="C517" s="1279" t="s">
        <v>1504</v>
      </c>
      <c r="D517" s="1280" t="s">
        <v>1668</v>
      </c>
      <c r="E517" s="1281">
        <v>800</v>
      </c>
      <c r="F517" s="1445">
        <v>10000000</v>
      </c>
      <c r="G517" s="1283">
        <v>0</v>
      </c>
      <c r="H517" s="1284">
        <f>+VLOOKUP(B517,'12 Cartera Propia AFS'!$D$8:$Q$118,12,0)</f>
        <v>800000000</v>
      </c>
      <c r="I517" s="1282">
        <f>+VLOOKUP(B517,'12 Cartera Propia AFS'!$D$8:$Q$118,13,0)</f>
        <v>-19400611.897628698</v>
      </c>
      <c r="J517" s="1282">
        <f t="shared" si="34"/>
        <v>780599388.10237134</v>
      </c>
      <c r="K517" s="1282" t="s">
        <v>1801</v>
      </c>
      <c r="L517" s="1282" t="s">
        <v>1801</v>
      </c>
      <c r="M517" s="1282" t="s">
        <v>1801</v>
      </c>
      <c r="N517" s="180"/>
      <c r="O517" s="221"/>
    </row>
    <row r="518" spans="1:15">
      <c r="A518" s="1416" t="s">
        <v>3051</v>
      </c>
      <c r="B518" s="1420" t="s">
        <v>2745</v>
      </c>
      <c r="C518" s="1279" t="s">
        <v>1515</v>
      </c>
      <c r="D518" s="1280" t="s">
        <v>58</v>
      </c>
      <c r="E518" s="1281">
        <v>1</v>
      </c>
      <c r="F518" s="1445">
        <v>100000000</v>
      </c>
      <c r="G518" s="1283">
        <v>0</v>
      </c>
      <c r="H518" s="1284">
        <f>+VLOOKUP(B518,'12 Cartera Propia AFS'!$D$8:$Q$118,12,0)</f>
        <v>105136986.30136986</v>
      </c>
      <c r="I518" s="1284">
        <f>+VLOOKUP(B518,'12 Cartera Propia AFS'!$D$8:$Q$118,13,0)</f>
        <v>0</v>
      </c>
      <c r="J518" s="1282">
        <f t="shared" si="34"/>
        <v>105136986.30136986</v>
      </c>
      <c r="K518" s="1282">
        <f t="shared" ref="K518:K549" si="35">2317139.769229*$O$396</f>
        <v>2317139769229</v>
      </c>
      <c r="L518" s="1282">
        <f t="shared" ref="L518:L549" si="36">514185.658559*$O$396</f>
        <v>514185658559</v>
      </c>
      <c r="M518" s="1282">
        <f t="shared" ref="M518:M549" si="37">3699425.509152*$O$396</f>
        <v>3699425509152</v>
      </c>
      <c r="N518" s="180"/>
      <c r="O518" s="221"/>
    </row>
    <row r="519" spans="1:15">
      <c r="A519" s="1416" t="s">
        <v>3051</v>
      </c>
      <c r="B519" s="1420" t="s">
        <v>2746</v>
      </c>
      <c r="C519" s="1279" t="s">
        <v>1515</v>
      </c>
      <c r="D519" s="1280" t="s">
        <v>58</v>
      </c>
      <c r="E519" s="1281">
        <v>1</v>
      </c>
      <c r="F519" s="1445">
        <v>100000000</v>
      </c>
      <c r="G519" s="1283">
        <v>0</v>
      </c>
      <c r="H519" s="1284">
        <f>+VLOOKUP(B519,'12 Cartera Propia AFS'!$D$8:$Q$118,12,0)</f>
        <v>105136986.30136986</v>
      </c>
      <c r="I519" s="1284">
        <f>+VLOOKUP(B519,'12 Cartera Propia AFS'!$D$8:$Q$118,13,0)</f>
        <v>0</v>
      </c>
      <c r="J519" s="1282">
        <f t="shared" si="34"/>
        <v>105136986.30136986</v>
      </c>
      <c r="K519" s="1282">
        <f t="shared" si="35"/>
        <v>2317139769229</v>
      </c>
      <c r="L519" s="1282">
        <f t="shared" si="36"/>
        <v>514185658559</v>
      </c>
      <c r="M519" s="1282">
        <f t="shared" si="37"/>
        <v>3699425509152</v>
      </c>
      <c r="N519" s="180"/>
      <c r="O519" s="221"/>
    </row>
    <row r="520" spans="1:15">
      <c r="A520" s="1416" t="s">
        <v>3051</v>
      </c>
      <c r="B520" s="1420" t="s">
        <v>2747</v>
      </c>
      <c r="C520" s="1279" t="s">
        <v>1515</v>
      </c>
      <c r="D520" s="1280" t="s">
        <v>58</v>
      </c>
      <c r="E520" s="1281">
        <v>1</v>
      </c>
      <c r="F520" s="1284">
        <v>100000000</v>
      </c>
      <c r="G520" s="1283">
        <v>0</v>
      </c>
      <c r="H520" s="1284">
        <f>+VLOOKUP(B520,'12 Cartera Propia AFS'!$D$8:$Q$118,12,0)</f>
        <v>105136986.30136986</v>
      </c>
      <c r="I520" s="1284">
        <f>+VLOOKUP(B520,'12 Cartera Propia AFS'!$D$8:$Q$118,13,0)</f>
        <v>0</v>
      </c>
      <c r="J520" s="1282">
        <f t="shared" si="34"/>
        <v>105136986.30136986</v>
      </c>
      <c r="K520" s="1282">
        <f t="shared" si="35"/>
        <v>2317139769229</v>
      </c>
      <c r="L520" s="1282">
        <f t="shared" si="36"/>
        <v>514185658559</v>
      </c>
      <c r="M520" s="1282">
        <f t="shared" si="37"/>
        <v>3699425509152</v>
      </c>
      <c r="N520" s="180"/>
      <c r="O520" s="221"/>
    </row>
    <row r="521" spans="1:15">
      <c r="A521" s="1416" t="s">
        <v>3051</v>
      </c>
      <c r="B521" s="1420" t="s">
        <v>2748</v>
      </c>
      <c r="C521" s="1279" t="s">
        <v>1515</v>
      </c>
      <c r="D521" s="1280" t="s">
        <v>58</v>
      </c>
      <c r="E521" s="1281">
        <v>1</v>
      </c>
      <c r="F521" s="1284">
        <v>100000000</v>
      </c>
      <c r="G521" s="1283">
        <v>0</v>
      </c>
      <c r="H521" s="1284">
        <f>+VLOOKUP(B521,'12 Cartera Propia AFS'!$D$8:$Q$118,12,0)</f>
        <v>105136986.30136986</v>
      </c>
      <c r="I521" s="1284">
        <f>+VLOOKUP(B521,'12 Cartera Propia AFS'!$D$8:$Q$118,13,0)</f>
        <v>0</v>
      </c>
      <c r="J521" s="1282">
        <f t="shared" si="34"/>
        <v>105136986.30136986</v>
      </c>
      <c r="K521" s="1282">
        <f t="shared" si="35"/>
        <v>2317139769229</v>
      </c>
      <c r="L521" s="1282">
        <f t="shared" si="36"/>
        <v>514185658559</v>
      </c>
      <c r="M521" s="1282">
        <f t="shared" si="37"/>
        <v>3699425509152</v>
      </c>
      <c r="N521" s="180"/>
      <c r="O521" s="221"/>
    </row>
    <row r="522" spans="1:15">
      <c r="A522" s="1416" t="s">
        <v>3051</v>
      </c>
      <c r="B522" s="1420" t="s">
        <v>2749</v>
      </c>
      <c r="C522" s="1279" t="s">
        <v>1515</v>
      </c>
      <c r="D522" s="1280" t="s">
        <v>58</v>
      </c>
      <c r="E522" s="1281">
        <v>1</v>
      </c>
      <c r="F522" s="1284">
        <v>100000000</v>
      </c>
      <c r="G522" s="1283">
        <v>0</v>
      </c>
      <c r="H522" s="1284">
        <f>+VLOOKUP(B522,'12 Cartera Propia AFS'!$D$8:$Q$118,12,0)</f>
        <v>105136986.30136986</v>
      </c>
      <c r="I522" s="1284">
        <f>+VLOOKUP(B522,'12 Cartera Propia AFS'!$D$8:$Q$118,13,0)</f>
        <v>0</v>
      </c>
      <c r="J522" s="1282">
        <f t="shared" si="34"/>
        <v>105136986.30136986</v>
      </c>
      <c r="K522" s="1282">
        <f t="shared" si="35"/>
        <v>2317139769229</v>
      </c>
      <c r="L522" s="1282">
        <f t="shared" si="36"/>
        <v>514185658559</v>
      </c>
      <c r="M522" s="1282">
        <f t="shared" si="37"/>
        <v>3699425509152</v>
      </c>
      <c r="N522" s="180"/>
      <c r="O522" s="221"/>
    </row>
    <row r="523" spans="1:15">
      <c r="A523" s="1416" t="s">
        <v>3051</v>
      </c>
      <c r="B523" s="1420" t="s">
        <v>2750</v>
      </c>
      <c r="C523" s="1279" t="s">
        <v>1515</v>
      </c>
      <c r="D523" s="1280" t="s">
        <v>58</v>
      </c>
      <c r="E523" s="1281">
        <v>1</v>
      </c>
      <c r="F523" s="1284">
        <v>500000000</v>
      </c>
      <c r="G523" s="1283">
        <v>0</v>
      </c>
      <c r="H523" s="1284">
        <f>+VLOOKUP(B523,'12 Cartera Propia AFS'!$D$8:$Q$118,12,0)</f>
        <v>525684931.50684923</v>
      </c>
      <c r="I523" s="1284">
        <f>+VLOOKUP(B523,'12 Cartera Propia AFS'!$D$8:$Q$118,13,0)</f>
        <v>0</v>
      </c>
      <c r="J523" s="1282">
        <f t="shared" si="34"/>
        <v>525684931.50684923</v>
      </c>
      <c r="K523" s="1282">
        <f t="shared" si="35"/>
        <v>2317139769229</v>
      </c>
      <c r="L523" s="1282">
        <f t="shared" si="36"/>
        <v>514185658559</v>
      </c>
      <c r="M523" s="1282">
        <f t="shared" si="37"/>
        <v>3699425509152</v>
      </c>
      <c r="N523" s="180"/>
      <c r="O523" s="221"/>
    </row>
    <row r="524" spans="1:15">
      <c r="A524" s="1416" t="s">
        <v>3051</v>
      </c>
      <c r="B524" s="1420" t="s">
        <v>1730</v>
      </c>
      <c r="C524" s="1279" t="s">
        <v>1515</v>
      </c>
      <c r="D524" s="1280" t="s">
        <v>58</v>
      </c>
      <c r="E524" s="1281">
        <v>1</v>
      </c>
      <c r="F524" s="1284">
        <v>500000000</v>
      </c>
      <c r="G524" s="1283">
        <v>0</v>
      </c>
      <c r="H524" s="1284">
        <f>+VLOOKUP(B524,'12 Cartera Propia AFS'!$D$8:$Q$118,12,0)</f>
        <v>526713462.90118146</v>
      </c>
      <c r="I524" s="1284">
        <f>+VLOOKUP(B524,'12 Cartera Propia AFS'!$D$8:$Q$118,13,0)</f>
        <v>0</v>
      </c>
      <c r="J524" s="1282">
        <f t="shared" si="34"/>
        <v>526713462.90118146</v>
      </c>
      <c r="K524" s="1282">
        <f t="shared" si="35"/>
        <v>2317139769229</v>
      </c>
      <c r="L524" s="1282">
        <f t="shared" si="36"/>
        <v>514185658559</v>
      </c>
      <c r="M524" s="1282">
        <f t="shared" si="37"/>
        <v>3699425509152</v>
      </c>
      <c r="N524" s="180"/>
      <c r="O524" s="221"/>
    </row>
    <row r="525" spans="1:15">
      <c r="A525" s="1416" t="s">
        <v>3051</v>
      </c>
      <c r="B525" s="1420" t="s">
        <v>1731</v>
      </c>
      <c r="C525" s="1279" t="s">
        <v>1515</v>
      </c>
      <c r="D525" s="1280" t="s">
        <v>58</v>
      </c>
      <c r="E525" s="1281">
        <v>1</v>
      </c>
      <c r="F525" s="1284">
        <v>500000000</v>
      </c>
      <c r="G525" s="1283">
        <v>0</v>
      </c>
      <c r="H525" s="1284">
        <f>+VLOOKUP(B525,'12 Cartera Propia AFS'!$D$8:$Q$118,12,0)</f>
        <v>526713462.90118146</v>
      </c>
      <c r="I525" s="1284">
        <f>+VLOOKUP(B525,'12 Cartera Propia AFS'!$D$8:$Q$118,13,0)</f>
        <v>0</v>
      </c>
      <c r="J525" s="1282">
        <f t="shared" si="34"/>
        <v>526713462.90118146</v>
      </c>
      <c r="K525" s="1282">
        <f t="shared" si="35"/>
        <v>2317139769229</v>
      </c>
      <c r="L525" s="1282">
        <f t="shared" si="36"/>
        <v>514185658559</v>
      </c>
      <c r="M525" s="1282">
        <f t="shared" si="37"/>
        <v>3699425509152</v>
      </c>
      <c r="N525" s="180"/>
      <c r="O525" s="221"/>
    </row>
    <row r="526" spans="1:15">
      <c r="A526" s="1416" t="s">
        <v>3051</v>
      </c>
      <c r="B526" s="1420" t="s">
        <v>1732</v>
      </c>
      <c r="C526" s="1279" t="s">
        <v>1515</v>
      </c>
      <c r="D526" s="1280" t="s">
        <v>58</v>
      </c>
      <c r="E526" s="1281">
        <v>1</v>
      </c>
      <c r="F526" s="1284">
        <v>500000000</v>
      </c>
      <c r="G526" s="1283">
        <v>0</v>
      </c>
      <c r="H526" s="1284">
        <f>+VLOOKUP(B526,'12 Cartera Propia AFS'!$D$8:$Q$118,12,0)</f>
        <v>526713462.90118146</v>
      </c>
      <c r="I526" s="1284">
        <f>+VLOOKUP(B526,'12 Cartera Propia AFS'!$D$8:$Q$118,13,0)</f>
        <v>0</v>
      </c>
      <c r="J526" s="1282">
        <f t="shared" si="34"/>
        <v>526713462.90118146</v>
      </c>
      <c r="K526" s="1282">
        <f t="shared" si="35"/>
        <v>2317139769229</v>
      </c>
      <c r="L526" s="1282">
        <f t="shared" si="36"/>
        <v>514185658559</v>
      </c>
      <c r="M526" s="1282">
        <f t="shared" si="37"/>
        <v>3699425509152</v>
      </c>
      <c r="N526" s="180"/>
      <c r="O526" s="221"/>
    </row>
    <row r="527" spans="1:15">
      <c r="A527" s="1416" t="s">
        <v>3051</v>
      </c>
      <c r="B527" s="1420" t="s">
        <v>1733</v>
      </c>
      <c r="C527" s="1279" t="s">
        <v>1515</v>
      </c>
      <c r="D527" s="1280" t="s">
        <v>58</v>
      </c>
      <c r="E527" s="1281">
        <v>1</v>
      </c>
      <c r="F527" s="1284">
        <v>500000000</v>
      </c>
      <c r="G527" s="1283">
        <v>0</v>
      </c>
      <c r="H527" s="1284">
        <f>+VLOOKUP(B527,'12 Cartera Propia AFS'!$D$8:$Q$118,12,0)</f>
        <v>526713462.90118146</v>
      </c>
      <c r="I527" s="1284">
        <f>+VLOOKUP(B527,'12 Cartera Propia AFS'!$D$8:$Q$118,13,0)</f>
        <v>0</v>
      </c>
      <c r="J527" s="1282">
        <f t="shared" si="34"/>
        <v>526713462.90118146</v>
      </c>
      <c r="K527" s="1282">
        <f t="shared" si="35"/>
        <v>2317139769229</v>
      </c>
      <c r="L527" s="1282">
        <f t="shared" si="36"/>
        <v>514185658559</v>
      </c>
      <c r="M527" s="1282">
        <f t="shared" si="37"/>
        <v>3699425509152</v>
      </c>
      <c r="N527" s="180"/>
      <c r="O527" s="221"/>
    </row>
    <row r="528" spans="1:15">
      <c r="A528" s="1416" t="s">
        <v>3051</v>
      </c>
      <c r="B528" s="1420" t="s">
        <v>1734</v>
      </c>
      <c r="C528" s="1279" t="s">
        <v>1515</v>
      </c>
      <c r="D528" s="1280" t="s">
        <v>58</v>
      </c>
      <c r="E528" s="1281">
        <v>1</v>
      </c>
      <c r="F528" s="1284">
        <v>500000000</v>
      </c>
      <c r="G528" s="1283">
        <v>0</v>
      </c>
      <c r="H528" s="1284">
        <f>+VLOOKUP(B528,'12 Cartera Propia AFS'!$D$8:$Q$118,12,0)</f>
        <v>526713462.90118146</v>
      </c>
      <c r="I528" s="1284">
        <f>+VLOOKUP(B528,'12 Cartera Propia AFS'!$D$8:$Q$118,13,0)</f>
        <v>0</v>
      </c>
      <c r="J528" s="1282">
        <f t="shared" si="34"/>
        <v>526713462.90118146</v>
      </c>
      <c r="K528" s="1282">
        <f t="shared" si="35"/>
        <v>2317139769229</v>
      </c>
      <c r="L528" s="1282">
        <f t="shared" si="36"/>
        <v>514185658559</v>
      </c>
      <c r="M528" s="1282">
        <f t="shared" si="37"/>
        <v>3699425509152</v>
      </c>
      <c r="N528" s="180"/>
      <c r="O528" s="221"/>
    </row>
    <row r="529" spans="1:15">
      <c r="A529" s="1416" t="s">
        <v>3051</v>
      </c>
      <c r="B529" s="1420" t="s">
        <v>1735</v>
      </c>
      <c r="C529" s="1279" t="s">
        <v>1515</v>
      </c>
      <c r="D529" s="1280" t="s">
        <v>58</v>
      </c>
      <c r="E529" s="1281">
        <v>1</v>
      </c>
      <c r="F529" s="1284">
        <v>500000000</v>
      </c>
      <c r="G529" s="1283">
        <v>0</v>
      </c>
      <c r="H529" s="1284">
        <f>+VLOOKUP(B529,'12 Cartera Propia AFS'!$D$8:$Q$118,12,0)</f>
        <v>526713462.90118146</v>
      </c>
      <c r="I529" s="1284">
        <f>+VLOOKUP(B529,'12 Cartera Propia AFS'!$D$8:$Q$118,13,0)</f>
        <v>0</v>
      </c>
      <c r="J529" s="1282">
        <f t="shared" si="34"/>
        <v>526713462.90118146</v>
      </c>
      <c r="K529" s="1282">
        <f t="shared" si="35"/>
        <v>2317139769229</v>
      </c>
      <c r="L529" s="1282">
        <f t="shared" si="36"/>
        <v>514185658559</v>
      </c>
      <c r="M529" s="1282">
        <f t="shared" si="37"/>
        <v>3699425509152</v>
      </c>
      <c r="N529" s="180"/>
      <c r="O529" s="221"/>
    </row>
    <row r="530" spans="1:15">
      <c r="A530" s="1416" t="s">
        <v>3051</v>
      </c>
      <c r="B530" s="1420" t="s">
        <v>1736</v>
      </c>
      <c r="C530" s="1279" t="s">
        <v>1515</v>
      </c>
      <c r="D530" s="1280" t="s">
        <v>58</v>
      </c>
      <c r="E530" s="1281">
        <v>1</v>
      </c>
      <c r="F530" s="1284">
        <v>200000000</v>
      </c>
      <c r="G530" s="1283">
        <v>0</v>
      </c>
      <c r="H530" s="1284">
        <f>+VLOOKUP(B530,'12 Cartera Propia AFS'!$D$8:$Q$118,12,0)</f>
        <v>202451780.97751039</v>
      </c>
      <c r="I530" s="1284">
        <f>+VLOOKUP(B530,'12 Cartera Propia AFS'!$D$8:$Q$118,13,0)</f>
        <v>0</v>
      </c>
      <c r="J530" s="1282">
        <f t="shared" si="34"/>
        <v>202451780.97751039</v>
      </c>
      <c r="K530" s="1282">
        <f t="shared" si="35"/>
        <v>2317139769229</v>
      </c>
      <c r="L530" s="1282">
        <f t="shared" si="36"/>
        <v>514185658559</v>
      </c>
      <c r="M530" s="1282">
        <f t="shared" si="37"/>
        <v>3699425509152</v>
      </c>
      <c r="N530" s="180"/>
      <c r="O530" s="221"/>
    </row>
    <row r="531" spans="1:15">
      <c r="A531" s="1416" t="s">
        <v>3051</v>
      </c>
      <c r="B531" s="1420" t="s">
        <v>1737</v>
      </c>
      <c r="C531" s="1279" t="s">
        <v>1515</v>
      </c>
      <c r="D531" s="1280" t="s">
        <v>58</v>
      </c>
      <c r="E531" s="1281">
        <v>1</v>
      </c>
      <c r="F531" s="1284">
        <v>200000000</v>
      </c>
      <c r="G531" s="1283">
        <v>0</v>
      </c>
      <c r="H531" s="1284">
        <f>+VLOOKUP(B531,'12 Cartera Propia AFS'!$D$8:$Q$118,12,0)</f>
        <v>202451780.97751039</v>
      </c>
      <c r="I531" s="1284">
        <f>+VLOOKUP(B531,'12 Cartera Propia AFS'!$D$8:$Q$118,13,0)</f>
        <v>0</v>
      </c>
      <c r="J531" s="1282">
        <f t="shared" si="34"/>
        <v>202451780.97751039</v>
      </c>
      <c r="K531" s="1282">
        <f t="shared" si="35"/>
        <v>2317139769229</v>
      </c>
      <c r="L531" s="1282">
        <f t="shared" si="36"/>
        <v>514185658559</v>
      </c>
      <c r="M531" s="1282">
        <f t="shared" si="37"/>
        <v>3699425509152</v>
      </c>
      <c r="N531" s="180"/>
      <c r="O531" s="221"/>
    </row>
    <row r="532" spans="1:15">
      <c r="A532" s="1416" t="s">
        <v>3051</v>
      </c>
      <c r="B532" s="1420" t="s">
        <v>1738</v>
      </c>
      <c r="C532" s="1279" t="s">
        <v>1515</v>
      </c>
      <c r="D532" s="1280" t="s">
        <v>58</v>
      </c>
      <c r="E532" s="1281">
        <v>1</v>
      </c>
      <c r="F532" s="1284">
        <v>200000000</v>
      </c>
      <c r="G532" s="1283">
        <v>0</v>
      </c>
      <c r="H532" s="1284">
        <f>+VLOOKUP(B532,'12 Cartera Propia AFS'!$D$8:$Q$118,12,0)</f>
        <v>202451780.97751039</v>
      </c>
      <c r="I532" s="1284">
        <f>+VLOOKUP(B532,'12 Cartera Propia AFS'!$D$8:$Q$118,13,0)</f>
        <v>0</v>
      </c>
      <c r="J532" s="1282">
        <f t="shared" si="34"/>
        <v>202451780.97751039</v>
      </c>
      <c r="K532" s="1282">
        <f t="shared" si="35"/>
        <v>2317139769229</v>
      </c>
      <c r="L532" s="1282">
        <f t="shared" si="36"/>
        <v>514185658559</v>
      </c>
      <c r="M532" s="1282">
        <f t="shared" si="37"/>
        <v>3699425509152</v>
      </c>
      <c r="N532" s="180"/>
      <c r="O532" s="221"/>
    </row>
    <row r="533" spans="1:15">
      <c r="A533" s="1416" t="s">
        <v>3051</v>
      </c>
      <c r="B533" s="1420" t="s">
        <v>1739</v>
      </c>
      <c r="C533" s="1279" t="s">
        <v>1515</v>
      </c>
      <c r="D533" s="1280" t="s">
        <v>58</v>
      </c>
      <c r="E533" s="1281">
        <v>1</v>
      </c>
      <c r="F533" s="1284">
        <v>200000000</v>
      </c>
      <c r="G533" s="1283">
        <v>0</v>
      </c>
      <c r="H533" s="1284">
        <f>+VLOOKUP(B533,'12 Cartera Propia AFS'!$D$8:$Q$118,12,0)</f>
        <v>202451780.97751039</v>
      </c>
      <c r="I533" s="1284">
        <f>+VLOOKUP(B533,'12 Cartera Propia AFS'!$D$8:$Q$118,13,0)</f>
        <v>0</v>
      </c>
      <c r="J533" s="1282">
        <f t="shared" si="34"/>
        <v>202451780.97751039</v>
      </c>
      <c r="K533" s="1282">
        <f t="shared" si="35"/>
        <v>2317139769229</v>
      </c>
      <c r="L533" s="1282">
        <f t="shared" si="36"/>
        <v>514185658559</v>
      </c>
      <c r="M533" s="1282">
        <f t="shared" si="37"/>
        <v>3699425509152</v>
      </c>
      <c r="N533" s="180"/>
      <c r="O533" s="221"/>
    </row>
    <row r="534" spans="1:15">
      <c r="A534" s="1416" t="s">
        <v>3051</v>
      </c>
      <c r="B534" s="1420" t="s">
        <v>1740</v>
      </c>
      <c r="C534" s="1279" t="s">
        <v>1515</v>
      </c>
      <c r="D534" s="1280" t="s">
        <v>58</v>
      </c>
      <c r="E534" s="1281">
        <v>1</v>
      </c>
      <c r="F534" s="1284">
        <v>200000000</v>
      </c>
      <c r="G534" s="1283">
        <v>0</v>
      </c>
      <c r="H534" s="1284">
        <f>+VLOOKUP(B534,'12 Cartera Propia AFS'!$D$8:$Q$118,12,0)</f>
        <v>202451780.97751039</v>
      </c>
      <c r="I534" s="1284">
        <f>+VLOOKUP(B534,'12 Cartera Propia AFS'!$D$8:$Q$118,13,0)</f>
        <v>0</v>
      </c>
      <c r="J534" s="1282">
        <f t="shared" si="34"/>
        <v>202451780.97751039</v>
      </c>
      <c r="K534" s="1282">
        <f t="shared" si="35"/>
        <v>2317139769229</v>
      </c>
      <c r="L534" s="1282">
        <f t="shared" si="36"/>
        <v>514185658559</v>
      </c>
      <c r="M534" s="1282">
        <f t="shared" si="37"/>
        <v>3699425509152</v>
      </c>
      <c r="N534" s="180"/>
      <c r="O534" s="221"/>
    </row>
    <row r="535" spans="1:15">
      <c r="A535" s="1416" t="s">
        <v>3051</v>
      </c>
      <c r="B535" s="1420" t="s">
        <v>1741</v>
      </c>
      <c r="C535" s="1279" t="s">
        <v>1515</v>
      </c>
      <c r="D535" s="1280" t="s">
        <v>58</v>
      </c>
      <c r="E535" s="1281">
        <v>1</v>
      </c>
      <c r="F535" s="1284">
        <v>100000000</v>
      </c>
      <c r="G535" s="1283">
        <v>0</v>
      </c>
      <c r="H535" s="1284">
        <f>+VLOOKUP(B535,'12 Cartera Propia AFS'!$D$8:$Q$118,12,0)</f>
        <v>103098630.13698632</v>
      </c>
      <c r="I535" s="1284">
        <f>+VLOOKUP(B535,'12 Cartera Propia AFS'!$D$8:$Q$118,13,0)</f>
        <v>0</v>
      </c>
      <c r="J535" s="1282">
        <f t="shared" si="34"/>
        <v>103098630.13698632</v>
      </c>
      <c r="K535" s="1282">
        <f t="shared" si="35"/>
        <v>2317139769229</v>
      </c>
      <c r="L535" s="1282">
        <f t="shared" si="36"/>
        <v>514185658559</v>
      </c>
      <c r="M535" s="1282">
        <f t="shared" si="37"/>
        <v>3699425509152</v>
      </c>
      <c r="N535" s="180"/>
      <c r="O535" s="221"/>
    </row>
    <row r="536" spans="1:15">
      <c r="A536" s="1416" t="s">
        <v>3051</v>
      </c>
      <c r="B536" s="1420" t="s">
        <v>1742</v>
      </c>
      <c r="C536" s="1279" t="s">
        <v>1515</v>
      </c>
      <c r="D536" s="1280" t="s">
        <v>58</v>
      </c>
      <c r="E536" s="1281">
        <v>1</v>
      </c>
      <c r="F536" s="1284">
        <v>100000000</v>
      </c>
      <c r="G536" s="1283">
        <v>0</v>
      </c>
      <c r="H536" s="1284">
        <f>+VLOOKUP(B536,'12 Cartera Propia AFS'!$D$8:$Q$118,12,0)</f>
        <v>103098630.13698632</v>
      </c>
      <c r="I536" s="1284">
        <f>+VLOOKUP(B536,'12 Cartera Propia AFS'!$D$8:$Q$118,13,0)</f>
        <v>0</v>
      </c>
      <c r="J536" s="1282">
        <f t="shared" si="34"/>
        <v>103098630.13698632</v>
      </c>
      <c r="K536" s="1282">
        <f t="shared" si="35"/>
        <v>2317139769229</v>
      </c>
      <c r="L536" s="1282">
        <f t="shared" si="36"/>
        <v>514185658559</v>
      </c>
      <c r="M536" s="1282">
        <f t="shared" si="37"/>
        <v>3699425509152</v>
      </c>
      <c r="N536" s="180"/>
      <c r="O536" s="221"/>
    </row>
    <row r="537" spans="1:15">
      <c r="A537" s="1416" t="s">
        <v>3051</v>
      </c>
      <c r="B537" s="1420" t="s">
        <v>1743</v>
      </c>
      <c r="C537" s="1279" t="s">
        <v>1515</v>
      </c>
      <c r="D537" s="1280" t="s">
        <v>58</v>
      </c>
      <c r="E537" s="1281">
        <v>1</v>
      </c>
      <c r="F537" s="1284">
        <v>100000000</v>
      </c>
      <c r="G537" s="1283">
        <v>0</v>
      </c>
      <c r="H537" s="1284">
        <f>+VLOOKUP(B537,'12 Cartera Propia AFS'!$D$8:$Q$118,12,0)</f>
        <v>103098630.13698632</v>
      </c>
      <c r="I537" s="1284">
        <f>+VLOOKUP(B537,'12 Cartera Propia AFS'!$D$8:$Q$118,13,0)</f>
        <v>0</v>
      </c>
      <c r="J537" s="1282">
        <f t="shared" si="34"/>
        <v>103098630.13698632</v>
      </c>
      <c r="K537" s="1282">
        <f t="shared" si="35"/>
        <v>2317139769229</v>
      </c>
      <c r="L537" s="1282">
        <f t="shared" si="36"/>
        <v>514185658559</v>
      </c>
      <c r="M537" s="1282">
        <f t="shared" si="37"/>
        <v>3699425509152</v>
      </c>
      <c r="N537" s="180"/>
      <c r="O537" s="221"/>
    </row>
    <row r="538" spans="1:15">
      <c r="A538" s="1416" t="s">
        <v>3051</v>
      </c>
      <c r="B538" s="1420" t="s">
        <v>1744</v>
      </c>
      <c r="C538" s="1279" t="s">
        <v>1515</v>
      </c>
      <c r="D538" s="1280" t="s">
        <v>58</v>
      </c>
      <c r="E538" s="1281">
        <v>1</v>
      </c>
      <c r="F538" s="1284">
        <v>100000000</v>
      </c>
      <c r="G538" s="1283">
        <v>0</v>
      </c>
      <c r="H538" s="1284">
        <f>+VLOOKUP(B538,'12 Cartera Propia AFS'!$D$8:$Q$118,12,0)</f>
        <v>103098630.13698632</v>
      </c>
      <c r="I538" s="1284">
        <f>+VLOOKUP(B538,'12 Cartera Propia AFS'!$D$8:$Q$118,13,0)</f>
        <v>0</v>
      </c>
      <c r="J538" s="1282">
        <f t="shared" si="34"/>
        <v>103098630.13698632</v>
      </c>
      <c r="K538" s="1282">
        <f t="shared" si="35"/>
        <v>2317139769229</v>
      </c>
      <c r="L538" s="1282">
        <f t="shared" si="36"/>
        <v>514185658559</v>
      </c>
      <c r="M538" s="1282">
        <f t="shared" si="37"/>
        <v>3699425509152</v>
      </c>
      <c r="N538" s="180"/>
      <c r="O538" s="221"/>
    </row>
    <row r="539" spans="1:15">
      <c r="A539" s="1416" t="s">
        <v>3051</v>
      </c>
      <c r="B539" s="1420" t="s">
        <v>1745</v>
      </c>
      <c r="C539" s="1279" t="s">
        <v>1515</v>
      </c>
      <c r="D539" s="1280" t="s">
        <v>58</v>
      </c>
      <c r="E539" s="1281">
        <v>1</v>
      </c>
      <c r="F539" s="1284">
        <v>100000000</v>
      </c>
      <c r="G539" s="1283">
        <v>0</v>
      </c>
      <c r="H539" s="1284">
        <f>+VLOOKUP(B539,'12 Cartera Propia AFS'!$D$8:$Q$118,12,0)</f>
        <v>103098630.13698632</v>
      </c>
      <c r="I539" s="1284">
        <f>+VLOOKUP(B539,'12 Cartera Propia AFS'!$D$8:$Q$118,13,0)</f>
        <v>0</v>
      </c>
      <c r="J539" s="1282">
        <f t="shared" si="34"/>
        <v>103098630.13698632</v>
      </c>
      <c r="K539" s="1282">
        <f t="shared" si="35"/>
        <v>2317139769229</v>
      </c>
      <c r="L539" s="1282">
        <f t="shared" si="36"/>
        <v>514185658559</v>
      </c>
      <c r="M539" s="1282">
        <f t="shared" si="37"/>
        <v>3699425509152</v>
      </c>
      <c r="N539" s="180"/>
      <c r="O539" s="221"/>
    </row>
    <row r="540" spans="1:15">
      <c r="A540" s="1416" t="s">
        <v>3051</v>
      </c>
      <c r="B540" s="1420" t="s">
        <v>1746</v>
      </c>
      <c r="C540" s="1279" t="s">
        <v>1515</v>
      </c>
      <c r="D540" s="1280" t="s">
        <v>58</v>
      </c>
      <c r="E540" s="1281">
        <v>1</v>
      </c>
      <c r="F540" s="1284">
        <v>100000000</v>
      </c>
      <c r="G540" s="1283">
        <v>0</v>
      </c>
      <c r="H540" s="1284">
        <f>+VLOOKUP(B540,'12 Cartera Propia AFS'!$D$8:$Q$118,12,0)</f>
        <v>103098630.13698632</v>
      </c>
      <c r="I540" s="1284">
        <f>+VLOOKUP(B540,'12 Cartera Propia AFS'!$D$8:$Q$118,13,0)</f>
        <v>0</v>
      </c>
      <c r="J540" s="1282">
        <f t="shared" si="34"/>
        <v>103098630.13698632</v>
      </c>
      <c r="K540" s="1282">
        <f t="shared" si="35"/>
        <v>2317139769229</v>
      </c>
      <c r="L540" s="1282">
        <f t="shared" si="36"/>
        <v>514185658559</v>
      </c>
      <c r="M540" s="1282">
        <f t="shared" si="37"/>
        <v>3699425509152</v>
      </c>
      <c r="N540" s="180"/>
      <c r="O540" s="221"/>
    </row>
    <row r="541" spans="1:15">
      <c r="A541" s="1416" t="s">
        <v>3051</v>
      </c>
      <c r="B541" s="1420" t="s">
        <v>1747</v>
      </c>
      <c r="C541" s="1279" t="s">
        <v>1515</v>
      </c>
      <c r="D541" s="1280" t="s">
        <v>58</v>
      </c>
      <c r="E541" s="1281">
        <v>1</v>
      </c>
      <c r="F541" s="1284">
        <v>150000000</v>
      </c>
      <c r="G541" s="1283">
        <v>0</v>
      </c>
      <c r="H541" s="1284">
        <f>+VLOOKUP(B541,'12 Cartera Propia AFS'!$D$8:$Q$118,12,0)</f>
        <v>154647945.20547938</v>
      </c>
      <c r="I541" s="1284">
        <f>+VLOOKUP(B541,'12 Cartera Propia AFS'!$D$8:$Q$118,13,0)</f>
        <v>0</v>
      </c>
      <c r="J541" s="1282">
        <f t="shared" si="34"/>
        <v>154647945.20547938</v>
      </c>
      <c r="K541" s="1282">
        <f t="shared" si="35"/>
        <v>2317139769229</v>
      </c>
      <c r="L541" s="1282">
        <f t="shared" si="36"/>
        <v>514185658559</v>
      </c>
      <c r="M541" s="1282">
        <f t="shared" si="37"/>
        <v>3699425509152</v>
      </c>
      <c r="N541" s="180"/>
      <c r="O541" s="221"/>
    </row>
    <row r="542" spans="1:15">
      <c r="A542" s="1416" t="s">
        <v>3051</v>
      </c>
      <c r="B542" s="1420" t="s">
        <v>1748</v>
      </c>
      <c r="C542" s="1279" t="s">
        <v>1515</v>
      </c>
      <c r="D542" s="1280" t="s">
        <v>58</v>
      </c>
      <c r="E542" s="1281">
        <v>1</v>
      </c>
      <c r="F542" s="1284">
        <v>150000000</v>
      </c>
      <c r="G542" s="1283">
        <v>0</v>
      </c>
      <c r="H542" s="1284">
        <f>+VLOOKUP(B542,'12 Cartera Propia AFS'!$D$8:$Q$118,12,0)</f>
        <v>154647945.20547938</v>
      </c>
      <c r="I542" s="1284">
        <f>+VLOOKUP(B542,'12 Cartera Propia AFS'!$D$8:$Q$118,13,0)</f>
        <v>0</v>
      </c>
      <c r="J542" s="1282">
        <f t="shared" si="34"/>
        <v>154647945.20547938</v>
      </c>
      <c r="K542" s="1282">
        <f t="shared" si="35"/>
        <v>2317139769229</v>
      </c>
      <c r="L542" s="1282">
        <f t="shared" si="36"/>
        <v>514185658559</v>
      </c>
      <c r="M542" s="1282">
        <f t="shared" si="37"/>
        <v>3699425509152</v>
      </c>
      <c r="N542" s="180"/>
      <c r="O542" s="221"/>
    </row>
    <row r="543" spans="1:15">
      <c r="A543" s="1416" t="s">
        <v>3051</v>
      </c>
      <c r="B543" s="1420" t="s">
        <v>1749</v>
      </c>
      <c r="C543" s="1279" t="s">
        <v>1515</v>
      </c>
      <c r="D543" s="1280" t="s">
        <v>58</v>
      </c>
      <c r="E543" s="1281">
        <v>1</v>
      </c>
      <c r="F543" s="1284">
        <v>150000000</v>
      </c>
      <c r="G543" s="1283">
        <v>0</v>
      </c>
      <c r="H543" s="1284">
        <f>+VLOOKUP(B543,'12 Cartera Propia AFS'!$D$8:$Q$118,12,0)</f>
        <v>154647945.20547938</v>
      </c>
      <c r="I543" s="1284">
        <f>+VLOOKUP(B543,'12 Cartera Propia AFS'!$D$8:$Q$118,13,0)</f>
        <v>0</v>
      </c>
      <c r="J543" s="1282">
        <f t="shared" si="34"/>
        <v>154647945.20547938</v>
      </c>
      <c r="K543" s="1282">
        <f t="shared" si="35"/>
        <v>2317139769229</v>
      </c>
      <c r="L543" s="1282">
        <f t="shared" si="36"/>
        <v>514185658559</v>
      </c>
      <c r="M543" s="1282">
        <f t="shared" si="37"/>
        <v>3699425509152</v>
      </c>
      <c r="N543" s="180"/>
      <c r="O543" s="221"/>
    </row>
    <row r="544" spans="1:15">
      <c r="A544" s="1416" t="s">
        <v>3051</v>
      </c>
      <c r="B544" s="1420" t="s">
        <v>1750</v>
      </c>
      <c r="C544" s="1279" t="s">
        <v>1515</v>
      </c>
      <c r="D544" s="1280" t="s">
        <v>58</v>
      </c>
      <c r="E544" s="1281">
        <v>1</v>
      </c>
      <c r="F544" s="1284">
        <v>150000000</v>
      </c>
      <c r="G544" s="1283">
        <v>0</v>
      </c>
      <c r="H544" s="1284">
        <f>+VLOOKUP(B544,'12 Cartera Propia AFS'!$D$8:$Q$118,12,0)</f>
        <v>154647945.20547938</v>
      </c>
      <c r="I544" s="1284">
        <f>+VLOOKUP(B544,'12 Cartera Propia AFS'!$D$8:$Q$118,13,0)</f>
        <v>0</v>
      </c>
      <c r="J544" s="1282">
        <f t="shared" si="34"/>
        <v>154647945.20547938</v>
      </c>
      <c r="K544" s="1282">
        <f t="shared" si="35"/>
        <v>2317139769229</v>
      </c>
      <c r="L544" s="1282">
        <f t="shared" si="36"/>
        <v>514185658559</v>
      </c>
      <c r="M544" s="1282">
        <f t="shared" si="37"/>
        <v>3699425509152</v>
      </c>
      <c r="N544" s="180"/>
      <c r="O544" s="221"/>
    </row>
    <row r="545" spans="1:15">
      <c r="A545" s="1416" t="s">
        <v>3051</v>
      </c>
      <c r="B545" s="1420" t="s">
        <v>1751</v>
      </c>
      <c r="C545" s="1279" t="s">
        <v>1515</v>
      </c>
      <c r="D545" s="1280" t="s">
        <v>58</v>
      </c>
      <c r="E545" s="1281">
        <v>1</v>
      </c>
      <c r="F545" s="1284">
        <v>150000000</v>
      </c>
      <c r="G545" s="1283">
        <v>0</v>
      </c>
      <c r="H545" s="1284">
        <f>+VLOOKUP(B545,'12 Cartera Propia AFS'!$D$8:$Q$118,12,0)</f>
        <v>154647945.20547938</v>
      </c>
      <c r="I545" s="1284">
        <f>+VLOOKUP(B545,'12 Cartera Propia AFS'!$D$8:$Q$118,13,0)</f>
        <v>0</v>
      </c>
      <c r="J545" s="1282">
        <f t="shared" si="34"/>
        <v>154647945.20547938</v>
      </c>
      <c r="K545" s="1282">
        <f t="shared" si="35"/>
        <v>2317139769229</v>
      </c>
      <c r="L545" s="1282">
        <f t="shared" si="36"/>
        <v>514185658559</v>
      </c>
      <c r="M545" s="1282">
        <f t="shared" si="37"/>
        <v>3699425509152</v>
      </c>
      <c r="N545" s="180"/>
      <c r="O545" s="221"/>
    </row>
    <row r="546" spans="1:15">
      <c r="A546" s="1416" t="s">
        <v>3051</v>
      </c>
      <c r="B546" s="1420" t="s">
        <v>1752</v>
      </c>
      <c r="C546" s="1279" t="s">
        <v>1515</v>
      </c>
      <c r="D546" s="1280" t="s">
        <v>58</v>
      </c>
      <c r="E546" s="1281">
        <v>1</v>
      </c>
      <c r="F546" s="1284">
        <v>150000000</v>
      </c>
      <c r="G546" s="1283">
        <v>0</v>
      </c>
      <c r="H546" s="1284">
        <f>+VLOOKUP(B546,'12 Cartera Propia AFS'!$D$8:$Q$118,12,0)</f>
        <v>154647945.20547938</v>
      </c>
      <c r="I546" s="1284">
        <f>+VLOOKUP(B546,'12 Cartera Propia AFS'!$D$8:$Q$118,13,0)</f>
        <v>0</v>
      </c>
      <c r="J546" s="1282">
        <f t="shared" si="34"/>
        <v>154647945.20547938</v>
      </c>
      <c r="K546" s="1282">
        <f t="shared" si="35"/>
        <v>2317139769229</v>
      </c>
      <c r="L546" s="1282">
        <f t="shared" si="36"/>
        <v>514185658559</v>
      </c>
      <c r="M546" s="1282">
        <f t="shared" si="37"/>
        <v>3699425509152</v>
      </c>
      <c r="N546" s="180"/>
      <c r="O546" s="221"/>
    </row>
    <row r="547" spans="1:15">
      <c r="A547" s="1416" t="s">
        <v>3051</v>
      </c>
      <c r="B547" s="1420" t="s">
        <v>1753</v>
      </c>
      <c r="C547" s="1279" t="s">
        <v>1515</v>
      </c>
      <c r="D547" s="1280" t="s">
        <v>58</v>
      </c>
      <c r="E547" s="1281">
        <v>1</v>
      </c>
      <c r="F547" s="1284">
        <v>150000000</v>
      </c>
      <c r="G547" s="1283">
        <v>0</v>
      </c>
      <c r="H547" s="1284">
        <f>+VLOOKUP(B547,'12 Cartera Propia AFS'!$D$8:$Q$118,12,0)</f>
        <v>154647945.20547938</v>
      </c>
      <c r="I547" s="1284">
        <f>+VLOOKUP(B547,'12 Cartera Propia AFS'!$D$8:$Q$118,13,0)</f>
        <v>0</v>
      </c>
      <c r="J547" s="1282">
        <f t="shared" si="34"/>
        <v>154647945.20547938</v>
      </c>
      <c r="K547" s="1282">
        <f t="shared" si="35"/>
        <v>2317139769229</v>
      </c>
      <c r="L547" s="1282">
        <f t="shared" si="36"/>
        <v>514185658559</v>
      </c>
      <c r="M547" s="1282">
        <f t="shared" si="37"/>
        <v>3699425509152</v>
      </c>
      <c r="N547" s="180"/>
      <c r="O547" s="221"/>
    </row>
    <row r="548" spans="1:15">
      <c r="A548" s="1416" t="s">
        <v>3051</v>
      </c>
      <c r="B548" s="1420" t="s">
        <v>1754</v>
      </c>
      <c r="C548" s="1279" t="s">
        <v>1515</v>
      </c>
      <c r="D548" s="1280" t="s">
        <v>58</v>
      </c>
      <c r="E548" s="1281">
        <v>1</v>
      </c>
      <c r="F548" s="1284">
        <v>150000000</v>
      </c>
      <c r="G548" s="1283">
        <v>0</v>
      </c>
      <c r="H548" s="1284">
        <f>+VLOOKUP(B548,'12 Cartera Propia AFS'!$D$8:$Q$118,12,0)</f>
        <v>154647945.20547938</v>
      </c>
      <c r="I548" s="1284">
        <f>+VLOOKUP(B548,'12 Cartera Propia AFS'!$D$8:$Q$118,13,0)</f>
        <v>0</v>
      </c>
      <c r="J548" s="1282">
        <f t="shared" si="34"/>
        <v>154647945.20547938</v>
      </c>
      <c r="K548" s="1282">
        <f t="shared" si="35"/>
        <v>2317139769229</v>
      </c>
      <c r="L548" s="1282">
        <f t="shared" si="36"/>
        <v>514185658559</v>
      </c>
      <c r="M548" s="1282">
        <f t="shared" si="37"/>
        <v>3699425509152</v>
      </c>
      <c r="N548" s="180"/>
      <c r="O548" s="221"/>
    </row>
    <row r="549" spans="1:15">
      <c r="A549" s="1416" t="s">
        <v>3051</v>
      </c>
      <c r="B549" s="1420" t="s">
        <v>1755</v>
      </c>
      <c r="C549" s="1279" t="s">
        <v>1515</v>
      </c>
      <c r="D549" s="1280" t="s">
        <v>58</v>
      </c>
      <c r="E549" s="1281">
        <v>1</v>
      </c>
      <c r="F549" s="1284">
        <v>200000000</v>
      </c>
      <c r="G549" s="1283">
        <v>0</v>
      </c>
      <c r="H549" s="1284">
        <f>+VLOOKUP(B549,'12 Cartera Propia AFS'!$D$8:$Q$118,12,0)</f>
        <v>205855342.46575347</v>
      </c>
      <c r="I549" s="1284">
        <f>+VLOOKUP(B549,'12 Cartera Propia AFS'!$D$8:$Q$118,13,0)</f>
        <v>0</v>
      </c>
      <c r="J549" s="1282">
        <f t="shared" si="34"/>
        <v>205855342.46575347</v>
      </c>
      <c r="K549" s="1282">
        <f t="shared" si="35"/>
        <v>2317139769229</v>
      </c>
      <c r="L549" s="1282">
        <f t="shared" si="36"/>
        <v>514185658559</v>
      </c>
      <c r="M549" s="1282">
        <f t="shared" si="37"/>
        <v>3699425509152</v>
      </c>
      <c r="N549" s="180"/>
      <c r="O549" s="221"/>
    </row>
    <row r="550" spans="1:15">
      <c r="A550" s="1416" t="s">
        <v>3051</v>
      </c>
      <c r="B550" s="1420" t="s">
        <v>1756</v>
      </c>
      <c r="C550" s="1279" t="s">
        <v>1515</v>
      </c>
      <c r="D550" s="1280" t="s">
        <v>58</v>
      </c>
      <c r="E550" s="1281">
        <v>1</v>
      </c>
      <c r="F550" s="1284">
        <v>200000000</v>
      </c>
      <c r="G550" s="1283">
        <v>0</v>
      </c>
      <c r="H550" s="1284">
        <f>+VLOOKUP(B550,'12 Cartera Propia AFS'!$D$8:$Q$118,12,0)</f>
        <v>205855342.46575347</v>
      </c>
      <c r="I550" s="1284">
        <f>+VLOOKUP(B550,'12 Cartera Propia AFS'!$D$8:$Q$118,13,0)</f>
        <v>0</v>
      </c>
      <c r="J550" s="1282">
        <f t="shared" si="34"/>
        <v>205855342.46575347</v>
      </c>
      <c r="K550" s="1282">
        <f t="shared" ref="K550:K568" si="38">2317139.769229*$O$396</f>
        <v>2317139769229</v>
      </c>
      <c r="L550" s="1282">
        <f t="shared" ref="L550:L568" si="39">514185.658559*$O$396</f>
        <v>514185658559</v>
      </c>
      <c r="M550" s="1282">
        <f t="shared" ref="M550:M568" si="40">3699425.509152*$O$396</f>
        <v>3699425509152</v>
      </c>
      <c r="N550" s="180"/>
      <c r="O550" s="221"/>
    </row>
    <row r="551" spans="1:15">
      <c r="A551" s="1416" t="s">
        <v>3051</v>
      </c>
      <c r="B551" s="1420" t="s">
        <v>1757</v>
      </c>
      <c r="C551" s="1279" t="s">
        <v>1515</v>
      </c>
      <c r="D551" s="1280" t="s">
        <v>58</v>
      </c>
      <c r="E551" s="1281">
        <v>1</v>
      </c>
      <c r="F551" s="1284">
        <v>200000000</v>
      </c>
      <c r="G551" s="1283">
        <v>0</v>
      </c>
      <c r="H551" s="1284">
        <f>+VLOOKUP(B551,'12 Cartera Propia AFS'!$D$8:$Q$118,12,0)</f>
        <v>205855342.46575347</v>
      </c>
      <c r="I551" s="1284">
        <f>+VLOOKUP(B551,'12 Cartera Propia AFS'!$D$8:$Q$118,13,0)</f>
        <v>0</v>
      </c>
      <c r="J551" s="1282">
        <f t="shared" si="34"/>
        <v>205855342.46575347</v>
      </c>
      <c r="K551" s="1282">
        <f t="shared" si="38"/>
        <v>2317139769229</v>
      </c>
      <c r="L551" s="1282">
        <f t="shared" si="39"/>
        <v>514185658559</v>
      </c>
      <c r="M551" s="1282">
        <f t="shared" si="40"/>
        <v>3699425509152</v>
      </c>
      <c r="N551" s="180"/>
      <c r="O551" s="221"/>
    </row>
    <row r="552" spans="1:15">
      <c r="A552" s="1416" t="s">
        <v>3051</v>
      </c>
      <c r="B552" s="1420" t="s">
        <v>1758</v>
      </c>
      <c r="C552" s="1279" t="s">
        <v>1515</v>
      </c>
      <c r="D552" s="1280" t="s">
        <v>58</v>
      </c>
      <c r="E552" s="1281">
        <v>1</v>
      </c>
      <c r="F552" s="1284">
        <v>500000000</v>
      </c>
      <c r="G552" s="1283">
        <v>0</v>
      </c>
      <c r="H552" s="1284">
        <f>+VLOOKUP(B552,'12 Cartera Propia AFS'!$D$8:$Q$118,12,0)</f>
        <v>514104109.58904123</v>
      </c>
      <c r="I552" s="1284">
        <f>+VLOOKUP(B552,'12 Cartera Propia AFS'!$D$8:$Q$118,13,0)</f>
        <v>0</v>
      </c>
      <c r="J552" s="1282">
        <f t="shared" si="34"/>
        <v>514104109.58904123</v>
      </c>
      <c r="K552" s="1282">
        <f t="shared" si="38"/>
        <v>2317139769229</v>
      </c>
      <c r="L552" s="1282">
        <f t="shared" si="39"/>
        <v>514185658559</v>
      </c>
      <c r="M552" s="1282">
        <f t="shared" si="40"/>
        <v>3699425509152</v>
      </c>
      <c r="N552" s="180"/>
      <c r="O552" s="221"/>
    </row>
    <row r="553" spans="1:15">
      <c r="A553" s="1416" t="s">
        <v>3051</v>
      </c>
      <c r="B553" s="1420" t="s">
        <v>1759</v>
      </c>
      <c r="C553" s="1279" t="s">
        <v>1515</v>
      </c>
      <c r="D553" s="1280" t="s">
        <v>58</v>
      </c>
      <c r="E553" s="1281">
        <v>1</v>
      </c>
      <c r="F553" s="1284">
        <v>500000000</v>
      </c>
      <c r="G553" s="1283">
        <v>0</v>
      </c>
      <c r="H553" s="1284">
        <f>+VLOOKUP(B553,'12 Cartera Propia AFS'!$D$8:$Q$118,12,0)</f>
        <v>514104109.58904123</v>
      </c>
      <c r="I553" s="1284">
        <f>+VLOOKUP(B553,'12 Cartera Propia AFS'!$D$8:$Q$118,13,0)</f>
        <v>0</v>
      </c>
      <c r="J553" s="1282">
        <f t="shared" si="34"/>
        <v>514104109.58904123</v>
      </c>
      <c r="K553" s="1282">
        <f t="shared" si="38"/>
        <v>2317139769229</v>
      </c>
      <c r="L553" s="1282">
        <f t="shared" si="39"/>
        <v>514185658559</v>
      </c>
      <c r="M553" s="1282">
        <f t="shared" si="40"/>
        <v>3699425509152</v>
      </c>
      <c r="N553" s="180"/>
      <c r="O553" s="221"/>
    </row>
    <row r="554" spans="1:15">
      <c r="A554" s="1416" t="s">
        <v>3051</v>
      </c>
      <c r="B554" s="1420" t="s">
        <v>1760</v>
      </c>
      <c r="C554" s="1279" t="s">
        <v>1515</v>
      </c>
      <c r="D554" s="1280" t="s">
        <v>58</v>
      </c>
      <c r="E554" s="1281">
        <v>1</v>
      </c>
      <c r="F554" s="1284">
        <v>500000000</v>
      </c>
      <c r="G554" s="1283">
        <v>0</v>
      </c>
      <c r="H554" s="1284">
        <f>+VLOOKUP(B554,'12 Cartera Propia AFS'!$D$8:$Q$118,12,0)</f>
        <v>514104109.58904123</v>
      </c>
      <c r="I554" s="1284">
        <f>+VLOOKUP(B554,'12 Cartera Propia AFS'!$D$8:$Q$118,13,0)</f>
        <v>0</v>
      </c>
      <c r="J554" s="1282">
        <f t="shared" si="34"/>
        <v>514104109.58904123</v>
      </c>
      <c r="K554" s="1282">
        <f t="shared" si="38"/>
        <v>2317139769229</v>
      </c>
      <c r="L554" s="1282">
        <f t="shared" si="39"/>
        <v>514185658559</v>
      </c>
      <c r="M554" s="1282">
        <f t="shared" si="40"/>
        <v>3699425509152</v>
      </c>
      <c r="N554" s="180"/>
      <c r="O554" s="221"/>
    </row>
    <row r="555" spans="1:15">
      <c r="A555" s="1416" t="s">
        <v>3051</v>
      </c>
      <c r="B555" s="1420" t="s">
        <v>1761</v>
      </c>
      <c r="C555" s="1279" t="s">
        <v>1515</v>
      </c>
      <c r="D555" s="1280" t="s">
        <v>58</v>
      </c>
      <c r="E555" s="1281">
        <v>1</v>
      </c>
      <c r="F555" s="1284">
        <v>500000000</v>
      </c>
      <c r="G555" s="1283">
        <v>0</v>
      </c>
      <c r="H555" s="1284">
        <f>+VLOOKUP(B555,'12 Cartera Propia AFS'!$D$8:$Q$118,12,0)</f>
        <v>514104109.58904123</v>
      </c>
      <c r="I555" s="1284">
        <f>+VLOOKUP(B555,'12 Cartera Propia AFS'!$D$8:$Q$118,13,0)</f>
        <v>0</v>
      </c>
      <c r="J555" s="1282">
        <f t="shared" si="34"/>
        <v>514104109.58904123</v>
      </c>
      <c r="K555" s="1282">
        <f t="shared" si="38"/>
        <v>2317139769229</v>
      </c>
      <c r="L555" s="1282">
        <f t="shared" si="39"/>
        <v>514185658559</v>
      </c>
      <c r="M555" s="1282">
        <f t="shared" si="40"/>
        <v>3699425509152</v>
      </c>
      <c r="N555" s="180"/>
      <c r="O555" s="221"/>
    </row>
    <row r="556" spans="1:15">
      <c r="A556" s="1416" t="s">
        <v>3051</v>
      </c>
      <c r="B556" s="1420" t="s">
        <v>1762</v>
      </c>
      <c r="C556" s="1279" t="s">
        <v>1515</v>
      </c>
      <c r="D556" s="1280" t="s">
        <v>58</v>
      </c>
      <c r="E556" s="1281">
        <v>1</v>
      </c>
      <c r="F556" s="1284">
        <v>200000000</v>
      </c>
      <c r="G556" s="1283">
        <v>0</v>
      </c>
      <c r="H556" s="1284">
        <f>+VLOOKUP(B556,'12 Cartera Propia AFS'!$D$8:$Q$118,12,0)</f>
        <v>205342465.7534247</v>
      </c>
      <c r="I556" s="1284">
        <f>+VLOOKUP(B556,'12 Cartera Propia AFS'!$D$8:$Q$118,13,0)</f>
        <v>0</v>
      </c>
      <c r="J556" s="1282">
        <f t="shared" si="34"/>
        <v>205342465.7534247</v>
      </c>
      <c r="K556" s="1282">
        <f t="shared" si="38"/>
        <v>2317139769229</v>
      </c>
      <c r="L556" s="1282">
        <f t="shared" si="39"/>
        <v>514185658559</v>
      </c>
      <c r="M556" s="1282">
        <f t="shared" si="40"/>
        <v>3699425509152</v>
      </c>
      <c r="N556" s="180"/>
      <c r="O556" s="221"/>
    </row>
    <row r="557" spans="1:15">
      <c r="A557" s="1416" t="s">
        <v>3051</v>
      </c>
      <c r="B557" s="1420" t="s">
        <v>1763</v>
      </c>
      <c r="C557" s="1279" t="s">
        <v>1515</v>
      </c>
      <c r="D557" s="1280" t="s">
        <v>58</v>
      </c>
      <c r="E557" s="1281">
        <v>1</v>
      </c>
      <c r="F557" s="1284">
        <v>200000000</v>
      </c>
      <c r="G557" s="1283">
        <v>0</v>
      </c>
      <c r="H557" s="1284">
        <f>+VLOOKUP(B557,'12 Cartera Propia AFS'!$D$8:$Q$118,12,0)</f>
        <v>205342465.7534247</v>
      </c>
      <c r="I557" s="1284">
        <f>+VLOOKUP(B557,'12 Cartera Propia AFS'!$D$8:$Q$118,13,0)</f>
        <v>0</v>
      </c>
      <c r="J557" s="1282">
        <f t="shared" si="34"/>
        <v>205342465.7534247</v>
      </c>
      <c r="K557" s="1282">
        <f t="shared" si="38"/>
        <v>2317139769229</v>
      </c>
      <c r="L557" s="1282">
        <f t="shared" si="39"/>
        <v>514185658559</v>
      </c>
      <c r="M557" s="1282">
        <f t="shared" si="40"/>
        <v>3699425509152</v>
      </c>
      <c r="N557" s="180"/>
      <c r="O557" s="221"/>
    </row>
    <row r="558" spans="1:15">
      <c r="A558" s="1416" t="s">
        <v>3051</v>
      </c>
      <c r="B558" s="1420" t="s">
        <v>1764</v>
      </c>
      <c r="C558" s="1279" t="s">
        <v>1515</v>
      </c>
      <c r="D558" s="1280" t="s">
        <v>58</v>
      </c>
      <c r="E558" s="1281">
        <v>1</v>
      </c>
      <c r="F558" s="1284">
        <v>200000000</v>
      </c>
      <c r="G558" s="1283">
        <v>0</v>
      </c>
      <c r="H558" s="1284">
        <f>+VLOOKUP(B558,'12 Cartera Propia AFS'!$D$8:$Q$118,12,0)</f>
        <v>205342465.7534247</v>
      </c>
      <c r="I558" s="1284">
        <f>+VLOOKUP(B558,'12 Cartera Propia AFS'!$D$8:$Q$118,13,0)</f>
        <v>0</v>
      </c>
      <c r="J558" s="1282">
        <f t="shared" si="34"/>
        <v>205342465.7534247</v>
      </c>
      <c r="K558" s="1282">
        <f t="shared" si="38"/>
        <v>2317139769229</v>
      </c>
      <c r="L558" s="1282">
        <f t="shared" si="39"/>
        <v>514185658559</v>
      </c>
      <c r="M558" s="1282">
        <f t="shared" si="40"/>
        <v>3699425509152</v>
      </c>
      <c r="N558" s="180"/>
      <c r="O558" s="221"/>
    </row>
    <row r="559" spans="1:15">
      <c r="A559" s="1416" t="s">
        <v>3051</v>
      </c>
      <c r="B559" s="1420" t="s">
        <v>1765</v>
      </c>
      <c r="C559" s="1279" t="s">
        <v>1515</v>
      </c>
      <c r="D559" s="1280" t="s">
        <v>58</v>
      </c>
      <c r="E559" s="1281">
        <v>1</v>
      </c>
      <c r="F559" s="1284">
        <v>200000000</v>
      </c>
      <c r="G559" s="1283">
        <v>0</v>
      </c>
      <c r="H559" s="1284">
        <f>+VLOOKUP(B559,'12 Cartera Propia AFS'!$D$8:$Q$118,12,0)</f>
        <v>205342465.7534247</v>
      </c>
      <c r="I559" s="1284">
        <f>+VLOOKUP(B559,'12 Cartera Propia AFS'!$D$8:$Q$118,13,0)</f>
        <v>0</v>
      </c>
      <c r="J559" s="1282">
        <f t="shared" si="34"/>
        <v>205342465.7534247</v>
      </c>
      <c r="K559" s="1282">
        <f t="shared" si="38"/>
        <v>2317139769229</v>
      </c>
      <c r="L559" s="1282">
        <f t="shared" si="39"/>
        <v>514185658559</v>
      </c>
      <c r="M559" s="1282">
        <f t="shared" si="40"/>
        <v>3699425509152</v>
      </c>
      <c r="N559" s="180"/>
      <c r="O559" s="221"/>
    </row>
    <row r="560" spans="1:15">
      <c r="A560" s="1416" t="s">
        <v>3051</v>
      </c>
      <c r="B560" s="1420" t="s">
        <v>1766</v>
      </c>
      <c r="C560" s="1279" t="s">
        <v>1515</v>
      </c>
      <c r="D560" s="1280" t="s">
        <v>58</v>
      </c>
      <c r="E560" s="1281">
        <v>1</v>
      </c>
      <c r="F560" s="1284">
        <v>200000000</v>
      </c>
      <c r="G560" s="1283">
        <v>0</v>
      </c>
      <c r="H560" s="1284">
        <f>+VLOOKUP(B560,'12 Cartera Propia AFS'!$D$8:$Q$118,12,0)</f>
        <v>205342465.7534247</v>
      </c>
      <c r="I560" s="1284">
        <f>+VLOOKUP(B560,'12 Cartera Propia AFS'!$D$8:$Q$118,13,0)</f>
        <v>0</v>
      </c>
      <c r="J560" s="1282">
        <f t="shared" si="34"/>
        <v>205342465.7534247</v>
      </c>
      <c r="K560" s="1282">
        <f t="shared" si="38"/>
        <v>2317139769229</v>
      </c>
      <c r="L560" s="1282">
        <f t="shared" si="39"/>
        <v>514185658559</v>
      </c>
      <c r="M560" s="1282">
        <f t="shared" si="40"/>
        <v>3699425509152</v>
      </c>
      <c r="N560" s="180"/>
      <c r="O560" s="221"/>
    </row>
    <row r="561" spans="1:15">
      <c r="A561" s="1416" t="s">
        <v>3051</v>
      </c>
      <c r="B561" s="1420" t="s">
        <v>1767</v>
      </c>
      <c r="C561" s="1279" t="s">
        <v>1515</v>
      </c>
      <c r="D561" s="1280" t="s">
        <v>58</v>
      </c>
      <c r="E561" s="1281">
        <v>1</v>
      </c>
      <c r="F561" s="1284">
        <v>200000000</v>
      </c>
      <c r="G561" s="1283">
        <v>0</v>
      </c>
      <c r="H561" s="1284">
        <f>+VLOOKUP(B561,'12 Cartera Propia AFS'!$D$8:$Q$118,12,0)</f>
        <v>205342465.7534247</v>
      </c>
      <c r="I561" s="1284">
        <f>+VLOOKUP(B561,'12 Cartera Propia AFS'!$D$8:$Q$118,13,0)</f>
        <v>0</v>
      </c>
      <c r="J561" s="1282">
        <f t="shared" si="34"/>
        <v>205342465.7534247</v>
      </c>
      <c r="K561" s="1282">
        <f t="shared" si="38"/>
        <v>2317139769229</v>
      </c>
      <c r="L561" s="1282">
        <f t="shared" si="39"/>
        <v>514185658559</v>
      </c>
      <c r="M561" s="1282">
        <f t="shared" si="40"/>
        <v>3699425509152</v>
      </c>
      <c r="N561" s="180"/>
      <c r="O561" s="221"/>
    </row>
    <row r="562" spans="1:15">
      <c r="A562" s="1416" t="s">
        <v>3051</v>
      </c>
      <c r="B562" s="1420" t="s">
        <v>1768</v>
      </c>
      <c r="C562" s="1279" t="s">
        <v>1515</v>
      </c>
      <c r="D562" s="1280" t="s">
        <v>58</v>
      </c>
      <c r="E562" s="1281">
        <v>1</v>
      </c>
      <c r="F562" s="1284">
        <v>200000000</v>
      </c>
      <c r="G562" s="1283">
        <v>0</v>
      </c>
      <c r="H562" s="1284">
        <f>+VLOOKUP(B562,'12 Cartera Propia AFS'!$D$8:$Q$118,12,0)</f>
        <v>205342465.7534247</v>
      </c>
      <c r="I562" s="1284">
        <f>+VLOOKUP(B562,'12 Cartera Propia AFS'!$D$8:$Q$118,13,0)</f>
        <v>0</v>
      </c>
      <c r="J562" s="1282">
        <f t="shared" si="34"/>
        <v>205342465.7534247</v>
      </c>
      <c r="K562" s="1282">
        <f t="shared" si="38"/>
        <v>2317139769229</v>
      </c>
      <c r="L562" s="1282">
        <f t="shared" si="39"/>
        <v>514185658559</v>
      </c>
      <c r="M562" s="1282">
        <f t="shared" si="40"/>
        <v>3699425509152</v>
      </c>
      <c r="N562" s="180"/>
      <c r="O562" s="221"/>
    </row>
    <row r="563" spans="1:15">
      <c r="A563" s="1416" t="s">
        <v>3051</v>
      </c>
      <c r="B563" s="1420" t="s">
        <v>1769</v>
      </c>
      <c r="C563" s="1279" t="s">
        <v>1515</v>
      </c>
      <c r="D563" s="1280" t="s">
        <v>58</v>
      </c>
      <c r="E563" s="1281">
        <v>1</v>
      </c>
      <c r="F563" s="1284">
        <v>200000000</v>
      </c>
      <c r="G563" s="1283">
        <v>0</v>
      </c>
      <c r="H563" s="1284">
        <f>+VLOOKUP(B563,'12 Cartera Propia AFS'!$D$8:$Q$118,12,0)</f>
        <v>205342465.7534247</v>
      </c>
      <c r="I563" s="1284">
        <f>+VLOOKUP(B563,'12 Cartera Propia AFS'!$D$8:$Q$118,13,0)</f>
        <v>0</v>
      </c>
      <c r="J563" s="1282">
        <f t="shared" si="34"/>
        <v>205342465.7534247</v>
      </c>
      <c r="K563" s="1282">
        <f t="shared" si="38"/>
        <v>2317139769229</v>
      </c>
      <c r="L563" s="1282">
        <f t="shared" si="39"/>
        <v>514185658559</v>
      </c>
      <c r="M563" s="1282">
        <f t="shared" si="40"/>
        <v>3699425509152</v>
      </c>
      <c r="N563" s="180"/>
      <c r="O563" s="221"/>
    </row>
    <row r="564" spans="1:15">
      <c r="A564" s="1416" t="s">
        <v>3051</v>
      </c>
      <c r="B564" s="1420" t="s">
        <v>1770</v>
      </c>
      <c r="C564" s="1279" t="s">
        <v>1515</v>
      </c>
      <c r="D564" s="1280" t="s">
        <v>58</v>
      </c>
      <c r="E564" s="1281">
        <v>1</v>
      </c>
      <c r="F564" s="1284">
        <v>200000000</v>
      </c>
      <c r="G564" s="1283">
        <v>0</v>
      </c>
      <c r="H564" s="1284">
        <f>+VLOOKUP(B564,'12 Cartera Propia AFS'!$D$8:$Q$118,12,0)</f>
        <v>205342465.7534247</v>
      </c>
      <c r="I564" s="1284">
        <f>+VLOOKUP(B564,'12 Cartera Propia AFS'!$D$8:$Q$118,13,0)</f>
        <v>0</v>
      </c>
      <c r="J564" s="1282">
        <f t="shared" si="34"/>
        <v>205342465.7534247</v>
      </c>
      <c r="K564" s="1282">
        <f t="shared" si="38"/>
        <v>2317139769229</v>
      </c>
      <c r="L564" s="1282">
        <f t="shared" si="39"/>
        <v>514185658559</v>
      </c>
      <c r="M564" s="1282">
        <f t="shared" si="40"/>
        <v>3699425509152</v>
      </c>
      <c r="N564" s="180"/>
      <c r="O564" s="221"/>
    </row>
    <row r="565" spans="1:15">
      <c r="A565" s="1416" t="s">
        <v>3051</v>
      </c>
      <c r="B565" s="1420" t="s">
        <v>1771</v>
      </c>
      <c r="C565" s="1279" t="s">
        <v>1515</v>
      </c>
      <c r="D565" s="1280" t="s">
        <v>58</v>
      </c>
      <c r="E565" s="1281">
        <v>1</v>
      </c>
      <c r="F565" s="1284">
        <v>200000000</v>
      </c>
      <c r="G565" s="1283">
        <v>0</v>
      </c>
      <c r="H565" s="1284">
        <f>+VLOOKUP(B565,'12 Cartera Propia AFS'!$D$8:$Q$118,12,0)</f>
        <v>205342465.7534247</v>
      </c>
      <c r="I565" s="1284">
        <f>+VLOOKUP(B565,'12 Cartera Propia AFS'!$D$8:$Q$118,13,0)</f>
        <v>0</v>
      </c>
      <c r="J565" s="1282">
        <f t="shared" si="34"/>
        <v>205342465.7534247</v>
      </c>
      <c r="K565" s="1282">
        <f t="shared" si="38"/>
        <v>2317139769229</v>
      </c>
      <c r="L565" s="1282">
        <f t="shared" si="39"/>
        <v>514185658559</v>
      </c>
      <c r="M565" s="1282">
        <f t="shared" si="40"/>
        <v>3699425509152</v>
      </c>
      <c r="N565" s="180"/>
      <c r="O565" s="221"/>
    </row>
    <row r="566" spans="1:15">
      <c r="A566" s="1416" t="s">
        <v>3051</v>
      </c>
      <c r="B566" s="1420" t="s">
        <v>1772</v>
      </c>
      <c r="C566" s="1279" t="s">
        <v>1515</v>
      </c>
      <c r="D566" s="1280" t="s">
        <v>58</v>
      </c>
      <c r="E566" s="1281">
        <v>1</v>
      </c>
      <c r="F566" s="1284">
        <v>200000000</v>
      </c>
      <c r="G566" s="1283">
        <v>0</v>
      </c>
      <c r="H566" s="1284">
        <f>+VLOOKUP(B566,'12 Cartera Propia AFS'!$D$8:$Q$118,12,0)</f>
        <v>205342465.7534247</v>
      </c>
      <c r="I566" s="1284">
        <f>+VLOOKUP(B566,'12 Cartera Propia AFS'!$D$8:$Q$118,13,0)</f>
        <v>0</v>
      </c>
      <c r="J566" s="1282">
        <f t="shared" si="34"/>
        <v>205342465.7534247</v>
      </c>
      <c r="K566" s="1282">
        <f t="shared" si="38"/>
        <v>2317139769229</v>
      </c>
      <c r="L566" s="1282">
        <f t="shared" si="39"/>
        <v>514185658559</v>
      </c>
      <c r="M566" s="1282">
        <f t="shared" si="40"/>
        <v>3699425509152</v>
      </c>
      <c r="N566" s="180"/>
      <c r="O566" s="221"/>
    </row>
    <row r="567" spans="1:15">
      <c r="A567" s="1416" t="s">
        <v>3051</v>
      </c>
      <c r="B567" s="1420" t="s">
        <v>1773</v>
      </c>
      <c r="C567" s="1279" t="s">
        <v>1515</v>
      </c>
      <c r="D567" s="1280" t="s">
        <v>58</v>
      </c>
      <c r="E567" s="1281">
        <v>1</v>
      </c>
      <c r="F567" s="1284">
        <v>200000000</v>
      </c>
      <c r="G567" s="1283">
        <v>0</v>
      </c>
      <c r="H567" s="1284">
        <f>+VLOOKUP(B567,'12 Cartera Propia AFS'!$D$8:$Q$118,12,0)</f>
        <v>205342465.7534247</v>
      </c>
      <c r="I567" s="1284">
        <f>+VLOOKUP(B567,'12 Cartera Propia AFS'!$D$8:$Q$118,13,0)</f>
        <v>0</v>
      </c>
      <c r="J567" s="1282">
        <f t="shared" si="34"/>
        <v>205342465.7534247</v>
      </c>
      <c r="K567" s="1282">
        <f t="shared" si="38"/>
        <v>2317139769229</v>
      </c>
      <c r="L567" s="1282">
        <f t="shared" si="39"/>
        <v>514185658559</v>
      </c>
      <c r="M567" s="1282">
        <f t="shared" si="40"/>
        <v>3699425509152</v>
      </c>
      <c r="N567" s="180"/>
      <c r="O567" s="221"/>
    </row>
    <row r="568" spans="1:15">
      <c r="A568" s="1416" t="s">
        <v>3051</v>
      </c>
      <c r="B568" s="1420" t="s">
        <v>1774</v>
      </c>
      <c r="C568" s="1279" t="s">
        <v>1515</v>
      </c>
      <c r="D568" s="1280" t="s">
        <v>58</v>
      </c>
      <c r="E568" s="1281">
        <v>1</v>
      </c>
      <c r="F568" s="1284">
        <v>200000000</v>
      </c>
      <c r="G568" s="1283">
        <v>0</v>
      </c>
      <c r="H568" s="1284">
        <f>+VLOOKUP(B568,'12 Cartera Propia AFS'!$D$8:$Q$118,12,0)</f>
        <v>205342465.7534247</v>
      </c>
      <c r="I568" s="1284">
        <f>+VLOOKUP(B568,'12 Cartera Propia AFS'!$D$8:$Q$118,13,0)</f>
        <v>0</v>
      </c>
      <c r="J568" s="1282">
        <f t="shared" si="34"/>
        <v>205342465.7534247</v>
      </c>
      <c r="K568" s="1282">
        <f t="shared" si="38"/>
        <v>2317139769229</v>
      </c>
      <c r="L568" s="1282">
        <f t="shared" si="39"/>
        <v>514185658559</v>
      </c>
      <c r="M568" s="1282">
        <f t="shared" si="40"/>
        <v>3699425509152</v>
      </c>
      <c r="N568" s="180"/>
      <c r="O568" s="221"/>
    </row>
    <row r="569" spans="1:15">
      <c r="A569" s="1416" t="s">
        <v>3055</v>
      </c>
      <c r="B569" s="1420" t="s">
        <v>1775</v>
      </c>
      <c r="C569" s="1279" t="s">
        <v>1621</v>
      </c>
      <c r="D569" s="1280" t="s">
        <v>58</v>
      </c>
      <c r="E569" s="1281">
        <v>1</v>
      </c>
      <c r="F569" s="1284">
        <v>1010000000</v>
      </c>
      <c r="G569" s="1283">
        <v>0</v>
      </c>
      <c r="H569" s="1284">
        <f>+VLOOKUP(B569,'12 Cartera Propia AFS'!$D$8:$Q$118,12,0)</f>
        <v>1010262876.7123284</v>
      </c>
      <c r="I569" s="1282">
        <f>+VLOOKUP(B569,'12 Cartera Propia AFS'!$D$8:$Q$118,13,0)</f>
        <v>-2634638.5914545199</v>
      </c>
      <c r="J569" s="1282">
        <f t="shared" si="34"/>
        <v>1007628238.1208739</v>
      </c>
      <c r="K569" s="1282">
        <f t="shared" ref="K569:K574" si="41">2597686.176711*$O$396</f>
        <v>2597686176711</v>
      </c>
      <c r="L569" s="1282">
        <f t="shared" ref="L569:L574" si="42">674886.927756*$O$396</f>
        <v>674886927756</v>
      </c>
      <c r="M569" s="1282">
        <f t="shared" ref="M569:M574" si="43">3767694.936282*$O$396</f>
        <v>3767694936282</v>
      </c>
      <c r="N569" s="180"/>
      <c r="O569" s="221"/>
    </row>
    <row r="570" spans="1:15">
      <c r="A570" s="1416" t="s">
        <v>3055</v>
      </c>
      <c r="B570" s="1420" t="s">
        <v>1776</v>
      </c>
      <c r="C570" s="1279" t="s">
        <v>1621</v>
      </c>
      <c r="D570" s="1280" t="s">
        <v>58</v>
      </c>
      <c r="E570" s="1281">
        <v>1</v>
      </c>
      <c r="F570" s="1284">
        <v>500000000</v>
      </c>
      <c r="G570" s="1283">
        <v>0</v>
      </c>
      <c r="H570" s="1284">
        <f>+VLOOKUP(B570,'12 Cartera Propia AFS'!$D$8:$Q$118,12,0)</f>
        <v>509944713.64686304</v>
      </c>
      <c r="I570" s="1284">
        <f>+VLOOKUP(B570,'12 Cartera Propia AFS'!$D$8:$Q$118,13,0)</f>
        <v>0</v>
      </c>
      <c r="J570" s="1282">
        <f t="shared" si="34"/>
        <v>509944713.64686304</v>
      </c>
      <c r="K570" s="1282">
        <f t="shared" si="41"/>
        <v>2597686176711</v>
      </c>
      <c r="L570" s="1282">
        <f t="shared" si="42"/>
        <v>674886927756</v>
      </c>
      <c r="M570" s="1282">
        <f t="shared" si="43"/>
        <v>3767694936282</v>
      </c>
      <c r="N570" s="180"/>
      <c r="O570" s="221"/>
    </row>
    <row r="571" spans="1:15">
      <c r="A571" s="1416" t="s">
        <v>3055</v>
      </c>
      <c r="B571" s="1420" t="s">
        <v>1777</v>
      </c>
      <c r="C571" s="1279" t="s">
        <v>1621</v>
      </c>
      <c r="D571" s="1280" t="s">
        <v>58</v>
      </c>
      <c r="E571" s="1281">
        <v>1</v>
      </c>
      <c r="F571" s="1284">
        <v>250000000</v>
      </c>
      <c r="G571" s="1283">
        <v>0</v>
      </c>
      <c r="H571" s="1284">
        <f>+VLOOKUP(B571,'12 Cartera Propia AFS'!$D$8:$Q$118,12,0)</f>
        <v>254972357.0507077</v>
      </c>
      <c r="I571" s="1284">
        <f>+VLOOKUP(B571,'12 Cartera Propia AFS'!$D$8:$Q$118,13,0)</f>
        <v>0</v>
      </c>
      <c r="J571" s="1282">
        <f t="shared" si="34"/>
        <v>254972357.0507077</v>
      </c>
      <c r="K571" s="1282">
        <f t="shared" si="41"/>
        <v>2597686176711</v>
      </c>
      <c r="L571" s="1282">
        <f t="shared" si="42"/>
        <v>674886927756</v>
      </c>
      <c r="M571" s="1282">
        <f t="shared" si="43"/>
        <v>3767694936282</v>
      </c>
      <c r="N571" s="180"/>
      <c r="O571" s="221"/>
    </row>
    <row r="572" spans="1:15">
      <c r="A572" s="1416" t="s">
        <v>3055</v>
      </c>
      <c r="B572" s="1420" t="s">
        <v>1778</v>
      </c>
      <c r="C572" s="1279" t="s">
        <v>1621</v>
      </c>
      <c r="D572" s="1280" t="s">
        <v>58</v>
      </c>
      <c r="E572" s="1281">
        <v>1</v>
      </c>
      <c r="F572" s="1284">
        <v>250000000</v>
      </c>
      <c r="G572" s="1283">
        <v>0</v>
      </c>
      <c r="H572" s="1284">
        <f>+VLOOKUP(B572,'12 Cartera Propia AFS'!$D$8:$Q$118,12,0)</f>
        <v>254972357.0507077</v>
      </c>
      <c r="I572" s="1284">
        <f>+VLOOKUP(B572,'12 Cartera Propia AFS'!$D$8:$Q$118,13,0)</f>
        <v>0</v>
      </c>
      <c r="J572" s="1282">
        <f t="shared" si="34"/>
        <v>254972357.0507077</v>
      </c>
      <c r="K572" s="1282">
        <f t="shared" si="41"/>
        <v>2597686176711</v>
      </c>
      <c r="L572" s="1282">
        <f t="shared" si="42"/>
        <v>674886927756</v>
      </c>
      <c r="M572" s="1282">
        <f t="shared" si="43"/>
        <v>3767694936282</v>
      </c>
      <c r="N572" s="180"/>
      <c r="O572" s="221"/>
    </row>
    <row r="573" spans="1:15">
      <c r="A573" s="1416" t="s">
        <v>3055</v>
      </c>
      <c r="B573" s="1420" t="s">
        <v>1779</v>
      </c>
      <c r="C573" s="1279" t="s">
        <v>1621</v>
      </c>
      <c r="D573" s="1280" t="s">
        <v>58</v>
      </c>
      <c r="E573" s="1281">
        <v>1</v>
      </c>
      <c r="F573" s="1284">
        <v>250000000</v>
      </c>
      <c r="G573" s="1283">
        <v>0</v>
      </c>
      <c r="H573" s="1284">
        <f>+VLOOKUP(B573,'12 Cartera Propia AFS'!$D$8:$Q$118,12,0)</f>
        <v>254972357.0507077</v>
      </c>
      <c r="I573" s="1284">
        <f>+VLOOKUP(B573,'12 Cartera Propia AFS'!$D$8:$Q$118,13,0)</f>
        <v>0</v>
      </c>
      <c r="J573" s="1282">
        <f t="shared" si="34"/>
        <v>254972357.0507077</v>
      </c>
      <c r="K573" s="1282">
        <f t="shared" si="41"/>
        <v>2597686176711</v>
      </c>
      <c r="L573" s="1282">
        <f t="shared" si="42"/>
        <v>674886927756</v>
      </c>
      <c r="M573" s="1282">
        <f t="shared" si="43"/>
        <v>3767694936282</v>
      </c>
      <c r="N573" s="180"/>
      <c r="O573" s="221"/>
    </row>
    <row r="574" spans="1:15">
      <c r="A574" s="1416" t="s">
        <v>3055</v>
      </c>
      <c r="B574" s="1420" t="s">
        <v>1780</v>
      </c>
      <c r="C574" s="1279" t="s">
        <v>1621</v>
      </c>
      <c r="D574" s="1280" t="s">
        <v>58</v>
      </c>
      <c r="E574" s="1281">
        <v>1</v>
      </c>
      <c r="F574" s="1284">
        <v>250000000</v>
      </c>
      <c r="G574" s="1283">
        <v>0</v>
      </c>
      <c r="H574" s="1284">
        <f>+VLOOKUP(B574,'12 Cartera Propia AFS'!$D$8:$Q$118,12,0)</f>
        <v>254972357.0507077</v>
      </c>
      <c r="I574" s="1284">
        <f>+VLOOKUP(B574,'12 Cartera Propia AFS'!$D$8:$Q$118,13,0)</f>
        <v>0</v>
      </c>
      <c r="J574" s="1282">
        <f t="shared" si="34"/>
        <v>254972357.0507077</v>
      </c>
      <c r="K574" s="1282">
        <f t="shared" si="41"/>
        <v>2597686176711</v>
      </c>
      <c r="L574" s="1282">
        <f t="shared" si="42"/>
        <v>674886927756</v>
      </c>
      <c r="M574" s="1282">
        <f t="shared" si="43"/>
        <v>3767694936282</v>
      </c>
      <c r="N574" s="180"/>
      <c r="O574" s="221"/>
    </row>
    <row r="575" spans="1:15">
      <c r="A575" s="1416" t="s">
        <v>3046</v>
      </c>
      <c r="B575" s="1420" t="s">
        <v>1781</v>
      </c>
      <c r="C575" s="1279" t="s">
        <v>1684</v>
      </c>
      <c r="D575" s="1280" t="s">
        <v>58</v>
      </c>
      <c r="E575" s="1281">
        <v>1</v>
      </c>
      <c r="F575" s="1284">
        <v>2000000000</v>
      </c>
      <c r="G575" s="1283">
        <v>0</v>
      </c>
      <c r="H575" s="1284">
        <f>+VLOOKUP(B575,'12 Cartera Propia AFS'!$D$8:$Q$118,12,0)</f>
        <v>2115270707.2789836</v>
      </c>
      <c r="I575" s="1284">
        <f>+VLOOKUP(B575,'12 Cartera Propia AFS'!$D$8:$Q$118,13,0)</f>
        <v>0</v>
      </c>
      <c r="J575" s="1282">
        <f t="shared" si="34"/>
        <v>2115270707.2789836</v>
      </c>
      <c r="K575" s="1282">
        <f>2772496.877765*$O$396</f>
        <v>2772496877765</v>
      </c>
      <c r="L575" s="1282">
        <f>1060227.888577*$O$396</f>
        <v>1060227888577</v>
      </c>
      <c r="M575" s="1282">
        <f>5322552.078375*$O$396</f>
        <v>5322552078375</v>
      </c>
      <c r="N575" s="180"/>
      <c r="O575" s="221"/>
    </row>
    <row r="576" spans="1:15">
      <c r="A576" s="1416" t="s">
        <v>3046</v>
      </c>
      <c r="B576" s="1420" t="s">
        <v>1685</v>
      </c>
      <c r="C576" s="1279" t="s">
        <v>1684</v>
      </c>
      <c r="D576" s="1280" t="s">
        <v>58</v>
      </c>
      <c r="E576" s="1281">
        <v>1</v>
      </c>
      <c r="F576" s="1284">
        <v>100000000</v>
      </c>
      <c r="G576" s="1283">
        <v>0</v>
      </c>
      <c r="H576" s="1284">
        <f>+VLOOKUP(B576,'12 Cartera Propia AFS'!$D$8:$Q$118,12,0)</f>
        <v>102559061.71474299</v>
      </c>
      <c r="I576" s="1284">
        <f>+VLOOKUP(B576,'12 Cartera Propia AFS'!$D$8:$Q$118,13,0)</f>
        <v>0</v>
      </c>
      <c r="J576" s="1282">
        <f t="shared" si="34"/>
        <v>102559061.71474299</v>
      </c>
      <c r="K576" s="1282">
        <f>2772496.877765*$O$396</f>
        <v>2772496877765</v>
      </c>
      <c r="L576" s="1282">
        <f>1060227.888577*$O$396</f>
        <v>1060227888577</v>
      </c>
      <c r="M576" s="1282">
        <f>5322552.078375*$O$396</f>
        <v>5322552078375</v>
      </c>
      <c r="N576" s="180"/>
      <c r="O576" s="221"/>
    </row>
    <row r="577" spans="1:15">
      <c r="A577" s="1416" t="s">
        <v>3047</v>
      </c>
      <c r="B577" s="1420" t="s">
        <v>1782</v>
      </c>
      <c r="C577" s="1279" t="s">
        <v>1688</v>
      </c>
      <c r="D577" s="1280" t="s">
        <v>58</v>
      </c>
      <c r="E577" s="1281">
        <v>1</v>
      </c>
      <c r="F577" s="1284">
        <v>250000000</v>
      </c>
      <c r="G577" s="1283">
        <v>0</v>
      </c>
      <c r="H577" s="1284">
        <f>+VLOOKUP(B577,'12 Cartera Propia AFS'!$D$8:$Q$118,12,0)</f>
        <v>257140411.09589034</v>
      </c>
      <c r="I577" s="1284">
        <f>+VLOOKUP(B577,'12 Cartera Propia AFS'!$D$8:$Q$118,13,0)</f>
        <v>0</v>
      </c>
      <c r="J577" s="1282">
        <f t="shared" si="34"/>
        <v>257140411.09589034</v>
      </c>
      <c r="K577" s="1282">
        <f>696666.67*$O$396</f>
        <v>696666670000</v>
      </c>
      <c r="L577" s="1282">
        <f>304744.009772*$O$396</f>
        <v>304744009772</v>
      </c>
      <c r="M577" s="1282">
        <f>1399821.745483*$O$396</f>
        <v>1399821745483</v>
      </c>
      <c r="N577" s="180"/>
      <c r="O577" s="221"/>
    </row>
    <row r="578" spans="1:15">
      <c r="A578" s="1416" t="s">
        <v>3047</v>
      </c>
      <c r="B578" s="1420" t="s">
        <v>1783</v>
      </c>
      <c r="C578" s="1279" t="s">
        <v>1688</v>
      </c>
      <c r="D578" s="1280" t="s">
        <v>58</v>
      </c>
      <c r="E578" s="1281">
        <v>1</v>
      </c>
      <c r="F578" s="1284">
        <v>250000000</v>
      </c>
      <c r="G578" s="1283">
        <v>0</v>
      </c>
      <c r="H578" s="1284">
        <f>+VLOOKUP(B578,'12 Cartera Propia AFS'!$D$8:$Q$118,12,0)</f>
        <v>257140411.09589034</v>
      </c>
      <c r="I578" s="1284">
        <f>+VLOOKUP(B578,'12 Cartera Propia AFS'!$D$8:$Q$118,13,0)</f>
        <v>0</v>
      </c>
      <c r="J578" s="1282">
        <f t="shared" si="34"/>
        <v>257140411.09589034</v>
      </c>
      <c r="K578" s="1282">
        <f>696666.67*$O$396</f>
        <v>696666670000</v>
      </c>
      <c r="L578" s="1282">
        <f>304744.009772*$O$396</f>
        <v>304744009772</v>
      </c>
      <c r="M578" s="1282">
        <f>1399821.745483*$O$396</f>
        <v>1399821745483</v>
      </c>
      <c r="N578" s="180"/>
      <c r="O578" s="221"/>
    </row>
    <row r="579" spans="1:15">
      <c r="A579" s="1416" t="s">
        <v>3047</v>
      </c>
      <c r="B579" s="1420" t="s">
        <v>1784</v>
      </c>
      <c r="C579" s="1279" t="s">
        <v>1688</v>
      </c>
      <c r="D579" s="1280" t="s">
        <v>58</v>
      </c>
      <c r="E579" s="1281">
        <v>1</v>
      </c>
      <c r="F579" s="1284">
        <v>200000000</v>
      </c>
      <c r="G579" s="1283">
        <v>0</v>
      </c>
      <c r="H579" s="1284">
        <f>+VLOOKUP(B579,'12 Cartera Propia AFS'!$D$8:$Q$118,12,0)</f>
        <v>200719177.75342476</v>
      </c>
      <c r="I579" s="1284">
        <f>+VLOOKUP(B579,'12 Cartera Propia AFS'!$D$8:$Q$118,13,0)</f>
        <v>0</v>
      </c>
      <c r="J579" s="1282">
        <f t="shared" ref="J579:J589" si="44">+H579+I579</f>
        <v>200719177.75342476</v>
      </c>
      <c r="K579" s="1282">
        <f>696666.67*$O$396</f>
        <v>696666670000</v>
      </c>
      <c r="L579" s="1282">
        <f>304744.009772*$O$396</f>
        <v>304744009772</v>
      </c>
      <c r="M579" s="1282">
        <f>1399821.745483*$O$396</f>
        <v>1399821745483</v>
      </c>
      <c r="N579" s="180"/>
      <c r="O579" s="221"/>
    </row>
    <row r="580" spans="1:15">
      <c r="A580" s="1416" t="s">
        <v>3049</v>
      </c>
      <c r="B580" s="1420" t="s">
        <v>2864</v>
      </c>
      <c r="C580" s="1279" t="s">
        <v>2926</v>
      </c>
      <c r="D580" s="1280" t="s">
        <v>58</v>
      </c>
      <c r="E580" s="1281">
        <v>1</v>
      </c>
      <c r="F580" s="1284">
        <v>5000000000</v>
      </c>
      <c r="G580" s="1283">
        <v>0</v>
      </c>
      <c r="H580" s="1284">
        <f>+VLOOKUP(B580,'12 Cartera Propia AFS'!$D$8:$Q$118,12,0)</f>
        <v>5236109449.8794756</v>
      </c>
      <c r="I580" s="1284">
        <f>+VLOOKUP(B580,'12 Cartera Propia AFS'!$D$8:$Q$118,13,0)</f>
        <v>0</v>
      </c>
      <c r="J580" s="1282">
        <f t="shared" si="44"/>
        <v>5236109449.8794756</v>
      </c>
      <c r="K580" s="1282">
        <f>2406780.558105*$O$396</f>
        <v>2406780558105</v>
      </c>
      <c r="L580" s="1282">
        <f>340085.289606*$O$396</f>
        <v>340085289606</v>
      </c>
      <c r="M580" s="1282">
        <f>3171025.395687*$O$396</f>
        <v>3171025395687</v>
      </c>
      <c r="N580" s="180"/>
      <c r="O580" s="221"/>
    </row>
    <row r="581" spans="1:15">
      <c r="A581" s="1416" t="s">
        <v>3049</v>
      </c>
      <c r="B581" s="1420" t="s">
        <v>2751</v>
      </c>
      <c r="C581" s="1279" t="s">
        <v>2926</v>
      </c>
      <c r="D581" s="1280" t="s">
        <v>58</v>
      </c>
      <c r="E581" s="1281">
        <v>1</v>
      </c>
      <c r="F581" s="1284">
        <v>3000000000</v>
      </c>
      <c r="G581" s="1283">
        <v>0</v>
      </c>
      <c r="H581" s="1284">
        <f>+VLOOKUP(B581,'12 Cartera Propia AFS'!$D$8:$Q$118,12,0)</f>
        <v>3152262258.9026294</v>
      </c>
      <c r="I581" s="1284">
        <f>+VLOOKUP(B581,'12 Cartera Propia AFS'!$D$8:$Q$118,13,0)</f>
        <v>0</v>
      </c>
      <c r="J581" s="1282">
        <f t="shared" si="44"/>
        <v>3152262258.9026294</v>
      </c>
      <c r="K581" s="1282">
        <f>2406780.558105*$O$396</f>
        <v>2406780558105</v>
      </c>
      <c r="L581" s="1282">
        <f>340085.289606*$O$396</f>
        <v>340085289606</v>
      </c>
      <c r="M581" s="1282">
        <f>3171025.395687*$O$396</f>
        <v>3171025395687</v>
      </c>
      <c r="N581" s="180"/>
      <c r="O581" s="221"/>
    </row>
    <row r="582" spans="1:15">
      <c r="A582" s="1416" t="s">
        <v>3051</v>
      </c>
      <c r="B582" s="1420" t="s">
        <v>2865</v>
      </c>
      <c r="C582" s="1279" t="s">
        <v>1515</v>
      </c>
      <c r="D582" s="1280" t="s">
        <v>58</v>
      </c>
      <c r="E582" s="1281">
        <v>1</v>
      </c>
      <c r="F582" s="1284">
        <v>1000000000</v>
      </c>
      <c r="G582" s="1283">
        <v>0</v>
      </c>
      <c r="H582" s="1284">
        <f>+VLOOKUP(B582,'12 Cartera Propia AFS'!$D$8:$Q$118,12,0)</f>
        <v>1061063210.3914397</v>
      </c>
      <c r="I582" s="1284">
        <f>+VLOOKUP(B582,'12 Cartera Propia AFS'!$D$8:$Q$118,13,0)</f>
        <v>0</v>
      </c>
      <c r="J582" s="1282">
        <f t="shared" si="44"/>
        <v>1061063210.3914397</v>
      </c>
      <c r="K582" s="1282">
        <f>2317139.769229*$O$396</f>
        <v>2317139769229</v>
      </c>
      <c r="L582" s="1282">
        <f>514185.658559*$O$396</f>
        <v>514185658559</v>
      </c>
      <c r="M582" s="1282">
        <f>3699425.509152*$O$396</f>
        <v>3699425509152</v>
      </c>
      <c r="N582" s="180"/>
      <c r="O582" s="221"/>
    </row>
    <row r="583" spans="1:15">
      <c r="A583" s="1416" t="s">
        <v>3051</v>
      </c>
      <c r="B583" s="1420" t="s">
        <v>2866</v>
      </c>
      <c r="C583" s="1279" t="s">
        <v>1515</v>
      </c>
      <c r="D583" s="1280" t="s">
        <v>58</v>
      </c>
      <c r="E583" s="1281">
        <v>1</v>
      </c>
      <c r="F583" s="1284">
        <v>1000000000</v>
      </c>
      <c r="G583" s="1283">
        <v>0</v>
      </c>
      <c r="H583" s="1284">
        <f>+VLOOKUP(B583,'12 Cartera Propia AFS'!$D$8:$Q$118,12,0)</f>
        <v>1061063210.3914397</v>
      </c>
      <c r="I583" s="1284">
        <f>+VLOOKUP(B583,'12 Cartera Propia AFS'!$D$8:$Q$118,13,0)</f>
        <v>0</v>
      </c>
      <c r="J583" s="1282">
        <f t="shared" si="44"/>
        <v>1061063210.3914397</v>
      </c>
      <c r="K583" s="1282">
        <f>2317139.769229*$O$396</f>
        <v>2317139769229</v>
      </c>
      <c r="L583" s="1282">
        <f>514185.658559*$O$396</f>
        <v>514185658559</v>
      </c>
      <c r="M583" s="1282">
        <f>3699425.509152*$O$396</f>
        <v>3699425509152</v>
      </c>
      <c r="N583" s="180"/>
      <c r="O583" s="221"/>
    </row>
    <row r="584" spans="1:15">
      <c r="A584" s="1416" t="s">
        <v>3051</v>
      </c>
      <c r="B584" s="1420" t="s">
        <v>2867</v>
      </c>
      <c r="C584" s="1279" t="s">
        <v>1515</v>
      </c>
      <c r="D584" s="1280" t="s">
        <v>58</v>
      </c>
      <c r="E584" s="1281">
        <v>1</v>
      </c>
      <c r="F584" s="1284">
        <v>1000000000</v>
      </c>
      <c r="G584" s="1283">
        <v>0</v>
      </c>
      <c r="H584" s="1284">
        <f>+VLOOKUP(B584,'12 Cartera Propia AFS'!$D$8:$Q$118,12,0)</f>
        <v>1061063210.3914397</v>
      </c>
      <c r="I584" s="1284">
        <f>+VLOOKUP(B584,'12 Cartera Propia AFS'!$D$8:$Q$118,13,0)</f>
        <v>0</v>
      </c>
      <c r="J584" s="1282">
        <f t="shared" si="44"/>
        <v>1061063210.3914397</v>
      </c>
      <c r="K584" s="1282">
        <f>2317139.769229*$O$396</f>
        <v>2317139769229</v>
      </c>
      <c r="L584" s="1282">
        <f>514185.658559*$O$396</f>
        <v>514185658559</v>
      </c>
      <c r="M584" s="1282">
        <f>3699425.509152*$O$396</f>
        <v>3699425509152</v>
      </c>
      <c r="N584" s="180"/>
      <c r="O584" s="221"/>
    </row>
    <row r="585" spans="1:15">
      <c r="A585" s="1416" t="s">
        <v>3051</v>
      </c>
      <c r="B585" s="1420" t="s">
        <v>2868</v>
      </c>
      <c r="C585" s="1279" t="s">
        <v>1515</v>
      </c>
      <c r="D585" s="1280" t="s">
        <v>58</v>
      </c>
      <c r="E585" s="1281">
        <v>1</v>
      </c>
      <c r="F585" s="1284">
        <v>1000000000</v>
      </c>
      <c r="G585" s="1283">
        <v>0</v>
      </c>
      <c r="H585" s="1284">
        <f>+VLOOKUP(B585,'12 Cartera Propia AFS'!$D$8:$Q$118,12,0)</f>
        <v>1061063210.3914397</v>
      </c>
      <c r="I585" s="1284">
        <f>+VLOOKUP(B585,'12 Cartera Propia AFS'!$D$8:$Q$118,13,0)</f>
        <v>0</v>
      </c>
      <c r="J585" s="1282">
        <f t="shared" si="44"/>
        <v>1061063210.3914397</v>
      </c>
      <c r="K585" s="1282">
        <f>2317139.769229*$O$396</f>
        <v>2317139769229</v>
      </c>
      <c r="L585" s="1282">
        <f>514185.658559*$O$396</f>
        <v>514185658559</v>
      </c>
      <c r="M585" s="1282">
        <f>3699425.509152*$O$396</f>
        <v>3699425509152</v>
      </c>
      <c r="N585" s="180"/>
      <c r="O585" s="221"/>
    </row>
    <row r="586" spans="1:15">
      <c r="A586" s="1416" t="s">
        <v>3051</v>
      </c>
      <c r="B586" s="1420" t="s">
        <v>2869</v>
      </c>
      <c r="C586" s="1279" t="s">
        <v>1515</v>
      </c>
      <c r="D586" s="1280" t="s">
        <v>58</v>
      </c>
      <c r="E586" s="1281">
        <v>1</v>
      </c>
      <c r="F586" s="1284">
        <v>1000000000</v>
      </c>
      <c r="G586" s="1283">
        <v>0</v>
      </c>
      <c r="H586" s="1284">
        <f>+VLOOKUP(B586,'12 Cartera Propia AFS'!$D$8:$Q$118,12,0)</f>
        <v>1061063210.3914397</v>
      </c>
      <c r="I586" s="1284">
        <f>+VLOOKUP(B586,'12 Cartera Propia AFS'!$D$8:$Q$118,13,0)</f>
        <v>0</v>
      </c>
      <c r="J586" s="1282">
        <f t="shared" si="44"/>
        <v>1061063210.3914397</v>
      </c>
      <c r="K586" s="1282">
        <f>2317139.769229*$O$396</f>
        <v>2317139769229</v>
      </c>
      <c r="L586" s="1282">
        <f>514185.658559*$O$396</f>
        <v>514185658559</v>
      </c>
      <c r="M586" s="1282">
        <f>3699425.509152*$O$396</f>
        <v>3699425509152</v>
      </c>
      <c r="N586" s="180"/>
      <c r="O586" s="221"/>
    </row>
    <row r="587" spans="1:15">
      <c r="A587" s="1416" t="s">
        <v>3050</v>
      </c>
      <c r="B587" s="1420" t="s">
        <v>2752</v>
      </c>
      <c r="C587" s="1279" t="s">
        <v>1600</v>
      </c>
      <c r="D587" s="1280" t="s">
        <v>2973</v>
      </c>
      <c r="E587" s="1281">
        <v>1</v>
      </c>
      <c r="F587" s="1284">
        <v>1000000000</v>
      </c>
      <c r="G587" s="1283">
        <v>0</v>
      </c>
      <c r="H587" s="1284">
        <f>+VLOOKUP(B587,'12 Cartera Propia AFS'!$D$8:$Q$118,12,0)</f>
        <v>1001239452.0547948</v>
      </c>
      <c r="I587" s="1282">
        <f>+VLOOKUP(B587,'12 Cartera Propia AFS'!$D$8:$Q$118,13,0)</f>
        <v>-20043236.388392199</v>
      </c>
      <c r="J587" s="1282">
        <f t="shared" si="44"/>
        <v>981196215.66640258</v>
      </c>
      <c r="K587" s="1282">
        <f>1133000*$O$396</f>
        <v>1133000000000</v>
      </c>
      <c r="L587" s="1282">
        <f>1275405.268927*$O$396</f>
        <v>1275405268927</v>
      </c>
      <c r="M587" s="1282">
        <f>5827383.065736*$O$396</f>
        <v>5827383065736</v>
      </c>
      <c r="N587" s="180"/>
      <c r="O587" s="221"/>
    </row>
    <row r="588" spans="1:15">
      <c r="A588" s="1416" t="s">
        <v>3041</v>
      </c>
      <c r="B588" s="1420" t="s">
        <v>1697</v>
      </c>
      <c r="C588" s="1279" t="s">
        <v>1600</v>
      </c>
      <c r="D588" s="1280" t="s">
        <v>2975</v>
      </c>
      <c r="E588" s="1281">
        <v>355</v>
      </c>
      <c r="F588" s="1284">
        <v>1000000</v>
      </c>
      <c r="G588" s="1283">
        <v>0</v>
      </c>
      <c r="H588" s="1284">
        <f>+VLOOKUP(B588,'12 Cartera Propia AFS'!$D$8:$Q$118,12,0)</f>
        <v>357691678</v>
      </c>
      <c r="I588" s="1282">
        <f>+VLOOKUP(B588,'12 Cartera Propia AFS'!$D$8:$Q$118,13,0)</f>
        <v>-20691170</v>
      </c>
      <c r="J588" s="1282">
        <f t="shared" si="44"/>
        <v>337000508</v>
      </c>
      <c r="K588" s="1282">
        <f>1133000*$O$396</f>
        <v>1133000000000</v>
      </c>
      <c r="L588" s="1282">
        <f>1275405.268927*$O$396</f>
        <v>1275405268927</v>
      </c>
      <c r="M588" s="1282">
        <f>5827383.065736*$O$396</f>
        <v>5827383065736</v>
      </c>
      <c r="N588" s="180"/>
      <c r="O588" s="221"/>
    </row>
    <row r="589" spans="1:15">
      <c r="A589" s="1418" t="s">
        <v>3036</v>
      </c>
      <c r="B589" s="1420" t="s">
        <v>2871</v>
      </c>
      <c r="C589" s="1279" t="s">
        <v>1616</v>
      </c>
      <c r="D589" s="1280" t="s">
        <v>62</v>
      </c>
      <c r="E589" s="1281">
        <v>1500</v>
      </c>
      <c r="F589" s="1284">
        <v>1000000</v>
      </c>
      <c r="G589" s="1283">
        <v>0</v>
      </c>
      <c r="H589" s="1284">
        <f>+VLOOKUP(B589,'12 Cartera Propia AFS'!$D$8:$Q$118,12,0)</f>
        <v>1504487671.232877</v>
      </c>
      <c r="I589" s="1284">
        <f>+VLOOKUP(B589,'12 Cartera Propia AFS'!$D$8:$Q$118,13,0)</f>
        <v>0</v>
      </c>
      <c r="J589" s="1282">
        <f t="shared" si="44"/>
        <v>1504487671.232877</v>
      </c>
      <c r="K589" s="1282">
        <f t="shared" ref="K589" si="45">327245*$O$396</f>
        <v>327245000000</v>
      </c>
      <c r="L589" s="1282">
        <f t="shared" ref="L589" si="46">134308*$O$396</f>
        <v>134308000000</v>
      </c>
      <c r="M589" s="1282">
        <f t="shared" ref="M589" si="47">829026*$O$396</f>
        <v>829026000000</v>
      </c>
      <c r="N589" s="180"/>
      <c r="O589" s="221"/>
    </row>
    <row r="590" spans="1:15" ht="16.2" thickBot="1">
      <c r="A590" s="1416"/>
      <c r="B590" s="1420"/>
      <c r="C590" s="509" t="s">
        <v>106</v>
      </c>
      <c r="D590" s="508"/>
      <c r="E590" s="504"/>
      <c r="F590" s="513"/>
      <c r="G590" s="513"/>
      <c r="H590" s="514"/>
      <c r="I590" s="514"/>
      <c r="J590" s="514"/>
      <c r="K590" s="514"/>
      <c r="L590" s="514"/>
      <c r="M590" s="515"/>
      <c r="N590" s="180"/>
      <c r="O590" s="218"/>
    </row>
    <row r="591" spans="1:15" ht="16.2">
      <c r="A591" s="1422"/>
      <c r="B591" s="1422"/>
      <c r="C591" s="704" t="s">
        <v>1804</v>
      </c>
      <c r="D591" s="705"/>
      <c r="E591" s="706"/>
      <c r="F591" s="706"/>
      <c r="G591" s="581"/>
      <c r="H591" s="1300">
        <v>0</v>
      </c>
      <c r="I591" s="1300">
        <f>+Composición!G390</f>
        <v>0</v>
      </c>
      <c r="J591" s="1300">
        <f>+Composición!H390</f>
        <v>0</v>
      </c>
      <c r="K591" s="884"/>
      <c r="L591" s="708"/>
      <c r="M591" s="707"/>
      <c r="N591" s="220"/>
      <c r="O591" s="571"/>
    </row>
    <row r="592" spans="1:15" ht="16.2" thickBot="1">
      <c r="A592" s="1416"/>
      <c r="B592" s="1416"/>
      <c r="C592" s="529"/>
      <c r="D592" s="507"/>
      <c r="E592" s="230"/>
      <c r="F592" s="510"/>
      <c r="G592" s="883"/>
      <c r="H592" s="694"/>
      <c r="I592" s="694"/>
      <c r="J592" s="694"/>
      <c r="K592" s="716"/>
      <c r="L592" s="510"/>
      <c r="M592" s="510"/>
      <c r="N592" s="180"/>
      <c r="O592" s="218"/>
    </row>
    <row r="593" spans="1:15" ht="16.2" thickBot="1">
      <c r="A593" s="1416"/>
      <c r="B593" s="1416"/>
      <c r="C593" s="509" t="s">
        <v>1805</v>
      </c>
      <c r="D593" s="508"/>
      <c r="E593" s="504"/>
      <c r="F593" s="513"/>
      <c r="G593" s="513"/>
      <c r="H593" s="514"/>
      <c r="I593" s="514"/>
      <c r="J593" s="514"/>
      <c r="K593" s="514"/>
      <c r="L593" s="514"/>
      <c r="M593" s="515"/>
      <c r="N593" s="180"/>
      <c r="O593" s="218"/>
    </row>
    <row r="594" spans="1:15">
      <c r="A594" s="1422"/>
      <c r="B594" s="1422"/>
      <c r="C594" s="704" t="s">
        <v>1804</v>
      </c>
      <c r="D594" s="705"/>
      <c r="E594" s="706"/>
      <c r="F594" s="706"/>
      <c r="G594" s="706"/>
      <c r="H594" s="1401">
        <f>+Composición!G414</f>
        <v>-693820112</v>
      </c>
      <c r="I594" s="1402">
        <v>0</v>
      </c>
      <c r="J594" s="1402">
        <v>0</v>
      </c>
      <c r="K594" s="575"/>
      <c r="L594" s="1403"/>
      <c r="M594" s="1403"/>
      <c r="N594" s="1186" t="s">
        <v>1806</v>
      </c>
      <c r="O594" s="1186" t="s">
        <v>1806</v>
      </c>
    </row>
    <row r="595" spans="1:15" ht="16.2" thickBot="1">
      <c r="A595" s="1416"/>
      <c r="B595" s="1416"/>
      <c r="C595" s="529"/>
      <c r="D595" s="507"/>
      <c r="E595" s="230"/>
      <c r="F595" s="230"/>
      <c r="G595" s="230"/>
      <c r="H595" s="230"/>
      <c r="I595" s="230"/>
      <c r="J595" s="230"/>
      <c r="K595" s="575"/>
      <c r="L595" s="180"/>
      <c r="M595" s="180"/>
      <c r="N595" s="1186"/>
      <c r="O595" s="1187"/>
    </row>
    <row r="596" spans="1:15" ht="16.2" thickBot="1">
      <c r="A596" s="1416"/>
      <c r="B596" s="1416"/>
      <c r="C596" s="178" t="s">
        <v>3012</v>
      </c>
      <c r="D596" s="498"/>
      <c r="E596" s="499"/>
      <c r="F596" s="499"/>
      <c r="G596" s="499"/>
      <c r="H596" s="1068">
        <f>+SUM(H397:H595)</f>
        <v>102048589310.48645</v>
      </c>
      <c r="I596" s="1185">
        <f>+SUM(I397:I595)</f>
        <v>-188590042.98087174</v>
      </c>
      <c r="J596" s="1068">
        <f>+H596+I596</f>
        <v>101859999267.50558</v>
      </c>
      <c r="K596" s="1069">
        <f>+H596-'Balance General'!D13</f>
        <v>0.4864501953125</v>
      </c>
      <c r="L596" s="1069">
        <f>+I596+'Balance General'!H11</f>
        <v>1.9128262996673584E-2</v>
      </c>
      <c r="M596" s="859">
        <f>+K596+L596</f>
        <v>0.50557845830917358</v>
      </c>
      <c r="N596" s="1188">
        <f>+SUM(H516:H589)</f>
        <v>35324468527.774185</v>
      </c>
      <c r="O596" s="1188">
        <f>+SUM(I516:I589)</f>
        <v>-62769656.877475418</v>
      </c>
    </row>
    <row r="597" spans="1:15" ht="16.8" thickTop="1" thickBot="1">
      <c r="A597" s="1416"/>
      <c r="B597" s="1416"/>
      <c r="C597" s="178" t="s">
        <v>1807</v>
      </c>
      <c r="D597" s="498"/>
      <c r="E597" s="473"/>
      <c r="F597" s="473"/>
      <c r="G597" s="473"/>
      <c r="H597" s="587">
        <v>63099029614</v>
      </c>
      <c r="I597" s="1184">
        <v>-680741973</v>
      </c>
      <c r="J597" s="587">
        <v>62418287641</v>
      </c>
      <c r="K597" s="1069">
        <f>+J597-'Balance General'!E13+'Balance General'!I11</f>
        <v>0</v>
      </c>
      <c r="L597" s="1070">
        <f>+I597+'Balance General'!I11</f>
        <v>0</v>
      </c>
      <c r="M597" s="180"/>
      <c r="N597" s="1186">
        <f>+'12 Cartera Propia AFS'!O103</f>
        <v>38002750089.774185</v>
      </c>
      <c r="O597" s="1188">
        <f>+'12 Cartera Propia AFS'!P103</f>
        <v>-62769656.877475411</v>
      </c>
    </row>
    <row r="598" spans="1:15">
      <c r="A598" s="1416"/>
      <c r="B598" s="1416"/>
      <c r="C598" s="585" t="s">
        <v>1370</v>
      </c>
      <c r="D598" s="460"/>
      <c r="E598" s="381"/>
      <c r="F598" s="381"/>
      <c r="G598" s="381"/>
      <c r="H598" s="582"/>
      <c r="I598" s="582"/>
      <c r="J598" s="582"/>
      <c r="K598" s="584"/>
      <c r="L598" s="180"/>
      <c r="M598" s="180"/>
      <c r="N598" s="1186">
        <f>+N596-N597</f>
        <v>-2678281562</v>
      </c>
      <c r="O598" s="1189">
        <f>+O596-O597</f>
        <v>0</v>
      </c>
    </row>
    <row r="599" spans="1:15">
      <c r="A599" s="1416"/>
      <c r="B599" s="1416"/>
      <c r="C599" s="171"/>
      <c r="D599" s="460"/>
      <c r="E599" s="381"/>
      <c r="F599" s="381"/>
      <c r="G599" s="381"/>
      <c r="H599" s="582"/>
      <c r="I599" s="582"/>
      <c r="J599" s="582"/>
      <c r="K599" s="583"/>
      <c r="L599" s="576"/>
      <c r="M599" s="575"/>
      <c r="N599" s="858"/>
      <c r="O599" s="1190"/>
    </row>
    <row r="600" spans="1:15" ht="16.2" thickBot="1">
      <c r="A600" s="1423"/>
      <c r="B600" s="1423"/>
      <c r="C600" s="503" t="s">
        <v>172</v>
      </c>
      <c r="D600" s="574"/>
      <c r="E600" s="574"/>
      <c r="F600" s="574"/>
      <c r="G600" s="574"/>
      <c r="H600" s="574"/>
      <c r="I600" s="574"/>
      <c r="J600" s="574"/>
      <c r="K600" s="575"/>
      <c r="L600" s="576"/>
      <c r="M600" s="575"/>
      <c r="N600" s="577"/>
      <c r="O600" s="578"/>
    </row>
    <row r="601" spans="1:15">
      <c r="A601" s="1423"/>
      <c r="B601" s="1423"/>
      <c r="C601" s="173" t="s">
        <v>3118</v>
      </c>
      <c r="D601" s="1286" t="s">
        <v>415</v>
      </c>
      <c r="E601" s="1287">
        <v>1</v>
      </c>
      <c r="F601" s="1288">
        <v>600000000</v>
      </c>
      <c r="G601" s="1289">
        <v>0</v>
      </c>
      <c r="H601" s="1290">
        <f>+'12 Cartera Propia'!Q153</f>
        <v>1003000000.4</v>
      </c>
      <c r="I601" s="1289">
        <f>+'12 Cartera Propia'!R153</f>
        <v>0</v>
      </c>
      <c r="J601" s="1290">
        <f>+H601+I601</f>
        <v>1003000000.4</v>
      </c>
      <c r="K601" s="575"/>
      <c r="L601" s="579"/>
      <c r="M601" s="577"/>
      <c r="N601" s="577"/>
      <c r="O601" s="580"/>
    </row>
    <row r="602" spans="1:15">
      <c r="A602" s="1423"/>
      <c r="B602" s="1423"/>
      <c r="C602" s="1291" t="s">
        <v>1515</v>
      </c>
      <c r="D602" s="1280" t="s">
        <v>58</v>
      </c>
      <c r="E602" s="1292">
        <v>1</v>
      </c>
      <c r="F602" s="1293">
        <v>200000000</v>
      </c>
      <c r="G602" s="1294">
        <v>0</v>
      </c>
      <c r="H602" s="1295">
        <f>+'12 Cartera Propia'!Q144</f>
        <v>210273971.630137</v>
      </c>
      <c r="I602" s="1294">
        <f>+'12 Cartera Propia'!R144</f>
        <v>0</v>
      </c>
      <c r="J602" s="1295">
        <f>+H602+I602</f>
        <v>210273971.630137</v>
      </c>
      <c r="K602" s="575"/>
      <c r="L602" s="579"/>
      <c r="M602" s="577"/>
      <c r="N602" s="577"/>
      <c r="O602" s="580"/>
    </row>
    <row r="603" spans="1:15">
      <c r="A603" s="1423"/>
      <c r="B603" s="1423"/>
      <c r="C603" s="1291" t="s">
        <v>1515</v>
      </c>
      <c r="D603" s="1280" t="s">
        <v>58</v>
      </c>
      <c r="E603" s="1292">
        <v>1</v>
      </c>
      <c r="F603" s="1293">
        <v>500000000</v>
      </c>
      <c r="G603" s="1294">
        <v>0</v>
      </c>
      <c r="H603" s="1295">
        <f>+'12 Cartera Propia'!Q145</f>
        <v>525684931.575342</v>
      </c>
      <c r="I603" s="1294">
        <f>+'12 Cartera Propia'!R145</f>
        <v>0</v>
      </c>
      <c r="J603" s="1295">
        <f>+H603+I603</f>
        <v>525684931.575342</v>
      </c>
      <c r="K603" s="575"/>
      <c r="L603" s="579"/>
      <c r="M603" s="577"/>
      <c r="N603" s="577"/>
      <c r="O603" s="580"/>
    </row>
    <row r="604" spans="1:15" ht="16.2" thickBot="1">
      <c r="A604" s="1416"/>
      <c r="B604" s="1416"/>
      <c r="C604" s="529"/>
      <c r="D604" s="507"/>
      <c r="E604" s="570"/>
      <c r="F604" s="230"/>
      <c r="G604" s="570"/>
      <c r="H604" s="230"/>
      <c r="I604" s="1093"/>
      <c r="J604" s="230"/>
      <c r="K604" s="575"/>
      <c r="L604" s="576"/>
      <c r="M604" s="575"/>
      <c r="N604" s="180"/>
      <c r="O604" s="218"/>
    </row>
    <row r="605" spans="1:15" ht="16.2" thickBot="1">
      <c r="A605" s="1416"/>
      <c r="B605" s="1416"/>
      <c r="C605" s="178" t="s">
        <v>3012</v>
      </c>
      <c r="D605" s="498"/>
      <c r="E605" s="499"/>
      <c r="F605" s="499"/>
      <c r="G605" s="499"/>
      <c r="H605" s="620">
        <f>+SUM(H601:H604)</f>
        <v>1738958903.605479</v>
      </c>
      <c r="I605" s="620">
        <f>+SUM(I601:I604)</f>
        <v>0</v>
      </c>
      <c r="J605" s="620">
        <f>+SUM(J601:J604)</f>
        <v>1738958903.605479</v>
      </c>
      <c r="K605" s="584">
        <f>+H605-'Balance General'!D28</f>
        <v>-0.39452099800109863</v>
      </c>
      <c r="L605" s="576"/>
      <c r="M605" s="575"/>
      <c r="N605" s="180"/>
      <c r="O605" s="218"/>
    </row>
    <row r="606" spans="1:15" ht="16.8" thickTop="1" thickBot="1">
      <c r="A606" s="1416"/>
      <c r="B606" s="1416"/>
      <c r="C606" s="178" t="s">
        <v>1438</v>
      </c>
      <c r="D606" s="498"/>
      <c r="E606" s="473"/>
      <c r="F606" s="473"/>
      <c r="G606" s="473"/>
      <c r="H606" s="587">
        <v>1668742466</v>
      </c>
      <c r="I606" s="587">
        <v>0</v>
      </c>
      <c r="J606" s="620">
        <f>+SUM(H606:I606)</f>
        <v>1668742466</v>
      </c>
      <c r="K606" s="584">
        <f>+H606-'Balance General'!E28</f>
        <v>0</v>
      </c>
      <c r="L606" s="576"/>
      <c r="M606" s="575"/>
      <c r="N606" s="180"/>
      <c r="O606" s="216"/>
    </row>
    <row r="607" spans="1:15">
      <c r="A607" s="1416"/>
      <c r="B607" s="1416"/>
      <c r="C607" s="854"/>
      <c r="D607" s="180"/>
      <c r="E607" s="180"/>
      <c r="F607" s="180"/>
      <c r="G607" s="180"/>
      <c r="H607" s="180"/>
      <c r="I607" s="180"/>
      <c r="J607" s="180"/>
      <c r="K607" s="246"/>
      <c r="L607" s="180"/>
      <c r="M607" s="180"/>
      <c r="N607" s="180"/>
      <c r="O607" s="216"/>
    </row>
    <row r="608" spans="1:15">
      <c r="A608" s="1416"/>
      <c r="B608" s="1416"/>
      <c r="C608" s="854"/>
      <c r="D608" s="180"/>
      <c r="E608" s="180"/>
      <c r="F608" s="180"/>
      <c r="G608" s="180"/>
      <c r="H608" s="180"/>
      <c r="I608" s="180"/>
      <c r="J608" s="180"/>
      <c r="K608" s="180"/>
      <c r="L608" s="180"/>
      <c r="M608" s="180"/>
      <c r="N608" s="180"/>
      <c r="O608" s="216"/>
    </row>
    <row r="609" spans="1:15" ht="15.6" customHeight="1">
      <c r="A609" s="1416"/>
      <c r="B609" s="1416"/>
      <c r="C609" s="1564" t="s">
        <v>3013</v>
      </c>
      <c r="D609" s="1564"/>
      <c r="E609" s="1564"/>
      <c r="F609" s="1564"/>
      <c r="G609" s="1564"/>
      <c r="H609" s="1564"/>
      <c r="I609" s="1564"/>
      <c r="J609" s="1028"/>
      <c r="K609" s="180"/>
      <c r="L609" s="180"/>
      <c r="M609" s="180"/>
      <c r="N609" s="180"/>
      <c r="O609" s="216"/>
    </row>
    <row r="610" spans="1:15" ht="16.2" thickBot="1">
      <c r="A610" s="1416"/>
      <c r="B610" s="1416"/>
      <c r="C610" s="854"/>
      <c r="D610" s="180"/>
      <c r="E610" s="180"/>
      <c r="F610" s="180"/>
      <c r="G610" s="180"/>
      <c r="H610" s="180"/>
      <c r="I610" s="180"/>
      <c r="J610" s="180"/>
      <c r="K610" s="180"/>
      <c r="L610" s="180"/>
      <c r="M610" s="180"/>
      <c r="N610" s="180"/>
      <c r="O610" s="216"/>
    </row>
    <row r="611" spans="1:15" ht="47.4" thickBot="1">
      <c r="A611" s="1416"/>
      <c r="B611" s="1416"/>
      <c r="C611" s="1565" t="s">
        <v>1304</v>
      </c>
      <c r="D611" s="522" t="s">
        <v>1808</v>
      </c>
      <c r="E611" s="527" t="s">
        <v>1798</v>
      </c>
      <c r="F611" s="1566" t="s">
        <v>1809</v>
      </c>
      <c r="G611" s="1567"/>
      <c r="H611" s="572" t="s">
        <v>1810</v>
      </c>
      <c r="I611" s="572" t="s">
        <v>1810</v>
      </c>
      <c r="J611" s="180"/>
      <c r="K611" s="180"/>
      <c r="L611" s="180"/>
      <c r="M611" s="180"/>
      <c r="N611" s="180"/>
      <c r="O611" s="216"/>
    </row>
    <row r="612" spans="1:15" ht="16.2" thickBot="1">
      <c r="A612" s="1416"/>
      <c r="B612" s="1416"/>
      <c r="C612" s="1565"/>
      <c r="D612" s="530" t="s">
        <v>1454</v>
      </c>
      <c r="E612" s="283" t="s">
        <v>1454</v>
      </c>
      <c r="F612" s="500" t="s">
        <v>1454</v>
      </c>
      <c r="G612" s="500" t="s">
        <v>640</v>
      </c>
      <c r="H612" s="573" t="s">
        <v>1454</v>
      </c>
      <c r="I612" s="573" t="s">
        <v>1454</v>
      </c>
      <c r="J612" s="180"/>
      <c r="K612" s="180"/>
      <c r="L612" s="180"/>
      <c r="M612" s="180"/>
      <c r="N612" s="180"/>
      <c r="O612" s="216"/>
    </row>
    <row r="613" spans="1:15" ht="16.2" thickBot="1">
      <c r="A613" s="1416"/>
      <c r="B613" s="1416"/>
      <c r="C613" s="683" t="s">
        <v>48</v>
      </c>
      <c r="D613" s="684"/>
      <c r="E613" s="685"/>
      <c r="F613" s="684"/>
      <c r="G613" s="684"/>
      <c r="H613" s="686"/>
      <c r="I613" s="686"/>
      <c r="J613" s="180"/>
      <c r="K613" s="180"/>
      <c r="L613" s="180"/>
      <c r="M613" s="180"/>
      <c r="N613" s="180"/>
      <c r="O613" s="218"/>
    </row>
    <row r="614" spans="1:15">
      <c r="A614" s="1416" t="s">
        <v>2947</v>
      </c>
      <c r="B614" s="1416" t="s">
        <v>415</v>
      </c>
      <c r="C614" s="1279" t="s">
        <v>1634</v>
      </c>
      <c r="D614" s="1342">
        <f>+VLOOKUP(A614,'Costeo de Títulos'!C:L,10,0)</f>
        <v>1288007680</v>
      </c>
      <c r="E614" s="1343">
        <f>+J397</f>
        <v>1249280000</v>
      </c>
      <c r="F614" s="1284">
        <f>+F397</f>
        <v>1000</v>
      </c>
      <c r="G614" s="1344">
        <f>+G397</f>
        <v>0</v>
      </c>
      <c r="H614" s="1284">
        <v>0</v>
      </c>
      <c r="I614" s="1284">
        <v>0</v>
      </c>
      <c r="J614" s="180"/>
      <c r="K614" s="180"/>
      <c r="L614" s="180"/>
      <c r="M614" s="180"/>
      <c r="N614" s="180"/>
      <c r="O614" s="218"/>
    </row>
    <row r="615" spans="1:15">
      <c r="A615" s="1416" t="s">
        <v>2718</v>
      </c>
      <c r="B615" s="1416" t="s">
        <v>1671</v>
      </c>
      <c r="C615" s="1279" t="s">
        <v>2741</v>
      </c>
      <c r="D615" s="1345">
        <f>+'Costeo de Títulos'!L4</f>
        <v>1013430000</v>
      </c>
      <c r="E615" s="1343">
        <f t="shared" ref="E615:E678" si="48">+J400</f>
        <v>998781806.84592485</v>
      </c>
      <c r="F615" s="1284">
        <f t="shared" ref="F615:G615" si="49">+F400</f>
        <v>1000000</v>
      </c>
      <c r="G615" s="1344">
        <f t="shared" si="49"/>
        <v>0</v>
      </c>
      <c r="H615" s="1284">
        <v>0</v>
      </c>
      <c r="I615" s="1284">
        <v>0</v>
      </c>
      <c r="J615" s="180"/>
      <c r="K615" s="180"/>
      <c r="L615" s="180"/>
      <c r="M615" s="180"/>
      <c r="N615" s="180"/>
      <c r="O615" s="218"/>
    </row>
    <row r="616" spans="1:15">
      <c r="A616" s="1416" t="s">
        <v>1729</v>
      </c>
      <c r="B616" s="1416" t="s">
        <v>1671</v>
      </c>
      <c r="C616" s="1279" t="s">
        <v>1609</v>
      </c>
      <c r="D616" s="1345">
        <f>+VLOOKUP(A616,'Costeo de Títulos'!C:L,10,0)</f>
        <v>5146500000</v>
      </c>
      <c r="E616" s="1343">
        <f t="shared" si="48"/>
        <v>5159294105.4379406</v>
      </c>
      <c r="F616" s="1284">
        <f t="shared" ref="F616:G616" si="50">+F401</f>
        <v>1000000</v>
      </c>
      <c r="G616" s="1344">
        <f t="shared" si="50"/>
        <v>0</v>
      </c>
      <c r="H616" s="1284">
        <v>0</v>
      </c>
      <c r="I616" s="1284">
        <v>0</v>
      </c>
      <c r="J616" s="180"/>
      <c r="K616" s="180"/>
      <c r="L616" s="180"/>
      <c r="M616" s="180"/>
      <c r="N616" s="180"/>
      <c r="O616" s="218"/>
    </row>
    <row r="617" spans="1:15">
      <c r="A617" s="1416" t="s">
        <v>2719</v>
      </c>
      <c r="B617" s="1416" t="s">
        <v>58</v>
      </c>
      <c r="C617" s="1279" t="s">
        <v>1684</v>
      </c>
      <c r="D617" s="1345">
        <f>+VLOOKUP(A617,'Costeo de Títulos'!C:L,10,0)</f>
        <v>50017789</v>
      </c>
      <c r="E617" s="1343">
        <f t="shared" si="48"/>
        <v>50150884.27715265</v>
      </c>
      <c r="F617" s="1284">
        <f t="shared" ref="F617:G617" si="51">+F402</f>
        <v>50000000</v>
      </c>
      <c r="G617" s="1344">
        <f t="shared" si="51"/>
        <v>0</v>
      </c>
      <c r="H617" s="1284">
        <v>0</v>
      </c>
      <c r="I617" s="1284">
        <v>0</v>
      </c>
      <c r="J617" s="180"/>
      <c r="K617" s="180"/>
      <c r="L617" s="180"/>
      <c r="M617" s="180"/>
      <c r="N617" s="180"/>
      <c r="O617" s="218"/>
    </row>
    <row r="618" spans="1:15">
      <c r="A618" s="1416" t="s">
        <v>2720</v>
      </c>
      <c r="B618" s="1416" t="s">
        <v>58</v>
      </c>
      <c r="C618" s="1279" t="s">
        <v>1684</v>
      </c>
      <c r="D618" s="1345">
        <f>+VLOOKUP(A618,'Costeo de Títulos'!C:L,10,0)</f>
        <v>99178830</v>
      </c>
      <c r="E618" s="1343">
        <f t="shared" si="48"/>
        <v>99649988.981942728</v>
      </c>
      <c r="F618" s="1284">
        <f t="shared" ref="F618:G618" si="52">+F403</f>
        <v>100000000</v>
      </c>
      <c r="G618" s="1344">
        <f t="shared" si="52"/>
        <v>0</v>
      </c>
      <c r="H618" s="1284">
        <v>0</v>
      </c>
      <c r="I618" s="1284">
        <v>0</v>
      </c>
      <c r="J618" s="180"/>
      <c r="K618" s="180"/>
      <c r="L618" s="180"/>
      <c r="M618" s="180"/>
      <c r="N618" s="180"/>
      <c r="O618" s="218"/>
    </row>
    <row r="619" spans="1:15">
      <c r="A619" s="1416" t="s">
        <v>2722</v>
      </c>
      <c r="B619" s="1416" t="s">
        <v>58</v>
      </c>
      <c r="C619" s="1279" t="s">
        <v>2601</v>
      </c>
      <c r="D619" s="1345">
        <f>+VLOOKUP(A619,'Costeo de Títulos'!C:L,10,0)</f>
        <v>250000000</v>
      </c>
      <c r="E619" s="1343">
        <f t="shared" si="48"/>
        <v>255239726.02739727</v>
      </c>
      <c r="F619" s="1284">
        <f t="shared" ref="F619:G619" si="53">+F404</f>
        <v>250000000</v>
      </c>
      <c r="G619" s="1344">
        <f t="shared" si="53"/>
        <v>0</v>
      </c>
      <c r="H619" s="1284">
        <v>0</v>
      </c>
      <c r="I619" s="1284">
        <v>0</v>
      </c>
      <c r="J619" s="180"/>
      <c r="K619" s="180"/>
      <c r="L619" s="180"/>
      <c r="M619" s="180"/>
      <c r="N619" s="180"/>
      <c r="O619" s="218"/>
    </row>
    <row r="620" spans="1:15">
      <c r="A620" s="1416" t="s">
        <v>2723</v>
      </c>
      <c r="B620" s="1416" t="s">
        <v>58</v>
      </c>
      <c r="C620" s="1279" t="s">
        <v>2601</v>
      </c>
      <c r="D620" s="1345">
        <f>+VLOOKUP(A620,'Costeo de Títulos'!C:L,10,0)</f>
        <v>250000000</v>
      </c>
      <c r="E620" s="1343">
        <f t="shared" si="48"/>
        <v>255239726.02739727</v>
      </c>
      <c r="F620" s="1284">
        <f t="shared" ref="F620:G620" si="54">+F405</f>
        <v>250000000</v>
      </c>
      <c r="G620" s="1344">
        <f t="shared" si="54"/>
        <v>0</v>
      </c>
      <c r="H620" s="1284">
        <v>0</v>
      </c>
      <c r="I620" s="1284">
        <v>0</v>
      </c>
      <c r="J620" s="180"/>
      <c r="K620" s="180"/>
      <c r="L620" s="180"/>
      <c r="M620" s="180"/>
      <c r="N620" s="180"/>
      <c r="O620" s="218"/>
    </row>
    <row r="621" spans="1:15">
      <c r="A621" s="1416" t="s">
        <v>2724</v>
      </c>
      <c r="B621" s="1416" t="s">
        <v>58</v>
      </c>
      <c r="C621" s="1279" t="s">
        <v>2601</v>
      </c>
      <c r="D621" s="1345">
        <f>+VLOOKUP(A621,'Costeo de Títulos'!C:L,10,0)</f>
        <v>250000000</v>
      </c>
      <c r="E621" s="1343">
        <f t="shared" si="48"/>
        <v>255239726.02739725</v>
      </c>
      <c r="F621" s="1284">
        <f t="shared" ref="F621:G621" si="55">+F406</f>
        <v>250000000</v>
      </c>
      <c r="G621" s="1344">
        <f t="shared" si="55"/>
        <v>0</v>
      </c>
      <c r="H621" s="1284">
        <v>0</v>
      </c>
      <c r="I621" s="1284">
        <v>0</v>
      </c>
      <c r="J621" s="180"/>
      <c r="K621" s="180"/>
      <c r="L621" s="180"/>
      <c r="M621" s="180"/>
      <c r="N621" s="180"/>
      <c r="O621" s="218"/>
    </row>
    <row r="622" spans="1:15">
      <c r="A622" s="1416" t="s">
        <v>2725</v>
      </c>
      <c r="B622" s="1416" t="s">
        <v>58</v>
      </c>
      <c r="C622" s="1279" t="s">
        <v>2601</v>
      </c>
      <c r="D622" s="1345">
        <f>+VLOOKUP(A622,'Costeo de Títulos'!C:L,10,0)</f>
        <v>250000000</v>
      </c>
      <c r="E622" s="1343">
        <f t="shared" si="48"/>
        <v>255239726.02739725</v>
      </c>
      <c r="F622" s="1284">
        <f t="shared" ref="F622:G622" si="56">+F407</f>
        <v>250000000</v>
      </c>
      <c r="G622" s="1344">
        <f t="shared" si="56"/>
        <v>0</v>
      </c>
      <c r="H622" s="1284">
        <v>0</v>
      </c>
      <c r="I622" s="1284">
        <v>0</v>
      </c>
      <c r="J622" s="180"/>
      <c r="K622" s="180"/>
      <c r="L622" s="180"/>
      <c r="M622" s="180"/>
      <c r="N622" s="180"/>
      <c r="O622" s="218"/>
    </row>
    <row r="623" spans="1:15">
      <c r="A623" s="1416" t="s">
        <v>2726</v>
      </c>
      <c r="B623" s="1416" t="s">
        <v>58</v>
      </c>
      <c r="C623" s="1279" t="s">
        <v>2601</v>
      </c>
      <c r="D623" s="1345">
        <f>+VLOOKUP(A623,'Costeo de Títulos'!C:L,10,0)</f>
        <v>250000000</v>
      </c>
      <c r="E623" s="1343">
        <f t="shared" si="48"/>
        <v>255239726.02739725</v>
      </c>
      <c r="F623" s="1284">
        <f t="shared" ref="F623:G623" si="57">+F408</f>
        <v>250000000</v>
      </c>
      <c r="G623" s="1344">
        <f t="shared" si="57"/>
        <v>0</v>
      </c>
      <c r="H623" s="1284">
        <v>0</v>
      </c>
      <c r="I623" s="1284">
        <v>0</v>
      </c>
      <c r="J623" s="180"/>
      <c r="K623" s="180"/>
      <c r="L623" s="180"/>
      <c r="M623" s="180"/>
      <c r="N623" s="180"/>
      <c r="O623" s="218"/>
    </row>
    <row r="624" spans="1:15">
      <c r="A624" s="1416" t="s">
        <v>2727</v>
      </c>
      <c r="B624" s="1416" t="s">
        <v>58</v>
      </c>
      <c r="C624" s="1279" t="s">
        <v>2601</v>
      </c>
      <c r="D624" s="1345">
        <f>+VLOOKUP(A624,'Costeo de Títulos'!C:L,10,0)</f>
        <v>250000000</v>
      </c>
      <c r="E624" s="1343">
        <f t="shared" si="48"/>
        <v>255239726.02739725</v>
      </c>
      <c r="F624" s="1284">
        <f t="shared" ref="F624:G624" si="58">+F409</f>
        <v>250000000</v>
      </c>
      <c r="G624" s="1344">
        <f t="shared" si="58"/>
        <v>0</v>
      </c>
      <c r="H624" s="1284">
        <v>0</v>
      </c>
      <c r="I624" s="1284">
        <v>0</v>
      </c>
      <c r="J624" s="180"/>
      <c r="K624" s="180"/>
      <c r="L624" s="180"/>
      <c r="M624" s="180"/>
      <c r="N624" s="180"/>
      <c r="O624" s="218"/>
    </row>
    <row r="625" spans="1:15">
      <c r="A625" s="1416" t="s">
        <v>2873</v>
      </c>
      <c r="B625" s="1416" t="s">
        <v>58</v>
      </c>
      <c r="C625" s="1279" t="s">
        <v>1689</v>
      </c>
      <c r="D625" s="1345">
        <f>+VLOOKUP(A625,'Costeo de Títulos'!C:L,10,0)</f>
        <v>1005527777</v>
      </c>
      <c r="E625" s="1343">
        <f t="shared" si="48"/>
        <v>1020608021.8079081</v>
      </c>
      <c r="F625" s="1284">
        <f t="shared" ref="F625:G625" si="59">+F410</f>
        <v>1000000000</v>
      </c>
      <c r="G625" s="1344">
        <f t="shared" si="59"/>
        <v>0</v>
      </c>
      <c r="H625" s="1284">
        <v>0</v>
      </c>
      <c r="I625" s="1284">
        <v>0</v>
      </c>
      <c r="J625" s="180"/>
      <c r="K625" s="180"/>
      <c r="L625" s="180"/>
      <c r="M625" s="180"/>
      <c r="N625" s="180"/>
      <c r="O625" s="218"/>
    </row>
    <row r="626" spans="1:15">
      <c r="A626" s="1416" t="s">
        <v>2874</v>
      </c>
      <c r="B626" s="1416" t="s">
        <v>58</v>
      </c>
      <c r="C626" s="1279" t="s">
        <v>1689</v>
      </c>
      <c r="D626" s="1345">
        <f>+VLOOKUP(A626,'Costeo de Títulos'!C:L,10,0)</f>
        <v>1005527777</v>
      </c>
      <c r="E626" s="1343">
        <f t="shared" si="48"/>
        <v>1020608021.8079081</v>
      </c>
      <c r="F626" s="1284">
        <f t="shared" ref="F626:G626" si="60">+F411</f>
        <v>1000000000</v>
      </c>
      <c r="G626" s="1344">
        <f t="shared" si="60"/>
        <v>0</v>
      </c>
      <c r="H626" s="1284">
        <v>0</v>
      </c>
      <c r="I626" s="1284">
        <v>0</v>
      </c>
      <c r="J626" s="180"/>
      <c r="K626" s="180"/>
      <c r="L626" s="180"/>
      <c r="M626" s="180"/>
      <c r="N626" s="180"/>
      <c r="O626" s="218"/>
    </row>
    <row r="627" spans="1:15">
      <c r="A627" s="1416" t="s">
        <v>2875</v>
      </c>
      <c r="B627" s="1416" t="s">
        <v>58</v>
      </c>
      <c r="C627" s="1279" t="s">
        <v>1689</v>
      </c>
      <c r="D627" s="1345">
        <f>+VLOOKUP(A627,'Costeo de Títulos'!C:L,10,0)</f>
        <v>250000000</v>
      </c>
      <c r="E627" s="1343">
        <f t="shared" si="48"/>
        <v>251842123.28767124</v>
      </c>
      <c r="F627" s="1284">
        <f t="shared" ref="F627:G627" si="61">+F412</f>
        <v>250000000</v>
      </c>
      <c r="G627" s="1344">
        <f t="shared" si="61"/>
        <v>0</v>
      </c>
      <c r="H627" s="1284">
        <v>0</v>
      </c>
      <c r="I627" s="1284">
        <v>0</v>
      </c>
      <c r="J627" s="180"/>
      <c r="K627" s="180"/>
      <c r="L627" s="180"/>
      <c r="M627" s="180"/>
      <c r="N627" s="180"/>
      <c r="O627" s="218"/>
    </row>
    <row r="628" spans="1:15">
      <c r="A628" s="1416" t="s">
        <v>2876</v>
      </c>
      <c r="B628" s="1416" t="s">
        <v>58</v>
      </c>
      <c r="C628" s="1279" t="s">
        <v>1689</v>
      </c>
      <c r="D628" s="1345">
        <f>+VLOOKUP(A628,'Costeo de Títulos'!C:L,10,0)</f>
        <v>250000000</v>
      </c>
      <c r="E628" s="1343">
        <f t="shared" si="48"/>
        <v>251842123.28767124</v>
      </c>
      <c r="F628" s="1284">
        <f t="shared" ref="F628:G628" si="62">+F413</f>
        <v>250000000</v>
      </c>
      <c r="G628" s="1344">
        <f t="shared" si="62"/>
        <v>0</v>
      </c>
      <c r="H628" s="1284">
        <v>0</v>
      </c>
      <c r="I628" s="1284">
        <v>0</v>
      </c>
      <c r="J628" s="180"/>
      <c r="K628" s="180"/>
      <c r="L628" s="180"/>
      <c r="M628" s="180"/>
      <c r="N628" s="180"/>
      <c r="O628" s="218"/>
    </row>
    <row r="629" spans="1:15">
      <c r="A629" s="1416" t="s">
        <v>2877</v>
      </c>
      <c r="B629" s="1416" t="s">
        <v>58</v>
      </c>
      <c r="C629" s="1279" t="s">
        <v>1689</v>
      </c>
      <c r="D629" s="1345">
        <f>+VLOOKUP(A629,'Costeo de Títulos'!C:L,10,0)</f>
        <v>250000000</v>
      </c>
      <c r="E629" s="1343">
        <f t="shared" si="48"/>
        <v>251842123.28767124</v>
      </c>
      <c r="F629" s="1284">
        <f t="shared" ref="F629:G629" si="63">+F414</f>
        <v>250000000</v>
      </c>
      <c r="G629" s="1344">
        <f t="shared" si="63"/>
        <v>0</v>
      </c>
      <c r="H629" s="1284">
        <v>0</v>
      </c>
      <c r="I629" s="1284">
        <v>0</v>
      </c>
      <c r="J629" s="180"/>
      <c r="K629" s="180"/>
      <c r="L629" s="180"/>
      <c r="M629" s="180"/>
      <c r="N629" s="180"/>
      <c r="O629" s="218"/>
    </row>
    <row r="630" spans="1:15">
      <c r="A630" s="1416" t="s">
        <v>2878</v>
      </c>
      <c r="B630" s="1416" t="s">
        <v>58</v>
      </c>
      <c r="C630" s="1279" t="s">
        <v>1689</v>
      </c>
      <c r="D630" s="1345">
        <f>+VLOOKUP(A630,'Costeo de Títulos'!C:L,10,0)</f>
        <v>250000000</v>
      </c>
      <c r="E630" s="1343">
        <f t="shared" si="48"/>
        <v>251842123.28767124</v>
      </c>
      <c r="F630" s="1284">
        <f t="shared" ref="F630:G630" si="64">+F415</f>
        <v>250000000</v>
      </c>
      <c r="G630" s="1344">
        <f t="shared" si="64"/>
        <v>0</v>
      </c>
      <c r="H630" s="1284">
        <v>0</v>
      </c>
      <c r="I630" s="1284">
        <v>0</v>
      </c>
      <c r="J630" s="180"/>
      <c r="K630" s="180"/>
      <c r="L630" s="180"/>
      <c r="M630" s="180"/>
      <c r="N630" s="180"/>
      <c r="O630" s="218"/>
    </row>
    <row r="631" spans="1:15">
      <c r="A631" s="1416" t="s">
        <v>2879</v>
      </c>
      <c r="B631" s="1416" t="s">
        <v>58</v>
      </c>
      <c r="C631" s="1279" t="s">
        <v>1689</v>
      </c>
      <c r="D631" s="1345">
        <f>+VLOOKUP(A631,'Costeo de Títulos'!C:L,10,0)</f>
        <v>200000000</v>
      </c>
      <c r="E631" s="1343">
        <f t="shared" si="48"/>
        <v>201473698.630137</v>
      </c>
      <c r="F631" s="1284">
        <f t="shared" ref="F631:G631" si="65">+F416</f>
        <v>200000000</v>
      </c>
      <c r="G631" s="1344">
        <f t="shared" si="65"/>
        <v>0</v>
      </c>
      <c r="H631" s="1284">
        <v>0</v>
      </c>
      <c r="I631" s="1284">
        <v>0</v>
      </c>
      <c r="J631" s="180"/>
      <c r="K631" s="180"/>
      <c r="L631" s="180"/>
      <c r="M631" s="180"/>
      <c r="N631" s="180"/>
      <c r="O631" s="218"/>
    </row>
    <row r="632" spans="1:15">
      <c r="A632" s="1416" t="s">
        <v>2880</v>
      </c>
      <c r="B632" s="1416" t="s">
        <v>58</v>
      </c>
      <c r="C632" s="1279" t="s">
        <v>1689</v>
      </c>
      <c r="D632" s="1345">
        <f>+VLOOKUP(A632,'Costeo de Títulos'!C:L,10,0)</f>
        <v>200000000</v>
      </c>
      <c r="E632" s="1343">
        <f t="shared" si="48"/>
        <v>201473698.630137</v>
      </c>
      <c r="F632" s="1284">
        <f t="shared" ref="F632:G632" si="66">+F417</f>
        <v>200000000</v>
      </c>
      <c r="G632" s="1344">
        <f t="shared" si="66"/>
        <v>0</v>
      </c>
      <c r="H632" s="1284">
        <v>0</v>
      </c>
      <c r="I632" s="1284">
        <v>0</v>
      </c>
      <c r="J632" s="180"/>
      <c r="K632" s="180"/>
      <c r="L632" s="180"/>
      <c r="M632" s="180"/>
      <c r="N632" s="180"/>
      <c r="O632" s="218"/>
    </row>
    <row r="633" spans="1:15">
      <c r="A633" s="1416" t="s">
        <v>2881</v>
      </c>
      <c r="B633" s="1416" t="s">
        <v>58</v>
      </c>
      <c r="C633" s="1279" t="s">
        <v>1689</v>
      </c>
      <c r="D633" s="1345">
        <f>+VLOOKUP(A633,'Costeo de Títulos'!C:L,10,0)</f>
        <v>200000000</v>
      </c>
      <c r="E633" s="1343">
        <f t="shared" si="48"/>
        <v>201473698.630137</v>
      </c>
      <c r="F633" s="1284">
        <f t="shared" ref="F633:G633" si="67">+F418</f>
        <v>200000000</v>
      </c>
      <c r="G633" s="1344">
        <f t="shared" si="67"/>
        <v>0</v>
      </c>
      <c r="H633" s="1284">
        <v>0</v>
      </c>
      <c r="I633" s="1284">
        <v>0</v>
      </c>
      <c r="J633" s="180"/>
      <c r="K633" s="180"/>
      <c r="L633" s="180"/>
      <c r="M633" s="180"/>
      <c r="N633" s="180"/>
      <c r="O633" s="218"/>
    </row>
    <row r="634" spans="1:15">
      <c r="A634" s="1416" t="s">
        <v>2882</v>
      </c>
      <c r="B634" s="1416" t="s">
        <v>58</v>
      </c>
      <c r="C634" s="1279" t="s">
        <v>1689</v>
      </c>
      <c r="D634" s="1345">
        <f>+VLOOKUP(A634,'Costeo de Títulos'!C:L,10,0)</f>
        <v>200000000</v>
      </c>
      <c r="E634" s="1343">
        <f t="shared" si="48"/>
        <v>201473698.630137</v>
      </c>
      <c r="F634" s="1284">
        <f t="shared" ref="F634:G634" si="68">+F419</f>
        <v>200000000</v>
      </c>
      <c r="G634" s="1344">
        <f t="shared" si="68"/>
        <v>0</v>
      </c>
      <c r="H634" s="1284">
        <v>0</v>
      </c>
      <c r="I634" s="1284">
        <v>0</v>
      </c>
      <c r="J634" s="180"/>
      <c r="K634" s="180"/>
      <c r="L634" s="180"/>
      <c r="M634" s="180"/>
      <c r="N634" s="180"/>
      <c r="O634" s="218"/>
    </row>
    <row r="635" spans="1:15">
      <c r="A635" s="1416" t="s">
        <v>2883</v>
      </c>
      <c r="B635" s="1416" t="s">
        <v>58</v>
      </c>
      <c r="C635" s="1279" t="s">
        <v>1548</v>
      </c>
      <c r="D635" s="1345">
        <f>+VLOOKUP(A635,'Costeo de Títulos'!C:L,10,0)</f>
        <v>102128105.40000001</v>
      </c>
      <c r="E635" s="1343">
        <f t="shared" si="48"/>
        <v>100678664.7088875</v>
      </c>
      <c r="F635" s="1284">
        <f t="shared" ref="F635:G635" si="69">+F420</f>
        <v>100000000</v>
      </c>
      <c r="G635" s="1344">
        <f t="shared" si="69"/>
        <v>0</v>
      </c>
      <c r="H635" s="1284">
        <v>0</v>
      </c>
      <c r="I635" s="1284">
        <v>0</v>
      </c>
      <c r="J635" s="180"/>
      <c r="K635" s="180"/>
      <c r="L635" s="180"/>
      <c r="M635" s="180"/>
      <c r="N635" s="180"/>
      <c r="O635" s="218"/>
    </row>
    <row r="636" spans="1:15">
      <c r="A636" s="1416" t="s">
        <v>2884</v>
      </c>
      <c r="B636" s="1416" t="s">
        <v>58</v>
      </c>
      <c r="C636" s="1279" t="s">
        <v>1548</v>
      </c>
      <c r="D636" s="1345">
        <f>+VLOOKUP(A636,'Costeo de Títulos'!C:L,10,0)</f>
        <v>102128105.40000001</v>
      </c>
      <c r="E636" s="1343">
        <f t="shared" si="48"/>
        <v>100678664.7088875</v>
      </c>
      <c r="F636" s="1284">
        <f t="shared" ref="F636:G636" si="70">+F421</f>
        <v>100000000</v>
      </c>
      <c r="G636" s="1344">
        <f t="shared" si="70"/>
        <v>0</v>
      </c>
      <c r="H636" s="1284">
        <v>0</v>
      </c>
      <c r="I636" s="1284">
        <v>0</v>
      </c>
      <c r="J636" s="180"/>
      <c r="K636" s="180"/>
      <c r="L636" s="180"/>
      <c r="M636" s="180"/>
      <c r="N636" s="180"/>
      <c r="O636" s="218"/>
    </row>
    <row r="637" spans="1:15">
      <c r="A637" s="1416" t="s">
        <v>2885</v>
      </c>
      <c r="B637" s="1416" t="s">
        <v>58</v>
      </c>
      <c r="C637" s="1279" t="s">
        <v>1548</v>
      </c>
      <c r="D637" s="1345">
        <f>+VLOOKUP(A637,'Costeo de Títulos'!C:L,10,0)</f>
        <v>102128105.40000001</v>
      </c>
      <c r="E637" s="1343">
        <f t="shared" si="48"/>
        <v>100678664.7088875</v>
      </c>
      <c r="F637" s="1284">
        <f t="shared" ref="F637:G637" si="71">+F422</f>
        <v>100000000</v>
      </c>
      <c r="G637" s="1344">
        <f t="shared" si="71"/>
        <v>0</v>
      </c>
      <c r="H637" s="1284">
        <v>0</v>
      </c>
      <c r="I637" s="1284">
        <v>0</v>
      </c>
      <c r="J637" s="180"/>
      <c r="K637" s="180"/>
      <c r="L637" s="180"/>
      <c r="M637" s="180"/>
      <c r="N637" s="180"/>
      <c r="O637" s="218"/>
    </row>
    <row r="638" spans="1:15">
      <c r="A638" s="1416" t="s">
        <v>2886</v>
      </c>
      <c r="B638" s="1416" t="s">
        <v>58</v>
      </c>
      <c r="C638" s="1279" t="s">
        <v>1548</v>
      </c>
      <c r="D638" s="1345">
        <f>+VLOOKUP(A638,'Costeo de Títulos'!C:L,10,0)</f>
        <v>102128105.40000001</v>
      </c>
      <c r="E638" s="1343">
        <f t="shared" si="48"/>
        <v>100678664.7088875</v>
      </c>
      <c r="F638" s="1284">
        <f t="shared" ref="F638:G638" si="72">+F423</f>
        <v>100000000</v>
      </c>
      <c r="G638" s="1344">
        <f t="shared" si="72"/>
        <v>0</v>
      </c>
      <c r="H638" s="1284">
        <v>0</v>
      </c>
      <c r="I638" s="1284">
        <v>0</v>
      </c>
      <c r="J638" s="180"/>
      <c r="K638" s="180"/>
      <c r="L638" s="180"/>
      <c r="M638" s="180"/>
      <c r="N638" s="180"/>
      <c r="O638" s="218"/>
    </row>
    <row r="639" spans="1:15">
      <c r="A639" s="1416" t="s">
        <v>2887</v>
      </c>
      <c r="B639" s="1416" t="s">
        <v>58</v>
      </c>
      <c r="C639" s="1279" t="s">
        <v>1548</v>
      </c>
      <c r="D639" s="1345">
        <f>+VLOOKUP(A639,'Costeo de Títulos'!C:L,10,0)</f>
        <v>102128105.40000001</v>
      </c>
      <c r="E639" s="1343">
        <f t="shared" si="48"/>
        <v>100678664.7088875</v>
      </c>
      <c r="F639" s="1284">
        <f t="shared" ref="F639:G639" si="73">+F424</f>
        <v>100000000</v>
      </c>
      <c r="G639" s="1344">
        <f t="shared" si="73"/>
        <v>0</v>
      </c>
      <c r="H639" s="1284">
        <v>0</v>
      </c>
      <c r="I639" s="1284">
        <v>0</v>
      </c>
      <c r="J639" s="180"/>
      <c r="K639" s="180"/>
      <c r="L639" s="180"/>
      <c r="M639" s="180"/>
      <c r="N639" s="180"/>
      <c r="O639" s="218"/>
    </row>
    <row r="640" spans="1:15">
      <c r="A640" s="1416" t="s">
        <v>2888</v>
      </c>
      <c r="B640" s="1416" t="s">
        <v>58</v>
      </c>
      <c r="C640" s="1279" t="s">
        <v>1548</v>
      </c>
      <c r="D640" s="1345">
        <f>+VLOOKUP(A640,'Costeo de Títulos'!C:L,10,0)</f>
        <v>102128105.40000001</v>
      </c>
      <c r="E640" s="1343">
        <f t="shared" si="48"/>
        <v>100678664.7088875</v>
      </c>
      <c r="F640" s="1284">
        <f t="shared" ref="F640:G640" si="74">+F425</f>
        <v>100000000</v>
      </c>
      <c r="G640" s="1344">
        <f t="shared" si="74"/>
        <v>0</v>
      </c>
      <c r="H640" s="1284">
        <v>0</v>
      </c>
      <c r="I640" s="1284">
        <v>0</v>
      </c>
      <c r="J640" s="180"/>
      <c r="K640" s="180"/>
      <c r="L640" s="180"/>
      <c r="M640" s="180"/>
      <c r="N640" s="180"/>
      <c r="O640" s="218"/>
    </row>
    <row r="641" spans="1:15">
      <c r="A641" s="1416" t="s">
        <v>2889</v>
      </c>
      <c r="B641" s="1416" t="s">
        <v>58</v>
      </c>
      <c r="C641" s="1279" t="s">
        <v>1548</v>
      </c>
      <c r="D641" s="1345">
        <f>+VLOOKUP(A641,'Costeo de Títulos'!C:L,10,0)</f>
        <v>102128105.40000001</v>
      </c>
      <c r="E641" s="1343">
        <f t="shared" si="48"/>
        <v>100678664.7088875</v>
      </c>
      <c r="F641" s="1284">
        <f t="shared" ref="F641:G641" si="75">+F426</f>
        <v>100000000</v>
      </c>
      <c r="G641" s="1344">
        <f t="shared" si="75"/>
        <v>0</v>
      </c>
      <c r="H641" s="1284">
        <v>0</v>
      </c>
      <c r="I641" s="1284">
        <v>0</v>
      </c>
      <c r="J641" s="180"/>
      <c r="K641" s="180"/>
      <c r="L641" s="180"/>
      <c r="M641" s="180"/>
      <c r="N641" s="180"/>
      <c r="O641" s="218"/>
    </row>
    <row r="642" spans="1:15">
      <c r="A642" s="1416" t="s">
        <v>2890</v>
      </c>
      <c r="B642" s="1416" t="s">
        <v>58</v>
      </c>
      <c r="C642" s="1279" t="s">
        <v>1548</v>
      </c>
      <c r="D642" s="1345">
        <f>+VLOOKUP(A642,'Costeo de Títulos'!C:L,10,0)</f>
        <v>102128105.40000001</v>
      </c>
      <c r="E642" s="1343">
        <f t="shared" si="48"/>
        <v>100678664.7088875</v>
      </c>
      <c r="F642" s="1284">
        <f t="shared" ref="F642:G642" si="76">+F427</f>
        <v>100000000</v>
      </c>
      <c r="G642" s="1344">
        <f t="shared" si="76"/>
        <v>0</v>
      </c>
      <c r="H642" s="1284">
        <v>0</v>
      </c>
      <c r="I642" s="1284">
        <v>0</v>
      </c>
      <c r="J642" s="180"/>
      <c r="K642" s="180"/>
      <c r="L642" s="180"/>
      <c r="M642" s="180"/>
      <c r="N642" s="180"/>
      <c r="O642" s="218"/>
    </row>
    <row r="643" spans="1:15">
      <c r="A643" s="1416" t="s">
        <v>2891</v>
      </c>
      <c r="B643" s="1416" t="s">
        <v>58</v>
      </c>
      <c r="C643" s="1279" t="s">
        <v>1548</v>
      </c>
      <c r="D643" s="1345">
        <f>+VLOOKUP(A643,'Costeo de Títulos'!C:L,10,0)</f>
        <v>102128105.40000001</v>
      </c>
      <c r="E643" s="1343">
        <f t="shared" si="48"/>
        <v>100678664.7088875</v>
      </c>
      <c r="F643" s="1284">
        <f t="shared" ref="F643:G643" si="77">+F428</f>
        <v>100000000</v>
      </c>
      <c r="G643" s="1344">
        <f t="shared" si="77"/>
        <v>0</v>
      </c>
      <c r="H643" s="1284">
        <v>0</v>
      </c>
      <c r="I643" s="1284">
        <v>0</v>
      </c>
      <c r="J643" s="180"/>
      <c r="K643" s="180"/>
      <c r="L643" s="180"/>
      <c r="M643" s="180"/>
      <c r="N643" s="180"/>
      <c r="O643" s="218"/>
    </row>
    <row r="644" spans="1:15">
      <c r="A644" s="1416" t="s">
        <v>2892</v>
      </c>
      <c r="B644" s="1416" t="s">
        <v>58</v>
      </c>
      <c r="C644" s="1279" t="s">
        <v>2650</v>
      </c>
      <c r="D644" s="1345">
        <f>+VLOOKUP(A644,'Costeo de Títulos'!C:L,10,0)</f>
        <v>209906577.97359836</v>
      </c>
      <c r="E644" s="1343">
        <f t="shared" si="48"/>
        <v>207934465.15576172</v>
      </c>
      <c r="F644" s="1284">
        <f t="shared" ref="F644:G644" si="78">+F429</f>
        <v>200000000</v>
      </c>
      <c r="G644" s="1344">
        <f t="shared" si="78"/>
        <v>0</v>
      </c>
      <c r="H644" s="1284">
        <v>0</v>
      </c>
      <c r="I644" s="1284">
        <v>0</v>
      </c>
      <c r="J644" s="180"/>
      <c r="K644" s="180"/>
      <c r="L644" s="180"/>
      <c r="M644" s="180"/>
      <c r="N644" s="180"/>
      <c r="O644" s="218"/>
    </row>
    <row r="645" spans="1:15">
      <c r="A645" s="1416" t="s">
        <v>2893</v>
      </c>
      <c r="B645" s="1416" t="s">
        <v>58</v>
      </c>
      <c r="C645" s="1279" t="s">
        <v>2650</v>
      </c>
      <c r="D645" s="1345">
        <f>+VLOOKUP(A645,'Costeo de Títulos'!C:L,10,0)</f>
        <v>209906577.97359836</v>
      </c>
      <c r="E645" s="1343">
        <f t="shared" si="48"/>
        <v>207934465.15576172</v>
      </c>
      <c r="F645" s="1284">
        <f t="shared" ref="F645:G645" si="79">+F430</f>
        <v>200000000</v>
      </c>
      <c r="G645" s="1344">
        <f t="shared" si="79"/>
        <v>0</v>
      </c>
      <c r="H645" s="1284">
        <v>0</v>
      </c>
      <c r="I645" s="1284">
        <v>0</v>
      </c>
      <c r="J645" s="180"/>
      <c r="K645" s="180"/>
      <c r="L645" s="180"/>
      <c r="M645" s="180"/>
      <c r="N645" s="180"/>
      <c r="O645" s="218"/>
    </row>
    <row r="646" spans="1:15">
      <c r="A646" s="1416" t="s">
        <v>2894</v>
      </c>
      <c r="B646" s="1416" t="s">
        <v>58</v>
      </c>
      <c r="C646" s="1279" t="s">
        <v>2650</v>
      </c>
      <c r="D646" s="1345">
        <f>+VLOOKUP(A646,'Costeo de Títulos'!C:L,10,0)</f>
        <v>209906577.97359836</v>
      </c>
      <c r="E646" s="1343">
        <f t="shared" si="48"/>
        <v>207934465.15576172</v>
      </c>
      <c r="F646" s="1284">
        <f t="shared" ref="F646:G646" si="80">+F431</f>
        <v>200000000</v>
      </c>
      <c r="G646" s="1344">
        <f t="shared" si="80"/>
        <v>0</v>
      </c>
      <c r="H646" s="1284">
        <v>0</v>
      </c>
      <c r="I646" s="1284">
        <v>0</v>
      </c>
      <c r="J646" s="180"/>
      <c r="K646" s="180"/>
      <c r="L646" s="180"/>
      <c r="M646" s="180"/>
      <c r="N646" s="180"/>
      <c r="O646" s="218"/>
    </row>
    <row r="647" spans="1:15">
      <c r="A647" s="1416" t="s">
        <v>2895</v>
      </c>
      <c r="B647" s="1416" t="s">
        <v>58</v>
      </c>
      <c r="C647" s="1279" t="s">
        <v>2650</v>
      </c>
      <c r="D647" s="1345">
        <f>+VLOOKUP(A647,'Costeo de Títulos'!C:L,10,0)</f>
        <v>209906577.97359836</v>
      </c>
      <c r="E647" s="1343">
        <f t="shared" si="48"/>
        <v>207934465.15576172</v>
      </c>
      <c r="F647" s="1284">
        <f t="shared" ref="F647:G647" si="81">+F432</f>
        <v>200000000</v>
      </c>
      <c r="G647" s="1344">
        <f t="shared" si="81"/>
        <v>0</v>
      </c>
      <c r="H647" s="1284">
        <v>0</v>
      </c>
      <c r="I647" s="1284">
        <v>0</v>
      </c>
      <c r="J647" s="180"/>
      <c r="K647" s="180"/>
      <c r="L647" s="180"/>
      <c r="M647" s="180"/>
      <c r="N647" s="180"/>
      <c r="O647" s="218"/>
    </row>
    <row r="648" spans="1:15">
      <c r="A648" s="1416" t="s">
        <v>2896</v>
      </c>
      <c r="B648" s="1416" t="s">
        <v>58</v>
      </c>
      <c r="C648" s="1279" t="s">
        <v>2650</v>
      </c>
      <c r="D648" s="1345">
        <f>+VLOOKUP(A648,'Costeo de Títulos'!C:L,10,0)</f>
        <v>204742285</v>
      </c>
      <c r="E648" s="1343">
        <f t="shared" si="48"/>
        <v>205652233.52122754</v>
      </c>
      <c r="F648" s="1284">
        <f t="shared" ref="F648:G648" si="82">+F433</f>
        <v>200000000</v>
      </c>
      <c r="G648" s="1344">
        <f t="shared" si="82"/>
        <v>0</v>
      </c>
      <c r="H648" s="1284">
        <v>0</v>
      </c>
      <c r="I648" s="1284">
        <v>0</v>
      </c>
      <c r="J648" s="180"/>
      <c r="K648" s="180"/>
      <c r="L648" s="180"/>
      <c r="M648" s="180"/>
      <c r="N648" s="180"/>
      <c r="O648" s="218"/>
    </row>
    <row r="649" spans="1:15">
      <c r="A649" s="1416" t="s">
        <v>2897</v>
      </c>
      <c r="B649" s="1416" t="s">
        <v>58</v>
      </c>
      <c r="C649" s="1279" t="s">
        <v>2650</v>
      </c>
      <c r="D649" s="1345">
        <f>+VLOOKUP(A649,'Costeo de Títulos'!C:L,10,0)</f>
        <v>100000000</v>
      </c>
      <c r="E649" s="1343">
        <f t="shared" si="48"/>
        <v>100777534.24657534</v>
      </c>
      <c r="F649" s="1284">
        <f t="shared" ref="F649:G649" si="83">+F434</f>
        <v>100000000</v>
      </c>
      <c r="G649" s="1344">
        <f t="shared" si="83"/>
        <v>0</v>
      </c>
      <c r="H649" s="1284">
        <v>0</v>
      </c>
      <c r="I649" s="1284">
        <v>0</v>
      </c>
      <c r="J649" s="180"/>
      <c r="K649" s="180"/>
      <c r="L649" s="180"/>
      <c r="M649" s="180"/>
      <c r="N649" s="180"/>
      <c r="O649" s="218"/>
    </row>
    <row r="650" spans="1:15">
      <c r="A650" s="1416" t="s">
        <v>2898</v>
      </c>
      <c r="B650" s="1416" t="s">
        <v>58</v>
      </c>
      <c r="C650" s="1279" t="s">
        <v>2650</v>
      </c>
      <c r="D650" s="1345">
        <f>+VLOOKUP(A650,'Costeo de Títulos'!C:L,10,0)</f>
        <v>100000000</v>
      </c>
      <c r="E650" s="1343">
        <f t="shared" si="48"/>
        <v>100777534.24657534</v>
      </c>
      <c r="F650" s="1284">
        <f t="shared" ref="F650:G650" si="84">+F435</f>
        <v>100000000</v>
      </c>
      <c r="G650" s="1344">
        <f t="shared" si="84"/>
        <v>0</v>
      </c>
      <c r="H650" s="1284">
        <v>0</v>
      </c>
      <c r="I650" s="1284">
        <v>0</v>
      </c>
      <c r="J650" s="180"/>
      <c r="K650" s="180"/>
      <c r="L650" s="180"/>
      <c r="M650" s="180"/>
      <c r="N650" s="180"/>
      <c r="O650" s="218"/>
    </row>
    <row r="651" spans="1:15">
      <c r="A651" s="1416" t="s">
        <v>2899</v>
      </c>
      <c r="B651" s="1416" t="s">
        <v>58</v>
      </c>
      <c r="C651" s="1279" t="s">
        <v>2650</v>
      </c>
      <c r="D651" s="1345">
        <f>+VLOOKUP(A651,'Costeo de Títulos'!C:L,10,0)</f>
        <v>100000000</v>
      </c>
      <c r="E651" s="1343">
        <f t="shared" si="48"/>
        <v>100777534.24657534</v>
      </c>
      <c r="F651" s="1284">
        <f t="shared" ref="F651:G651" si="85">+F436</f>
        <v>100000000</v>
      </c>
      <c r="G651" s="1344">
        <f t="shared" si="85"/>
        <v>0</v>
      </c>
      <c r="H651" s="1284">
        <v>0</v>
      </c>
      <c r="I651" s="1284">
        <v>0</v>
      </c>
      <c r="J651" s="180"/>
      <c r="K651" s="180"/>
      <c r="L651" s="180"/>
      <c r="M651" s="180"/>
      <c r="N651" s="180"/>
      <c r="O651" s="218"/>
    </row>
    <row r="652" spans="1:15">
      <c r="A652" s="1416" t="s">
        <v>2900</v>
      </c>
      <c r="B652" s="1416" t="s">
        <v>58</v>
      </c>
      <c r="C652" s="1279" t="s">
        <v>2650</v>
      </c>
      <c r="D652" s="1345">
        <f>+VLOOKUP(A652,'Costeo de Títulos'!C:L,10,0)</f>
        <v>100000000</v>
      </c>
      <c r="E652" s="1343">
        <f t="shared" si="48"/>
        <v>100777534.24657534</v>
      </c>
      <c r="F652" s="1284">
        <f t="shared" ref="F652:G652" si="86">+F437</f>
        <v>100000000</v>
      </c>
      <c r="G652" s="1344">
        <f t="shared" si="86"/>
        <v>0</v>
      </c>
      <c r="H652" s="1284">
        <v>0</v>
      </c>
      <c r="I652" s="1284">
        <v>0</v>
      </c>
      <c r="J652" s="180"/>
      <c r="K652" s="180"/>
      <c r="L652" s="180"/>
      <c r="M652" s="180"/>
      <c r="N652" s="180"/>
      <c r="O652" s="218"/>
    </row>
    <row r="653" spans="1:15">
      <c r="A653" s="1416" t="s">
        <v>2901</v>
      </c>
      <c r="B653" s="1416" t="s">
        <v>58</v>
      </c>
      <c r="C653" s="1279" t="s">
        <v>2650</v>
      </c>
      <c r="D653" s="1345">
        <f>+VLOOKUP(A653,'Costeo de Títulos'!C:L,10,0)</f>
        <v>100000000</v>
      </c>
      <c r="E653" s="1343">
        <f t="shared" si="48"/>
        <v>100777534.24657534</v>
      </c>
      <c r="F653" s="1284">
        <f t="shared" ref="F653:G653" si="87">+F438</f>
        <v>100000000</v>
      </c>
      <c r="G653" s="1344">
        <f t="shared" si="87"/>
        <v>0</v>
      </c>
      <c r="H653" s="1284">
        <v>0</v>
      </c>
      <c r="I653" s="1284">
        <v>0</v>
      </c>
      <c r="J653" s="180"/>
      <c r="K653" s="180"/>
      <c r="L653" s="180"/>
      <c r="M653" s="180"/>
      <c r="N653" s="180"/>
      <c r="O653" s="218"/>
    </row>
    <row r="654" spans="1:15">
      <c r="A654" s="1416" t="s">
        <v>2902</v>
      </c>
      <c r="B654" s="1416" t="s">
        <v>58</v>
      </c>
      <c r="C654" s="1279" t="s">
        <v>2650</v>
      </c>
      <c r="D654" s="1345">
        <f>+VLOOKUP(A654,'Costeo de Títulos'!C:L,10,0)</f>
        <v>100000000</v>
      </c>
      <c r="E654" s="1343">
        <f t="shared" si="48"/>
        <v>100777534.24657534</v>
      </c>
      <c r="F654" s="1284">
        <f t="shared" ref="F654:G654" si="88">+F439</f>
        <v>100000000</v>
      </c>
      <c r="G654" s="1344">
        <f t="shared" si="88"/>
        <v>0</v>
      </c>
      <c r="H654" s="1284">
        <v>0</v>
      </c>
      <c r="I654" s="1284">
        <v>0</v>
      </c>
      <c r="J654" s="180"/>
      <c r="K654" s="180"/>
      <c r="L654" s="180"/>
      <c r="M654" s="180"/>
      <c r="N654" s="180"/>
      <c r="O654" s="218"/>
    </row>
    <row r="655" spans="1:15">
      <c r="A655" s="1416" t="s">
        <v>2903</v>
      </c>
      <c r="B655" s="1416" t="s">
        <v>58</v>
      </c>
      <c r="C655" s="1279" t="s">
        <v>2650</v>
      </c>
      <c r="D655" s="1345">
        <f>+VLOOKUP(A655,'Costeo de Títulos'!C:L,10,0)</f>
        <v>100000000</v>
      </c>
      <c r="E655" s="1343">
        <f t="shared" si="48"/>
        <v>100777534.24657534</v>
      </c>
      <c r="F655" s="1284">
        <f t="shared" ref="F655:G655" si="89">+F440</f>
        <v>100000000</v>
      </c>
      <c r="G655" s="1344">
        <f t="shared" si="89"/>
        <v>0</v>
      </c>
      <c r="H655" s="1284">
        <v>0</v>
      </c>
      <c r="I655" s="1284">
        <v>0</v>
      </c>
      <c r="J655" s="180"/>
      <c r="K655" s="180"/>
      <c r="L655" s="180"/>
      <c r="M655" s="180"/>
      <c r="N655" s="180"/>
      <c r="O655" s="218"/>
    </row>
    <row r="656" spans="1:15">
      <c r="A656" s="1416" t="s">
        <v>2904</v>
      </c>
      <c r="B656" s="1416" t="s">
        <v>58</v>
      </c>
      <c r="C656" s="1279" t="s">
        <v>2650</v>
      </c>
      <c r="D656" s="1345">
        <f>+VLOOKUP(A656,'Costeo de Títulos'!C:L,10,0)</f>
        <v>100000000</v>
      </c>
      <c r="E656" s="1343">
        <f t="shared" si="48"/>
        <v>100777534.24657534</v>
      </c>
      <c r="F656" s="1284">
        <f t="shared" ref="F656:G656" si="90">+F441</f>
        <v>100000000</v>
      </c>
      <c r="G656" s="1344">
        <f t="shared" si="90"/>
        <v>0</v>
      </c>
      <c r="H656" s="1284">
        <v>0</v>
      </c>
      <c r="I656" s="1284">
        <v>0</v>
      </c>
      <c r="J656" s="180"/>
      <c r="K656" s="180"/>
      <c r="L656" s="180"/>
      <c r="M656" s="180"/>
      <c r="N656" s="180"/>
      <c r="O656" s="218"/>
    </row>
    <row r="657" spans="1:15">
      <c r="A657" s="1416" t="s">
        <v>2905</v>
      </c>
      <c r="B657" s="1416" t="s">
        <v>58</v>
      </c>
      <c r="C657" s="1279" t="s">
        <v>2650</v>
      </c>
      <c r="D657" s="1345">
        <f>+VLOOKUP(A657,'Costeo de Títulos'!C:L,10,0)</f>
        <v>100000000</v>
      </c>
      <c r="E657" s="1343">
        <f t="shared" si="48"/>
        <v>100777534.24657534</v>
      </c>
      <c r="F657" s="1284">
        <f t="shared" ref="F657:G657" si="91">+F442</f>
        <v>100000000</v>
      </c>
      <c r="G657" s="1344">
        <f t="shared" si="91"/>
        <v>0</v>
      </c>
      <c r="H657" s="1284">
        <v>0</v>
      </c>
      <c r="I657" s="1284">
        <v>0</v>
      </c>
      <c r="J657" s="180"/>
      <c r="K657" s="180"/>
      <c r="L657" s="180"/>
      <c r="M657" s="180"/>
      <c r="N657" s="180"/>
      <c r="O657" s="218"/>
    </row>
    <row r="658" spans="1:15">
      <c r="A658" s="1416" t="s">
        <v>2906</v>
      </c>
      <c r="B658" s="1416" t="s">
        <v>58</v>
      </c>
      <c r="C658" s="1279" t="s">
        <v>2650</v>
      </c>
      <c r="D658" s="1345">
        <f>+VLOOKUP(A658,'Costeo de Títulos'!C:L,10,0)</f>
        <v>100000000</v>
      </c>
      <c r="E658" s="1343">
        <f t="shared" si="48"/>
        <v>100777534.24657534</v>
      </c>
      <c r="F658" s="1284">
        <f t="shared" ref="F658:G658" si="92">+F443</f>
        <v>100000000</v>
      </c>
      <c r="G658" s="1344">
        <f t="shared" si="92"/>
        <v>0</v>
      </c>
      <c r="H658" s="1284">
        <v>0</v>
      </c>
      <c r="I658" s="1284">
        <v>0</v>
      </c>
      <c r="J658" s="180"/>
      <c r="K658" s="180"/>
      <c r="L658" s="180"/>
      <c r="M658" s="180"/>
      <c r="N658" s="180"/>
      <c r="O658" s="218"/>
    </row>
    <row r="659" spans="1:15">
      <c r="A659" s="1416" t="s">
        <v>2907</v>
      </c>
      <c r="B659" s="1416" t="s">
        <v>58</v>
      </c>
      <c r="C659" s="1279" t="s">
        <v>2650</v>
      </c>
      <c r="D659" s="1345">
        <f>+VLOOKUP(A659,'Costeo de Títulos'!C:L,10,0)</f>
        <v>100182924</v>
      </c>
      <c r="E659" s="1343">
        <f t="shared" si="48"/>
        <v>100113331.57457013</v>
      </c>
      <c r="F659" s="1284">
        <f t="shared" ref="F659:G659" si="93">+F444</f>
        <v>100000000</v>
      </c>
      <c r="G659" s="1344">
        <f t="shared" si="93"/>
        <v>0</v>
      </c>
      <c r="H659" s="1284">
        <v>0</v>
      </c>
      <c r="I659" s="1284">
        <v>0</v>
      </c>
      <c r="J659" s="180"/>
      <c r="K659" s="180"/>
      <c r="L659" s="180"/>
      <c r="M659" s="180"/>
      <c r="N659" s="180"/>
      <c r="O659" s="218"/>
    </row>
    <row r="660" spans="1:15">
      <c r="A660" s="1416" t="s">
        <v>2908</v>
      </c>
      <c r="B660" s="1416" t="s">
        <v>58</v>
      </c>
      <c r="C660" s="1279" t="s">
        <v>1530</v>
      </c>
      <c r="D660" s="1345">
        <f>+VLOOKUP(A660,'Costeo de Títulos'!C:L,10,0)</f>
        <v>101736902</v>
      </c>
      <c r="E660" s="1343">
        <f t="shared" si="48"/>
        <v>102190149.86029544</v>
      </c>
      <c r="F660" s="1284">
        <f t="shared" ref="F660:G660" si="94">+F445</f>
        <v>100000000</v>
      </c>
      <c r="G660" s="1344">
        <f t="shared" si="94"/>
        <v>0</v>
      </c>
      <c r="H660" s="1284">
        <v>0</v>
      </c>
      <c r="I660" s="1284">
        <v>0</v>
      </c>
      <c r="J660" s="180"/>
      <c r="K660" s="180"/>
      <c r="L660" s="180"/>
      <c r="M660" s="180"/>
      <c r="N660" s="180"/>
      <c r="O660" s="218"/>
    </row>
    <row r="661" spans="1:15">
      <c r="A661" s="1416" t="s">
        <v>2909</v>
      </c>
      <c r="B661" s="1416" t="s">
        <v>58</v>
      </c>
      <c r="C661" s="1279" t="s">
        <v>1530</v>
      </c>
      <c r="D661" s="1345">
        <f>+VLOOKUP(A661,'Costeo de Títulos'!C:L,10,0)</f>
        <v>101736902</v>
      </c>
      <c r="E661" s="1343">
        <f t="shared" si="48"/>
        <v>102190149.86029544</v>
      </c>
      <c r="F661" s="1284">
        <f t="shared" ref="F661:G661" si="95">+F446</f>
        <v>100000000</v>
      </c>
      <c r="G661" s="1344">
        <f t="shared" si="95"/>
        <v>0</v>
      </c>
      <c r="H661" s="1284">
        <v>0</v>
      </c>
      <c r="I661" s="1284">
        <v>0</v>
      </c>
      <c r="J661" s="180"/>
      <c r="K661" s="180"/>
      <c r="L661" s="180"/>
      <c r="M661" s="180"/>
      <c r="N661" s="180"/>
      <c r="O661" s="218"/>
    </row>
    <row r="662" spans="1:15">
      <c r="A662" s="1416" t="s">
        <v>2910</v>
      </c>
      <c r="B662" s="1416" t="s">
        <v>58</v>
      </c>
      <c r="C662" s="1279" t="s">
        <v>1530</v>
      </c>
      <c r="D662" s="1345">
        <f>+VLOOKUP(A662,'Costeo de Títulos'!C:L,10,0)</f>
        <v>101736902</v>
      </c>
      <c r="E662" s="1343">
        <f t="shared" si="48"/>
        <v>102190149.86029544</v>
      </c>
      <c r="F662" s="1284">
        <f t="shared" ref="F662:G662" si="96">+F447</f>
        <v>100000000</v>
      </c>
      <c r="G662" s="1344">
        <f t="shared" si="96"/>
        <v>0</v>
      </c>
      <c r="H662" s="1284">
        <v>0</v>
      </c>
      <c r="I662" s="1284">
        <v>0</v>
      </c>
      <c r="J662" s="180"/>
      <c r="K662" s="180"/>
      <c r="L662" s="180"/>
      <c r="M662" s="180"/>
      <c r="N662" s="180"/>
      <c r="O662" s="218"/>
    </row>
    <row r="663" spans="1:15">
      <c r="A663" s="1416" t="s">
        <v>2911</v>
      </c>
      <c r="B663" s="1416" t="s">
        <v>58</v>
      </c>
      <c r="C663" s="1279" t="s">
        <v>1530</v>
      </c>
      <c r="D663" s="1345">
        <f>+VLOOKUP(A663,'Costeo de Títulos'!C:L,10,0)</f>
        <v>101736902</v>
      </c>
      <c r="E663" s="1343">
        <f t="shared" si="48"/>
        <v>102190149.86029544</v>
      </c>
      <c r="F663" s="1284">
        <f t="shared" ref="F663:G663" si="97">+F448</f>
        <v>100000000</v>
      </c>
      <c r="G663" s="1344">
        <f t="shared" si="97"/>
        <v>0</v>
      </c>
      <c r="H663" s="1284">
        <v>0</v>
      </c>
      <c r="I663" s="1284">
        <v>0</v>
      </c>
      <c r="J663" s="180"/>
      <c r="K663" s="180"/>
      <c r="L663" s="180"/>
      <c r="M663" s="180"/>
      <c r="N663" s="180"/>
      <c r="O663" s="218"/>
    </row>
    <row r="664" spans="1:15">
      <c r="A664" s="1416" t="s">
        <v>2912</v>
      </c>
      <c r="B664" s="1416" t="s">
        <v>58</v>
      </c>
      <c r="C664" s="1279" t="s">
        <v>1530</v>
      </c>
      <c r="D664" s="1345">
        <f>+VLOOKUP(A664,'Costeo de Títulos'!C:L,10,0)</f>
        <v>101736902</v>
      </c>
      <c r="E664" s="1343">
        <f t="shared" si="48"/>
        <v>102190149.86029544</v>
      </c>
      <c r="F664" s="1284">
        <f t="shared" ref="F664:G664" si="98">+F449</f>
        <v>100000000</v>
      </c>
      <c r="G664" s="1344">
        <f t="shared" si="98"/>
        <v>0</v>
      </c>
      <c r="H664" s="1284">
        <v>0</v>
      </c>
      <c r="I664" s="1284">
        <v>0</v>
      </c>
      <c r="J664" s="180"/>
      <c r="K664" s="180"/>
      <c r="L664" s="180"/>
      <c r="M664" s="180"/>
      <c r="N664" s="180"/>
      <c r="O664" s="218"/>
    </row>
    <row r="665" spans="1:15">
      <c r="A665" s="1416" t="s">
        <v>2913</v>
      </c>
      <c r="B665" s="1416" t="s">
        <v>58</v>
      </c>
      <c r="C665" s="1279" t="s">
        <v>1530</v>
      </c>
      <c r="D665" s="1345">
        <f>+VLOOKUP(A665,'Costeo de Títulos'!C:L,10,0)</f>
        <v>101524026</v>
      </c>
      <c r="E665" s="1343">
        <f t="shared" si="48"/>
        <v>101875565.02397259</v>
      </c>
      <c r="F665" s="1284">
        <f t="shared" ref="F665:G665" si="99">+F450</f>
        <v>100000000</v>
      </c>
      <c r="G665" s="1344">
        <f t="shared" si="99"/>
        <v>0</v>
      </c>
      <c r="H665" s="1284">
        <v>0</v>
      </c>
      <c r="I665" s="1284">
        <v>0</v>
      </c>
      <c r="J665" s="180"/>
      <c r="K665" s="180"/>
      <c r="L665" s="180"/>
      <c r="M665" s="180"/>
      <c r="N665" s="180"/>
      <c r="O665" s="218"/>
    </row>
    <row r="666" spans="1:15">
      <c r="A666" s="1416" t="s">
        <v>2915</v>
      </c>
      <c r="B666" s="1416" t="s">
        <v>58</v>
      </c>
      <c r="C666" s="1279" t="s">
        <v>2914</v>
      </c>
      <c r="D666" s="1345">
        <f>+VLOOKUP(A666,'Costeo de Títulos'!C:L,10,0)</f>
        <v>500000000</v>
      </c>
      <c r="E666" s="1343">
        <f t="shared" si="48"/>
        <v>501991095.8904109</v>
      </c>
      <c r="F666" s="1284">
        <f t="shared" ref="F666:G666" si="100">+F451</f>
        <v>500000000</v>
      </c>
      <c r="G666" s="1344">
        <f t="shared" si="100"/>
        <v>0</v>
      </c>
      <c r="H666" s="1284">
        <v>0</v>
      </c>
      <c r="I666" s="1284">
        <v>0</v>
      </c>
      <c r="J666" s="180"/>
      <c r="K666" s="180"/>
      <c r="L666" s="180"/>
      <c r="M666" s="180"/>
      <c r="N666" s="180"/>
      <c r="O666" s="218"/>
    </row>
    <row r="667" spans="1:15">
      <c r="A667" s="1416" t="s">
        <v>2916</v>
      </c>
      <c r="B667" s="1416" t="s">
        <v>58</v>
      </c>
      <c r="C667" s="1279" t="s">
        <v>2914</v>
      </c>
      <c r="D667" s="1345">
        <f>+VLOOKUP(A667,'Costeo de Títulos'!C:L,10,0)</f>
        <v>500000000</v>
      </c>
      <c r="E667" s="1343">
        <f t="shared" si="48"/>
        <v>501991095.8904109</v>
      </c>
      <c r="F667" s="1284">
        <f t="shared" ref="F667:G667" si="101">+F452</f>
        <v>500000000</v>
      </c>
      <c r="G667" s="1344">
        <f t="shared" si="101"/>
        <v>0</v>
      </c>
      <c r="H667" s="1284">
        <v>0</v>
      </c>
      <c r="I667" s="1284">
        <v>0</v>
      </c>
      <c r="J667" s="180"/>
      <c r="K667" s="180"/>
      <c r="L667" s="180"/>
      <c r="M667" s="180"/>
      <c r="N667" s="180"/>
      <c r="O667" s="218"/>
    </row>
    <row r="668" spans="1:15">
      <c r="A668" s="1416" t="s">
        <v>2917</v>
      </c>
      <c r="B668" s="1416" t="s">
        <v>58</v>
      </c>
      <c r="C668" s="1279" t="s">
        <v>2914</v>
      </c>
      <c r="D668" s="1345">
        <f>+VLOOKUP(A668,'Costeo de Títulos'!C:L,10,0)</f>
        <v>500000000</v>
      </c>
      <c r="E668" s="1343">
        <f t="shared" si="48"/>
        <v>501991095.8904109</v>
      </c>
      <c r="F668" s="1284">
        <f t="shared" ref="F668:G668" si="102">+F453</f>
        <v>500000000</v>
      </c>
      <c r="G668" s="1344">
        <f t="shared" si="102"/>
        <v>0</v>
      </c>
      <c r="H668" s="1284">
        <v>0</v>
      </c>
      <c r="I668" s="1284">
        <v>0</v>
      </c>
      <c r="J668" s="180"/>
      <c r="K668" s="180"/>
      <c r="L668" s="180"/>
      <c r="M668" s="180"/>
      <c r="N668" s="180"/>
      <c r="O668" s="218"/>
    </row>
    <row r="669" spans="1:15">
      <c r="A669" s="1416" t="s">
        <v>2918</v>
      </c>
      <c r="B669" s="1416" t="s">
        <v>58</v>
      </c>
      <c r="C669" s="1279" t="s">
        <v>2914</v>
      </c>
      <c r="D669" s="1345">
        <f>+VLOOKUP(A669,'Costeo de Títulos'!C:L,10,0)</f>
        <v>500000000</v>
      </c>
      <c r="E669" s="1343">
        <f t="shared" si="48"/>
        <v>501991095.8904109</v>
      </c>
      <c r="F669" s="1284">
        <f t="shared" ref="F669:G669" si="103">+F454</f>
        <v>500000000</v>
      </c>
      <c r="G669" s="1344">
        <f t="shared" si="103"/>
        <v>0</v>
      </c>
      <c r="H669" s="1284">
        <v>0</v>
      </c>
      <c r="I669" s="1284">
        <v>0</v>
      </c>
      <c r="J669" s="180"/>
      <c r="K669" s="180"/>
      <c r="L669" s="180"/>
      <c r="M669" s="180"/>
      <c r="N669" s="180"/>
      <c r="O669" s="218"/>
    </row>
    <row r="670" spans="1:15">
      <c r="A670" s="1416" t="s">
        <v>2919</v>
      </c>
      <c r="B670" s="1416" t="s">
        <v>58</v>
      </c>
      <c r="C670" s="1279" t="s">
        <v>2914</v>
      </c>
      <c r="D670" s="1345">
        <f>+VLOOKUP(A670,'Costeo de Títulos'!C:L,10,0)</f>
        <v>500000000</v>
      </c>
      <c r="E670" s="1343">
        <f t="shared" si="48"/>
        <v>501991095.8904109</v>
      </c>
      <c r="F670" s="1284">
        <f t="shared" ref="F670:G670" si="104">+F455</f>
        <v>500000000</v>
      </c>
      <c r="G670" s="1344">
        <f t="shared" si="104"/>
        <v>0</v>
      </c>
      <c r="H670" s="1284">
        <v>0</v>
      </c>
      <c r="I670" s="1284">
        <v>0</v>
      </c>
      <c r="J670" s="180"/>
      <c r="K670" s="180"/>
      <c r="L670" s="180"/>
      <c r="M670" s="180"/>
      <c r="N670" s="180"/>
      <c r="O670" s="218"/>
    </row>
    <row r="671" spans="1:15">
      <c r="A671" s="1416" t="s">
        <v>2920</v>
      </c>
      <c r="B671" s="1416" t="s">
        <v>58</v>
      </c>
      <c r="C671" s="1279" t="s">
        <v>2914</v>
      </c>
      <c r="D671" s="1345">
        <f>+VLOOKUP(A671,'Costeo de Títulos'!C:L,10,0)</f>
        <v>500000000</v>
      </c>
      <c r="E671" s="1343">
        <f t="shared" si="48"/>
        <v>501991095.8904109</v>
      </c>
      <c r="F671" s="1284">
        <f t="shared" ref="F671:G671" si="105">+F456</f>
        <v>500000000</v>
      </c>
      <c r="G671" s="1344">
        <f t="shared" si="105"/>
        <v>0</v>
      </c>
      <c r="H671" s="1284">
        <v>0</v>
      </c>
      <c r="I671" s="1284">
        <v>0</v>
      </c>
      <c r="J671" s="180"/>
      <c r="K671" s="180"/>
      <c r="L671" s="180"/>
      <c r="M671" s="180"/>
      <c r="N671" s="180"/>
      <c r="O671" s="218"/>
    </row>
    <row r="672" spans="1:15">
      <c r="A672" s="1416" t="s">
        <v>2921</v>
      </c>
      <c r="B672" s="1416" t="s">
        <v>58</v>
      </c>
      <c r="C672" s="1279" t="s">
        <v>1688</v>
      </c>
      <c r="D672" s="1345">
        <f>+VLOOKUP(A672,'Costeo de Títulos'!C:L,10,0)</f>
        <v>497046286</v>
      </c>
      <c r="E672" s="1343">
        <f t="shared" si="48"/>
        <v>498507008.51809168</v>
      </c>
      <c r="F672" s="1284">
        <f t="shared" ref="F672:G672" si="106">+F457</f>
        <v>500000000</v>
      </c>
      <c r="G672" s="1344">
        <f t="shared" si="106"/>
        <v>0</v>
      </c>
      <c r="H672" s="1284">
        <v>0</v>
      </c>
      <c r="I672" s="1284">
        <v>0</v>
      </c>
      <c r="J672" s="180"/>
      <c r="K672" s="180"/>
      <c r="L672" s="180"/>
      <c r="M672" s="180"/>
      <c r="N672" s="180"/>
      <c r="O672" s="218"/>
    </row>
    <row r="673" spans="1:15">
      <c r="A673" s="1416" t="s">
        <v>2922</v>
      </c>
      <c r="B673" s="1416" t="s">
        <v>2973</v>
      </c>
      <c r="C673" s="1279" t="s">
        <v>1600</v>
      </c>
      <c r="D673" s="1345">
        <f>+VLOOKUP(A673,'Costeo de Títulos'!C:L,10,0)</f>
        <v>52008409</v>
      </c>
      <c r="E673" s="1343">
        <f t="shared" si="48"/>
        <v>52742103.71794872</v>
      </c>
      <c r="F673" s="1284">
        <f t="shared" ref="F673:G673" si="107">+F458</f>
        <v>50000000</v>
      </c>
      <c r="G673" s="1344">
        <f t="shared" si="107"/>
        <v>0</v>
      </c>
      <c r="H673" s="1284">
        <v>0</v>
      </c>
      <c r="I673" s="1284">
        <v>0</v>
      </c>
      <c r="J673" s="180"/>
      <c r="K673" s="180"/>
      <c r="L673" s="180"/>
      <c r="M673" s="180"/>
      <c r="N673" s="180"/>
      <c r="O673" s="218"/>
    </row>
    <row r="674" spans="1:15">
      <c r="A674" s="1416" t="s">
        <v>2923</v>
      </c>
      <c r="B674" s="1416" t="s">
        <v>2973</v>
      </c>
      <c r="C674" s="1279" t="s">
        <v>1600</v>
      </c>
      <c r="D674" s="1345">
        <f>+VLOOKUP(A674,'Costeo de Títulos'!C:L,10,0)</f>
        <v>52008409</v>
      </c>
      <c r="E674" s="1343">
        <f t="shared" si="48"/>
        <v>52742103.71794872</v>
      </c>
      <c r="F674" s="1284">
        <f t="shared" ref="F674:G674" si="108">+F459</f>
        <v>50000000</v>
      </c>
      <c r="G674" s="1344">
        <f t="shared" si="108"/>
        <v>0</v>
      </c>
      <c r="H674" s="1284">
        <v>0</v>
      </c>
      <c r="I674" s="1284">
        <v>0</v>
      </c>
      <c r="J674" s="180"/>
      <c r="K674" s="180"/>
      <c r="L674" s="180"/>
      <c r="M674" s="180"/>
      <c r="N674" s="180"/>
      <c r="O674" s="218"/>
    </row>
    <row r="675" spans="1:15">
      <c r="A675" s="1416" t="s">
        <v>2641</v>
      </c>
      <c r="B675" s="1416" t="s">
        <v>56</v>
      </c>
      <c r="C675" s="1279" t="s">
        <v>1511</v>
      </c>
      <c r="D675" s="1345">
        <f>+VLOOKUP(A675,'Costeo de Títulos'!C:L,10,0)</f>
        <v>815230312</v>
      </c>
      <c r="E675" s="1343">
        <f t="shared" si="48"/>
        <v>812771838.52302837</v>
      </c>
      <c r="F675" s="1284">
        <f t="shared" ref="F675:G675" si="109">+F460</f>
        <v>1000000</v>
      </c>
      <c r="G675" s="1344">
        <f t="shared" si="109"/>
        <v>0</v>
      </c>
      <c r="H675" s="1284">
        <v>0</v>
      </c>
      <c r="I675" s="1284">
        <v>0</v>
      </c>
      <c r="J675" s="180"/>
      <c r="K675" s="180"/>
      <c r="L675" s="180"/>
      <c r="M675" s="180"/>
      <c r="N675" s="180"/>
      <c r="O675" s="218"/>
    </row>
    <row r="676" spans="1:15">
      <c r="A676" s="1416" t="s">
        <v>1695</v>
      </c>
      <c r="B676" s="1416" t="s">
        <v>56</v>
      </c>
      <c r="C676" s="1279" t="s">
        <v>1511</v>
      </c>
      <c r="D676" s="1345">
        <f>+VLOOKUP(A676,'Costeo de Títulos'!C:L,10,0)</f>
        <v>457532985</v>
      </c>
      <c r="E676" s="1343">
        <f t="shared" si="48"/>
        <v>457706522.30310482</v>
      </c>
      <c r="F676" s="1284">
        <f t="shared" ref="F676:G676" si="110">+F461</f>
        <v>1000000</v>
      </c>
      <c r="G676" s="1344">
        <f t="shared" si="110"/>
        <v>0</v>
      </c>
      <c r="H676" s="1284">
        <v>0</v>
      </c>
      <c r="I676" s="1284">
        <v>0</v>
      </c>
      <c r="J676" s="180"/>
      <c r="K676" s="180"/>
      <c r="L676" s="180"/>
      <c r="M676" s="180"/>
      <c r="N676" s="180"/>
      <c r="O676" s="218"/>
    </row>
    <row r="677" spans="1:15">
      <c r="A677" s="1416" t="s">
        <v>2925</v>
      </c>
      <c r="B677" s="1416" t="s">
        <v>56</v>
      </c>
      <c r="C677" s="1279" t="s">
        <v>1511</v>
      </c>
      <c r="D677" s="1345">
        <f>+VLOOKUP(A677,'Costeo de Títulos'!C:L,10,0)</f>
        <v>775000000</v>
      </c>
      <c r="E677" s="1343">
        <f t="shared" si="48"/>
        <v>775153938.35616434</v>
      </c>
      <c r="F677" s="1284">
        <f t="shared" ref="F677:G677" si="111">+F462</f>
        <v>1000000</v>
      </c>
      <c r="G677" s="1344">
        <f t="shared" si="111"/>
        <v>0</v>
      </c>
      <c r="H677" s="1284">
        <v>0</v>
      </c>
      <c r="I677" s="1284">
        <v>0</v>
      </c>
      <c r="J677" s="180"/>
      <c r="K677" s="180"/>
      <c r="L677" s="180"/>
      <c r="M677" s="180"/>
      <c r="N677" s="180"/>
      <c r="O677" s="218"/>
    </row>
    <row r="678" spans="1:15">
      <c r="A678" s="1416" t="s">
        <v>2729</v>
      </c>
      <c r="B678" s="1416" t="s">
        <v>56</v>
      </c>
      <c r="C678" s="1279" t="s">
        <v>1548</v>
      </c>
      <c r="D678" s="1345">
        <f>+VLOOKUP(A678,'Costeo de Títulos'!C:L,10,0)</f>
        <v>426341821</v>
      </c>
      <c r="E678" s="1343">
        <f t="shared" si="48"/>
        <v>509864219.6525529</v>
      </c>
      <c r="F678" s="1284">
        <f t="shared" ref="F678:G678" si="112">+F463</f>
        <v>1000000</v>
      </c>
      <c r="G678" s="1344">
        <f t="shared" si="112"/>
        <v>0</v>
      </c>
      <c r="H678" s="1284">
        <v>0</v>
      </c>
      <c r="I678" s="1284">
        <v>0</v>
      </c>
      <c r="J678" s="180"/>
      <c r="K678" s="180"/>
      <c r="L678" s="180"/>
      <c r="M678" s="180"/>
      <c r="N678" s="180"/>
      <c r="O678" s="218"/>
    </row>
    <row r="679" spans="1:15">
      <c r="A679" s="1416" t="s">
        <v>2730</v>
      </c>
      <c r="B679" s="1416" t="s">
        <v>56</v>
      </c>
      <c r="C679" s="1279" t="s">
        <v>1548</v>
      </c>
      <c r="D679" s="1345">
        <f>+VLOOKUP(A679,'Costeo de Títulos'!C:L,10,0)</f>
        <v>463276880</v>
      </c>
      <c r="E679" s="1343">
        <f t="shared" ref="E679:E705" si="113">+J464</f>
        <v>458437951.00075454</v>
      </c>
      <c r="F679" s="1284">
        <f t="shared" ref="F679:G679" si="114">+F464</f>
        <v>1000000</v>
      </c>
      <c r="G679" s="1344">
        <f t="shared" si="114"/>
        <v>0</v>
      </c>
      <c r="H679" s="1284">
        <v>0</v>
      </c>
      <c r="I679" s="1284">
        <v>0</v>
      </c>
      <c r="J679" s="180"/>
      <c r="K679" s="180"/>
      <c r="L679" s="180"/>
      <c r="M679" s="180"/>
      <c r="N679" s="180"/>
      <c r="O679" s="218"/>
    </row>
    <row r="680" spans="1:15">
      <c r="A680" s="1416" t="s">
        <v>2927</v>
      </c>
      <c r="B680" s="1416" t="s">
        <v>1802</v>
      </c>
      <c r="C680" s="1279" t="s">
        <v>2926</v>
      </c>
      <c r="D680" s="1345">
        <f>+VLOOKUP(A680,'Costeo de Títulos'!C:L,10,0)</f>
        <v>975000000</v>
      </c>
      <c r="E680" s="1343">
        <f t="shared" si="113"/>
        <v>977218458.90410924</v>
      </c>
      <c r="F680" s="1284">
        <f t="shared" ref="F680:G680" si="115">+F465</f>
        <v>1000000</v>
      </c>
      <c r="G680" s="1344">
        <f t="shared" si="115"/>
        <v>0</v>
      </c>
      <c r="H680" s="1284">
        <v>0</v>
      </c>
      <c r="I680" s="1284">
        <v>0</v>
      </c>
      <c r="J680" s="180"/>
      <c r="K680" s="180"/>
      <c r="L680" s="180"/>
      <c r="M680" s="180"/>
      <c r="N680" s="180"/>
      <c r="O680" s="218"/>
    </row>
    <row r="681" spans="1:15">
      <c r="A681" s="1416" t="s">
        <v>1697</v>
      </c>
      <c r="B681" s="1416" t="s">
        <v>1802</v>
      </c>
      <c r="C681" s="1279" t="s">
        <v>1600</v>
      </c>
      <c r="D681" s="1345">
        <f>+VLOOKUP(A681,'Costeo de Títulos'!C:L,10,0)</f>
        <v>1955483212.9032257</v>
      </c>
      <c r="E681" s="1343">
        <f t="shared" si="113"/>
        <v>1977786362.5999999</v>
      </c>
      <c r="F681" s="1284">
        <f t="shared" ref="F681:G681" si="116">+F466</f>
        <v>1000000</v>
      </c>
      <c r="G681" s="1344">
        <f t="shared" si="116"/>
        <v>0</v>
      </c>
      <c r="H681" s="1284">
        <v>0</v>
      </c>
      <c r="I681" s="1284">
        <v>0</v>
      </c>
      <c r="J681" s="180"/>
      <c r="K681" s="180"/>
      <c r="L681" s="180"/>
      <c r="M681" s="180"/>
      <c r="N681" s="180"/>
      <c r="O681" s="218"/>
    </row>
    <row r="682" spans="1:15">
      <c r="A682" s="1416" t="s">
        <v>1659</v>
      </c>
      <c r="B682" s="1416" t="s">
        <v>1802</v>
      </c>
      <c r="C682" s="1279" t="s">
        <v>1600</v>
      </c>
      <c r="D682" s="1345">
        <f>+VLOOKUP(A682,'Costeo de Títulos'!C:L,10,0)</f>
        <v>650000000</v>
      </c>
      <c r="E682" s="1343">
        <f t="shared" si="113"/>
        <v>666089866.32602739</v>
      </c>
      <c r="F682" s="1284">
        <f t="shared" ref="F682:G682" si="117">+F467</f>
        <v>1000000</v>
      </c>
      <c r="G682" s="1344">
        <f t="shared" si="117"/>
        <v>0</v>
      </c>
      <c r="H682" s="1284">
        <v>0</v>
      </c>
      <c r="I682" s="1284">
        <v>0</v>
      </c>
      <c r="J682" s="180"/>
      <c r="K682" s="180"/>
      <c r="L682" s="180"/>
      <c r="M682" s="180"/>
      <c r="N682" s="180"/>
      <c r="O682" s="218"/>
    </row>
    <row r="683" spans="1:15">
      <c r="A683" s="1416" t="s">
        <v>2731</v>
      </c>
      <c r="B683" s="1416" t="s">
        <v>1802</v>
      </c>
      <c r="C683" s="1279" t="s">
        <v>1600</v>
      </c>
      <c r="D683" s="1345">
        <f>+VLOOKUP(A683,'Costeo de Títulos'!C:L,10,0)</f>
        <v>1443000000</v>
      </c>
      <c r="E683" s="1343">
        <f t="shared" si="113"/>
        <v>1452007877.76438</v>
      </c>
      <c r="F683" s="1284">
        <f t="shared" ref="F683:G683" si="118">+F468</f>
        <v>1000000</v>
      </c>
      <c r="G683" s="1344">
        <f t="shared" si="118"/>
        <v>0</v>
      </c>
      <c r="H683" s="1284">
        <v>0</v>
      </c>
      <c r="I683" s="1284">
        <v>0</v>
      </c>
      <c r="J683" s="180"/>
      <c r="K683" s="180"/>
      <c r="L683" s="180"/>
      <c r="M683" s="180"/>
      <c r="N683" s="180"/>
      <c r="O683" s="218"/>
    </row>
    <row r="684" spans="1:15">
      <c r="A684" s="1416" t="s">
        <v>2732</v>
      </c>
      <c r="B684" s="1416" t="s">
        <v>1802</v>
      </c>
      <c r="C684" s="1279" t="s">
        <v>1600</v>
      </c>
      <c r="D684" s="1345">
        <f>+VLOOKUP(A684,'Costeo de Títulos'!C:L,10,0)</f>
        <v>1533000000</v>
      </c>
      <c r="E684" s="1343">
        <f t="shared" si="113"/>
        <v>1569976799.5999999</v>
      </c>
      <c r="F684" s="1284">
        <f t="shared" ref="F684:G684" si="119">+F469</f>
        <v>1000000</v>
      </c>
      <c r="G684" s="1344">
        <f t="shared" si="119"/>
        <v>0</v>
      </c>
      <c r="H684" s="1284">
        <v>0</v>
      </c>
      <c r="I684" s="1284">
        <v>0</v>
      </c>
      <c r="J684" s="180"/>
      <c r="K684" s="180"/>
      <c r="L684" s="180"/>
      <c r="M684" s="180"/>
      <c r="N684" s="180"/>
      <c r="O684" s="218"/>
    </row>
    <row r="685" spans="1:15">
      <c r="A685" s="1416" t="s">
        <v>2733</v>
      </c>
      <c r="B685" s="1416" t="s">
        <v>1802</v>
      </c>
      <c r="C685" s="1279" t="s">
        <v>1600</v>
      </c>
      <c r="D685" s="1345">
        <f>+VLOOKUP(A685,'Costeo de Títulos'!C:L,10,0)</f>
        <v>159000000</v>
      </c>
      <c r="E685" s="1343">
        <f t="shared" si="113"/>
        <v>162781151.15068489</v>
      </c>
      <c r="F685" s="1284">
        <f t="shared" ref="F685:G685" si="120">+F470</f>
        <v>1000000</v>
      </c>
      <c r="G685" s="1344">
        <f t="shared" si="120"/>
        <v>0</v>
      </c>
      <c r="H685" s="1284">
        <v>0</v>
      </c>
      <c r="I685" s="1284">
        <v>0</v>
      </c>
      <c r="J685" s="180"/>
      <c r="K685" s="180"/>
      <c r="L685" s="180"/>
      <c r="M685" s="180"/>
      <c r="N685" s="180"/>
      <c r="O685" s="218"/>
    </row>
    <row r="686" spans="1:15">
      <c r="A686" s="1416" t="s">
        <v>2928</v>
      </c>
      <c r="B686" s="1416" t="s">
        <v>1802</v>
      </c>
      <c r="C686" s="1279" t="s">
        <v>1600</v>
      </c>
      <c r="D686" s="1345">
        <f>+VLOOKUP(A686,'Costeo de Títulos'!C:L,10,0)</f>
        <v>35000000</v>
      </c>
      <c r="E686" s="1343">
        <f t="shared" si="113"/>
        <v>35535644</v>
      </c>
      <c r="F686" s="1284">
        <f t="shared" ref="F686:G686" si="121">+F471</f>
        <v>1000000</v>
      </c>
      <c r="G686" s="1344">
        <f t="shared" si="121"/>
        <v>0</v>
      </c>
      <c r="H686" s="1284">
        <v>0</v>
      </c>
      <c r="I686" s="1284">
        <v>0</v>
      </c>
      <c r="J686" s="180"/>
      <c r="K686" s="180"/>
      <c r="L686" s="180"/>
      <c r="M686" s="180"/>
      <c r="N686" s="180"/>
      <c r="O686" s="218"/>
    </row>
    <row r="687" spans="1:15">
      <c r="A687" s="1416" t="s">
        <v>2929</v>
      </c>
      <c r="B687" s="1416" t="s">
        <v>1802</v>
      </c>
      <c r="C687" s="1279" t="s">
        <v>1600</v>
      </c>
      <c r="D687" s="1345">
        <f>+VLOOKUP(A687,'Costeo de Títulos'!C:L,10,0)</f>
        <v>63000000</v>
      </c>
      <c r="E687" s="1343">
        <f t="shared" si="113"/>
        <v>63604368.356164396</v>
      </c>
      <c r="F687" s="1284">
        <f t="shared" ref="F687:G687" si="122">+F472</f>
        <v>1000000</v>
      </c>
      <c r="G687" s="1344">
        <f t="shared" si="122"/>
        <v>0</v>
      </c>
      <c r="H687" s="1284">
        <v>0</v>
      </c>
      <c r="I687" s="1284">
        <v>0</v>
      </c>
      <c r="J687" s="180"/>
      <c r="K687" s="180"/>
      <c r="L687" s="180"/>
      <c r="M687" s="180"/>
      <c r="N687" s="180"/>
      <c r="O687" s="218"/>
    </row>
    <row r="688" spans="1:15">
      <c r="A688" s="1416" t="s">
        <v>2930</v>
      </c>
      <c r="B688" s="1416" t="s">
        <v>1802</v>
      </c>
      <c r="C688" s="1279" t="s">
        <v>1600</v>
      </c>
      <c r="D688" s="1345">
        <f>+VLOOKUP(A688,'Costeo de Títulos'!C:L,10,0)</f>
        <v>840000000</v>
      </c>
      <c r="E688" s="1343">
        <f t="shared" si="113"/>
        <v>844517589.27397299</v>
      </c>
      <c r="F688" s="1284">
        <f t="shared" ref="F688:G688" si="123">+F473</f>
        <v>1000000</v>
      </c>
      <c r="G688" s="1344">
        <f t="shared" si="123"/>
        <v>0</v>
      </c>
      <c r="H688" s="1284">
        <v>0</v>
      </c>
      <c r="I688" s="1284">
        <v>0</v>
      </c>
      <c r="J688" s="180"/>
      <c r="K688" s="180"/>
      <c r="L688" s="180"/>
      <c r="M688" s="180"/>
      <c r="N688" s="180"/>
      <c r="O688" s="218"/>
    </row>
    <row r="689" spans="1:15">
      <c r="A689" s="1416" t="s">
        <v>2931</v>
      </c>
      <c r="B689" s="1416" t="s">
        <v>1802</v>
      </c>
      <c r="C689" s="1279" t="s">
        <v>1600</v>
      </c>
      <c r="D689" s="1345">
        <f>+VLOOKUP(A689,'Costeo de Títulos'!C:L,10,0)</f>
        <v>2160000000</v>
      </c>
      <c r="E689" s="1343">
        <f t="shared" si="113"/>
        <v>2165326027.6164384</v>
      </c>
      <c r="F689" s="1284">
        <f t="shared" ref="F689:G689" si="124">+F474</f>
        <v>1000000</v>
      </c>
      <c r="G689" s="1344">
        <f t="shared" si="124"/>
        <v>0</v>
      </c>
      <c r="H689" s="1284">
        <v>0</v>
      </c>
      <c r="I689" s="1284">
        <v>0</v>
      </c>
      <c r="J689" s="180"/>
      <c r="K689" s="180"/>
      <c r="L689" s="180"/>
      <c r="M689" s="180"/>
      <c r="N689" s="180"/>
      <c r="O689" s="218"/>
    </row>
    <row r="690" spans="1:15">
      <c r="A690" s="1416" t="s">
        <v>2933</v>
      </c>
      <c r="B690" s="1416" t="s">
        <v>526</v>
      </c>
      <c r="C690" s="1279" t="s">
        <v>1634</v>
      </c>
      <c r="D690" s="1345">
        <f>+VLOOKUP(A690,'Costeo de Títulos'!C:L,10,0)</f>
        <v>262113990</v>
      </c>
      <c r="E690" s="1343">
        <f t="shared" si="113"/>
        <v>265324352.99246705</v>
      </c>
      <c r="F690" s="1284">
        <f t="shared" ref="F690:G690" si="125">+F475</f>
        <v>1000000</v>
      </c>
      <c r="G690" s="1344">
        <f t="shared" si="125"/>
        <v>0</v>
      </c>
      <c r="H690" s="1284">
        <v>0</v>
      </c>
      <c r="I690" s="1284">
        <v>0</v>
      </c>
      <c r="J690" s="180"/>
      <c r="K690" s="180"/>
      <c r="L690" s="180"/>
      <c r="M690" s="180"/>
      <c r="N690" s="180"/>
      <c r="O690" s="218"/>
    </row>
    <row r="691" spans="1:15">
      <c r="A691" s="1416" t="s">
        <v>2734</v>
      </c>
      <c r="B691" s="1416" t="s">
        <v>526</v>
      </c>
      <c r="C691" s="1279" t="s">
        <v>1634</v>
      </c>
      <c r="D691" s="1345">
        <f>+VLOOKUP(A691,'Costeo de Títulos'!C:L,10,0)</f>
        <v>1306000000</v>
      </c>
      <c r="E691" s="1343">
        <f t="shared" si="113"/>
        <v>1309392021.9178076</v>
      </c>
      <c r="F691" s="1284">
        <f t="shared" ref="F691:G691" si="126">+F476</f>
        <v>1000000</v>
      </c>
      <c r="G691" s="1344">
        <f t="shared" si="126"/>
        <v>0</v>
      </c>
      <c r="H691" s="1284">
        <v>0</v>
      </c>
      <c r="I691" s="1284">
        <v>0</v>
      </c>
      <c r="J691" s="180"/>
      <c r="K691" s="180"/>
      <c r="L691" s="180"/>
      <c r="M691" s="180"/>
      <c r="N691" s="180"/>
      <c r="O691" s="218"/>
    </row>
    <row r="692" spans="1:15">
      <c r="A692" s="1416" t="s">
        <v>1786</v>
      </c>
      <c r="B692" s="1416" t="s">
        <v>62</v>
      </c>
      <c r="C692" s="1279" t="s">
        <v>2934</v>
      </c>
      <c r="D692" s="1345">
        <f>+VLOOKUP(A692,'Costeo de Títulos'!C:L,10,0)</f>
        <v>120983040</v>
      </c>
      <c r="E692" s="1343">
        <f t="shared" si="113"/>
        <v>122271037.1087147</v>
      </c>
      <c r="F692" s="1284">
        <f t="shared" ref="F692:G692" si="127">+F477</f>
        <v>1000000</v>
      </c>
      <c r="G692" s="1344">
        <f t="shared" si="127"/>
        <v>0</v>
      </c>
      <c r="H692" s="1284">
        <v>0</v>
      </c>
      <c r="I692" s="1284">
        <v>0</v>
      </c>
      <c r="J692" s="180"/>
      <c r="K692" s="180"/>
      <c r="L692" s="180"/>
      <c r="M692" s="180"/>
      <c r="N692" s="180"/>
      <c r="O692" s="218"/>
    </row>
    <row r="693" spans="1:15">
      <c r="A693" s="1416" t="s">
        <v>1699</v>
      </c>
      <c r="B693" s="1416" t="s">
        <v>62</v>
      </c>
      <c r="C693" s="1279" t="s">
        <v>1616</v>
      </c>
      <c r="D693" s="1345">
        <f>+VLOOKUP(A693,'Costeo de Títulos'!C:L,10,0)</f>
        <v>322638600</v>
      </c>
      <c r="E693" s="1343">
        <f t="shared" si="113"/>
        <v>321028584.69714427</v>
      </c>
      <c r="F693" s="1284">
        <f t="shared" ref="F693:G693" si="128">+F478</f>
        <v>1000000</v>
      </c>
      <c r="G693" s="1344">
        <f t="shared" si="128"/>
        <v>0</v>
      </c>
      <c r="H693" s="1284">
        <v>0</v>
      </c>
      <c r="I693" s="1284">
        <v>0</v>
      </c>
      <c r="J693" s="180"/>
      <c r="K693" s="180"/>
      <c r="L693" s="180"/>
      <c r="M693" s="180"/>
      <c r="N693" s="180"/>
      <c r="O693" s="218"/>
    </row>
    <row r="694" spans="1:15">
      <c r="A694" s="1416" t="s">
        <v>2871</v>
      </c>
      <c r="B694" s="1416" t="s">
        <v>62</v>
      </c>
      <c r="C694" s="1464" t="s">
        <v>1616</v>
      </c>
      <c r="D694" s="1465">
        <f>+'Costeo de Títulos'!L85</f>
        <v>3303000000</v>
      </c>
      <c r="E694" s="1466">
        <f t="shared" si="113"/>
        <v>3312881852.0547953</v>
      </c>
      <c r="F694" s="1284">
        <f t="shared" ref="F694:G694" si="129">+F479</f>
        <v>1000000</v>
      </c>
      <c r="G694" s="1344">
        <f t="shared" si="129"/>
        <v>0</v>
      </c>
      <c r="H694" s="1284">
        <v>0</v>
      </c>
      <c r="I694" s="1284">
        <v>0</v>
      </c>
      <c r="J694" s="180"/>
      <c r="K694" s="180"/>
      <c r="L694" s="180"/>
      <c r="M694" s="180"/>
      <c r="N694" s="180"/>
      <c r="O694" s="218"/>
    </row>
    <row r="695" spans="1:15">
      <c r="A695" s="1416" t="s">
        <v>2935</v>
      </c>
      <c r="B695" s="1416" t="s">
        <v>62</v>
      </c>
      <c r="C695" s="1279" t="s">
        <v>1616</v>
      </c>
      <c r="D695" s="1345">
        <f>+VLOOKUP(A695,'Costeo de Títulos'!C:L,10,0)</f>
        <v>529999596</v>
      </c>
      <c r="E695" s="1343">
        <f t="shared" si="113"/>
        <v>529827662.84474379</v>
      </c>
      <c r="F695" s="1284">
        <f t="shared" ref="F695:G695" si="130">+F480</f>
        <v>1000000</v>
      </c>
      <c r="G695" s="1344">
        <f t="shared" si="130"/>
        <v>0</v>
      </c>
      <c r="H695" s="1284">
        <v>0</v>
      </c>
      <c r="I695" s="1284">
        <v>0</v>
      </c>
      <c r="J695" s="180"/>
      <c r="K695" s="180"/>
      <c r="L695" s="180"/>
      <c r="M695" s="180"/>
      <c r="N695" s="180"/>
      <c r="O695" s="218"/>
    </row>
    <row r="696" spans="1:15">
      <c r="A696" s="1416" t="s">
        <v>2735</v>
      </c>
      <c r="B696" s="1416" t="s">
        <v>58</v>
      </c>
      <c r="C696" s="1279" t="s">
        <v>2601</v>
      </c>
      <c r="D696" s="1345">
        <f>+VLOOKUP(A696,'Costeo de Títulos'!C:L,10,0)</f>
        <v>238465312.75439999</v>
      </c>
      <c r="E696" s="1343">
        <f t="shared" si="113"/>
        <v>240102578.62007999</v>
      </c>
      <c r="F696" s="1284">
        <f t="shared" ref="F696:G696" si="131">+F481</f>
        <v>0</v>
      </c>
      <c r="G696" s="1344">
        <f t="shared" si="131"/>
        <v>30000</v>
      </c>
      <c r="H696" s="1284">
        <v>0</v>
      </c>
      <c r="I696" s="1284">
        <v>0</v>
      </c>
      <c r="J696" s="180"/>
      <c r="K696" s="180"/>
      <c r="L696" s="180"/>
      <c r="M696" s="180"/>
      <c r="N696" s="180"/>
      <c r="O696" s="218"/>
    </row>
    <row r="697" spans="1:15">
      <c r="A697" s="1416" t="s">
        <v>2326</v>
      </c>
      <c r="B697" s="1416" t="s">
        <v>58</v>
      </c>
      <c r="C697" s="1279" t="s">
        <v>1515</v>
      </c>
      <c r="D697" s="1345">
        <f>+VLOOKUP(A697,'Costeo de Títulos'!C:L,10,0)</f>
        <v>396252436.80059999</v>
      </c>
      <c r="E697" s="1343">
        <f t="shared" si="113"/>
        <v>397532808.65430003</v>
      </c>
      <c r="F697" s="1284">
        <f t="shared" ref="F697:G697" si="132">+F482</f>
        <v>0</v>
      </c>
      <c r="G697" s="1344">
        <f t="shared" si="132"/>
        <v>50000</v>
      </c>
      <c r="H697" s="1284">
        <v>0</v>
      </c>
      <c r="I697" s="1284">
        <v>0</v>
      </c>
      <c r="J697" s="180"/>
      <c r="K697" s="180"/>
      <c r="L697" s="180"/>
      <c r="M697" s="180"/>
      <c r="N697" s="180"/>
      <c r="O697" s="218"/>
    </row>
    <row r="698" spans="1:15">
      <c r="A698" s="1416" t="s">
        <v>2328</v>
      </c>
      <c r="B698" s="1416" t="s">
        <v>58</v>
      </c>
      <c r="C698" s="1279" t="s">
        <v>1515</v>
      </c>
      <c r="D698" s="1345">
        <f>+VLOOKUP(A698,'Costeo de Títulos'!C:L,10,0)</f>
        <v>396252436.80059999</v>
      </c>
      <c r="E698" s="1343">
        <f t="shared" si="113"/>
        <v>397532816.48556</v>
      </c>
      <c r="F698" s="1284">
        <f t="shared" ref="F698:G698" si="133">+F483</f>
        <v>0</v>
      </c>
      <c r="G698" s="1344">
        <f t="shared" si="133"/>
        <v>50000</v>
      </c>
      <c r="H698" s="1284">
        <v>0</v>
      </c>
      <c r="I698" s="1284">
        <v>0</v>
      </c>
      <c r="J698" s="180"/>
      <c r="K698" s="180"/>
      <c r="L698" s="180"/>
      <c r="M698" s="180"/>
      <c r="N698" s="180"/>
      <c r="O698" s="218"/>
    </row>
    <row r="699" spans="1:15">
      <c r="A699" s="1416" t="s">
        <v>2272</v>
      </c>
      <c r="B699" s="1416" t="s">
        <v>58</v>
      </c>
      <c r="C699" s="1279" t="s">
        <v>1515</v>
      </c>
      <c r="D699" s="1345">
        <f>+VLOOKUP(A699,'Costeo de Títulos'!C:L,10,0)</f>
        <v>398055192.85260004</v>
      </c>
      <c r="E699" s="1343">
        <f t="shared" si="113"/>
        <v>399331304.50085998</v>
      </c>
      <c r="F699" s="1284">
        <f t="shared" ref="F699:G699" si="134">+F484</f>
        <v>0</v>
      </c>
      <c r="G699" s="1344">
        <f t="shared" si="134"/>
        <v>50000</v>
      </c>
      <c r="H699" s="1284">
        <v>0</v>
      </c>
      <c r="I699" s="1284">
        <v>0</v>
      </c>
      <c r="J699" s="180"/>
      <c r="K699" s="180"/>
      <c r="L699" s="180"/>
      <c r="M699" s="180"/>
      <c r="N699" s="180"/>
      <c r="O699" s="218"/>
    </row>
    <row r="700" spans="1:15">
      <c r="A700" s="1416" t="s">
        <v>2938</v>
      </c>
      <c r="B700" s="1416" t="s">
        <v>1802</v>
      </c>
      <c r="C700" s="1279" t="s">
        <v>1600</v>
      </c>
      <c r="D700" s="1345">
        <f>+VLOOKUP(A700,'Costeo de Títulos'!C:L,10,0)</f>
        <v>3148166520</v>
      </c>
      <c r="E700" s="1343">
        <f t="shared" si="113"/>
        <v>3153600318.0636005</v>
      </c>
      <c r="F700" s="1284">
        <f t="shared" ref="F700:G700" si="135">+F485</f>
        <v>0</v>
      </c>
      <c r="G700" s="1344">
        <f t="shared" si="135"/>
        <v>1000</v>
      </c>
      <c r="H700" s="1284">
        <v>0</v>
      </c>
      <c r="I700" s="1284">
        <v>0</v>
      </c>
      <c r="J700" s="180"/>
      <c r="K700" s="180"/>
      <c r="L700" s="180"/>
      <c r="M700" s="180"/>
      <c r="N700" s="180"/>
      <c r="O700" s="218"/>
    </row>
    <row r="701" spans="1:15">
      <c r="A701" s="1416" t="s">
        <v>2939</v>
      </c>
      <c r="B701" s="1416" t="s">
        <v>1802</v>
      </c>
      <c r="C701" s="1279" t="s">
        <v>1600</v>
      </c>
      <c r="D701" s="1345">
        <f>+VLOOKUP(A701,'Costeo de Títulos'!C:L,10,0)</f>
        <v>3249972900</v>
      </c>
      <c r="E701" s="1343">
        <f t="shared" si="113"/>
        <v>3255742738.4302001</v>
      </c>
      <c r="F701" s="1284">
        <f t="shared" ref="F701:G701" si="136">+F486</f>
        <v>0</v>
      </c>
      <c r="G701" s="1344">
        <f t="shared" si="136"/>
        <v>1000</v>
      </c>
      <c r="H701" s="1284">
        <v>0</v>
      </c>
      <c r="I701" s="1284">
        <v>0</v>
      </c>
      <c r="J701" s="180"/>
      <c r="K701" s="180"/>
      <c r="L701" s="180"/>
      <c r="M701" s="180"/>
      <c r="N701" s="180"/>
      <c r="O701" s="218"/>
    </row>
    <row r="702" spans="1:15">
      <c r="A702" s="1416" t="s">
        <v>2940</v>
      </c>
      <c r="B702" s="1416" t="s">
        <v>1802</v>
      </c>
      <c r="C702" s="1279" t="s">
        <v>1600</v>
      </c>
      <c r="D702" s="1345">
        <f>+VLOOKUP(A702,'Costeo de Títulos'!C:L,10,0)</f>
        <v>509031900</v>
      </c>
      <c r="E702" s="1343">
        <f t="shared" si="113"/>
        <v>511026209.47160006</v>
      </c>
      <c r="F702" s="1284">
        <f t="shared" ref="F702:G702" si="137">+F487</f>
        <v>0</v>
      </c>
      <c r="G702" s="1344">
        <f t="shared" si="137"/>
        <v>1000</v>
      </c>
      <c r="H702" s="1284">
        <v>0</v>
      </c>
      <c r="I702" s="1284">
        <v>0</v>
      </c>
      <c r="J702" s="180"/>
      <c r="K702" s="180"/>
      <c r="L702" s="180"/>
      <c r="M702" s="180"/>
      <c r="N702" s="180"/>
      <c r="O702" s="218"/>
    </row>
    <row r="703" spans="1:15">
      <c r="A703" s="1416" t="s">
        <v>2937</v>
      </c>
      <c r="B703" s="1416" t="s">
        <v>56</v>
      </c>
      <c r="C703" s="1279" t="s">
        <v>2926</v>
      </c>
      <c r="D703" s="1345">
        <f>+VLOOKUP(A703,'Costeo de Títulos'!C:L,10,0)</f>
        <v>2153596500</v>
      </c>
      <c r="E703" s="1343">
        <f t="shared" si="113"/>
        <v>2157166144.9331999</v>
      </c>
      <c r="F703" s="1284">
        <f t="shared" ref="F703:G703" si="138">+F488</f>
        <v>0</v>
      </c>
      <c r="G703" s="1344">
        <f t="shared" si="138"/>
        <v>1000</v>
      </c>
      <c r="H703" s="1284">
        <v>0</v>
      </c>
      <c r="I703" s="1284">
        <v>0</v>
      </c>
      <c r="J703" s="180"/>
      <c r="K703" s="180"/>
      <c r="L703" s="180"/>
      <c r="M703" s="180"/>
      <c r="N703" s="180"/>
      <c r="O703" s="218"/>
    </row>
    <row r="704" spans="1:15">
      <c r="A704" s="1416" t="s">
        <v>2941</v>
      </c>
      <c r="B704" s="1416" t="s">
        <v>526</v>
      </c>
      <c r="C704" s="1279" t="s">
        <v>2737</v>
      </c>
      <c r="D704" s="1345">
        <f>+VLOOKUP(A704,'Costeo de Títulos'!C:L,10,0)</f>
        <v>1025895060</v>
      </c>
      <c r="E704" s="1343">
        <f t="shared" si="113"/>
        <v>1031923947.6797402</v>
      </c>
      <c r="F704" s="1284">
        <f t="shared" ref="F704:G704" si="139">+F489</f>
        <v>0</v>
      </c>
      <c r="G704" s="1344">
        <f t="shared" si="139"/>
        <v>1000</v>
      </c>
      <c r="H704" s="1284">
        <v>0</v>
      </c>
      <c r="I704" s="1284">
        <v>0</v>
      </c>
      <c r="J704" s="180"/>
      <c r="K704" s="180"/>
      <c r="L704" s="180"/>
      <c r="M704" s="180"/>
      <c r="N704" s="180"/>
      <c r="O704" s="218"/>
    </row>
    <row r="705" spans="1:15">
      <c r="A705" s="1416" t="s">
        <v>2942</v>
      </c>
      <c r="B705" s="1416" t="s">
        <v>526</v>
      </c>
      <c r="C705" s="1279" t="s">
        <v>2737</v>
      </c>
      <c r="D705" s="1345">
        <f>+VLOOKUP(A705,'Costeo de Títulos'!C:L,10,0)</f>
        <v>119884452.14700001</v>
      </c>
      <c r="E705" s="1343">
        <f t="shared" si="113"/>
        <v>120601803.39426</v>
      </c>
      <c r="F705" s="1284">
        <f t="shared" ref="F705:G705" si="140">+F490</f>
        <v>0</v>
      </c>
      <c r="G705" s="1344">
        <f t="shared" si="140"/>
        <v>1000</v>
      </c>
      <c r="H705" s="1284">
        <v>0</v>
      </c>
      <c r="I705" s="1284">
        <v>0</v>
      </c>
      <c r="J705" s="180"/>
      <c r="K705" s="180"/>
      <c r="L705" s="180"/>
      <c r="M705" s="180"/>
      <c r="N705" s="180"/>
      <c r="O705" s="218"/>
    </row>
    <row r="706" spans="1:15">
      <c r="A706" s="1416" t="s">
        <v>1728</v>
      </c>
      <c r="B706" s="1416" t="s">
        <v>1671</v>
      </c>
      <c r="C706" s="1279" t="s">
        <v>2741</v>
      </c>
      <c r="D706" s="1345">
        <f>+VLOOKUP(A706,'Costeo de Títulos'!C:L,10,0)</f>
        <v>2662509735.6538982</v>
      </c>
      <c r="E706" s="1343">
        <f>+J515</f>
        <v>2678281562</v>
      </c>
      <c r="F706" s="1284">
        <f>+F515</f>
        <v>1000000</v>
      </c>
      <c r="G706" s="1344">
        <f>+G515</f>
        <v>0</v>
      </c>
      <c r="H706" s="1284">
        <v>0</v>
      </c>
      <c r="I706" s="1284">
        <v>0</v>
      </c>
      <c r="J706" s="180"/>
      <c r="K706" s="180"/>
      <c r="L706" s="180"/>
      <c r="M706" s="180"/>
      <c r="N706" s="180"/>
      <c r="O706" s="218"/>
    </row>
    <row r="707" spans="1:15">
      <c r="A707" s="1416" t="s">
        <v>1672</v>
      </c>
      <c r="B707" s="1416" t="s">
        <v>1671</v>
      </c>
      <c r="C707" s="1279" t="s">
        <v>2741</v>
      </c>
      <c r="D707" s="1345">
        <f>+VLOOKUP(A707,'Costeo de Títulos'!C:L,10,0)</f>
        <v>71431280</v>
      </c>
      <c r="E707" s="1343">
        <f t="shared" ref="E707:E770" si="141">+J516</f>
        <v>71315769.924197182</v>
      </c>
      <c r="F707" s="1284">
        <f t="shared" ref="F707:G770" si="142">+F516</f>
        <v>1000000</v>
      </c>
      <c r="G707" s="1344">
        <f t="shared" si="142"/>
        <v>0</v>
      </c>
      <c r="H707" s="1284">
        <v>0</v>
      </c>
      <c r="I707" s="1284">
        <v>0</v>
      </c>
      <c r="J707" s="180"/>
      <c r="K707" s="180"/>
      <c r="L707" s="180"/>
      <c r="M707" s="180"/>
      <c r="N707" s="180"/>
      <c r="O707" s="218"/>
    </row>
    <row r="708" spans="1:15">
      <c r="A708" s="1416" t="s">
        <v>1669</v>
      </c>
      <c r="B708" s="1416" t="s">
        <v>1668</v>
      </c>
      <c r="C708" s="1279" t="s">
        <v>1504</v>
      </c>
      <c r="D708" s="1345">
        <f>+VLOOKUP(A708,'Costeo de Títulos'!C:L,10,0)</f>
        <v>752921179.36842096</v>
      </c>
      <c r="E708" s="1343">
        <f t="shared" si="141"/>
        <v>780599388.10237134</v>
      </c>
      <c r="F708" s="1284">
        <f t="shared" si="142"/>
        <v>10000000</v>
      </c>
      <c r="G708" s="1344">
        <f t="shared" si="142"/>
        <v>0</v>
      </c>
      <c r="H708" s="1284">
        <v>0</v>
      </c>
      <c r="I708" s="1284">
        <v>0</v>
      </c>
      <c r="J708" s="180"/>
      <c r="K708" s="180"/>
      <c r="L708" s="180"/>
      <c r="M708" s="180"/>
      <c r="N708" s="180"/>
      <c r="O708" s="218"/>
    </row>
    <row r="709" spans="1:15">
      <c r="A709" s="1416" t="s">
        <v>2745</v>
      </c>
      <c r="B709" s="1416" t="s">
        <v>58</v>
      </c>
      <c r="C709" s="1279" t="s">
        <v>1515</v>
      </c>
      <c r="D709" s="1345">
        <f>+VLOOKUP(A709,'Costeo de Títulos'!C:L,10,0)</f>
        <v>100000000</v>
      </c>
      <c r="E709" s="1343">
        <f t="shared" si="141"/>
        <v>105136986.30136986</v>
      </c>
      <c r="F709" s="1284">
        <f t="shared" si="142"/>
        <v>100000000</v>
      </c>
      <c r="G709" s="1344">
        <f t="shared" si="142"/>
        <v>0</v>
      </c>
      <c r="H709" s="1284">
        <v>0</v>
      </c>
      <c r="I709" s="1284">
        <v>0</v>
      </c>
      <c r="J709" s="180"/>
      <c r="K709" s="180"/>
      <c r="L709" s="180"/>
      <c r="M709" s="180"/>
      <c r="N709" s="180"/>
      <c r="O709" s="218"/>
    </row>
    <row r="710" spans="1:15">
      <c r="A710" s="1416" t="s">
        <v>2746</v>
      </c>
      <c r="B710" s="1416" t="s">
        <v>58</v>
      </c>
      <c r="C710" s="1279" t="s">
        <v>1515</v>
      </c>
      <c r="D710" s="1345">
        <f>+VLOOKUP(A710,'Costeo de Títulos'!C:L,10,0)</f>
        <v>100000000</v>
      </c>
      <c r="E710" s="1343">
        <f t="shared" si="141"/>
        <v>105136986.30136986</v>
      </c>
      <c r="F710" s="1284">
        <f t="shared" si="142"/>
        <v>100000000</v>
      </c>
      <c r="G710" s="1344">
        <f t="shared" si="142"/>
        <v>0</v>
      </c>
      <c r="H710" s="1284">
        <v>0</v>
      </c>
      <c r="I710" s="1284">
        <v>0</v>
      </c>
      <c r="J710" s="180"/>
      <c r="K710" s="180"/>
      <c r="L710" s="180"/>
      <c r="M710" s="180"/>
      <c r="N710" s="180"/>
      <c r="O710" s="218"/>
    </row>
    <row r="711" spans="1:15">
      <c r="A711" s="1416" t="s">
        <v>2747</v>
      </c>
      <c r="B711" s="1416" t="s">
        <v>58</v>
      </c>
      <c r="C711" s="1279" t="s">
        <v>1515</v>
      </c>
      <c r="D711" s="1345">
        <f>+VLOOKUP(A711,'Costeo de Títulos'!C:L,10,0)</f>
        <v>100000000</v>
      </c>
      <c r="E711" s="1343">
        <f t="shared" si="141"/>
        <v>105136986.30136986</v>
      </c>
      <c r="F711" s="1284">
        <f t="shared" si="142"/>
        <v>100000000</v>
      </c>
      <c r="G711" s="1344">
        <f t="shared" si="142"/>
        <v>0</v>
      </c>
      <c r="H711" s="1284">
        <v>0</v>
      </c>
      <c r="I711" s="1284">
        <v>0</v>
      </c>
      <c r="J711" s="180"/>
      <c r="K711" s="180"/>
      <c r="L711" s="180"/>
      <c r="M711" s="180"/>
      <c r="N711" s="180"/>
      <c r="O711" s="218"/>
    </row>
    <row r="712" spans="1:15">
      <c r="A712" s="1416" t="s">
        <v>2748</v>
      </c>
      <c r="B712" s="1416" t="s">
        <v>58</v>
      </c>
      <c r="C712" s="1279" t="s">
        <v>1515</v>
      </c>
      <c r="D712" s="1345">
        <f>+VLOOKUP(A712,'Costeo de Títulos'!C:L,10,0)</f>
        <v>100000000</v>
      </c>
      <c r="E712" s="1343">
        <f t="shared" si="141"/>
        <v>105136986.30136986</v>
      </c>
      <c r="F712" s="1284">
        <f t="shared" si="142"/>
        <v>100000000</v>
      </c>
      <c r="G712" s="1344">
        <f t="shared" si="142"/>
        <v>0</v>
      </c>
      <c r="H712" s="1284">
        <v>0</v>
      </c>
      <c r="I712" s="1284">
        <v>0</v>
      </c>
      <c r="J712" s="180"/>
      <c r="K712" s="180"/>
      <c r="L712" s="180"/>
      <c r="M712" s="180"/>
      <c r="N712" s="180"/>
      <c r="O712" s="218"/>
    </row>
    <row r="713" spans="1:15">
      <c r="A713" s="1416" t="s">
        <v>2749</v>
      </c>
      <c r="B713" s="1416" t="s">
        <v>58</v>
      </c>
      <c r="C713" s="1279" t="s">
        <v>1515</v>
      </c>
      <c r="D713" s="1345">
        <f>+VLOOKUP(A713,'Costeo de Títulos'!C:L,10,0)</f>
        <v>100000000</v>
      </c>
      <c r="E713" s="1343">
        <f t="shared" si="141"/>
        <v>105136986.30136986</v>
      </c>
      <c r="F713" s="1284">
        <f t="shared" si="142"/>
        <v>100000000</v>
      </c>
      <c r="G713" s="1344">
        <f t="shared" si="142"/>
        <v>0</v>
      </c>
      <c r="H713" s="1284">
        <v>0</v>
      </c>
      <c r="I713" s="1284">
        <v>0</v>
      </c>
      <c r="J713" s="180"/>
      <c r="K713" s="180"/>
      <c r="L713" s="180"/>
      <c r="M713" s="180"/>
      <c r="N713" s="180"/>
      <c r="O713" s="218"/>
    </row>
    <row r="714" spans="1:15">
      <c r="A714" s="1416" t="s">
        <v>2750</v>
      </c>
      <c r="B714" s="1416" t="s">
        <v>58</v>
      </c>
      <c r="C714" s="1279" t="s">
        <v>1515</v>
      </c>
      <c r="D714" s="1345">
        <f>+VLOOKUP(A714,'Costeo de Títulos'!C:L,10,0)</f>
        <v>500000000</v>
      </c>
      <c r="E714" s="1343">
        <f t="shared" si="141"/>
        <v>525684931.50684923</v>
      </c>
      <c r="F714" s="1284">
        <f t="shared" si="142"/>
        <v>500000000</v>
      </c>
      <c r="G714" s="1344">
        <f t="shared" si="142"/>
        <v>0</v>
      </c>
      <c r="H714" s="1284">
        <v>0</v>
      </c>
      <c r="I714" s="1284">
        <v>0</v>
      </c>
      <c r="J714" s="180"/>
      <c r="K714" s="180"/>
      <c r="L714" s="180"/>
      <c r="M714" s="180"/>
      <c r="N714" s="180"/>
      <c r="O714" s="218"/>
    </row>
    <row r="715" spans="1:15">
      <c r="A715" s="1416" t="s">
        <v>1730</v>
      </c>
      <c r="B715" s="1416" t="s">
        <v>58</v>
      </c>
      <c r="C715" s="1279" t="s">
        <v>1515</v>
      </c>
      <c r="D715" s="1345">
        <f>+VLOOKUP(A715,'Costeo de Títulos'!C:L,10,0)</f>
        <v>533140602</v>
      </c>
      <c r="E715" s="1343">
        <f t="shared" si="141"/>
        <v>526713462.90118146</v>
      </c>
      <c r="F715" s="1284">
        <f t="shared" si="142"/>
        <v>500000000</v>
      </c>
      <c r="G715" s="1344">
        <f t="shared" si="142"/>
        <v>0</v>
      </c>
      <c r="H715" s="1284">
        <v>0</v>
      </c>
      <c r="I715" s="1284">
        <v>0</v>
      </c>
      <c r="J715" s="180"/>
      <c r="K715" s="180"/>
      <c r="L715" s="180"/>
      <c r="M715" s="180"/>
      <c r="N715" s="180"/>
      <c r="O715" s="218"/>
    </row>
    <row r="716" spans="1:15">
      <c r="A716" s="1416" t="s">
        <v>1731</v>
      </c>
      <c r="B716" s="1416" t="s">
        <v>58</v>
      </c>
      <c r="C716" s="1279" t="s">
        <v>1515</v>
      </c>
      <c r="D716" s="1345">
        <f>+VLOOKUP(A716,'Costeo de Títulos'!C:L,10,0)</f>
        <v>533140602</v>
      </c>
      <c r="E716" s="1343">
        <f t="shared" si="141"/>
        <v>526713462.90118146</v>
      </c>
      <c r="F716" s="1284">
        <f t="shared" si="142"/>
        <v>500000000</v>
      </c>
      <c r="G716" s="1344">
        <f t="shared" si="142"/>
        <v>0</v>
      </c>
      <c r="H716" s="1284">
        <v>0</v>
      </c>
      <c r="I716" s="1284">
        <v>0</v>
      </c>
      <c r="J716" s="180"/>
      <c r="K716" s="180"/>
      <c r="L716" s="180"/>
      <c r="M716" s="180"/>
      <c r="N716" s="180"/>
      <c r="O716" s="218"/>
    </row>
    <row r="717" spans="1:15">
      <c r="A717" s="1416" t="s">
        <v>1732</v>
      </c>
      <c r="B717" s="1416" t="s">
        <v>58</v>
      </c>
      <c r="C717" s="1279" t="s">
        <v>1515</v>
      </c>
      <c r="D717" s="1345">
        <f>+VLOOKUP(A717,'Costeo de Títulos'!C:L,10,0)</f>
        <v>533140602</v>
      </c>
      <c r="E717" s="1343">
        <f t="shared" si="141"/>
        <v>526713462.90118146</v>
      </c>
      <c r="F717" s="1284">
        <f t="shared" si="142"/>
        <v>500000000</v>
      </c>
      <c r="G717" s="1344">
        <f t="shared" si="142"/>
        <v>0</v>
      </c>
      <c r="H717" s="1284">
        <v>0</v>
      </c>
      <c r="I717" s="1284">
        <v>0</v>
      </c>
      <c r="J717" s="180"/>
      <c r="K717" s="180"/>
      <c r="L717" s="180"/>
      <c r="M717" s="180"/>
      <c r="N717" s="180"/>
      <c r="O717" s="218"/>
    </row>
    <row r="718" spans="1:15">
      <c r="A718" s="1416" t="s">
        <v>1733</v>
      </c>
      <c r="B718" s="1416" t="s">
        <v>58</v>
      </c>
      <c r="C718" s="1279" t="s">
        <v>1515</v>
      </c>
      <c r="D718" s="1345">
        <f>+VLOOKUP(A718,'Costeo de Títulos'!C:L,10,0)</f>
        <v>533140602</v>
      </c>
      <c r="E718" s="1343">
        <f t="shared" si="141"/>
        <v>526713462.90118146</v>
      </c>
      <c r="F718" s="1284">
        <f t="shared" si="142"/>
        <v>500000000</v>
      </c>
      <c r="G718" s="1344">
        <f t="shared" si="142"/>
        <v>0</v>
      </c>
      <c r="H718" s="1284">
        <v>0</v>
      </c>
      <c r="I718" s="1284">
        <v>0</v>
      </c>
      <c r="J718" s="180"/>
      <c r="K718" s="180"/>
      <c r="L718" s="180"/>
      <c r="M718" s="180"/>
      <c r="N718" s="180"/>
      <c r="O718" s="218"/>
    </row>
    <row r="719" spans="1:15">
      <c r="A719" s="1416" t="s">
        <v>1734</v>
      </c>
      <c r="B719" s="1416" t="s">
        <v>58</v>
      </c>
      <c r="C719" s="1279" t="s">
        <v>1515</v>
      </c>
      <c r="D719" s="1345">
        <f>+VLOOKUP(A719,'Costeo de Títulos'!C:L,10,0)</f>
        <v>533140602</v>
      </c>
      <c r="E719" s="1343">
        <f t="shared" si="141"/>
        <v>526713462.90118146</v>
      </c>
      <c r="F719" s="1284">
        <f t="shared" si="142"/>
        <v>500000000</v>
      </c>
      <c r="G719" s="1344">
        <f t="shared" si="142"/>
        <v>0</v>
      </c>
      <c r="H719" s="1284">
        <v>0</v>
      </c>
      <c r="I719" s="1284">
        <v>0</v>
      </c>
      <c r="J719" s="180"/>
      <c r="K719" s="180"/>
      <c r="L719" s="180"/>
      <c r="M719" s="180"/>
      <c r="N719" s="180"/>
      <c r="O719" s="218"/>
    </row>
    <row r="720" spans="1:15">
      <c r="A720" s="1416" t="s">
        <v>1735</v>
      </c>
      <c r="B720" s="1416" t="s">
        <v>58</v>
      </c>
      <c r="C720" s="1279" t="s">
        <v>1515</v>
      </c>
      <c r="D720" s="1345">
        <f>+VLOOKUP(A720,'Costeo de Títulos'!C:L,10,0)</f>
        <v>533140602</v>
      </c>
      <c r="E720" s="1343">
        <f t="shared" si="141"/>
        <v>526713462.90118146</v>
      </c>
      <c r="F720" s="1284">
        <f t="shared" si="142"/>
        <v>500000000</v>
      </c>
      <c r="G720" s="1344">
        <f t="shared" si="142"/>
        <v>0</v>
      </c>
      <c r="H720" s="1284">
        <v>0</v>
      </c>
      <c r="I720" s="1284">
        <v>0</v>
      </c>
      <c r="J720" s="180"/>
      <c r="K720" s="180"/>
      <c r="L720" s="180"/>
      <c r="M720" s="180"/>
      <c r="N720" s="180"/>
      <c r="O720" s="218"/>
    </row>
    <row r="721" spans="1:15">
      <c r="A721" s="1416" t="s">
        <v>1736</v>
      </c>
      <c r="B721" s="1416" t="s">
        <v>58</v>
      </c>
      <c r="C721" s="1279" t="s">
        <v>1515</v>
      </c>
      <c r="D721" s="1345">
        <f>+VLOOKUP(A721,'Costeo de Títulos'!C:L,10,0)</f>
        <v>200000000</v>
      </c>
      <c r="E721" s="1343">
        <f t="shared" si="141"/>
        <v>202451780.97751039</v>
      </c>
      <c r="F721" s="1284">
        <f t="shared" si="142"/>
        <v>200000000</v>
      </c>
      <c r="G721" s="1344">
        <f t="shared" si="142"/>
        <v>0</v>
      </c>
      <c r="H721" s="1284">
        <v>0</v>
      </c>
      <c r="I721" s="1284">
        <v>0</v>
      </c>
      <c r="J721" s="180"/>
      <c r="K721" s="180"/>
      <c r="L721" s="180"/>
      <c r="M721" s="180"/>
      <c r="N721" s="180"/>
      <c r="O721" s="218"/>
    </row>
    <row r="722" spans="1:15">
      <c r="A722" s="1416" t="s">
        <v>1737</v>
      </c>
      <c r="B722" s="1416" t="s">
        <v>58</v>
      </c>
      <c r="C722" s="1279" t="s">
        <v>1515</v>
      </c>
      <c r="D722" s="1345">
        <f>+VLOOKUP(A722,'Costeo de Títulos'!C:L,10,0)</f>
        <v>200000000</v>
      </c>
      <c r="E722" s="1343">
        <f t="shared" si="141"/>
        <v>202451780.97751039</v>
      </c>
      <c r="F722" s="1284">
        <f t="shared" si="142"/>
        <v>200000000</v>
      </c>
      <c r="G722" s="1344">
        <f t="shared" si="142"/>
        <v>0</v>
      </c>
      <c r="H722" s="1284">
        <v>0</v>
      </c>
      <c r="I722" s="1284">
        <v>0</v>
      </c>
      <c r="J722" s="180"/>
      <c r="K722" s="180"/>
      <c r="L722" s="180"/>
      <c r="M722" s="180"/>
      <c r="N722" s="180"/>
      <c r="O722" s="218"/>
    </row>
    <row r="723" spans="1:15">
      <c r="A723" s="1416" t="s">
        <v>1738</v>
      </c>
      <c r="B723" s="1416" t="s">
        <v>58</v>
      </c>
      <c r="C723" s="1279" t="s">
        <v>1515</v>
      </c>
      <c r="D723" s="1345">
        <f>+VLOOKUP(A723,'Costeo de Títulos'!C:L,10,0)</f>
        <v>200000000</v>
      </c>
      <c r="E723" s="1343">
        <f t="shared" si="141"/>
        <v>202451780.97751039</v>
      </c>
      <c r="F723" s="1284">
        <f t="shared" si="142"/>
        <v>200000000</v>
      </c>
      <c r="G723" s="1344">
        <f t="shared" si="142"/>
        <v>0</v>
      </c>
      <c r="H723" s="1284">
        <v>0</v>
      </c>
      <c r="I723" s="1284">
        <v>0</v>
      </c>
      <c r="J723" s="180"/>
      <c r="K723" s="180"/>
      <c r="L723" s="180"/>
      <c r="M723" s="180"/>
      <c r="N723" s="180"/>
      <c r="O723" s="218"/>
    </row>
    <row r="724" spans="1:15">
      <c r="A724" s="1416" t="s">
        <v>1739</v>
      </c>
      <c r="B724" s="1416" t="s">
        <v>58</v>
      </c>
      <c r="C724" s="1279" t="s">
        <v>1515</v>
      </c>
      <c r="D724" s="1345">
        <f>+VLOOKUP(A724,'Costeo de Títulos'!C:L,10,0)</f>
        <v>200000000</v>
      </c>
      <c r="E724" s="1343">
        <f t="shared" si="141"/>
        <v>202451780.97751039</v>
      </c>
      <c r="F724" s="1284">
        <f t="shared" si="142"/>
        <v>200000000</v>
      </c>
      <c r="G724" s="1344">
        <f t="shared" si="142"/>
        <v>0</v>
      </c>
      <c r="H724" s="1284">
        <v>0</v>
      </c>
      <c r="I724" s="1284">
        <v>0</v>
      </c>
      <c r="J724" s="180"/>
      <c r="K724" s="180"/>
      <c r="L724" s="180"/>
      <c r="M724" s="180"/>
      <c r="N724" s="180"/>
      <c r="O724" s="218"/>
    </row>
    <row r="725" spans="1:15">
      <c r="A725" s="1416" t="s">
        <v>1740</v>
      </c>
      <c r="B725" s="1416" t="s">
        <v>58</v>
      </c>
      <c r="C725" s="1279" t="s">
        <v>1515</v>
      </c>
      <c r="D725" s="1345">
        <f>+VLOOKUP(A725,'Costeo de Títulos'!C:L,10,0)</f>
        <v>200000000</v>
      </c>
      <c r="E725" s="1343">
        <f t="shared" si="141"/>
        <v>202451780.97751039</v>
      </c>
      <c r="F725" s="1284">
        <f t="shared" si="142"/>
        <v>200000000</v>
      </c>
      <c r="G725" s="1344">
        <f t="shared" si="142"/>
        <v>0</v>
      </c>
      <c r="H725" s="1284">
        <v>0</v>
      </c>
      <c r="I725" s="1284">
        <v>0</v>
      </c>
      <c r="J725" s="180"/>
      <c r="K725" s="180"/>
      <c r="L725" s="180"/>
      <c r="M725" s="180"/>
      <c r="N725" s="180"/>
      <c r="O725" s="218"/>
    </row>
    <row r="726" spans="1:15">
      <c r="A726" s="1416" t="s">
        <v>1741</v>
      </c>
      <c r="B726" s="1416" t="s">
        <v>58</v>
      </c>
      <c r="C726" s="1279" t="s">
        <v>1515</v>
      </c>
      <c r="D726" s="1345">
        <f>+VLOOKUP(A726,'Costeo de Títulos'!C:L,10,0)</f>
        <v>100000000</v>
      </c>
      <c r="E726" s="1343">
        <f t="shared" si="141"/>
        <v>103098630.13698632</v>
      </c>
      <c r="F726" s="1284">
        <f t="shared" si="142"/>
        <v>100000000</v>
      </c>
      <c r="G726" s="1344">
        <f t="shared" si="142"/>
        <v>0</v>
      </c>
      <c r="H726" s="1284">
        <v>0</v>
      </c>
      <c r="I726" s="1284">
        <v>0</v>
      </c>
      <c r="J726" s="180"/>
      <c r="K726" s="180"/>
      <c r="L726" s="180"/>
      <c r="M726" s="180"/>
      <c r="N726" s="180"/>
      <c r="O726" s="218"/>
    </row>
    <row r="727" spans="1:15">
      <c r="A727" s="1416" t="s">
        <v>1742</v>
      </c>
      <c r="B727" s="1416" t="s">
        <v>58</v>
      </c>
      <c r="C727" s="1279" t="s">
        <v>1515</v>
      </c>
      <c r="D727" s="1345">
        <f>+VLOOKUP(A727,'Costeo de Títulos'!C:L,10,0)</f>
        <v>100000000</v>
      </c>
      <c r="E727" s="1343">
        <f t="shared" si="141"/>
        <v>103098630.13698632</v>
      </c>
      <c r="F727" s="1284">
        <f t="shared" si="142"/>
        <v>100000000</v>
      </c>
      <c r="G727" s="1344">
        <f t="shared" si="142"/>
        <v>0</v>
      </c>
      <c r="H727" s="1284">
        <v>0</v>
      </c>
      <c r="I727" s="1284">
        <v>0</v>
      </c>
      <c r="J727" s="180"/>
      <c r="K727" s="180"/>
      <c r="L727" s="180"/>
      <c r="M727" s="180"/>
      <c r="N727" s="180"/>
      <c r="O727" s="218"/>
    </row>
    <row r="728" spans="1:15">
      <c r="A728" s="1416" t="s">
        <v>1743</v>
      </c>
      <c r="B728" s="1416" t="s">
        <v>58</v>
      </c>
      <c r="C728" s="1279" t="s">
        <v>1515</v>
      </c>
      <c r="D728" s="1345">
        <f>+VLOOKUP(A728,'Costeo de Títulos'!C:L,10,0)</f>
        <v>100000000</v>
      </c>
      <c r="E728" s="1343">
        <f t="shared" si="141"/>
        <v>103098630.13698632</v>
      </c>
      <c r="F728" s="1284">
        <f t="shared" si="142"/>
        <v>100000000</v>
      </c>
      <c r="G728" s="1344">
        <f t="shared" si="142"/>
        <v>0</v>
      </c>
      <c r="H728" s="1284">
        <v>0</v>
      </c>
      <c r="I728" s="1284">
        <v>0</v>
      </c>
      <c r="J728" s="180"/>
      <c r="K728" s="180"/>
      <c r="L728" s="180"/>
      <c r="M728" s="180"/>
      <c r="N728" s="180"/>
      <c r="O728" s="218"/>
    </row>
    <row r="729" spans="1:15">
      <c r="A729" s="1416" t="s">
        <v>1744</v>
      </c>
      <c r="B729" s="1416" t="s">
        <v>58</v>
      </c>
      <c r="C729" s="1279" t="s">
        <v>1515</v>
      </c>
      <c r="D729" s="1345">
        <f>+VLOOKUP(A729,'Costeo de Títulos'!C:L,10,0)</f>
        <v>100000000</v>
      </c>
      <c r="E729" s="1343">
        <f t="shared" si="141"/>
        <v>103098630.13698632</v>
      </c>
      <c r="F729" s="1284">
        <f t="shared" si="142"/>
        <v>100000000</v>
      </c>
      <c r="G729" s="1344">
        <f t="shared" si="142"/>
        <v>0</v>
      </c>
      <c r="H729" s="1284">
        <v>0</v>
      </c>
      <c r="I729" s="1284">
        <v>0</v>
      </c>
      <c r="J729" s="180"/>
      <c r="K729" s="180"/>
      <c r="L729" s="180"/>
      <c r="M729" s="180"/>
      <c r="N729" s="180"/>
      <c r="O729" s="218"/>
    </row>
    <row r="730" spans="1:15">
      <c r="A730" s="1416" t="s">
        <v>1745</v>
      </c>
      <c r="B730" s="1416" t="s">
        <v>58</v>
      </c>
      <c r="C730" s="1279" t="s">
        <v>1515</v>
      </c>
      <c r="D730" s="1345">
        <f>+VLOOKUP(A730,'Costeo de Títulos'!C:L,10,0)</f>
        <v>100000000</v>
      </c>
      <c r="E730" s="1343">
        <f t="shared" si="141"/>
        <v>103098630.13698632</v>
      </c>
      <c r="F730" s="1284">
        <f t="shared" si="142"/>
        <v>100000000</v>
      </c>
      <c r="G730" s="1344">
        <f t="shared" si="142"/>
        <v>0</v>
      </c>
      <c r="H730" s="1284">
        <v>0</v>
      </c>
      <c r="I730" s="1284">
        <v>0</v>
      </c>
      <c r="J730" s="180"/>
      <c r="K730" s="180"/>
      <c r="L730" s="180"/>
      <c r="M730" s="180"/>
      <c r="N730" s="180"/>
      <c r="O730" s="218"/>
    </row>
    <row r="731" spans="1:15">
      <c r="A731" s="1416" t="s">
        <v>1746</v>
      </c>
      <c r="B731" s="1416" t="s">
        <v>58</v>
      </c>
      <c r="C731" s="1279" t="s">
        <v>1515</v>
      </c>
      <c r="D731" s="1345">
        <f>+VLOOKUP(A731,'Costeo de Títulos'!C:L,10,0)</f>
        <v>100000000</v>
      </c>
      <c r="E731" s="1343">
        <f t="shared" si="141"/>
        <v>103098630.13698632</v>
      </c>
      <c r="F731" s="1284">
        <f t="shared" si="142"/>
        <v>100000000</v>
      </c>
      <c r="G731" s="1344">
        <f t="shared" si="142"/>
        <v>0</v>
      </c>
      <c r="H731" s="1284">
        <v>0</v>
      </c>
      <c r="I731" s="1284">
        <v>0</v>
      </c>
      <c r="J731" s="180"/>
      <c r="K731" s="180"/>
      <c r="L731" s="180"/>
      <c r="M731" s="180"/>
      <c r="N731" s="180"/>
      <c r="O731" s="218"/>
    </row>
    <row r="732" spans="1:15">
      <c r="A732" s="1416" t="s">
        <v>1747</v>
      </c>
      <c r="B732" s="1416" t="s">
        <v>58</v>
      </c>
      <c r="C732" s="1279" t="s">
        <v>1515</v>
      </c>
      <c r="D732" s="1345">
        <f>+VLOOKUP(A732,'Costeo de Títulos'!C:L,10,0)</f>
        <v>150000000</v>
      </c>
      <c r="E732" s="1343">
        <f t="shared" si="141"/>
        <v>154647945.20547938</v>
      </c>
      <c r="F732" s="1284">
        <f t="shared" si="142"/>
        <v>150000000</v>
      </c>
      <c r="G732" s="1344">
        <f t="shared" si="142"/>
        <v>0</v>
      </c>
      <c r="H732" s="1284">
        <v>0</v>
      </c>
      <c r="I732" s="1284">
        <v>0</v>
      </c>
      <c r="J732" s="180"/>
      <c r="K732" s="180"/>
      <c r="L732" s="180"/>
      <c r="M732" s="180"/>
      <c r="N732" s="180"/>
      <c r="O732" s="218"/>
    </row>
    <row r="733" spans="1:15">
      <c r="A733" s="1416" t="s">
        <v>1748</v>
      </c>
      <c r="B733" s="1416" t="s">
        <v>58</v>
      </c>
      <c r="C733" s="1279" t="s">
        <v>1515</v>
      </c>
      <c r="D733" s="1345">
        <f>+VLOOKUP(A733,'Costeo de Títulos'!C:L,10,0)</f>
        <v>150000000</v>
      </c>
      <c r="E733" s="1343">
        <f t="shared" si="141"/>
        <v>154647945.20547938</v>
      </c>
      <c r="F733" s="1284">
        <f t="shared" si="142"/>
        <v>150000000</v>
      </c>
      <c r="G733" s="1344">
        <f t="shared" si="142"/>
        <v>0</v>
      </c>
      <c r="H733" s="1284">
        <v>0</v>
      </c>
      <c r="I733" s="1284">
        <v>0</v>
      </c>
      <c r="J733" s="180"/>
      <c r="K733" s="180"/>
      <c r="L733" s="180"/>
      <c r="M733" s="180"/>
      <c r="N733" s="180"/>
      <c r="O733" s="218"/>
    </row>
    <row r="734" spans="1:15">
      <c r="A734" s="1416" t="s">
        <v>1749</v>
      </c>
      <c r="B734" s="1416" t="s">
        <v>58</v>
      </c>
      <c r="C734" s="1279" t="s">
        <v>1515</v>
      </c>
      <c r="D734" s="1345">
        <f>+VLOOKUP(A734,'Costeo de Títulos'!C:L,10,0)</f>
        <v>150000000</v>
      </c>
      <c r="E734" s="1343">
        <f t="shared" si="141"/>
        <v>154647945.20547938</v>
      </c>
      <c r="F734" s="1284">
        <f t="shared" si="142"/>
        <v>150000000</v>
      </c>
      <c r="G734" s="1344">
        <f t="shared" si="142"/>
        <v>0</v>
      </c>
      <c r="H734" s="1284">
        <v>0</v>
      </c>
      <c r="I734" s="1284">
        <v>0</v>
      </c>
      <c r="J734" s="180"/>
      <c r="K734" s="180"/>
      <c r="L734" s="180"/>
      <c r="M734" s="180"/>
      <c r="N734" s="180"/>
      <c r="O734" s="218"/>
    </row>
    <row r="735" spans="1:15">
      <c r="A735" s="1416" t="s">
        <v>1750</v>
      </c>
      <c r="B735" s="1416" t="s">
        <v>58</v>
      </c>
      <c r="C735" s="1279" t="s">
        <v>1515</v>
      </c>
      <c r="D735" s="1345">
        <f>+VLOOKUP(A735,'Costeo de Títulos'!C:L,10,0)</f>
        <v>150000000</v>
      </c>
      <c r="E735" s="1343">
        <f t="shared" si="141"/>
        <v>154647945.20547938</v>
      </c>
      <c r="F735" s="1284">
        <f t="shared" si="142"/>
        <v>150000000</v>
      </c>
      <c r="G735" s="1344">
        <f t="shared" si="142"/>
        <v>0</v>
      </c>
      <c r="H735" s="1284">
        <v>0</v>
      </c>
      <c r="I735" s="1284">
        <v>0</v>
      </c>
      <c r="J735" s="180"/>
      <c r="K735" s="180"/>
      <c r="L735" s="180"/>
      <c r="M735" s="180"/>
      <c r="N735" s="180"/>
      <c r="O735" s="218"/>
    </row>
    <row r="736" spans="1:15">
      <c r="A736" s="1416" t="s">
        <v>1751</v>
      </c>
      <c r="B736" s="1416" t="s">
        <v>58</v>
      </c>
      <c r="C736" s="1279" t="s">
        <v>1515</v>
      </c>
      <c r="D736" s="1345">
        <f>+VLOOKUP(A736,'Costeo de Títulos'!C:L,10,0)</f>
        <v>150000000</v>
      </c>
      <c r="E736" s="1343">
        <f t="shared" si="141"/>
        <v>154647945.20547938</v>
      </c>
      <c r="F736" s="1284">
        <f t="shared" si="142"/>
        <v>150000000</v>
      </c>
      <c r="G736" s="1344">
        <f t="shared" si="142"/>
        <v>0</v>
      </c>
      <c r="H736" s="1284">
        <v>0</v>
      </c>
      <c r="I736" s="1284">
        <v>0</v>
      </c>
      <c r="J736" s="180"/>
      <c r="K736" s="180"/>
      <c r="L736" s="180"/>
      <c r="M736" s="180"/>
      <c r="N736" s="180"/>
      <c r="O736" s="218"/>
    </row>
    <row r="737" spans="1:15">
      <c r="A737" s="1416" t="s">
        <v>1752</v>
      </c>
      <c r="B737" s="1416" t="s">
        <v>58</v>
      </c>
      <c r="C737" s="1279" t="s">
        <v>1515</v>
      </c>
      <c r="D737" s="1345">
        <f>+VLOOKUP(A737,'Costeo de Títulos'!C:L,10,0)</f>
        <v>150000000</v>
      </c>
      <c r="E737" s="1343">
        <f t="shared" si="141"/>
        <v>154647945.20547938</v>
      </c>
      <c r="F737" s="1284">
        <f t="shared" si="142"/>
        <v>150000000</v>
      </c>
      <c r="G737" s="1344">
        <f t="shared" si="142"/>
        <v>0</v>
      </c>
      <c r="H737" s="1284">
        <v>0</v>
      </c>
      <c r="I737" s="1284">
        <v>0</v>
      </c>
      <c r="J737" s="180"/>
      <c r="K737" s="180"/>
      <c r="L737" s="180"/>
      <c r="M737" s="180"/>
      <c r="N737" s="180"/>
      <c r="O737" s="218"/>
    </row>
    <row r="738" spans="1:15">
      <c r="A738" s="1416" t="s">
        <v>1753</v>
      </c>
      <c r="B738" s="1416" t="s">
        <v>58</v>
      </c>
      <c r="C738" s="1279" t="s">
        <v>1515</v>
      </c>
      <c r="D738" s="1345">
        <f>+VLOOKUP(A738,'Costeo de Títulos'!C:L,10,0)</f>
        <v>150000000</v>
      </c>
      <c r="E738" s="1343">
        <f t="shared" si="141"/>
        <v>154647945.20547938</v>
      </c>
      <c r="F738" s="1284">
        <f t="shared" si="142"/>
        <v>150000000</v>
      </c>
      <c r="G738" s="1344">
        <f t="shared" si="142"/>
        <v>0</v>
      </c>
      <c r="H738" s="1284">
        <v>0</v>
      </c>
      <c r="I738" s="1284">
        <v>0</v>
      </c>
      <c r="J738" s="180"/>
      <c r="K738" s="180"/>
      <c r="L738" s="180"/>
      <c r="M738" s="180"/>
      <c r="N738" s="180"/>
      <c r="O738" s="218"/>
    </row>
    <row r="739" spans="1:15">
      <c r="A739" s="1416" t="s">
        <v>1754</v>
      </c>
      <c r="B739" s="1416" t="s">
        <v>58</v>
      </c>
      <c r="C739" s="1279" t="s">
        <v>1515</v>
      </c>
      <c r="D739" s="1345">
        <f>+VLOOKUP(A739,'Costeo de Títulos'!C:L,10,0)</f>
        <v>150000000</v>
      </c>
      <c r="E739" s="1343">
        <f t="shared" si="141"/>
        <v>154647945.20547938</v>
      </c>
      <c r="F739" s="1284">
        <f t="shared" si="142"/>
        <v>150000000</v>
      </c>
      <c r="G739" s="1344">
        <f t="shared" si="142"/>
        <v>0</v>
      </c>
      <c r="H739" s="1284">
        <v>0</v>
      </c>
      <c r="I739" s="1284">
        <v>0</v>
      </c>
      <c r="J739" s="180"/>
      <c r="K739" s="180"/>
      <c r="L739" s="180"/>
      <c r="M739" s="180"/>
      <c r="N739" s="180"/>
      <c r="O739" s="218"/>
    </row>
    <row r="740" spans="1:15">
      <c r="A740" s="1416" t="s">
        <v>1755</v>
      </c>
      <c r="B740" s="1416" t="s">
        <v>58</v>
      </c>
      <c r="C740" s="1279" t="s">
        <v>1515</v>
      </c>
      <c r="D740" s="1345">
        <f>+VLOOKUP(A740,'Costeo de Títulos'!C:L,10,0)</f>
        <v>200000000</v>
      </c>
      <c r="E740" s="1343">
        <f t="shared" si="141"/>
        <v>205855342.46575347</v>
      </c>
      <c r="F740" s="1284">
        <f t="shared" si="142"/>
        <v>200000000</v>
      </c>
      <c r="G740" s="1344">
        <f t="shared" si="142"/>
        <v>0</v>
      </c>
      <c r="H740" s="1284">
        <v>0</v>
      </c>
      <c r="I740" s="1284">
        <v>0</v>
      </c>
      <c r="J740" s="180"/>
      <c r="K740" s="180"/>
      <c r="L740" s="180"/>
      <c r="M740" s="180"/>
      <c r="N740" s="180"/>
      <c r="O740" s="218"/>
    </row>
    <row r="741" spans="1:15">
      <c r="A741" s="1416" t="s">
        <v>1756</v>
      </c>
      <c r="B741" s="1416" t="s">
        <v>58</v>
      </c>
      <c r="C741" s="1279" t="s">
        <v>1515</v>
      </c>
      <c r="D741" s="1345">
        <f>+VLOOKUP(A741,'Costeo de Títulos'!C:L,10,0)</f>
        <v>200000000</v>
      </c>
      <c r="E741" s="1343">
        <f t="shared" si="141"/>
        <v>205855342.46575347</v>
      </c>
      <c r="F741" s="1284">
        <f t="shared" si="142"/>
        <v>200000000</v>
      </c>
      <c r="G741" s="1344">
        <f t="shared" si="142"/>
        <v>0</v>
      </c>
      <c r="H741" s="1284">
        <v>0</v>
      </c>
      <c r="I741" s="1284">
        <v>0</v>
      </c>
      <c r="J741" s="180"/>
      <c r="K741" s="180"/>
      <c r="L741" s="180"/>
      <c r="M741" s="180"/>
      <c r="N741" s="180"/>
      <c r="O741" s="218"/>
    </row>
    <row r="742" spans="1:15">
      <c r="A742" s="1416" t="s">
        <v>1757</v>
      </c>
      <c r="B742" s="1416" t="s">
        <v>58</v>
      </c>
      <c r="C742" s="1279" t="s">
        <v>1515</v>
      </c>
      <c r="D742" s="1345">
        <f>+VLOOKUP(A742,'Costeo de Títulos'!C:L,10,0)</f>
        <v>200000000</v>
      </c>
      <c r="E742" s="1343">
        <f t="shared" si="141"/>
        <v>205855342.46575347</v>
      </c>
      <c r="F742" s="1284">
        <f t="shared" si="142"/>
        <v>200000000</v>
      </c>
      <c r="G742" s="1344">
        <f t="shared" si="142"/>
        <v>0</v>
      </c>
      <c r="H742" s="1284">
        <v>0</v>
      </c>
      <c r="I742" s="1284">
        <v>0</v>
      </c>
      <c r="J742" s="180"/>
      <c r="K742" s="180"/>
      <c r="L742" s="180"/>
      <c r="M742" s="180"/>
      <c r="N742" s="180"/>
      <c r="O742" s="218"/>
    </row>
    <row r="743" spans="1:15">
      <c r="A743" s="1416" t="s">
        <v>1758</v>
      </c>
      <c r="B743" s="1416" t="s">
        <v>58</v>
      </c>
      <c r="C743" s="1279" t="s">
        <v>1515</v>
      </c>
      <c r="D743" s="1345">
        <f>+VLOOKUP(A743,'Costeo de Títulos'!C:L,10,0)</f>
        <v>500000000</v>
      </c>
      <c r="E743" s="1343">
        <f t="shared" si="141"/>
        <v>514104109.58904123</v>
      </c>
      <c r="F743" s="1284">
        <f t="shared" si="142"/>
        <v>500000000</v>
      </c>
      <c r="G743" s="1344">
        <f t="shared" si="142"/>
        <v>0</v>
      </c>
      <c r="H743" s="1284">
        <v>0</v>
      </c>
      <c r="I743" s="1284">
        <v>0</v>
      </c>
      <c r="J743" s="180"/>
      <c r="K743" s="180"/>
      <c r="L743" s="180"/>
      <c r="M743" s="180"/>
      <c r="N743" s="180"/>
      <c r="O743" s="218"/>
    </row>
    <row r="744" spans="1:15">
      <c r="A744" s="1416" t="s">
        <v>1759</v>
      </c>
      <c r="B744" s="1416" t="s">
        <v>58</v>
      </c>
      <c r="C744" s="1279" t="s">
        <v>1515</v>
      </c>
      <c r="D744" s="1345">
        <f>+VLOOKUP(A744,'Costeo de Títulos'!C:L,10,0)</f>
        <v>500000000</v>
      </c>
      <c r="E744" s="1343">
        <f t="shared" si="141"/>
        <v>514104109.58904123</v>
      </c>
      <c r="F744" s="1284">
        <f t="shared" si="142"/>
        <v>500000000</v>
      </c>
      <c r="G744" s="1344">
        <f t="shared" si="142"/>
        <v>0</v>
      </c>
      <c r="H744" s="1284">
        <v>0</v>
      </c>
      <c r="I744" s="1284">
        <v>0</v>
      </c>
      <c r="J744" s="180"/>
      <c r="K744" s="180"/>
      <c r="L744" s="180"/>
      <c r="M744" s="180"/>
      <c r="N744" s="180"/>
      <c r="O744" s="218"/>
    </row>
    <row r="745" spans="1:15">
      <c r="A745" s="1416" t="s">
        <v>1760</v>
      </c>
      <c r="B745" s="1416" t="s">
        <v>58</v>
      </c>
      <c r="C745" s="1279" t="s">
        <v>1515</v>
      </c>
      <c r="D745" s="1345">
        <f>+VLOOKUP(A745,'Costeo de Títulos'!C:L,10,0)</f>
        <v>500000000</v>
      </c>
      <c r="E745" s="1343">
        <f t="shared" si="141"/>
        <v>514104109.58904123</v>
      </c>
      <c r="F745" s="1284">
        <f t="shared" si="142"/>
        <v>500000000</v>
      </c>
      <c r="G745" s="1344">
        <f t="shared" si="142"/>
        <v>0</v>
      </c>
      <c r="H745" s="1284">
        <v>0</v>
      </c>
      <c r="I745" s="1284">
        <v>0</v>
      </c>
      <c r="J745" s="180"/>
      <c r="K745" s="180"/>
      <c r="L745" s="180"/>
      <c r="M745" s="180"/>
      <c r="N745" s="180"/>
      <c r="O745" s="218"/>
    </row>
    <row r="746" spans="1:15">
      <c r="A746" s="1416" t="s">
        <v>1761</v>
      </c>
      <c r="B746" s="1416" t="s">
        <v>58</v>
      </c>
      <c r="C746" s="1279" t="s">
        <v>1515</v>
      </c>
      <c r="D746" s="1345">
        <f>+VLOOKUP(A746,'Costeo de Títulos'!C:L,10,0)</f>
        <v>500000000</v>
      </c>
      <c r="E746" s="1343">
        <f t="shared" si="141"/>
        <v>514104109.58904123</v>
      </c>
      <c r="F746" s="1284">
        <f t="shared" si="142"/>
        <v>500000000</v>
      </c>
      <c r="G746" s="1344">
        <f t="shared" si="142"/>
        <v>0</v>
      </c>
      <c r="H746" s="1284">
        <v>0</v>
      </c>
      <c r="I746" s="1284">
        <v>0</v>
      </c>
      <c r="J746" s="180"/>
      <c r="K746" s="180"/>
      <c r="L746" s="180"/>
      <c r="M746" s="180"/>
      <c r="N746" s="180"/>
      <c r="O746" s="218"/>
    </row>
    <row r="747" spans="1:15">
      <c r="A747" s="1416" t="s">
        <v>1762</v>
      </c>
      <c r="B747" s="1416" t="s">
        <v>58</v>
      </c>
      <c r="C747" s="1279" t="s">
        <v>1515</v>
      </c>
      <c r="D747" s="1345">
        <f>+VLOOKUP(A747,'Costeo de Títulos'!C:L,10,0)</f>
        <v>200000000</v>
      </c>
      <c r="E747" s="1343">
        <f t="shared" si="141"/>
        <v>205342465.7534247</v>
      </c>
      <c r="F747" s="1284">
        <f t="shared" si="142"/>
        <v>200000000</v>
      </c>
      <c r="G747" s="1344">
        <f t="shared" si="142"/>
        <v>0</v>
      </c>
      <c r="H747" s="1284">
        <v>0</v>
      </c>
      <c r="I747" s="1284">
        <v>0</v>
      </c>
      <c r="J747" s="180"/>
      <c r="K747" s="180"/>
      <c r="L747" s="180"/>
      <c r="M747" s="180"/>
      <c r="N747" s="180"/>
      <c r="O747" s="218"/>
    </row>
    <row r="748" spans="1:15">
      <c r="A748" s="1416" t="s">
        <v>1763</v>
      </c>
      <c r="B748" s="1416" t="s">
        <v>58</v>
      </c>
      <c r="C748" s="1279" t="s">
        <v>1515</v>
      </c>
      <c r="D748" s="1345">
        <f>+VLOOKUP(A748,'Costeo de Títulos'!C:L,10,0)</f>
        <v>200000000</v>
      </c>
      <c r="E748" s="1343">
        <f t="shared" si="141"/>
        <v>205342465.7534247</v>
      </c>
      <c r="F748" s="1284">
        <f t="shared" si="142"/>
        <v>200000000</v>
      </c>
      <c r="G748" s="1344">
        <f t="shared" si="142"/>
        <v>0</v>
      </c>
      <c r="H748" s="1284">
        <v>0</v>
      </c>
      <c r="I748" s="1284">
        <v>0</v>
      </c>
      <c r="J748" s="180"/>
      <c r="K748" s="180"/>
      <c r="L748" s="180"/>
      <c r="M748" s="180"/>
      <c r="N748" s="180"/>
      <c r="O748" s="218"/>
    </row>
    <row r="749" spans="1:15">
      <c r="A749" s="1416" t="s">
        <v>1764</v>
      </c>
      <c r="B749" s="1416" t="s">
        <v>58</v>
      </c>
      <c r="C749" s="1279" t="s">
        <v>1515</v>
      </c>
      <c r="D749" s="1345">
        <f>+VLOOKUP(A749,'Costeo de Títulos'!C:L,10,0)</f>
        <v>200000000</v>
      </c>
      <c r="E749" s="1343">
        <f t="shared" si="141"/>
        <v>205342465.7534247</v>
      </c>
      <c r="F749" s="1284">
        <f t="shared" si="142"/>
        <v>200000000</v>
      </c>
      <c r="G749" s="1344">
        <f t="shared" si="142"/>
        <v>0</v>
      </c>
      <c r="H749" s="1284">
        <v>0</v>
      </c>
      <c r="I749" s="1284">
        <v>0</v>
      </c>
      <c r="J749" s="180"/>
      <c r="K749" s="180"/>
      <c r="L749" s="180"/>
      <c r="M749" s="180"/>
      <c r="N749" s="180"/>
      <c r="O749" s="218"/>
    </row>
    <row r="750" spans="1:15">
      <c r="A750" s="1416" t="s">
        <v>1765</v>
      </c>
      <c r="B750" s="1416" t="s">
        <v>58</v>
      </c>
      <c r="C750" s="1279" t="s">
        <v>1515</v>
      </c>
      <c r="D750" s="1345">
        <f>+VLOOKUP(A750,'Costeo de Títulos'!C:L,10,0)</f>
        <v>200000000</v>
      </c>
      <c r="E750" s="1343">
        <f t="shared" si="141"/>
        <v>205342465.7534247</v>
      </c>
      <c r="F750" s="1284">
        <f t="shared" si="142"/>
        <v>200000000</v>
      </c>
      <c r="G750" s="1344">
        <f t="shared" si="142"/>
        <v>0</v>
      </c>
      <c r="H750" s="1284">
        <v>0</v>
      </c>
      <c r="I750" s="1284">
        <v>0</v>
      </c>
      <c r="J750" s="180"/>
      <c r="K750" s="180"/>
      <c r="L750" s="180"/>
      <c r="M750" s="180"/>
      <c r="N750" s="180"/>
      <c r="O750" s="218"/>
    </row>
    <row r="751" spans="1:15">
      <c r="A751" s="1416" t="s">
        <v>1766</v>
      </c>
      <c r="B751" s="1416" t="s">
        <v>58</v>
      </c>
      <c r="C751" s="1279" t="s">
        <v>1515</v>
      </c>
      <c r="D751" s="1345">
        <f>+VLOOKUP(A751,'Costeo de Títulos'!C:L,10,0)</f>
        <v>200000000</v>
      </c>
      <c r="E751" s="1343">
        <f t="shared" si="141"/>
        <v>205342465.7534247</v>
      </c>
      <c r="F751" s="1284">
        <f t="shared" si="142"/>
        <v>200000000</v>
      </c>
      <c r="G751" s="1344">
        <f t="shared" si="142"/>
        <v>0</v>
      </c>
      <c r="H751" s="1284">
        <v>0</v>
      </c>
      <c r="I751" s="1284">
        <v>0</v>
      </c>
      <c r="J751" s="180"/>
      <c r="K751" s="180"/>
      <c r="L751" s="180"/>
      <c r="M751" s="180"/>
      <c r="N751" s="180"/>
      <c r="O751" s="218"/>
    </row>
    <row r="752" spans="1:15">
      <c r="A752" s="1416" t="s">
        <v>1767</v>
      </c>
      <c r="B752" s="1416" t="s">
        <v>58</v>
      </c>
      <c r="C752" s="1279" t="s">
        <v>1515</v>
      </c>
      <c r="D752" s="1345">
        <f>+VLOOKUP(A752,'Costeo de Títulos'!C:L,10,0)</f>
        <v>200000000</v>
      </c>
      <c r="E752" s="1343">
        <f t="shared" si="141"/>
        <v>205342465.7534247</v>
      </c>
      <c r="F752" s="1284">
        <f t="shared" si="142"/>
        <v>200000000</v>
      </c>
      <c r="G752" s="1344">
        <f t="shared" si="142"/>
        <v>0</v>
      </c>
      <c r="H752" s="1284">
        <v>0</v>
      </c>
      <c r="I752" s="1284">
        <v>0</v>
      </c>
      <c r="J752" s="180"/>
      <c r="K752" s="180"/>
      <c r="L752" s="180"/>
      <c r="M752" s="180"/>
      <c r="N752" s="180"/>
      <c r="O752" s="218"/>
    </row>
    <row r="753" spans="1:15">
      <c r="A753" s="1416" t="s">
        <v>1768</v>
      </c>
      <c r="B753" s="1416" t="s">
        <v>58</v>
      </c>
      <c r="C753" s="1279" t="s">
        <v>1515</v>
      </c>
      <c r="D753" s="1345">
        <f>+VLOOKUP(A753,'Costeo de Títulos'!C:L,10,0)</f>
        <v>200000000</v>
      </c>
      <c r="E753" s="1343">
        <f t="shared" si="141"/>
        <v>205342465.7534247</v>
      </c>
      <c r="F753" s="1284">
        <f t="shared" si="142"/>
        <v>200000000</v>
      </c>
      <c r="G753" s="1344">
        <f t="shared" si="142"/>
        <v>0</v>
      </c>
      <c r="H753" s="1284">
        <v>0</v>
      </c>
      <c r="I753" s="1284">
        <v>0</v>
      </c>
      <c r="J753" s="180"/>
      <c r="K753" s="180"/>
      <c r="L753" s="180"/>
      <c r="M753" s="180"/>
      <c r="N753" s="180"/>
      <c r="O753" s="218"/>
    </row>
    <row r="754" spans="1:15">
      <c r="A754" s="1416" t="s">
        <v>1769</v>
      </c>
      <c r="B754" s="1416" t="s">
        <v>58</v>
      </c>
      <c r="C754" s="1279" t="s">
        <v>1515</v>
      </c>
      <c r="D754" s="1345">
        <f>+VLOOKUP(A754,'Costeo de Títulos'!C:L,10,0)</f>
        <v>200000000</v>
      </c>
      <c r="E754" s="1343">
        <f t="shared" si="141"/>
        <v>205342465.7534247</v>
      </c>
      <c r="F754" s="1284">
        <f t="shared" si="142"/>
        <v>200000000</v>
      </c>
      <c r="G754" s="1344">
        <f t="shared" si="142"/>
        <v>0</v>
      </c>
      <c r="H754" s="1284">
        <v>0</v>
      </c>
      <c r="I754" s="1284">
        <v>0</v>
      </c>
      <c r="J754" s="180"/>
      <c r="K754" s="180"/>
      <c r="L754" s="180"/>
      <c r="M754" s="180"/>
      <c r="N754" s="180"/>
      <c r="O754" s="218"/>
    </row>
    <row r="755" spans="1:15">
      <c r="A755" s="1416" t="s">
        <v>1770</v>
      </c>
      <c r="B755" s="1416" t="s">
        <v>58</v>
      </c>
      <c r="C755" s="1279" t="s">
        <v>1515</v>
      </c>
      <c r="D755" s="1345">
        <f>+VLOOKUP(A755,'Costeo de Títulos'!C:L,10,0)</f>
        <v>200000000</v>
      </c>
      <c r="E755" s="1343">
        <f t="shared" si="141"/>
        <v>205342465.7534247</v>
      </c>
      <c r="F755" s="1284">
        <f t="shared" si="142"/>
        <v>200000000</v>
      </c>
      <c r="G755" s="1344">
        <f t="shared" si="142"/>
        <v>0</v>
      </c>
      <c r="H755" s="1284">
        <v>0</v>
      </c>
      <c r="I755" s="1284">
        <v>0</v>
      </c>
      <c r="J755" s="180"/>
      <c r="K755" s="180"/>
      <c r="L755" s="180"/>
      <c r="M755" s="180"/>
      <c r="N755" s="180"/>
      <c r="O755" s="218"/>
    </row>
    <row r="756" spans="1:15">
      <c r="A756" s="1416" t="s">
        <v>1771</v>
      </c>
      <c r="B756" s="1416" t="s">
        <v>58</v>
      </c>
      <c r="C756" s="1279" t="s">
        <v>1515</v>
      </c>
      <c r="D756" s="1345">
        <f>+VLOOKUP(A756,'Costeo de Títulos'!C:L,10,0)</f>
        <v>200000000</v>
      </c>
      <c r="E756" s="1343">
        <f t="shared" si="141"/>
        <v>205342465.7534247</v>
      </c>
      <c r="F756" s="1284">
        <f t="shared" si="142"/>
        <v>200000000</v>
      </c>
      <c r="G756" s="1344">
        <f t="shared" si="142"/>
        <v>0</v>
      </c>
      <c r="H756" s="1284">
        <v>0</v>
      </c>
      <c r="I756" s="1284">
        <v>0</v>
      </c>
      <c r="J756" s="180"/>
      <c r="K756" s="180"/>
      <c r="L756" s="180"/>
      <c r="M756" s="180"/>
      <c r="N756" s="180"/>
      <c r="O756" s="218"/>
    </row>
    <row r="757" spans="1:15">
      <c r="A757" s="1416" t="s">
        <v>1772</v>
      </c>
      <c r="B757" s="1416" t="s">
        <v>58</v>
      </c>
      <c r="C757" s="1279" t="s">
        <v>1515</v>
      </c>
      <c r="D757" s="1345">
        <f>+VLOOKUP(A757,'Costeo de Títulos'!C:L,10,0)</f>
        <v>200000000</v>
      </c>
      <c r="E757" s="1343">
        <f t="shared" si="141"/>
        <v>205342465.7534247</v>
      </c>
      <c r="F757" s="1284">
        <f t="shared" si="142"/>
        <v>200000000</v>
      </c>
      <c r="G757" s="1344">
        <f t="shared" si="142"/>
        <v>0</v>
      </c>
      <c r="H757" s="1284">
        <v>0</v>
      </c>
      <c r="I757" s="1284">
        <v>0</v>
      </c>
      <c r="J757" s="180"/>
      <c r="K757" s="180"/>
      <c r="L757" s="180"/>
      <c r="M757" s="180"/>
      <c r="N757" s="180"/>
      <c r="O757" s="218"/>
    </row>
    <row r="758" spans="1:15">
      <c r="A758" s="1416" t="s">
        <v>1773</v>
      </c>
      <c r="B758" s="1416" t="s">
        <v>58</v>
      </c>
      <c r="C758" s="1279" t="s">
        <v>1515</v>
      </c>
      <c r="D758" s="1345">
        <f>+VLOOKUP(A758,'Costeo de Títulos'!C:L,10,0)</f>
        <v>200000000</v>
      </c>
      <c r="E758" s="1343">
        <f t="shared" si="141"/>
        <v>205342465.7534247</v>
      </c>
      <c r="F758" s="1284">
        <f t="shared" si="142"/>
        <v>200000000</v>
      </c>
      <c r="G758" s="1344">
        <f t="shared" si="142"/>
        <v>0</v>
      </c>
      <c r="H758" s="1284">
        <v>0</v>
      </c>
      <c r="I758" s="1284">
        <v>0</v>
      </c>
      <c r="J758" s="180"/>
      <c r="K758" s="180"/>
      <c r="L758" s="180"/>
      <c r="M758" s="180"/>
      <c r="N758" s="180"/>
      <c r="O758" s="218"/>
    </row>
    <row r="759" spans="1:15">
      <c r="A759" s="1416" t="s">
        <v>1774</v>
      </c>
      <c r="B759" s="1416" t="s">
        <v>58</v>
      </c>
      <c r="C759" s="1279" t="s">
        <v>1515</v>
      </c>
      <c r="D759" s="1345">
        <f>+VLOOKUP(A759,'Costeo de Títulos'!C:L,10,0)</f>
        <v>200000000</v>
      </c>
      <c r="E759" s="1343">
        <f t="shared" si="141"/>
        <v>205342465.7534247</v>
      </c>
      <c r="F759" s="1284">
        <f t="shared" si="142"/>
        <v>200000000</v>
      </c>
      <c r="G759" s="1344">
        <f t="shared" si="142"/>
        <v>0</v>
      </c>
      <c r="H759" s="1284">
        <v>0</v>
      </c>
      <c r="I759" s="1284">
        <v>0</v>
      </c>
      <c r="J759" s="180"/>
      <c r="K759" s="180"/>
      <c r="L759" s="180"/>
      <c r="M759" s="180"/>
      <c r="N759" s="180"/>
      <c r="O759" s="218"/>
    </row>
    <row r="760" spans="1:15">
      <c r="A760" s="1416" t="s">
        <v>1775</v>
      </c>
      <c r="B760" s="1416" t="s">
        <v>58</v>
      </c>
      <c r="C760" s="1279" t="s">
        <v>1621</v>
      </c>
      <c r="D760" s="1345">
        <f>+VLOOKUP(A760,'Costeo de Títulos'!C:L,10,0)</f>
        <v>1011420954</v>
      </c>
      <c r="E760" s="1343">
        <f t="shared" si="141"/>
        <v>1007628238.1208739</v>
      </c>
      <c r="F760" s="1284">
        <f t="shared" si="142"/>
        <v>1010000000</v>
      </c>
      <c r="G760" s="1344">
        <f t="shared" si="142"/>
        <v>0</v>
      </c>
      <c r="H760" s="1284">
        <v>0</v>
      </c>
      <c r="I760" s="1284">
        <v>0</v>
      </c>
      <c r="J760" s="180"/>
      <c r="K760" s="180"/>
      <c r="L760" s="180"/>
      <c r="M760" s="180"/>
      <c r="N760" s="180"/>
      <c r="O760" s="218"/>
    </row>
    <row r="761" spans="1:15">
      <c r="A761" s="1416" t="s">
        <v>1776</v>
      </c>
      <c r="B761" s="1416" t="s">
        <v>58</v>
      </c>
      <c r="C761" s="1279" t="s">
        <v>1621</v>
      </c>
      <c r="D761" s="1345">
        <f>+VLOOKUP(A761,'Costeo de Títulos'!C:L,10,0)</f>
        <v>502154926</v>
      </c>
      <c r="E761" s="1343">
        <f t="shared" si="141"/>
        <v>509944713.64686304</v>
      </c>
      <c r="F761" s="1284">
        <f t="shared" si="142"/>
        <v>500000000</v>
      </c>
      <c r="G761" s="1344">
        <f t="shared" si="142"/>
        <v>0</v>
      </c>
      <c r="H761" s="1284">
        <v>0</v>
      </c>
      <c r="I761" s="1284">
        <v>0</v>
      </c>
      <c r="J761" s="180"/>
      <c r="K761" s="180"/>
      <c r="L761" s="180"/>
      <c r="M761" s="180"/>
      <c r="N761" s="180"/>
      <c r="O761" s="218"/>
    </row>
    <row r="762" spans="1:15">
      <c r="A762" s="1416" t="s">
        <v>1777</v>
      </c>
      <c r="B762" s="1416" t="s">
        <v>58</v>
      </c>
      <c r="C762" s="1279" t="s">
        <v>1621</v>
      </c>
      <c r="D762" s="1345">
        <f>+VLOOKUP(A762,'Costeo de Títulos'!C:L,10,0)</f>
        <v>251077462</v>
      </c>
      <c r="E762" s="1343">
        <f t="shared" si="141"/>
        <v>254972357.0507077</v>
      </c>
      <c r="F762" s="1284">
        <f t="shared" si="142"/>
        <v>250000000</v>
      </c>
      <c r="G762" s="1344">
        <f t="shared" si="142"/>
        <v>0</v>
      </c>
      <c r="H762" s="1284">
        <v>0</v>
      </c>
      <c r="I762" s="1284">
        <v>0</v>
      </c>
      <c r="J762" s="180"/>
      <c r="K762" s="180"/>
      <c r="L762" s="180"/>
      <c r="M762" s="180"/>
      <c r="N762" s="180"/>
      <c r="O762" s="218"/>
    </row>
    <row r="763" spans="1:15">
      <c r="A763" s="1416" t="s">
        <v>1778</v>
      </c>
      <c r="B763" s="1416" t="s">
        <v>58</v>
      </c>
      <c r="C763" s="1279" t="s">
        <v>1621</v>
      </c>
      <c r="D763" s="1345">
        <f>+VLOOKUP(A763,'Costeo de Títulos'!C:L,10,0)</f>
        <v>251077462</v>
      </c>
      <c r="E763" s="1343">
        <f t="shared" si="141"/>
        <v>254972357.0507077</v>
      </c>
      <c r="F763" s="1284">
        <f t="shared" si="142"/>
        <v>250000000</v>
      </c>
      <c r="G763" s="1344">
        <f t="shared" si="142"/>
        <v>0</v>
      </c>
      <c r="H763" s="1284">
        <v>0</v>
      </c>
      <c r="I763" s="1284">
        <v>0</v>
      </c>
      <c r="J763" s="180"/>
      <c r="K763" s="180"/>
      <c r="L763" s="180"/>
      <c r="M763" s="180"/>
      <c r="N763" s="180"/>
      <c r="O763" s="218"/>
    </row>
    <row r="764" spans="1:15">
      <c r="A764" s="1416" t="s">
        <v>1779</v>
      </c>
      <c r="B764" s="1416" t="s">
        <v>58</v>
      </c>
      <c r="C764" s="1279" t="s">
        <v>1621</v>
      </c>
      <c r="D764" s="1345">
        <f>+VLOOKUP(A764,'Costeo de Títulos'!C:L,10,0)</f>
        <v>251077462</v>
      </c>
      <c r="E764" s="1343">
        <f t="shared" si="141"/>
        <v>254972357.0507077</v>
      </c>
      <c r="F764" s="1284">
        <f t="shared" si="142"/>
        <v>250000000</v>
      </c>
      <c r="G764" s="1344">
        <f t="shared" si="142"/>
        <v>0</v>
      </c>
      <c r="H764" s="1284">
        <v>0</v>
      </c>
      <c r="I764" s="1284">
        <v>0</v>
      </c>
      <c r="J764" s="180"/>
      <c r="K764" s="180"/>
      <c r="L764" s="180"/>
      <c r="M764" s="180"/>
      <c r="N764" s="180"/>
      <c r="O764" s="218"/>
    </row>
    <row r="765" spans="1:15">
      <c r="A765" s="1416" t="s">
        <v>1780</v>
      </c>
      <c r="B765" s="1416" t="s">
        <v>58</v>
      </c>
      <c r="C765" s="1279" t="s">
        <v>1621</v>
      </c>
      <c r="D765" s="1345">
        <f>+VLOOKUP(A765,'Costeo de Títulos'!C:L,10,0)</f>
        <v>251077462</v>
      </c>
      <c r="E765" s="1343">
        <f t="shared" si="141"/>
        <v>254972357.0507077</v>
      </c>
      <c r="F765" s="1284">
        <f t="shared" si="142"/>
        <v>250000000</v>
      </c>
      <c r="G765" s="1344">
        <f t="shared" si="142"/>
        <v>0</v>
      </c>
      <c r="H765" s="1284">
        <v>0</v>
      </c>
      <c r="I765" s="1284">
        <v>0</v>
      </c>
      <c r="J765" s="180"/>
      <c r="K765" s="180"/>
      <c r="L765" s="180"/>
      <c r="M765" s="180"/>
      <c r="N765" s="180"/>
      <c r="O765" s="218"/>
    </row>
    <row r="766" spans="1:15">
      <c r="A766" s="1416" t="s">
        <v>1781</v>
      </c>
      <c r="B766" s="1416" t="s">
        <v>58</v>
      </c>
      <c r="C766" s="1279" t="s">
        <v>1684</v>
      </c>
      <c r="D766" s="1345">
        <f>+VLOOKUP(A766,'Costeo de Títulos'!C:L,10,0)</f>
        <v>2130209954</v>
      </c>
      <c r="E766" s="1343">
        <f t="shared" si="141"/>
        <v>2115270707.2789836</v>
      </c>
      <c r="F766" s="1284">
        <f t="shared" si="142"/>
        <v>2000000000</v>
      </c>
      <c r="G766" s="1344">
        <f t="shared" si="142"/>
        <v>0</v>
      </c>
      <c r="H766" s="1284">
        <v>0</v>
      </c>
      <c r="I766" s="1284">
        <v>0</v>
      </c>
      <c r="J766" s="180"/>
      <c r="K766" s="180"/>
      <c r="L766" s="180"/>
      <c r="M766" s="180"/>
      <c r="N766" s="180"/>
      <c r="O766" s="218"/>
    </row>
    <row r="767" spans="1:15">
      <c r="A767" s="1416" t="s">
        <v>1685</v>
      </c>
      <c r="B767" s="1416" t="s">
        <v>58</v>
      </c>
      <c r="C767" s="1279" t="s">
        <v>1684</v>
      </c>
      <c r="D767" s="1345">
        <f>+VLOOKUP(A767,'Costeo de Títulos'!C:L,10,0)</f>
        <v>103203085</v>
      </c>
      <c r="E767" s="1343">
        <f t="shared" si="141"/>
        <v>102559061.71474299</v>
      </c>
      <c r="F767" s="1284">
        <f t="shared" si="142"/>
        <v>100000000</v>
      </c>
      <c r="G767" s="1344">
        <f t="shared" si="142"/>
        <v>0</v>
      </c>
      <c r="H767" s="1284">
        <v>0</v>
      </c>
      <c r="I767" s="1284">
        <v>0</v>
      </c>
      <c r="J767" s="180"/>
      <c r="K767" s="180"/>
      <c r="L767" s="180"/>
      <c r="M767" s="180"/>
      <c r="N767" s="180"/>
      <c r="O767" s="218"/>
    </row>
    <row r="768" spans="1:15">
      <c r="A768" s="1416" t="s">
        <v>1782</v>
      </c>
      <c r="B768" s="1416" t="s">
        <v>58</v>
      </c>
      <c r="C768" s="1279" t="s">
        <v>1688</v>
      </c>
      <c r="D768" s="1345">
        <f>+VLOOKUP(A768,'Costeo de Títulos'!C:L,10,0)</f>
        <v>250000000</v>
      </c>
      <c r="E768" s="1343">
        <f t="shared" si="141"/>
        <v>257140411.09589034</v>
      </c>
      <c r="F768" s="1284">
        <f t="shared" si="142"/>
        <v>250000000</v>
      </c>
      <c r="G768" s="1344">
        <f t="shared" si="142"/>
        <v>0</v>
      </c>
      <c r="H768" s="1284">
        <v>0</v>
      </c>
      <c r="I768" s="1284">
        <v>0</v>
      </c>
      <c r="J768" s="180"/>
      <c r="K768" s="180"/>
      <c r="L768" s="180"/>
      <c r="M768" s="180"/>
      <c r="N768" s="180"/>
      <c r="O768" s="218"/>
    </row>
    <row r="769" spans="1:15">
      <c r="A769" s="1416" t="s">
        <v>1783</v>
      </c>
      <c r="B769" s="1416" t="s">
        <v>58</v>
      </c>
      <c r="C769" s="1279" t="s">
        <v>1688</v>
      </c>
      <c r="D769" s="1345">
        <f>+VLOOKUP(A769,'Costeo de Títulos'!C:L,10,0)</f>
        <v>250000000</v>
      </c>
      <c r="E769" s="1343">
        <f t="shared" si="141"/>
        <v>257140411.09589034</v>
      </c>
      <c r="F769" s="1284">
        <f t="shared" si="142"/>
        <v>250000000</v>
      </c>
      <c r="G769" s="1344">
        <f t="shared" si="142"/>
        <v>0</v>
      </c>
      <c r="H769" s="1284">
        <v>0</v>
      </c>
      <c r="I769" s="1284">
        <v>0</v>
      </c>
      <c r="J769" s="180"/>
      <c r="K769" s="180"/>
      <c r="L769" s="180"/>
      <c r="M769" s="180"/>
      <c r="N769" s="180"/>
      <c r="O769" s="218"/>
    </row>
    <row r="770" spans="1:15">
      <c r="A770" s="1416" t="s">
        <v>1784</v>
      </c>
      <c r="B770" s="1416" t="s">
        <v>58</v>
      </c>
      <c r="C770" s="1279" t="s">
        <v>1688</v>
      </c>
      <c r="D770" s="1345">
        <f>+VLOOKUP(A770,'Costeo de Títulos'!C:L,10,0)</f>
        <v>200000000</v>
      </c>
      <c r="E770" s="1343">
        <f t="shared" si="141"/>
        <v>200719177.75342476</v>
      </c>
      <c r="F770" s="1284">
        <f t="shared" si="142"/>
        <v>200000000</v>
      </c>
      <c r="G770" s="1344">
        <f t="shared" si="142"/>
        <v>0</v>
      </c>
      <c r="H770" s="1284">
        <v>0</v>
      </c>
      <c r="I770" s="1284">
        <v>0</v>
      </c>
      <c r="J770" s="180"/>
      <c r="K770" s="180"/>
      <c r="L770" s="180"/>
      <c r="M770" s="180"/>
      <c r="N770" s="180"/>
      <c r="O770" s="218"/>
    </row>
    <row r="771" spans="1:15">
      <c r="A771" s="1416" t="s">
        <v>2864</v>
      </c>
      <c r="B771" s="1416" t="s">
        <v>58</v>
      </c>
      <c r="C771" s="1279" t="s">
        <v>2926</v>
      </c>
      <c r="D771" s="1345">
        <f>+VLOOKUP(A771,'Costeo de Títulos'!C:L,10,0)</f>
        <v>5188545900</v>
      </c>
      <c r="E771" s="1343">
        <f t="shared" ref="E771:E780" si="143">+J580</f>
        <v>5236109449.8794756</v>
      </c>
      <c r="F771" s="1284">
        <f t="shared" ref="F771:G780" si="144">+F580</f>
        <v>5000000000</v>
      </c>
      <c r="G771" s="1344">
        <f t="shared" si="144"/>
        <v>0</v>
      </c>
      <c r="H771" s="1284">
        <v>0</v>
      </c>
      <c r="I771" s="1284">
        <v>0</v>
      </c>
      <c r="J771" s="180"/>
      <c r="K771" s="180"/>
      <c r="L771" s="180"/>
      <c r="M771" s="180"/>
      <c r="N771" s="180"/>
      <c r="O771" s="218"/>
    </row>
    <row r="772" spans="1:15">
      <c r="A772" s="1416" t="s">
        <v>2751</v>
      </c>
      <c r="B772" s="1416" t="s">
        <v>58</v>
      </c>
      <c r="C772" s="1279" t="s">
        <v>2926</v>
      </c>
      <c r="D772" s="1345">
        <f>+VLOOKUP(A772,'Costeo de Títulos'!C:L,10,0)</f>
        <v>3077489830.8339</v>
      </c>
      <c r="E772" s="1343">
        <f t="shared" si="143"/>
        <v>3152262258.9026294</v>
      </c>
      <c r="F772" s="1284">
        <f t="shared" si="144"/>
        <v>3000000000</v>
      </c>
      <c r="G772" s="1344">
        <f t="shared" si="144"/>
        <v>0</v>
      </c>
      <c r="H772" s="1284">
        <v>0</v>
      </c>
      <c r="I772" s="1284">
        <v>0</v>
      </c>
      <c r="J772" s="180"/>
      <c r="K772" s="180"/>
      <c r="L772" s="180"/>
      <c r="M772" s="180"/>
      <c r="N772" s="180"/>
      <c r="O772" s="218"/>
    </row>
    <row r="773" spans="1:15">
      <c r="A773" s="1416" t="s">
        <v>2865</v>
      </c>
      <c r="B773" s="1416" t="s">
        <v>58</v>
      </c>
      <c r="C773" s="1279" t="s">
        <v>1515</v>
      </c>
      <c r="D773" s="1345">
        <f>+VLOOKUP(A773,'Costeo de Títulos'!C:L,10,0)</f>
        <v>1052002725</v>
      </c>
      <c r="E773" s="1343">
        <f t="shared" si="143"/>
        <v>1061063210.3914397</v>
      </c>
      <c r="F773" s="1284">
        <f t="shared" si="144"/>
        <v>1000000000</v>
      </c>
      <c r="G773" s="1344">
        <f t="shared" si="144"/>
        <v>0</v>
      </c>
      <c r="H773" s="1284">
        <v>0</v>
      </c>
      <c r="I773" s="1284">
        <v>0</v>
      </c>
      <c r="J773" s="180"/>
      <c r="K773" s="180"/>
      <c r="L773" s="180"/>
      <c r="M773" s="180"/>
      <c r="N773" s="180"/>
      <c r="O773" s="218"/>
    </row>
    <row r="774" spans="1:15">
      <c r="A774" s="1416" t="s">
        <v>2866</v>
      </c>
      <c r="B774" s="1416" t="s">
        <v>58</v>
      </c>
      <c r="C774" s="1279" t="s">
        <v>1515</v>
      </c>
      <c r="D774" s="1345">
        <f>+VLOOKUP(A774,'Costeo de Títulos'!C:L,10,0)</f>
        <v>1052002725</v>
      </c>
      <c r="E774" s="1343">
        <f t="shared" si="143"/>
        <v>1061063210.3914397</v>
      </c>
      <c r="F774" s="1284">
        <f t="shared" si="144"/>
        <v>1000000000</v>
      </c>
      <c r="G774" s="1344">
        <f t="shared" si="144"/>
        <v>0</v>
      </c>
      <c r="H774" s="1284">
        <v>0</v>
      </c>
      <c r="I774" s="1284">
        <v>0</v>
      </c>
      <c r="J774" s="180"/>
      <c r="K774" s="180"/>
      <c r="L774" s="180"/>
      <c r="M774" s="180"/>
      <c r="N774" s="180"/>
      <c r="O774" s="218"/>
    </row>
    <row r="775" spans="1:15">
      <c r="A775" s="1416" t="s">
        <v>2867</v>
      </c>
      <c r="B775" s="1416" t="s">
        <v>58</v>
      </c>
      <c r="C775" s="1279" t="s">
        <v>1515</v>
      </c>
      <c r="D775" s="1345">
        <f>+VLOOKUP(A775,'Costeo de Títulos'!C:L,10,0)</f>
        <v>1052002725</v>
      </c>
      <c r="E775" s="1343">
        <f t="shared" si="143"/>
        <v>1061063210.3914397</v>
      </c>
      <c r="F775" s="1284">
        <f t="shared" si="144"/>
        <v>1000000000</v>
      </c>
      <c r="G775" s="1344">
        <f t="shared" si="144"/>
        <v>0</v>
      </c>
      <c r="H775" s="1284">
        <v>0</v>
      </c>
      <c r="I775" s="1284">
        <v>0</v>
      </c>
      <c r="J775" s="180"/>
      <c r="K775" s="180"/>
      <c r="L775" s="180"/>
      <c r="M775" s="180"/>
      <c r="N775" s="180"/>
      <c r="O775" s="218"/>
    </row>
    <row r="776" spans="1:15">
      <c r="A776" s="1416" t="s">
        <v>2868</v>
      </c>
      <c r="B776" s="1416" t="s">
        <v>58</v>
      </c>
      <c r="C776" s="1279" t="s">
        <v>1515</v>
      </c>
      <c r="D776" s="1345">
        <f>+VLOOKUP(A776,'Costeo de Títulos'!C:L,10,0)</f>
        <v>1052002725</v>
      </c>
      <c r="E776" s="1343">
        <f t="shared" si="143"/>
        <v>1061063210.3914397</v>
      </c>
      <c r="F776" s="1284">
        <f t="shared" si="144"/>
        <v>1000000000</v>
      </c>
      <c r="G776" s="1344">
        <f t="shared" si="144"/>
        <v>0</v>
      </c>
      <c r="H776" s="1284">
        <v>0</v>
      </c>
      <c r="I776" s="1284">
        <v>0</v>
      </c>
      <c r="J776" s="180"/>
      <c r="K776" s="180"/>
      <c r="L776" s="180"/>
      <c r="M776" s="180"/>
      <c r="N776" s="180"/>
      <c r="O776" s="218"/>
    </row>
    <row r="777" spans="1:15">
      <c r="A777" s="1416" t="s">
        <v>2869</v>
      </c>
      <c r="B777" s="1416" t="s">
        <v>58</v>
      </c>
      <c r="C777" s="1279" t="s">
        <v>1515</v>
      </c>
      <c r="D777" s="1345">
        <f>+VLOOKUP(A777,'Costeo de Títulos'!C:L,10,0)</f>
        <v>1052002725</v>
      </c>
      <c r="E777" s="1343">
        <f t="shared" si="143"/>
        <v>1061063210.3914397</v>
      </c>
      <c r="F777" s="1284">
        <f t="shared" si="144"/>
        <v>1000000000</v>
      </c>
      <c r="G777" s="1344">
        <f t="shared" si="144"/>
        <v>0</v>
      </c>
      <c r="H777" s="1284">
        <v>0</v>
      </c>
      <c r="I777" s="1284">
        <v>0</v>
      </c>
      <c r="J777" s="180"/>
      <c r="K777" s="180"/>
      <c r="L777" s="180"/>
      <c r="M777" s="180"/>
      <c r="N777" s="180"/>
      <c r="O777" s="218"/>
    </row>
    <row r="778" spans="1:15">
      <c r="A778" s="1416" t="s">
        <v>2752</v>
      </c>
      <c r="B778" s="1416" t="s">
        <v>58</v>
      </c>
      <c r="C778" s="1279" t="s">
        <v>1600</v>
      </c>
      <c r="D778" s="1345">
        <f>+VLOOKUP(A778,'Costeo de Títulos'!C:L,10,0)</f>
        <v>981995863.23000002</v>
      </c>
      <c r="E778" s="1343">
        <f t="shared" si="143"/>
        <v>981196215.66640258</v>
      </c>
      <c r="F778" s="1284">
        <f t="shared" si="144"/>
        <v>1000000000</v>
      </c>
      <c r="G778" s="1344">
        <f t="shared" si="144"/>
        <v>0</v>
      </c>
      <c r="H778" s="1284">
        <v>0</v>
      </c>
      <c r="I778" s="1284">
        <v>0</v>
      </c>
      <c r="J778" s="180"/>
      <c r="K778" s="180"/>
      <c r="L778" s="180"/>
      <c r="M778" s="180"/>
      <c r="N778" s="180"/>
      <c r="O778" s="218"/>
    </row>
    <row r="779" spans="1:15">
      <c r="A779" s="1416" t="s">
        <v>1697</v>
      </c>
      <c r="B779" s="1416" t="s">
        <v>2975</v>
      </c>
      <c r="C779" s="1279" t="s">
        <v>1600</v>
      </c>
      <c r="D779" s="1345">
        <f>+'Costeo de Títulos'!L72</f>
        <v>334552549.67741936</v>
      </c>
      <c r="E779" s="1343">
        <f t="shared" si="143"/>
        <v>337000508</v>
      </c>
      <c r="F779" s="1284">
        <f t="shared" si="144"/>
        <v>1000000</v>
      </c>
      <c r="G779" s="1344">
        <f t="shared" si="144"/>
        <v>0</v>
      </c>
      <c r="H779" s="1284">
        <v>0</v>
      </c>
      <c r="I779" s="1284">
        <v>0</v>
      </c>
      <c r="J779" s="180"/>
      <c r="K779" s="180"/>
      <c r="L779" s="180"/>
      <c r="M779" s="180"/>
      <c r="N779" s="180"/>
      <c r="O779" s="218"/>
    </row>
    <row r="780" spans="1:15">
      <c r="A780" s="858" t="s">
        <v>2871</v>
      </c>
      <c r="B780" s="858" t="s">
        <v>62</v>
      </c>
      <c r="C780" s="1279" t="s">
        <v>1616</v>
      </c>
      <c r="D780" s="1345">
        <f>+'Costeo de Títulos'!L86</f>
        <v>1500000000</v>
      </c>
      <c r="E780" s="1343">
        <f t="shared" si="143"/>
        <v>1504487671.232877</v>
      </c>
      <c r="F780" s="1284">
        <f t="shared" si="144"/>
        <v>1000000</v>
      </c>
      <c r="G780" s="1344">
        <f t="shared" si="144"/>
        <v>0</v>
      </c>
      <c r="H780" s="1284">
        <v>0</v>
      </c>
      <c r="I780" s="1284">
        <v>0</v>
      </c>
      <c r="J780" s="180"/>
      <c r="K780" s="180"/>
      <c r="L780" s="180"/>
      <c r="M780" s="180"/>
      <c r="N780" s="180"/>
      <c r="O780" s="218"/>
    </row>
    <row r="781" spans="1:15">
      <c r="A781" s="1416" t="s">
        <v>1638</v>
      </c>
      <c r="B781" s="1416" t="s">
        <v>62</v>
      </c>
      <c r="C781" s="1279" t="s">
        <v>1637</v>
      </c>
      <c r="D781" s="1345">
        <f>+'Costeo de Títulos'!L175</f>
        <v>2680609129.5851998</v>
      </c>
      <c r="E781" s="1343">
        <f>+J493</f>
        <v>2683782520.5936599</v>
      </c>
      <c r="F781" s="1284">
        <f>+F493</f>
        <v>0</v>
      </c>
      <c r="G781" s="1344">
        <f>+G493</f>
        <v>1000</v>
      </c>
      <c r="H781" s="1284">
        <v>0</v>
      </c>
      <c r="I781" s="1284">
        <v>0</v>
      </c>
      <c r="J781" s="180"/>
      <c r="K781" s="180"/>
      <c r="L781" s="180"/>
      <c r="M781" s="180"/>
      <c r="N781" s="180"/>
      <c r="O781" s="218"/>
    </row>
    <row r="782" spans="1:15">
      <c r="A782" s="1416" t="s">
        <v>1640</v>
      </c>
      <c r="B782" s="1416" t="s">
        <v>62</v>
      </c>
      <c r="C782" s="1279" t="s">
        <v>1637</v>
      </c>
      <c r="D782" s="1345">
        <f>+'Costeo de Títulos'!L176</f>
        <v>1267119372.6399601</v>
      </c>
      <c r="E782" s="1343">
        <f t="shared" ref="E782:E794" si="145">+J494</f>
        <v>1265668600.39992</v>
      </c>
      <c r="F782" s="1284">
        <f t="shared" ref="F782:G782" si="146">+F494</f>
        <v>0</v>
      </c>
      <c r="G782" s="1344">
        <f t="shared" si="146"/>
        <v>1000</v>
      </c>
      <c r="H782" s="1284">
        <v>0</v>
      </c>
      <c r="I782" s="1284">
        <v>0</v>
      </c>
      <c r="J782" s="180"/>
      <c r="K782" s="180"/>
      <c r="L782" s="180"/>
      <c r="M782" s="180"/>
      <c r="N782" s="180"/>
      <c r="O782" s="218"/>
    </row>
    <row r="783" spans="1:15">
      <c r="A783" s="1416" t="s">
        <v>1638</v>
      </c>
      <c r="B783" s="1416" t="s">
        <v>62</v>
      </c>
      <c r="C783" s="1279" t="s">
        <v>1637</v>
      </c>
      <c r="D783" s="1345">
        <f>+'Costeo de Títulos'!L177</f>
        <v>1111664374.3279798</v>
      </c>
      <c r="E783" s="1343">
        <f t="shared" si="145"/>
        <v>1112980472.3898001</v>
      </c>
      <c r="F783" s="1284">
        <f t="shared" ref="F783:G783" si="147">+F495</f>
        <v>0</v>
      </c>
      <c r="G783" s="1344">
        <f t="shared" si="147"/>
        <v>1000</v>
      </c>
      <c r="H783" s="1284">
        <v>0</v>
      </c>
      <c r="I783" s="1284">
        <v>0</v>
      </c>
      <c r="J783" s="180"/>
      <c r="K783" s="180"/>
      <c r="L783" s="180"/>
      <c r="M783" s="180"/>
      <c r="N783" s="180"/>
      <c r="O783" s="218"/>
    </row>
    <row r="784" spans="1:15">
      <c r="A784" s="1416" t="s">
        <v>1640</v>
      </c>
      <c r="B784" s="1416" t="s">
        <v>62</v>
      </c>
      <c r="C784" s="1279" t="s">
        <v>1637</v>
      </c>
      <c r="D784" s="1345">
        <f>+'Costeo de Títulos'!L178</f>
        <v>417126253.10508007</v>
      </c>
      <c r="E784" s="1343">
        <f>+J496</f>
        <v>416648648.05145997</v>
      </c>
      <c r="F784" s="1284">
        <f t="shared" ref="F784:G784" si="148">+F496</f>
        <v>0</v>
      </c>
      <c r="G784" s="1344">
        <f t="shared" si="148"/>
        <v>1000</v>
      </c>
      <c r="H784" s="1284">
        <v>0</v>
      </c>
      <c r="I784" s="1284">
        <v>0</v>
      </c>
      <c r="J784" s="180"/>
      <c r="K784" s="180"/>
      <c r="L784" s="180"/>
      <c r="M784" s="180"/>
      <c r="N784" s="180"/>
      <c r="O784" s="218"/>
    </row>
    <row r="785" spans="1:15">
      <c r="A785" s="1416" t="s">
        <v>1639</v>
      </c>
      <c r="B785" s="1416" t="s">
        <v>62</v>
      </c>
      <c r="C785" s="1279" t="s">
        <v>1637</v>
      </c>
      <c r="D785" s="1345">
        <f>+'Costeo de Títulos'!L179</f>
        <v>2569548154.8548045</v>
      </c>
      <c r="E785" s="1343">
        <f>+J497</f>
        <v>2570657103.6525002</v>
      </c>
      <c r="F785" s="1284">
        <f t="shared" ref="F785:G785" si="149">+F497</f>
        <v>0</v>
      </c>
      <c r="G785" s="1344">
        <f t="shared" si="149"/>
        <v>1000</v>
      </c>
      <c r="H785" s="1284">
        <v>0</v>
      </c>
      <c r="I785" s="1284">
        <v>0</v>
      </c>
      <c r="J785" s="180"/>
      <c r="K785" s="180"/>
      <c r="L785" s="180"/>
      <c r="M785" s="180"/>
      <c r="N785" s="180"/>
      <c r="O785" s="218"/>
    </row>
    <row r="786" spans="1:15">
      <c r="A786" s="1416" t="s">
        <v>1638</v>
      </c>
      <c r="B786" s="1416" t="s">
        <v>62</v>
      </c>
      <c r="C786" s="1279" t="s">
        <v>1637</v>
      </c>
      <c r="D786" s="1345">
        <f>+'Costeo de Títulos'!L180</f>
        <v>70957300.489020005</v>
      </c>
      <c r="E786" s="1343">
        <f t="shared" si="145"/>
        <v>71041353.402600005</v>
      </c>
      <c r="F786" s="1284">
        <f t="shared" ref="F786:G786" si="150">+F498</f>
        <v>0</v>
      </c>
      <c r="G786" s="1344">
        <f t="shared" si="150"/>
        <v>1000</v>
      </c>
      <c r="H786" s="1284">
        <v>0</v>
      </c>
      <c r="I786" s="1284">
        <v>0</v>
      </c>
      <c r="J786" s="180"/>
      <c r="K786" s="180"/>
      <c r="L786" s="180"/>
      <c r="M786" s="180"/>
      <c r="N786" s="180"/>
      <c r="O786" s="218"/>
    </row>
    <row r="787" spans="1:15">
      <c r="A787" s="1416" t="s">
        <v>1639</v>
      </c>
      <c r="B787" s="1416" t="s">
        <v>62</v>
      </c>
      <c r="C787" s="1279" t="s">
        <v>1637</v>
      </c>
      <c r="D787" s="1345">
        <f>+'Costeo de Títulos'!L181</f>
        <v>416250791.44065368</v>
      </c>
      <c r="E787" s="1343">
        <f t="shared" si="145"/>
        <v>416426036.65470004</v>
      </c>
      <c r="F787" s="1284">
        <f t="shared" ref="F787:G787" si="151">+F499</f>
        <v>0</v>
      </c>
      <c r="G787" s="1344">
        <f t="shared" si="151"/>
        <v>1000</v>
      </c>
      <c r="H787" s="1284">
        <v>0</v>
      </c>
      <c r="I787" s="1284">
        <v>0</v>
      </c>
      <c r="J787" s="180"/>
      <c r="K787" s="180"/>
      <c r="L787" s="180"/>
      <c r="M787" s="180"/>
      <c r="N787" s="180"/>
      <c r="O787" s="218"/>
    </row>
    <row r="788" spans="1:15">
      <c r="A788" s="1416" t="s">
        <v>1640</v>
      </c>
      <c r="B788" s="1416" t="s">
        <v>62</v>
      </c>
      <c r="C788" s="1279" t="s">
        <v>1637</v>
      </c>
      <c r="D788" s="1345">
        <f>+'Costeo de Títulos'!L182</f>
        <v>590272999.67700016</v>
      </c>
      <c r="E788" s="1343">
        <f t="shared" si="145"/>
        <v>589597130.61395991</v>
      </c>
      <c r="F788" s="1284">
        <f t="shared" ref="F788:G788" si="152">+F500</f>
        <v>0</v>
      </c>
      <c r="G788" s="1344">
        <f t="shared" si="152"/>
        <v>1000</v>
      </c>
      <c r="H788" s="1284">
        <v>0</v>
      </c>
      <c r="I788" s="1284">
        <v>0</v>
      </c>
      <c r="J788" s="180"/>
      <c r="K788" s="180"/>
      <c r="L788" s="180"/>
      <c r="M788" s="180"/>
      <c r="N788" s="180"/>
      <c r="O788" s="218"/>
    </row>
    <row r="789" spans="1:15">
      <c r="A789" s="1416" t="s">
        <v>1639</v>
      </c>
      <c r="B789" s="1416" t="s">
        <v>62</v>
      </c>
      <c r="C789" s="1279" t="s">
        <v>1637</v>
      </c>
      <c r="D789" s="1345">
        <f>+'Costeo de Títulos'!L183</f>
        <v>1288776488.8835623</v>
      </c>
      <c r="E789" s="1343">
        <f t="shared" si="145"/>
        <v>1289340604.2150002</v>
      </c>
      <c r="F789" s="1284">
        <f t="shared" ref="F789:G789" si="153">+F501</f>
        <v>0</v>
      </c>
      <c r="G789" s="1344">
        <f t="shared" si="153"/>
        <v>1000</v>
      </c>
      <c r="H789" s="1284">
        <v>0</v>
      </c>
      <c r="I789" s="1284">
        <v>0</v>
      </c>
      <c r="J789" s="180"/>
      <c r="K789" s="180"/>
      <c r="L789" s="180"/>
      <c r="M789" s="180"/>
      <c r="N789" s="180"/>
      <c r="O789" s="218"/>
    </row>
    <row r="790" spans="1:15">
      <c r="A790" s="1416" t="s">
        <v>2944</v>
      </c>
      <c r="B790" s="1416" t="s">
        <v>2975</v>
      </c>
      <c r="C790" s="1279" t="s">
        <v>1600</v>
      </c>
      <c r="D790" s="1345">
        <f>+VLOOKUP(A790,'Costeo de Títulos'!C:L,10,0)</f>
        <v>1000000000</v>
      </c>
      <c r="E790" s="1343">
        <f t="shared" si="145"/>
        <v>991164383.79452097</v>
      </c>
      <c r="F790" s="1284">
        <f t="shared" ref="F790:G790" si="154">+F502</f>
        <v>1000000</v>
      </c>
      <c r="G790" s="1344">
        <f t="shared" si="154"/>
        <v>0</v>
      </c>
      <c r="H790" s="1284">
        <v>0</v>
      </c>
      <c r="I790" s="1284">
        <v>0</v>
      </c>
      <c r="J790" s="180"/>
      <c r="K790" s="180"/>
      <c r="L790" s="180"/>
      <c r="M790" s="180"/>
      <c r="N790" s="180"/>
      <c r="O790" s="218"/>
    </row>
    <row r="791" spans="1:15">
      <c r="A791" s="1416" t="s">
        <v>1693</v>
      </c>
      <c r="B791" s="1416" t="s">
        <v>56</v>
      </c>
      <c r="C791" s="1279" t="s">
        <v>2946</v>
      </c>
      <c r="D791" s="1345">
        <f>+VLOOKUP(A791,'Costeo de Títulos'!C:L,10,0)</f>
        <v>155739924</v>
      </c>
      <c r="E791" s="1343">
        <f t="shared" si="145"/>
        <v>155649139.45057389</v>
      </c>
      <c r="F791" s="1284">
        <f t="shared" ref="F791:G791" si="155">+F503</f>
        <v>1000000</v>
      </c>
      <c r="G791" s="1344">
        <f t="shared" si="155"/>
        <v>0</v>
      </c>
      <c r="H791" s="1284">
        <v>0</v>
      </c>
      <c r="I791" s="1284">
        <v>0</v>
      </c>
      <c r="J791" s="180"/>
      <c r="K791" s="180"/>
      <c r="L791" s="180"/>
      <c r="M791" s="180"/>
      <c r="N791" s="180"/>
      <c r="O791" s="218"/>
    </row>
    <row r="792" spans="1:15">
      <c r="A792" s="1416" t="s">
        <v>1694</v>
      </c>
      <c r="B792" s="1416" t="s">
        <v>56</v>
      </c>
      <c r="C792" s="1279" t="s">
        <v>2946</v>
      </c>
      <c r="D792" s="1345">
        <f>+VLOOKUP(A792,'Costeo de Títulos'!C:L,10,0)</f>
        <v>226518750</v>
      </c>
      <c r="E792" s="1343">
        <f t="shared" si="145"/>
        <v>226611710.84931511</v>
      </c>
      <c r="F792" s="1284">
        <f t="shared" ref="F792:G792" si="156">+F504</f>
        <v>1000000</v>
      </c>
      <c r="G792" s="1344">
        <f t="shared" si="156"/>
        <v>0</v>
      </c>
      <c r="H792" s="1284">
        <v>0</v>
      </c>
      <c r="I792" s="1284">
        <v>0</v>
      </c>
      <c r="J792" s="180"/>
      <c r="K792" s="180"/>
      <c r="L792" s="180"/>
      <c r="M792" s="180"/>
      <c r="N792" s="180"/>
      <c r="O792" s="218"/>
    </row>
    <row r="793" spans="1:15">
      <c r="A793" s="1416" t="s">
        <v>2718</v>
      </c>
      <c r="B793" s="1416" t="s">
        <v>1671</v>
      </c>
      <c r="C793" s="1279" t="s">
        <v>2741</v>
      </c>
      <c r="D793" s="1345">
        <f>+'Costeo de Títulos'!L5</f>
        <v>2026860000</v>
      </c>
      <c r="E793" s="1343">
        <f t="shared" si="145"/>
        <v>2068563594.4700463</v>
      </c>
      <c r="F793" s="1284">
        <f t="shared" ref="F793:G793" si="157">+F505</f>
        <v>1000000</v>
      </c>
      <c r="G793" s="1344">
        <f t="shared" si="157"/>
        <v>0</v>
      </c>
      <c r="H793" s="1284">
        <v>0</v>
      </c>
      <c r="I793" s="1284">
        <v>0</v>
      </c>
      <c r="J793" s="180"/>
      <c r="K793" s="180"/>
      <c r="L793" s="180"/>
      <c r="M793" s="180"/>
      <c r="N793" s="180"/>
      <c r="O793" s="218"/>
    </row>
    <row r="794" spans="1:15">
      <c r="A794" s="1416" t="s">
        <v>1728</v>
      </c>
      <c r="B794" s="1416" t="s">
        <v>1671</v>
      </c>
      <c r="C794" s="1279" t="s">
        <v>2741</v>
      </c>
      <c r="D794" s="1345">
        <f>+'Costeo de Títulos'!L90</f>
        <v>77697571.406258434</v>
      </c>
      <c r="E794" s="1343">
        <f t="shared" si="145"/>
        <v>78417521.613657594</v>
      </c>
      <c r="F794" s="1284">
        <f t="shared" ref="F794:G794" si="158">+F506</f>
        <v>1000000</v>
      </c>
      <c r="G794" s="1344">
        <f t="shared" si="158"/>
        <v>0</v>
      </c>
      <c r="H794" s="1284">
        <v>0</v>
      </c>
      <c r="I794" s="1284">
        <v>0</v>
      </c>
      <c r="J794" s="180"/>
      <c r="K794" s="180"/>
      <c r="L794" s="180"/>
      <c r="M794" s="180"/>
      <c r="N794" s="180"/>
      <c r="O794" s="218"/>
    </row>
    <row r="795" spans="1:15">
      <c r="A795" s="1416"/>
      <c r="B795" s="1417"/>
      <c r="C795" s="585" t="s">
        <v>1804</v>
      </c>
      <c r="D795" s="461"/>
      <c r="E795" s="1094">
        <f>+I591</f>
        <v>0</v>
      </c>
      <c r="F795" s="715"/>
      <c r="G795" s="1072"/>
      <c r="H795" s="1072"/>
      <c r="I795" s="1072"/>
      <c r="J795" s="180"/>
      <c r="K795" s="180"/>
      <c r="L795" s="180"/>
      <c r="M795" s="180"/>
      <c r="N795" s="180"/>
      <c r="O795" s="218"/>
    </row>
    <row r="796" spans="1:15">
      <c r="A796" s="217"/>
      <c r="B796" s="1330"/>
      <c r="C796" s="585" t="s">
        <v>1811</v>
      </c>
      <c r="D796" s="461"/>
      <c r="E796" s="1071">
        <f>+H594</f>
        <v>-693820112</v>
      </c>
      <c r="F796" s="715"/>
      <c r="G796" s="1072"/>
      <c r="H796" s="1072"/>
      <c r="I796" s="1072"/>
      <c r="J796" s="180"/>
      <c r="K796" s="180"/>
      <c r="L796" s="180"/>
      <c r="M796" s="180"/>
      <c r="N796" s="180"/>
      <c r="O796" s="218"/>
    </row>
    <row r="797" spans="1:15">
      <c r="A797" s="217"/>
      <c r="B797" s="1330"/>
      <c r="C797" s="585"/>
      <c r="D797" s="461"/>
      <c r="E797" s="1071"/>
      <c r="F797" s="715"/>
      <c r="G797" s="1072"/>
      <c r="H797" s="1073"/>
      <c r="I797" s="1073"/>
      <c r="J797" s="180"/>
      <c r="K797" s="180"/>
      <c r="L797" s="180"/>
      <c r="M797" s="180"/>
      <c r="N797" s="180"/>
      <c r="O797" s="218"/>
    </row>
    <row r="798" spans="1:15" ht="16.2" thickBot="1">
      <c r="A798" s="217"/>
      <c r="B798" s="1330"/>
      <c r="C798" s="173"/>
      <c r="D798" s="1074"/>
      <c r="E798" s="855"/>
      <c r="F798" s="1074"/>
      <c r="G798" s="694"/>
      <c r="H798" s="1075"/>
      <c r="I798" s="1075"/>
      <c r="J798" s="180"/>
      <c r="K798" s="180"/>
      <c r="L798" s="180"/>
      <c r="M798" s="180"/>
      <c r="N798" s="180"/>
      <c r="O798" s="218"/>
    </row>
    <row r="799" spans="1:15" ht="16.2" thickBot="1">
      <c r="A799" s="217"/>
      <c r="B799" s="1328"/>
      <c r="C799" s="532" t="s">
        <v>3012</v>
      </c>
      <c r="D799" s="674"/>
      <c r="E799" s="675">
        <f>+SUM(E614:E798)</f>
        <v>101859999267.50568</v>
      </c>
      <c r="F799" s="674"/>
      <c r="G799" s="695"/>
      <c r="H799" s="912">
        <f>+SUM(H614:H798)</f>
        <v>0</v>
      </c>
      <c r="I799" s="912">
        <f>+SUM(I614:I798)</f>
        <v>0</v>
      </c>
      <c r="J799" s="180"/>
      <c r="K799" s="968">
        <f>+E799-J596</f>
        <v>0</v>
      </c>
      <c r="L799" s="1076"/>
      <c r="M799" s="180"/>
      <c r="N799" s="180"/>
      <c r="O799" s="218"/>
    </row>
    <row r="800" spans="1:15" ht="16.8" thickTop="1" thickBot="1">
      <c r="A800" s="217"/>
      <c r="B800" s="1328"/>
      <c r="C800" s="171" t="s">
        <v>1807</v>
      </c>
      <c r="D800" s="648"/>
      <c r="E800" s="687">
        <v>62418287641</v>
      </c>
      <c r="F800" s="693"/>
      <c r="G800" s="696"/>
      <c r="H800" s="912">
        <v>0</v>
      </c>
      <c r="I800" s="912">
        <v>0</v>
      </c>
      <c r="J800" s="180"/>
      <c r="K800" s="379">
        <f>+E800-J597</f>
        <v>0</v>
      </c>
      <c r="L800" s="180"/>
      <c r="M800" s="180"/>
      <c r="N800" s="180"/>
      <c r="O800" s="218"/>
    </row>
    <row r="801" spans="1:15" ht="16.8" thickTop="1" thickBot="1">
      <c r="A801" s="217"/>
      <c r="B801" s="1328"/>
      <c r="C801" s="683" t="s">
        <v>172</v>
      </c>
      <c r="D801" s="688"/>
      <c r="E801" s="682"/>
      <c r="F801" s="688"/>
      <c r="G801" s="688"/>
      <c r="H801" s="688"/>
      <c r="I801" s="688"/>
      <c r="J801" s="180"/>
      <c r="K801" s="180"/>
      <c r="L801" s="180"/>
      <c r="M801" s="180"/>
      <c r="N801" s="180"/>
      <c r="O801" s="218"/>
    </row>
    <row r="802" spans="1:15">
      <c r="A802" s="217"/>
      <c r="B802" s="1330"/>
      <c r="C802" s="173" t="s">
        <v>3118</v>
      </c>
      <c r="D802" s="461">
        <v>900000000</v>
      </c>
      <c r="E802" s="855">
        <f>+'12 Cartera Propia'!M153</f>
        <v>1003000000.4</v>
      </c>
      <c r="F802" s="461">
        <v>600000000</v>
      </c>
      <c r="G802" s="689">
        <f>+G597</f>
        <v>0</v>
      </c>
      <c r="H802" s="715">
        <v>0</v>
      </c>
      <c r="I802" s="715">
        <v>0</v>
      </c>
      <c r="J802" s="180"/>
      <c r="K802" s="180"/>
      <c r="L802" s="180"/>
      <c r="M802" s="180"/>
      <c r="N802" s="180"/>
      <c r="O802" s="216"/>
    </row>
    <row r="803" spans="1:15">
      <c r="A803" s="217"/>
      <c r="B803" s="1330"/>
      <c r="C803" s="173" t="s">
        <v>1515</v>
      </c>
      <c r="D803" s="461">
        <v>200000000</v>
      </c>
      <c r="E803" s="855">
        <f>+'12 Cartera Propia'!Q144</f>
        <v>210273971.630137</v>
      </c>
      <c r="F803" s="461">
        <v>200000000</v>
      </c>
      <c r="G803" s="689">
        <f>+G599</f>
        <v>0</v>
      </c>
      <c r="H803" s="715">
        <v>0</v>
      </c>
      <c r="I803" s="715">
        <v>0</v>
      </c>
      <c r="J803" s="180"/>
      <c r="K803" s="180"/>
      <c r="L803" s="180"/>
      <c r="M803" s="180"/>
      <c r="N803" s="180"/>
      <c r="O803" s="216"/>
    </row>
    <row r="804" spans="1:15" ht="16.2" thickBot="1">
      <c r="A804" s="217"/>
      <c r="B804" s="1330"/>
      <c r="C804" s="173" t="s">
        <v>1515</v>
      </c>
      <c r="D804" s="461">
        <v>500000000</v>
      </c>
      <c r="E804" s="855">
        <f>+'12 Cartera Propia'!Q145</f>
        <v>525684931.575342</v>
      </c>
      <c r="F804" s="461">
        <v>500000000</v>
      </c>
      <c r="G804" s="689">
        <f>+G600</f>
        <v>0</v>
      </c>
      <c r="H804" s="715">
        <v>0</v>
      </c>
      <c r="I804" s="715">
        <v>0</v>
      </c>
      <c r="J804" s="180"/>
      <c r="K804" s="180"/>
      <c r="L804" s="180"/>
      <c r="M804" s="180"/>
      <c r="N804" s="180"/>
      <c r="O804" s="216"/>
    </row>
    <row r="805" spans="1:15" ht="16.2" thickBot="1">
      <c r="A805" s="217"/>
      <c r="B805" s="1328"/>
      <c r="C805" s="423" t="s">
        <v>3012</v>
      </c>
      <c r="D805" s="674"/>
      <c r="E805" s="675">
        <f>SUM(E802:E804)</f>
        <v>1738958903.605479</v>
      </c>
      <c r="F805" s="674"/>
      <c r="G805" s="695"/>
      <c r="H805" s="911">
        <v>0</v>
      </c>
      <c r="I805" s="911">
        <v>0</v>
      </c>
      <c r="J805" s="180"/>
      <c r="K805" s="379">
        <f>+E805-H605</f>
        <v>0</v>
      </c>
      <c r="L805" s="180"/>
      <c r="M805" s="180"/>
      <c r="N805" s="180"/>
      <c r="O805" s="216"/>
    </row>
    <row r="806" spans="1:15" ht="16.8" thickTop="1" thickBot="1">
      <c r="A806" s="217"/>
      <c r="B806" s="1328"/>
      <c r="C806" s="178" t="s">
        <v>1438</v>
      </c>
      <c r="D806" s="674"/>
      <c r="E806" s="676">
        <v>1668742466.0780799</v>
      </c>
      <c r="F806" s="681"/>
      <c r="G806" s="694"/>
      <c r="H806" s="911">
        <v>0</v>
      </c>
      <c r="I806" s="911">
        <v>0</v>
      </c>
      <c r="J806" s="180"/>
      <c r="K806" s="379">
        <f>+E806-H606</f>
        <v>7.8079938888549805E-2</v>
      </c>
      <c r="L806" s="180"/>
      <c r="M806" s="180"/>
      <c r="N806" s="180"/>
      <c r="O806" s="218"/>
    </row>
    <row r="807" spans="1:15">
      <c r="A807" s="217"/>
      <c r="B807" s="1328"/>
      <c r="C807" s="994" t="s">
        <v>1370</v>
      </c>
      <c r="D807" s="910"/>
      <c r="E807" s="910"/>
      <c r="F807" s="180"/>
      <c r="G807" s="180"/>
      <c r="H807" s="180"/>
      <c r="I807" s="180"/>
      <c r="J807" s="180"/>
      <c r="K807" s="180"/>
      <c r="L807" s="180"/>
      <c r="M807" s="180"/>
      <c r="N807" s="180"/>
      <c r="O807" s="216"/>
    </row>
    <row r="808" spans="1:15">
      <c r="A808" s="217"/>
      <c r="B808" s="1328"/>
      <c r="C808" s="994" t="s">
        <v>1812</v>
      </c>
      <c r="D808" s="910"/>
      <c r="E808" s="910"/>
      <c r="F808" s="180"/>
      <c r="G808" s="180"/>
      <c r="H808" s="180"/>
      <c r="I808" s="180"/>
      <c r="J808" s="180"/>
      <c r="K808" s="180"/>
      <c r="L808" s="180"/>
      <c r="M808" s="180"/>
      <c r="N808" s="180"/>
      <c r="O808" s="216"/>
    </row>
    <row r="809" spans="1:15" ht="16.2" thickBot="1">
      <c r="A809" s="217"/>
      <c r="B809" s="1328"/>
      <c r="C809" s="181"/>
      <c r="D809" s="180"/>
      <c r="E809" s="180"/>
      <c r="F809" s="180"/>
      <c r="G809" s="180"/>
      <c r="H809" s="180"/>
      <c r="I809" s="180"/>
      <c r="J809" s="180"/>
      <c r="K809" s="180"/>
      <c r="L809" s="180"/>
      <c r="M809" s="180"/>
      <c r="N809" s="180"/>
      <c r="O809" s="216"/>
    </row>
    <row r="810" spans="1:15" ht="16.2" thickBot="1">
      <c r="A810" s="1328"/>
      <c r="B810" s="1328"/>
      <c r="C810" s="1547" t="s">
        <v>1813</v>
      </c>
      <c r="D810" s="1547"/>
      <c r="E810" s="1547"/>
      <c r="F810" s="180"/>
      <c r="G810" s="180"/>
      <c r="H810" s="184"/>
      <c r="I810" s="184"/>
      <c r="J810" s="184"/>
      <c r="K810" s="184"/>
      <c r="L810" s="184"/>
      <c r="M810" s="184"/>
      <c r="N810" s="184"/>
      <c r="O810" s="216"/>
    </row>
    <row r="811" spans="1:15" ht="31.2">
      <c r="A811" s="1328"/>
      <c r="B811" s="1328"/>
      <c r="C811" s="521" t="s">
        <v>1814</v>
      </c>
      <c r="D811" s="474" t="s">
        <v>1815</v>
      </c>
      <c r="E811" s="241" t="s">
        <v>1816</v>
      </c>
      <c r="F811" s="180"/>
      <c r="G811" s="180"/>
      <c r="H811" s="184"/>
      <c r="I811" s="184"/>
      <c r="J811" s="184"/>
      <c r="K811" s="184"/>
      <c r="L811" s="184"/>
      <c r="M811" s="184"/>
      <c r="N811" s="184"/>
      <c r="O811" s="216"/>
    </row>
    <row r="812" spans="1:15" ht="16.2" thickBot="1">
      <c r="A812" s="1330"/>
      <c r="B812" s="1328"/>
      <c r="C812" s="531" t="s">
        <v>1817</v>
      </c>
      <c r="D812" s="238">
        <v>600000000</v>
      </c>
      <c r="E812" s="237">
        <v>1003000000</v>
      </c>
      <c r="F812" s="222"/>
      <c r="G812" s="222"/>
      <c r="H812" s="192"/>
      <c r="I812" s="192"/>
      <c r="J812" s="192"/>
      <c r="K812" s="192"/>
      <c r="L812" s="192"/>
      <c r="M812" s="192"/>
      <c r="N812" s="192"/>
      <c r="O812" s="223"/>
    </row>
    <row r="813" spans="1:15" ht="16.2" thickBot="1">
      <c r="A813" s="1330"/>
      <c r="B813" s="1328"/>
      <c r="C813" s="423" t="s">
        <v>3012</v>
      </c>
      <c r="D813" s="621">
        <f>+D812</f>
        <v>600000000</v>
      </c>
      <c r="E813" s="621">
        <f>+E812</f>
        <v>1003000000</v>
      </c>
      <c r="F813" s="192"/>
      <c r="G813" s="192"/>
      <c r="H813" s="192"/>
      <c r="I813" s="192"/>
      <c r="J813" s="192"/>
      <c r="K813" s="192"/>
      <c r="L813" s="192"/>
      <c r="M813" s="192"/>
      <c r="N813" s="192"/>
      <c r="O813" s="223"/>
    </row>
    <row r="814" spans="1:15" ht="16.8" thickTop="1" thickBot="1">
      <c r="A814" s="1330"/>
      <c r="B814" s="1331"/>
      <c r="C814" s="178" t="s">
        <v>1438</v>
      </c>
      <c r="D814" s="622">
        <v>200000000</v>
      </c>
      <c r="E814" s="622">
        <v>1003000000</v>
      </c>
      <c r="F814" s="192"/>
      <c r="G814" s="192"/>
      <c r="H814" s="192"/>
      <c r="I814" s="192"/>
      <c r="J814" s="192"/>
      <c r="K814" s="192"/>
      <c r="L814" s="192"/>
      <c r="M814" s="192"/>
      <c r="N814" s="192"/>
      <c r="O814" s="223"/>
    </row>
    <row r="815" spans="1:15">
      <c r="A815" s="1330"/>
      <c r="B815" s="1331"/>
      <c r="C815" s="172"/>
      <c r="D815" s="1278"/>
      <c r="E815" s="1278"/>
      <c r="F815" s="192"/>
      <c r="G815" s="192"/>
      <c r="H815" s="192"/>
      <c r="I815" s="192"/>
      <c r="J815" s="192"/>
      <c r="K815" s="192"/>
      <c r="L815" s="192"/>
      <c r="M815" s="192"/>
      <c r="N815" s="192"/>
      <c r="O815" s="223"/>
    </row>
    <row r="816" spans="1:15">
      <c r="C816" s="10" t="s">
        <v>1904</v>
      </c>
      <c r="F816" s="180"/>
      <c r="G816" s="180"/>
      <c r="H816" s="180"/>
      <c r="I816" s="180"/>
      <c r="J816" s="180"/>
      <c r="K816" s="180"/>
    </row>
    <row r="817" spans="3:11">
      <c r="C817" s="251" t="s">
        <v>1905</v>
      </c>
      <c r="F817" s="180"/>
      <c r="G817" s="180"/>
      <c r="H817" s="180"/>
      <c r="I817" s="180"/>
      <c r="J817" s="180"/>
      <c r="K817" s="180"/>
    </row>
    <row r="818" spans="3:11" ht="16.2" thickBot="1">
      <c r="C818" s="245"/>
      <c r="F818" s="184"/>
      <c r="G818" s="184"/>
      <c r="H818" s="184"/>
      <c r="I818" s="184"/>
      <c r="J818" s="184"/>
      <c r="K818" s="184"/>
    </row>
    <row r="819" spans="3:11" ht="16.2" thickBot="1">
      <c r="C819" s="523" t="s">
        <v>1906</v>
      </c>
      <c r="D819" s="516" t="s">
        <v>1907</v>
      </c>
      <c r="E819" s="525" t="s">
        <v>1908</v>
      </c>
      <c r="F819" s="180"/>
      <c r="G819" s="180"/>
      <c r="H819" s="180"/>
      <c r="I819" s="180"/>
      <c r="J819" s="180"/>
      <c r="K819" s="180"/>
    </row>
    <row r="820" spans="3:11">
      <c r="C820" s="163" t="s">
        <v>1851</v>
      </c>
      <c r="D820" s="752"/>
      <c r="E820" s="526"/>
      <c r="F820" s="180"/>
      <c r="G820" s="180"/>
      <c r="H820" s="180"/>
      <c r="I820" s="180"/>
      <c r="J820" s="180"/>
      <c r="K820" s="180"/>
    </row>
    <row r="821" spans="3:11">
      <c r="C821" s="158" t="s">
        <v>32</v>
      </c>
      <c r="D821" s="533">
        <f>+Composición!G77</f>
        <v>600207486</v>
      </c>
      <c r="E821" s="649">
        <v>0</v>
      </c>
      <c r="F821" s="858"/>
      <c r="G821" s="858"/>
      <c r="H821" s="180"/>
      <c r="I821" s="180"/>
      <c r="J821" s="180"/>
      <c r="K821" s="180"/>
    </row>
    <row r="822" spans="3:11">
      <c r="C822" s="158" t="s">
        <v>2695</v>
      </c>
      <c r="D822" s="533">
        <f>+Composición!G76</f>
        <v>15429308</v>
      </c>
      <c r="E822" s="649">
        <v>0</v>
      </c>
      <c r="F822" s="180"/>
      <c r="G822" s="180"/>
      <c r="H822" s="180"/>
      <c r="I822" s="180"/>
      <c r="J822" s="180"/>
      <c r="K822" s="180"/>
    </row>
    <row r="823" spans="3:11">
      <c r="C823" s="158" t="s">
        <v>2694</v>
      </c>
      <c r="D823" s="533">
        <f>+Composición!G79</f>
        <v>9534574</v>
      </c>
      <c r="E823" s="649">
        <v>0</v>
      </c>
      <c r="F823" s="858"/>
      <c r="G823" s="859"/>
      <c r="H823" s="180"/>
      <c r="I823" s="180"/>
      <c r="J823" s="180"/>
      <c r="K823" s="180"/>
    </row>
    <row r="824" spans="3:11">
      <c r="C824" s="158" t="s">
        <v>2690</v>
      </c>
      <c r="D824" s="533">
        <f>+Composición!G80</f>
        <v>6527982</v>
      </c>
      <c r="E824" s="649">
        <v>0</v>
      </c>
      <c r="F824" s="858">
        <v>339579535.16678184</v>
      </c>
      <c r="G824" s="859">
        <f>+F824-D824-D822</f>
        <v>317622245.16678184</v>
      </c>
      <c r="H824" s="180"/>
      <c r="I824" s="180"/>
      <c r="J824" s="180"/>
      <c r="K824" s="180"/>
    </row>
    <row r="825" spans="3:11">
      <c r="C825" s="158"/>
      <c r="D825" s="533"/>
      <c r="E825" s="534"/>
      <c r="F825" s="858"/>
      <c r="G825" s="858"/>
      <c r="H825" s="180"/>
      <c r="I825" s="180"/>
      <c r="J825" s="180"/>
      <c r="K825" s="180"/>
    </row>
    <row r="826" spans="3:11">
      <c r="C826" s="163" t="s">
        <v>1909</v>
      </c>
      <c r="D826" s="533"/>
      <c r="E826" s="534"/>
      <c r="F826" s="858"/>
      <c r="G826" s="858"/>
      <c r="H826" s="180"/>
      <c r="I826" s="180"/>
      <c r="J826" s="180"/>
      <c r="K826" s="180"/>
    </row>
    <row r="827" spans="3:11">
      <c r="C827" s="158" t="s">
        <v>2696</v>
      </c>
      <c r="D827" s="610">
        <f>+Composición!G113+Composición!G115</f>
        <v>858025195</v>
      </c>
      <c r="E827" s="649">
        <v>0</v>
      </c>
      <c r="F827" s="180"/>
      <c r="G827" s="180"/>
      <c r="H827" s="180"/>
      <c r="I827" s="180"/>
      <c r="J827" s="180"/>
      <c r="K827" s="180"/>
    </row>
    <row r="828" spans="3:11">
      <c r="C828" s="158" t="s">
        <v>1910</v>
      </c>
      <c r="D828" s="610">
        <f>+Composición!G114+Composición!G116</f>
        <v>628336134</v>
      </c>
      <c r="E828" s="649">
        <v>0</v>
      </c>
      <c r="F828" s="180"/>
      <c r="G828" s="180"/>
      <c r="H828" s="180"/>
      <c r="I828" s="180"/>
      <c r="J828" s="180"/>
      <c r="K828" s="180"/>
    </row>
    <row r="829" spans="3:11" hidden="1">
      <c r="C829" s="158" t="s">
        <v>2810</v>
      </c>
      <c r="D829" s="658">
        <f>+Auxiliares!H6</f>
        <v>0</v>
      </c>
      <c r="E829" s="649">
        <v>0</v>
      </c>
      <c r="F829" s="858"/>
      <c r="G829" s="858"/>
      <c r="H829" s="180"/>
      <c r="I829" s="180"/>
      <c r="J829" s="180"/>
      <c r="K829" s="180"/>
    </row>
    <row r="830" spans="3:11">
      <c r="C830" s="158" t="s">
        <v>2697</v>
      </c>
      <c r="D830" s="610">
        <f>+Auxiliares!H5</f>
        <v>18820848.5</v>
      </c>
      <c r="E830" s="649">
        <v>0</v>
      </c>
      <c r="F830" s="858">
        <v>1533468338.5283999</v>
      </c>
      <c r="G830" s="859">
        <f>+SUM(D830:D833)-F830</f>
        <v>-1498434683.9958</v>
      </c>
      <c r="H830" s="180"/>
      <c r="I830" s="180"/>
      <c r="J830" s="180"/>
      <c r="K830" s="180"/>
    </row>
    <row r="831" spans="3:11">
      <c r="C831" s="158" t="s">
        <v>3154</v>
      </c>
      <c r="D831" s="610">
        <f>+Auxiliares!E14</f>
        <v>14910412</v>
      </c>
      <c r="E831" s="649">
        <v>0</v>
      </c>
      <c r="F831" s="180"/>
      <c r="G831" s="180"/>
      <c r="H831" s="180"/>
      <c r="I831" s="180"/>
      <c r="J831" s="180"/>
      <c r="K831" s="180"/>
    </row>
    <row r="832" spans="3:11">
      <c r="C832" s="158" t="s">
        <v>3119</v>
      </c>
      <c r="D832" s="533">
        <f>+Auxiliares!H4</f>
        <v>934246.5</v>
      </c>
      <c r="E832" s="649">
        <v>0</v>
      </c>
      <c r="F832" s="180"/>
      <c r="G832" s="180"/>
      <c r="H832" s="180"/>
      <c r="I832" s="180"/>
      <c r="J832" s="180"/>
      <c r="K832" s="180"/>
    </row>
    <row r="833" spans="3:11">
      <c r="C833" s="158" t="s">
        <v>1911</v>
      </c>
      <c r="D833" s="610">
        <f>+Auxiliares!I5</f>
        <v>368147.53259999998</v>
      </c>
      <c r="E833" s="649">
        <v>0</v>
      </c>
      <c r="F833" s="858"/>
      <c r="G833" s="858"/>
      <c r="H833" s="180"/>
      <c r="I833" s="180"/>
      <c r="J833" s="180"/>
      <c r="K833" s="180"/>
    </row>
    <row r="834" spans="3:11" ht="16.2" thickBot="1">
      <c r="C834" s="158"/>
      <c r="D834" s="1165"/>
      <c r="E834" s="534"/>
      <c r="F834" s="180"/>
      <c r="G834" s="180"/>
      <c r="H834" s="180"/>
      <c r="I834" s="180"/>
      <c r="J834" s="180"/>
      <c r="K834" s="180"/>
    </row>
    <row r="835" spans="3:11" ht="16.2" thickBot="1">
      <c r="C835" s="423" t="s">
        <v>3012</v>
      </c>
      <c r="D835" s="1424">
        <f>SUM(D820:D834)</f>
        <v>2153094333.5325999</v>
      </c>
      <c r="E835" s="650">
        <f>SUM(E820:E834)</f>
        <v>0</v>
      </c>
      <c r="F835" s="379">
        <f>+D835-'Balance General'!$D$19</f>
        <v>-0.46740007400512695</v>
      </c>
      <c r="G835" s="180"/>
      <c r="H835" s="180"/>
      <c r="I835" s="180"/>
      <c r="J835" s="180"/>
      <c r="K835" s="180"/>
    </row>
    <row r="836" spans="3:11" ht="16.8" thickTop="1" thickBot="1">
      <c r="C836" s="178" t="s">
        <v>1438</v>
      </c>
      <c r="D836" s="586">
        <v>1873047874</v>
      </c>
      <c r="E836" s="651">
        <v>0</v>
      </c>
      <c r="F836" s="379">
        <f>+D836-'Balance General'!$E$19</f>
        <v>0</v>
      </c>
      <c r="G836" s="180"/>
      <c r="H836" s="180"/>
      <c r="I836" s="180"/>
      <c r="J836" s="180"/>
      <c r="K836" s="180"/>
    </row>
    <row r="837" spans="3:11">
      <c r="C837" s="224"/>
      <c r="D837" s="180"/>
      <c r="E837" s="180"/>
      <c r="F837" s="180"/>
      <c r="G837" s="180"/>
      <c r="H837" s="180"/>
      <c r="I837" s="180"/>
      <c r="J837" s="180"/>
      <c r="K837" s="180"/>
    </row>
    <row r="838" spans="3:11">
      <c r="C838" s="9"/>
      <c r="D838" s="247"/>
      <c r="E838" s="247"/>
      <c r="F838" s="180"/>
      <c r="G838" s="180"/>
      <c r="H838" s="180"/>
      <c r="I838" s="180"/>
      <c r="J838" s="180"/>
      <c r="K838" s="180"/>
    </row>
    <row r="839" spans="3:11">
      <c r="C839" s="10" t="s">
        <v>1912</v>
      </c>
      <c r="D839" s="184"/>
      <c r="E839" s="244"/>
      <c r="F839" s="184"/>
      <c r="G839" s="83"/>
      <c r="H839" s="184"/>
      <c r="I839" s="184"/>
      <c r="J839" s="184"/>
      <c r="K839" s="184"/>
    </row>
    <row r="840" spans="3:11">
      <c r="C840" s="245"/>
      <c r="D840" s="184"/>
      <c r="E840" s="244"/>
      <c r="F840" s="184"/>
      <c r="G840" s="83"/>
      <c r="H840" s="184"/>
      <c r="I840" s="184"/>
      <c r="J840" s="184"/>
      <c r="K840" s="184"/>
    </row>
    <row r="841" spans="3:11">
      <c r="C841" s="148" t="s">
        <v>1913</v>
      </c>
      <c r="D841" s="184"/>
      <c r="E841" s="244"/>
      <c r="F841" s="184"/>
      <c r="G841" s="184"/>
      <c r="H841" s="184"/>
      <c r="I841" s="184"/>
      <c r="J841" s="184"/>
      <c r="K841" s="184"/>
    </row>
    <row r="842" spans="3:11" ht="16.2" thickBot="1">
      <c r="C842" s="245"/>
      <c r="F842" s="184"/>
      <c r="G842" s="184"/>
      <c r="H842" s="184"/>
      <c r="I842" s="184"/>
      <c r="J842" s="184"/>
      <c r="K842" s="184"/>
    </row>
    <row r="843" spans="3:11" ht="16.2" thickBot="1">
      <c r="C843" s="517" t="s">
        <v>1906</v>
      </c>
      <c r="D843" s="524" t="s">
        <v>1914</v>
      </c>
      <c r="E843" s="518" t="s">
        <v>1915</v>
      </c>
      <c r="F843" s="184"/>
      <c r="G843" s="184"/>
      <c r="H843" s="184"/>
      <c r="I843" s="184"/>
      <c r="J843" s="184"/>
      <c r="K843" s="184"/>
    </row>
    <row r="844" spans="3:11">
      <c r="C844" s="158" t="s">
        <v>43</v>
      </c>
      <c r="D844" s="160">
        <f>+Composición!G142</f>
        <v>158084683</v>
      </c>
      <c r="E844" s="649">
        <v>0</v>
      </c>
      <c r="F844" s="184"/>
      <c r="G844" s="184"/>
      <c r="H844" s="184"/>
      <c r="I844" s="184"/>
      <c r="J844" s="184"/>
      <c r="K844" s="184"/>
    </row>
    <row r="845" spans="3:11">
      <c r="C845" s="158" t="s">
        <v>1916</v>
      </c>
      <c r="D845" s="160">
        <f>+Composición!G136</f>
        <v>149724020</v>
      </c>
      <c r="E845" s="649">
        <v>0</v>
      </c>
      <c r="F845" s="184"/>
      <c r="G845" s="184"/>
      <c r="H845" s="184"/>
      <c r="I845" s="184"/>
      <c r="J845" s="184"/>
      <c r="K845" s="184"/>
    </row>
    <row r="846" spans="3:11">
      <c r="C846" s="173" t="s">
        <v>2698</v>
      </c>
      <c r="D846" s="160">
        <f>+Composición!G560</f>
        <v>49054883</v>
      </c>
      <c r="E846" s="175">
        <f>+Composición!G672</f>
        <v>0</v>
      </c>
      <c r="F846" s="184"/>
      <c r="G846" s="184"/>
      <c r="H846" s="184"/>
      <c r="I846" s="184"/>
      <c r="J846" s="184"/>
      <c r="K846" s="184"/>
    </row>
    <row r="847" spans="3:11">
      <c r="C847" s="158" t="s">
        <v>42</v>
      </c>
      <c r="D847" s="160">
        <f>+Composición!G141</f>
        <v>42164111</v>
      </c>
      <c r="E847" s="652">
        <v>0</v>
      </c>
      <c r="F847" s="184"/>
      <c r="G847" s="184"/>
      <c r="H847" s="184"/>
      <c r="I847" s="184"/>
      <c r="J847" s="184"/>
      <c r="K847" s="184"/>
    </row>
    <row r="848" spans="3:11">
      <c r="C848" s="158" t="s">
        <v>3158</v>
      </c>
      <c r="D848" s="160">
        <f>+Composición!G147+Composición!G148</f>
        <v>19072851</v>
      </c>
      <c r="E848" s="649">
        <v>0</v>
      </c>
      <c r="F848" s="184"/>
      <c r="G848" s="184"/>
      <c r="H848" s="184"/>
      <c r="I848" s="184"/>
      <c r="J848" s="184"/>
      <c r="K848" s="184"/>
    </row>
    <row r="849" spans="3:11" hidden="1">
      <c r="C849" s="173" t="s">
        <v>2593</v>
      </c>
      <c r="D849" s="160">
        <f>+Composición!G122</f>
        <v>0</v>
      </c>
      <c r="E849" s="649">
        <v>0</v>
      </c>
      <c r="F849" s="184"/>
      <c r="G849" s="184"/>
      <c r="H849" s="184"/>
      <c r="I849" s="184"/>
      <c r="J849" s="184"/>
      <c r="K849" s="184"/>
    </row>
    <row r="850" spans="3:11">
      <c r="C850" s="173" t="s">
        <v>1917</v>
      </c>
      <c r="D850" s="160">
        <f>+Composición!G549+Composición!G552+Composición!G553</f>
        <v>5039001</v>
      </c>
      <c r="E850" s="658">
        <v>0</v>
      </c>
      <c r="F850" s="697"/>
      <c r="G850" s="184"/>
      <c r="H850" s="184"/>
      <c r="I850" s="184"/>
      <c r="J850" s="184"/>
      <c r="K850" s="184"/>
    </row>
    <row r="851" spans="3:11">
      <c r="C851" s="173" t="s">
        <v>2594</v>
      </c>
      <c r="D851" s="160">
        <f>+Composición!G561</f>
        <v>3550700</v>
      </c>
      <c r="E851" s="649">
        <v>0</v>
      </c>
      <c r="F851" s="697"/>
      <c r="G851" s="184"/>
      <c r="H851" s="184"/>
      <c r="I851" s="184"/>
      <c r="J851" s="184"/>
      <c r="K851" s="184"/>
    </row>
    <row r="852" spans="3:11" ht="16.2" thickBot="1">
      <c r="C852" s="173" t="s">
        <v>3120</v>
      </c>
      <c r="D852" s="160">
        <f>+Composición!G140</f>
        <v>935203</v>
      </c>
      <c r="E852" s="649">
        <v>0</v>
      </c>
      <c r="F852" s="697"/>
      <c r="G852" s="184"/>
      <c r="H852" s="184"/>
      <c r="I852" s="184"/>
      <c r="J852" s="184"/>
      <c r="K852" s="184"/>
    </row>
    <row r="853" spans="3:11" ht="16.2" thickBot="1">
      <c r="C853" s="423" t="s">
        <v>3012</v>
      </c>
      <c r="D853" s="536">
        <f>SUM(D844:D852)</f>
        <v>427625452</v>
      </c>
      <c r="E853" s="536">
        <f>SUM(E846:E852)</f>
        <v>0</v>
      </c>
      <c r="F853" s="379">
        <f>+D853-'Balance General'!$D$23</f>
        <v>0</v>
      </c>
      <c r="G853" s="379">
        <f>+E853-'Balance General'!$D$35</f>
        <v>0</v>
      </c>
      <c r="H853" s="184"/>
      <c r="I853" s="184"/>
      <c r="J853" s="184"/>
      <c r="K853" s="184"/>
    </row>
    <row r="854" spans="3:11" ht="16.8" thickTop="1" thickBot="1">
      <c r="C854" s="178" t="s">
        <v>1438</v>
      </c>
      <c r="D854" s="587">
        <v>99550515</v>
      </c>
      <c r="E854" s="587">
        <v>45194720</v>
      </c>
      <c r="F854" s="379">
        <f>+D854-'Balance General'!$E$23</f>
        <v>0</v>
      </c>
      <c r="G854" s="379">
        <f>+E854-'Balance General'!$E$35</f>
        <v>0</v>
      </c>
      <c r="H854" s="184"/>
      <c r="I854" s="184"/>
      <c r="J854" s="184"/>
      <c r="K854" s="184"/>
    </row>
    <row r="855" spans="3:11">
      <c r="C855" s="102"/>
      <c r="D855" s="184"/>
      <c r="E855" s="244"/>
      <c r="F855" s="184"/>
      <c r="G855" s="184"/>
      <c r="H855" s="184"/>
      <c r="I855" s="184"/>
      <c r="J855" s="184"/>
      <c r="K855" s="184"/>
    </row>
    <row r="856" spans="3:11">
      <c r="C856" s="102"/>
      <c r="D856" s="184"/>
      <c r="E856" s="244"/>
      <c r="F856" s="184"/>
      <c r="G856" s="184"/>
      <c r="H856" s="184"/>
      <c r="I856" s="184"/>
      <c r="J856" s="184"/>
      <c r="K856" s="184"/>
    </row>
    <row r="857" spans="3:11">
      <c r="C857" s="10" t="s">
        <v>1918</v>
      </c>
      <c r="D857" s="250"/>
      <c r="E857" s="244"/>
      <c r="F857" s="184"/>
      <c r="G857" s="184"/>
      <c r="H857" s="184"/>
      <c r="I857" s="184"/>
      <c r="J857" s="184"/>
      <c r="K857" s="184"/>
    </row>
    <row r="858" spans="3:11">
      <c r="C858" s="251" t="s">
        <v>1919</v>
      </c>
      <c r="D858" s="250"/>
      <c r="E858" s="244"/>
      <c r="F858" s="184"/>
      <c r="G858" s="184"/>
      <c r="H858" s="184"/>
      <c r="I858" s="184"/>
      <c r="J858" s="184"/>
      <c r="K858" s="184"/>
    </row>
    <row r="859" spans="3:11">
      <c r="C859" s="251"/>
      <c r="D859" s="250"/>
      <c r="E859" s="244"/>
      <c r="F859" s="184"/>
      <c r="G859" s="184"/>
      <c r="H859" s="184"/>
      <c r="I859" s="184"/>
      <c r="J859" s="184"/>
      <c r="K859" s="184"/>
    </row>
    <row r="860" spans="3:11">
      <c r="C860" s="252"/>
      <c r="D860" s="250"/>
      <c r="E860" s="244"/>
      <c r="F860" s="184"/>
      <c r="G860" s="184"/>
      <c r="H860" s="184"/>
      <c r="I860" s="184"/>
      <c r="J860" s="184"/>
      <c r="K860" s="184"/>
    </row>
    <row r="861" spans="3:11">
      <c r="C861" s="10" t="s">
        <v>1920</v>
      </c>
      <c r="D861" s="250"/>
      <c r="E861" s="244"/>
      <c r="F861" s="184"/>
      <c r="G861" s="184"/>
      <c r="H861" s="184"/>
      <c r="I861" s="184"/>
      <c r="J861" s="184"/>
      <c r="K861" s="184"/>
    </row>
    <row r="862" spans="3:11">
      <c r="C862" s="245"/>
      <c r="D862" s="184"/>
      <c r="E862" s="244"/>
      <c r="F862" s="184"/>
      <c r="G862" s="83"/>
      <c r="H862" s="184"/>
      <c r="I862" s="184"/>
      <c r="J862" s="184"/>
      <c r="K862" s="184"/>
    </row>
    <row r="863" spans="3:11">
      <c r="C863" s="184" t="s">
        <v>1913</v>
      </c>
      <c r="D863" s="250"/>
      <c r="E863" s="244"/>
      <c r="F863" s="184"/>
      <c r="G863" s="184"/>
      <c r="H863" s="184"/>
      <c r="I863" s="184"/>
      <c r="J863" s="184"/>
      <c r="K863" s="184"/>
    </row>
    <row r="864" spans="3:11" ht="16.2" thickBot="1">
      <c r="C864" s="252"/>
      <c r="D864" s="250"/>
      <c r="E864" s="244"/>
      <c r="F864" s="184"/>
      <c r="G864" s="184"/>
      <c r="H864" s="184"/>
      <c r="I864" s="184"/>
      <c r="J864" s="184"/>
      <c r="K864" s="184"/>
    </row>
    <row r="865" spans="3:11" ht="31.8" thickBot="1">
      <c r="C865" s="539" t="s">
        <v>1906</v>
      </c>
      <c r="D865" s="539" t="s">
        <v>1921</v>
      </c>
      <c r="E865" s="539" t="s">
        <v>1922</v>
      </c>
      <c r="F865" s="539" t="s">
        <v>1923</v>
      </c>
      <c r="G865" s="519" t="s">
        <v>1924</v>
      </c>
      <c r="H865" s="190" t="s">
        <v>1925</v>
      </c>
      <c r="I865" s="184"/>
      <c r="J865" s="184"/>
      <c r="K865" s="184"/>
    </row>
    <row r="866" spans="3:11">
      <c r="C866" s="296" t="s">
        <v>1926</v>
      </c>
      <c r="D866" s="238">
        <f>+Composición!J650+Composición!J664</f>
        <v>1700719834</v>
      </c>
      <c r="E866" s="964">
        <v>1055435908</v>
      </c>
      <c r="F866" s="962">
        <v>0</v>
      </c>
      <c r="G866" s="653">
        <f>-Composición!G1414</f>
        <v>-596516932</v>
      </c>
      <c r="H866" s="547">
        <f>SUM(D866:G866)</f>
        <v>2159638810</v>
      </c>
      <c r="I866" s="939">
        <f>+Composición!G650+Composición!G664</f>
        <v>2159638810</v>
      </c>
      <c r="J866" s="939">
        <f>+H866-I866</f>
        <v>0</v>
      </c>
      <c r="K866" s="255"/>
    </row>
    <row r="867" spans="3:11">
      <c r="C867" s="296" t="s">
        <v>1927</v>
      </c>
      <c r="D867" s="238">
        <v>0</v>
      </c>
      <c r="E867" s="965">
        <v>0</v>
      </c>
      <c r="F867" s="963">
        <v>0</v>
      </c>
      <c r="G867" s="940">
        <f>-Composición!G1415</f>
        <v>0</v>
      </c>
      <c r="H867" s="548">
        <f>SUM(D867:G867)</f>
        <v>0</v>
      </c>
      <c r="I867" s="939"/>
      <c r="J867" s="1171"/>
      <c r="K867" s="184"/>
    </row>
    <row r="868" spans="3:11">
      <c r="C868" s="296" t="s">
        <v>1928</v>
      </c>
      <c r="D868" s="654">
        <f>+Composición!J653+Composición!J655</f>
        <v>333116208</v>
      </c>
      <c r="E868" s="966">
        <v>413858987</v>
      </c>
      <c r="F868" s="962">
        <v>0</v>
      </c>
      <c r="G868" s="654">
        <f>-Composición!G1412</f>
        <v>-388269778</v>
      </c>
      <c r="H868" s="548">
        <f>SUM(D868:G868)</f>
        <v>358705417</v>
      </c>
      <c r="I868" s="939">
        <f>+Composición!G655+Composición!G653</f>
        <v>358705417</v>
      </c>
      <c r="J868" s="939">
        <f>+H868-I868</f>
        <v>0</v>
      </c>
      <c r="K868" s="184"/>
    </row>
    <row r="869" spans="3:11" ht="16.2" thickBot="1">
      <c r="C869" s="158"/>
      <c r="D869" s="533"/>
      <c r="E869" s="967"/>
      <c r="F869" s="540"/>
      <c r="G869" s="655"/>
      <c r="H869" s="298"/>
      <c r="I869" s="858"/>
      <c r="J869" s="180"/>
      <c r="K869" s="180"/>
    </row>
    <row r="870" spans="3:11" ht="16.2" thickBot="1">
      <c r="C870" s="423" t="s">
        <v>3012</v>
      </c>
      <c r="D870" s="639">
        <f>SUM(D866:D869)</f>
        <v>2033836042</v>
      </c>
      <c r="E870" s="621">
        <f>SUM(E866:E869)</f>
        <v>1469294895</v>
      </c>
      <c r="F870" s="621">
        <f>SUM(F866:F869)</f>
        <v>0</v>
      </c>
      <c r="G870" s="656">
        <f>SUM(G866:G869)</f>
        <v>-984786710</v>
      </c>
      <c r="H870" s="621">
        <f>SUM(H866:H869)</f>
        <v>2518344227</v>
      </c>
      <c r="I870" s="1366">
        <f>+H870-'Balance General'!D31</f>
        <v>0</v>
      </c>
      <c r="J870" s="203">
        <f>+G870-'Estado de Resultados'!E43</f>
        <v>0</v>
      </c>
      <c r="K870" s="184"/>
    </row>
    <row r="871" spans="3:11" ht="16.8" thickTop="1" thickBot="1">
      <c r="C871" s="178" t="s">
        <v>1807</v>
      </c>
      <c r="D871" s="622">
        <v>1922549050</v>
      </c>
      <c r="E871" s="640">
        <v>1555092394</v>
      </c>
      <c r="F871" s="657">
        <v>-286382225</v>
      </c>
      <c r="G871" s="657">
        <v>-1157423177</v>
      </c>
      <c r="H871" s="640">
        <v>2033836042</v>
      </c>
      <c r="I871" s="1366">
        <f>+H871-'Balance General'!$E$31</f>
        <v>0</v>
      </c>
      <c r="J871" s="1328"/>
      <c r="K871" s="184"/>
    </row>
    <row r="872" spans="3:11">
      <c r="C872" s="994" t="s">
        <v>1370</v>
      </c>
      <c r="D872" s="1251"/>
      <c r="E872" s="1252"/>
      <c r="F872" s="1251"/>
      <c r="G872" s="1251"/>
      <c r="H872" s="1251"/>
      <c r="I872" s="1251"/>
      <c r="J872" s="184"/>
      <c r="K872" s="184"/>
    </row>
    <row r="873" spans="3:11">
      <c r="C873" s="102"/>
      <c r="D873" s="184"/>
      <c r="E873" s="244"/>
      <c r="F873" s="184"/>
      <c r="G873" s="184"/>
      <c r="H873" s="184"/>
      <c r="I873" s="184"/>
      <c r="J873" s="184"/>
      <c r="K873" s="184"/>
    </row>
    <row r="874" spans="3:11">
      <c r="C874" s="10" t="s">
        <v>1929</v>
      </c>
      <c r="D874" s="184"/>
      <c r="E874" s="244"/>
      <c r="F874" s="184"/>
      <c r="G874" s="184"/>
      <c r="H874" s="184"/>
      <c r="I874" s="184"/>
      <c r="J874" s="184"/>
      <c r="K874" s="184"/>
    </row>
    <row r="875" spans="3:11">
      <c r="C875" s="245"/>
      <c r="D875" s="184"/>
      <c r="E875" s="244"/>
      <c r="F875" s="184"/>
      <c r="G875" s="83"/>
      <c r="H875" s="184"/>
      <c r="I875" s="184"/>
      <c r="J875" s="184"/>
      <c r="K875" s="184"/>
    </row>
    <row r="876" spans="3:11">
      <c r="C876" s="184" t="s">
        <v>1913</v>
      </c>
      <c r="D876" s="184"/>
      <c r="E876" s="244"/>
      <c r="F876" s="184"/>
      <c r="G876" s="184"/>
      <c r="H876" s="184"/>
      <c r="I876" s="184"/>
      <c r="J876" s="184"/>
      <c r="K876" s="184"/>
    </row>
    <row r="877" spans="3:11" ht="16.2" thickBot="1">
      <c r="C877" s="245"/>
      <c r="F877" s="184"/>
      <c r="G877" s="184"/>
      <c r="H877" s="184"/>
      <c r="I877" s="184"/>
      <c r="J877" s="184"/>
      <c r="K877" s="184"/>
    </row>
    <row r="878" spans="3:11">
      <c r="C878" s="520" t="s">
        <v>1906</v>
      </c>
      <c r="D878" s="519" t="s">
        <v>1907</v>
      </c>
      <c r="E878" s="537" t="s">
        <v>1908</v>
      </c>
      <c r="F878" s="184"/>
      <c r="G878" s="184"/>
      <c r="H878" s="184"/>
      <c r="I878" s="184"/>
      <c r="J878" s="184"/>
      <c r="K878" s="184"/>
    </row>
    <row r="879" spans="3:11" ht="13.2" customHeight="1">
      <c r="C879" s="158" t="s">
        <v>1930</v>
      </c>
      <c r="D879" s="238">
        <f>+Composición!G683+Composición!G691</f>
        <v>513221311</v>
      </c>
      <c r="E879" s="177">
        <v>0</v>
      </c>
      <c r="F879" s="184"/>
      <c r="G879" s="184"/>
      <c r="H879" s="184"/>
      <c r="I879" s="184"/>
      <c r="J879" s="184"/>
      <c r="K879" s="184"/>
    </row>
    <row r="880" spans="3:11" ht="13.2" customHeight="1">
      <c r="C880" s="158" t="s">
        <v>2693</v>
      </c>
      <c r="D880" s="238">
        <f>+Composición!G681</f>
        <v>591981</v>
      </c>
      <c r="E880" s="177">
        <v>0</v>
      </c>
      <c r="F880" s="184"/>
      <c r="G880" s="184"/>
      <c r="H880" s="184"/>
      <c r="I880" s="184"/>
      <c r="J880" s="184"/>
      <c r="K880" s="184"/>
    </row>
    <row r="881" spans="3:11" ht="13.2" customHeight="1" thickBot="1">
      <c r="C881" s="296"/>
      <c r="D881" s="238"/>
      <c r="E881" s="177"/>
      <c r="F881" s="184"/>
      <c r="G881" s="184"/>
      <c r="H881" s="184"/>
      <c r="I881" s="184"/>
      <c r="J881" s="184"/>
      <c r="K881" s="184"/>
    </row>
    <row r="882" spans="3:11" ht="16.2" thickBot="1">
      <c r="C882" s="423" t="s">
        <v>3012</v>
      </c>
      <c r="D882" s="937">
        <f>SUM(D879:D881)</f>
        <v>513813292</v>
      </c>
      <c r="E882" s="938">
        <f>SUM(E879:E881)</f>
        <v>0</v>
      </c>
      <c r="F882" s="542">
        <f>+D882-'Balance General'!$H$17</f>
        <v>0</v>
      </c>
      <c r="G882" s="249"/>
      <c r="H882" s="184"/>
      <c r="I882" s="184"/>
      <c r="J882" s="184"/>
      <c r="K882" s="184"/>
    </row>
    <row r="883" spans="3:11" ht="16.2" thickBot="1">
      <c r="C883" s="178" t="s">
        <v>1438</v>
      </c>
      <c r="D883" s="937">
        <v>128518091</v>
      </c>
      <c r="E883" s="933">
        <v>0</v>
      </c>
      <c r="F883" s="543">
        <f>+D883-'Balance General'!$I$17</f>
        <v>0</v>
      </c>
      <c r="G883" s="249"/>
      <c r="H883" s="184"/>
      <c r="I883" s="184"/>
      <c r="J883" s="184"/>
      <c r="K883" s="184"/>
    </row>
    <row r="884" spans="3:11">
      <c r="C884" s="165"/>
      <c r="D884" s="254"/>
      <c r="E884" s="254"/>
      <c r="F884" s="184"/>
      <c r="G884" s="184"/>
      <c r="H884" s="184"/>
      <c r="I884" s="184"/>
      <c r="J884" s="184"/>
      <c r="K884" s="184"/>
    </row>
    <row r="885" spans="3:11">
      <c r="C885" s="165"/>
      <c r="D885" s="254"/>
      <c r="E885" s="254"/>
      <c r="F885" s="184"/>
      <c r="G885" s="184"/>
      <c r="H885" s="184"/>
      <c r="I885" s="184"/>
      <c r="J885" s="184"/>
      <c r="K885" s="184"/>
    </row>
    <row r="886" spans="3:11">
      <c r="C886" s="10" t="s">
        <v>1931</v>
      </c>
      <c r="D886" s="184"/>
      <c r="E886" s="244"/>
      <c r="F886" s="184"/>
      <c r="G886" s="184"/>
      <c r="H886" s="184"/>
      <c r="I886" s="184"/>
      <c r="J886" s="184"/>
      <c r="K886" s="184"/>
    </row>
    <row r="887" spans="3:11">
      <c r="C887" s="245"/>
      <c r="D887" s="184"/>
      <c r="E887" s="244"/>
      <c r="F887" s="184"/>
      <c r="G887" s="83"/>
      <c r="H887" s="184"/>
      <c r="I887" s="184"/>
      <c r="J887" s="184"/>
      <c r="K887" s="184"/>
    </row>
    <row r="888" spans="3:11">
      <c r="C888" s="184" t="s">
        <v>1913</v>
      </c>
      <c r="D888" s="184"/>
      <c r="E888" s="244"/>
      <c r="F888" s="184"/>
      <c r="G888" s="184"/>
      <c r="H888" s="184"/>
      <c r="I888" s="184"/>
      <c r="J888" s="184"/>
      <c r="K888" s="184"/>
    </row>
    <row r="889" spans="3:11" ht="16.2" thickBot="1">
      <c r="C889" s="245"/>
      <c r="F889" s="184"/>
      <c r="G889" s="184"/>
      <c r="H889" s="184"/>
      <c r="I889" s="184"/>
      <c r="J889" s="184"/>
      <c r="K889" s="184"/>
    </row>
    <row r="890" spans="3:11">
      <c r="C890" s="520" t="s">
        <v>1906</v>
      </c>
      <c r="D890" s="520" t="s">
        <v>1907</v>
      </c>
      <c r="E890" s="519" t="s">
        <v>1908</v>
      </c>
      <c r="F890" s="184"/>
      <c r="G890" s="184"/>
      <c r="H890" s="184"/>
      <c r="I890" s="184"/>
      <c r="J890" s="184"/>
      <c r="K890" s="184"/>
    </row>
    <row r="891" spans="3:11">
      <c r="C891" s="296" t="s">
        <v>1932</v>
      </c>
      <c r="D891" s="544">
        <f>+Composición!G704</f>
        <v>500879558</v>
      </c>
      <c r="E891" s="658">
        <v>0</v>
      </c>
      <c r="F891" s="184"/>
      <c r="G891" s="184"/>
      <c r="H891" s="184"/>
      <c r="I891" s="184"/>
      <c r="J891" s="184"/>
      <c r="K891" s="184"/>
    </row>
    <row r="892" spans="3:11">
      <c r="C892" s="296" t="s">
        <v>1934</v>
      </c>
      <c r="D892" s="544">
        <f>+Composición!G703</f>
        <v>65588525</v>
      </c>
      <c r="E892" s="658">
        <v>0</v>
      </c>
      <c r="F892" s="184"/>
      <c r="G892" s="184"/>
      <c r="H892" s="184"/>
      <c r="I892" s="184"/>
      <c r="J892" s="184"/>
      <c r="K892" s="184"/>
    </row>
    <row r="893" spans="3:11" ht="16.2" thickBot="1">
      <c r="C893" s="296" t="s">
        <v>1933</v>
      </c>
      <c r="D893" s="544">
        <f>+Composición!G702</f>
        <v>27679936</v>
      </c>
      <c r="E893" s="658">
        <v>0</v>
      </c>
      <c r="F893" s="184"/>
      <c r="G893" s="184"/>
      <c r="H893" s="184"/>
      <c r="I893" s="184"/>
      <c r="J893" s="184"/>
      <c r="K893" s="184"/>
    </row>
    <row r="894" spans="3:11" ht="16.2" thickBot="1">
      <c r="C894" s="423" t="s">
        <v>3012</v>
      </c>
      <c r="D894" s="927">
        <f>SUM(D891:D893)</f>
        <v>594148019</v>
      </c>
      <c r="E894" s="928">
        <f>SUM(E891:E893)</f>
        <v>0</v>
      </c>
      <c r="F894" s="542">
        <f>+D894-'Balance General'!$H$18</f>
        <v>0</v>
      </c>
      <c r="G894" s="249"/>
      <c r="H894" s="184"/>
      <c r="I894" s="184"/>
      <c r="J894" s="184"/>
      <c r="K894" s="184"/>
    </row>
    <row r="895" spans="3:11" ht="16.2" thickBot="1">
      <c r="C895" s="178" t="s">
        <v>1438</v>
      </c>
      <c r="D895" s="929">
        <v>445214785</v>
      </c>
      <c r="E895" s="930">
        <v>0</v>
      </c>
      <c r="F895" s="542">
        <f>+D895-'Balance General'!$I$18</f>
        <v>0</v>
      </c>
      <c r="G895" s="249"/>
      <c r="H895" s="184"/>
      <c r="I895" s="184"/>
      <c r="J895" s="184"/>
      <c r="K895" s="184"/>
    </row>
    <row r="896" spans="3:11">
      <c r="C896" s="165"/>
      <c r="D896" s="254"/>
      <c r="E896" s="254"/>
      <c r="F896" s="184"/>
      <c r="G896" s="184"/>
      <c r="H896" s="184"/>
      <c r="I896" s="184"/>
      <c r="J896" s="184"/>
      <c r="K896" s="184"/>
    </row>
    <row r="897" spans="3:11">
      <c r="C897" s="165"/>
      <c r="D897" s="254"/>
      <c r="E897" s="254"/>
      <c r="F897" s="184"/>
      <c r="G897" s="184"/>
      <c r="H897" s="184"/>
      <c r="I897" s="184"/>
      <c r="J897" s="184"/>
      <c r="K897" s="184"/>
    </row>
    <row r="898" spans="3:11">
      <c r="C898" s="245" t="s">
        <v>1935</v>
      </c>
      <c r="D898" s="184"/>
      <c r="E898" s="244"/>
      <c r="F898" s="184"/>
      <c r="G898" s="184"/>
      <c r="H898" s="184"/>
      <c r="I898" s="184"/>
      <c r="J898" s="184"/>
      <c r="K898" s="184"/>
    </row>
    <row r="899" spans="3:11">
      <c r="C899" s="245"/>
      <c r="D899" s="184"/>
      <c r="E899" s="244"/>
      <c r="F899" s="184"/>
      <c r="G899" s="83"/>
      <c r="H899" s="184"/>
      <c r="I899" s="184"/>
      <c r="J899" s="184"/>
      <c r="K899" s="184"/>
    </row>
    <row r="900" spans="3:11">
      <c r="C900" s="184" t="s">
        <v>1913</v>
      </c>
      <c r="D900" s="184"/>
      <c r="E900" s="244"/>
      <c r="F900" s="184"/>
      <c r="G900" s="184"/>
      <c r="H900" s="184"/>
      <c r="I900" s="184"/>
      <c r="J900" s="184"/>
      <c r="K900" s="184"/>
    </row>
    <row r="901" spans="3:11" ht="16.2" thickBot="1">
      <c r="C901" s="245"/>
      <c r="F901" s="184"/>
      <c r="G901" s="184"/>
      <c r="H901" s="184"/>
      <c r="I901" s="184"/>
      <c r="J901" s="184"/>
      <c r="K901" s="184"/>
    </row>
    <row r="902" spans="3:11" ht="32.4" thickTop="1" thickBot="1">
      <c r="C902" s="226" t="s">
        <v>1936</v>
      </c>
      <c r="D902" s="227" t="s">
        <v>1937</v>
      </c>
      <c r="E902" s="227" t="s">
        <v>1938</v>
      </c>
      <c r="F902" s="227" t="s">
        <v>1939</v>
      </c>
      <c r="G902" s="227" t="s">
        <v>1940</v>
      </c>
      <c r="H902" s="228">
        <v>45657</v>
      </c>
      <c r="I902" s="228">
        <v>45291</v>
      </c>
      <c r="J902" s="184"/>
      <c r="K902" s="184"/>
    </row>
    <row r="903" spans="3:11" ht="28.8" hidden="1" customHeight="1" thickBot="1">
      <c r="C903" s="507" t="s">
        <v>1277</v>
      </c>
      <c r="D903" s="673" t="s">
        <v>1941</v>
      </c>
      <c r="E903" s="673" t="s">
        <v>1943</v>
      </c>
      <c r="F903" s="663">
        <v>0</v>
      </c>
      <c r="G903" s="663">
        <v>0</v>
      </c>
      <c r="H903" s="663">
        <f>+Composición!G695</f>
        <v>0</v>
      </c>
      <c r="I903" s="663">
        <f>+Composición!J708</f>
        <v>0</v>
      </c>
      <c r="J903" s="255"/>
      <c r="K903" s="184"/>
    </row>
    <row r="904" spans="3:11" ht="28.8" customHeight="1" thickBot="1">
      <c r="C904" s="507" t="s">
        <v>1277</v>
      </c>
      <c r="D904" s="673" t="s">
        <v>1941</v>
      </c>
      <c r="E904" s="673" t="s">
        <v>1942</v>
      </c>
      <c r="F904" s="663">
        <v>0</v>
      </c>
      <c r="G904" s="663">
        <v>0</v>
      </c>
      <c r="H904" s="535">
        <f>+Composición!G697</f>
        <v>4018500</v>
      </c>
      <c r="I904" s="545">
        <f>+Composición!J697</f>
        <v>1456210</v>
      </c>
      <c r="J904" s="255"/>
      <c r="K904" s="184"/>
    </row>
    <row r="905" spans="3:11" ht="28.8" customHeight="1" thickBot="1">
      <c r="C905" s="507" t="s">
        <v>2953</v>
      </c>
      <c r="D905" s="673" t="s">
        <v>3071</v>
      </c>
      <c r="E905" s="673" t="s">
        <v>3064</v>
      </c>
      <c r="F905" s="663">
        <v>0</v>
      </c>
      <c r="G905" s="663">
        <v>0</v>
      </c>
      <c r="H905" s="535">
        <f>+Composición!G814</f>
        <v>9789075</v>
      </c>
      <c r="I905" s="663">
        <f>+Composición!J698</f>
        <v>0</v>
      </c>
      <c r="J905" s="255"/>
      <c r="K905" s="184"/>
    </row>
    <row r="906" spans="3:11" ht="16.2" thickBot="1">
      <c r="C906" s="1547" t="s">
        <v>1331</v>
      </c>
      <c r="D906" s="1547"/>
      <c r="E906" s="1547"/>
      <c r="F906" s="1547"/>
      <c r="G906" s="1547"/>
      <c r="H906" s="1253">
        <f>SUM(H903:H905)</f>
        <v>13807575</v>
      </c>
      <c r="I906" s="634">
        <f>SUM(I903:I904)</f>
        <v>1456210</v>
      </c>
      <c r="J906" s="542">
        <f>+H906-'Balance General'!$H$19</f>
        <v>0</v>
      </c>
      <c r="K906" s="542">
        <f>+I906-'Balance General'!$I$19</f>
        <v>0</v>
      </c>
    </row>
    <row r="907" spans="3:11">
      <c r="C907" s="165"/>
      <c r="D907" s="254"/>
      <c r="E907" s="254"/>
      <c r="F907" s="184"/>
      <c r="G907" s="184"/>
      <c r="H907" s="184"/>
      <c r="I907" s="184"/>
      <c r="J907" s="184"/>
      <c r="K907" s="184"/>
    </row>
    <row r="908" spans="3:11">
      <c r="C908" s="252"/>
      <c r="D908" s="254"/>
      <c r="E908" s="254"/>
      <c r="F908" s="184"/>
      <c r="G908" s="184"/>
      <c r="H908" s="184"/>
      <c r="I908" s="184"/>
      <c r="J908" s="184"/>
      <c r="K908" s="184"/>
    </row>
    <row r="909" spans="3:11">
      <c r="C909" s="245" t="s">
        <v>1944</v>
      </c>
      <c r="F909" s="184"/>
      <c r="G909" s="184"/>
      <c r="H909" s="184"/>
      <c r="I909" s="184"/>
      <c r="J909" s="184"/>
      <c r="K909" s="184"/>
    </row>
    <row r="910" spans="3:11">
      <c r="C910" s="245"/>
      <c r="D910" s="184"/>
      <c r="E910" s="244"/>
      <c r="F910" s="184"/>
      <c r="G910" s="83"/>
      <c r="H910" s="184"/>
      <c r="I910" s="184"/>
      <c r="J910" s="184"/>
      <c r="K910" s="184"/>
    </row>
    <row r="911" spans="3:11">
      <c r="C911" s="184" t="s">
        <v>1913</v>
      </c>
      <c r="F911" s="184"/>
      <c r="G911" s="184"/>
      <c r="H911" s="184"/>
      <c r="I911" s="184"/>
      <c r="J911" s="184"/>
      <c r="K911" s="184"/>
    </row>
    <row r="912" spans="3:11" ht="16.2" thickBot="1">
      <c r="C912" s="245"/>
      <c r="F912" s="184"/>
      <c r="G912" s="184"/>
      <c r="H912" s="184"/>
      <c r="I912" s="184"/>
      <c r="J912" s="184"/>
      <c r="K912" s="184"/>
    </row>
    <row r="913" spans="3:11" ht="16.2" thickBot="1">
      <c r="C913" s="231" t="s">
        <v>1906</v>
      </c>
      <c r="D913" s="232" t="s">
        <v>1907</v>
      </c>
      <c r="E913" s="232" t="s">
        <v>1908</v>
      </c>
      <c r="F913" s="184"/>
      <c r="G913" s="184"/>
      <c r="H913" s="184"/>
      <c r="I913" s="184"/>
      <c r="J913" s="184"/>
      <c r="K913" s="184"/>
    </row>
    <row r="914" spans="3:11">
      <c r="C914" s="211" t="s">
        <v>1945</v>
      </c>
      <c r="D914" s="546">
        <f>+Composición!G727</f>
        <v>20903410257</v>
      </c>
      <c r="E914" s="659">
        <v>0</v>
      </c>
      <c r="F914" s="184"/>
      <c r="G914" s="184"/>
      <c r="H914" s="184"/>
      <c r="I914" s="184"/>
      <c r="J914" s="184"/>
      <c r="K914" s="184"/>
    </row>
    <row r="915" spans="3:11">
      <c r="C915" s="211" t="s">
        <v>1946</v>
      </c>
      <c r="D915" s="546">
        <f>+Composición!G728</f>
        <v>5073432611</v>
      </c>
      <c r="E915" s="659">
        <v>0</v>
      </c>
      <c r="F915" s="184"/>
      <c r="G915" s="184"/>
      <c r="H915" s="184"/>
      <c r="I915" s="184"/>
      <c r="J915" s="184"/>
      <c r="K915" s="184"/>
    </row>
    <row r="916" spans="3:11" hidden="1">
      <c r="C916" s="211" t="s">
        <v>1947</v>
      </c>
      <c r="D916" s="659">
        <v>0</v>
      </c>
      <c r="E916" s="659">
        <v>0</v>
      </c>
      <c r="F916" s="184"/>
      <c r="G916" s="184"/>
      <c r="H916" s="184"/>
      <c r="I916" s="184"/>
      <c r="J916" s="184"/>
      <c r="K916" s="184"/>
    </row>
    <row r="917" spans="3:11" ht="16.2" thickBot="1">
      <c r="C917" s="296"/>
      <c r="D917" s="593"/>
      <c r="E917" s="649"/>
      <c r="F917" s="184"/>
      <c r="G917" s="184"/>
      <c r="H917" s="184"/>
      <c r="I917" s="184"/>
      <c r="J917" s="184"/>
      <c r="K917" s="184"/>
    </row>
    <row r="918" spans="3:11" ht="16.2" thickBot="1">
      <c r="C918" s="423" t="s">
        <v>3012</v>
      </c>
      <c r="D918" s="931">
        <f>+SUM(D914:D917)</f>
        <v>25976842868</v>
      </c>
      <c r="E918" s="932">
        <v>0</v>
      </c>
      <c r="F918" s="542">
        <f>+D918-'Balance General'!H20</f>
        <v>0</v>
      </c>
      <c r="G918" s="542"/>
      <c r="H918" s="184"/>
      <c r="I918" s="184"/>
      <c r="J918" s="184"/>
      <c r="K918" s="184"/>
    </row>
    <row r="919" spans="3:11" ht="16.2" thickBot="1">
      <c r="C919" s="178" t="s">
        <v>1438</v>
      </c>
      <c r="D919" s="605">
        <v>10373275742</v>
      </c>
      <c r="E919" s="933">
        <v>0</v>
      </c>
      <c r="F919" s="542">
        <f>+D919-'Balance General'!I21</f>
        <v>0</v>
      </c>
      <c r="G919" s="249"/>
      <c r="H919" s="184"/>
      <c r="I919" s="184"/>
      <c r="J919" s="184"/>
      <c r="K919" s="184"/>
    </row>
    <row r="920" spans="3:11">
      <c r="C920" s="710"/>
      <c r="D920" s="184"/>
      <c r="E920" s="244"/>
      <c r="F920" s="184"/>
      <c r="G920" s="184"/>
      <c r="H920" s="184"/>
      <c r="I920" s="184"/>
      <c r="J920" s="184"/>
      <c r="K920" s="184"/>
    </row>
    <row r="921" spans="3:11">
      <c r="C921" s="245" t="s">
        <v>1948</v>
      </c>
      <c r="F921" s="184"/>
      <c r="G921" s="184"/>
      <c r="H921" s="184"/>
      <c r="I921" s="184"/>
      <c r="J921" s="184"/>
      <c r="K921" s="184"/>
    </row>
    <row r="922" spans="3:11">
      <c r="C922" s="245"/>
      <c r="D922" s="184"/>
      <c r="E922" s="244"/>
      <c r="F922" s="184"/>
      <c r="G922" s="83"/>
      <c r="H922" s="184"/>
      <c r="I922" s="184"/>
      <c r="J922" s="184"/>
      <c r="K922" s="184"/>
    </row>
    <row r="923" spans="3:11">
      <c r="C923" s="184" t="s">
        <v>1913</v>
      </c>
      <c r="F923" s="184"/>
      <c r="G923" s="184"/>
      <c r="H923" s="184"/>
      <c r="I923" s="184"/>
      <c r="J923" s="184"/>
      <c r="K923" s="184"/>
    </row>
    <row r="924" spans="3:11" ht="16.2" thickBot="1">
      <c r="C924" s="245"/>
      <c r="F924" s="184"/>
      <c r="G924" s="184"/>
      <c r="H924" s="184"/>
      <c r="I924" s="184"/>
      <c r="J924" s="184"/>
      <c r="K924" s="184"/>
    </row>
    <row r="925" spans="3:11" ht="16.2" thickBot="1">
      <c r="C925" s="231" t="s">
        <v>1906</v>
      </c>
      <c r="D925" s="232" t="s">
        <v>1907</v>
      </c>
      <c r="E925" s="232" t="s">
        <v>1908</v>
      </c>
      <c r="F925" s="184"/>
      <c r="G925" s="184"/>
      <c r="H925" s="184"/>
      <c r="I925" s="184"/>
      <c r="J925" s="184"/>
      <c r="K925" s="184"/>
    </row>
    <row r="926" spans="3:11">
      <c r="C926" s="211" t="s">
        <v>3068</v>
      </c>
      <c r="D926" s="546">
        <f>+Composición!G819</f>
        <v>1666191338</v>
      </c>
      <c r="E926" s="659">
        <v>0</v>
      </c>
      <c r="F926" s="184"/>
      <c r="G926" s="184"/>
      <c r="H926" s="184"/>
      <c r="I926" s="184"/>
      <c r="J926" s="184"/>
      <c r="K926" s="184"/>
    </row>
    <row r="927" spans="3:11">
      <c r="C927" s="211" t="s">
        <v>904</v>
      </c>
      <c r="D927" s="546">
        <f>+Composición!G822</f>
        <v>252656625</v>
      </c>
      <c r="E927" s="659">
        <v>0</v>
      </c>
      <c r="F927" s="184"/>
      <c r="G927" s="184"/>
      <c r="H927" s="184"/>
      <c r="I927" s="184"/>
      <c r="J927" s="184"/>
      <c r="K927" s="184"/>
    </row>
    <row r="928" spans="3:11">
      <c r="C928" s="211" t="s">
        <v>1358</v>
      </c>
      <c r="D928" s="546">
        <f>+Composición!G803</f>
        <v>100739388</v>
      </c>
      <c r="E928" s="659">
        <v>0</v>
      </c>
      <c r="F928" s="184"/>
      <c r="G928" s="184"/>
      <c r="H928" s="184"/>
      <c r="I928" s="184"/>
      <c r="J928" s="184"/>
      <c r="K928" s="184"/>
    </row>
    <row r="929" spans="3:11">
      <c r="C929" s="211" t="s">
        <v>905</v>
      </c>
      <c r="D929" s="546">
        <f>+Composición!G823</f>
        <v>4782626</v>
      </c>
      <c r="E929" s="659">
        <v>0</v>
      </c>
      <c r="F929" s="184"/>
      <c r="G929" s="184"/>
      <c r="H929" s="184"/>
      <c r="I929" s="184"/>
      <c r="J929" s="184"/>
      <c r="K929" s="184"/>
    </row>
    <row r="930" spans="3:11" hidden="1">
      <c r="C930" s="211" t="s">
        <v>231</v>
      </c>
      <c r="D930" s="546">
        <f>+Composición!G824</f>
        <v>0</v>
      </c>
      <c r="E930" s="659">
        <v>0</v>
      </c>
      <c r="F930" s="184"/>
      <c r="G930" s="184"/>
      <c r="H930" s="184"/>
      <c r="I930" s="184"/>
      <c r="J930" s="184"/>
      <c r="K930" s="184"/>
    </row>
    <row r="931" spans="3:11" ht="16.2" thickBot="1">
      <c r="C931" s="296"/>
      <c r="D931" s="593"/>
      <c r="E931" s="649"/>
      <c r="F931" s="184"/>
      <c r="G931" s="184"/>
      <c r="H931" s="184"/>
      <c r="I931" s="184"/>
      <c r="J931" s="184"/>
      <c r="K931" s="184"/>
    </row>
    <row r="932" spans="3:11" ht="16.2" thickBot="1">
      <c r="C932" s="423" t="s">
        <v>3012</v>
      </c>
      <c r="D932" s="931">
        <f>+SUM(D926:D931)</f>
        <v>2024369977</v>
      </c>
      <c r="E932" s="932">
        <v>0</v>
      </c>
      <c r="F932" s="542">
        <f>+D932-'Balance General'!H23</f>
        <v>0</v>
      </c>
      <c r="G932" s="542"/>
      <c r="H932" s="184"/>
      <c r="I932" s="184"/>
      <c r="J932" s="184"/>
      <c r="K932" s="184"/>
    </row>
    <row r="933" spans="3:11" ht="16.2" thickBot="1">
      <c r="C933" s="178" t="s">
        <v>1438</v>
      </c>
      <c r="D933" s="934">
        <v>887114166</v>
      </c>
      <c r="E933" s="933">
        <v>0</v>
      </c>
      <c r="F933" s="542">
        <f>+D933-'Balance General'!I23</f>
        <v>0</v>
      </c>
      <c r="G933" s="249"/>
      <c r="H933" s="184"/>
      <c r="I933" s="184"/>
      <c r="J933" s="184"/>
      <c r="K933" s="184"/>
    </row>
    <row r="934" spans="3:11">
      <c r="C934" s="710"/>
      <c r="D934" s="184"/>
      <c r="E934" s="244"/>
      <c r="F934" s="184"/>
      <c r="G934" s="184"/>
      <c r="H934" s="184"/>
      <c r="I934" s="184"/>
      <c r="J934" s="184"/>
      <c r="K934" s="184"/>
    </row>
    <row r="935" spans="3:11">
      <c r="C935" s="102"/>
      <c r="D935" s="184"/>
      <c r="E935" s="244"/>
      <c r="F935" s="184"/>
      <c r="G935" s="184"/>
      <c r="H935" s="184"/>
      <c r="I935" s="184"/>
      <c r="J935" s="184"/>
      <c r="K935" s="184"/>
    </row>
    <row r="936" spans="3:11">
      <c r="C936" s="245" t="s">
        <v>1949</v>
      </c>
      <c r="D936" s="200"/>
      <c r="E936" s="244"/>
      <c r="F936" s="184"/>
      <c r="G936" s="200"/>
      <c r="H936" s="184"/>
      <c r="I936" s="184"/>
      <c r="J936" s="184"/>
      <c r="K936" s="184"/>
    </row>
    <row r="937" spans="3:11">
      <c r="C937" s="245"/>
      <c r="D937" s="184"/>
      <c r="E937" s="244"/>
      <c r="F937" s="184"/>
      <c r="G937" s="83"/>
      <c r="H937" s="184"/>
      <c r="I937" s="184"/>
      <c r="J937" s="184"/>
      <c r="K937" s="184"/>
    </row>
    <row r="938" spans="3:11">
      <c r="C938" s="245" t="s">
        <v>1950</v>
      </c>
      <c r="D938" s="184"/>
      <c r="E938" s="244"/>
      <c r="F938" s="184"/>
      <c r="G938" s="83"/>
      <c r="H938" s="184"/>
      <c r="I938" s="184"/>
      <c r="J938" s="184"/>
      <c r="K938" s="184"/>
    </row>
    <row r="939" spans="3:11">
      <c r="C939" s="184" t="s">
        <v>1913</v>
      </c>
      <c r="F939" s="184"/>
      <c r="G939" s="184"/>
      <c r="H939" s="184"/>
      <c r="I939" s="184"/>
      <c r="J939" s="184"/>
      <c r="K939" s="184"/>
    </row>
    <row r="940" spans="3:11" ht="16.2" thickBot="1">
      <c r="C940" s="245"/>
      <c r="F940" s="184"/>
      <c r="G940" s="184"/>
      <c r="H940" s="184"/>
      <c r="I940" s="184"/>
      <c r="J940" s="184"/>
      <c r="K940" s="184"/>
    </row>
    <row r="941" spans="3:11" ht="16.2" thickBot="1">
      <c r="C941" s="667" t="s">
        <v>1906</v>
      </c>
      <c r="D941" s="183" t="s">
        <v>1914</v>
      </c>
      <c r="E941" s="183" t="s">
        <v>1915</v>
      </c>
      <c r="F941" s="184"/>
      <c r="G941" s="184"/>
      <c r="H941" s="184"/>
      <c r="I941" s="184"/>
      <c r="J941" s="184"/>
      <c r="K941" s="184"/>
    </row>
    <row r="942" spans="3:11" hidden="1">
      <c r="C942" s="492" t="s">
        <v>1951</v>
      </c>
      <c r="D942" s="546">
        <f>+Composición!G805+Composición!G806</f>
        <v>0</v>
      </c>
      <c r="E942" s="659">
        <v>0</v>
      </c>
      <c r="F942" s="184"/>
      <c r="G942" s="184"/>
      <c r="H942" s="184"/>
      <c r="I942" s="184"/>
      <c r="J942" s="184"/>
      <c r="K942" s="184"/>
    </row>
    <row r="943" spans="3:11" hidden="1">
      <c r="C943" s="492" t="s">
        <v>1952</v>
      </c>
      <c r="D943" s="659">
        <f>+Composición!G810</f>
        <v>0</v>
      </c>
      <c r="E943" s="659">
        <v>0</v>
      </c>
      <c r="F943" s="184"/>
      <c r="G943" s="184"/>
      <c r="H943" s="184"/>
      <c r="I943" s="184"/>
      <c r="J943" s="184"/>
      <c r="K943" s="184"/>
    </row>
    <row r="944" spans="3:11">
      <c r="C944" s="492" t="s">
        <v>1953</v>
      </c>
      <c r="D944" s="546">
        <f>+Composición!G811</f>
        <v>1319754167</v>
      </c>
      <c r="E944" s="659">
        <v>0</v>
      </c>
      <c r="F944" s="184"/>
      <c r="G944" s="184"/>
      <c r="H944" s="184"/>
      <c r="I944" s="184"/>
      <c r="J944" s="184"/>
      <c r="K944" s="184"/>
    </row>
    <row r="945" spans="3:11">
      <c r="C945" s="492" t="s">
        <v>226</v>
      </c>
      <c r="D945" s="546">
        <f>+Composición!G813+Composición!G812</f>
        <v>220690629</v>
      </c>
      <c r="E945" s="659">
        <v>0</v>
      </c>
      <c r="F945" s="184"/>
      <c r="G945" s="184"/>
      <c r="H945" s="184"/>
      <c r="I945" s="184"/>
      <c r="J945" s="184"/>
      <c r="K945" s="184"/>
    </row>
    <row r="946" spans="3:11">
      <c r="C946" s="492" t="s">
        <v>1954</v>
      </c>
      <c r="D946" s="546">
        <f>+Composición!G831</f>
        <v>89894172</v>
      </c>
      <c r="E946" s="659">
        <v>0</v>
      </c>
      <c r="F946" s="184"/>
      <c r="G946" s="184"/>
      <c r="H946" s="184"/>
      <c r="I946" s="184"/>
      <c r="J946" s="184"/>
      <c r="K946" s="184"/>
    </row>
    <row r="947" spans="3:11">
      <c r="C947" s="492" t="s">
        <v>2954</v>
      </c>
      <c r="D947" s="546">
        <f>+Composición!G837</f>
        <v>430719</v>
      </c>
      <c r="E947" s="659">
        <v>0</v>
      </c>
      <c r="F947" s="184"/>
      <c r="G947" s="184"/>
      <c r="H947" s="184"/>
      <c r="I947" s="184"/>
      <c r="J947" s="184"/>
      <c r="K947" s="184"/>
    </row>
    <row r="948" spans="3:11">
      <c r="C948" s="492" t="s">
        <v>1955</v>
      </c>
      <c r="D948" s="546">
        <f>+Composición!G686+Composición!G685</f>
        <v>220213</v>
      </c>
      <c r="E948" s="659">
        <v>0</v>
      </c>
      <c r="F948" s="184"/>
      <c r="G948" s="184"/>
      <c r="H948" s="184"/>
      <c r="I948" s="184"/>
      <c r="J948" s="184"/>
      <c r="K948" s="184"/>
    </row>
    <row r="949" spans="3:11">
      <c r="C949" s="492" t="s">
        <v>3069</v>
      </c>
      <c r="D949" s="546">
        <f>+Composición!G858+Composición!G859</f>
        <v>122246</v>
      </c>
      <c r="E949" s="659">
        <v>0</v>
      </c>
      <c r="F949" s="184"/>
      <c r="G949" s="184"/>
      <c r="H949" s="184"/>
      <c r="I949" s="184"/>
      <c r="J949" s="184"/>
      <c r="K949" s="184"/>
    </row>
    <row r="950" spans="3:11" ht="16.2" thickBot="1">
      <c r="C950" s="492" t="s">
        <v>908</v>
      </c>
      <c r="D950" s="546">
        <f>+Composición!G826</f>
        <v>91944</v>
      </c>
      <c r="E950" s="659">
        <v>0</v>
      </c>
      <c r="F950" s="184"/>
      <c r="G950" s="184"/>
      <c r="H950" s="184"/>
      <c r="I950" s="184"/>
      <c r="J950" s="184"/>
      <c r="K950" s="184"/>
    </row>
    <row r="951" spans="3:11" ht="16.2" thickBot="1">
      <c r="C951" s="423" t="s">
        <v>3012</v>
      </c>
      <c r="D951" s="636">
        <f>+SUM(D942:D950)</f>
        <v>1631204090</v>
      </c>
      <c r="E951" s="660">
        <f>+SUM(E942:E950)</f>
        <v>0</v>
      </c>
      <c r="F951" s="379">
        <f>+D951-'Balance General'!H31</f>
        <v>0</v>
      </c>
      <c r="G951" s="184"/>
      <c r="H951" s="184"/>
      <c r="I951" s="184"/>
      <c r="J951" s="184"/>
      <c r="K951" s="184"/>
    </row>
    <row r="952" spans="3:11" ht="16.2" thickBot="1">
      <c r="C952" s="178" t="s">
        <v>1438</v>
      </c>
      <c r="D952" s="637">
        <v>1213666817</v>
      </c>
      <c r="E952" s="661">
        <v>0</v>
      </c>
      <c r="F952" s="379">
        <f>+D952-'Balance General'!I31</f>
        <v>0</v>
      </c>
      <c r="G952" s="249"/>
      <c r="H952" s="184"/>
      <c r="I952" s="184"/>
      <c r="J952" s="184"/>
      <c r="K952" s="184"/>
    </row>
    <row r="953" spans="3:11">
      <c r="C953" s="710"/>
      <c r="D953" s="184"/>
      <c r="E953" s="244"/>
      <c r="F953" s="184"/>
      <c r="G953" s="184"/>
      <c r="H953" s="184"/>
      <c r="I953" s="184"/>
      <c r="J953" s="184"/>
      <c r="K953" s="184"/>
    </row>
    <row r="954" spans="3:11">
      <c r="C954" s="102"/>
      <c r="D954" s="184"/>
      <c r="E954" s="244"/>
      <c r="F954" s="184"/>
      <c r="G954" s="184"/>
      <c r="H954" s="184"/>
      <c r="I954" s="184"/>
      <c r="J954" s="184"/>
      <c r="K954" s="184"/>
    </row>
    <row r="955" spans="3:11">
      <c r="C955" s="245" t="s">
        <v>1956</v>
      </c>
      <c r="D955" s="184"/>
      <c r="E955" s="244"/>
      <c r="F955" s="184"/>
      <c r="G955" s="83"/>
      <c r="H955" s="184"/>
      <c r="I955" s="184"/>
      <c r="J955" s="184"/>
      <c r="K955" s="184"/>
    </row>
    <row r="956" spans="3:11">
      <c r="C956" s="184" t="s">
        <v>1913</v>
      </c>
      <c r="F956" s="184"/>
      <c r="G956" s="184"/>
      <c r="H956" s="184"/>
      <c r="I956" s="184"/>
      <c r="J956" s="184"/>
      <c r="K956" s="184"/>
    </row>
    <row r="957" spans="3:11" ht="16.2" thickBot="1">
      <c r="C957" s="245"/>
      <c r="F957" s="184"/>
      <c r="G957" s="184"/>
      <c r="H957" s="184"/>
      <c r="I957" s="184"/>
      <c r="J957" s="184"/>
      <c r="K957" s="184"/>
    </row>
    <row r="958" spans="3:11" ht="16.2" thickBot="1">
      <c r="C958" s="225" t="s">
        <v>1906</v>
      </c>
      <c r="D958" s="183" t="s">
        <v>1914</v>
      </c>
      <c r="E958" s="183" t="s">
        <v>1915</v>
      </c>
      <c r="F958" s="184"/>
      <c r="G958" s="184"/>
      <c r="H958" s="184"/>
      <c r="I958" s="184"/>
      <c r="J958" s="184"/>
      <c r="K958" s="184"/>
    </row>
    <row r="959" spans="3:11">
      <c r="C959" s="233" t="s">
        <v>3121</v>
      </c>
      <c r="D959" s="546">
        <f>+Composición!G763++Composición!G764+Composición!G765</f>
        <v>13360618535</v>
      </c>
      <c r="E959" s="659">
        <v>0</v>
      </c>
      <c r="F959" s="184"/>
      <c r="G959" s="184"/>
      <c r="H959" s="184"/>
      <c r="I959" s="184"/>
      <c r="J959" s="184"/>
      <c r="K959" s="184"/>
    </row>
    <row r="960" spans="3:11">
      <c r="C960" s="233" t="s">
        <v>3122</v>
      </c>
      <c r="D960" s="546">
        <f>+Composición!G755+Composición!G756+Composición!G757</f>
        <v>294055239</v>
      </c>
      <c r="E960" s="659">
        <v>0</v>
      </c>
      <c r="F960" s="184"/>
      <c r="G960" s="184"/>
      <c r="H960" s="184"/>
      <c r="I960" s="184"/>
      <c r="J960" s="184"/>
      <c r="K960" s="184"/>
    </row>
    <row r="961" spans="3:11">
      <c r="C961" s="233" t="s">
        <v>3123</v>
      </c>
      <c r="D961" s="669">
        <f>+Composición!G759+Composición!G760+Composición!G761</f>
        <v>-106324247</v>
      </c>
      <c r="E961" s="659">
        <v>0</v>
      </c>
      <c r="F961" s="184"/>
      <c r="G961" s="184"/>
      <c r="H961" s="184"/>
      <c r="I961" s="184"/>
      <c r="J961" s="184"/>
      <c r="K961" s="184"/>
    </row>
    <row r="962" spans="3:11" ht="16.2" thickBot="1">
      <c r="C962" s="668"/>
      <c r="D962" s="546"/>
      <c r="E962" s="659"/>
      <c r="F962" s="184"/>
      <c r="G962" s="184"/>
      <c r="H962" s="184"/>
      <c r="I962" s="184"/>
      <c r="J962" s="184"/>
      <c r="K962" s="184"/>
    </row>
    <row r="963" spans="3:11" ht="16.2" thickBot="1">
      <c r="C963" s="423" t="s">
        <v>3012</v>
      </c>
      <c r="D963" s="636">
        <f>+SUM(D959:D962)</f>
        <v>13548349527</v>
      </c>
      <c r="E963" s="1254">
        <f>+SUM(E959:E962)</f>
        <v>0</v>
      </c>
      <c r="F963" s="379">
        <f>+D963-'Balance General'!H32</f>
        <v>0</v>
      </c>
      <c r="G963" s="184"/>
      <c r="H963" s="184"/>
      <c r="I963" s="184"/>
      <c r="J963" s="184"/>
      <c r="K963" s="184"/>
    </row>
    <row r="964" spans="3:11" ht="16.2" thickBot="1">
      <c r="C964" s="178" t="s">
        <v>1438</v>
      </c>
      <c r="D964" s="637">
        <v>7748868599</v>
      </c>
      <c r="E964" s="661">
        <v>0</v>
      </c>
      <c r="F964" s="379">
        <f>+D964-'Balance General'!I32</f>
        <v>0</v>
      </c>
      <c r="G964" s="216"/>
      <c r="H964" s="184"/>
      <c r="I964" s="184"/>
      <c r="J964" s="184"/>
      <c r="K964" s="184"/>
    </row>
    <row r="965" spans="3:11">
      <c r="C965" s="102"/>
      <c r="D965" s="184"/>
      <c r="E965" s="244"/>
      <c r="F965" s="184"/>
      <c r="G965" s="184"/>
      <c r="H965" s="184"/>
      <c r="I965" s="184"/>
      <c r="J965" s="184"/>
      <c r="K965" s="184"/>
    </row>
    <row r="966" spans="3:11">
      <c r="C966" s="252"/>
      <c r="D966" s="256"/>
      <c r="E966" s="184"/>
      <c r="F966" s="184"/>
      <c r="G966" s="184"/>
      <c r="H966" s="184"/>
      <c r="I966" s="184"/>
      <c r="J966" s="184"/>
      <c r="K966" s="184"/>
    </row>
    <row r="967" spans="3:11">
      <c r="C967" s="9" t="s">
        <v>1957</v>
      </c>
      <c r="D967" s="257"/>
      <c r="E967" s="184"/>
      <c r="F967" s="184"/>
      <c r="G967" s="184"/>
      <c r="H967" s="184"/>
      <c r="I967" s="184"/>
      <c r="J967" s="184"/>
      <c r="K967" s="184"/>
    </row>
    <row r="968" spans="3:11">
      <c r="C968" s="245"/>
      <c r="D968" s="184"/>
      <c r="E968" s="244"/>
      <c r="F968" s="184"/>
      <c r="G968" s="83"/>
      <c r="H968" s="184"/>
      <c r="I968" s="184"/>
      <c r="J968" s="184"/>
      <c r="K968" s="184"/>
    </row>
    <row r="969" spans="3:11">
      <c r="C969" s="248" t="s">
        <v>1958</v>
      </c>
      <c r="D969" s="257"/>
      <c r="E969" s="184"/>
      <c r="F969" s="184"/>
      <c r="G969" s="184"/>
      <c r="H969" s="184"/>
      <c r="I969" s="184"/>
      <c r="J969" s="184"/>
      <c r="K969" s="184"/>
    </row>
    <row r="970" spans="3:11" ht="16.2" thickBot="1">
      <c r="C970" s="245"/>
      <c r="F970" s="184"/>
      <c r="G970" s="184"/>
      <c r="H970" s="184"/>
      <c r="I970" s="184"/>
      <c r="J970" s="184"/>
      <c r="K970" s="184"/>
    </row>
    <row r="971" spans="3:11" ht="48" thickTop="1" thickBot="1">
      <c r="C971" s="226" t="s">
        <v>1906</v>
      </c>
      <c r="D971" s="227" t="s">
        <v>1959</v>
      </c>
      <c r="E971" s="227" t="s">
        <v>1960</v>
      </c>
      <c r="F971" s="227" t="s">
        <v>1961</v>
      </c>
      <c r="G971" s="234" t="s">
        <v>1962</v>
      </c>
      <c r="H971" s="184"/>
      <c r="I971" s="184"/>
      <c r="J971" s="184"/>
      <c r="K971" s="184"/>
    </row>
    <row r="972" spans="3:11">
      <c r="C972" s="235" t="s">
        <v>1227</v>
      </c>
      <c r="D972" s="534">
        <f>+'Variación Patrimonio Neto'!E12</f>
        <v>54350000000</v>
      </c>
      <c r="E972" s="649">
        <f>+'Variación Patrimonio Neto'!E14</f>
        <v>0</v>
      </c>
      <c r="F972" s="649">
        <v>0</v>
      </c>
      <c r="G972" s="534">
        <f>+SUM(D972:F972)</f>
        <v>54350000000</v>
      </c>
      <c r="H972" s="939">
        <f>+G972-Composición!G894</f>
        <v>0</v>
      </c>
      <c r="I972" s="184"/>
      <c r="J972" s="184"/>
      <c r="K972" s="184"/>
    </row>
    <row r="973" spans="3:11">
      <c r="C973" s="235" t="s">
        <v>3124</v>
      </c>
      <c r="D973" s="534">
        <f>+'Variación Patrimonio Neto'!F12</f>
        <v>740857678.39999998</v>
      </c>
      <c r="E973" s="649">
        <f>+'Variación Patrimonio Neto'!F17</f>
        <v>0</v>
      </c>
      <c r="F973" s="649">
        <v>0</v>
      </c>
      <c r="G973" s="534">
        <f>+SUM(D973:F973)</f>
        <v>740857678.39999998</v>
      </c>
      <c r="H973" s="939">
        <f>+G973-Composición!G908</f>
        <v>0.39999997615814209</v>
      </c>
      <c r="I973" s="184"/>
      <c r="J973" s="184"/>
      <c r="K973" s="184"/>
    </row>
    <row r="974" spans="3:11">
      <c r="C974" s="235" t="s">
        <v>3125</v>
      </c>
      <c r="D974" s="649">
        <v>0</v>
      </c>
      <c r="E974" s="534">
        <f>+'Variación Patrimonio Neto'!G16</f>
        <v>158458361</v>
      </c>
      <c r="F974" s="649">
        <v>0</v>
      </c>
      <c r="G974" s="534">
        <f>+SUM(D974:F974)</f>
        <v>158458361</v>
      </c>
      <c r="H974" s="939"/>
      <c r="I974" s="184"/>
      <c r="J974" s="184"/>
      <c r="K974" s="184"/>
    </row>
    <row r="975" spans="3:11">
      <c r="C975" s="235" t="s">
        <v>1963</v>
      </c>
      <c r="D975" s="654">
        <f>+'Variación Patrimonio Neto'!J12</f>
        <v>-5941551458</v>
      </c>
      <c r="E975" s="534">
        <f>+'Variación Patrimonio Neto'!J15</f>
        <v>3169167210</v>
      </c>
      <c r="F975" s="654">
        <f>-E974</f>
        <v>-158458361</v>
      </c>
      <c r="G975" s="654">
        <f>+SUM(D975:F975)</f>
        <v>-2930842609</v>
      </c>
      <c r="H975" s="1091">
        <f>+G975-Composición!G925</f>
        <v>-1</v>
      </c>
      <c r="I975" s="184"/>
      <c r="J975" s="184"/>
      <c r="K975" s="184"/>
    </row>
    <row r="976" spans="3:11">
      <c r="C976" s="235" t="s">
        <v>1964</v>
      </c>
      <c r="D976" s="654">
        <f>+'Variación Patrimonio Neto'!K12</f>
        <v>3169167210</v>
      </c>
      <c r="E976" s="534">
        <f>+'Variación Patrimonio Neto'!K18</f>
        <v>17464898424</v>
      </c>
      <c r="F976" s="654">
        <f>-E975</f>
        <v>-3169167210</v>
      </c>
      <c r="G976" s="654">
        <f>+SUM(D976:F976)</f>
        <v>17464898424</v>
      </c>
      <c r="H976" s="1092">
        <f>+G976-'Variación Patrimonio Neto'!K18</f>
        <v>0</v>
      </c>
      <c r="I976" s="184"/>
      <c r="J976" s="184"/>
      <c r="K976" s="184"/>
    </row>
    <row r="977" spans="3:11" ht="16.2" thickBot="1">
      <c r="C977" s="195"/>
      <c r="D977" s="534"/>
      <c r="E977" s="534"/>
      <c r="F977" s="534"/>
      <c r="G977" s="534"/>
      <c r="H977" s="549"/>
      <c r="I977" s="184"/>
      <c r="J977" s="184"/>
      <c r="K977" s="184"/>
    </row>
    <row r="978" spans="3:11" ht="16.2" thickBot="1">
      <c r="C978" s="193" t="s">
        <v>1326</v>
      </c>
      <c r="D978" s="634">
        <f>+SUM(D972:D976)</f>
        <v>52318473430.400002</v>
      </c>
      <c r="E978" s="635">
        <f>+SUM(E972:E976)</f>
        <v>20792523995</v>
      </c>
      <c r="F978" s="662">
        <f>+SUM(F972:F976)</f>
        <v>-3327625571</v>
      </c>
      <c r="G978" s="634">
        <f>+SUM(G972:G976)+0.5</f>
        <v>69783371854.899994</v>
      </c>
      <c r="H978" s="968">
        <f>+G978-'Balance General'!H37</f>
        <v>-0.100006103515625</v>
      </c>
      <c r="I978" s="255"/>
      <c r="J978" s="184"/>
      <c r="K978" s="184"/>
    </row>
    <row r="979" spans="3:11">
      <c r="C979" s="252"/>
      <c r="D979" s="1255">
        <f>+D978-Composición!J1772</f>
        <v>0.40000152587890625</v>
      </c>
      <c r="E979" s="184"/>
      <c r="F979" s="184"/>
      <c r="G979" s="184"/>
      <c r="H979" s="184"/>
      <c r="I979" s="184"/>
      <c r="J979" s="184"/>
      <c r="K979" s="184"/>
    </row>
    <row r="980" spans="3:11">
      <c r="C980" s="252"/>
      <c r="D980" s="256"/>
      <c r="E980" s="184"/>
      <c r="F980" s="184"/>
      <c r="G980" s="184"/>
      <c r="H980" s="184"/>
      <c r="I980" s="184"/>
      <c r="J980" s="184"/>
      <c r="K980" s="184"/>
    </row>
    <row r="981" spans="3:11">
      <c r="C981" s="245" t="s">
        <v>1965</v>
      </c>
      <c r="D981" s="184"/>
      <c r="E981" s="184"/>
      <c r="F981" s="184"/>
      <c r="G981" s="184"/>
      <c r="H981" s="184"/>
      <c r="I981" s="184"/>
      <c r="J981" s="184"/>
      <c r="K981" s="184"/>
    </row>
    <row r="982" spans="3:11">
      <c r="C982" s="245"/>
      <c r="D982" s="184"/>
      <c r="E982" s="244"/>
      <c r="F982" s="184"/>
      <c r="G982" s="83"/>
      <c r="H982" s="184"/>
      <c r="I982" s="184"/>
      <c r="J982" s="184"/>
      <c r="K982" s="184"/>
    </row>
    <row r="983" spans="3:11">
      <c r="C983" s="184" t="s">
        <v>1913</v>
      </c>
      <c r="D983" s="184"/>
      <c r="E983" s="244"/>
      <c r="F983" s="184"/>
      <c r="G983" s="184"/>
      <c r="H983" s="184"/>
      <c r="I983" s="184"/>
      <c r="J983" s="184"/>
      <c r="K983" s="184"/>
    </row>
    <row r="984" spans="3:11" ht="16.2" thickBot="1">
      <c r="C984" s="245"/>
      <c r="F984" s="184"/>
      <c r="G984" s="184"/>
      <c r="H984" s="184"/>
      <c r="I984" s="184"/>
      <c r="J984" s="184"/>
      <c r="K984" s="184"/>
    </row>
    <row r="985" spans="3:11" ht="16.2" thickBot="1">
      <c r="C985" s="1562" t="s">
        <v>1936</v>
      </c>
      <c r="D985" s="1563" t="s">
        <v>1937</v>
      </c>
      <c r="E985" s="1563" t="s">
        <v>1938</v>
      </c>
      <c r="F985" s="1561" t="s">
        <v>1966</v>
      </c>
      <c r="G985" s="1561"/>
      <c r="H985" s="184"/>
      <c r="I985" s="184"/>
      <c r="J985" s="184"/>
      <c r="K985" s="184"/>
    </row>
    <row r="986" spans="3:11" ht="16.2" thickBot="1">
      <c r="C986" s="1562"/>
      <c r="D986" s="1563"/>
      <c r="E986" s="1563"/>
      <c r="F986" s="588">
        <v>45657</v>
      </c>
      <c r="G986" s="589" t="s">
        <v>2608</v>
      </c>
      <c r="H986" s="184"/>
      <c r="I986" s="184"/>
      <c r="J986" s="184"/>
      <c r="K986" s="184"/>
    </row>
    <row r="987" spans="3:11" ht="31.2">
      <c r="C987" s="410" t="s">
        <v>1976</v>
      </c>
      <c r="D987" s="1440" t="s">
        <v>1974</v>
      </c>
      <c r="E987" s="1440" t="s">
        <v>1972</v>
      </c>
      <c r="F987" s="1441">
        <f>SUMIF(Notas!$C$400:$C$589,"BANCO NACIONAL DE FOMENTO",Notas!H400:H589)</f>
        <v>18922832389.919971</v>
      </c>
      <c r="G987" s="1442">
        <v>0</v>
      </c>
      <c r="H987" s="255"/>
      <c r="I987" s="184"/>
      <c r="J987" s="184"/>
      <c r="K987" s="184"/>
    </row>
    <row r="988" spans="3:11">
      <c r="C988" s="158" t="s">
        <v>1277</v>
      </c>
      <c r="D988" s="259" t="s">
        <v>1278</v>
      </c>
      <c r="E988" s="259" t="s">
        <v>1971</v>
      </c>
      <c r="F988" s="382">
        <f>+'Control de Activos '!D39+'Control de Activos '!D10</f>
        <v>17312291329.44759</v>
      </c>
      <c r="G988" s="175">
        <v>6890080510.8735161</v>
      </c>
      <c r="H988" s="184"/>
      <c r="I988" s="249"/>
      <c r="J988" s="184"/>
      <c r="K988" s="184"/>
    </row>
    <row r="989" spans="3:11" ht="31.2">
      <c r="C989" s="158" t="s">
        <v>1282</v>
      </c>
      <c r="D989" s="259" t="s">
        <v>1974</v>
      </c>
      <c r="E989" s="259" t="s">
        <v>1975</v>
      </c>
      <c r="F989" s="382">
        <f>+SUMIF(Notas!$C$493:$C$503,"Radice S.A.E.C.A.",Notas!H493:H503)</f>
        <v>10416144584.413801</v>
      </c>
      <c r="G989" s="175">
        <v>9662643734.2702141</v>
      </c>
      <c r="H989" s="853">
        <f>+SUM('12 Cartera Propia 2023'!J118:J120,'12 Cartera Propia 2023'!J137:J142)*'12 Cartera Propia 2023'!M118</f>
        <v>-4384678872.8912201</v>
      </c>
      <c r="I989" s="1175">
        <f>+H989+G1005</f>
        <v>-4384678872.8912201</v>
      </c>
      <c r="J989" s="1171"/>
      <c r="K989" s="184"/>
    </row>
    <row r="990" spans="3:11">
      <c r="C990" s="158" t="s">
        <v>1277</v>
      </c>
      <c r="D990" s="259" t="s">
        <v>1278</v>
      </c>
      <c r="E990" s="259" t="s">
        <v>1967</v>
      </c>
      <c r="F990" s="382">
        <f>SUM(Notas!D350:D351)+SUM(Notas!D357)+Notas!D367+Notas!D379+Notas!D357+Notas!D344+Notas!D345</f>
        <v>4015468671</v>
      </c>
      <c r="G990" s="175">
        <f>SUM(Notas!E350:E351)+SUM(Notas!E357)+Notas!E367+Notas!E379+Notas!E344+Notas!E345</f>
        <v>2390461003.2345176</v>
      </c>
      <c r="H990" s="255"/>
      <c r="I990" s="249"/>
      <c r="J990" s="184"/>
      <c r="K990" s="184"/>
    </row>
    <row r="991" spans="3:11">
      <c r="C991" s="158" t="s">
        <v>1280</v>
      </c>
      <c r="D991" s="259" t="s">
        <v>1278</v>
      </c>
      <c r="E991" s="259" t="s">
        <v>1970</v>
      </c>
      <c r="F991" s="382">
        <f>+D827+D831+D828</f>
        <v>1501271741</v>
      </c>
      <c r="G991" s="175">
        <v>1271503779</v>
      </c>
      <c r="H991" s="853">
        <f>+SUM('12 Cartera Propia 2023'!J116:J118,'12 Cartera Propia 2023'!J135:J140)*'12 Cartera Propia 2023'!M116</f>
        <v>-2409846033.7422194</v>
      </c>
      <c r="I991" s="1175">
        <f>+H991+G1003</f>
        <v>-2409843927.3011193</v>
      </c>
      <c r="J991" s="1171"/>
      <c r="K991" s="184"/>
    </row>
    <row r="992" spans="3:11">
      <c r="C992" s="158" t="s">
        <v>1277</v>
      </c>
      <c r="D992" s="259" t="s">
        <v>1278</v>
      </c>
      <c r="E992" s="259" t="s">
        <v>1972</v>
      </c>
      <c r="F992" s="382">
        <f>+'Control de Activos '!D19+'Control de Activos '!D33</f>
        <v>1106783287.6712332</v>
      </c>
      <c r="G992" s="175">
        <v>1282965312.2152324</v>
      </c>
      <c r="H992" s="853"/>
      <c r="I992" s="1171"/>
      <c r="J992" s="1171"/>
      <c r="K992" s="184"/>
    </row>
    <row r="993" spans="3:11">
      <c r="C993" s="158" t="s">
        <v>1968</v>
      </c>
      <c r="D993" s="259" t="s">
        <v>1278</v>
      </c>
      <c r="E993" s="259" t="s">
        <v>1967</v>
      </c>
      <c r="F993" s="382">
        <f>+Notas!D347</f>
        <v>488815659</v>
      </c>
      <c r="G993" s="175">
        <f>+Notas!E347</f>
        <v>128164665.46790001</v>
      </c>
      <c r="H993" s="853">
        <f>+SUM('12 Cartera Propia AFS 2023 '!I66:I67,'12 Cartera Propia 2023'!I84:I85)</f>
        <v>-568103698.78082204</v>
      </c>
      <c r="I993" s="1174">
        <f>+H993+G1000</f>
        <v>0</v>
      </c>
      <c r="J993" s="1171"/>
      <c r="K993" s="184"/>
    </row>
    <row r="994" spans="3:11">
      <c r="C994" s="158" t="s">
        <v>1969</v>
      </c>
      <c r="D994" s="259" t="s">
        <v>1278</v>
      </c>
      <c r="E994" s="259" t="s">
        <v>1970</v>
      </c>
      <c r="F994" s="382">
        <f>+D830+D833</f>
        <v>19188996.032600001</v>
      </c>
      <c r="G994" s="175">
        <v>259159952</v>
      </c>
      <c r="H994" s="853"/>
      <c r="I994" s="1174"/>
      <c r="J994" s="1171"/>
      <c r="K994" s="184"/>
    </row>
    <row r="995" spans="3:11">
      <c r="C995" s="158" t="s">
        <v>2607</v>
      </c>
      <c r="D995" s="259" t="s">
        <v>1278</v>
      </c>
      <c r="E995" s="259" t="s">
        <v>1970</v>
      </c>
      <c r="F995" s="382">
        <f>+D832</f>
        <v>934246.5</v>
      </c>
      <c r="G995" s="175">
        <v>2804608</v>
      </c>
      <c r="H995" s="853"/>
      <c r="I995" s="1174"/>
      <c r="J995" s="1171"/>
      <c r="K995" s="184"/>
    </row>
    <row r="996" spans="3:11">
      <c r="C996" s="158" t="s">
        <v>1277</v>
      </c>
      <c r="D996" s="259" t="s">
        <v>1278</v>
      </c>
      <c r="E996" s="259" t="s">
        <v>1973</v>
      </c>
      <c r="F996" s="382">
        <v>0</v>
      </c>
      <c r="G996" s="175">
        <v>665742466.07808197</v>
      </c>
      <c r="H996" s="853"/>
      <c r="I996" s="1171"/>
      <c r="J996" s="1171"/>
      <c r="K996" s="184"/>
    </row>
    <row r="997" spans="3:11" ht="31.8" thickBot="1">
      <c r="C997" s="158" t="s">
        <v>3185</v>
      </c>
      <c r="D997" s="259" t="s">
        <v>1974</v>
      </c>
      <c r="E997" s="259" t="s">
        <v>1972</v>
      </c>
      <c r="F997" s="382">
        <v>0</v>
      </c>
      <c r="G997" s="175">
        <v>7369223480.7842302</v>
      </c>
      <c r="H997" s="853">
        <f>+SUM('12 Cartera Propia 2023'!J117:J119,'12 Cartera Propia 2023'!J136:J141)*'12 Cartera Propia 2023'!M117</f>
        <v>-4492796974.2258205</v>
      </c>
      <c r="I997" s="1175">
        <f>+H997+G1004</f>
        <v>-3923234959.0038986</v>
      </c>
      <c r="J997" s="1171"/>
      <c r="K997" s="184"/>
    </row>
    <row r="998" spans="3:11" ht="16.2" thickBot="1">
      <c r="C998" s="423" t="s">
        <v>1977</v>
      </c>
      <c r="D998" s="959"/>
      <c r="E998" s="960"/>
      <c r="F998" s="961">
        <f>SUM(F987:F997)</f>
        <v>53783730904.985199</v>
      </c>
      <c r="G998" s="1176">
        <f>SUM(G987:G997)</f>
        <v>29922749511.923691</v>
      </c>
      <c r="H998" s="1171"/>
      <c r="I998" s="1171"/>
      <c r="J998" s="1171"/>
      <c r="K998" s="184"/>
    </row>
    <row r="999" spans="3:11">
      <c r="C999" s="1066"/>
      <c r="D999" s="1095"/>
      <c r="E999" s="1096"/>
      <c r="F999" s="1177"/>
      <c r="G999" s="1178"/>
      <c r="H999" s="1175">
        <v>2950496449</v>
      </c>
      <c r="I999" s="1171"/>
      <c r="J999" s="1171"/>
      <c r="K999" s="184"/>
    </row>
    <row r="1000" spans="3:11">
      <c r="C1000" s="158" t="s">
        <v>1277</v>
      </c>
      <c r="D1000" s="259" t="s">
        <v>1278</v>
      </c>
      <c r="E1000" s="259" t="s">
        <v>1971</v>
      </c>
      <c r="F1000" s="382">
        <f>-+'Control de Activos '!F10</f>
        <v>105440315</v>
      </c>
      <c r="G1000" s="175">
        <f>+-SUM('12 Cartera Propia AFS 2023 '!I66:I67,'12 Cartera Propia 2023'!I84:I85)</f>
        <v>568103698.78082204</v>
      </c>
      <c r="H1000" s="184"/>
      <c r="I1000" s="249"/>
      <c r="J1000" s="184"/>
      <c r="K1000" s="184"/>
    </row>
    <row r="1001" spans="3:11">
      <c r="C1001" s="158" t="s">
        <v>3155</v>
      </c>
      <c r="D1001" s="259" t="s">
        <v>1278</v>
      </c>
      <c r="E1001" s="259" t="s">
        <v>3064</v>
      </c>
      <c r="F1001" s="382">
        <f>+Composición!G814</f>
        <v>9789075</v>
      </c>
      <c r="G1001" s="175">
        <f>+Composición!J698</f>
        <v>0</v>
      </c>
      <c r="H1001" s="184"/>
      <c r="I1001" s="216"/>
      <c r="J1001" s="184"/>
      <c r="K1001" s="184"/>
    </row>
    <row r="1002" spans="3:11" ht="31.2">
      <c r="C1002" s="158" t="s">
        <v>1277</v>
      </c>
      <c r="D1002" s="259" t="s">
        <v>1278</v>
      </c>
      <c r="E1002" s="259" t="s">
        <v>1942</v>
      </c>
      <c r="F1002" s="382">
        <f>+Composición!G697</f>
        <v>4018500</v>
      </c>
      <c r="G1002" s="175">
        <f>+Composición!J697</f>
        <v>1456210</v>
      </c>
      <c r="H1002" s="184"/>
      <c r="I1002" s="249"/>
      <c r="J1002" s="184"/>
      <c r="K1002" s="184"/>
    </row>
    <row r="1003" spans="3:11" ht="31.8" thickBot="1">
      <c r="C1003" s="158" t="s">
        <v>1282</v>
      </c>
      <c r="D1003" s="259" t="s">
        <v>1974</v>
      </c>
      <c r="E1003" s="259" t="s">
        <v>1975</v>
      </c>
      <c r="F1003" s="382">
        <f ca="1">-SUMIF(Notas!$C$493:$C$507,"Radice S.A.E.C.A.",Notas!I493:I506)</f>
        <v>2114.4402</v>
      </c>
      <c r="G1003" s="175">
        <f>+-SUM('12 Cartera Propia 2023'!J116:J118,'12 Cartera Propia 2023'!K135:K140)*'12 Cartera Propia 2023'!M116</f>
        <v>2106.4411000000005</v>
      </c>
      <c r="H1003" s="184"/>
      <c r="I1003" s="249"/>
      <c r="J1003" s="184"/>
      <c r="K1003" s="184"/>
    </row>
    <row r="1004" spans="3:11" ht="16.2" thickBot="1">
      <c r="C1004" s="423" t="s">
        <v>1978</v>
      </c>
      <c r="D1004" s="959"/>
      <c r="E1004" s="960"/>
      <c r="F1004" s="961">
        <f ca="1">SUM(F1000:F1003)</f>
        <v>119250004.4402</v>
      </c>
      <c r="G1004" s="1176">
        <f>SUM(G1000:G1003)</f>
        <v>569562015.22192204</v>
      </c>
      <c r="H1004" s="1328"/>
      <c r="I1004" s="1328"/>
      <c r="J1004" s="184"/>
      <c r="K1004" s="184"/>
    </row>
    <row r="1005" spans="3:11">
      <c r="C1005" s="258" t="s">
        <v>1370</v>
      </c>
      <c r="D1005" s="259"/>
      <c r="E1005" s="259"/>
      <c r="F1005" s="184"/>
      <c r="G1005" s="184"/>
      <c r="H1005" s="1328"/>
      <c r="I1005" s="1328"/>
      <c r="J1005" s="184"/>
      <c r="K1005" s="184"/>
    </row>
    <row r="1006" spans="3:11">
      <c r="C1006" s="219"/>
      <c r="D1006" s="259"/>
      <c r="E1006" s="259"/>
      <c r="F1006" s="184"/>
      <c r="G1006" s="184"/>
      <c r="H1006" s="184"/>
      <c r="I1006" s="184"/>
      <c r="J1006" s="184"/>
      <c r="K1006" s="184"/>
    </row>
    <row r="1007" spans="3:11">
      <c r="C1007" s="260" t="s">
        <v>1979</v>
      </c>
      <c r="D1007" s="259"/>
      <c r="E1007" s="259"/>
      <c r="F1007" s="184"/>
      <c r="G1007" s="184"/>
      <c r="H1007" s="184"/>
      <c r="I1007" s="184"/>
      <c r="J1007" s="184"/>
      <c r="K1007" s="184"/>
    </row>
    <row r="1008" spans="3:11">
      <c r="C1008" s="184" t="s">
        <v>1913</v>
      </c>
      <c r="D1008" s="259"/>
      <c r="E1008" s="259"/>
      <c r="F1008" s="184"/>
      <c r="G1008" s="184"/>
      <c r="H1008" s="184"/>
      <c r="I1008" s="184"/>
      <c r="J1008" s="184"/>
      <c r="K1008" s="184"/>
    </row>
    <row r="1009" spans="3:11" ht="16.2" thickBot="1">
      <c r="C1009" s="261"/>
      <c r="D1009" s="259"/>
      <c r="E1009" s="259"/>
      <c r="F1009" s="184"/>
      <c r="G1009" s="184"/>
      <c r="H1009" s="184"/>
      <c r="I1009" s="184"/>
      <c r="J1009" s="184"/>
      <c r="K1009" s="184"/>
    </row>
    <row r="1010" spans="3:11" ht="16.2" thickBot="1">
      <c r="C1010" s="598" t="s">
        <v>1980</v>
      </c>
      <c r="D1010" s="564">
        <v>45657</v>
      </c>
      <c r="E1010" s="711" t="s">
        <v>2608</v>
      </c>
      <c r="F1010" s="184"/>
      <c r="G1010" s="184"/>
      <c r="H1010" s="184"/>
      <c r="I1010" s="184"/>
      <c r="J1010" s="184"/>
      <c r="K1010" s="184"/>
    </row>
    <row r="1011" spans="3:11">
      <c r="C1011" s="599" t="s">
        <v>286</v>
      </c>
      <c r="D1011" s="600"/>
      <c r="E1011" s="601"/>
      <c r="F1011" s="184"/>
      <c r="G1011" s="184"/>
      <c r="H1011" s="184"/>
      <c r="I1011" s="184"/>
      <c r="J1011" s="184"/>
      <c r="K1011" s="184"/>
    </row>
    <row r="1012" spans="3:11">
      <c r="C1012" s="602" t="s">
        <v>1981</v>
      </c>
      <c r="D1012" s="372"/>
      <c r="E1012" s="528"/>
      <c r="F1012" s="184"/>
      <c r="G1012" s="184"/>
      <c r="H1012" s="184"/>
      <c r="I1012" s="184"/>
      <c r="J1012" s="184"/>
      <c r="K1012" s="184"/>
    </row>
    <row r="1013" spans="3:11">
      <c r="C1013" s="603" t="s">
        <v>1983</v>
      </c>
      <c r="D1013" s="610">
        <f>+Composición!G976+Composición!G979</f>
        <v>1358067916</v>
      </c>
      <c r="E1013" s="1391">
        <f>+Composición!J979+Composición!J976</f>
        <v>0</v>
      </c>
      <c r="F1013" s="184"/>
      <c r="G1013" s="184"/>
      <c r="H1013" s="184"/>
      <c r="I1013" s="184"/>
      <c r="J1013" s="184"/>
      <c r="K1013" s="184"/>
    </row>
    <row r="1014" spans="3:11">
      <c r="C1014" s="603" t="s">
        <v>379</v>
      </c>
      <c r="D1014" s="610">
        <f>+Composición!G1189</f>
        <v>1281509060</v>
      </c>
      <c r="E1014" s="610">
        <f>+Composición!J1189</f>
        <v>86982290</v>
      </c>
      <c r="F1014" s="184"/>
      <c r="G1014" s="184"/>
      <c r="H1014" s="184"/>
      <c r="I1014" s="184"/>
      <c r="J1014" s="184"/>
      <c r="K1014" s="184"/>
    </row>
    <row r="1015" spans="3:11">
      <c r="C1015" s="603" t="s">
        <v>3060</v>
      </c>
      <c r="D1015" s="610">
        <f>+Composición!G1045+Composición!G1046+Composición!G1049+Composición!G1050+Composición!G1081+Composición!G1047</f>
        <v>460549170</v>
      </c>
      <c r="E1015" s="610">
        <f>+Composición!J1045+Composición!J1046+Composición!J1049+Composición!J1050+Composición!J1081+Composición!J1047</f>
        <v>422906140</v>
      </c>
      <c r="F1015" s="184"/>
      <c r="G1015" s="184"/>
      <c r="H1015" s="184"/>
      <c r="I1015" s="184"/>
      <c r="J1015" s="184"/>
      <c r="K1015" s="184"/>
    </row>
    <row r="1016" spans="3:11">
      <c r="C1016" s="603" t="s">
        <v>3078</v>
      </c>
      <c r="D1016" s="610">
        <f>+Composición!G1150+Composición!G1153+Composición!G1160+Composición!G1161</f>
        <v>278148406</v>
      </c>
      <c r="E1016" s="1390">
        <f>+Composición!J1150+Composición!J1153+Composición!J1160+Composición!J1161</f>
        <v>277590334</v>
      </c>
      <c r="F1016" s="184"/>
      <c r="G1016" s="184"/>
      <c r="H1016" s="184"/>
      <c r="I1016" s="184"/>
      <c r="J1016" s="184"/>
      <c r="K1016" s="184"/>
    </row>
    <row r="1017" spans="3:11">
      <c r="C1017" s="603" t="s">
        <v>3077</v>
      </c>
      <c r="D1017" s="610">
        <f>Composición!G1087+Composición!G1089</f>
        <v>215513899</v>
      </c>
      <c r="E1017" s="1390">
        <f>+Composición!J1082+Composición!J1089+Composición!J1087</f>
        <v>231600789</v>
      </c>
      <c r="F1017" s="184"/>
      <c r="G1017" s="184"/>
      <c r="H1017" s="184"/>
      <c r="I1017" s="184"/>
      <c r="J1017" s="184"/>
      <c r="K1017" s="184"/>
    </row>
    <row r="1018" spans="3:11">
      <c r="C1018" s="603" t="s">
        <v>1986</v>
      </c>
      <c r="D1018" s="610">
        <f>+Composición!G1221</f>
        <v>162659040</v>
      </c>
      <c r="E1018" s="1390">
        <f>+Composición!J1221</f>
        <v>149304120</v>
      </c>
      <c r="F1018" s="184"/>
      <c r="G1018" s="184"/>
      <c r="H1018" s="184"/>
      <c r="I1018" s="184"/>
      <c r="J1018" s="184"/>
      <c r="K1018" s="184"/>
    </row>
    <row r="1019" spans="3:11">
      <c r="C1019" s="603" t="s">
        <v>3079</v>
      </c>
      <c r="D1019" s="610">
        <f>+Composición!G1172+Composición!G1175+Composición!G1182+Composición!G1183</f>
        <v>66816472</v>
      </c>
      <c r="E1019" s="610">
        <f>+Composición!J1172+Composición!J1175+Composición!J1183+Composición!J1182</f>
        <v>74657213</v>
      </c>
      <c r="F1019" s="184"/>
      <c r="G1019" s="184"/>
      <c r="H1019" s="184"/>
      <c r="I1019" s="184"/>
      <c r="J1019" s="184"/>
      <c r="K1019" s="184"/>
    </row>
    <row r="1020" spans="3:11">
      <c r="C1020" s="603" t="s">
        <v>1982</v>
      </c>
      <c r="D1020" s="610">
        <f>+Composición!G965+Composición!G966</f>
        <v>29780942</v>
      </c>
      <c r="E1020" s="1391">
        <f>+Composición!J965+Composición!J966</f>
        <v>0</v>
      </c>
      <c r="F1020" s="184"/>
      <c r="G1020" s="184"/>
      <c r="H1020" s="184"/>
      <c r="I1020" s="184"/>
      <c r="J1020" s="184"/>
      <c r="K1020" s="184"/>
    </row>
    <row r="1021" spans="3:11">
      <c r="C1021" s="603" t="s">
        <v>3080</v>
      </c>
      <c r="D1021" s="610">
        <f>+Composición!G1197+Composición!G1198</f>
        <v>20539558</v>
      </c>
      <c r="E1021" s="1390">
        <f>+Composición!J1197+Composición!J1198</f>
        <v>38139644</v>
      </c>
      <c r="F1021" s="255"/>
      <c r="G1021" s="255"/>
      <c r="H1021" s="255"/>
      <c r="I1021" s="184"/>
      <c r="J1021" s="184"/>
      <c r="K1021" s="184"/>
    </row>
    <row r="1022" spans="3:11">
      <c r="C1022" s="603" t="s">
        <v>1993</v>
      </c>
      <c r="D1022" s="610">
        <f>+Composición!G950+Composición!G959</f>
        <v>15109552</v>
      </c>
      <c r="E1022" s="610">
        <f>+Composición!J950</f>
        <v>30167037</v>
      </c>
      <c r="F1022" s="184"/>
      <c r="G1022" s="184"/>
      <c r="H1022" s="184"/>
      <c r="I1022" s="184"/>
      <c r="J1022" s="184"/>
      <c r="K1022" s="184"/>
    </row>
    <row r="1023" spans="3:11">
      <c r="C1023" s="603" t="s">
        <v>3081</v>
      </c>
      <c r="D1023" s="857">
        <f>+Composición!G1222</f>
        <v>0</v>
      </c>
      <c r="E1023" s="610">
        <f>+Composición!J1222</f>
        <v>149173170</v>
      </c>
      <c r="F1023" s="184"/>
      <c r="G1023" s="184"/>
      <c r="H1023" s="184"/>
      <c r="I1023" s="184"/>
      <c r="J1023" s="184"/>
      <c r="K1023" s="184"/>
    </row>
    <row r="1024" spans="3:11">
      <c r="C1024" s="602" t="s">
        <v>1987</v>
      </c>
      <c r="D1024" s="857"/>
      <c r="E1024" s="1449"/>
      <c r="F1024" s="184"/>
      <c r="G1024" s="184"/>
      <c r="H1024" s="184"/>
      <c r="I1024" s="184"/>
      <c r="J1024" s="184"/>
      <c r="K1024" s="184"/>
    </row>
    <row r="1025" spans="3:11" hidden="1">
      <c r="C1025" s="603" t="s">
        <v>1988</v>
      </c>
      <c r="D1025" s="857">
        <v>0</v>
      </c>
      <c r="E1025" s="1391">
        <v>0</v>
      </c>
      <c r="F1025" s="184"/>
      <c r="G1025" s="184"/>
      <c r="H1025" s="184"/>
      <c r="I1025" s="184"/>
      <c r="J1025" s="184"/>
      <c r="K1025" s="184"/>
    </row>
    <row r="1026" spans="3:11">
      <c r="C1026" s="603" t="s">
        <v>3082</v>
      </c>
      <c r="D1026" s="610">
        <f>+Composición!G1007+Composición!G1015</f>
        <v>127411610</v>
      </c>
      <c r="E1026" s="610">
        <f>+Composición!J1007+Composición!J1015</f>
        <v>27902891</v>
      </c>
      <c r="F1026" s="184"/>
      <c r="G1026" s="184"/>
      <c r="H1026" s="184"/>
      <c r="I1026" s="184"/>
      <c r="J1026" s="184"/>
      <c r="K1026" s="184"/>
    </row>
    <row r="1027" spans="3:11" hidden="1">
      <c r="C1027" s="603" t="s">
        <v>1986</v>
      </c>
      <c r="D1027" s="857">
        <v>0</v>
      </c>
      <c r="E1027" s="857">
        <f>+Composición!J1136</f>
        <v>0</v>
      </c>
      <c r="F1027" s="184"/>
      <c r="G1027" s="184"/>
      <c r="H1027" s="184"/>
      <c r="I1027" s="184"/>
      <c r="J1027" s="184"/>
      <c r="K1027" s="184"/>
    </row>
    <row r="1028" spans="3:11">
      <c r="C1028" s="603" t="s">
        <v>3159</v>
      </c>
      <c r="D1028" s="610">
        <f>+Composición!G951</f>
        <v>23718652</v>
      </c>
      <c r="E1028" s="610">
        <f>+Composición!J951</f>
        <v>7500000</v>
      </c>
      <c r="F1028" s="184"/>
      <c r="G1028" s="184"/>
      <c r="H1028" s="184"/>
      <c r="I1028" s="184"/>
      <c r="J1028" s="184"/>
      <c r="K1028" s="184"/>
    </row>
    <row r="1029" spans="3:11">
      <c r="C1029" s="603" t="s">
        <v>3078</v>
      </c>
      <c r="D1029" s="610">
        <f>+Composición!G1151</f>
        <v>6025533</v>
      </c>
      <c r="E1029" s="610">
        <f>+Composición!J1151</f>
        <v>1531841</v>
      </c>
      <c r="F1029" s="184"/>
      <c r="G1029" s="184"/>
      <c r="H1029" s="184"/>
      <c r="I1029" s="184"/>
      <c r="J1029" s="184"/>
      <c r="K1029" s="184"/>
    </row>
    <row r="1030" spans="3:11">
      <c r="C1030" s="603" t="s">
        <v>3079</v>
      </c>
      <c r="D1030" s="610">
        <f>+Composición!G1173</f>
        <v>1506384</v>
      </c>
      <c r="E1030" s="610">
        <f>+Composición!J1173</f>
        <v>382960</v>
      </c>
      <c r="F1030" s="184"/>
      <c r="G1030" s="184"/>
      <c r="H1030" s="184"/>
      <c r="I1030" s="184"/>
      <c r="J1030" s="184"/>
      <c r="K1030" s="184"/>
    </row>
    <row r="1031" spans="3:11">
      <c r="C1031" s="602" t="s">
        <v>1990</v>
      </c>
      <c r="D1031" s="857"/>
      <c r="E1031" s="1391"/>
      <c r="F1031" s="184"/>
      <c r="G1031" s="184"/>
      <c r="H1031" s="184"/>
      <c r="I1031" s="184"/>
      <c r="J1031" s="184"/>
      <c r="K1031" s="184"/>
    </row>
    <row r="1032" spans="3:11" hidden="1">
      <c r="C1032" s="603" t="s">
        <v>1989</v>
      </c>
      <c r="D1032" s="857">
        <f>+Composición!G1017</f>
        <v>0</v>
      </c>
      <c r="E1032" s="857">
        <f>+Composición!J1017</f>
        <v>0</v>
      </c>
      <c r="F1032" s="184"/>
      <c r="G1032" s="184"/>
      <c r="H1032" s="184"/>
      <c r="I1032" s="184"/>
      <c r="J1032" s="184"/>
      <c r="K1032" s="184"/>
    </row>
    <row r="1033" spans="3:11">
      <c r="C1033" s="603" t="s">
        <v>3083</v>
      </c>
      <c r="D1033" s="610">
        <f>+Composición!G1024+Composición!G1025+Composición!G1026+Composición!G1027</f>
        <v>18752636704</v>
      </c>
      <c r="E1033" s="610">
        <f>+Composición!J1024+Composición!J1025+Composición!J1026+Composición!J1027</f>
        <v>10581409398</v>
      </c>
      <c r="F1033" s="184"/>
      <c r="G1033" s="184"/>
      <c r="H1033" s="184"/>
      <c r="I1033" s="184"/>
      <c r="J1033" s="184"/>
      <c r="K1033" s="184"/>
    </row>
    <row r="1034" spans="3:11">
      <c r="C1034" s="603" t="s">
        <v>1991</v>
      </c>
      <c r="D1034" s="610">
        <v>0</v>
      </c>
      <c r="E1034" s="857">
        <v>0</v>
      </c>
      <c r="F1034" s="184"/>
      <c r="G1034" s="184"/>
      <c r="H1034" s="184"/>
      <c r="I1034" s="184"/>
      <c r="J1034" s="184"/>
      <c r="K1034" s="184"/>
    </row>
    <row r="1035" spans="3:11">
      <c r="C1035" s="602" t="s">
        <v>1992</v>
      </c>
      <c r="D1035" s="857"/>
      <c r="E1035" s="1391"/>
      <c r="F1035" s="184"/>
      <c r="G1035" s="184"/>
      <c r="H1035" s="184"/>
      <c r="I1035" s="184"/>
      <c r="J1035" s="184"/>
      <c r="K1035" s="184"/>
    </row>
    <row r="1036" spans="3:11">
      <c r="C1036" s="603" t="s">
        <v>3082</v>
      </c>
      <c r="D1036" s="610">
        <f>+Composición!G1010</f>
        <v>20992641</v>
      </c>
      <c r="E1036" s="610">
        <f>+Composición!J1010</f>
        <v>18651068</v>
      </c>
      <c r="F1036" s="184"/>
      <c r="G1036" s="184"/>
      <c r="H1036" s="184"/>
      <c r="I1036" s="184"/>
      <c r="J1036" s="184"/>
      <c r="K1036" s="184"/>
    </row>
    <row r="1037" spans="3:11">
      <c r="C1037" s="603" t="s">
        <v>1993</v>
      </c>
      <c r="D1037" s="610">
        <f>+Composición!G987+Composición!G939+Composición!G955</f>
        <v>14080011</v>
      </c>
      <c r="E1037" s="610">
        <f>+Composición!J987+Composición!J955++Composición!J939</f>
        <v>143319571</v>
      </c>
      <c r="F1037" s="184"/>
      <c r="G1037" s="184"/>
      <c r="H1037" s="184"/>
      <c r="I1037" s="184"/>
      <c r="J1037" s="184"/>
      <c r="K1037" s="184"/>
    </row>
    <row r="1038" spans="3:11">
      <c r="C1038" s="603" t="s">
        <v>3078</v>
      </c>
      <c r="D1038" s="610">
        <f>+Composición!G1156</f>
        <v>467667</v>
      </c>
      <c r="E1038" s="610">
        <f>+Composición!J1156</f>
        <v>2899811</v>
      </c>
      <c r="F1038" s="184"/>
      <c r="G1038" s="184"/>
      <c r="H1038" s="184"/>
      <c r="I1038" s="184"/>
      <c r="J1038" s="184"/>
      <c r="K1038" s="184"/>
    </row>
    <row r="1039" spans="3:11">
      <c r="C1039" s="603" t="s">
        <v>3079</v>
      </c>
      <c r="D1039" s="610">
        <f>+Composición!G1178</f>
        <v>51133</v>
      </c>
      <c r="E1039" s="610">
        <f>+Composición!J1178</f>
        <v>608057</v>
      </c>
      <c r="F1039" s="184"/>
      <c r="G1039" s="184"/>
      <c r="H1039" s="184"/>
      <c r="I1039" s="184"/>
      <c r="J1039" s="184"/>
      <c r="K1039" s="184"/>
    </row>
    <row r="1040" spans="3:11" ht="16.2" thickBot="1">
      <c r="C1040" s="603"/>
      <c r="D1040" s="1165"/>
      <c r="E1040" s="1450"/>
      <c r="F1040" s="255"/>
      <c r="G1040" s="184"/>
      <c r="H1040" s="184"/>
      <c r="I1040" s="184"/>
      <c r="J1040" s="184"/>
      <c r="K1040" s="184"/>
    </row>
    <row r="1041" spans="3:11" ht="31.8" thickBot="1">
      <c r="C1041" s="493" t="s">
        <v>1994</v>
      </c>
      <c r="D1041" s="605">
        <f>SUM(D1011:D1040)</f>
        <v>22835584350</v>
      </c>
      <c r="E1041" s="606">
        <f>SUM(E1011:E1040)</f>
        <v>12244726334</v>
      </c>
      <c r="F1041" s="379">
        <f>+D1041-'Estado de Resultados'!E24</f>
        <v>0</v>
      </c>
      <c r="G1041" s="379">
        <f>+E1041-'Estado de Resultados'!F24</f>
        <v>0</v>
      </c>
      <c r="H1041" s="184"/>
      <c r="I1041" s="184"/>
      <c r="J1041" s="184"/>
      <c r="K1041" s="184"/>
    </row>
    <row r="1042" spans="3:11">
      <c r="C1042" s="493"/>
      <c r="D1042" s="604"/>
      <c r="E1042" s="604"/>
      <c r="F1042" s="255"/>
      <c r="G1042" s="255"/>
      <c r="H1042" s="184"/>
      <c r="I1042" s="184"/>
      <c r="J1042" s="184"/>
      <c r="K1042" s="184"/>
    </row>
    <row r="1043" spans="3:11">
      <c r="C1043" s="602" t="s">
        <v>1981</v>
      </c>
      <c r="D1043" s="857"/>
      <c r="E1043" s="1391"/>
      <c r="F1043" s="184"/>
      <c r="G1043" s="184"/>
      <c r="H1043" s="184"/>
      <c r="I1043" s="184"/>
      <c r="J1043" s="184"/>
      <c r="K1043" s="184"/>
    </row>
    <row r="1044" spans="3:11">
      <c r="C1044" s="603" t="s">
        <v>3156</v>
      </c>
      <c r="D1044" s="610">
        <f>+Composición!G1124</f>
        <v>47232440</v>
      </c>
      <c r="E1044" s="610">
        <f>+Composición!J1124</f>
        <v>27332981</v>
      </c>
      <c r="F1044" s="184"/>
      <c r="G1044" s="184"/>
      <c r="H1044" s="184"/>
      <c r="I1044" s="184"/>
      <c r="J1044" s="184"/>
      <c r="K1044" s="184"/>
    </row>
    <row r="1045" spans="3:11" ht="19.8" customHeight="1">
      <c r="C1045" s="603" t="s">
        <v>3075</v>
      </c>
      <c r="D1045" s="610">
        <f>+Composición!G1105+Composición!G1106+Composición!G1107</f>
        <v>38735601</v>
      </c>
      <c r="E1045" s="610">
        <f>+Composición!J1105+Composición!J1106+Composición!J1107+Composición!J1115</f>
        <v>38526151</v>
      </c>
      <c r="F1045" s="184"/>
      <c r="G1045" s="184"/>
      <c r="H1045" s="184"/>
      <c r="I1045" s="184"/>
      <c r="J1045" s="184"/>
      <c r="K1045" s="184"/>
    </row>
    <row r="1046" spans="3:11">
      <c r="C1046" s="603" t="s">
        <v>3084</v>
      </c>
      <c r="D1046" s="857">
        <f>+Composición!G1104</f>
        <v>0</v>
      </c>
      <c r="E1046" s="610">
        <f>+Composición!J1104</f>
        <v>7276471</v>
      </c>
      <c r="F1046" s="184"/>
      <c r="G1046" s="184"/>
      <c r="H1046" s="184"/>
      <c r="I1046" s="184"/>
      <c r="J1046" s="184"/>
      <c r="K1046" s="184"/>
    </row>
    <row r="1047" spans="3:11">
      <c r="C1047" s="602" t="s">
        <v>1995</v>
      </c>
      <c r="D1047" s="857"/>
      <c r="E1047" s="1391"/>
      <c r="F1047" s="184"/>
      <c r="G1047" s="184"/>
      <c r="H1047" s="184"/>
      <c r="I1047" s="184"/>
      <c r="J1047" s="184"/>
      <c r="K1047" s="184"/>
    </row>
    <row r="1048" spans="3:11">
      <c r="C1048" s="603" t="s">
        <v>1997</v>
      </c>
      <c r="D1048" s="610">
        <f>+Composición!G1126</f>
        <v>165471322</v>
      </c>
      <c r="E1048" s="857">
        <f>+Composición!J1126</f>
        <v>0</v>
      </c>
      <c r="F1048" s="184"/>
      <c r="G1048" s="184"/>
      <c r="H1048" s="184"/>
      <c r="I1048" s="184"/>
      <c r="J1048" s="184"/>
      <c r="K1048" s="184"/>
    </row>
    <row r="1049" spans="3:11">
      <c r="C1049" s="603" t="s">
        <v>1996</v>
      </c>
      <c r="D1049" s="610">
        <f>+Composición!G1125</f>
        <v>18909111</v>
      </c>
      <c r="E1049" s="1391">
        <f>+Composición!J1125</f>
        <v>0</v>
      </c>
      <c r="F1049" s="1328"/>
      <c r="G1049" s="184"/>
      <c r="H1049" s="184"/>
      <c r="I1049" s="184"/>
      <c r="J1049" s="184"/>
      <c r="K1049" s="184"/>
    </row>
    <row r="1050" spans="3:11">
      <c r="C1050" s="603" t="s">
        <v>3085</v>
      </c>
      <c r="D1050" s="610">
        <f>+Composición!G1128</f>
        <v>3554177</v>
      </c>
      <c r="E1050" s="857">
        <f>+Composición!J1128</f>
        <v>0</v>
      </c>
      <c r="F1050" s="1328"/>
      <c r="G1050" s="184"/>
      <c r="H1050" s="184"/>
      <c r="I1050" s="184"/>
      <c r="J1050" s="184"/>
      <c r="K1050" s="184"/>
    </row>
    <row r="1051" spans="3:11">
      <c r="C1051" s="603" t="s">
        <v>3086</v>
      </c>
      <c r="D1051" s="610">
        <f>+Composición!G1127</f>
        <v>1048450</v>
      </c>
      <c r="E1051" s="857">
        <v>0</v>
      </c>
      <c r="F1051" s="1328"/>
      <c r="G1051" s="184"/>
      <c r="H1051" s="184"/>
      <c r="I1051" s="184"/>
      <c r="J1051" s="184"/>
      <c r="K1051" s="184"/>
    </row>
    <row r="1052" spans="3:11">
      <c r="C1052" s="603" t="s">
        <v>3157</v>
      </c>
      <c r="D1052" s="610">
        <f>+Composición!G1117</f>
        <v>1433416</v>
      </c>
      <c r="E1052" s="857">
        <f>+Composición!J1117</f>
        <v>0</v>
      </c>
      <c r="F1052" s="1328"/>
      <c r="G1052" s="184"/>
      <c r="H1052" s="184"/>
      <c r="I1052" s="184"/>
      <c r="J1052" s="184"/>
      <c r="K1052" s="184"/>
    </row>
    <row r="1053" spans="3:11">
      <c r="C1053" s="603" t="s">
        <v>3160</v>
      </c>
      <c r="D1053" s="610">
        <f>+Composición!G1122</f>
        <v>22491029</v>
      </c>
      <c r="E1053" s="610">
        <f>+Composición!J1122</f>
        <v>3718437</v>
      </c>
      <c r="F1053" s="1328"/>
      <c r="G1053" s="184"/>
      <c r="H1053" s="184"/>
      <c r="I1053" s="184"/>
      <c r="J1053" s="184"/>
      <c r="K1053" s="184"/>
    </row>
    <row r="1054" spans="3:11">
      <c r="C1054" s="602" t="s">
        <v>1987</v>
      </c>
      <c r="D1054" s="857"/>
      <c r="E1054" s="610"/>
      <c r="F1054" s="1328"/>
      <c r="G1054" s="184"/>
      <c r="H1054" s="184"/>
      <c r="I1054" s="184"/>
      <c r="J1054" s="184"/>
      <c r="K1054" s="184"/>
    </row>
    <row r="1055" spans="3:11">
      <c r="C1055" s="603" t="s">
        <v>3075</v>
      </c>
      <c r="D1055" s="610">
        <f>+Composición!G1111+Composición!G1115+Composición!G1114</f>
        <v>82990821</v>
      </c>
      <c r="E1055" s="610">
        <f>+Composición!J1111</f>
        <v>12789924</v>
      </c>
      <c r="F1055" s="1328"/>
      <c r="G1055" s="184"/>
      <c r="H1055" s="184"/>
      <c r="I1055" s="184"/>
      <c r="J1055" s="184"/>
      <c r="K1055" s="184"/>
    </row>
    <row r="1056" spans="3:11">
      <c r="C1056" s="602" t="s">
        <v>1992</v>
      </c>
      <c r="D1056" s="857"/>
      <c r="E1056" s="1391"/>
      <c r="F1056" s="1328"/>
      <c r="G1056" s="184"/>
      <c r="H1056" s="184"/>
      <c r="I1056" s="184"/>
      <c r="J1056" s="184"/>
      <c r="K1056" s="184"/>
    </row>
    <row r="1057" spans="3:11">
      <c r="C1057" s="603" t="s">
        <v>3075</v>
      </c>
      <c r="D1057" s="610">
        <f>+Composición!G1118+Composición!G1119+Composición!G1120+Composición!G1121</f>
        <v>5</v>
      </c>
      <c r="E1057" s="610">
        <f>+Composición!J1118+Composición!J1119+Composición!J1120+Composición!J1121</f>
        <v>87998788</v>
      </c>
      <c r="F1057" s="1328"/>
      <c r="G1057" s="184"/>
      <c r="H1057" s="184"/>
      <c r="I1057" s="184"/>
      <c r="J1057" s="184"/>
      <c r="K1057" s="184"/>
    </row>
    <row r="1058" spans="3:11" ht="16.2" thickBot="1">
      <c r="C1058" s="603"/>
      <c r="D1058" s="1165"/>
      <c r="E1058" s="1451"/>
      <c r="F1058" s="1328"/>
      <c r="G1058" s="184"/>
      <c r="H1058" s="184"/>
      <c r="I1058" s="184"/>
      <c r="J1058" s="184"/>
      <c r="K1058" s="184"/>
    </row>
    <row r="1059" spans="3:11" ht="31.8" thickBot="1">
      <c r="C1059" s="493" t="s">
        <v>1998</v>
      </c>
      <c r="D1059" s="605">
        <f>SUM(D1043:D1058)</f>
        <v>381866372</v>
      </c>
      <c r="E1059" s="605">
        <f>SUM(E1043:E1058)</f>
        <v>177642752</v>
      </c>
      <c r="F1059" s="379">
        <f>+D1059-'Estado de Resultados'!E23</f>
        <v>0</v>
      </c>
      <c r="G1059" s="379">
        <f>+E1059-'Estado de Resultados'!F23</f>
        <v>0</v>
      </c>
      <c r="H1059" s="253"/>
      <c r="I1059" s="184"/>
      <c r="J1059" s="184"/>
      <c r="K1059" s="184"/>
    </row>
    <row r="1060" spans="3:11">
      <c r="C1060" s="493"/>
      <c r="D1060" s="768"/>
      <c r="E1060" s="769"/>
      <c r="F1060" s="379"/>
      <c r="G1060" s="379"/>
      <c r="H1060" s="184"/>
      <c r="I1060" s="184"/>
      <c r="J1060" s="184"/>
      <c r="K1060" s="184"/>
    </row>
    <row r="1061" spans="3:11" ht="31.8" thickBot="1">
      <c r="C1061" s="493" t="s">
        <v>1999</v>
      </c>
      <c r="D1061" s="766">
        <f>+D1041+D1059</f>
        <v>23217450722</v>
      </c>
      <c r="E1061" s="767">
        <f>+E1041+E1059</f>
        <v>12422369086</v>
      </c>
      <c r="F1061" s="379"/>
      <c r="G1061" s="379"/>
      <c r="H1061" s="184"/>
      <c r="I1061" s="184"/>
      <c r="J1061" s="184"/>
      <c r="K1061" s="184"/>
    </row>
    <row r="1062" spans="3:11">
      <c r="C1062" s="493"/>
      <c r="D1062" s="533"/>
      <c r="E1062" s="533"/>
      <c r="F1062" s="1328"/>
      <c r="G1062" s="184"/>
      <c r="H1062" s="184"/>
      <c r="I1062" s="184"/>
      <c r="J1062" s="184"/>
      <c r="K1062" s="184"/>
    </row>
    <row r="1063" spans="3:11">
      <c r="C1063" s="602" t="s">
        <v>2000</v>
      </c>
      <c r="D1063" s="857"/>
      <c r="E1063" s="1390"/>
      <c r="F1063" s="184"/>
      <c r="G1063" s="184"/>
      <c r="H1063" s="184"/>
      <c r="I1063" s="184"/>
      <c r="J1063" s="184"/>
      <c r="K1063" s="184"/>
    </row>
    <row r="1064" spans="3:11">
      <c r="C1064" s="603" t="s">
        <v>333</v>
      </c>
      <c r="D1064" s="610">
        <f>+'Intereses 2024'!D378</f>
        <v>1566695313.7383916</v>
      </c>
      <c r="E1064" s="610">
        <f>++'Intereses 2023'!C201</f>
        <v>252540892.89399883</v>
      </c>
      <c r="F1064" s="184"/>
      <c r="G1064" s="184"/>
      <c r="H1064" s="184"/>
      <c r="I1064" s="184"/>
      <c r="J1064" s="184"/>
      <c r="K1064" s="184"/>
    </row>
    <row r="1065" spans="3:11">
      <c r="C1065" s="602" t="s">
        <v>2001</v>
      </c>
      <c r="D1065" s="857"/>
      <c r="E1065" s="1391"/>
      <c r="F1065" s="184"/>
      <c r="G1065" s="184"/>
      <c r="H1065" s="184"/>
      <c r="I1065" s="184"/>
      <c r="J1065" s="184"/>
      <c r="K1065" s="184"/>
    </row>
    <row r="1066" spans="3:11" hidden="1">
      <c r="C1066" s="603" t="s">
        <v>2002</v>
      </c>
      <c r="D1066" s="857">
        <v>0</v>
      </c>
      <c r="E1066" s="857"/>
      <c r="F1066" s="184"/>
      <c r="G1066" s="184"/>
      <c r="H1066" s="184"/>
      <c r="I1066" s="184"/>
      <c r="J1066" s="184"/>
      <c r="K1066" s="184"/>
    </row>
    <row r="1067" spans="3:11" hidden="1">
      <c r="C1067" s="603" t="s">
        <v>1984</v>
      </c>
      <c r="D1067" s="857">
        <v>0</v>
      </c>
      <c r="E1067" s="857"/>
      <c r="F1067" s="184"/>
      <c r="G1067" s="184"/>
      <c r="H1067" s="184"/>
      <c r="I1067" s="184"/>
      <c r="J1067" s="184"/>
      <c r="K1067" s="184"/>
    </row>
    <row r="1068" spans="3:11" hidden="1">
      <c r="C1068" s="603" t="s">
        <v>1985</v>
      </c>
      <c r="D1068" s="857">
        <v>0</v>
      </c>
      <c r="E1068" s="857"/>
      <c r="F1068" s="184"/>
      <c r="G1068" s="184"/>
      <c r="H1068" s="184"/>
      <c r="I1068" s="184"/>
      <c r="J1068" s="184"/>
      <c r="K1068" s="184"/>
    </row>
    <row r="1069" spans="3:11" ht="16.2" thickBot="1">
      <c r="C1069" s="603" t="s">
        <v>3076</v>
      </c>
      <c r="D1069" s="610">
        <f>+'Intereses 2024'!D379</f>
        <v>2574963396.0576</v>
      </c>
      <c r="E1069" s="610">
        <f>+'Intereses 2023'!E25</f>
        <v>560878897.60767138</v>
      </c>
      <c r="F1069" s="184"/>
      <c r="G1069" s="184"/>
      <c r="H1069" s="184"/>
      <c r="I1069" s="184"/>
      <c r="J1069" s="184"/>
      <c r="K1069" s="184"/>
    </row>
    <row r="1070" spans="3:11" ht="16.2" hidden="1" thickBot="1">
      <c r="C1070" s="602" t="s">
        <v>2003</v>
      </c>
      <c r="D1070" s="983"/>
      <c r="E1070" s="610"/>
      <c r="F1070" s="1392"/>
      <c r="G1070" s="184"/>
      <c r="H1070" s="184"/>
      <c r="I1070" s="184"/>
      <c r="J1070" s="184"/>
      <c r="K1070" s="184"/>
    </row>
    <row r="1071" spans="3:11" ht="16.2" hidden="1" thickBot="1">
      <c r="C1071" s="603" t="s">
        <v>2002</v>
      </c>
      <c r="D1071" s="857">
        <v>0</v>
      </c>
      <c r="E1071" s="610">
        <v>0</v>
      </c>
      <c r="F1071" s="262"/>
      <c r="G1071" s="262"/>
      <c r="H1071" s="184"/>
      <c r="I1071" s="184"/>
      <c r="J1071" s="184"/>
      <c r="K1071" s="184"/>
    </row>
    <row r="1072" spans="3:11" ht="16.2" hidden="1" thickBot="1">
      <c r="C1072" s="603" t="s">
        <v>2004</v>
      </c>
      <c r="D1072" s="857">
        <v>0</v>
      </c>
      <c r="E1072" s="857">
        <v>0</v>
      </c>
      <c r="F1072" s="262"/>
      <c r="G1072" s="262"/>
      <c r="H1072" s="184"/>
      <c r="I1072" s="184"/>
      <c r="J1072" s="184"/>
      <c r="K1072" s="184"/>
    </row>
    <row r="1073" spans="3:11" ht="16.2" hidden="1" thickBot="1">
      <c r="C1073" s="603" t="s">
        <v>1984</v>
      </c>
      <c r="D1073" s="857">
        <v>0</v>
      </c>
      <c r="E1073" s="857">
        <v>0</v>
      </c>
      <c r="F1073" s="262"/>
      <c r="G1073" s="262"/>
      <c r="H1073" s="253"/>
      <c r="I1073" s="184"/>
      <c r="J1073" s="184"/>
      <c r="K1073" s="184"/>
    </row>
    <row r="1074" spans="3:11" ht="16.2" hidden="1" thickBot="1">
      <c r="C1074" s="603" t="s">
        <v>1985</v>
      </c>
      <c r="D1074" s="857">
        <v>0</v>
      </c>
      <c r="E1074" s="857">
        <v>0</v>
      </c>
      <c r="F1074" s="262"/>
      <c r="G1074" s="262"/>
      <c r="H1074" s="255"/>
      <c r="I1074" s="184"/>
      <c r="J1074" s="184"/>
      <c r="K1074" s="184"/>
    </row>
    <row r="1075" spans="3:11" ht="31.8" thickBot="1">
      <c r="C1075" s="493" t="s">
        <v>2005</v>
      </c>
      <c r="D1075" s="1393">
        <f>SUM(D1062:D1071)</f>
        <v>4141658709.7959919</v>
      </c>
      <c r="E1075" s="1393">
        <f>SUM(E1063:E1074)</f>
        <v>813419790.50167024</v>
      </c>
      <c r="F1075" s="968"/>
      <c r="G1075" s="968"/>
      <c r="H1075" s="184"/>
      <c r="I1075" s="184"/>
      <c r="J1075" s="184"/>
      <c r="K1075" s="184"/>
    </row>
    <row r="1076" spans="3:11" ht="16.2" thickBot="1">
      <c r="C1076" s="603"/>
      <c r="D1076" s="1394"/>
      <c r="E1076" s="1395"/>
      <c r="F1076" s="184"/>
      <c r="G1076" s="184"/>
      <c r="H1076" s="184"/>
      <c r="I1076" s="184"/>
      <c r="J1076" s="184"/>
      <c r="K1076" s="184"/>
    </row>
    <row r="1077" spans="3:11" ht="16.2" thickBot="1">
      <c r="C1077" s="1396" t="s">
        <v>2006</v>
      </c>
      <c r="D1077" s="984">
        <f>+D1061+D1075</f>
        <v>27359109431.79599</v>
      </c>
      <c r="E1077" s="984">
        <f>+E1061+E1075</f>
        <v>13235788876.501671</v>
      </c>
      <c r="F1077" s="1397"/>
      <c r="G1077" s="1397"/>
      <c r="H1077" s="184"/>
      <c r="I1077" s="184"/>
      <c r="J1077" s="184"/>
      <c r="K1077" s="184"/>
    </row>
    <row r="1078" spans="3:11" ht="16.2" thickTop="1">
      <c r="C1078" s="603"/>
      <c r="D1078" s="533"/>
      <c r="E1078" s="658"/>
      <c r="F1078" s="1328"/>
      <c r="G1078" s="1328"/>
      <c r="H1078" s="184"/>
      <c r="I1078" s="184"/>
      <c r="J1078" s="184"/>
      <c r="K1078" s="184"/>
    </row>
    <row r="1079" spans="3:11">
      <c r="C1079" s="602" t="s">
        <v>395</v>
      </c>
      <c r="D1079" s="609"/>
      <c r="E1079" s="609"/>
      <c r="F1079" s="590"/>
      <c r="G1079" s="590"/>
      <c r="H1079" s="184"/>
      <c r="I1079" s="184"/>
      <c r="J1079" s="184"/>
      <c r="K1079" s="184"/>
    </row>
    <row r="1080" spans="3:11">
      <c r="C1080" s="602" t="s">
        <v>1981</v>
      </c>
      <c r="D1080" s="607"/>
      <c r="E1080" s="607"/>
      <c r="F1080" s="590"/>
      <c r="G1080" s="590"/>
      <c r="H1080" s="184"/>
      <c r="I1080" s="184"/>
      <c r="J1080" s="184"/>
      <c r="K1080" s="184"/>
    </row>
    <row r="1081" spans="3:11">
      <c r="C1081" s="603" t="s">
        <v>1060</v>
      </c>
      <c r="D1081" s="1390">
        <f>+Composición!G1370+Composición!G1392+Composición!G1393+Composición!G1394+Composición!G1395+Composición!G1424+Composición!G1429+Composición!G1430+Composición!G1431+Composición!G1450+Composición!G1451+Composición!G1457+Composición!G1465+Composición!G1466+Composición!G1469+Composición!G1472</f>
        <v>2221351396</v>
      </c>
      <c r="E1081" s="610">
        <f>+Composición!J1370+Composición!J1392+Composición!J1393+Composición!J1394+Composición!J1395+Composición!J1424+Composición!J1429+Composición!J1430+Composición!J1431+Composición!J1450+Composición!J1451+Composición!J1457+Composición!J1465+Composición!J1466+Composición!J1469+Composición!J1472</f>
        <v>2016709536</v>
      </c>
      <c r="F1081" s="1328"/>
      <c r="G1081" s="1328"/>
      <c r="H1081" s="184"/>
      <c r="I1081" s="184"/>
      <c r="J1081" s="184"/>
      <c r="K1081" s="184"/>
    </row>
    <row r="1082" spans="3:11">
      <c r="C1082" s="603" t="s">
        <v>3072</v>
      </c>
      <c r="D1082" s="1390">
        <f>+Composición!G1480</f>
        <v>1763637804</v>
      </c>
      <c r="E1082" s="1390">
        <f>+Composición!J1480</f>
        <v>491074903</v>
      </c>
      <c r="F1082" s="590"/>
      <c r="G1082" s="590"/>
      <c r="H1082" s="184"/>
      <c r="I1082" s="184"/>
      <c r="J1082" s="184"/>
      <c r="K1082" s="184"/>
    </row>
    <row r="1083" spans="3:11">
      <c r="C1083" s="603" t="s">
        <v>2007</v>
      </c>
      <c r="D1083" s="1390">
        <f>+Composición!G1237</f>
        <v>446163677</v>
      </c>
      <c r="E1083" s="1390">
        <f>+Composición!J1237</f>
        <v>199354978</v>
      </c>
      <c r="F1083" s="1384"/>
      <c r="G1083" s="1328"/>
      <c r="H1083" s="184"/>
      <c r="I1083" s="184"/>
      <c r="J1083" s="184"/>
      <c r="K1083" s="184"/>
    </row>
    <row r="1084" spans="3:11">
      <c r="C1084" s="603" t="s">
        <v>3073</v>
      </c>
      <c r="D1084" s="1390">
        <f>+Composición!G1326</f>
        <v>229370770</v>
      </c>
      <c r="E1084" s="1390">
        <f>+Composición!J1326</f>
        <v>45992420</v>
      </c>
      <c r="F1084" s="1328"/>
      <c r="G1084" s="1328"/>
      <c r="H1084" s="184"/>
      <c r="I1084" s="184"/>
      <c r="J1084" s="184"/>
      <c r="K1084" s="184"/>
    </row>
    <row r="1085" spans="3:11">
      <c r="C1085" s="603" t="s">
        <v>3087</v>
      </c>
      <c r="D1085" s="1390">
        <f>+Composición!G1482+Composición!G1483</f>
        <v>60889923</v>
      </c>
      <c r="E1085" s="1390">
        <f>+Composición!J1482+Composición!J1483</f>
        <v>25064159</v>
      </c>
      <c r="F1085" s="1328"/>
      <c r="G1085" s="1328"/>
      <c r="H1085" s="184"/>
      <c r="I1085" s="184"/>
      <c r="J1085" s="184"/>
      <c r="K1085" s="184"/>
    </row>
    <row r="1086" spans="3:11">
      <c r="C1086" s="603" t="s">
        <v>3074</v>
      </c>
      <c r="D1086" s="1390">
        <f>+Composición!G1277+Composición!G1279+Composición!G1278+Composición!G1304</f>
        <v>36150109</v>
      </c>
      <c r="E1086" s="1390">
        <f>+Composición!J1277+Composición!J1279+Composición!J1278+Composición!J1304</f>
        <v>658264</v>
      </c>
      <c r="F1086" s="1328"/>
      <c r="G1086" s="1328"/>
      <c r="H1086" s="184"/>
      <c r="I1086" s="184"/>
      <c r="J1086" s="184"/>
      <c r="K1086" s="184"/>
    </row>
    <row r="1087" spans="3:11">
      <c r="C1087" s="602" t="s">
        <v>2008</v>
      </c>
      <c r="D1087" s="983"/>
      <c r="E1087" s="983"/>
      <c r="F1087" s="1328"/>
      <c r="G1087" s="1328"/>
      <c r="H1087" s="184"/>
      <c r="I1087" s="184"/>
      <c r="J1087" s="184"/>
      <c r="K1087" s="184"/>
    </row>
    <row r="1088" spans="3:11">
      <c r="C1088" s="603" t="s">
        <v>3126</v>
      </c>
      <c r="D1088" s="610">
        <f>Composición!G1345+Composición!G1349+Composición!G1351+Composición!G1353+Composición!G1378+Composición!G1372+Composición!G1381+Composición!G1367</f>
        <v>2578245917.4208336</v>
      </c>
      <c r="E1088" s="610">
        <f>Composición!J1345+Composición!J1349+Composición!J1351+Composición!J1353+Composición!J1378+Composición!J1372+Composición!J1381+Composición!J1367</f>
        <v>1986189516.3333333</v>
      </c>
      <c r="F1088" s="1328"/>
      <c r="G1088" s="1328"/>
      <c r="H1088" s="184"/>
      <c r="I1088" s="184"/>
      <c r="J1088" s="184"/>
      <c r="K1088" s="184"/>
    </row>
    <row r="1089" spans="3:11">
      <c r="C1089" s="603" t="s">
        <v>1063</v>
      </c>
      <c r="D1089" s="1390">
        <f>+Composición!G1379</f>
        <v>60000000</v>
      </c>
      <c r="E1089" s="1390">
        <f>+Composición!J1379</f>
        <v>60000000</v>
      </c>
      <c r="F1089" s="1328"/>
      <c r="G1089" s="1328"/>
      <c r="H1089" s="184"/>
      <c r="I1089" s="184"/>
      <c r="J1089" s="184"/>
      <c r="K1089" s="184"/>
    </row>
    <row r="1090" spans="3:11" ht="16.2" thickBot="1">
      <c r="C1090" s="608"/>
      <c r="D1090" s="611"/>
      <c r="E1090" s="612"/>
      <c r="F1090" s="379"/>
      <c r="G1090" s="379"/>
      <c r="H1090" s="184"/>
      <c r="I1090" s="184"/>
      <c r="J1090" s="184"/>
      <c r="K1090" s="184"/>
    </row>
    <row r="1091" spans="3:11" ht="16.2" thickBot="1">
      <c r="C1091" s="714" t="s">
        <v>2009</v>
      </c>
      <c r="D1091" s="984">
        <f>SUM(D1080:D1090)</f>
        <v>7395809596.4208336</v>
      </c>
      <c r="E1091" s="713">
        <f>SUM(E1079:E1090)</f>
        <v>4825043776.333333</v>
      </c>
      <c r="F1091" s="1328"/>
      <c r="G1091" s="1328"/>
      <c r="H1091" s="184"/>
      <c r="I1091" s="184"/>
      <c r="J1091" s="184"/>
      <c r="K1091" s="184"/>
    </row>
    <row r="1092" spans="3:11">
      <c r="C1092" s="710" t="s">
        <v>2010</v>
      </c>
      <c r="D1092" s="1386"/>
      <c r="E1092" s="1386"/>
      <c r="F1092" s="1384"/>
      <c r="G1092" s="1328"/>
      <c r="H1092" s="184"/>
      <c r="I1092" s="184"/>
      <c r="J1092" s="184"/>
      <c r="K1092" s="184"/>
    </row>
    <row r="1093" spans="3:11">
      <c r="C1093" s="613"/>
      <c r="D1093" s="383"/>
      <c r="E1093" s="383"/>
      <c r="F1093" s="1384"/>
      <c r="G1093" s="1328"/>
      <c r="H1093" s="184"/>
      <c r="I1093" s="184"/>
      <c r="J1093" s="184"/>
      <c r="K1093" s="184"/>
    </row>
    <row r="1094" spans="3:11">
      <c r="C1094" s="248"/>
      <c r="D1094" s="383"/>
      <c r="E1094" s="383"/>
      <c r="F1094" s="184"/>
      <c r="G1094" s="184"/>
      <c r="H1094" s="184"/>
      <c r="I1094" s="184"/>
      <c r="J1094" s="184"/>
      <c r="K1094" s="184"/>
    </row>
    <row r="1095" spans="3:11">
      <c r="C1095" s="245" t="s">
        <v>2011</v>
      </c>
      <c r="D1095" s="383"/>
      <c r="E1095" s="383"/>
      <c r="F1095" s="184"/>
      <c r="G1095" s="184"/>
      <c r="H1095" s="184"/>
      <c r="I1095" s="184"/>
      <c r="J1095" s="184"/>
      <c r="K1095" s="184"/>
    </row>
    <row r="1096" spans="3:11">
      <c r="C1096" s="245"/>
      <c r="D1096" s="383"/>
      <c r="E1096" s="383"/>
      <c r="F1096" s="184"/>
      <c r="G1096" s="184"/>
      <c r="H1096" s="184"/>
      <c r="I1096" s="184"/>
      <c r="J1096" s="184"/>
      <c r="K1096" s="184"/>
    </row>
    <row r="1097" spans="3:11">
      <c r="C1097" s="1552" t="s">
        <v>2012</v>
      </c>
      <c r="D1097" s="1552"/>
      <c r="E1097" s="383"/>
      <c r="F1097" s="184"/>
      <c r="G1097" s="184"/>
      <c r="H1097" s="184"/>
      <c r="I1097" s="184"/>
      <c r="J1097" s="184"/>
      <c r="K1097" s="184"/>
    </row>
    <row r="1098" spans="3:11">
      <c r="C1098" s="248" t="s">
        <v>2013</v>
      </c>
      <c r="D1098" s="383"/>
      <c r="E1098" s="383"/>
      <c r="F1098" s="184"/>
      <c r="G1098" s="184"/>
      <c r="H1098" s="184"/>
      <c r="I1098" s="184"/>
      <c r="J1098" s="184"/>
      <c r="K1098" s="184"/>
    </row>
    <row r="1099" spans="3:11">
      <c r="C1099" s="248"/>
      <c r="D1099" s="383"/>
      <c r="E1099" s="383"/>
      <c r="F1099" s="184"/>
      <c r="G1099" s="184"/>
      <c r="H1099" s="184"/>
      <c r="I1099" s="184"/>
      <c r="J1099" s="184"/>
      <c r="K1099" s="184"/>
    </row>
    <row r="1100" spans="3:11">
      <c r="C1100" s="245" t="s">
        <v>2014</v>
      </c>
      <c r="D1100" s="184"/>
      <c r="E1100" s="184"/>
      <c r="F1100" s="184"/>
      <c r="G1100" s="184"/>
      <c r="H1100" s="184"/>
      <c r="I1100" s="184"/>
      <c r="J1100" s="184"/>
      <c r="K1100" s="184"/>
    </row>
    <row r="1101" spans="3:11">
      <c r="C1101" s="248" t="s">
        <v>1913</v>
      </c>
      <c r="D1101" s="184"/>
      <c r="E1101" s="184"/>
      <c r="F1101" s="184"/>
      <c r="G1101" s="184"/>
      <c r="H1101" s="184"/>
      <c r="I1101" s="184"/>
      <c r="J1101" s="184"/>
      <c r="K1101" s="184"/>
    </row>
    <row r="1102" spans="3:11" ht="16.2" thickBot="1">
      <c r="C1102" s="245"/>
      <c r="D1102" s="184"/>
      <c r="E1102" s="184"/>
      <c r="F1102" s="184"/>
      <c r="G1102" s="184"/>
      <c r="H1102" s="184"/>
      <c r="I1102" s="184"/>
      <c r="J1102" s="184"/>
      <c r="K1102" s="184"/>
    </row>
    <row r="1103" spans="3:11">
      <c r="C1103" s="1527" t="s">
        <v>1906</v>
      </c>
      <c r="D1103" s="564">
        <v>45657</v>
      </c>
      <c r="E1103" s="711">
        <v>45291</v>
      </c>
      <c r="F1103" s="184"/>
      <c r="G1103" s="184"/>
      <c r="H1103" s="184"/>
      <c r="I1103" s="184"/>
      <c r="J1103" s="184"/>
      <c r="K1103" s="184"/>
    </row>
    <row r="1104" spans="3:11" ht="16.2" thickBot="1">
      <c r="C1104" s="1527"/>
      <c r="D1104" s="565" t="s">
        <v>1454</v>
      </c>
      <c r="E1104" s="236" t="s">
        <v>1454</v>
      </c>
      <c r="F1104" s="184"/>
      <c r="G1104" s="184"/>
      <c r="H1104" s="184"/>
      <c r="I1104" s="184"/>
      <c r="J1104" s="184"/>
      <c r="K1104" s="184"/>
    </row>
    <row r="1105" spans="3:11">
      <c r="C1105" s="235" t="s">
        <v>3127</v>
      </c>
      <c r="D1105" s="591">
        <f>+Composición!G993+Composición!G994</f>
        <v>119940947</v>
      </c>
      <c r="E1105" s="591">
        <f>+Composición!J993+Composición!J994</f>
        <v>26506259</v>
      </c>
      <c r="F1105" s="184"/>
      <c r="G1105" s="184"/>
      <c r="H1105" s="184"/>
      <c r="I1105" s="184"/>
      <c r="J1105" s="184"/>
      <c r="K1105" s="184"/>
    </row>
    <row r="1106" spans="3:11">
      <c r="C1106" s="235" t="s">
        <v>3128</v>
      </c>
      <c r="D1106" s="591">
        <f>+Composición!G1072+Composición!G1073</f>
        <v>20727986</v>
      </c>
      <c r="E1106" s="591">
        <f>+Composición!J1072+Composición!J1073</f>
        <v>19008863</v>
      </c>
      <c r="F1106" s="184"/>
      <c r="G1106" s="184"/>
      <c r="H1106" s="184"/>
      <c r="I1106" s="184"/>
      <c r="J1106" s="184"/>
      <c r="K1106" s="184"/>
    </row>
    <row r="1107" spans="3:11" ht="16.2" thickBot="1">
      <c r="C1107" s="173"/>
      <c r="D1107" s="593"/>
      <c r="E1107" s="591"/>
      <c r="F1107" s="184"/>
      <c r="G1107" s="184"/>
      <c r="H1107" s="184"/>
      <c r="I1107" s="184"/>
      <c r="J1107" s="184"/>
      <c r="K1107" s="184"/>
    </row>
    <row r="1108" spans="3:11" ht="16.2" thickBot="1">
      <c r="C1108" s="239" t="s">
        <v>1331</v>
      </c>
      <c r="D1108" s="638">
        <f>+SUM(D1105:D1106)</f>
        <v>140668933</v>
      </c>
      <c r="E1108" s="638">
        <f>+SUM(E1105:E1106)</f>
        <v>45515122</v>
      </c>
      <c r="F1108" s="542">
        <f>+D1108-'Estado de Resultados'!E25</f>
        <v>0</v>
      </c>
      <c r="G1108" s="542">
        <f>+E1108-'Estado de Resultados'!F25</f>
        <v>0</v>
      </c>
      <c r="H1108" s="184"/>
      <c r="I1108" s="184"/>
      <c r="J1108" s="184"/>
      <c r="K1108" s="184"/>
    </row>
    <row r="1109" spans="3:11">
      <c r="C1109" s="184"/>
      <c r="D1109" s="184"/>
      <c r="E1109" s="184"/>
      <c r="F1109" s="184"/>
      <c r="G1109" s="184"/>
      <c r="H1109" s="184"/>
      <c r="I1109" s="184"/>
      <c r="J1109" s="184"/>
      <c r="K1109" s="184"/>
    </row>
    <row r="1110" spans="3:11">
      <c r="C1110" s="102"/>
      <c r="D1110" s="184"/>
      <c r="E1110" s="184"/>
      <c r="F1110" s="184"/>
      <c r="G1110" s="184"/>
      <c r="H1110" s="184"/>
      <c r="I1110" s="184"/>
      <c r="J1110" s="184"/>
      <c r="K1110" s="184"/>
    </row>
    <row r="1111" spans="3:11">
      <c r="C1111" s="9" t="s">
        <v>2015</v>
      </c>
      <c r="D1111" s="184"/>
      <c r="E1111" s="184"/>
      <c r="F1111" s="184"/>
      <c r="G1111" s="184"/>
      <c r="H1111" s="184"/>
      <c r="I1111" s="184"/>
      <c r="J1111" s="184"/>
      <c r="K1111" s="184"/>
    </row>
    <row r="1112" spans="3:11">
      <c r="C1112" s="248" t="s">
        <v>1913</v>
      </c>
      <c r="D1112" s="204"/>
      <c r="E1112" s="184"/>
      <c r="F1112" s="184"/>
      <c r="G1112" s="184"/>
      <c r="H1112" s="184"/>
      <c r="I1112" s="184"/>
      <c r="J1112" s="184"/>
      <c r="K1112" s="184"/>
    </row>
    <row r="1113" spans="3:11" ht="16.2" thickBot="1">
      <c r="C1113" s="245"/>
      <c r="D1113" s="184"/>
      <c r="E1113" s="184"/>
      <c r="F1113" s="184"/>
      <c r="G1113" s="184"/>
      <c r="H1113" s="184"/>
      <c r="I1113" s="184"/>
      <c r="J1113" s="184"/>
      <c r="K1113" s="184"/>
    </row>
    <row r="1114" spans="3:11">
      <c r="C1114" s="1527" t="s">
        <v>1906</v>
      </c>
      <c r="D1114" s="711">
        <f>+D1103</f>
        <v>45657</v>
      </c>
      <c r="E1114" s="711">
        <f>+E1103</f>
        <v>45291</v>
      </c>
      <c r="F1114" s="184"/>
      <c r="G1114" s="184"/>
      <c r="H1114" s="184"/>
      <c r="I1114" s="184"/>
      <c r="J1114" s="184"/>
      <c r="K1114" s="184"/>
    </row>
    <row r="1115" spans="3:11" ht="16.2" thickBot="1">
      <c r="C1115" s="1527"/>
      <c r="D1115" s="565" t="s">
        <v>2016</v>
      </c>
      <c r="E1115" s="565" t="s">
        <v>2016</v>
      </c>
      <c r="F1115" s="184"/>
      <c r="G1115" s="184"/>
      <c r="H1115" s="184"/>
      <c r="I1115" s="184"/>
      <c r="J1115" s="184"/>
      <c r="K1115" s="184"/>
    </row>
    <row r="1116" spans="3:11">
      <c r="C1116" s="235" t="s">
        <v>3129</v>
      </c>
      <c r="D1116" s="790">
        <f>+Composición!G1190</f>
        <v>1879366660</v>
      </c>
      <c r="E1116" s="533">
        <f>+Composición!J1190</f>
        <v>447079310</v>
      </c>
      <c r="F1116" s="184"/>
      <c r="G1116" s="184"/>
      <c r="H1116" s="184"/>
      <c r="I1116" s="184"/>
      <c r="J1116" s="184"/>
      <c r="K1116" s="184"/>
    </row>
    <row r="1117" spans="3:11">
      <c r="C1117" s="235" t="s">
        <v>3130</v>
      </c>
      <c r="D1117" s="623">
        <f>Composición!G1023</f>
        <v>1485314532</v>
      </c>
      <c r="E1117" s="623">
        <f>+Composición!J1023</f>
        <v>1148101449</v>
      </c>
      <c r="F1117" s="184"/>
      <c r="G1117" s="184"/>
      <c r="H1117" s="184"/>
      <c r="I1117" s="184"/>
      <c r="J1117" s="184"/>
      <c r="K1117" s="184"/>
    </row>
    <row r="1118" spans="3:11">
      <c r="C1118" s="235" t="s">
        <v>339</v>
      </c>
      <c r="D1118" s="790">
        <f>Composición!G1091+Composición!G1092</f>
        <v>220772330</v>
      </c>
      <c r="E1118" s="593">
        <f>Composición!J1091+Composición!J1092</f>
        <v>129226840</v>
      </c>
      <c r="F1118" s="184"/>
      <c r="G1118" s="184"/>
      <c r="H1118" s="184"/>
      <c r="I1118" s="184"/>
      <c r="J1118" s="184"/>
      <c r="K1118" s="184"/>
    </row>
    <row r="1119" spans="3:11">
      <c r="C1119" s="235" t="s">
        <v>1008</v>
      </c>
      <c r="D1119" s="790">
        <f>Composición!G1148+Composición!G1149+Composición!G1152+Composición!G1154+Composición!G1155+Composición!G1158+Composición!G1159+Composición!G1162+Composición!G1163+Composición!G1164</f>
        <v>210379656</v>
      </c>
      <c r="E1119" s="593">
        <f>Composición!J1148+Composición!J1149+Composición!J1152+Composición!J1154+Composición!J1155+Composición!J1158+Composición!J1159+Composición!J1162+Composición!J1163+Composición!J1164</f>
        <v>42925518</v>
      </c>
      <c r="F1119" s="184"/>
      <c r="G1119" s="184"/>
      <c r="H1119" s="184"/>
      <c r="I1119" s="184"/>
      <c r="J1119" s="184"/>
      <c r="K1119" s="184"/>
    </row>
    <row r="1120" spans="3:11">
      <c r="C1120" s="235" t="s">
        <v>989</v>
      </c>
      <c r="D1120" s="623">
        <f>+Composición!G1064</f>
        <v>204138454</v>
      </c>
      <c r="E1120" s="593">
        <f>+Composición!J1064</f>
        <v>237545542</v>
      </c>
      <c r="F1120" s="184"/>
      <c r="G1120" s="184"/>
      <c r="H1120" s="184"/>
      <c r="I1120" s="184"/>
      <c r="J1120" s="184"/>
      <c r="K1120" s="184"/>
    </row>
    <row r="1121" spans="3:11">
      <c r="C1121" s="235" t="s">
        <v>3131</v>
      </c>
      <c r="D1121" s="790">
        <f>Composición!G1068+Composición!G1069+Composición!G1071+Composición!G1074+Composición!G1085+Composición!G1076</f>
        <v>161024972</v>
      </c>
      <c r="E1121" s="593">
        <f>Composición!J1068+Composición!J1069+Composición!J1071+Composición!J1074+Composición!J1085+Composición!J1076</f>
        <v>31698614</v>
      </c>
      <c r="F1121" s="184"/>
      <c r="G1121" s="184"/>
      <c r="H1121" s="184"/>
      <c r="I1121" s="184"/>
      <c r="J1121" s="184"/>
      <c r="K1121" s="184"/>
    </row>
    <row r="1122" spans="3:11">
      <c r="C1122" s="235" t="s">
        <v>3132</v>
      </c>
      <c r="D1122" s="790">
        <f>Composición!G1166+Composición!G1167</f>
        <v>90587875</v>
      </c>
      <c r="E1122" s="593">
        <f>Composición!J1166+Composición!J1167</f>
        <v>150208710</v>
      </c>
      <c r="F1122" s="184"/>
      <c r="G1122" s="184"/>
      <c r="H1122" s="184"/>
      <c r="I1122" s="184"/>
      <c r="J1122" s="184"/>
      <c r="K1122" s="184"/>
    </row>
    <row r="1123" spans="3:11">
      <c r="C1123" s="235" t="s">
        <v>3133</v>
      </c>
      <c r="D1123" s="790">
        <f>+Composición!G1170+Composición!G1171+Composición!G1174+Composición!G1180+Composición!G1181</f>
        <v>37247348</v>
      </c>
      <c r="E1123" s="593">
        <f>+Composición!J1170+Composición!J1171+Composición!J1174+Composición!J1177+Composición!J1180+Composición!J1181</f>
        <v>10274292</v>
      </c>
      <c r="F1123" s="184"/>
      <c r="G1123" s="184"/>
      <c r="H1123" s="184"/>
      <c r="I1123" s="184"/>
      <c r="J1123" s="184"/>
      <c r="K1123" s="184"/>
    </row>
    <row r="1124" spans="3:11">
      <c r="C1124" s="235" t="s">
        <v>3134</v>
      </c>
      <c r="D1124" s="790">
        <f>+Composición!G1142</f>
        <v>4320000</v>
      </c>
      <c r="E1124" s="658">
        <f>+Composición!J1142</f>
        <v>0</v>
      </c>
      <c r="F1124" s="184"/>
      <c r="G1124" s="184"/>
      <c r="H1124" s="184"/>
      <c r="I1124" s="184"/>
      <c r="J1124" s="184"/>
      <c r="K1124" s="184"/>
    </row>
    <row r="1125" spans="3:11" ht="16.2" thickBot="1">
      <c r="C1125" s="529"/>
      <c r="D1125" s="712"/>
      <c r="E1125" s="594"/>
      <c r="F1125" s="184"/>
      <c r="G1125" s="184"/>
      <c r="H1125" s="184"/>
      <c r="I1125" s="184"/>
      <c r="J1125" s="184"/>
      <c r="K1125" s="184"/>
    </row>
    <row r="1126" spans="3:11" ht="16.2" thickBot="1">
      <c r="C1126" s="240" t="s">
        <v>1331</v>
      </c>
      <c r="D1126" s="936">
        <f>+SUM(D1116:D1125)</f>
        <v>4293151827</v>
      </c>
      <c r="E1126" s="638">
        <f>+SUM(E1116:E1125)</f>
        <v>2197060275</v>
      </c>
      <c r="F1126" s="542">
        <f>+D1126-'Estado de Resultados'!E26</f>
        <v>0</v>
      </c>
      <c r="G1126" s="542">
        <f>+E1126-'Estado de Resultados'!F26</f>
        <v>0</v>
      </c>
      <c r="H1126" s="184"/>
      <c r="I1126" s="184"/>
      <c r="J1126" s="184"/>
      <c r="K1126" s="184"/>
    </row>
    <row r="1127" spans="3:11">
      <c r="C1127" s="710"/>
      <c r="D1127" s="263"/>
      <c r="E1127" s="263"/>
      <c r="F1127" s="204"/>
      <c r="G1127" s="204"/>
      <c r="H1127" s="184"/>
      <c r="I1127" s="184"/>
      <c r="J1127" s="184"/>
      <c r="K1127" s="184"/>
    </row>
    <row r="1128" spans="3:11">
      <c r="C1128" s="102"/>
      <c r="D1128" s="263"/>
      <c r="E1128" s="263"/>
      <c r="F1128" s="204"/>
      <c r="G1128" s="204"/>
      <c r="H1128" s="184"/>
      <c r="I1128" s="184"/>
      <c r="J1128" s="184"/>
      <c r="K1128" s="184"/>
    </row>
    <row r="1129" spans="3:11">
      <c r="C1129" s="146" t="s">
        <v>2017</v>
      </c>
      <c r="D1129" s="184"/>
      <c r="E1129" s="184"/>
      <c r="F1129" s="184"/>
      <c r="G1129" s="184"/>
      <c r="H1129" s="184"/>
      <c r="I1129" s="184"/>
      <c r="J1129" s="184"/>
      <c r="K1129" s="184"/>
    </row>
    <row r="1130" spans="3:11">
      <c r="C1130" s="248" t="s">
        <v>1913</v>
      </c>
      <c r="D1130" s="184"/>
      <c r="E1130" s="184"/>
      <c r="F1130" s="184"/>
      <c r="G1130" s="184"/>
      <c r="H1130" s="184"/>
      <c r="I1130" s="184"/>
      <c r="J1130" s="184"/>
      <c r="K1130" s="184"/>
    </row>
    <row r="1131" spans="3:11" ht="16.2" thickBot="1">
      <c r="C1131" s="245"/>
      <c r="D1131" s="184"/>
      <c r="E1131" s="184"/>
      <c r="F1131" s="184"/>
      <c r="G1131" s="184"/>
      <c r="H1131" s="184"/>
      <c r="I1131" s="184"/>
      <c r="J1131" s="184"/>
      <c r="K1131" s="184"/>
    </row>
    <row r="1132" spans="3:11" ht="31.8" customHeight="1" thickBot="1">
      <c r="C1132" s="267" t="s">
        <v>1906</v>
      </c>
      <c r="D1132" s="1559">
        <f>+D1114</f>
        <v>45657</v>
      </c>
      <c r="E1132" s="1560">
        <v>45291</v>
      </c>
      <c r="F1132" s="184"/>
      <c r="G1132" s="184"/>
      <c r="H1132" s="184"/>
      <c r="I1132" s="184"/>
      <c r="J1132" s="184"/>
      <c r="K1132" s="184"/>
    </row>
    <row r="1133" spans="3:11" ht="31.8" customHeight="1" thickBot="1">
      <c r="C1133" s="243" t="s">
        <v>2018</v>
      </c>
      <c r="D1133" s="1559"/>
      <c r="E1133" s="1560"/>
      <c r="F1133" s="184"/>
      <c r="G1133" s="184"/>
      <c r="H1133" s="184"/>
      <c r="I1133" s="204"/>
      <c r="J1133" s="184"/>
      <c r="K1133" s="184"/>
    </row>
    <row r="1134" spans="3:11">
      <c r="C1134" s="235" t="s">
        <v>3073</v>
      </c>
      <c r="D1134" s="593">
        <f>Composición!G1326+Composición!G1327</f>
        <v>2640353720</v>
      </c>
      <c r="E1134" s="593">
        <f>Composición!J1326+Composición!J1327</f>
        <v>348920800</v>
      </c>
      <c r="F1134" s="204"/>
      <c r="G1134" s="184"/>
      <c r="H1134" s="184"/>
      <c r="I1134" s="184"/>
      <c r="J1134" s="184"/>
      <c r="K1134" s="184"/>
    </row>
    <row r="1135" spans="3:11">
      <c r="C1135" s="235" t="s">
        <v>339</v>
      </c>
      <c r="D1135" s="790">
        <f>SUM(Composición!G1250:G1254)</f>
        <v>573424149</v>
      </c>
      <c r="E1135" s="593">
        <f>SUM(Composición!J1250:J1254)</f>
        <v>567988002</v>
      </c>
      <c r="F1135" s="184"/>
      <c r="G1135" s="184"/>
      <c r="H1135" s="184"/>
      <c r="I1135" s="184"/>
      <c r="J1135" s="184"/>
      <c r="K1135" s="184"/>
    </row>
    <row r="1136" spans="3:11">
      <c r="C1136" s="235" t="s">
        <v>3074</v>
      </c>
      <c r="D1136" s="592">
        <f>SUM(Composición!G1260:G1311)+Composición!G1255+Composición!G1256+Composición!G1259+Composición!G1257+Composición!G1258</f>
        <v>562363028</v>
      </c>
      <c r="E1136" s="593">
        <f>SUM(Composición!J1260:J1311)+Composición!J1255+Composición!J1256+Composición!J1259+Composición!J1257</f>
        <v>336765319</v>
      </c>
      <c r="F1136" s="204"/>
      <c r="G1136" s="184"/>
      <c r="H1136" s="184"/>
      <c r="I1136" s="184"/>
      <c r="J1136" s="184"/>
      <c r="K1136" s="184"/>
    </row>
    <row r="1137" spans="1:11">
      <c r="C1137" s="235" t="s">
        <v>2019</v>
      </c>
      <c r="D1137" s="592">
        <f>SUM(Composición!G1317:G1321)</f>
        <v>3092730</v>
      </c>
      <c r="E1137" s="593">
        <f>SUM(Composición!J1317:J1321)</f>
        <v>2942670</v>
      </c>
      <c r="F1137" s="184"/>
      <c r="G1137" s="253"/>
      <c r="H1137" s="184"/>
      <c r="I1137" s="184"/>
      <c r="J1137" s="184"/>
      <c r="K1137" s="184"/>
    </row>
    <row r="1138" spans="1:11" ht="16.2" thickBot="1">
      <c r="C1138" s="529"/>
      <c r="D1138" s="594"/>
      <c r="E1138" s="594"/>
      <c r="F1138" s="184"/>
      <c r="G1138" s="184"/>
      <c r="H1138" s="184"/>
      <c r="I1138" s="184"/>
      <c r="J1138" s="184"/>
      <c r="K1138" s="184"/>
    </row>
    <row r="1139" spans="1:11" ht="16.2" thickBot="1">
      <c r="C1139" s="193" t="s">
        <v>2020</v>
      </c>
      <c r="D1139" s="638">
        <f>+SUM(D1134:D1138)</f>
        <v>3779233627</v>
      </c>
      <c r="E1139" s="642">
        <f>+SUM(E1134:E1138)</f>
        <v>1256616791</v>
      </c>
      <c r="F1139" s="542">
        <f>+D1139+'Estado de Resultados'!E31</f>
        <v>0</v>
      </c>
      <c r="G1139" s="542">
        <f>+E1139+'Estado de Resultados'!F31</f>
        <v>0</v>
      </c>
      <c r="H1139" s="264"/>
      <c r="I1139" s="184"/>
      <c r="J1139" s="184"/>
      <c r="K1139" s="184"/>
    </row>
    <row r="1140" spans="1:11" ht="16.2" thickBot="1">
      <c r="C1140" s="242" t="s">
        <v>2021</v>
      </c>
      <c r="D1140" s="596"/>
      <c r="E1140" s="597"/>
      <c r="F1140" s="184"/>
      <c r="G1140" s="184"/>
      <c r="H1140" s="184"/>
      <c r="I1140" s="184"/>
      <c r="J1140" s="184"/>
      <c r="K1140" s="184"/>
    </row>
    <row r="1141" spans="1:11">
      <c r="C1141" s="235" t="s">
        <v>3135</v>
      </c>
      <c r="D1141" s="534">
        <f>+Composición!G1335</f>
        <v>48127656</v>
      </c>
      <c r="E1141" s="534">
        <f>+Composición!J1335</f>
        <v>32502657</v>
      </c>
      <c r="F1141" s="204"/>
      <c r="G1141" s="204"/>
      <c r="H1141" s="184"/>
      <c r="I1141" s="184"/>
      <c r="J1141" s="184"/>
      <c r="K1141" s="184"/>
    </row>
    <row r="1142" spans="1:11">
      <c r="C1142" s="235" t="s">
        <v>3136</v>
      </c>
      <c r="D1142" s="534">
        <f>+Composición!G1336</f>
        <v>41412543</v>
      </c>
      <c r="E1142" s="534">
        <f>+Composición!J1336</f>
        <v>418182</v>
      </c>
      <c r="F1142" s="204"/>
      <c r="G1142" s="204"/>
      <c r="H1142" s="184"/>
      <c r="I1142" s="184"/>
      <c r="J1142" s="184"/>
      <c r="K1142" s="184"/>
    </row>
    <row r="1143" spans="1:11">
      <c r="C1143" s="235" t="s">
        <v>3137</v>
      </c>
      <c r="D1143" s="534">
        <f>+Composición!G1337</f>
        <v>9600000</v>
      </c>
      <c r="E1143" s="534">
        <f>+Composición!J1337</f>
        <v>5826896</v>
      </c>
      <c r="F1143" s="204"/>
      <c r="G1143" s="204"/>
      <c r="H1143" s="184"/>
      <c r="I1143" s="184"/>
      <c r="J1143" s="184"/>
      <c r="K1143" s="184"/>
    </row>
    <row r="1144" spans="1:11" ht="16.2" thickBot="1">
      <c r="C1144" s="529"/>
      <c r="D1144" s="594"/>
      <c r="E1144" s="595"/>
      <c r="F1144" s="184"/>
      <c r="G1144" s="184"/>
      <c r="H1144" s="184"/>
      <c r="I1144" s="184"/>
      <c r="J1144" s="184"/>
      <c r="K1144" s="184"/>
    </row>
    <row r="1145" spans="1:11" ht="16.2" thickBot="1">
      <c r="C1145" s="193" t="s">
        <v>2020</v>
      </c>
      <c r="D1145" s="641">
        <f>+SUM(D1141:D1143)</f>
        <v>99140199</v>
      </c>
      <c r="E1145" s="638">
        <f>+SUM(E1141:E1143)</f>
        <v>38747735</v>
      </c>
      <c r="F1145" s="542">
        <f>+D1145+'Estado de Resultados'!E39</f>
        <v>0</v>
      </c>
      <c r="G1145" s="542">
        <f>+E1145+'Estado de Resultados'!F39</f>
        <v>0</v>
      </c>
      <c r="H1145" s="264"/>
      <c r="I1145" s="184"/>
      <c r="J1145" s="184"/>
      <c r="K1145" s="184"/>
    </row>
    <row r="1146" spans="1:11" ht="16.2" thickBot="1">
      <c r="A1146" s="1458"/>
      <c r="B1146" s="1459"/>
      <c r="C1146" s="243" t="s">
        <v>1389</v>
      </c>
      <c r="D1146" s="596"/>
      <c r="E1146" s="597"/>
      <c r="F1146" s="184"/>
      <c r="G1146" s="184"/>
      <c r="H1146" s="184"/>
      <c r="I1146" s="184"/>
      <c r="J1146" s="184"/>
      <c r="K1146" s="184"/>
    </row>
    <row r="1147" spans="1:11">
      <c r="A1147" s="1458"/>
      <c r="B1147" s="1460" t="s">
        <v>3140</v>
      </c>
      <c r="C1147" s="235" t="s">
        <v>3140</v>
      </c>
      <c r="D1147" s="753">
        <f>SUMIFS(Composición!$G$1224:$G$1515,Composición!$D$1224:$D$1515,Notas!B1147,Composición!$F$1224:$F$1515,"I")</f>
        <v>979190159</v>
      </c>
      <c r="E1147" s="753">
        <f>SUMIFS(Composición!$J$1224:$J$1515,Composición!$D$1224:$D$1515,Notas!B1147,Composición!$F$1224:$F$1515,"I")</f>
        <v>982095870</v>
      </c>
      <c r="F1147" s="204"/>
      <c r="G1147" s="184"/>
      <c r="H1147" s="184"/>
      <c r="I1147" s="184"/>
      <c r="J1147" s="184"/>
      <c r="K1147" s="184"/>
    </row>
    <row r="1148" spans="1:11">
      <c r="A1148" s="1458"/>
      <c r="B1148" s="1460" t="s">
        <v>3088</v>
      </c>
      <c r="C1148" s="235" t="s">
        <v>3088</v>
      </c>
      <c r="D1148" s="753">
        <f>SUMIFS(Composición!$G$1224:$G$1515,Composición!$D$1224:$D$1515,Notas!B1148,Composición!$F$1224:$F$1515,"I")</f>
        <v>834071649</v>
      </c>
      <c r="E1148" s="753">
        <f>SUMIFS(Composición!$J$1224:$J$1515,Composición!$D$1224:$D$1515,Notas!B1148,Composición!$F$1224:$F$1515,"I")</f>
        <v>823325839</v>
      </c>
      <c r="F1148" s="204"/>
      <c r="G1148" s="184"/>
      <c r="H1148" s="184"/>
      <c r="I1148" s="184"/>
      <c r="J1148" s="184"/>
      <c r="K1148" s="184"/>
    </row>
    <row r="1149" spans="1:11">
      <c r="A1149" s="1458"/>
      <c r="B1149" s="1460" t="s">
        <v>3141</v>
      </c>
      <c r="C1149" s="235" t="s">
        <v>3141</v>
      </c>
      <c r="D1149" s="753">
        <f>SUMIFS(Composición!$G$1224:$G$1515,Composición!$D$1224:$D$1515,Notas!B1149,Composición!$F$1224:$F$1515,"I")</f>
        <v>482961688</v>
      </c>
      <c r="E1149" s="753">
        <f>SUMIFS(Composición!$J$1224:$J$1515,Composición!$D$1224:$D$1515,Notas!B1149,Composición!$F$1224:$F$1515,"I")</f>
        <v>327038116</v>
      </c>
      <c r="F1149" s="204"/>
      <c r="G1149" s="184"/>
      <c r="H1149" s="184"/>
      <c r="I1149" s="184"/>
      <c r="J1149" s="184"/>
      <c r="K1149" s="184"/>
    </row>
    <row r="1150" spans="1:11">
      <c r="A1150" s="1458"/>
      <c r="B1150" s="1460" t="s">
        <v>3142</v>
      </c>
      <c r="C1150" s="235" t="s">
        <v>3142</v>
      </c>
      <c r="D1150" s="753">
        <f>SUMIFS(Composición!$G$1224:$G$1515,Composición!$D$1224:$D$1515,Notas!B1150,Composición!$F$1224:$F$1515,"I")</f>
        <v>429654525</v>
      </c>
      <c r="E1150" s="753">
        <f>SUMIFS(Composición!$J$1224:$J$1515,Composición!$D$1224:$D$1515,Notas!B1150,Composición!$F$1224:$F$1515,"I")</f>
        <v>296663805</v>
      </c>
      <c r="F1150" s="204"/>
      <c r="G1150" s="184"/>
      <c r="H1150" s="184"/>
      <c r="I1150" s="184"/>
      <c r="J1150" s="184"/>
      <c r="K1150" s="184"/>
    </row>
    <row r="1151" spans="1:11">
      <c r="A1151" s="1458"/>
      <c r="B1151" s="1460" t="s">
        <v>446</v>
      </c>
      <c r="C1151" s="235" t="s">
        <v>3161</v>
      </c>
      <c r="D1151" s="753">
        <f>SUMIFS(Composición!$G$1224:$G$1515,Composición!$D$1224:$D$1515,Notas!B1151,Composición!$F$1224:$F$1515,"I")</f>
        <v>380342101</v>
      </c>
      <c r="E1151" s="753">
        <f>SUMIFS(Composición!$J$1224:$J$1515,Composición!$D$1224:$D$1515,Notas!B1151,Composición!$F$1224:$F$1515,"I")</f>
        <v>384978312</v>
      </c>
      <c r="F1151" s="204"/>
      <c r="G1151" s="184"/>
      <c r="H1151" s="184"/>
      <c r="I1151" s="184"/>
      <c r="J1151" s="184"/>
      <c r="K1151" s="184"/>
    </row>
    <row r="1152" spans="1:11">
      <c r="A1152" s="1458"/>
      <c r="B1152" s="1460" t="s">
        <v>3143</v>
      </c>
      <c r="C1152" s="235" t="s">
        <v>3143</v>
      </c>
      <c r="D1152" s="753">
        <f>SUMIFS(Composición!$G$1224:$G$1515,Composición!$D$1224:$D$1515,Notas!B1152,Composición!$F$1224:$F$1515,"I")</f>
        <v>329433478</v>
      </c>
      <c r="E1152" s="753">
        <f>SUMIFS(Composición!$J$1224:$J$1515,Composición!$D$1224:$D$1515,Notas!B1152,Composición!$F$1224:$F$1515,"I")</f>
        <v>9598830</v>
      </c>
      <c r="F1152" s="204"/>
      <c r="G1152" s="184"/>
      <c r="H1152" s="184"/>
      <c r="I1152" s="184"/>
      <c r="J1152" s="184"/>
      <c r="K1152" s="184"/>
    </row>
    <row r="1153" spans="1:11">
      <c r="A1153" s="1458"/>
      <c r="B1153" s="1460" t="s">
        <v>3144</v>
      </c>
      <c r="C1153" s="235" t="s">
        <v>3144</v>
      </c>
      <c r="D1153" s="753">
        <f>SUMIFS(Composición!$G$1224:$G$1515,Composición!$D$1224:$D$1515,Notas!B1153,Composición!$F$1224:$F$1515,"I")</f>
        <v>352222938</v>
      </c>
      <c r="E1153" s="753">
        <f>SUMIFS(Composición!$J$1224:$J$1515,Composición!$D$1224:$D$1515,Notas!B1153,Composición!$F$1224:$F$1515,"I")</f>
        <v>202832551</v>
      </c>
      <c r="F1153" s="204"/>
      <c r="G1153" s="184"/>
      <c r="H1153" s="184"/>
      <c r="I1153" s="184"/>
      <c r="J1153" s="184"/>
      <c r="K1153" s="184"/>
    </row>
    <row r="1154" spans="1:11">
      <c r="A1154" s="1458"/>
      <c r="B1154" s="1460" t="s">
        <v>456</v>
      </c>
      <c r="C1154" s="235" t="s">
        <v>3162</v>
      </c>
      <c r="D1154" s="753">
        <f>SUMIFS(Composición!$G$1224:$G$1515,Composición!$D$1224:$D$1515,Notas!B1154,Composición!$F$1224:$F$1515,"I")</f>
        <v>294499271</v>
      </c>
      <c r="E1154" s="753">
        <f>SUMIFS(Composición!$J$1224:$J$1515,Composición!$D$1224:$D$1515,Notas!B1154,Composición!$F$1224:$F$1515,"I")</f>
        <v>186655252</v>
      </c>
      <c r="F1154" s="204"/>
      <c r="G1154" s="184"/>
      <c r="H1154" s="184"/>
      <c r="I1154" s="184"/>
      <c r="J1154" s="184"/>
      <c r="K1154" s="184"/>
    </row>
    <row r="1155" spans="1:11">
      <c r="A1155" s="1458"/>
      <c r="B1155" s="1460" t="s">
        <v>453</v>
      </c>
      <c r="C1155" s="235" t="s">
        <v>3163</v>
      </c>
      <c r="D1155" s="753">
        <f>SUMIFS(Composición!$G$1224:$G$1515,Composición!$D$1224:$D$1515,Notas!B1155,Composición!$F$1224:$F$1515,"I")</f>
        <v>237432629</v>
      </c>
      <c r="E1155" s="753">
        <f>SUMIFS(Composición!$J$1224:$J$1515,Composición!$D$1224:$D$1515,Notas!B1155,Composición!$F$1224:$F$1515,"I")</f>
        <v>200415731</v>
      </c>
      <c r="F1155" s="204"/>
      <c r="G1155" s="184"/>
      <c r="H1155" s="184"/>
      <c r="I1155" s="184"/>
      <c r="J1155" s="184"/>
      <c r="K1155" s="184"/>
    </row>
    <row r="1156" spans="1:11">
      <c r="A1156" s="1458"/>
      <c r="B1156" s="1460" t="s">
        <v>2798</v>
      </c>
      <c r="C1156" s="235" t="s">
        <v>3164</v>
      </c>
      <c r="D1156" s="753">
        <f>SUMIFS(Composición!$G$1224:$G$1515,Composición!$D$1224:$D$1515,Notas!B1156,Composición!$F$1224:$F$1515,"I")</f>
        <v>236113852</v>
      </c>
      <c r="E1156" s="753">
        <f>SUMIFS(Composición!$J$1224:$J$1515,Composición!$D$1224:$D$1515,Notas!B1156,Composición!$F$1224:$F$1515,"I")</f>
        <v>194945168</v>
      </c>
      <c r="F1156" s="204"/>
      <c r="G1156" s="184"/>
      <c r="H1156" s="184"/>
      <c r="I1156" s="184"/>
      <c r="J1156" s="184"/>
      <c r="K1156" s="184"/>
    </row>
    <row r="1157" spans="1:11">
      <c r="A1157" s="1458"/>
      <c r="B1157" s="1460" t="s">
        <v>169</v>
      </c>
      <c r="C1157" s="235" t="s">
        <v>3182</v>
      </c>
      <c r="D1157" s="753">
        <f>SUMIFS(Composición!$G$1224:$G$1515,Composición!$D$1224:$D$1515,Notas!B1157,Composición!$F$1224:$F$1515,"I")</f>
        <v>97336181</v>
      </c>
      <c r="E1157" s="753">
        <f>SUMIFS(Composición!$J$1224:$J$1515,Composición!$D$1224:$D$1515,Notas!B1157,Composición!$F$1224:$F$1515,"I")</f>
        <v>47077754</v>
      </c>
      <c r="F1157" s="204"/>
      <c r="G1157" s="184"/>
      <c r="H1157" s="184"/>
      <c r="I1157" s="184"/>
      <c r="J1157" s="184"/>
      <c r="K1157" s="184"/>
    </row>
    <row r="1158" spans="1:11">
      <c r="A1158" s="1458"/>
      <c r="B1158" s="1460" t="s">
        <v>444</v>
      </c>
      <c r="C1158" s="235" t="s">
        <v>3184</v>
      </c>
      <c r="D1158" s="753">
        <f>SUMIFS(Composición!$G$1224:$G$1515,Composición!$D$1224:$D$1515,Notas!B1158,Composición!$F$1224:$F$1515,"I")</f>
        <v>92194574</v>
      </c>
      <c r="E1158" s="753">
        <f>SUMIFS(Composición!$J$1224:$J$1515,Composición!$D$1224:$D$1515,Notas!B1158,Composición!$F$1224:$F$1515,"I")</f>
        <v>74304086</v>
      </c>
      <c r="F1158" s="204"/>
      <c r="G1158" s="184"/>
      <c r="H1158" s="184"/>
      <c r="I1158" s="184"/>
      <c r="J1158" s="184"/>
      <c r="K1158" s="184"/>
    </row>
    <row r="1159" spans="1:11">
      <c r="A1159" s="1458"/>
      <c r="B1159" s="1460" t="s">
        <v>442</v>
      </c>
      <c r="C1159" s="235" t="s">
        <v>3183</v>
      </c>
      <c r="D1159" s="753">
        <f>SUMIFS(Composición!$G$1224:$G$1515,Composición!$D$1224:$D$1515,Notas!B1159,Composición!$F$1224:$F$1515,"I")</f>
        <v>81955683</v>
      </c>
      <c r="E1159" s="753">
        <f>SUMIFS(Composición!$J$1224:$J$1515,Composición!$D$1224:$D$1515,Notas!B1159,Composición!$F$1224:$F$1515,"I")</f>
        <v>65810726</v>
      </c>
      <c r="F1159" s="204"/>
      <c r="G1159" s="184"/>
      <c r="H1159" s="184"/>
      <c r="I1159" s="184"/>
      <c r="J1159" s="184"/>
      <c r="K1159" s="184"/>
    </row>
    <row r="1160" spans="1:11">
      <c r="A1160" s="1458"/>
      <c r="B1160" s="1460" t="s">
        <v>1102</v>
      </c>
      <c r="C1160" s="235" t="s">
        <v>3181</v>
      </c>
      <c r="D1160" s="753">
        <f>SUMIFS(Composición!$G$1224:$G$1515,Composición!$D$1224:$D$1515,Notas!B1160,Composición!$F$1224:$F$1515,"I")</f>
        <v>60889923</v>
      </c>
      <c r="E1160" s="753">
        <f>SUMIFS(Composición!$J$1224:$J$1515,Composición!$D$1224:$D$1515,Notas!B1160,Composición!$F$1224:$F$1515,"I")</f>
        <v>25064159</v>
      </c>
      <c r="F1160" s="204"/>
      <c r="G1160" s="184"/>
      <c r="H1160" s="184"/>
      <c r="I1160" s="184"/>
      <c r="J1160" s="184"/>
      <c r="K1160" s="184"/>
    </row>
    <row r="1161" spans="1:11">
      <c r="A1161" s="1458"/>
      <c r="B1161" s="1460" t="s">
        <v>2022</v>
      </c>
      <c r="C1161" s="235" t="s">
        <v>3180</v>
      </c>
      <c r="D1161" s="753">
        <f>SUMIFS(Composición!$G$1224:$G$1515,Composición!$D$1224:$D$1515,Notas!B1161,Composición!$F$1224:$F$1515,"I")</f>
        <v>58704317</v>
      </c>
      <c r="E1161" s="753">
        <f>SUMIFS(Composición!$J$1224:$J$1515,Composición!$D$1224:$D$1515,Notas!B1161,Composición!$F$1224:$F$1515,"I")</f>
        <v>364000</v>
      </c>
      <c r="F1161" s="204"/>
      <c r="G1161" s="184"/>
      <c r="H1161" s="184"/>
      <c r="I1161" s="184"/>
      <c r="J1161" s="184"/>
      <c r="K1161" s="184"/>
    </row>
    <row r="1162" spans="1:11">
      <c r="A1162" s="1458"/>
      <c r="B1162" s="1460" t="s">
        <v>1107</v>
      </c>
      <c r="C1162" s="235" t="s">
        <v>1107</v>
      </c>
      <c r="D1162" s="753">
        <f>SUMIFS(Composición!$G$1224:$G$1515,Composición!$D$1224:$D$1515,Notas!B1162,Composición!$F$1224:$F$1515,"I")</f>
        <v>39576503</v>
      </c>
      <c r="E1162" s="753">
        <f>SUMIFS(Composición!$J$1224:$J$1515,Composición!$D$1224:$D$1515,Notas!B1162,Composición!$F$1224:$F$1515,"I")</f>
        <v>26707386</v>
      </c>
      <c r="F1162" s="204"/>
      <c r="G1162" s="184"/>
      <c r="H1162" s="184"/>
      <c r="I1162" s="184"/>
      <c r="J1162" s="184"/>
      <c r="K1162" s="184"/>
    </row>
    <row r="1163" spans="1:11">
      <c r="A1163" s="1458"/>
      <c r="B1163" s="1460" t="s">
        <v>1064</v>
      </c>
      <c r="C1163" s="235" t="s">
        <v>3179</v>
      </c>
      <c r="D1163" s="753">
        <f>SUMIFS(Composición!$G$1224:$G$1515,Composición!$D$1224:$D$1515,Notas!B1163,Composición!$F$1224:$F$1515,"I")</f>
        <v>35525284</v>
      </c>
      <c r="E1163" s="753">
        <f>SUMIFS(Composición!$J$1224:$J$1515,Composición!$D$1224:$D$1515,Notas!B1163,Composición!$F$1224:$F$1515,"I")</f>
        <v>36711026</v>
      </c>
      <c r="F1163" s="204"/>
      <c r="G1163" s="184"/>
      <c r="H1163" s="184"/>
      <c r="I1163" s="184"/>
      <c r="J1163" s="184"/>
      <c r="K1163" s="184"/>
    </row>
    <row r="1164" spans="1:11">
      <c r="A1164" s="1458"/>
      <c r="B1164" s="1460" t="s">
        <v>1104</v>
      </c>
      <c r="C1164" s="235" t="s">
        <v>3178</v>
      </c>
      <c r="D1164" s="753">
        <f>SUMIFS(Composición!$G$1224:$G$1515,Composición!$D$1224:$D$1515,Notas!B1164,Composición!$F$1224:$F$1515,"I")</f>
        <v>21839152</v>
      </c>
      <c r="E1164" s="753">
        <f>SUMIFS(Composición!$J$1224:$J$1515,Composición!$D$1224:$D$1515,Notas!B1164,Composición!$F$1224:$F$1515,"I")</f>
        <v>6074427</v>
      </c>
      <c r="F1164" s="204"/>
      <c r="G1164" s="184"/>
      <c r="H1164" s="184"/>
      <c r="I1164" s="184"/>
      <c r="J1164" s="184"/>
      <c r="K1164" s="184"/>
    </row>
    <row r="1165" spans="1:11">
      <c r="A1165" s="1458"/>
      <c r="B1165" s="1460" t="s">
        <v>492</v>
      </c>
      <c r="C1165" s="235" t="s">
        <v>3177</v>
      </c>
      <c r="D1165" s="753">
        <f>SUMIFS(Composición!$G$1224:$G$1515,Composición!$D$1224:$D$1515,Notas!B1165,Composición!$F$1224:$F$1515,"I")</f>
        <v>17766499</v>
      </c>
      <c r="E1165" s="753">
        <f>SUMIFS(Composición!$J$1224:$J$1515,Composición!$D$1224:$D$1515,Notas!B1165,Composición!$F$1224:$F$1515,"I")</f>
        <v>16660939</v>
      </c>
      <c r="F1165" s="204"/>
      <c r="G1165" s="184"/>
      <c r="H1165" s="184"/>
      <c r="I1165" s="184"/>
      <c r="J1165" s="184"/>
      <c r="K1165" s="184"/>
    </row>
    <row r="1166" spans="1:11">
      <c r="A1166" s="1458"/>
      <c r="B1166" s="1460" t="s">
        <v>500</v>
      </c>
      <c r="C1166" s="235" t="s">
        <v>3176</v>
      </c>
      <c r="D1166" s="753">
        <f>SUMIFS(Composición!$G$1224:$G$1515,Composición!$D$1224:$D$1515,Notas!B1166,Composición!$F$1224:$F$1515,"I")</f>
        <v>16662375</v>
      </c>
      <c r="E1166" s="753">
        <f>SUMIFS(Composición!$J$1224:$J$1515,Composición!$D$1224:$D$1515,Notas!B1166,Composición!$F$1224:$F$1515,"I")</f>
        <v>12691685</v>
      </c>
      <c r="F1166" s="204"/>
      <c r="G1166" s="184"/>
      <c r="H1166" s="184"/>
      <c r="I1166" s="184"/>
      <c r="J1166" s="184"/>
      <c r="K1166" s="184"/>
    </row>
    <row r="1167" spans="1:11">
      <c r="A1167" s="1458"/>
      <c r="B1167" s="1460" t="s">
        <v>448</v>
      </c>
      <c r="C1167" s="235" t="s">
        <v>3175</v>
      </c>
      <c r="D1167" s="753">
        <f>SUMIFS(Composición!$G$1224:$G$1515,Composición!$D$1224:$D$1515,Notas!B1167,Composición!$F$1224:$F$1515,"I")</f>
        <v>11900000</v>
      </c>
      <c r="E1167" s="753">
        <f>SUMIFS(Composición!$J$1224:$J$1515,Composición!$D$1224:$D$1515,Notas!B1167,Composición!$F$1224:$F$1515,"I")</f>
        <v>9350000</v>
      </c>
      <c r="F1167" s="204"/>
      <c r="G1167" s="184"/>
      <c r="H1167" s="184"/>
      <c r="I1167" s="184"/>
      <c r="J1167" s="184"/>
      <c r="K1167" s="184"/>
    </row>
    <row r="1168" spans="1:11">
      <c r="A1168" s="1458"/>
      <c r="B1168" s="1460" t="s">
        <v>170</v>
      </c>
      <c r="C1168" s="235" t="s">
        <v>2594</v>
      </c>
      <c r="D1168" s="753">
        <f>SUMIFS(Composición!$G$1224:$G$1515,Composición!$D$1224:$D$1515,Notas!B1168,Composición!$F$1224:$F$1515,"I")</f>
        <v>11068644</v>
      </c>
      <c r="E1168" s="753">
        <f>SUMIFS(Composición!$J$1224:$J$1515,Composición!$D$1224:$D$1515,Notas!B1168,Composición!$F$1224:$F$1515,"I")</f>
        <v>10445205</v>
      </c>
      <c r="F1168" s="204"/>
      <c r="G1168" s="184"/>
      <c r="H1168" s="184"/>
      <c r="I1168" s="184"/>
      <c r="J1168" s="184"/>
      <c r="K1168" s="184"/>
    </row>
    <row r="1169" spans="1:11">
      <c r="A1169" s="1458"/>
      <c r="B1169" s="1460" t="s">
        <v>1061</v>
      </c>
      <c r="C1169" s="235" t="s">
        <v>3173</v>
      </c>
      <c r="D1169" s="753">
        <f>SUMIFS(Composición!$G$1224:$G$1515,Composición!$D$1224:$D$1515,Notas!B1169,Composición!$F$1224:$F$1515,"I")</f>
        <v>10200000</v>
      </c>
      <c r="E1169" s="753">
        <f>SUMIFS(Composición!$J$1224:$J$1515,Composición!$D$1224:$D$1515,Notas!B1169,Composición!$F$1224:$F$1515,"I")</f>
        <v>0</v>
      </c>
      <c r="F1169" s="204"/>
      <c r="G1169" s="184"/>
      <c r="H1169" s="184"/>
      <c r="I1169" s="184"/>
      <c r="J1169" s="184"/>
      <c r="K1169" s="184"/>
    </row>
    <row r="1170" spans="1:11">
      <c r="A1170" s="1458"/>
      <c r="B1170" s="1460" t="s">
        <v>455</v>
      </c>
      <c r="C1170" s="235" t="s">
        <v>3172</v>
      </c>
      <c r="D1170" s="753">
        <f>SUMIFS(Composición!$G$1224:$G$1515,Composición!$D$1224:$D$1515,Notas!B1170,Composición!$F$1224:$F$1515,"I")</f>
        <v>9530953</v>
      </c>
      <c r="E1170" s="753">
        <f>SUMIFS(Composición!$J$1224:$J$1515,Composición!$D$1224:$D$1515,Notas!B1170,Composición!$F$1224:$F$1515,"I")</f>
        <v>19603456</v>
      </c>
      <c r="F1170" s="204"/>
      <c r="G1170" s="184"/>
      <c r="H1170" s="184"/>
      <c r="I1170" s="184"/>
      <c r="J1170" s="184"/>
      <c r="K1170" s="184"/>
    </row>
    <row r="1171" spans="1:11">
      <c r="A1171" s="1458"/>
      <c r="B1171" s="1460" t="s">
        <v>1108</v>
      </c>
      <c r="C1171" s="235" t="s">
        <v>1108</v>
      </c>
      <c r="D1171" s="753">
        <f>SUMIFS(Composición!$G$1224:$G$1515,Composición!$D$1224:$D$1515,Notas!B1171,Composición!$F$1224:$F$1515,"I")</f>
        <v>8466646</v>
      </c>
      <c r="E1171" s="753">
        <f>SUMIFS(Composición!$J$1224:$J$1515,Composición!$D$1224:$D$1515,Notas!B1171,Composición!$F$1224:$F$1515,"I")</f>
        <v>162000</v>
      </c>
      <c r="F1171" s="204"/>
      <c r="G1171" s="184"/>
      <c r="H1171" s="184"/>
      <c r="I1171" s="184"/>
      <c r="J1171" s="184"/>
      <c r="K1171" s="184"/>
    </row>
    <row r="1172" spans="1:11">
      <c r="A1172" s="1458"/>
      <c r="B1172" s="1460" t="s">
        <v>447</v>
      </c>
      <c r="C1172" s="235" t="s">
        <v>3171</v>
      </c>
      <c r="D1172" s="753">
        <f>SUMIFS(Composición!$G$1224:$G$1515,Composición!$D$1224:$D$1515,Notas!B1172,Composición!$F$1224:$F$1515,"I")</f>
        <v>818182</v>
      </c>
      <c r="E1172" s="753">
        <f>SUMIFS(Composición!$J$1224:$J$1515,Composición!$D$1224:$D$1515,Notas!B1172,Composición!$F$1224:$F$1515,"I")</f>
        <v>445393</v>
      </c>
      <c r="F1172" s="204"/>
      <c r="G1172" s="184"/>
      <c r="H1172" s="184"/>
      <c r="I1172" s="184"/>
      <c r="J1172" s="184"/>
      <c r="K1172" s="184"/>
    </row>
    <row r="1173" spans="1:11">
      <c r="A1173" s="1458"/>
      <c r="B1173" s="1460" t="s">
        <v>1059</v>
      </c>
      <c r="C1173" s="235" t="s">
        <v>3170</v>
      </c>
      <c r="D1173" s="753">
        <f>SUMIFS(Composición!$G$1224:$G$1515,Composición!$D$1224:$D$1515,Notas!B1173,Composición!$F$1224:$F$1515,"I")</f>
        <v>0</v>
      </c>
      <c r="E1173" s="753">
        <f>SUMIFS(Composición!$J$1224:$J$1515,Composición!$D$1224:$D$1515,Notas!B1173,Composición!$F$1224:$F$1515,"I")</f>
        <v>0</v>
      </c>
      <c r="F1173" s="204"/>
      <c r="G1173" s="184"/>
      <c r="H1173" s="184"/>
      <c r="I1173" s="184"/>
      <c r="J1173" s="184"/>
      <c r="K1173" s="184"/>
    </row>
    <row r="1174" spans="1:11">
      <c r="A1174" s="1458"/>
      <c r="B1174" s="1460" t="s">
        <v>909</v>
      </c>
      <c r="C1174" s="235" t="s">
        <v>3169</v>
      </c>
      <c r="D1174" s="753">
        <f>SUMIFS(Composición!$G$1224:$G$1515,Composición!$D$1224:$D$1515,Notas!B1174,Composición!$F$1224:$F$1515,"I")</f>
        <v>0</v>
      </c>
      <c r="E1174" s="753">
        <f>SUMIFS(Composición!$J$1224:$J$1515,Composición!$D$1224:$D$1515,Notas!B1174,Composición!$F$1224:$F$1515,"I")</f>
        <v>0</v>
      </c>
      <c r="F1174" s="204"/>
      <c r="G1174" s="184"/>
      <c r="H1174" s="184"/>
      <c r="I1174" s="184"/>
      <c r="J1174" s="184"/>
      <c r="K1174" s="184"/>
    </row>
    <row r="1175" spans="1:11">
      <c r="A1175" s="1458"/>
      <c r="B1175" s="1460" t="s">
        <v>1068</v>
      </c>
      <c r="C1175" s="235" t="s">
        <v>3168</v>
      </c>
      <c r="D1175" s="753">
        <f>SUMIFS(Composición!$G$1224:$G$1515,Composición!$D$1224:$D$1515,Notas!B1175,Composición!$F$1224:$F$1515,"I")</f>
        <v>0</v>
      </c>
      <c r="E1175" s="753">
        <f>SUMIFS(Composición!$J$1224:$J$1515,Composición!$D$1224:$D$1515,Notas!B1175,Composición!$F$1224:$F$1515,"I")</f>
        <v>6423396</v>
      </c>
      <c r="F1175" s="204"/>
      <c r="G1175" s="184"/>
      <c r="H1175" s="184"/>
      <c r="I1175" s="184"/>
      <c r="J1175" s="184"/>
      <c r="K1175" s="184"/>
    </row>
    <row r="1176" spans="1:11">
      <c r="A1176" s="1458"/>
      <c r="B1176" s="1460" t="s">
        <v>1088</v>
      </c>
      <c r="C1176" s="235" t="s">
        <v>1088</v>
      </c>
      <c r="D1176" s="753">
        <f>SUMIFS(Composición!$G$1224:$G$1515,Composición!$D$1224:$D$1515,Notas!B1176,Composición!$F$1224:$F$1515,"I")</f>
        <v>0</v>
      </c>
      <c r="E1176" s="753">
        <f>SUMIFS(Composición!$J$1224:$J$1515,Composición!$D$1224:$D$1515,Notas!B1176,Composición!$F$1224:$F$1515,"I")</f>
        <v>0</v>
      </c>
      <c r="F1176" s="204"/>
      <c r="G1176" s="184"/>
      <c r="H1176" s="184"/>
      <c r="I1176" s="184"/>
      <c r="J1176" s="184"/>
      <c r="K1176" s="184"/>
    </row>
    <row r="1177" spans="1:11">
      <c r="A1177" s="1458"/>
      <c r="B1177" s="1460" t="s">
        <v>1097</v>
      </c>
      <c r="C1177" s="235" t="s">
        <v>3167</v>
      </c>
      <c r="D1177" s="753">
        <f>SUMIFS(Composición!$G$1224:$G$1515,Composición!$D$1224:$D$1515,Notas!B1177,Composición!$F$1224:$F$1515,"I")</f>
        <v>0</v>
      </c>
      <c r="E1177" s="753">
        <f>SUMIFS(Composición!$J$1224:$J$1515,Composición!$D$1224:$D$1515,Notas!B1177,Composición!$F$1224:$F$1515,"I")</f>
        <v>0</v>
      </c>
      <c r="F1177" s="204"/>
      <c r="G1177" s="184"/>
      <c r="H1177" s="184"/>
      <c r="I1177" s="184"/>
      <c r="J1177" s="184"/>
      <c r="K1177" s="184"/>
    </row>
    <row r="1178" spans="1:11">
      <c r="A1178" s="1458"/>
      <c r="B1178" s="1460" t="s">
        <v>1098</v>
      </c>
      <c r="C1178" s="235" t="s">
        <v>1098</v>
      </c>
      <c r="D1178" s="753">
        <f>SUMIFS(Composición!$G$1224:$G$1515,Composición!$D$1224:$D$1515,Notas!B1178,Composición!$F$1224:$F$1515,"I")</f>
        <v>0</v>
      </c>
      <c r="E1178" s="753">
        <f>SUMIFS(Composición!$J$1224:$J$1515,Composición!$D$1224:$D$1515,Notas!B1178,Composición!$F$1224:$F$1515,"I")</f>
        <v>45854541</v>
      </c>
      <c r="F1178" s="204"/>
      <c r="G1178" s="184"/>
      <c r="H1178" s="184"/>
      <c r="I1178" s="184"/>
      <c r="J1178" s="184"/>
      <c r="K1178" s="184"/>
    </row>
    <row r="1179" spans="1:11">
      <c r="A1179" s="1458"/>
      <c r="B1179" s="1460" t="s">
        <v>1103</v>
      </c>
      <c r="C1179" s="235" t="s">
        <v>3166</v>
      </c>
      <c r="D1179" s="753">
        <f>SUMIFS(Composición!$G$1224:$G$1515,Composición!$D$1224:$D$1515,Notas!B1179,Composición!$F$1224:$F$1515,"I")</f>
        <v>0</v>
      </c>
      <c r="E1179" s="753">
        <f>SUMIFS(Composición!$J$1224:$J$1515,Composición!$D$1224:$D$1515,Notas!B1179,Composición!$F$1224:$F$1515,"I")</f>
        <v>0</v>
      </c>
      <c r="F1179" s="204"/>
      <c r="G1179" s="184"/>
      <c r="H1179" s="184"/>
      <c r="I1179" s="184"/>
      <c r="J1179" s="184"/>
      <c r="K1179" s="184"/>
    </row>
    <row r="1180" spans="1:11">
      <c r="A1180" s="1458"/>
      <c r="B1180" s="1460" t="s">
        <v>502</v>
      </c>
      <c r="C1180" s="235" t="s">
        <v>3174</v>
      </c>
      <c r="D1180" s="753">
        <f>SUMIFS(Composición!$G$1224:$G$1515,Composición!$D$1224:$D$1515,Notas!B1180,Composición!$F$1224:$F$1515,"I")</f>
        <v>0</v>
      </c>
      <c r="E1180" s="753">
        <f>SUMIFS(Composición!$J$1224:$J$1515,Composición!$D$1224:$D$1515,Notas!B1180,Composición!$F$1224:$F$1515,"I")</f>
        <v>291400000</v>
      </c>
      <c r="F1180" s="204"/>
      <c r="G1180" s="184"/>
      <c r="H1180" s="184"/>
      <c r="I1180" s="184"/>
      <c r="J1180" s="184"/>
      <c r="K1180" s="184"/>
    </row>
    <row r="1181" spans="1:11">
      <c r="A1181" s="1458"/>
      <c r="B1181" s="1460" t="s">
        <v>1106</v>
      </c>
      <c r="C1181" s="235" t="s">
        <v>3165</v>
      </c>
      <c r="D1181" s="753">
        <f>SUMIFS(Composición!$G$1224:$G$1515,Composición!$D$1224:$D$1515,Notas!B1181,Composición!$F$1224:$F$1515,"I")</f>
        <v>22646</v>
      </c>
      <c r="E1181" s="753">
        <f>SUMIFS(Composición!$J$1224:$J$1515,Composición!$D$1224:$D$1515,Notas!B1181,Composición!$F$1224:$F$1515,"I")</f>
        <v>0</v>
      </c>
      <c r="F1181" s="204"/>
      <c r="G1181" s="184"/>
      <c r="H1181" s="184"/>
      <c r="I1181" s="184"/>
      <c r="J1181" s="184"/>
      <c r="K1181" s="184"/>
    </row>
    <row r="1182" spans="1:11">
      <c r="A1182" s="1458"/>
      <c r="B1182" s="1460" t="s">
        <v>443</v>
      </c>
      <c r="C1182" s="235" t="s">
        <v>443</v>
      </c>
      <c r="D1182" s="753">
        <f>SUMIFS(Composición!$G$1224:$G$1515,Composición!$D$1224:$D$1515,Notas!B1182,Composición!$F$1224:$F$1515,"I")</f>
        <v>0</v>
      </c>
      <c r="E1182" s="753">
        <f>SUMIFS(Composición!$J$1224:$J$1515,Composición!$D$1224:$D$1515,Notas!B1182,Composición!$F$1224:$F$1515,"I")</f>
        <v>2763636</v>
      </c>
      <c r="F1182" s="204"/>
      <c r="G1182" s="184"/>
      <c r="H1182" s="184"/>
      <c r="I1182" s="184"/>
      <c r="J1182" s="184"/>
      <c r="K1182" s="184"/>
    </row>
    <row r="1183" spans="1:11" ht="16.2" thickBot="1">
      <c r="B1183" s="8"/>
      <c r="C1183" s="195"/>
      <c r="D1183" s="595"/>
      <c r="E1183" s="595"/>
      <c r="F1183" s="204"/>
      <c r="G1183" s="184"/>
      <c r="H1183" s="184"/>
      <c r="I1183" s="184"/>
      <c r="J1183" s="184"/>
      <c r="K1183" s="184"/>
    </row>
    <row r="1184" spans="1:11" ht="16.2" thickBot="1">
      <c r="C1184" s="193" t="s">
        <v>2020</v>
      </c>
      <c r="D1184" s="638">
        <f>+SUM(D1147:D1183)</f>
        <v>5130379852</v>
      </c>
      <c r="E1184" s="642">
        <f>SUM(E1147:E1182)</f>
        <v>4306463289</v>
      </c>
      <c r="F1184" s="542">
        <f>+D1184+'Estado de Resultados'!E49</f>
        <v>0</v>
      </c>
      <c r="G1184" s="542">
        <f>+E1184+'Estado de Resultados'!F49</f>
        <v>0</v>
      </c>
      <c r="H1184" s="264"/>
      <c r="I1184" s="184"/>
      <c r="J1184" s="184"/>
      <c r="K1184" s="184"/>
    </row>
    <row r="1185" spans="3:11">
      <c r="C1185" s="710"/>
      <c r="D1185" s="257"/>
      <c r="E1185" s="257"/>
      <c r="F1185" s="203"/>
      <c r="G1185" s="184"/>
      <c r="H1185" s="184"/>
      <c r="I1185" s="184"/>
      <c r="J1185" s="184"/>
      <c r="K1185" s="184"/>
    </row>
    <row r="1186" spans="3:11">
      <c r="C1186" s="257"/>
      <c r="D1186" s="257"/>
      <c r="E1186" s="257"/>
      <c r="F1186" s="203"/>
      <c r="G1186" s="184"/>
      <c r="H1186" s="184"/>
      <c r="I1186" s="184"/>
      <c r="J1186" s="184"/>
      <c r="K1186" s="184"/>
    </row>
    <row r="1187" spans="3:11">
      <c r="C1187" s="9" t="s">
        <v>2023</v>
      </c>
      <c r="D1187" s="184"/>
      <c r="E1187" s="184"/>
      <c r="F1187" s="184"/>
      <c r="G1187" s="184"/>
      <c r="H1187" s="184"/>
      <c r="I1187" s="184"/>
      <c r="J1187" s="184"/>
      <c r="K1187" s="184"/>
    </row>
    <row r="1188" spans="3:11">
      <c r="C1188" s="248" t="s">
        <v>1913</v>
      </c>
      <c r="D1188" s="184"/>
      <c r="E1188" s="184"/>
      <c r="F1188" s="184"/>
      <c r="G1188" s="184"/>
      <c r="H1188" s="184"/>
      <c r="I1188" s="184"/>
      <c r="J1188" s="184"/>
      <c r="K1188" s="184"/>
    </row>
    <row r="1189" spans="3:11" ht="16.2" thickBot="1">
      <c r="C1189" s="248"/>
      <c r="D1189" s="184"/>
      <c r="E1189" s="184"/>
      <c r="F1189" s="184"/>
      <c r="G1189" s="184"/>
      <c r="H1189" s="184"/>
      <c r="I1189" s="184"/>
      <c r="J1189" s="184"/>
      <c r="K1189" s="184"/>
    </row>
    <row r="1190" spans="3:11" ht="31.8" thickBot="1">
      <c r="C1190" s="516" t="s">
        <v>1906</v>
      </c>
      <c r="D1190" s="267" t="s">
        <v>3024</v>
      </c>
      <c r="E1190" s="267" t="s">
        <v>3023</v>
      </c>
      <c r="F1190" s="184"/>
      <c r="G1190" s="184"/>
      <c r="H1190" s="184"/>
      <c r="I1190" s="184"/>
      <c r="J1190" s="184"/>
      <c r="K1190" s="184"/>
    </row>
    <row r="1191" spans="3:11">
      <c r="C1191" s="235" t="s">
        <v>392</v>
      </c>
      <c r="D1191" s="591">
        <f>+Composición!G1220</f>
        <v>10398402</v>
      </c>
      <c r="E1191" s="591">
        <f>+Composición!J1220</f>
        <v>5400000</v>
      </c>
      <c r="F1191" s="184"/>
      <c r="G1191" s="184"/>
      <c r="H1191" s="184"/>
      <c r="I1191" s="184"/>
      <c r="J1191" s="184"/>
      <c r="K1191" s="184"/>
    </row>
    <row r="1192" spans="3:11">
      <c r="C1192" s="235" t="s">
        <v>390</v>
      </c>
      <c r="D1192" s="624">
        <f>+Composición!G1217</f>
        <v>93054</v>
      </c>
      <c r="E1192" s="591">
        <f>+Composición!J1217</f>
        <v>878379</v>
      </c>
      <c r="F1192" s="184"/>
      <c r="G1192" s="184"/>
      <c r="H1192" s="184"/>
      <c r="I1192" s="184"/>
      <c r="J1192" s="184"/>
      <c r="K1192" s="184"/>
    </row>
    <row r="1193" spans="3:11">
      <c r="C1193" s="235" t="s">
        <v>2024</v>
      </c>
      <c r="D1193" s="664">
        <f>+Composición!G1216</f>
        <v>0</v>
      </c>
      <c r="E1193" s="591">
        <f>+Composición!J1216</f>
        <v>101400</v>
      </c>
      <c r="F1193" s="184"/>
      <c r="G1193" s="184"/>
      <c r="H1193" s="184"/>
      <c r="I1193" s="184"/>
      <c r="J1193" s="184"/>
      <c r="K1193" s="184"/>
    </row>
    <row r="1194" spans="3:11" ht="16.2" thickBot="1">
      <c r="C1194" s="195"/>
      <c r="D1194" s="591"/>
      <c r="E1194" s="591"/>
      <c r="F1194" s="184"/>
      <c r="G1194" s="184"/>
      <c r="H1194" s="184"/>
      <c r="I1194" s="184"/>
      <c r="J1194" s="184"/>
      <c r="K1194" s="184"/>
    </row>
    <row r="1195" spans="3:11" ht="16.2" thickBot="1">
      <c r="C1195" s="538" t="s">
        <v>2025</v>
      </c>
      <c r="D1195" s="638">
        <f>+SUM(D1191:D1194)</f>
        <v>10491456</v>
      </c>
      <c r="E1195" s="638">
        <f>+SUM(E1191:E1194)</f>
        <v>6379779</v>
      </c>
      <c r="F1195" s="379">
        <f>+D1195-'Estado de Resultados'!E54</f>
        <v>0</v>
      </c>
      <c r="G1195" s="379">
        <f>+E1195-'Estado de Resultados'!F54</f>
        <v>0</v>
      </c>
      <c r="H1195" s="184"/>
      <c r="I1195" s="184"/>
      <c r="J1195" s="184"/>
      <c r="K1195" s="184"/>
    </row>
    <row r="1196" spans="3:11">
      <c r="C1196" s="235" t="s">
        <v>3145</v>
      </c>
      <c r="D1196" s="591">
        <f>+Composición!G1515</f>
        <v>20341178</v>
      </c>
      <c r="E1196" s="591">
        <f>+Composición!J1515</f>
        <v>76040747</v>
      </c>
      <c r="F1196" s="184"/>
      <c r="G1196" s="184"/>
      <c r="H1196" s="184"/>
      <c r="I1196" s="184"/>
      <c r="J1196" s="184"/>
      <c r="K1196" s="184"/>
    </row>
    <row r="1197" spans="3:11">
      <c r="C1197" s="235" t="s">
        <v>3146</v>
      </c>
      <c r="D1197" s="591">
        <f>+Composición!G1516</f>
        <v>9253594</v>
      </c>
      <c r="E1197" s="664">
        <v>0</v>
      </c>
      <c r="F1197" s="184"/>
      <c r="G1197" s="184"/>
      <c r="H1197" s="184"/>
      <c r="I1197" s="184"/>
      <c r="J1197" s="184"/>
      <c r="K1197" s="184"/>
    </row>
    <row r="1198" spans="3:11">
      <c r="C1198" s="235" t="s">
        <v>3147</v>
      </c>
      <c r="D1198" s="591">
        <f>+Composición!G1517</f>
        <v>1541807</v>
      </c>
      <c r="E1198" s="664">
        <v>0</v>
      </c>
      <c r="F1198" s="184"/>
      <c r="G1198" s="184"/>
      <c r="H1198" s="184"/>
      <c r="I1198" s="184"/>
      <c r="J1198" s="184"/>
      <c r="K1198" s="184"/>
    </row>
    <row r="1199" spans="3:11">
      <c r="C1199" s="235" t="s">
        <v>2026</v>
      </c>
      <c r="D1199" s="591">
        <f>+Composición!G1514</f>
        <v>804356</v>
      </c>
      <c r="E1199" s="591">
        <f>+Composición!J1514</f>
        <v>7589</v>
      </c>
      <c r="F1199" s="184"/>
      <c r="G1199" s="184"/>
      <c r="H1199" s="184"/>
      <c r="I1199" s="184"/>
      <c r="J1199" s="184"/>
      <c r="K1199" s="184"/>
    </row>
    <row r="1200" spans="3:11" ht="16.2" thickBot="1">
      <c r="C1200" s="195" t="s">
        <v>3148</v>
      </c>
      <c r="D1200" s="591">
        <f>+Composición!G1518</f>
        <v>393830</v>
      </c>
      <c r="E1200" s="664">
        <v>0</v>
      </c>
      <c r="F1200" s="184"/>
      <c r="G1200" s="184"/>
      <c r="H1200" s="184"/>
      <c r="I1200" s="184"/>
      <c r="J1200" s="184"/>
      <c r="K1200" s="184"/>
    </row>
    <row r="1201" spans="3:11" ht="16.2" thickBot="1">
      <c r="C1201" s="538" t="s">
        <v>2027</v>
      </c>
      <c r="D1201" s="638">
        <f>SUM(D1196:D1200)</f>
        <v>32334765</v>
      </c>
      <c r="E1201" s="638">
        <f>SUM(E1196:E1200)</f>
        <v>76048336</v>
      </c>
      <c r="F1201" s="590">
        <f>+D1201+'Estado de Resultados'!E55</f>
        <v>0</v>
      </c>
      <c r="G1201" s="590">
        <f>+E1201+'Estado de Resultados'!F55</f>
        <v>0</v>
      </c>
      <c r="H1201" s="184"/>
      <c r="I1201" s="184"/>
      <c r="J1201" s="184"/>
      <c r="K1201" s="184"/>
    </row>
    <row r="1202" spans="3:11">
      <c r="C1202" s="710"/>
      <c r="D1202" s="257"/>
      <c r="E1202" s="257"/>
      <c r="F1202" s="184"/>
      <c r="G1202" s="184"/>
      <c r="H1202" s="184"/>
      <c r="I1202" s="184"/>
      <c r="J1202" s="184"/>
      <c r="K1202" s="184"/>
    </row>
    <row r="1203" spans="3:11">
      <c r="C1203" s="257"/>
      <c r="D1203" s="257"/>
      <c r="E1203" s="257"/>
      <c r="F1203" s="184"/>
      <c r="G1203" s="184"/>
      <c r="H1203" s="184"/>
      <c r="I1203" s="184"/>
      <c r="J1203" s="184"/>
      <c r="K1203" s="184"/>
    </row>
    <row r="1204" spans="3:11">
      <c r="C1204" s="172" t="s">
        <v>2028</v>
      </c>
      <c r="D1204" s="265"/>
      <c r="E1204" s="265"/>
      <c r="F1204" s="184"/>
      <c r="G1204" s="184"/>
      <c r="H1204" s="184"/>
      <c r="I1204" s="184"/>
      <c r="J1204" s="184"/>
      <c r="K1204" s="184"/>
    </row>
    <row r="1205" spans="3:11">
      <c r="C1205" s="248" t="s">
        <v>1913</v>
      </c>
      <c r="D1205" s="265"/>
      <c r="E1205" s="265"/>
      <c r="F1205" s="184"/>
      <c r="G1205" s="184"/>
      <c r="H1205" s="184"/>
      <c r="I1205" s="184"/>
      <c r="J1205" s="184"/>
      <c r="K1205" s="184"/>
    </row>
    <row r="1206" spans="3:11" ht="16.2" thickBot="1">
      <c r="C1206" s="248"/>
      <c r="D1206" s="265"/>
      <c r="E1206" s="265"/>
      <c r="F1206" s="184"/>
      <c r="G1206" s="184"/>
      <c r="H1206" s="184"/>
      <c r="I1206" s="184"/>
      <c r="J1206" s="184"/>
      <c r="K1206" s="184"/>
    </row>
    <row r="1207" spans="3:11" ht="31.8" thickBot="1">
      <c r="C1207" s="266" t="s">
        <v>2029</v>
      </c>
      <c r="D1207" s="267" t="s">
        <v>3021</v>
      </c>
      <c r="E1207" s="267" t="s">
        <v>3022</v>
      </c>
      <c r="F1207" s="184"/>
      <c r="G1207" s="184"/>
      <c r="H1207" s="184"/>
      <c r="I1207" s="184"/>
      <c r="J1207" s="184"/>
      <c r="K1207" s="184"/>
    </row>
    <row r="1208" spans="3:11" hidden="1">
      <c r="C1208" s="412" t="s">
        <v>383</v>
      </c>
      <c r="D1208" s="664">
        <v>0</v>
      </c>
      <c r="E1208" s="664">
        <v>0</v>
      </c>
      <c r="F1208" s="184"/>
      <c r="G1208" s="184"/>
      <c r="H1208" s="184"/>
      <c r="I1208" s="184"/>
      <c r="J1208" s="184"/>
      <c r="K1208" s="184"/>
    </row>
    <row r="1209" spans="3:11">
      <c r="C1209" s="235" t="s">
        <v>385</v>
      </c>
      <c r="D1209" s="591">
        <f>+Composición!G1204</f>
        <v>13030597785</v>
      </c>
      <c r="E1209" s="591">
        <f>+Composición!J1204</f>
        <v>6135016088</v>
      </c>
      <c r="F1209" s="184"/>
      <c r="G1209" s="184"/>
      <c r="H1209" s="184"/>
      <c r="I1209" s="184"/>
      <c r="J1209" s="184"/>
      <c r="K1209" s="184"/>
    </row>
    <row r="1210" spans="3:11">
      <c r="C1210" s="235" t="s">
        <v>386</v>
      </c>
      <c r="D1210" s="591">
        <f>+Composición!G1205</f>
        <v>3924434844</v>
      </c>
      <c r="E1210" s="591">
        <f>+Composición!J1205</f>
        <v>3257914876</v>
      </c>
      <c r="F1210" s="184"/>
      <c r="G1210" s="184"/>
      <c r="H1210" s="184"/>
      <c r="I1210" s="184"/>
      <c r="J1210" s="184"/>
      <c r="K1210" s="184"/>
    </row>
    <row r="1211" spans="3:11" ht="16.2" thickBot="1">
      <c r="C1211" s="195"/>
      <c r="D1211" s="591"/>
      <c r="E1211" s="591"/>
      <c r="F1211" s="184"/>
      <c r="G1211" s="184"/>
      <c r="H1211" s="184"/>
      <c r="I1211" s="184"/>
      <c r="J1211" s="184"/>
      <c r="K1211" s="184"/>
    </row>
    <row r="1212" spans="3:11" ht="16.2" thickBot="1">
      <c r="C1212" s="670" t="s">
        <v>1331</v>
      </c>
      <c r="D1212" s="671">
        <f>+SUM(D1209:D1211)</f>
        <v>16955032629</v>
      </c>
      <c r="E1212" s="671">
        <f>+SUM(E1209:E1211)</f>
        <v>9392930964</v>
      </c>
      <c r="F1212" s="255"/>
      <c r="G1212" s="184"/>
      <c r="H1212" s="184"/>
      <c r="I1212" s="184"/>
      <c r="J1212" s="184"/>
      <c r="K1212" s="184"/>
    </row>
    <row r="1213" spans="3:11" ht="31.8" thickBot="1">
      <c r="C1213" s="242" t="s">
        <v>2030</v>
      </c>
      <c r="D1213" s="267" t="str">
        <f>+D1207</f>
        <v>31/12/2024
₲</v>
      </c>
      <c r="E1213" s="267" t="str">
        <f>+E1207</f>
        <v>31/12/2023(*)               
₲</v>
      </c>
      <c r="F1213" s="184"/>
      <c r="G1213" s="184"/>
      <c r="H1213" s="184"/>
      <c r="I1213" s="184"/>
      <c r="J1213" s="184"/>
      <c r="K1213" s="184"/>
    </row>
    <row r="1214" spans="3:11">
      <c r="C1214" s="235" t="s">
        <v>385</v>
      </c>
      <c r="D1214" s="665">
        <f>-Composición!G1487</f>
        <v>-8825477002</v>
      </c>
      <c r="E1214" s="665">
        <f>-Composición!J1487</f>
        <v>-5865971373</v>
      </c>
      <c r="F1214" s="184"/>
      <c r="G1214" s="184"/>
      <c r="H1214" s="184"/>
      <c r="I1214" s="184"/>
      <c r="J1214" s="184"/>
      <c r="K1214" s="184"/>
    </row>
    <row r="1215" spans="3:11">
      <c r="C1215" s="235" t="s">
        <v>386</v>
      </c>
      <c r="D1215" s="665">
        <f>-Composición!G1488</f>
        <v>-7342337354</v>
      </c>
      <c r="E1215" s="665">
        <f>-Composición!J1488</f>
        <v>-3359373398</v>
      </c>
      <c r="F1215" s="204"/>
      <c r="G1215" s="184"/>
      <c r="H1215" s="184"/>
      <c r="I1215" s="184"/>
      <c r="J1215" s="184"/>
      <c r="K1215" s="184"/>
    </row>
    <row r="1216" spans="3:11">
      <c r="C1216" s="235" t="s">
        <v>1099</v>
      </c>
      <c r="D1216" s="665">
        <f>-Composición!G1480-Composición!G1479</f>
        <v>-1857591523</v>
      </c>
      <c r="E1216" s="665">
        <f>-Composición!J1480-Composición!J1479</f>
        <v>-493269424</v>
      </c>
      <c r="F1216" s="184"/>
      <c r="G1216" s="184"/>
      <c r="H1216" s="184"/>
      <c r="I1216" s="184"/>
      <c r="J1216" s="184"/>
      <c r="K1216" s="184"/>
    </row>
    <row r="1217" spans="3:11" ht="16.2" thickBot="1">
      <c r="C1217" s="195"/>
      <c r="D1217" s="665"/>
      <c r="E1217" s="665"/>
      <c r="F1217" s="184"/>
      <c r="G1217" s="184"/>
      <c r="H1217" s="184"/>
      <c r="I1217" s="184"/>
      <c r="J1217" s="184"/>
      <c r="K1217" s="184"/>
    </row>
    <row r="1218" spans="3:11" ht="16.2" thickBot="1">
      <c r="C1218" s="670" t="s">
        <v>1331</v>
      </c>
      <c r="D1218" s="672">
        <f>+SUM(D1214:D1216)</f>
        <v>-18025405879</v>
      </c>
      <c r="E1218" s="672">
        <f>+SUM(E1214:E1216)</f>
        <v>-9718614195</v>
      </c>
      <c r="F1218" s="204"/>
      <c r="G1218" s="184"/>
      <c r="H1218" s="184"/>
      <c r="I1218" s="184"/>
      <c r="J1218" s="184"/>
      <c r="K1218" s="184"/>
    </row>
    <row r="1219" spans="3:11" ht="16.2" thickBot="1">
      <c r="C1219" s="193" t="s">
        <v>2031</v>
      </c>
      <c r="D1219" s="666">
        <f>+D1212+D1218</f>
        <v>-1070373250</v>
      </c>
      <c r="E1219" s="666">
        <f>+E1212+E1218</f>
        <v>-325683231</v>
      </c>
      <c r="F1219" s="379">
        <f>+D1219-'Estado de Resultados'!$E$57</f>
        <v>0</v>
      </c>
      <c r="G1219" s="379">
        <f>+E1219-'Estado de Resultados'!$F$57</f>
        <v>0</v>
      </c>
      <c r="H1219" s="184"/>
      <c r="I1219" s="184"/>
      <c r="J1219" s="184"/>
      <c r="K1219" s="184"/>
    </row>
    <row r="1220" spans="3:11">
      <c r="C1220" s="710" t="s">
        <v>2010</v>
      </c>
      <c r="D1220" s="184"/>
      <c r="E1220" s="184"/>
      <c r="F1220" s="184"/>
      <c r="G1220" s="184"/>
      <c r="H1220" s="184"/>
      <c r="I1220" s="184"/>
      <c r="J1220" s="184"/>
      <c r="K1220" s="184"/>
    </row>
    <row r="1222" spans="3:11">
      <c r="C1222" s="1552" t="s">
        <v>2580</v>
      </c>
      <c r="D1222" s="1552"/>
      <c r="E1222" s="1552"/>
      <c r="F1222" s="1552"/>
      <c r="G1222" s="1552"/>
      <c r="H1222" s="184"/>
    </row>
    <row r="1223" spans="3:11">
      <c r="C1223" s="184"/>
      <c r="D1223" s="184"/>
      <c r="E1223" s="184"/>
      <c r="F1223" s="184"/>
      <c r="G1223" s="184"/>
      <c r="H1223" s="184"/>
    </row>
    <row r="1224" spans="3:11">
      <c r="C1224" s="1552" t="s">
        <v>2581</v>
      </c>
      <c r="D1224" s="1552"/>
      <c r="E1224" s="1552"/>
      <c r="F1224" s="1552"/>
      <c r="G1224" s="1552"/>
      <c r="H1224" s="1552"/>
    </row>
    <row r="1225" spans="3:11">
      <c r="C1225" s="1553" t="s">
        <v>2582</v>
      </c>
      <c r="D1225" s="1553"/>
      <c r="E1225" s="1553"/>
      <c r="F1225" s="1553"/>
      <c r="G1225" s="1553"/>
      <c r="H1225" s="1553"/>
    </row>
    <row r="1226" spans="3:11">
      <c r="C1226" s="1553"/>
      <c r="D1226" s="1553"/>
      <c r="E1226" s="1553"/>
      <c r="F1226" s="1553"/>
      <c r="G1226" s="1553"/>
      <c r="H1226" s="1553"/>
    </row>
    <row r="1227" spans="3:11">
      <c r="C1227" s="1552" t="s">
        <v>2583</v>
      </c>
      <c r="D1227" s="1552"/>
      <c r="E1227" s="1552"/>
      <c r="F1227" s="1552"/>
      <c r="G1227" s="1552"/>
      <c r="H1227" s="1552"/>
    </row>
    <row r="1228" spans="3:11">
      <c r="C1228" s="1554" t="s">
        <v>2584</v>
      </c>
      <c r="D1228" s="1554"/>
      <c r="E1228" s="1554"/>
      <c r="F1228" s="1554"/>
      <c r="G1228" s="1554"/>
      <c r="H1228" s="1554"/>
    </row>
    <row r="1229" spans="3:11">
      <c r="C1229" s="1553"/>
      <c r="D1229" s="1553"/>
      <c r="E1229" s="1553"/>
      <c r="F1229" s="1553"/>
      <c r="G1229" s="1553"/>
      <c r="H1229" s="1553"/>
    </row>
    <row r="1230" spans="3:11">
      <c r="C1230" s="1552" t="s">
        <v>2585</v>
      </c>
      <c r="D1230" s="1552"/>
      <c r="E1230" s="1552"/>
      <c r="F1230" s="1552"/>
      <c r="G1230" s="1552"/>
      <c r="H1230" s="1552"/>
    </row>
    <row r="1231" spans="3:11" ht="48.6" customHeight="1">
      <c r="C1231" s="1533" t="s">
        <v>2689</v>
      </c>
      <c r="D1231" s="1533"/>
      <c r="E1231" s="1533"/>
      <c r="F1231" s="1533"/>
      <c r="G1231" s="1533"/>
      <c r="H1231" s="1533"/>
    </row>
    <row r="1232" spans="3:11">
      <c r="C1232" s="189"/>
      <c r="D1232" s="189"/>
      <c r="E1232" s="189"/>
      <c r="F1232" s="189"/>
      <c r="G1232" s="189"/>
      <c r="H1232" s="189"/>
    </row>
    <row r="1233" spans="3:8">
      <c r="C1233" s="1549" t="s">
        <v>2586</v>
      </c>
      <c r="D1233" s="1549"/>
      <c r="E1233" s="1549"/>
      <c r="F1233" s="1549"/>
      <c r="G1233" s="1549"/>
      <c r="H1233" s="1549"/>
    </row>
    <row r="1234" spans="3:8">
      <c r="C1234" s="184"/>
      <c r="D1234" s="184"/>
      <c r="E1234" s="184"/>
      <c r="F1234" s="184"/>
      <c r="G1234" s="184"/>
      <c r="H1234" s="184"/>
    </row>
    <row r="1235" spans="3:8">
      <c r="C1235" s="1550" t="s">
        <v>2691</v>
      </c>
      <c r="D1235" s="1551"/>
      <c r="E1235" s="1551"/>
      <c r="F1235" s="1551"/>
      <c r="G1235" s="1551"/>
      <c r="H1235" s="1551"/>
    </row>
    <row r="1236" spans="3:8">
      <c r="C1236" s="1551"/>
      <c r="D1236" s="1551"/>
      <c r="E1236" s="1551"/>
      <c r="F1236" s="1551"/>
      <c r="G1236" s="1551"/>
      <c r="H1236" s="1551"/>
    </row>
    <row r="1237" spans="3:8">
      <c r="C1237" s="1551"/>
      <c r="D1237" s="1551"/>
      <c r="E1237" s="1551"/>
      <c r="F1237" s="1551"/>
      <c r="G1237" s="1551"/>
      <c r="H1237" s="1551"/>
    </row>
    <row r="1238" spans="3:8">
      <c r="C1238" s="184"/>
      <c r="D1238" s="184"/>
      <c r="E1238" s="184"/>
      <c r="F1238" s="184"/>
      <c r="G1238" s="184"/>
      <c r="H1238" s="184"/>
    </row>
    <row r="1239" spans="3:8">
      <c r="C1239" s="1549" t="s">
        <v>2587</v>
      </c>
      <c r="D1239" s="1549"/>
      <c r="E1239" s="1549"/>
      <c r="F1239" s="1549"/>
      <c r="G1239" s="1549"/>
      <c r="H1239" s="1549"/>
    </row>
    <row r="1240" spans="3:8">
      <c r="C1240" s="184"/>
      <c r="D1240" s="184"/>
      <c r="E1240" s="184"/>
      <c r="F1240" s="184"/>
      <c r="G1240" s="184"/>
      <c r="H1240" s="184"/>
    </row>
    <row r="1241" spans="3:8">
      <c r="C1241" s="1533" t="s">
        <v>2588</v>
      </c>
      <c r="D1241" s="1533"/>
      <c r="E1241" s="1533"/>
      <c r="F1241" s="1533"/>
      <c r="G1241" s="1533"/>
      <c r="H1241" s="1533"/>
    </row>
    <row r="1242" spans="3:8">
      <c r="C1242" s="1533"/>
      <c r="D1242" s="1533"/>
      <c r="E1242" s="1533"/>
      <c r="F1242" s="1533"/>
      <c r="G1242" s="1533"/>
      <c r="H1242" s="1533"/>
    </row>
    <row r="1243" spans="3:8">
      <c r="C1243" s="1533"/>
      <c r="D1243" s="1533"/>
      <c r="E1243" s="1533"/>
      <c r="F1243" s="1533"/>
      <c r="G1243" s="1533"/>
      <c r="H1243" s="1533"/>
    </row>
    <row r="1244" spans="3:8" ht="51" customHeight="1">
      <c r="C1244" s="1533"/>
      <c r="D1244" s="1533"/>
      <c r="E1244" s="1533"/>
      <c r="F1244" s="1533"/>
      <c r="G1244" s="1533"/>
      <c r="H1244" s="1533"/>
    </row>
    <row r="1245" spans="3:8">
      <c r="C1245" s="184"/>
      <c r="D1245" s="184"/>
      <c r="E1245" s="184"/>
      <c r="F1245" s="184"/>
      <c r="G1245" s="184"/>
      <c r="H1245" s="184"/>
    </row>
    <row r="1246" spans="3:8">
      <c r="C1246" s="1552" t="s">
        <v>3089</v>
      </c>
      <c r="D1246" s="1552"/>
      <c r="E1246" s="1552"/>
      <c r="F1246" s="1552"/>
      <c r="G1246" s="1552"/>
      <c r="H1246" s="1552"/>
    </row>
    <row r="1247" spans="3:8" ht="30" customHeight="1">
      <c r="C1247" s="1558" t="s">
        <v>3090</v>
      </c>
      <c r="D1247" s="1558"/>
      <c r="E1247" s="1558"/>
      <c r="F1247" s="1558"/>
      <c r="G1247" s="1558"/>
      <c r="H1247" s="1558"/>
    </row>
    <row r="1248" spans="3:8" ht="25.2" customHeight="1">
      <c r="C1248" s="1385"/>
      <c r="D1248" s="1385"/>
      <c r="E1248" s="1385"/>
      <c r="F1248" s="1428">
        <v>45657</v>
      </c>
      <c r="G1248" s="119"/>
      <c r="H1248" s="1428">
        <v>45291</v>
      </c>
    </row>
    <row r="1249" spans="3:12" ht="15" customHeight="1">
      <c r="C1249" s="1385"/>
      <c r="D1249" s="1385"/>
      <c r="E1249" s="1385"/>
      <c r="F1249" s="1429" t="s">
        <v>3091</v>
      </c>
      <c r="G1249" s="119"/>
      <c r="H1249" s="1429" t="s">
        <v>3091</v>
      </c>
    </row>
    <row r="1250" spans="3:12" ht="21" customHeight="1">
      <c r="C1250" s="1430" t="s">
        <v>3092</v>
      </c>
      <c r="D1250" s="102"/>
      <c r="F1250" s="1431">
        <f>+'Estado de Resultados'!E68</f>
        <v>19131089762</v>
      </c>
      <c r="H1250" s="1431">
        <v>3595922735</v>
      </c>
    </row>
    <row r="1251" spans="3:12" ht="15" customHeight="1">
      <c r="C1251" s="1432" t="s">
        <v>3093</v>
      </c>
      <c r="D1251" s="184"/>
      <c r="F1251" s="1433">
        <v>0.1</v>
      </c>
      <c r="H1251" s="1434">
        <v>0.1</v>
      </c>
    </row>
    <row r="1252" spans="3:12" ht="20.399999999999999" customHeight="1">
      <c r="C1252" s="1430" t="s">
        <v>3094</v>
      </c>
      <c r="D1252" s="184"/>
      <c r="F1252" s="1435">
        <f>+F1250*F1251</f>
        <v>1913108976.2</v>
      </c>
      <c r="H1252" s="1435">
        <v>359592274</v>
      </c>
      <c r="I1252" s="1437"/>
    </row>
    <row r="1253" spans="3:12" ht="24" customHeight="1">
      <c r="C1253" s="1432" t="s">
        <v>3095</v>
      </c>
      <c r="D1253" s="184"/>
      <c r="F1253" s="962">
        <v>-112764588.7</v>
      </c>
      <c r="G1253" s="1385"/>
      <c r="H1253" s="962">
        <f>-(H1252+H1254)+H1255+1</f>
        <v>173852133</v>
      </c>
      <c r="I1253" s="46"/>
    </row>
    <row r="1254" spans="3:12" ht="21.6" customHeight="1">
      <c r="C1254" s="1432" t="s">
        <v>3149</v>
      </c>
      <c r="D1254" s="1385"/>
      <c r="E1254" s="1385"/>
      <c r="F1254" s="1446">
        <v>-134153049.5</v>
      </c>
      <c r="G1254" s="1385"/>
      <c r="H1254" s="1447">
        <v>-106688881</v>
      </c>
    </row>
    <row r="1255" spans="3:12" ht="18" customHeight="1" thickBot="1">
      <c r="C1255" s="1430" t="s">
        <v>3096</v>
      </c>
      <c r="D1255" s="1385"/>
      <c r="E1255" s="1385"/>
      <c r="F1255" s="1436">
        <f>SUM(F1252:F1254)</f>
        <v>1666191338</v>
      </c>
      <c r="G1255" s="1385"/>
      <c r="H1255" s="1436">
        <v>426755525</v>
      </c>
      <c r="J1255" s="1384">
        <f>+F1255+'Estado de Resultados'!E70</f>
        <v>0</v>
      </c>
      <c r="K1255" s="1328"/>
      <c r="L1255" s="1384">
        <f>+H1255+'Estado de Resultados'!F70</f>
        <v>0</v>
      </c>
    </row>
    <row r="1256" spans="3:12" ht="16.2" thickTop="1">
      <c r="C1256" s="184"/>
      <c r="D1256" s="184"/>
      <c r="E1256" s="184"/>
    </row>
    <row r="1257" spans="3:12">
      <c r="C1257" s="1552" t="s">
        <v>3097</v>
      </c>
      <c r="D1257" s="1552"/>
      <c r="E1257" s="1552"/>
      <c r="F1257" s="1552"/>
      <c r="G1257" s="1552"/>
      <c r="H1257" s="1552"/>
    </row>
    <row r="1258" spans="3:12" ht="30" customHeight="1">
      <c r="C1258" s="1558" t="s">
        <v>2589</v>
      </c>
      <c r="D1258" s="1558"/>
      <c r="E1258" s="1558"/>
      <c r="F1258" s="1558"/>
      <c r="G1258" s="1558"/>
      <c r="H1258" s="1558"/>
    </row>
    <row r="1259" spans="3:12">
      <c r="C1259" s="184"/>
      <c r="D1259" s="184"/>
      <c r="E1259" s="184"/>
      <c r="F1259" s="184"/>
      <c r="G1259" s="184"/>
      <c r="H1259" s="184"/>
    </row>
    <row r="1260" spans="3:12">
      <c r="C1260" s="1552" t="s">
        <v>3098</v>
      </c>
      <c r="D1260" s="1552"/>
      <c r="E1260" s="1552"/>
      <c r="F1260" s="1552"/>
      <c r="G1260" s="1552"/>
      <c r="H1260" s="1552"/>
    </row>
    <row r="1261" spans="3:12">
      <c r="C1261" s="1533" t="s">
        <v>2590</v>
      </c>
      <c r="D1261" s="1533"/>
      <c r="E1261" s="1533"/>
      <c r="F1261" s="1533"/>
      <c r="G1261" s="1533"/>
      <c r="H1261" s="1533"/>
    </row>
    <row r="1262" spans="3:12">
      <c r="C1262" s="184"/>
      <c r="D1262" s="184"/>
      <c r="E1262" s="184"/>
      <c r="F1262" s="184"/>
      <c r="G1262" s="184"/>
      <c r="H1262" s="184"/>
    </row>
    <row r="1263" spans="3:12">
      <c r="C1263" s="1552" t="s">
        <v>3099</v>
      </c>
      <c r="D1263" s="1552"/>
      <c r="E1263" s="1552"/>
      <c r="F1263" s="1552"/>
      <c r="G1263" s="1552"/>
      <c r="H1263" s="1552"/>
    </row>
    <row r="1264" spans="3:12">
      <c r="C1264" s="1533" t="s">
        <v>2591</v>
      </c>
      <c r="D1264" s="1533"/>
      <c r="E1264" s="1533"/>
      <c r="F1264" s="1533"/>
      <c r="G1264" s="1533"/>
      <c r="H1264" s="1533"/>
    </row>
    <row r="1265" spans="3:8">
      <c r="C1265" s="184"/>
      <c r="D1265" s="184"/>
      <c r="E1265" s="184"/>
      <c r="F1265" s="184"/>
      <c r="G1265" s="184"/>
      <c r="H1265" s="149"/>
    </row>
    <row r="1266" spans="3:8">
      <c r="C1266" s="184"/>
      <c r="D1266"/>
      <c r="E1266" s="184"/>
      <c r="F1266" s="184"/>
      <c r="G1266" s="10"/>
    </row>
    <row r="1267" spans="3:8">
      <c r="C1267" s="206"/>
      <c r="D1267" s="184"/>
      <c r="E1267" s="697"/>
      <c r="F1267" s="24"/>
      <c r="G1267" s="205"/>
    </row>
    <row r="1268" spans="3:8">
      <c r="C1268" s="1" t="s">
        <v>1291</v>
      </c>
      <c r="D1268" s="180"/>
      <c r="E1268" s="697"/>
      <c r="F1268" s="180"/>
      <c r="G1268" s="180"/>
      <c r="H1268" s="180"/>
    </row>
    <row r="1272" spans="3:8">
      <c r="C1272" s="94"/>
      <c r="D1272" s="94"/>
      <c r="E1272" s="94"/>
      <c r="F1272" s="94"/>
      <c r="G1272" s="94"/>
      <c r="H1272" s="94"/>
    </row>
    <row r="1273" spans="3:8">
      <c r="C1273" s="49" t="s">
        <v>2819</v>
      </c>
      <c r="D1273" s="180"/>
      <c r="E1273" s="180"/>
      <c r="F1273" s="49"/>
      <c r="G1273" s="49" t="s">
        <v>1292</v>
      </c>
      <c r="H1273" s="94"/>
    </row>
    <row r="1274" spans="3:8">
      <c r="C1274" s="50" t="s">
        <v>1201</v>
      </c>
      <c r="D1274" s="180"/>
      <c r="E1274" s="180"/>
      <c r="F1274" s="50"/>
      <c r="G1274" s="50" t="s">
        <v>1293</v>
      </c>
      <c r="H1274" s="94"/>
    </row>
    <row r="1275" spans="3:8">
      <c r="C1275" s="184"/>
      <c r="D1275" s="184"/>
      <c r="E1275" s="184"/>
      <c r="F1275" s="184"/>
      <c r="G1275" s="184"/>
      <c r="H1275" s="94"/>
    </row>
    <row r="1276" spans="3:8">
      <c r="C1276" s="184"/>
      <c r="D1276" s="184"/>
      <c r="E1276" s="184"/>
      <c r="F1276" s="184"/>
      <c r="G1276" s="184"/>
      <c r="H1276" s="94"/>
    </row>
    <row r="1277" spans="3:8">
      <c r="C1277" s="184"/>
      <c r="D1277" s="184"/>
      <c r="E1277" s="184"/>
      <c r="F1277" s="184"/>
      <c r="G1277" s="184"/>
      <c r="H1277" s="94"/>
    </row>
    <row r="1278" spans="3:8">
      <c r="C1278" s="184"/>
      <c r="D1278" s="184"/>
      <c r="E1278" s="184"/>
      <c r="F1278" s="184"/>
      <c r="G1278" s="184"/>
      <c r="H1278" s="94"/>
    </row>
    <row r="1279" spans="3:8">
      <c r="C1279" s="184"/>
      <c r="D1279" s="184"/>
      <c r="E1279" s="184"/>
      <c r="F1279" s="184"/>
      <c r="G1279" s="184"/>
      <c r="H1279" s="94"/>
    </row>
    <row r="1280" spans="3:8">
      <c r="C1280" s="94"/>
      <c r="D1280" s="94"/>
      <c r="E1280" s="94"/>
      <c r="F1280" s="94"/>
      <c r="G1280" s="94"/>
      <c r="H1280" s="94"/>
    </row>
    <row r="1281" spans="1:8" s="184" customFormat="1">
      <c r="A1281" s="1448"/>
    </row>
    <row r="1282" spans="1:8" s="184" customFormat="1">
      <c r="C1282" s="1438" t="s">
        <v>1203</v>
      </c>
      <c r="G1282" s="24" t="s">
        <v>1272</v>
      </c>
    </row>
    <row r="1283" spans="1:8" s="184" customFormat="1">
      <c r="C1283" s="1439" t="s">
        <v>1295</v>
      </c>
      <c r="G1283" s="149" t="s">
        <v>1273</v>
      </c>
    </row>
    <row r="1284" spans="1:8" s="184" customFormat="1">
      <c r="A1284" s="1448"/>
    </row>
    <row r="1285" spans="1:8" s="184" customFormat="1">
      <c r="A1285" s="1448"/>
    </row>
    <row r="1286" spans="1:8" s="184" customFormat="1">
      <c r="A1286" s="1448"/>
    </row>
    <row r="1287" spans="1:8">
      <c r="C1287" s="94"/>
      <c r="D1287" s="94"/>
      <c r="E1287" s="94"/>
      <c r="F1287" s="94"/>
      <c r="G1287" s="94"/>
      <c r="H1287" s="94"/>
    </row>
    <row r="1288" spans="1:8">
      <c r="C1288" s="94"/>
      <c r="D1288" s="94"/>
      <c r="E1288" s="94"/>
      <c r="F1288" s="94"/>
      <c r="G1288" s="94"/>
      <c r="H1288" s="94"/>
    </row>
    <row r="1289" spans="1:8">
      <c r="C1289" s="94"/>
      <c r="D1289" s="94"/>
      <c r="E1289" s="94"/>
      <c r="F1289" s="94"/>
      <c r="G1289" s="94"/>
      <c r="H1289" s="94"/>
    </row>
    <row r="1290" spans="1:8">
      <c r="C1290" s="94"/>
      <c r="D1290" s="94"/>
      <c r="E1290" s="94"/>
      <c r="F1290" s="94"/>
      <c r="G1290" s="94"/>
      <c r="H1290" s="94"/>
    </row>
    <row r="1291" spans="1:8">
      <c r="C1291" s="94"/>
      <c r="D1291" s="94"/>
      <c r="E1291" s="94"/>
      <c r="F1291" s="94"/>
      <c r="G1291" s="94"/>
      <c r="H1291" s="94"/>
    </row>
    <row r="1292" spans="1:8">
      <c r="C1292" s="94"/>
      <c r="D1292" s="94"/>
      <c r="E1292" s="94"/>
      <c r="F1292" s="94"/>
      <c r="G1292" s="94"/>
      <c r="H1292" s="94"/>
    </row>
    <row r="1293" spans="1:8">
      <c r="C1293" s="94"/>
      <c r="D1293" s="94"/>
      <c r="E1293" s="94"/>
      <c r="F1293" s="94"/>
      <c r="G1293" s="94"/>
      <c r="H1293" s="94"/>
    </row>
    <row r="1294" spans="1:8">
      <c r="C1294" s="94"/>
      <c r="D1294" s="94"/>
      <c r="E1294" s="94"/>
      <c r="F1294" s="94"/>
      <c r="G1294" s="94"/>
      <c r="H1294" s="94"/>
    </row>
    <row r="1295" spans="1:8">
      <c r="C1295" s="94"/>
      <c r="D1295" s="94"/>
      <c r="E1295" s="94"/>
      <c r="F1295" s="94"/>
      <c r="G1295" s="94"/>
      <c r="H1295" s="94"/>
    </row>
  </sheetData>
  <customSheetViews>
    <customSheetView guid="{970CBB53-F4B3-462F-AEFE-2BC403F5F0AD}" showPageBreaks="1" showGridLines="0" printArea="1" view="pageBreakPreview" topLeftCell="A46">
      <pageMargins left="0" right="0" top="0" bottom="0" header="0" footer="0"/>
      <pageSetup scale="73" orientation="portrait" r:id="rId1"/>
    </customSheetView>
    <customSheetView guid="{7F8679DA-D059-4901-ACAC-85DFCE49504A}" scale="90" showGridLines="0" topLeftCell="A71">
      <selection activeCell="B63" sqref="B63:K63"/>
      <rowBreaks count="1" manualBreakCount="1">
        <brk id="54" max="11" man="1"/>
      </rowBreaks>
      <pageMargins left="0" right="0" top="0" bottom="0" header="0" footer="0"/>
      <pageSetup scale="62" orientation="portrait" r:id="rId2"/>
    </customSheetView>
    <customSheetView guid="{599159CD-1620-491F-A2F6-FFBFC633DFF1}" scale="90" showGridLines="0" printArea="1">
      <selection activeCell="M5" sqref="M5"/>
      <rowBreaks count="1" manualBreakCount="1">
        <brk id="55" max="11" man="1"/>
      </rowBreaks>
      <pageMargins left="0" right="0" top="0" bottom="0" header="0" footer="0"/>
      <pageSetup scale="62" orientation="portrait" r:id="rId3"/>
    </customSheetView>
  </customSheetViews>
  <mergeCells count="85">
    <mergeCell ref="C4:L4"/>
    <mergeCell ref="C5:L5"/>
    <mergeCell ref="C181:L188"/>
    <mergeCell ref="D194:E194"/>
    <mergeCell ref="C202:L202"/>
    <mergeCell ref="C194:C195"/>
    <mergeCell ref="C176:L176"/>
    <mergeCell ref="C6:L6"/>
    <mergeCell ref="B75:I75"/>
    <mergeCell ref="D33:G33"/>
    <mergeCell ref="B63:J63"/>
    <mergeCell ref="B69:J69"/>
    <mergeCell ref="C55:K55"/>
    <mergeCell ref="D57:E57"/>
    <mergeCell ref="D58:E58"/>
    <mergeCell ref="D59:E59"/>
    <mergeCell ref="F194:F195"/>
    <mergeCell ref="C204:L204"/>
    <mergeCell ref="E206:F206"/>
    <mergeCell ref="E207:F207"/>
    <mergeCell ref="C238:L238"/>
    <mergeCell ref="C262:L262"/>
    <mergeCell ref="C258:L258"/>
    <mergeCell ref="C254:L254"/>
    <mergeCell ref="C250:L250"/>
    <mergeCell ref="C242:L242"/>
    <mergeCell ref="C246:L246"/>
    <mergeCell ref="I393:I394"/>
    <mergeCell ref="J393:J394"/>
    <mergeCell ref="C1114:C1115"/>
    <mergeCell ref="C1103:C1104"/>
    <mergeCell ref="C906:G906"/>
    <mergeCell ref="F985:G985"/>
    <mergeCell ref="C985:C986"/>
    <mergeCell ref="D985:D986"/>
    <mergeCell ref="E985:E986"/>
    <mergeCell ref="C1097:D1097"/>
    <mergeCell ref="C609:I609"/>
    <mergeCell ref="C611:C612"/>
    <mergeCell ref="F611:G611"/>
    <mergeCell ref="C810:E810"/>
    <mergeCell ref="C393:C394"/>
    <mergeCell ref="D393:D394"/>
    <mergeCell ref="E393:E394"/>
    <mergeCell ref="F393:G393"/>
    <mergeCell ref="H393:H394"/>
    <mergeCell ref="C1263:H1263"/>
    <mergeCell ref="C1264:H1264"/>
    <mergeCell ref="C1260:H1260"/>
    <mergeCell ref="C1261:H1261"/>
    <mergeCell ref="C1246:H1246"/>
    <mergeCell ref="C1247:H1247"/>
    <mergeCell ref="C1257:H1257"/>
    <mergeCell ref="C1258:H1258"/>
    <mergeCell ref="C1233:H1233"/>
    <mergeCell ref="C1231:H1231"/>
    <mergeCell ref="D1132:D1133"/>
    <mergeCell ref="E1132:E1133"/>
    <mergeCell ref="C1241:H1244"/>
    <mergeCell ref="C1239:H1239"/>
    <mergeCell ref="C1235:H1237"/>
    <mergeCell ref="C1222:G1222"/>
    <mergeCell ref="C1230:H1230"/>
    <mergeCell ref="C1229:H1229"/>
    <mergeCell ref="C1228:H1228"/>
    <mergeCell ref="C1226:H1226"/>
    <mergeCell ref="C1225:H1225"/>
    <mergeCell ref="C1224:H1224"/>
    <mergeCell ref="C1227:H1227"/>
    <mergeCell ref="D60:E60"/>
    <mergeCell ref="K392:M392"/>
    <mergeCell ref="C234:L234"/>
    <mergeCell ref="C228:L228"/>
    <mergeCell ref="C222:L222"/>
    <mergeCell ref="C218:L218"/>
    <mergeCell ref="C266:J266"/>
    <mergeCell ref="C274:I274"/>
    <mergeCell ref="C275:I275"/>
    <mergeCell ref="C276:C277"/>
    <mergeCell ref="C341:C342"/>
    <mergeCell ref="C324:C326"/>
    <mergeCell ref="D324:D325"/>
    <mergeCell ref="F324:F325"/>
    <mergeCell ref="C392:I392"/>
    <mergeCell ref="M176:P176"/>
  </mergeCells>
  <conditionalFormatting sqref="B400:B491">
    <cfRule type="duplicateValues" dxfId="11" priority="1"/>
    <cfRule type="duplicateValues" dxfId="10" priority="2"/>
  </conditionalFormatting>
  <pageMargins left="0.7" right="0.7" top="0.75" bottom="0.75" header="0.3" footer="0.3"/>
  <pageSetup paperSize="190" scale="62" orientation="portrait" r:id="rId4"/>
  <ignoredErrors>
    <ignoredError sqref="G990" formulaRange="1"/>
    <ignoredError sqref="D694" formula="1"/>
  </ignoredError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96BC8-D793-46F4-9948-22F7BFEB8A02}">
  <sheetPr>
    <tabColor rgb="FF92D050"/>
  </sheetPr>
  <dimension ref="A1:M184"/>
  <sheetViews>
    <sheetView showGridLines="0" topLeftCell="A78" zoomScale="90" zoomScaleNormal="90" workbookViewId="0">
      <selection activeCell="L90" sqref="L90"/>
    </sheetView>
  </sheetViews>
  <sheetFormatPr baseColWidth="10" defaultRowHeight="14.4"/>
  <cols>
    <col min="1" max="1" width="13.88671875" style="1257" customWidth="1"/>
    <col min="2" max="2" width="41.5546875" bestFit="1" customWidth="1"/>
    <col min="3" max="3" width="17" bestFit="1" customWidth="1"/>
    <col min="4" max="4" width="8.88671875" bestFit="1" customWidth="1"/>
    <col min="5" max="5" width="16.21875" customWidth="1"/>
    <col min="6" max="6" width="17.77734375" style="882" customWidth="1"/>
    <col min="7" max="7" width="14" style="882" customWidth="1"/>
    <col min="8" max="8" width="16.109375" style="882" bestFit="1" customWidth="1"/>
    <col min="9" max="9" width="11.6640625" style="882" bestFit="1" customWidth="1"/>
    <col min="10" max="10" width="19.109375" style="882" customWidth="1"/>
    <col min="11" max="11" width="11.44140625" bestFit="1" customWidth="1"/>
    <col min="12" max="12" width="19" customWidth="1"/>
    <col min="13" max="13" width="16.33203125" bestFit="1" customWidth="1"/>
  </cols>
  <sheetData>
    <row r="1" spans="1:13">
      <c r="B1" s="1338"/>
      <c r="C1" s="1338"/>
      <c r="D1" s="1338"/>
      <c r="E1" s="1574" t="s">
        <v>2812</v>
      </c>
      <c r="F1" s="1574"/>
      <c r="G1" s="1574"/>
      <c r="H1" s="1574"/>
      <c r="I1" s="1575" t="s">
        <v>2813</v>
      </c>
      <c r="J1" s="1575"/>
      <c r="K1" s="1575"/>
      <c r="L1" s="1575"/>
    </row>
    <row r="2" spans="1:13">
      <c r="B2" s="1338" t="s">
        <v>1488</v>
      </c>
      <c r="C2" s="1338" t="s">
        <v>2811</v>
      </c>
      <c r="D2" s="1338" t="s">
        <v>631</v>
      </c>
      <c r="E2" s="1258" t="s">
        <v>2814</v>
      </c>
      <c r="F2" s="1259" t="s">
        <v>2815</v>
      </c>
      <c r="G2" s="1259" t="s">
        <v>1453</v>
      </c>
      <c r="H2" s="1259" t="s">
        <v>2816</v>
      </c>
      <c r="I2" s="1259" t="s">
        <v>1453</v>
      </c>
      <c r="J2" s="1259" t="s">
        <v>2817</v>
      </c>
      <c r="K2" s="1259" t="s">
        <v>1721</v>
      </c>
      <c r="L2" s="1259" t="s">
        <v>2020</v>
      </c>
    </row>
    <row r="3" spans="1:13" s="1226" customFormat="1" ht="15.6">
      <c r="A3" s="1334" t="s">
        <v>415</v>
      </c>
      <c r="B3" s="1260" t="s">
        <v>1634</v>
      </c>
      <c r="C3" s="1260" t="s">
        <v>2947</v>
      </c>
      <c r="D3" s="1261" t="s">
        <v>634</v>
      </c>
      <c r="E3" s="1262">
        <v>45631</v>
      </c>
      <c r="F3" s="1263">
        <v>2537579680</v>
      </c>
      <c r="G3" s="1264">
        <v>2461280</v>
      </c>
      <c r="H3" s="1263">
        <f>+F3/G3</f>
        <v>1031</v>
      </c>
      <c r="I3" s="1263">
        <v>1249280</v>
      </c>
      <c r="J3" s="1263">
        <f t="shared" ref="J3:J67" si="0">+H3*I3</f>
        <v>1288007680</v>
      </c>
      <c r="K3" s="1265"/>
      <c r="L3" s="1341">
        <f t="shared" ref="L3:L35" si="1">+J3</f>
        <v>1288007680</v>
      </c>
      <c r="M3" s="1266"/>
    </row>
    <row r="4" spans="1:13" s="1226" customFormat="1" ht="15.6">
      <c r="A4" s="1334" t="s">
        <v>1671</v>
      </c>
      <c r="B4" s="1260" t="s">
        <v>2741</v>
      </c>
      <c r="C4" s="1260" t="s">
        <v>2718</v>
      </c>
      <c r="D4" s="1261" t="s">
        <v>634</v>
      </c>
      <c r="E4" s="1262">
        <v>45561</v>
      </c>
      <c r="F4" s="1263">
        <v>19255170000</v>
      </c>
      <c r="G4" s="1264">
        <v>19000</v>
      </c>
      <c r="H4" s="1263">
        <f>+F4/G4</f>
        <v>1013430</v>
      </c>
      <c r="I4" s="1263">
        <v>1000</v>
      </c>
      <c r="J4" s="1263">
        <f>+H4*I4</f>
        <v>1013430000</v>
      </c>
      <c r="K4" s="1265"/>
      <c r="L4" s="1263">
        <f t="shared" si="1"/>
        <v>1013430000</v>
      </c>
      <c r="M4" s="1266"/>
    </row>
    <row r="5" spans="1:13" s="1226" customFormat="1" ht="15.6">
      <c r="A5" s="1334" t="s">
        <v>1671</v>
      </c>
      <c r="B5" s="1260" t="s">
        <v>2741</v>
      </c>
      <c r="C5" s="1260" t="s">
        <v>2718</v>
      </c>
      <c r="D5" s="1261" t="s">
        <v>634</v>
      </c>
      <c r="E5" s="1262">
        <v>45561</v>
      </c>
      <c r="F5" s="1263">
        <v>19255170000</v>
      </c>
      <c r="G5" s="1264">
        <v>19000</v>
      </c>
      <c r="H5" s="1263">
        <f>+F5/G5</f>
        <v>1013430</v>
      </c>
      <c r="I5" s="1263">
        <v>2000</v>
      </c>
      <c r="J5" s="1263">
        <f>+H5*I5</f>
        <v>2026860000</v>
      </c>
      <c r="K5" s="1265"/>
      <c r="L5" s="1263">
        <f t="shared" ref="L5" si="2">+J5</f>
        <v>2026860000</v>
      </c>
      <c r="M5" s="1266"/>
    </row>
    <row r="6" spans="1:13" s="1226" customFormat="1" ht="15.6">
      <c r="A6" s="1334" t="s">
        <v>1671</v>
      </c>
      <c r="B6" s="1260" t="s">
        <v>1609</v>
      </c>
      <c r="C6" s="1260" t="s">
        <v>1729</v>
      </c>
      <c r="D6" s="1261" t="s">
        <v>634</v>
      </c>
      <c r="E6" s="1262">
        <v>45643</v>
      </c>
      <c r="F6" s="1263">
        <v>5146500000</v>
      </c>
      <c r="G6" s="1264">
        <v>5000</v>
      </c>
      <c r="H6" s="1263">
        <f t="shared" ref="H6:H67" si="3">+F6/G6</f>
        <v>1029300</v>
      </c>
      <c r="I6" s="1263">
        <v>5000</v>
      </c>
      <c r="J6" s="1263">
        <f t="shared" si="0"/>
        <v>5146500000</v>
      </c>
      <c r="K6" s="1265"/>
      <c r="L6" s="1263">
        <f t="shared" si="1"/>
        <v>5146500000</v>
      </c>
      <c r="M6" s="1266"/>
    </row>
    <row r="7" spans="1:13" s="1226" customFormat="1" ht="15.6">
      <c r="A7" s="1334" t="s">
        <v>58</v>
      </c>
      <c r="B7" s="1260" t="s">
        <v>1684</v>
      </c>
      <c r="C7" s="1260" t="s">
        <v>2719</v>
      </c>
      <c r="D7" s="1261" t="s">
        <v>634</v>
      </c>
      <c r="E7" s="1262">
        <v>45502</v>
      </c>
      <c r="F7" s="1263">
        <v>50017789</v>
      </c>
      <c r="G7" s="1263">
        <v>1</v>
      </c>
      <c r="H7" s="1263">
        <f t="shared" si="3"/>
        <v>50017789</v>
      </c>
      <c r="I7" s="1263">
        <v>1</v>
      </c>
      <c r="J7" s="1263">
        <f t="shared" si="0"/>
        <v>50017789</v>
      </c>
      <c r="K7" s="1265"/>
      <c r="L7" s="1263">
        <f t="shared" si="1"/>
        <v>50017789</v>
      </c>
      <c r="M7" s="1266"/>
    </row>
    <row r="8" spans="1:13" s="1226" customFormat="1" ht="15.6">
      <c r="A8" s="1334" t="s">
        <v>58</v>
      </c>
      <c r="B8" s="1260" t="s">
        <v>1684</v>
      </c>
      <c r="C8" s="1260" t="s">
        <v>2720</v>
      </c>
      <c r="D8" s="1261" t="s">
        <v>634</v>
      </c>
      <c r="E8" s="1262">
        <v>45502</v>
      </c>
      <c r="F8" s="1263">
        <v>99178830</v>
      </c>
      <c r="G8" s="1263">
        <v>1</v>
      </c>
      <c r="H8" s="1263">
        <f t="shared" si="3"/>
        <v>99178830</v>
      </c>
      <c r="I8" s="1263">
        <v>1</v>
      </c>
      <c r="J8" s="1263">
        <f t="shared" si="0"/>
        <v>99178830</v>
      </c>
      <c r="K8" s="1265"/>
      <c r="L8" s="1263">
        <f t="shared" si="1"/>
        <v>99178830</v>
      </c>
    </row>
    <row r="9" spans="1:13" s="1226" customFormat="1" ht="15.6">
      <c r="A9" s="1334" t="s">
        <v>58</v>
      </c>
      <c r="B9" s="1260" t="s">
        <v>2601</v>
      </c>
      <c r="C9" s="1260" t="s">
        <v>2722</v>
      </c>
      <c r="D9" s="1261" t="s">
        <v>634</v>
      </c>
      <c r="E9" s="1262">
        <v>45477</v>
      </c>
      <c r="F9" s="1263">
        <v>250000000</v>
      </c>
      <c r="G9" s="1263">
        <v>1</v>
      </c>
      <c r="H9" s="1263">
        <f t="shared" si="3"/>
        <v>250000000</v>
      </c>
      <c r="I9" s="1263">
        <v>1</v>
      </c>
      <c r="J9" s="1263">
        <f t="shared" si="0"/>
        <v>250000000</v>
      </c>
      <c r="K9" s="1265"/>
      <c r="L9" s="1263">
        <f t="shared" si="1"/>
        <v>250000000</v>
      </c>
    </row>
    <row r="10" spans="1:13" s="1226" customFormat="1" ht="15.6">
      <c r="A10" s="1334" t="s">
        <v>58</v>
      </c>
      <c r="B10" s="1260" t="s">
        <v>2601</v>
      </c>
      <c r="C10" s="1260" t="s">
        <v>2723</v>
      </c>
      <c r="D10" s="1261" t="s">
        <v>634</v>
      </c>
      <c r="E10" s="1262">
        <v>45477</v>
      </c>
      <c r="F10" s="1263">
        <v>250000000</v>
      </c>
      <c r="G10" s="1263">
        <v>1</v>
      </c>
      <c r="H10" s="1263">
        <f t="shared" si="3"/>
        <v>250000000</v>
      </c>
      <c r="I10" s="1263">
        <v>1</v>
      </c>
      <c r="J10" s="1263">
        <f t="shared" si="0"/>
        <v>250000000</v>
      </c>
      <c r="K10" s="1265"/>
      <c r="L10" s="1263">
        <f t="shared" si="1"/>
        <v>250000000</v>
      </c>
    </row>
    <row r="11" spans="1:13" s="1226" customFormat="1" ht="15.6">
      <c r="A11" s="1334" t="s">
        <v>58</v>
      </c>
      <c r="B11" s="1260" t="s">
        <v>2601</v>
      </c>
      <c r="C11" s="1260" t="s">
        <v>2724</v>
      </c>
      <c r="D11" s="1261" t="s">
        <v>634</v>
      </c>
      <c r="E11" s="1262">
        <v>45477</v>
      </c>
      <c r="F11" s="1263">
        <v>250000000</v>
      </c>
      <c r="G11" s="1263">
        <v>1</v>
      </c>
      <c r="H11" s="1263">
        <f t="shared" si="3"/>
        <v>250000000</v>
      </c>
      <c r="I11" s="1263">
        <v>1</v>
      </c>
      <c r="J11" s="1263">
        <f t="shared" si="0"/>
        <v>250000000</v>
      </c>
      <c r="K11" s="1265"/>
      <c r="L11" s="1263">
        <f t="shared" si="1"/>
        <v>250000000</v>
      </c>
    </row>
    <row r="12" spans="1:13" s="1226" customFormat="1" ht="15.6">
      <c r="A12" s="1334" t="s">
        <v>58</v>
      </c>
      <c r="B12" s="1260" t="s">
        <v>2601</v>
      </c>
      <c r="C12" s="1260" t="s">
        <v>2725</v>
      </c>
      <c r="D12" s="1261" t="s">
        <v>634</v>
      </c>
      <c r="E12" s="1262">
        <v>45477</v>
      </c>
      <c r="F12" s="1263">
        <v>250000000</v>
      </c>
      <c r="G12" s="1263">
        <v>1</v>
      </c>
      <c r="H12" s="1263">
        <f t="shared" si="3"/>
        <v>250000000</v>
      </c>
      <c r="I12" s="1263">
        <v>1</v>
      </c>
      <c r="J12" s="1263">
        <f t="shared" si="0"/>
        <v>250000000</v>
      </c>
      <c r="K12" s="1265"/>
      <c r="L12" s="1263">
        <f t="shared" si="1"/>
        <v>250000000</v>
      </c>
    </row>
    <row r="13" spans="1:13" s="1226" customFormat="1" ht="15.6">
      <c r="A13" s="1334" t="s">
        <v>58</v>
      </c>
      <c r="B13" s="1260" t="s">
        <v>2601</v>
      </c>
      <c r="C13" s="1260" t="s">
        <v>2726</v>
      </c>
      <c r="D13" s="1261" t="s">
        <v>634</v>
      </c>
      <c r="E13" s="1262">
        <v>45477</v>
      </c>
      <c r="F13" s="1263">
        <v>250000000</v>
      </c>
      <c r="G13" s="1263">
        <v>1</v>
      </c>
      <c r="H13" s="1263">
        <f t="shared" si="3"/>
        <v>250000000</v>
      </c>
      <c r="I13" s="1263">
        <v>1</v>
      </c>
      <c r="J13" s="1263">
        <f t="shared" si="0"/>
        <v>250000000</v>
      </c>
      <c r="K13" s="1265"/>
      <c r="L13" s="1263">
        <f t="shared" si="1"/>
        <v>250000000</v>
      </c>
    </row>
    <row r="14" spans="1:13" s="1226" customFormat="1" ht="15.6">
      <c r="A14" s="1334" t="s">
        <v>58</v>
      </c>
      <c r="B14" s="1260" t="s">
        <v>2601</v>
      </c>
      <c r="C14" s="1260" t="s">
        <v>2727</v>
      </c>
      <c r="D14" s="1261" t="s">
        <v>634</v>
      </c>
      <c r="E14" s="1262">
        <v>45477</v>
      </c>
      <c r="F14" s="1263">
        <v>250000000</v>
      </c>
      <c r="G14" s="1263">
        <v>1</v>
      </c>
      <c r="H14" s="1263">
        <f t="shared" si="3"/>
        <v>250000000</v>
      </c>
      <c r="I14" s="1263">
        <v>1</v>
      </c>
      <c r="J14" s="1263">
        <f t="shared" si="0"/>
        <v>250000000</v>
      </c>
      <c r="K14" s="1265"/>
      <c r="L14" s="1263">
        <f t="shared" si="1"/>
        <v>250000000</v>
      </c>
    </row>
    <row r="15" spans="1:13" s="1226" customFormat="1" ht="15.6">
      <c r="A15" s="1334" t="s">
        <v>58</v>
      </c>
      <c r="B15" s="1260" t="s">
        <v>1689</v>
      </c>
      <c r="C15" s="1260" t="s">
        <v>2873</v>
      </c>
      <c r="D15" s="1261" t="s">
        <v>634</v>
      </c>
      <c r="E15" s="1262">
        <v>45609</v>
      </c>
      <c r="F15" s="1263">
        <v>1005527777</v>
      </c>
      <c r="G15" s="1263">
        <v>1</v>
      </c>
      <c r="H15" s="1263">
        <f t="shared" si="3"/>
        <v>1005527777</v>
      </c>
      <c r="I15" s="1263">
        <v>1</v>
      </c>
      <c r="J15" s="1263">
        <f t="shared" si="0"/>
        <v>1005527777</v>
      </c>
      <c r="K15" s="1265"/>
      <c r="L15" s="1263">
        <f t="shared" si="1"/>
        <v>1005527777</v>
      </c>
    </row>
    <row r="16" spans="1:13" s="1226" customFormat="1" ht="15.6">
      <c r="A16" s="1334" t="s">
        <v>58</v>
      </c>
      <c r="B16" s="1260" t="s">
        <v>1689</v>
      </c>
      <c r="C16" s="1260" t="s">
        <v>2874</v>
      </c>
      <c r="D16" s="1261" t="s">
        <v>634</v>
      </c>
      <c r="E16" s="1262">
        <v>45609</v>
      </c>
      <c r="F16" s="1263">
        <v>1005527777</v>
      </c>
      <c r="G16" s="1263">
        <v>1</v>
      </c>
      <c r="H16" s="1263">
        <f t="shared" si="3"/>
        <v>1005527777</v>
      </c>
      <c r="I16" s="1263">
        <v>1</v>
      </c>
      <c r="J16" s="1263">
        <f t="shared" si="0"/>
        <v>1005527777</v>
      </c>
      <c r="K16" s="1265"/>
      <c r="L16" s="1263">
        <f t="shared" si="1"/>
        <v>1005527777</v>
      </c>
    </row>
    <row r="17" spans="1:12" s="1226" customFormat="1" ht="15.6">
      <c r="A17" s="1334" t="s">
        <v>58</v>
      </c>
      <c r="B17" s="1260" t="s">
        <v>1689</v>
      </c>
      <c r="C17" s="1260" t="s">
        <v>2875</v>
      </c>
      <c r="D17" s="1261" t="s">
        <v>634</v>
      </c>
      <c r="E17" s="1262">
        <v>45624</v>
      </c>
      <c r="F17" s="1263">
        <v>250000000</v>
      </c>
      <c r="G17" s="1263">
        <v>1</v>
      </c>
      <c r="H17" s="1263">
        <f t="shared" si="3"/>
        <v>250000000</v>
      </c>
      <c r="I17" s="1263">
        <v>1</v>
      </c>
      <c r="J17" s="1263">
        <f t="shared" si="0"/>
        <v>250000000</v>
      </c>
      <c r="K17" s="1265"/>
      <c r="L17" s="1263">
        <f t="shared" si="1"/>
        <v>250000000</v>
      </c>
    </row>
    <row r="18" spans="1:12" s="1226" customFormat="1" ht="15.6">
      <c r="A18" s="1334" t="s">
        <v>58</v>
      </c>
      <c r="B18" s="1260" t="s">
        <v>1689</v>
      </c>
      <c r="C18" s="1260" t="s">
        <v>2876</v>
      </c>
      <c r="D18" s="1261" t="s">
        <v>634</v>
      </c>
      <c r="E18" s="1262">
        <v>45624</v>
      </c>
      <c r="F18" s="1263">
        <v>250000000</v>
      </c>
      <c r="G18" s="1263">
        <v>1</v>
      </c>
      <c r="H18" s="1263">
        <f t="shared" si="3"/>
        <v>250000000</v>
      </c>
      <c r="I18" s="1263">
        <v>1</v>
      </c>
      <c r="J18" s="1263">
        <f t="shared" si="0"/>
        <v>250000000</v>
      </c>
      <c r="K18" s="1265"/>
      <c r="L18" s="1263">
        <f t="shared" si="1"/>
        <v>250000000</v>
      </c>
    </row>
    <row r="19" spans="1:12" s="1226" customFormat="1" ht="15.6">
      <c r="A19" s="1334" t="s">
        <v>58</v>
      </c>
      <c r="B19" s="1260" t="s">
        <v>1689</v>
      </c>
      <c r="C19" s="1260" t="s">
        <v>2877</v>
      </c>
      <c r="D19" s="1261" t="s">
        <v>634</v>
      </c>
      <c r="E19" s="1262">
        <v>45624</v>
      </c>
      <c r="F19" s="1263">
        <v>250000000</v>
      </c>
      <c r="G19" s="1263">
        <v>1</v>
      </c>
      <c r="H19" s="1263">
        <f t="shared" si="3"/>
        <v>250000000</v>
      </c>
      <c r="I19" s="1263">
        <v>1</v>
      </c>
      <c r="J19" s="1263">
        <f t="shared" si="0"/>
        <v>250000000</v>
      </c>
      <c r="K19" s="1265"/>
      <c r="L19" s="1263">
        <f t="shared" si="1"/>
        <v>250000000</v>
      </c>
    </row>
    <row r="20" spans="1:12" s="1226" customFormat="1" ht="15.6">
      <c r="A20" s="1334" t="s">
        <v>58</v>
      </c>
      <c r="B20" s="1260" t="s">
        <v>1689</v>
      </c>
      <c r="C20" s="1260" t="s">
        <v>2878</v>
      </c>
      <c r="D20" s="1261" t="s">
        <v>634</v>
      </c>
      <c r="E20" s="1262">
        <v>45624</v>
      </c>
      <c r="F20" s="1263">
        <v>250000000</v>
      </c>
      <c r="G20" s="1263">
        <v>1</v>
      </c>
      <c r="H20" s="1263">
        <f t="shared" si="3"/>
        <v>250000000</v>
      </c>
      <c r="I20" s="1263">
        <v>1</v>
      </c>
      <c r="J20" s="1263">
        <f t="shared" si="0"/>
        <v>250000000</v>
      </c>
      <c r="K20" s="1265"/>
      <c r="L20" s="1263">
        <f t="shared" si="1"/>
        <v>250000000</v>
      </c>
    </row>
    <row r="21" spans="1:12" s="1226" customFormat="1" ht="15.6">
      <c r="A21" s="1334" t="s">
        <v>58</v>
      </c>
      <c r="B21" s="1260" t="s">
        <v>1689</v>
      </c>
      <c r="C21" s="1260" t="s">
        <v>2879</v>
      </c>
      <c r="D21" s="1261" t="s">
        <v>634</v>
      </c>
      <c r="E21" s="1262">
        <v>45624</v>
      </c>
      <c r="F21" s="1263">
        <v>200000000</v>
      </c>
      <c r="G21" s="1263">
        <v>1</v>
      </c>
      <c r="H21" s="1263">
        <f t="shared" si="3"/>
        <v>200000000</v>
      </c>
      <c r="I21" s="1263">
        <v>1</v>
      </c>
      <c r="J21" s="1263">
        <f t="shared" si="0"/>
        <v>200000000</v>
      </c>
      <c r="K21" s="1265"/>
      <c r="L21" s="1263">
        <f t="shared" si="1"/>
        <v>200000000</v>
      </c>
    </row>
    <row r="22" spans="1:12" s="1226" customFormat="1" ht="15.6">
      <c r="A22" s="1334" t="s">
        <v>58</v>
      </c>
      <c r="B22" s="1260" t="s">
        <v>1689</v>
      </c>
      <c r="C22" s="1260" t="s">
        <v>2880</v>
      </c>
      <c r="D22" s="1261" t="s">
        <v>634</v>
      </c>
      <c r="E22" s="1262">
        <v>45624</v>
      </c>
      <c r="F22" s="1263">
        <v>200000000</v>
      </c>
      <c r="G22" s="1263">
        <v>1</v>
      </c>
      <c r="H22" s="1263">
        <f t="shared" si="3"/>
        <v>200000000</v>
      </c>
      <c r="I22" s="1263">
        <v>1</v>
      </c>
      <c r="J22" s="1263">
        <f t="shared" si="0"/>
        <v>200000000</v>
      </c>
      <c r="K22" s="1265"/>
      <c r="L22" s="1263">
        <f t="shared" si="1"/>
        <v>200000000</v>
      </c>
    </row>
    <row r="23" spans="1:12" s="1226" customFormat="1" ht="15.6">
      <c r="A23" s="1334" t="s">
        <v>58</v>
      </c>
      <c r="B23" s="1260" t="s">
        <v>1689</v>
      </c>
      <c r="C23" s="1260" t="s">
        <v>2881</v>
      </c>
      <c r="D23" s="1261" t="s">
        <v>634</v>
      </c>
      <c r="E23" s="1262">
        <v>45624</v>
      </c>
      <c r="F23" s="1263">
        <v>200000000</v>
      </c>
      <c r="G23" s="1263">
        <v>1</v>
      </c>
      <c r="H23" s="1263">
        <f t="shared" si="3"/>
        <v>200000000</v>
      </c>
      <c r="I23" s="1263">
        <v>1</v>
      </c>
      <c r="J23" s="1263">
        <f t="shared" si="0"/>
        <v>200000000</v>
      </c>
      <c r="K23" s="1265"/>
      <c r="L23" s="1263">
        <f t="shared" si="1"/>
        <v>200000000</v>
      </c>
    </row>
    <row r="24" spans="1:12" s="1226" customFormat="1" ht="15.6">
      <c r="A24" s="1334" t="s">
        <v>58</v>
      </c>
      <c r="B24" s="1260" t="s">
        <v>1689</v>
      </c>
      <c r="C24" s="1260" t="s">
        <v>2882</v>
      </c>
      <c r="D24" s="1261" t="s">
        <v>634</v>
      </c>
      <c r="E24" s="1262">
        <v>45624</v>
      </c>
      <c r="F24" s="1263">
        <v>200000000</v>
      </c>
      <c r="G24" s="1263">
        <v>1</v>
      </c>
      <c r="H24" s="1263">
        <f t="shared" si="3"/>
        <v>200000000</v>
      </c>
      <c r="I24" s="1263">
        <v>1</v>
      </c>
      <c r="J24" s="1263">
        <f t="shared" si="0"/>
        <v>200000000</v>
      </c>
      <c r="K24" s="1265"/>
      <c r="L24" s="1263">
        <f t="shared" si="1"/>
        <v>200000000</v>
      </c>
    </row>
    <row r="25" spans="1:12" s="1226" customFormat="1" ht="15.6">
      <c r="A25" s="1334" t="s">
        <v>58</v>
      </c>
      <c r="B25" s="1260" t="s">
        <v>1548</v>
      </c>
      <c r="C25" s="1260" t="s">
        <v>2883</v>
      </c>
      <c r="D25" s="1261" t="s">
        <v>634</v>
      </c>
      <c r="E25" s="1262">
        <v>45625</v>
      </c>
      <c r="F25" s="1263">
        <v>102128105.40000001</v>
      </c>
      <c r="G25" s="1263">
        <v>1</v>
      </c>
      <c r="H25" s="1263">
        <f t="shared" si="3"/>
        <v>102128105.40000001</v>
      </c>
      <c r="I25" s="1263">
        <v>1</v>
      </c>
      <c r="J25" s="1263">
        <f t="shared" si="0"/>
        <v>102128105.40000001</v>
      </c>
      <c r="K25" s="1265"/>
      <c r="L25" s="1263">
        <f t="shared" si="1"/>
        <v>102128105.40000001</v>
      </c>
    </row>
    <row r="26" spans="1:12" s="1226" customFormat="1" ht="15.6">
      <c r="A26" s="1334" t="s">
        <v>58</v>
      </c>
      <c r="B26" s="1260" t="s">
        <v>1548</v>
      </c>
      <c r="C26" s="1260" t="s">
        <v>2884</v>
      </c>
      <c r="D26" s="1261" t="s">
        <v>634</v>
      </c>
      <c r="E26" s="1262">
        <v>45625</v>
      </c>
      <c r="F26" s="1263">
        <v>102128105.40000001</v>
      </c>
      <c r="G26" s="1263">
        <v>1</v>
      </c>
      <c r="H26" s="1263">
        <f t="shared" si="3"/>
        <v>102128105.40000001</v>
      </c>
      <c r="I26" s="1263">
        <v>1</v>
      </c>
      <c r="J26" s="1263">
        <f t="shared" si="0"/>
        <v>102128105.40000001</v>
      </c>
      <c r="K26" s="1265"/>
      <c r="L26" s="1263">
        <f t="shared" si="1"/>
        <v>102128105.40000001</v>
      </c>
    </row>
    <row r="27" spans="1:12" s="1226" customFormat="1" ht="15.6">
      <c r="A27" s="1334" t="s">
        <v>58</v>
      </c>
      <c r="B27" s="1260" t="s">
        <v>1548</v>
      </c>
      <c r="C27" s="1260" t="s">
        <v>2885</v>
      </c>
      <c r="D27" s="1261" t="s">
        <v>634</v>
      </c>
      <c r="E27" s="1262">
        <v>45625</v>
      </c>
      <c r="F27" s="1263">
        <v>102128105.40000001</v>
      </c>
      <c r="G27" s="1263">
        <v>1</v>
      </c>
      <c r="H27" s="1263">
        <f t="shared" si="3"/>
        <v>102128105.40000001</v>
      </c>
      <c r="I27" s="1263">
        <v>1</v>
      </c>
      <c r="J27" s="1263">
        <f t="shared" si="0"/>
        <v>102128105.40000001</v>
      </c>
      <c r="K27" s="1265"/>
      <c r="L27" s="1263">
        <f t="shared" si="1"/>
        <v>102128105.40000001</v>
      </c>
    </row>
    <row r="28" spans="1:12" s="1226" customFormat="1" ht="15.6">
      <c r="A28" s="1334" t="s">
        <v>58</v>
      </c>
      <c r="B28" s="1260" t="s">
        <v>1548</v>
      </c>
      <c r="C28" s="1260" t="s">
        <v>2886</v>
      </c>
      <c r="D28" s="1261" t="s">
        <v>634</v>
      </c>
      <c r="E28" s="1262">
        <v>45625</v>
      </c>
      <c r="F28" s="1263">
        <v>102128105.40000001</v>
      </c>
      <c r="G28" s="1263">
        <v>1</v>
      </c>
      <c r="H28" s="1263">
        <f t="shared" si="3"/>
        <v>102128105.40000001</v>
      </c>
      <c r="I28" s="1263">
        <v>1</v>
      </c>
      <c r="J28" s="1263">
        <f t="shared" si="0"/>
        <v>102128105.40000001</v>
      </c>
      <c r="K28" s="1265"/>
      <c r="L28" s="1263">
        <f t="shared" si="1"/>
        <v>102128105.40000001</v>
      </c>
    </row>
    <row r="29" spans="1:12" s="1226" customFormat="1" ht="15.6">
      <c r="A29" s="1334" t="s">
        <v>58</v>
      </c>
      <c r="B29" s="1260" t="s">
        <v>1548</v>
      </c>
      <c r="C29" s="1260" t="s">
        <v>2887</v>
      </c>
      <c r="D29" s="1261" t="s">
        <v>634</v>
      </c>
      <c r="E29" s="1262">
        <v>45625</v>
      </c>
      <c r="F29" s="1263">
        <v>102128105.40000001</v>
      </c>
      <c r="G29" s="1263">
        <v>1</v>
      </c>
      <c r="H29" s="1263">
        <f t="shared" si="3"/>
        <v>102128105.40000001</v>
      </c>
      <c r="I29" s="1263">
        <v>1</v>
      </c>
      <c r="J29" s="1263">
        <f t="shared" si="0"/>
        <v>102128105.40000001</v>
      </c>
      <c r="K29" s="1265"/>
      <c r="L29" s="1263">
        <f t="shared" si="1"/>
        <v>102128105.40000001</v>
      </c>
    </row>
    <row r="30" spans="1:12" s="1226" customFormat="1" ht="15.6">
      <c r="A30" s="1334" t="s">
        <v>58</v>
      </c>
      <c r="B30" s="1260" t="s">
        <v>1548</v>
      </c>
      <c r="C30" s="1260" t="s">
        <v>2888</v>
      </c>
      <c r="D30" s="1261" t="s">
        <v>634</v>
      </c>
      <c r="E30" s="1262">
        <v>45625</v>
      </c>
      <c r="F30" s="1263">
        <v>102128105.40000001</v>
      </c>
      <c r="G30" s="1263">
        <v>1</v>
      </c>
      <c r="H30" s="1263">
        <f t="shared" si="3"/>
        <v>102128105.40000001</v>
      </c>
      <c r="I30" s="1263">
        <v>1</v>
      </c>
      <c r="J30" s="1263">
        <f t="shared" si="0"/>
        <v>102128105.40000001</v>
      </c>
      <c r="K30" s="1265"/>
      <c r="L30" s="1263">
        <f t="shared" si="1"/>
        <v>102128105.40000001</v>
      </c>
    </row>
    <row r="31" spans="1:12" s="1226" customFormat="1" ht="15.6">
      <c r="A31" s="1334" t="s">
        <v>58</v>
      </c>
      <c r="B31" s="1260" t="s">
        <v>1548</v>
      </c>
      <c r="C31" s="1260" t="s">
        <v>2889</v>
      </c>
      <c r="D31" s="1261" t="s">
        <v>634</v>
      </c>
      <c r="E31" s="1262">
        <v>45625</v>
      </c>
      <c r="F31" s="1263">
        <v>102128105.40000001</v>
      </c>
      <c r="G31" s="1263">
        <v>1</v>
      </c>
      <c r="H31" s="1263">
        <f t="shared" si="3"/>
        <v>102128105.40000001</v>
      </c>
      <c r="I31" s="1263">
        <v>1</v>
      </c>
      <c r="J31" s="1263">
        <f t="shared" si="0"/>
        <v>102128105.40000001</v>
      </c>
      <c r="K31" s="1265"/>
      <c r="L31" s="1263">
        <f t="shared" si="1"/>
        <v>102128105.40000001</v>
      </c>
    </row>
    <row r="32" spans="1:12" s="1226" customFormat="1" ht="15.6">
      <c r="A32" s="1334" t="s">
        <v>58</v>
      </c>
      <c r="B32" s="1260" t="s">
        <v>1548</v>
      </c>
      <c r="C32" s="1260" t="s">
        <v>2890</v>
      </c>
      <c r="D32" s="1261" t="s">
        <v>634</v>
      </c>
      <c r="E32" s="1262">
        <v>45625</v>
      </c>
      <c r="F32" s="1263">
        <v>102128105.40000001</v>
      </c>
      <c r="G32" s="1263">
        <v>1</v>
      </c>
      <c r="H32" s="1263">
        <f t="shared" si="3"/>
        <v>102128105.40000001</v>
      </c>
      <c r="I32" s="1263">
        <v>1</v>
      </c>
      <c r="J32" s="1263">
        <f t="shared" si="0"/>
        <v>102128105.40000001</v>
      </c>
      <c r="K32" s="1265"/>
      <c r="L32" s="1263">
        <f t="shared" si="1"/>
        <v>102128105.40000001</v>
      </c>
    </row>
    <row r="33" spans="1:12" s="1226" customFormat="1" ht="15.6">
      <c r="A33" s="1334" t="s">
        <v>58</v>
      </c>
      <c r="B33" s="1260" t="s">
        <v>1548</v>
      </c>
      <c r="C33" s="1260" t="s">
        <v>2891</v>
      </c>
      <c r="D33" s="1261" t="s">
        <v>634</v>
      </c>
      <c r="E33" s="1262">
        <v>45625</v>
      </c>
      <c r="F33" s="1263">
        <v>102128105.40000001</v>
      </c>
      <c r="G33" s="1263">
        <v>1</v>
      </c>
      <c r="H33" s="1263">
        <f t="shared" si="3"/>
        <v>102128105.40000001</v>
      </c>
      <c r="I33" s="1263">
        <v>1</v>
      </c>
      <c r="J33" s="1263">
        <f t="shared" si="0"/>
        <v>102128105.40000001</v>
      </c>
      <c r="K33" s="1265"/>
      <c r="L33" s="1263">
        <f t="shared" si="1"/>
        <v>102128105.40000001</v>
      </c>
    </row>
    <row r="34" spans="1:12" s="1226" customFormat="1" ht="15.6">
      <c r="A34" s="1334" t="s">
        <v>58</v>
      </c>
      <c r="B34" s="1260" t="s">
        <v>2650</v>
      </c>
      <c r="C34" s="1260" t="s">
        <v>2892</v>
      </c>
      <c r="D34" s="1261" t="s">
        <v>634</v>
      </c>
      <c r="E34" s="1262">
        <v>45580</v>
      </c>
      <c r="F34" s="1263">
        <v>209906577.97359836</v>
      </c>
      <c r="G34" s="1263">
        <v>1</v>
      </c>
      <c r="H34" s="1263">
        <f t="shared" si="3"/>
        <v>209906577.97359836</v>
      </c>
      <c r="I34" s="1263">
        <v>1</v>
      </c>
      <c r="J34" s="1263">
        <f t="shared" si="0"/>
        <v>209906577.97359836</v>
      </c>
      <c r="K34" s="1265"/>
      <c r="L34" s="1263">
        <f t="shared" si="1"/>
        <v>209906577.97359836</v>
      </c>
    </row>
    <row r="35" spans="1:12" s="1226" customFormat="1" ht="15.6">
      <c r="A35" s="1334" t="s">
        <v>58</v>
      </c>
      <c r="B35" s="1260" t="s">
        <v>2650</v>
      </c>
      <c r="C35" s="1260" t="s">
        <v>2893</v>
      </c>
      <c r="D35" s="1261" t="s">
        <v>634</v>
      </c>
      <c r="E35" s="1262">
        <v>45580</v>
      </c>
      <c r="F35" s="1263">
        <v>209906577.97359836</v>
      </c>
      <c r="G35" s="1263">
        <v>1</v>
      </c>
      <c r="H35" s="1263">
        <f t="shared" si="3"/>
        <v>209906577.97359836</v>
      </c>
      <c r="I35" s="1263">
        <v>1</v>
      </c>
      <c r="J35" s="1263">
        <f t="shared" si="0"/>
        <v>209906577.97359836</v>
      </c>
      <c r="K35" s="1265"/>
      <c r="L35" s="1263">
        <f t="shared" si="1"/>
        <v>209906577.97359836</v>
      </c>
    </row>
    <row r="36" spans="1:12" s="1226" customFormat="1" ht="15.6">
      <c r="A36" s="1334" t="s">
        <v>58</v>
      </c>
      <c r="B36" s="1260" t="s">
        <v>2650</v>
      </c>
      <c r="C36" s="1260" t="s">
        <v>2894</v>
      </c>
      <c r="D36" s="1261" t="s">
        <v>634</v>
      </c>
      <c r="E36" s="1262">
        <v>45580</v>
      </c>
      <c r="F36" s="1263">
        <v>209906577.97359836</v>
      </c>
      <c r="G36" s="1263">
        <v>1</v>
      </c>
      <c r="H36" s="1263">
        <f t="shared" si="3"/>
        <v>209906577.97359836</v>
      </c>
      <c r="I36" s="1263">
        <v>1</v>
      </c>
      <c r="J36" s="1263">
        <f t="shared" si="0"/>
        <v>209906577.97359836</v>
      </c>
      <c r="K36" s="1265"/>
      <c r="L36" s="1263">
        <f t="shared" ref="L36:L67" si="4">+J36</f>
        <v>209906577.97359836</v>
      </c>
    </row>
    <row r="37" spans="1:12" s="1226" customFormat="1" ht="15.6">
      <c r="A37" s="1334" t="s">
        <v>58</v>
      </c>
      <c r="B37" s="1260" t="s">
        <v>2650</v>
      </c>
      <c r="C37" s="1260" t="s">
        <v>2895</v>
      </c>
      <c r="D37" s="1261" t="s">
        <v>634</v>
      </c>
      <c r="E37" s="1262">
        <v>45580</v>
      </c>
      <c r="F37" s="1263">
        <v>209906577.97359836</v>
      </c>
      <c r="G37" s="1263">
        <v>1</v>
      </c>
      <c r="H37" s="1263">
        <f t="shared" si="3"/>
        <v>209906577.97359836</v>
      </c>
      <c r="I37" s="1263">
        <v>1</v>
      </c>
      <c r="J37" s="1263">
        <f t="shared" si="0"/>
        <v>209906577.97359836</v>
      </c>
      <c r="K37" s="1265"/>
      <c r="L37" s="1263">
        <f t="shared" si="4"/>
        <v>209906577.97359836</v>
      </c>
    </row>
    <row r="38" spans="1:12" s="1226" customFormat="1" ht="15.6">
      <c r="A38" s="1334" t="s">
        <v>58</v>
      </c>
      <c r="B38" s="1260" t="s">
        <v>2650</v>
      </c>
      <c r="C38" s="1260" t="s">
        <v>2896</v>
      </c>
      <c r="D38" s="1261" t="s">
        <v>634</v>
      </c>
      <c r="E38" s="1262">
        <v>45638</v>
      </c>
      <c r="F38" s="1263">
        <v>204742285</v>
      </c>
      <c r="G38" s="1263">
        <v>1</v>
      </c>
      <c r="H38" s="1263">
        <f t="shared" si="3"/>
        <v>204742285</v>
      </c>
      <c r="I38" s="1263">
        <v>1</v>
      </c>
      <c r="J38" s="1263">
        <f t="shared" si="0"/>
        <v>204742285</v>
      </c>
      <c r="K38" s="1265"/>
      <c r="L38" s="1263">
        <f t="shared" si="4"/>
        <v>204742285</v>
      </c>
    </row>
    <row r="39" spans="1:12" s="1226" customFormat="1" ht="15.6">
      <c r="A39" s="1334" t="s">
        <v>58</v>
      </c>
      <c r="B39" s="1260" t="s">
        <v>2650</v>
      </c>
      <c r="C39" s="1260" t="s">
        <v>2897</v>
      </c>
      <c r="D39" s="1261" t="s">
        <v>634</v>
      </c>
      <c r="E39" s="1262">
        <v>45624</v>
      </c>
      <c r="F39" s="1263">
        <v>100000000</v>
      </c>
      <c r="G39" s="1263">
        <v>1</v>
      </c>
      <c r="H39" s="1263">
        <f t="shared" si="3"/>
        <v>100000000</v>
      </c>
      <c r="I39" s="1263">
        <v>1</v>
      </c>
      <c r="J39" s="1263">
        <f t="shared" si="0"/>
        <v>100000000</v>
      </c>
      <c r="K39" s="1265"/>
      <c r="L39" s="1263">
        <f t="shared" si="4"/>
        <v>100000000</v>
      </c>
    </row>
    <row r="40" spans="1:12" s="1226" customFormat="1" ht="15.6">
      <c r="A40" s="1334" t="s">
        <v>58</v>
      </c>
      <c r="B40" s="1260" t="s">
        <v>2650</v>
      </c>
      <c r="C40" s="1260" t="s">
        <v>2898</v>
      </c>
      <c r="D40" s="1261" t="s">
        <v>634</v>
      </c>
      <c r="E40" s="1262">
        <v>45624</v>
      </c>
      <c r="F40" s="1263">
        <v>100000000</v>
      </c>
      <c r="G40" s="1263">
        <v>1</v>
      </c>
      <c r="H40" s="1263">
        <f t="shared" si="3"/>
        <v>100000000</v>
      </c>
      <c r="I40" s="1263">
        <v>1</v>
      </c>
      <c r="J40" s="1263">
        <f t="shared" si="0"/>
        <v>100000000</v>
      </c>
      <c r="K40" s="1265"/>
      <c r="L40" s="1263">
        <f t="shared" si="4"/>
        <v>100000000</v>
      </c>
    </row>
    <row r="41" spans="1:12" s="1226" customFormat="1" ht="15.6">
      <c r="A41" s="1334" t="s">
        <v>58</v>
      </c>
      <c r="B41" s="1260" t="s">
        <v>2650</v>
      </c>
      <c r="C41" s="1260" t="s">
        <v>2899</v>
      </c>
      <c r="D41" s="1261" t="s">
        <v>634</v>
      </c>
      <c r="E41" s="1262">
        <v>45624</v>
      </c>
      <c r="F41" s="1263">
        <v>100000000</v>
      </c>
      <c r="G41" s="1263">
        <v>1</v>
      </c>
      <c r="H41" s="1263">
        <f t="shared" si="3"/>
        <v>100000000</v>
      </c>
      <c r="I41" s="1263">
        <v>1</v>
      </c>
      <c r="J41" s="1263">
        <f t="shared" si="0"/>
        <v>100000000</v>
      </c>
      <c r="K41" s="1265"/>
      <c r="L41" s="1263">
        <f t="shared" si="4"/>
        <v>100000000</v>
      </c>
    </row>
    <row r="42" spans="1:12" s="1226" customFormat="1" ht="15.6">
      <c r="A42" s="1334" t="s">
        <v>58</v>
      </c>
      <c r="B42" s="1260" t="s">
        <v>2650</v>
      </c>
      <c r="C42" s="1260" t="s">
        <v>2900</v>
      </c>
      <c r="D42" s="1261" t="s">
        <v>634</v>
      </c>
      <c r="E42" s="1262">
        <v>45624</v>
      </c>
      <c r="F42" s="1263">
        <v>100000000</v>
      </c>
      <c r="G42" s="1263">
        <v>1</v>
      </c>
      <c r="H42" s="1263">
        <f t="shared" si="3"/>
        <v>100000000</v>
      </c>
      <c r="I42" s="1263">
        <v>1</v>
      </c>
      <c r="J42" s="1263">
        <f t="shared" si="0"/>
        <v>100000000</v>
      </c>
      <c r="K42" s="1265"/>
      <c r="L42" s="1263">
        <f t="shared" si="4"/>
        <v>100000000</v>
      </c>
    </row>
    <row r="43" spans="1:12" s="1226" customFormat="1" ht="15.6">
      <c r="A43" s="1334" t="s">
        <v>58</v>
      </c>
      <c r="B43" s="1260" t="s">
        <v>2650</v>
      </c>
      <c r="C43" s="1260" t="s">
        <v>2901</v>
      </c>
      <c r="D43" s="1261" t="s">
        <v>634</v>
      </c>
      <c r="E43" s="1262">
        <v>45624</v>
      </c>
      <c r="F43" s="1263">
        <v>100000000</v>
      </c>
      <c r="G43" s="1263">
        <v>1</v>
      </c>
      <c r="H43" s="1263">
        <f t="shared" si="3"/>
        <v>100000000</v>
      </c>
      <c r="I43" s="1263">
        <v>1</v>
      </c>
      <c r="J43" s="1263">
        <f t="shared" si="0"/>
        <v>100000000</v>
      </c>
      <c r="K43" s="1265"/>
      <c r="L43" s="1263">
        <f t="shared" si="4"/>
        <v>100000000</v>
      </c>
    </row>
    <row r="44" spans="1:12" s="1226" customFormat="1" ht="15.6">
      <c r="A44" s="1334" t="s">
        <v>58</v>
      </c>
      <c r="B44" s="1260" t="s">
        <v>2650</v>
      </c>
      <c r="C44" s="1260" t="s">
        <v>2902</v>
      </c>
      <c r="D44" s="1261" t="s">
        <v>634</v>
      </c>
      <c r="E44" s="1262">
        <v>45624</v>
      </c>
      <c r="F44" s="1263">
        <v>100000000</v>
      </c>
      <c r="G44" s="1263">
        <v>1</v>
      </c>
      <c r="H44" s="1263">
        <f t="shared" si="3"/>
        <v>100000000</v>
      </c>
      <c r="I44" s="1263">
        <v>1</v>
      </c>
      <c r="J44" s="1263">
        <f t="shared" si="0"/>
        <v>100000000</v>
      </c>
      <c r="K44" s="1265"/>
      <c r="L44" s="1263">
        <f t="shared" si="4"/>
        <v>100000000</v>
      </c>
    </row>
    <row r="45" spans="1:12" s="1226" customFormat="1" ht="15.6">
      <c r="A45" s="1334" t="s">
        <v>58</v>
      </c>
      <c r="B45" s="1260" t="s">
        <v>2650</v>
      </c>
      <c r="C45" s="1260" t="s">
        <v>2903</v>
      </c>
      <c r="D45" s="1261" t="s">
        <v>634</v>
      </c>
      <c r="E45" s="1262">
        <v>45624</v>
      </c>
      <c r="F45" s="1263">
        <v>100000000</v>
      </c>
      <c r="G45" s="1263">
        <v>1</v>
      </c>
      <c r="H45" s="1263">
        <f t="shared" si="3"/>
        <v>100000000</v>
      </c>
      <c r="I45" s="1263">
        <v>1</v>
      </c>
      <c r="J45" s="1263">
        <f t="shared" si="0"/>
        <v>100000000</v>
      </c>
      <c r="K45" s="1265"/>
      <c r="L45" s="1263">
        <f t="shared" si="4"/>
        <v>100000000</v>
      </c>
    </row>
    <row r="46" spans="1:12" s="1226" customFormat="1" ht="15.6">
      <c r="A46" s="1334" t="s">
        <v>58</v>
      </c>
      <c r="B46" s="1260" t="s">
        <v>2650</v>
      </c>
      <c r="C46" s="1260" t="s">
        <v>2904</v>
      </c>
      <c r="D46" s="1261" t="s">
        <v>634</v>
      </c>
      <c r="E46" s="1262">
        <v>45624</v>
      </c>
      <c r="F46" s="1263">
        <v>100000000</v>
      </c>
      <c r="G46" s="1263">
        <v>1</v>
      </c>
      <c r="H46" s="1263">
        <f t="shared" si="3"/>
        <v>100000000</v>
      </c>
      <c r="I46" s="1263">
        <v>1</v>
      </c>
      <c r="J46" s="1263">
        <f t="shared" si="0"/>
        <v>100000000</v>
      </c>
      <c r="K46" s="1265"/>
      <c r="L46" s="1263">
        <f t="shared" si="4"/>
        <v>100000000</v>
      </c>
    </row>
    <row r="47" spans="1:12" s="1226" customFormat="1" ht="15.6">
      <c r="A47" s="1334" t="s">
        <v>58</v>
      </c>
      <c r="B47" s="1260" t="s">
        <v>2650</v>
      </c>
      <c r="C47" s="1260" t="s">
        <v>2905</v>
      </c>
      <c r="D47" s="1261" t="s">
        <v>634</v>
      </c>
      <c r="E47" s="1262">
        <v>45624</v>
      </c>
      <c r="F47" s="1263">
        <v>100000000</v>
      </c>
      <c r="G47" s="1263">
        <v>1</v>
      </c>
      <c r="H47" s="1263">
        <f t="shared" si="3"/>
        <v>100000000</v>
      </c>
      <c r="I47" s="1263">
        <v>1</v>
      </c>
      <c r="J47" s="1263">
        <f t="shared" si="0"/>
        <v>100000000</v>
      </c>
      <c r="K47" s="1265"/>
      <c r="L47" s="1263">
        <f t="shared" si="4"/>
        <v>100000000</v>
      </c>
    </row>
    <row r="48" spans="1:12" s="1226" customFormat="1" ht="15.6">
      <c r="A48" s="1334" t="s">
        <v>58</v>
      </c>
      <c r="B48" s="1260" t="s">
        <v>2650</v>
      </c>
      <c r="C48" s="1260" t="s">
        <v>2906</v>
      </c>
      <c r="D48" s="1261" t="s">
        <v>634</v>
      </c>
      <c r="E48" s="1262">
        <v>45624</v>
      </c>
      <c r="F48" s="1263">
        <v>100000000</v>
      </c>
      <c r="G48" s="1263">
        <v>1</v>
      </c>
      <c r="H48" s="1263">
        <f t="shared" si="3"/>
        <v>100000000</v>
      </c>
      <c r="I48" s="1263">
        <v>1</v>
      </c>
      <c r="J48" s="1263">
        <f t="shared" si="0"/>
        <v>100000000</v>
      </c>
      <c r="K48" s="1265"/>
      <c r="L48" s="1263">
        <f t="shared" si="4"/>
        <v>100000000</v>
      </c>
    </row>
    <row r="49" spans="1:12" s="1226" customFormat="1" ht="15.6">
      <c r="A49" s="1334" t="s">
        <v>58</v>
      </c>
      <c r="B49" s="1260" t="s">
        <v>2650</v>
      </c>
      <c r="C49" s="1260" t="s">
        <v>2907</v>
      </c>
      <c r="D49" s="1261" t="s">
        <v>634</v>
      </c>
      <c r="E49" s="1262">
        <v>45630</v>
      </c>
      <c r="F49" s="1263">
        <v>100182924</v>
      </c>
      <c r="G49" s="1263">
        <v>1</v>
      </c>
      <c r="H49" s="1263">
        <f t="shared" si="3"/>
        <v>100182924</v>
      </c>
      <c r="I49" s="1263">
        <v>1</v>
      </c>
      <c r="J49" s="1263">
        <f t="shared" si="0"/>
        <v>100182924</v>
      </c>
      <c r="K49" s="1265"/>
      <c r="L49" s="1263">
        <f t="shared" si="4"/>
        <v>100182924</v>
      </c>
    </row>
    <row r="50" spans="1:12" s="1226" customFormat="1" ht="15.6">
      <c r="A50" s="1334" t="s">
        <v>58</v>
      </c>
      <c r="B50" s="1260" t="s">
        <v>1530</v>
      </c>
      <c r="C50" s="1260" t="s">
        <v>2908</v>
      </c>
      <c r="D50" s="1261" t="s">
        <v>634</v>
      </c>
      <c r="E50" s="1262">
        <v>45638</v>
      </c>
      <c r="F50" s="1263">
        <v>101736902</v>
      </c>
      <c r="G50" s="1263">
        <v>1</v>
      </c>
      <c r="H50" s="1263">
        <f t="shared" si="3"/>
        <v>101736902</v>
      </c>
      <c r="I50" s="1263">
        <v>1</v>
      </c>
      <c r="J50" s="1263">
        <f t="shared" si="0"/>
        <v>101736902</v>
      </c>
      <c r="K50" s="1265"/>
      <c r="L50" s="1263">
        <f t="shared" si="4"/>
        <v>101736902</v>
      </c>
    </row>
    <row r="51" spans="1:12" s="1226" customFormat="1" ht="15.6">
      <c r="A51" s="1334" t="s">
        <v>58</v>
      </c>
      <c r="B51" s="1260" t="s">
        <v>1530</v>
      </c>
      <c r="C51" s="1260" t="s">
        <v>2909</v>
      </c>
      <c r="D51" s="1261" t="s">
        <v>634</v>
      </c>
      <c r="E51" s="1262">
        <v>45638</v>
      </c>
      <c r="F51" s="1263">
        <v>101736902</v>
      </c>
      <c r="G51" s="1263">
        <v>1</v>
      </c>
      <c r="H51" s="1263">
        <f t="shared" si="3"/>
        <v>101736902</v>
      </c>
      <c r="I51" s="1263">
        <v>1</v>
      </c>
      <c r="J51" s="1263">
        <f t="shared" si="0"/>
        <v>101736902</v>
      </c>
      <c r="K51" s="1265"/>
      <c r="L51" s="1263">
        <f t="shared" si="4"/>
        <v>101736902</v>
      </c>
    </row>
    <row r="52" spans="1:12" s="1226" customFormat="1" ht="15.6">
      <c r="A52" s="1334" t="s">
        <v>58</v>
      </c>
      <c r="B52" s="1260" t="s">
        <v>1530</v>
      </c>
      <c r="C52" s="1260" t="s">
        <v>2910</v>
      </c>
      <c r="D52" s="1261" t="s">
        <v>634</v>
      </c>
      <c r="E52" s="1262">
        <v>45638</v>
      </c>
      <c r="F52" s="1263">
        <v>101736902</v>
      </c>
      <c r="G52" s="1263">
        <v>1</v>
      </c>
      <c r="H52" s="1263">
        <f t="shared" si="3"/>
        <v>101736902</v>
      </c>
      <c r="I52" s="1263">
        <v>1</v>
      </c>
      <c r="J52" s="1263">
        <f t="shared" si="0"/>
        <v>101736902</v>
      </c>
      <c r="K52" s="1265"/>
      <c r="L52" s="1263">
        <f t="shared" si="4"/>
        <v>101736902</v>
      </c>
    </row>
    <row r="53" spans="1:12" s="1226" customFormat="1" ht="15.6">
      <c r="A53" s="1334" t="s">
        <v>58</v>
      </c>
      <c r="B53" s="1260" t="s">
        <v>1530</v>
      </c>
      <c r="C53" s="1260" t="s">
        <v>2911</v>
      </c>
      <c r="D53" s="1261" t="s">
        <v>634</v>
      </c>
      <c r="E53" s="1262">
        <v>45638</v>
      </c>
      <c r="F53" s="1263">
        <v>101736902</v>
      </c>
      <c r="G53" s="1263">
        <v>1</v>
      </c>
      <c r="H53" s="1263">
        <f t="shared" si="3"/>
        <v>101736902</v>
      </c>
      <c r="I53" s="1263">
        <v>1</v>
      </c>
      <c r="J53" s="1263">
        <f t="shared" si="0"/>
        <v>101736902</v>
      </c>
      <c r="K53" s="1265"/>
      <c r="L53" s="1263">
        <f t="shared" si="4"/>
        <v>101736902</v>
      </c>
    </row>
    <row r="54" spans="1:12" s="1226" customFormat="1" ht="15.6">
      <c r="A54" s="1334" t="s">
        <v>58</v>
      </c>
      <c r="B54" s="1260" t="s">
        <v>1530</v>
      </c>
      <c r="C54" s="1260" t="s">
        <v>2912</v>
      </c>
      <c r="D54" s="1261" t="s">
        <v>634</v>
      </c>
      <c r="E54" s="1262">
        <v>45638</v>
      </c>
      <c r="F54" s="1263">
        <v>101736902</v>
      </c>
      <c r="G54" s="1263">
        <v>1</v>
      </c>
      <c r="H54" s="1263">
        <f t="shared" si="3"/>
        <v>101736902</v>
      </c>
      <c r="I54" s="1263">
        <v>1</v>
      </c>
      <c r="J54" s="1263">
        <f t="shared" si="0"/>
        <v>101736902</v>
      </c>
      <c r="K54" s="1265"/>
      <c r="L54" s="1263">
        <f t="shared" si="4"/>
        <v>101736902</v>
      </c>
    </row>
    <row r="55" spans="1:12" s="1226" customFormat="1" ht="15.6">
      <c r="A55" s="1334" t="s">
        <v>58</v>
      </c>
      <c r="B55" s="1260" t="s">
        <v>1530</v>
      </c>
      <c r="C55" s="1260" t="s">
        <v>2913</v>
      </c>
      <c r="D55" s="1261" t="s">
        <v>634</v>
      </c>
      <c r="E55" s="1262">
        <v>45642</v>
      </c>
      <c r="F55" s="1263">
        <v>101524026</v>
      </c>
      <c r="G55" s="1263">
        <v>1</v>
      </c>
      <c r="H55" s="1263">
        <f t="shared" si="3"/>
        <v>101524026</v>
      </c>
      <c r="I55" s="1263">
        <v>1</v>
      </c>
      <c r="J55" s="1263">
        <f t="shared" si="0"/>
        <v>101524026</v>
      </c>
      <c r="K55" s="1265"/>
      <c r="L55" s="1263">
        <f t="shared" si="4"/>
        <v>101524026</v>
      </c>
    </row>
    <row r="56" spans="1:12" s="1226" customFormat="1" ht="15.6">
      <c r="A56" s="1334" t="s">
        <v>58</v>
      </c>
      <c r="B56" s="1260" t="s">
        <v>2914</v>
      </c>
      <c r="C56" s="1260" t="s">
        <v>2915</v>
      </c>
      <c r="D56" s="1261" t="s">
        <v>634</v>
      </c>
      <c r="E56" s="1262">
        <v>45638</v>
      </c>
      <c r="F56" s="1263">
        <v>500000000</v>
      </c>
      <c r="G56" s="1263">
        <v>1</v>
      </c>
      <c r="H56" s="1263">
        <f t="shared" si="3"/>
        <v>500000000</v>
      </c>
      <c r="I56" s="1263">
        <v>1</v>
      </c>
      <c r="J56" s="1263">
        <f t="shared" si="0"/>
        <v>500000000</v>
      </c>
      <c r="K56" s="1265"/>
      <c r="L56" s="1263">
        <f t="shared" si="4"/>
        <v>500000000</v>
      </c>
    </row>
    <row r="57" spans="1:12" s="1226" customFormat="1" ht="15.6">
      <c r="A57" s="1334" t="s">
        <v>58</v>
      </c>
      <c r="B57" s="1260" t="s">
        <v>2914</v>
      </c>
      <c r="C57" s="1260" t="s">
        <v>2916</v>
      </c>
      <c r="D57" s="1261" t="s">
        <v>634</v>
      </c>
      <c r="E57" s="1262">
        <v>45638</v>
      </c>
      <c r="F57" s="1263">
        <v>500000000</v>
      </c>
      <c r="G57" s="1263">
        <v>1</v>
      </c>
      <c r="H57" s="1263">
        <f t="shared" si="3"/>
        <v>500000000</v>
      </c>
      <c r="I57" s="1263">
        <v>1</v>
      </c>
      <c r="J57" s="1263">
        <f t="shared" si="0"/>
        <v>500000000</v>
      </c>
      <c r="K57" s="1265"/>
      <c r="L57" s="1263">
        <f t="shared" si="4"/>
        <v>500000000</v>
      </c>
    </row>
    <row r="58" spans="1:12" s="1226" customFormat="1" ht="15.6">
      <c r="A58" s="1334" t="s">
        <v>58</v>
      </c>
      <c r="B58" s="1260" t="s">
        <v>2914</v>
      </c>
      <c r="C58" s="1260" t="s">
        <v>2917</v>
      </c>
      <c r="D58" s="1261" t="s">
        <v>634</v>
      </c>
      <c r="E58" s="1262">
        <v>45638</v>
      </c>
      <c r="F58" s="1263">
        <v>500000000</v>
      </c>
      <c r="G58" s="1263">
        <v>1</v>
      </c>
      <c r="H58" s="1263">
        <f t="shared" si="3"/>
        <v>500000000</v>
      </c>
      <c r="I58" s="1263">
        <v>1</v>
      </c>
      <c r="J58" s="1263">
        <f t="shared" si="0"/>
        <v>500000000</v>
      </c>
      <c r="K58" s="1265"/>
      <c r="L58" s="1263">
        <f t="shared" si="4"/>
        <v>500000000</v>
      </c>
    </row>
    <row r="59" spans="1:12" s="1226" customFormat="1" ht="15.6">
      <c r="A59" s="1334" t="s">
        <v>58</v>
      </c>
      <c r="B59" s="1260" t="s">
        <v>2914</v>
      </c>
      <c r="C59" s="1260" t="s">
        <v>2918</v>
      </c>
      <c r="D59" s="1261" t="s">
        <v>634</v>
      </c>
      <c r="E59" s="1262">
        <v>45638</v>
      </c>
      <c r="F59" s="1263">
        <v>500000000</v>
      </c>
      <c r="G59" s="1263">
        <v>1</v>
      </c>
      <c r="H59" s="1263">
        <f t="shared" si="3"/>
        <v>500000000</v>
      </c>
      <c r="I59" s="1263">
        <v>1</v>
      </c>
      <c r="J59" s="1263">
        <f t="shared" si="0"/>
        <v>500000000</v>
      </c>
      <c r="K59" s="1265"/>
      <c r="L59" s="1263">
        <f t="shared" si="4"/>
        <v>500000000</v>
      </c>
    </row>
    <row r="60" spans="1:12" s="1226" customFormat="1" ht="15.6">
      <c r="A60" s="1334" t="s">
        <v>58</v>
      </c>
      <c r="B60" s="1260" t="s">
        <v>2914</v>
      </c>
      <c r="C60" s="1260" t="s">
        <v>2919</v>
      </c>
      <c r="D60" s="1261" t="s">
        <v>634</v>
      </c>
      <c r="E60" s="1262">
        <v>45638</v>
      </c>
      <c r="F60" s="1263">
        <v>500000000</v>
      </c>
      <c r="G60" s="1263">
        <v>1</v>
      </c>
      <c r="H60" s="1263">
        <f t="shared" si="3"/>
        <v>500000000</v>
      </c>
      <c r="I60" s="1263">
        <v>1</v>
      </c>
      <c r="J60" s="1263">
        <f t="shared" si="0"/>
        <v>500000000</v>
      </c>
      <c r="K60" s="1265"/>
      <c r="L60" s="1263">
        <f t="shared" si="4"/>
        <v>500000000</v>
      </c>
    </row>
    <row r="61" spans="1:12" s="1226" customFormat="1" ht="15.6">
      <c r="A61" s="1334" t="s">
        <v>58</v>
      </c>
      <c r="B61" s="1260" t="s">
        <v>2914</v>
      </c>
      <c r="C61" s="1260" t="s">
        <v>2920</v>
      </c>
      <c r="D61" s="1261" t="s">
        <v>634</v>
      </c>
      <c r="E61" s="1262">
        <v>45638</v>
      </c>
      <c r="F61" s="1263">
        <v>500000000</v>
      </c>
      <c r="G61" s="1263">
        <v>1</v>
      </c>
      <c r="H61" s="1263">
        <f t="shared" si="3"/>
        <v>500000000</v>
      </c>
      <c r="I61" s="1263">
        <v>1</v>
      </c>
      <c r="J61" s="1263">
        <f t="shared" si="0"/>
        <v>500000000</v>
      </c>
      <c r="K61" s="1265"/>
      <c r="L61" s="1263">
        <f t="shared" si="4"/>
        <v>500000000</v>
      </c>
    </row>
    <row r="62" spans="1:12" s="1226" customFormat="1" ht="15.6">
      <c r="A62" s="1334" t="s">
        <v>58</v>
      </c>
      <c r="B62" s="1260" t="s">
        <v>1688</v>
      </c>
      <c r="C62" s="1260" t="s">
        <v>2921</v>
      </c>
      <c r="D62" s="1261" t="s">
        <v>634</v>
      </c>
      <c r="E62" s="1262">
        <v>45643</v>
      </c>
      <c r="F62" s="1263">
        <v>497046286</v>
      </c>
      <c r="G62" s="1263">
        <v>1</v>
      </c>
      <c r="H62" s="1263">
        <f t="shared" si="3"/>
        <v>497046286</v>
      </c>
      <c r="I62" s="1263">
        <v>1</v>
      </c>
      <c r="J62" s="1263">
        <f t="shared" si="0"/>
        <v>497046286</v>
      </c>
      <c r="K62" s="1265"/>
      <c r="L62" s="1263">
        <f t="shared" si="4"/>
        <v>497046286</v>
      </c>
    </row>
    <row r="63" spans="1:12" s="1226" customFormat="1" ht="15.6">
      <c r="A63" s="1334" t="s">
        <v>2973</v>
      </c>
      <c r="B63" s="1260" t="s">
        <v>1600</v>
      </c>
      <c r="C63" s="1260" t="s">
        <v>2922</v>
      </c>
      <c r="D63" s="1261" t="s">
        <v>634</v>
      </c>
      <c r="E63" s="1262">
        <v>45589</v>
      </c>
      <c r="F63" s="1263">
        <v>52008409</v>
      </c>
      <c r="G63" s="1263">
        <v>1</v>
      </c>
      <c r="H63" s="1263">
        <f t="shared" si="3"/>
        <v>52008409</v>
      </c>
      <c r="I63" s="1263">
        <v>1</v>
      </c>
      <c r="J63" s="1263">
        <f t="shared" si="0"/>
        <v>52008409</v>
      </c>
      <c r="K63" s="1265"/>
      <c r="L63" s="1263">
        <f t="shared" si="4"/>
        <v>52008409</v>
      </c>
    </row>
    <row r="64" spans="1:12" s="1226" customFormat="1" ht="15.6">
      <c r="A64" s="1334" t="s">
        <v>2973</v>
      </c>
      <c r="B64" s="1260" t="s">
        <v>1600</v>
      </c>
      <c r="C64" s="1260" t="s">
        <v>2923</v>
      </c>
      <c r="D64" s="1261" t="s">
        <v>634</v>
      </c>
      <c r="E64" s="1262">
        <v>45589</v>
      </c>
      <c r="F64" s="1263">
        <v>52008409</v>
      </c>
      <c r="G64" s="1263">
        <v>1</v>
      </c>
      <c r="H64" s="1263">
        <f t="shared" si="3"/>
        <v>52008409</v>
      </c>
      <c r="I64" s="1263">
        <v>1</v>
      </c>
      <c r="J64" s="1263">
        <f t="shared" si="0"/>
        <v>52008409</v>
      </c>
      <c r="K64" s="1265"/>
      <c r="L64" s="1263">
        <f t="shared" si="4"/>
        <v>52008409</v>
      </c>
    </row>
    <row r="65" spans="1:12" s="1226" customFormat="1" ht="15.6">
      <c r="A65" s="1334" t="s">
        <v>56</v>
      </c>
      <c r="B65" s="1260" t="s">
        <v>1511</v>
      </c>
      <c r="C65" s="1260" t="s">
        <v>2641</v>
      </c>
      <c r="D65" s="1261" t="s">
        <v>634</v>
      </c>
      <c r="E65" s="1262">
        <v>45574</v>
      </c>
      <c r="F65" s="1263">
        <v>5057260000</v>
      </c>
      <c r="G65" s="1263">
        <v>5000</v>
      </c>
      <c r="H65" s="1263">
        <f>+F65/G65</f>
        <v>1011452</v>
      </c>
      <c r="I65" s="1263">
        <v>806</v>
      </c>
      <c r="J65" s="1263">
        <f t="shared" si="0"/>
        <v>815230312</v>
      </c>
      <c r="K65" s="1265"/>
      <c r="L65" s="1263">
        <f t="shared" si="4"/>
        <v>815230312</v>
      </c>
    </row>
    <row r="66" spans="1:12" ht="15.6">
      <c r="A66" s="1334" t="s">
        <v>56</v>
      </c>
      <c r="B66" s="1260" t="s">
        <v>1511</v>
      </c>
      <c r="C66" s="1260" t="s">
        <v>1695</v>
      </c>
      <c r="D66" s="1261" t="s">
        <v>634</v>
      </c>
      <c r="E66" s="1262">
        <v>45470</v>
      </c>
      <c r="F66" s="1263">
        <v>754175250</v>
      </c>
      <c r="G66" s="1263">
        <v>750</v>
      </c>
      <c r="H66" s="1263">
        <f>+F66/G66</f>
        <v>1005567</v>
      </c>
      <c r="I66" s="1263">
        <v>455</v>
      </c>
      <c r="J66" s="1263">
        <f t="shared" si="0"/>
        <v>457532985</v>
      </c>
      <c r="K66" s="1265"/>
      <c r="L66" s="1263">
        <f t="shared" si="4"/>
        <v>457532985</v>
      </c>
    </row>
    <row r="67" spans="1:12" ht="15.6">
      <c r="A67" s="1334" t="s">
        <v>56</v>
      </c>
      <c r="B67" s="1260" t="s">
        <v>1511</v>
      </c>
      <c r="C67" s="1260" t="s">
        <v>2925</v>
      </c>
      <c r="D67" s="1261" t="s">
        <v>634</v>
      </c>
      <c r="E67" s="1262">
        <v>45567</v>
      </c>
      <c r="F67" s="1263">
        <v>1000000000</v>
      </c>
      <c r="G67" s="1263">
        <v>1000</v>
      </c>
      <c r="H67" s="1263">
        <f t="shared" si="3"/>
        <v>1000000</v>
      </c>
      <c r="I67" s="1263">
        <v>775</v>
      </c>
      <c r="J67" s="1263">
        <f t="shared" si="0"/>
        <v>775000000</v>
      </c>
      <c r="K67" s="1265"/>
      <c r="L67" s="1263">
        <f t="shared" si="4"/>
        <v>775000000</v>
      </c>
    </row>
    <row r="68" spans="1:12" s="1226" customFormat="1" ht="15.6">
      <c r="A68" s="1334" t="s">
        <v>56</v>
      </c>
      <c r="B68" s="1260" t="s">
        <v>1548</v>
      </c>
      <c r="C68" s="1260" t="s">
        <v>2729</v>
      </c>
      <c r="D68" s="1261" t="s">
        <v>634</v>
      </c>
      <c r="E68" s="1262">
        <v>45561</v>
      </c>
      <c r="F68" s="1263">
        <v>987865195</v>
      </c>
      <c r="G68" s="1263">
        <v>950</v>
      </c>
      <c r="H68" s="1263">
        <f t="shared" ref="H68:H130" si="5">+F68/G68</f>
        <v>1039858.1</v>
      </c>
      <c r="I68" s="1263">
        <v>410</v>
      </c>
      <c r="J68" s="1263">
        <f t="shared" ref="J68:J130" si="6">+H68*I68</f>
        <v>426341821</v>
      </c>
      <c r="K68" s="1265"/>
      <c r="L68" s="1263">
        <f t="shared" ref="L68:L119" si="7">+J68</f>
        <v>426341821</v>
      </c>
    </row>
    <row r="69" spans="1:12" s="1226" customFormat="1" ht="15.6">
      <c r="A69" s="1334" t="s">
        <v>56</v>
      </c>
      <c r="B69" s="1260" t="s">
        <v>1548</v>
      </c>
      <c r="C69" s="1260" t="s">
        <v>2730</v>
      </c>
      <c r="D69" s="1261" t="s">
        <v>634</v>
      </c>
      <c r="E69" s="1262">
        <v>45512</v>
      </c>
      <c r="F69" s="1263">
        <v>526451000</v>
      </c>
      <c r="G69" s="1263">
        <v>500</v>
      </c>
      <c r="H69" s="1263">
        <f t="shared" si="5"/>
        <v>1052902</v>
      </c>
      <c r="I69" s="1263">
        <v>440</v>
      </c>
      <c r="J69" s="1263">
        <f t="shared" si="6"/>
        <v>463276880</v>
      </c>
      <c r="K69" s="1265"/>
      <c r="L69" s="1263">
        <f t="shared" si="7"/>
        <v>463276880</v>
      </c>
    </row>
    <row r="70" spans="1:12" s="1226" customFormat="1" ht="15.6">
      <c r="A70" s="1334" t="s">
        <v>1802</v>
      </c>
      <c r="B70" s="1260" t="s">
        <v>2926</v>
      </c>
      <c r="C70" s="1260" t="s">
        <v>2927</v>
      </c>
      <c r="D70" s="1261" t="s">
        <v>634</v>
      </c>
      <c r="E70" s="1262">
        <v>45646</v>
      </c>
      <c r="F70" s="1263">
        <v>1000000000</v>
      </c>
      <c r="G70" s="1263">
        <v>1000</v>
      </c>
      <c r="H70" s="1263">
        <f t="shared" si="5"/>
        <v>1000000</v>
      </c>
      <c r="I70" s="1263">
        <v>975</v>
      </c>
      <c r="J70" s="1263">
        <f t="shared" si="6"/>
        <v>975000000</v>
      </c>
      <c r="K70" s="1265"/>
      <c r="L70" s="1263">
        <f t="shared" si="7"/>
        <v>975000000</v>
      </c>
    </row>
    <row r="71" spans="1:12" s="1226" customFormat="1" ht="15.6">
      <c r="A71" s="1334" t="s">
        <v>1802</v>
      </c>
      <c r="B71" s="1260" t="s">
        <v>1600</v>
      </c>
      <c r="C71" s="1260" t="s">
        <v>1697</v>
      </c>
      <c r="D71" s="1261" t="s">
        <v>634</v>
      </c>
      <c r="E71" s="1262">
        <v>45246</v>
      </c>
      <c r="F71" s="1263">
        <v>2921444800</v>
      </c>
      <c r="G71" s="1263">
        <v>3100</v>
      </c>
      <c r="H71" s="1263">
        <f t="shared" si="5"/>
        <v>942401.54838709673</v>
      </c>
      <c r="I71" s="1263">
        <v>2075</v>
      </c>
      <c r="J71" s="1263">
        <f t="shared" si="6"/>
        <v>1955483212.9032257</v>
      </c>
      <c r="K71" s="1265"/>
      <c r="L71" s="1263">
        <f t="shared" si="7"/>
        <v>1955483212.9032257</v>
      </c>
    </row>
    <row r="72" spans="1:12" s="1226" customFormat="1" ht="15.6">
      <c r="A72" s="1334" t="s">
        <v>1802</v>
      </c>
      <c r="B72" s="1260" t="s">
        <v>1600</v>
      </c>
      <c r="C72" s="1260" t="s">
        <v>1697</v>
      </c>
      <c r="D72" s="1261" t="s">
        <v>634</v>
      </c>
      <c r="E72" s="1262">
        <v>45246</v>
      </c>
      <c r="F72" s="1263">
        <v>2921444800</v>
      </c>
      <c r="G72" s="1263">
        <v>3100</v>
      </c>
      <c r="H72" s="1263">
        <f t="shared" ref="H72" si="8">+F72/G72</f>
        <v>942401.54838709673</v>
      </c>
      <c r="I72" s="1263">
        <v>355</v>
      </c>
      <c r="J72" s="1263">
        <f t="shared" ref="J72" si="9">+H72*I72</f>
        <v>334552549.67741936</v>
      </c>
      <c r="K72" s="1265"/>
      <c r="L72" s="1263">
        <f t="shared" ref="L72" si="10">+J72</f>
        <v>334552549.67741936</v>
      </c>
    </row>
    <row r="73" spans="1:12" s="1226" customFormat="1" ht="15.6">
      <c r="A73" s="1334" t="s">
        <v>1802</v>
      </c>
      <c r="B73" s="1260" t="s">
        <v>1600</v>
      </c>
      <c r="C73" s="1260" t="s">
        <v>1659</v>
      </c>
      <c r="D73" s="1261" t="s">
        <v>634</v>
      </c>
      <c r="E73" s="1262">
        <v>44427</v>
      </c>
      <c r="F73" s="1263">
        <v>2000000000</v>
      </c>
      <c r="G73" s="1263">
        <v>2000</v>
      </c>
      <c r="H73" s="1263">
        <f t="shared" si="5"/>
        <v>1000000</v>
      </c>
      <c r="I73" s="1263">
        <v>650</v>
      </c>
      <c r="J73" s="1263">
        <f t="shared" si="6"/>
        <v>650000000</v>
      </c>
      <c r="K73" s="1265"/>
      <c r="L73" s="1263">
        <f t="shared" si="7"/>
        <v>650000000</v>
      </c>
    </row>
    <row r="74" spans="1:12" s="1226" customFormat="1" ht="15.6">
      <c r="A74" s="1334" t="s">
        <v>1802</v>
      </c>
      <c r="B74" s="1260" t="s">
        <v>1600</v>
      </c>
      <c r="C74" s="1260" t="s">
        <v>2731</v>
      </c>
      <c r="D74" s="1261" t="s">
        <v>634</v>
      </c>
      <c r="E74" s="1262">
        <v>45533</v>
      </c>
      <c r="F74" s="1263">
        <v>3500000000</v>
      </c>
      <c r="G74" s="1263">
        <v>3500</v>
      </c>
      <c r="H74" s="1263">
        <f t="shared" si="5"/>
        <v>1000000</v>
      </c>
      <c r="I74" s="1263">
        <v>1443</v>
      </c>
      <c r="J74" s="1263">
        <f t="shared" si="6"/>
        <v>1443000000</v>
      </c>
      <c r="K74" s="1265"/>
      <c r="L74" s="1263">
        <f t="shared" si="7"/>
        <v>1443000000</v>
      </c>
    </row>
    <row r="75" spans="1:12" s="1226" customFormat="1" ht="15.6">
      <c r="A75" s="1334" t="s">
        <v>1802</v>
      </c>
      <c r="B75" s="1260" t="s">
        <v>1600</v>
      </c>
      <c r="C75" s="1260" t="s">
        <v>2732</v>
      </c>
      <c r="D75" s="1261" t="s">
        <v>634</v>
      </c>
      <c r="E75" s="1262">
        <v>45533</v>
      </c>
      <c r="F75" s="1263">
        <v>2150000000</v>
      </c>
      <c r="G75" s="1263">
        <v>2150</v>
      </c>
      <c r="H75" s="1263">
        <f t="shared" si="5"/>
        <v>1000000</v>
      </c>
      <c r="I75" s="1263">
        <v>1533</v>
      </c>
      <c r="J75" s="1263">
        <f t="shared" si="6"/>
        <v>1533000000</v>
      </c>
      <c r="K75" s="1265"/>
      <c r="L75" s="1263">
        <f t="shared" si="7"/>
        <v>1533000000</v>
      </c>
    </row>
    <row r="76" spans="1:12" s="1226" customFormat="1" ht="15.6">
      <c r="A76" s="1334" t="s">
        <v>1802</v>
      </c>
      <c r="B76" s="1260" t="s">
        <v>1600</v>
      </c>
      <c r="C76" s="1260" t="s">
        <v>2733</v>
      </c>
      <c r="D76" s="1261" t="s">
        <v>634</v>
      </c>
      <c r="E76" s="1262">
        <v>45533</v>
      </c>
      <c r="F76" s="1263">
        <v>3000000000</v>
      </c>
      <c r="G76" s="1263">
        <v>3000</v>
      </c>
      <c r="H76" s="1263">
        <f t="shared" si="5"/>
        <v>1000000</v>
      </c>
      <c r="I76" s="1263">
        <v>159</v>
      </c>
      <c r="J76" s="1263">
        <f t="shared" si="6"/>
        <v>159000000</v>
      </c>
      <c r="K76" s="1265"/>
      <c r="L76" s="1263">
        <f t="shared" si="7"/>
        <v>159000000</v>
      </c>
    </row>
    <row r="77" spans="1:12" s="1226" customFormat="1" ht="15.6">
      <c r="A77" s="1334" t="s">
        <v>1802</v>
      </c>
      <c r="B77" s="1260" t="s">
        <v>1600</v>
      </c>
      <c r="C77" s="1260" t="s">
        <v>2928</v>
      </c>
      <c r="D77" s="1261" t="s">
        <v>634</v>
      </c>
      <c r="E77" s="1262">
        <v>45581</v>
      </c>
      <c r="F77" s="1263">
        <v>4700000000</v>
      </c>
      <c r="G77" s="1263">
        <v>4700</v>
      </c>
      <c r="H77" s="1263">
        <f t="shared" si="5"/>
        <v>1000000</v>
      </c>
      <c r="I77" s="1263">
        <v>35</v>
      </c>
      <c r="J77" s="1263">
        <f t="shared" si="6"/>
        <v>35000000</v>
      </c>
      <c r="K77" s="1265"/>
      <c r="L77" s="1263">
        <f t="shared" si="7"/>
        <v>35000000</v>
      </c>
    </row>
    <row r="78" spans="1:12" s="1226" customFormat="1" ht="15.6">
      <c r="A78" s="1334" t="s">
        <v>1802</v>
      </c>
      <c r="B78" s="1260" t="s">
        <v>1600</v>
      </c>
      <c r="C78" s="1260" t="s">
        <v>2929</v>
      </c>
      <c r="D78" s="1261" t="s">
        <v>634</v>
      </c>
      <c r="E78" s="1262">
        <v>45610</v>
      </c>
      <c r="F78" s="1263">
        <v>3000000000</v>
      </c>
      <c r="G78" s="1263">
        <v>3000</v>
      </c>
      <c r="H78" s="1263">
        <f t="shared" si="5"/>
        <v>1000000</v>
      </c>
      <c r="I78" s="1263">
        <v>63</v>
      </c>
      <c r="J78" s="1263">
        <f t="shared" si="6"/>
        <v>63000000</v>
      </c>
      <c r="K78" s="1265"/>
      <c r="L78" s="1263">
        <f t="shared" si="7"/>
        <v>63000000</v>
      </c>
    </row>
    <row r="79" spans="1:12" s="1226" customFormat="1" ht="15.6">
      <c r="A79" s="1334" t="s">
        <v>1802</v>
      </c>
      <c r="B79" s="1260" t="s">
        <v>1600</v>
      </c>
      <c r="C79" s="1260" t="s">
        <v>2930</v>
      </c>
      <c r="D79" s="1261" t="s">
        <v>634</v>
      </c>
      <c r="E79" s="1333">
        <v>45631</v>
      </c>
      <c r="F79" s="1263">
        <v>840000000</v>
      </c>
      <c r="G79" s="1263">
        <v>840</v>
      </c>
      <c r="H79" s="1263">
        <f t="shared" si="5"/>
        <v>1000000</v>
      </c>
      <c r="I79" s="1263">
        <v>840</v>
      </c>
      <c r="J79" s="1263">
        <f t="shared" si="6"/>
        <v>840000000</v>
      </c>
      <c r="K79" s="1265"/>
      <c r="L79" s="1263">
        <f t="shared" si="7"/>
        <v>840000000</v>
      </c>
    </row>
    <row r="80" spans="1:12" s="1226" customFormat="1" ht="15.6">
      <c r="A80" s="1334" t="s">
        <v>1802</v>
      </c>
      <c r="B80" s="1260" t="s">
        <v>1600</v>
      </c>
      <c r="C80" s="1260" t="s">
        <v>2931</v>
      </c>
      <c r="D80" s="1261" t="s">
        <v>634</v>
      </c>
      <c r="E80" s="1333">
        <v>45645</v>
      </c>
      <c r="F80" s="1263">
        <v>2160000000</v>
      </c>
      <c r="G80" s="1263">
        <v>2160</v>
      </c>
      <c r="H80" s="1263">
        <f t="shared" si="5"/>
        <v>1000000</v>
      </c>
      <c r="I80" s="1263">
        <v>2160</v>
      </c>
      <c r="J80" s="1263">
        <f t="shared" si="6"/>
        <v>2160000000</v>
      </c>
      <c r="K80" s="1265"/>
      <c r="L80" s="1263">
        <f t="shared" si="7"/>
        <v>2160000000</v>
      </c>
    </row>
    <row r="81" spans="1:12" s="1226" customFormat="1" ht="15.6">
      <c r="A81" s="1334" t="s">
        <v>526</v>
      </c>
      <c r="B81" s="1260" t="s">
        <v>1634</v>
      </c>
      <c r="C81" s="1260" t="s">
        <v>2933</v>
      </c>
      <c r="D81" s="1261" t="s">
        <v>634</v>
      </c>
      <c r="E81" s="1333">
        <v>45604</v>
      </c>
      <c r="F81" s="1263">
        <v>262113990</v>
      </c>
      <c r="G81" s="1263">
        <v>255</v>
      </c>
      <c r="H81" s="1263">
        <f t="shared" si="5"/>
        <v>1027898</v>
      </c>
      <c r="I81" s="1263">
        <v>255</v>
      </c>
      <c r="J81" s="1263">
        <f t="shared" si="6"/>
        <v>262113990</v>
      </c>
      <c r="K81" s="1265"/>
      <c r="L81" s="1263">
        <f t="shared" si="7"/>
        <v>262113990</v>
      </c>
    </row>
    <row r="82" spans="1:12" s="1226" customFormat="1" ht="15.6">
      <c r="A82" s="1334" t="s">
        <v>526</v>
      </c>
      <c r="B82" s="1260" t="s">
        <v>1634</v>
      </c>
      <c r="C82" s="1260" t="s">
        <v>2734</v>
      </c>
      <c r="D82" s="1261" t="s">
        <v>634</v>
      </c>
      <c r="E82" s="1333">
        <v>45555</v>
      </c>
      <c r="F82" s="1263">
        <v>1500000000</v>
      </c>
      <c r="G82" s="1263">
        <v>1500</v>
      </c>
      <c r="H82" s="1263">
        <f t="shared" si="5"/>
        <v>1000000</v>
      </c>
      <c r="I82" s="1263">
        <v>1306</v>
      </c>
      <c r="J82" s="1263">
        <f t="shared" si="6"/>
        <v>1306000000</v>
      </c>
      <c r="K82" s="1265"/>
      <c r="L82" s="1263">
        <f t="shared" si="7"/>
        <v>1306000000</v>
      </c>
    </row>
    <row r="83" spans="1:12" s="1226" customFormat="1" ht="15.6">
      <c r="A83" s="1334" t="s">
        <v>62</v>
      </c>
      <c r="B83" s="1260" t="s">
        <v>2934</v>
      </c>
      <c r="C83" s="1260" t="s">
        <v>1786</v>
      </c>
      <c r="D83" s="1261" t="s">
        <v>634</v>
      </c>
      <c r="E83" s="1333">
        <v>45609</v>
      </c>
      <c r="F83" s="1263">
        <v>120983040</v>
      </c>
      <c r="G83" s="1263">
        <v>120</v>
      </c>
      <c r="H83" s="1263">
        <f t="shared" si="5"/>
        <v>1008192</v>
      </c>
      <c r="I83" s="1263">
        <v>120</v>
      </c>
      <c r="J83" s="1263">
        <f t="shared" si="6"/>
        <v>120983040</v>
      </c>
      <c r="K83" s="1265"/>
      <c r="L83" s="1263">
        <f t="shared" si="7"/>
        <v>120983040</v>
      </c>
    </row>
    <row r="84" spans="1:12" s="1226" customFormat="1" ht="15.6">
      <c r="A84" s="1334" t="s">
        <v>62</v>
      </c>
      <c r="B84" s="1260" t="s">
        <v>1616</v>
      </c>
      <c r="C84" s="1260" t="s">
        <v>1699</v>
      </c>
      <c r="D84" s="1261" t="s">
        <v>634</v>
      </c>
      <c r="E84" s="1333">
        <v>45609</v>
      </c>
      <c r="F84" s="1263">
        <v>322638600</v>
      </c>
      <c r="G84" s="1263">
        <v>300</v>
      </c>
      <c r="H84" s="1263">
        <f t="shared" si="5"/>
        <v>1075462</v>
      </c>
      <c r="I84" s="1263">
        <v>300</v>
      </c>
      <c r="J84" s="1263">
        <f t="shared" si="6"/>
        <v>322638600</v>
      </c>
      <c r="K84" s="1265"/>
      <c r="L84" s="1263">
        <f t="shared" si="7"/>
        <v>322638600</v>
      </c>
    </row>
    <row r="85" spans="1:12" s="1226" customFormat="1" ht="15.6">
      <c r="A85" s="1334" t="s">
        <v>62</v>
      </c>
      <c r="B85" s="1260" t="s">
        <v>1616</v>
      </c>
      <c r="C85" s="1260" t="s">
        <v>2871</v>
      </c>
      <c r="D85" s="1261" t="s">
        <v>634</v>
      </c>
      <c r="E85" s="1333">
        <v>45643</v>
      </c>
      <c r="F85" s="1263">
        <v>4808000000</v>
      </c>
      <c r="G85" s="1263">
        <v>4808</v>
      </c>
      <c r="H85" s="1263">
        <f t="shared" si="5"/>
        <v>1000000</v>
      </c>
      <c r="I85" s="1263">
        <v>3303</v>
      </c>
      <c r="J85" s="1263">
        <f t="shared" si="6"/>
        <v>3303000000</v>
      </c>
      <c r="K85" s="1265"/>
      <c r="L85" s="1263">
        <f t="shared" si="7"/>
        <v>3303000000</v>
      </c>
    </row>
    <row r="86" spans="1:12" s="1226" customFormat="1" ht="15.6">
      <c r="A86" s="1334" t="s">
        <v>62</v>
      </c>
      <c r="B86" s="1260" t="s">
        <v>1616</v>
      </c>
      <c r="C86" s="1260" t="s">
        <v>2871</v>
      </c>
      <c r="D86" s="1261" t="s">
        <v>634</v>
      </c>
      <c r="E86" s="1333">
        <v>45643</v>
      </c>
      <c r="F86" s="1263">
        <v>4808000000</v>
      </c>
      <c r="G86" s="1263">
        <v>4808</v>
      </c>
      <c r="H86" s="1263">
        <f t="shared" ref="H86" si="11">+F86/G86</f>
        <v>1000000</v>
      </c>
      <c r="I86" s="1263">
        <v>1500</v>
      </c>
      <c r="J86" s="1263">
        <f t="shared" ref="J86" si="12">+H86*I86</f>
        <v>1500000000</v>
      </c>
      <c r="K86" s="1265"/>
      <c r="L86" s="1263">
        <f t="shared" ref="L86" si="13">+J86</f>
        <v>1500000000</v>
      </c>
    </row>
    <row r="87" spans="1:12" s="1226" customFormat="1" ht="15.6">
      <c r="A87" s="1334" t="s">
        <v>62</v>
      </c>
      <c r="B87" s="1260" t="s">
        <v>1616</v>
      </c>
      <c r="C87" s="1260" t="s">
        <v>2935</v>
      </c>
      <c r="D87" s="1261" t="s">
        <v>634</v>
      </c>
      <c r="E87" s="1333">
        <v>45568</v>
      </c>
      <c r="F87" s="1263">
        <v>886327008</v>
      </c>
      <c r="G87" s="1263">
        <v>888</v>
      </c>
      <c r="H87" s="1263">
        <f t="shared" si="5"/>
        <v>998116</v>
      </c>
      <c r="I87" s="1263">
        <v>531</v>
      </c>
      <c r="J87" s="1263">
        <f t="shared" si="6"/>
        <v>529999596</v>
      </c>
      <c r="K87" s="1265"/>
      <c r="L87" s="1263">
        <f t="shared" si="7"/>
        <v>529999596</v>
      </c>
    </row>
    <row r="88" spans="1:12" s="1226" customFormat="1" ht="15.6">
      <c r="A88" s="1334" t="s">
        <v>2975</v>
      </c>
      <c r="B88" s="1260" t="s">
        <v>1600</v>
      </c>
      <c r="C88" s="1260" t="s">
        <v>2944</v>
      </c>
      <c r="D88" s="1261" t="s">
        <v>634</v>
      </c>
      <c r="E88" s="1333">
        <v>45610</v>
      </c>
      <c r="F88" s="1263">
        <v>5466000000</v>
      </c>
      <c r="G88" s="1263">
        <v>5466</v>
      </c>
      <c r="H88" s="1263">
        <f t="shared" si="5"/>
        <v>1000000</v>
      </c>
      <c r="I88" s="1263">
        <v>1000</v>
      </c>
      <c r="J88" s="1263">
        <f t="shared" si="6"/>
        <v>1000000000</v>
      </c>
      <c r="K88" s="1265"/>
      <c r="L88" s="1263">
        <f t="shared" si="7"/>
        <v>1000000000</v>
      </c>
    </row>
    <row r="89" spans="1:12" s="1226" customFormat="1" ht="15.6">
      <c r="A89" s="1334" t="s">
        <v>1671</v>
      </c>
      <c r="B89" s="1260" t="s">
        <v>2741</v>
      </c>
      <c r="C89" s="1260" t="s">
        <v>1728</v>
      </c>
      <c r="D89" s="1261" t="s">
        <v>634</v>
      </c>
      <c r="E89" s="1333">
        <v>45383</v>
      </c>
      <c r="F89" s="1263">
        <v>4056688693</v>
      </c>
      <c r="G89" s="1263">
        <v>3707</v>
      </c>
      <c r="H89" s="1263">
        <f t="shared" si="5"/>
        <v>1094331.9916374427</v>
      </c>
      <c r="I89" s="1263">
        <v>2433</v>
      </c>
      <c r="J89" s="1263">
        <f t="shared" si="6"/>
        <v>2662509735.6538982</v>
      </c>
      <c r="K89" s="1265"/>
      <c r="L89" s="1263">
        <f t="shared" si="7"/>
        <v>2662509735.6538982</v>
      </c>
    </row>
    <row r="90" spans="1:12" s="1226" customFormat="1" ht="15.6">
      <c r="A90" s="1334" t="s">
        <v>1671</v>
      </c>
      <c r="B90" s="1260" t="s">
        <v>2741</v>
      </c>
      <c r="C90" s="1260" t="s">
        <v>1728</v>
      </c>
      <c r="D90" s="1261" t="s">
        <v>634</v>
      </c>
      <c r="E90" s="1333">
        <v>45383</v>
      </c>
      <c r="F90" s="1263">
        <v>4056688693</v>
      </c>
      <c r="G90" s="1263">
        <v>3707</v>
      </c>
      <c r="H90" s="1263">
        <f t="shared" ref="H90:H91" si="14">+F90/G90</f>
        <v>1094331.9916374427</v>
      </c>
      <c r="I90" s="1263">
        <v>71</v>
      </c>
      <c r="J90" s="1263">
        <f t="shared" ref="J90:J91" si="15">+H90*I90</f>
        <v>77697571.406258434</v>
      </c>
      <c r="K90" s="1265"/>
      <c r="L90" s="1263">
        <f t="shared" ref="L90:L91" si="16">+J90</f>
        <v>77697571.406258434</v>
      </c>
    </row>
    <row r="91" spans="1:12" s="1226" customFormat="1" ht="15.6">
      <c r="A91" s="1334" t="s">
        <v>1671</v>
      </c>
      <c r="B91" s="1260" t="s">
        <v>2741</v>
      </c>
      <c r="C91" s="1260" t="s">
        <v>1672</v>
      </c>
      <c r="D91" s="1261" t="s">
        <v>634</v>
      </c>
      <c r="E91" s="1333">
        <v>45383</v>
      </c>
      <c r="F91" s="1263">
        <v>378165600</v>
      </c>
      <c r="G91" s="1263">
        <v>360</v>
      </c>
      <c r="H91" s="1263">
        <f t="shared" si="14"/>
        <v>1050460</v>
      </c>
      <c r="I91" s="1263">
        <v>68</v>
      </c>
      <c r="J91" s="1263">
        <f t="shared" si="15"/>
        <v>71431280</v>
      </c>
      <c r="K91" s="1265"/>
      <c r="L91" s="1263">
        <f t="shared" si="16"/>
        <v>71431280</v>
      </c>
    </row>
    <row r="92" spans="1:12" s="1226" customFormat="1" ht="15.6">
      <c r="A92" s="1334" t="s">
        <v>1668</v>
      </c>
      <c r="B92" s="1260" t="s">
        <v>1504</v>
      </c>
      <c r="C92" s="1260" t="s">
        <v>1669</v>
      </c>
      <c r="D92" s="1261" t="s">
        <v>634</v>
      </c>
      <c r="E92" s="1333">
        <v>45443</v>
      </c>
      <c r="F92" s="1263">
        <v>3576375602</v>
      </c>
      <c r="G92" s="1263">
        <v>380</v>
      </c>
      <c r="H92" s="1263">
        <f t="shared" si="5"/>
        <v>9411514.7421052624</v>
      </c>
      <c r="I92" s="1263">
        <v>80</v>
      </c>
      <c r="J92" s="1263">
        <f t="shared" si="6"/>
        <v>752921179.36842096</v>
      </c>
      <c r="K92" s="1265"/>
      <c r="L92" s="1263">
        <f t="shared" si="7"/>
        <v>752921179.36842096</v>
      </c>
    </row>
    <row r="93" spans="1:12" s="1226" customFormat="1" ht="15.6">
      <c r="A93" s="1334" t="s">
        <v>58</v>
      </c>
      <c r="B93" s="1260" t="s">
        <v>1515</v>
      </c>
      <c r="C93" s="1260" t="s">
        <v>2745</v>
      </c>
      <c r="D93" s="1261" t="s">
        <v>634</v>
      </c>
      <c r="E93" s="1262">
        <v>45407</v>
      </c>
      <c r="F93" s="1263">
        <v>100000000</v>
      </c>
      <c r="G93" s="1263">
        <v>1</v>
      </c>
      <c r="H93" s="1263">
        <f t="shared" si="5"/>
        <v>100000000</v>
      </c>
      <c r="I93" s="1263">
        <v>1</v>
      </c>
      <c r="J93" s="1263">
        <f t="shared" si="6"/>
        <v>100000000</v>
      </c>
      <c r="K93" s="1265"/>
      <c r="L93" s="1263">
        <f t="shared" si="7"/>
        <v>100000000</v>
      </c>
    </row>
    <row r="94" spans="1:12" s="1226" customFormat="1" ht="15.6">
      <c r="A94" s="1334" t="s">
        <v>58</v>
      </c>
      <c r="B94" s="1260" t="s">
        <v>1515</v>
      </c>
      <c r="C94" s="1260" t="s">
        <v>2746</v>
      </c>
      <c r="D94" s="1261" t="s">
        <v>634</v>
      </c>
      <c r="E94" s="1262">
        <v>45407</v>
      </c>
      <c r="F94" s="1263">
        <v>100000000</v>
      </c>
      <c r="G94" s="1263">
        <v>1</v>
      </c>
      <c r="H94" s="1336">
        <f t="shared" si="5"/>
        <v>100000000</v>
      </c>
      <c r="I94" s="1263">
        <v>1</v>
      </c>
      <c r="J94" s="1336">
        <f t="shared" si="6"/>
        <v>100000000</v>
      </c>
      <c r="K94" s="1265"/>
      <c r="L94" s="1336">
        <f t="shared" si="7"/>
        <v>100000000</v>
      </c>
    </row>
    <row r="95" spans="1:12" s="1226" customFormat="1" ht="15.6">
      <c r="A95" s="1334" t="s">
        <v>58</v>
      </c>
      <c r="B95" s="1260" t="s">
        <v>1515</v>
      </c>
      <c r="C95" s="1260" t="s">
        <v>2747</v>
      </c>
      <c r="D95" s="1261" t="s">
        <v>634</v>
      </c>
      <c r="E95" s="1262">
        <v>45407</v>
      </c>
      <c r="F95" s="1263">
        <v>100000000</v>
      </c>
      <c r="G95" s="1263">
        <v>1</v>
      </c>
      <c r="H95" s="1336">
        <f t="shared" si="5"/>
        <v>100000000</v>
      </c>
      <c r="I95" s="1263">
        <v>1</v>
      </c>
      <c r="J95" s="1336">
        <f t="shared" si="6"/>
        <v>100000000</v>
      </c>
      <c r="K95" s="1265"/>
      <c r="L95" s="1336">
        <f t="shared" si="7"/>
        <v>100000000</v>
      </c>
    </row>
    <row r="96" spans="1:12" s="1226" customFormat="1" ht="15.6">
      <c r="A96" s="1334" t="s">
        <v>58</v>
      </c>
      <c r="B96" s="1260" t="s">
        <v>1515</v>
      </c>
      <c r="C96" s="1260" t="s">
        <v>2748</v>
      </c>
      <c r="D96" s="1261" t="s">
        <v>634</v>
      </c>
      <c r="E96" s="1262">
        <v>45407</v>
      </c>
      <c r="F96" s="1263">
        <v>100000000</v>
      </c>
      <c r="G96" s="1263">
        <v>1</v>
      </c>
      <c r="H96" s="1336">
        <f t="shared" si="5"/>
        <v>100000000</v>
      </c>
      <c r="I96" s="1263">
        <v>1</v>
      </c>
      <c r="J96" s="1336">
        <f t="shared" si="6"/>
        <v>100000000</v>
      </c>
      <c r="K96" s="1265"/>
      <c r="L96" s="1336">
        <f t="shared" si="7"/>
        <v>100000000</v>
      </c>
    </row>
    <row r="97" spans="1:12" s="1226" customFormat="1" ht="15.6">
      <c r="A97" s="1334" t="s">
        <v>58</v>
      </c>
      <c r="B97" s="1260" t="s">
        <v>1515</v>
      </c>
      <c r="C97" s="1260" t="s">
        <v>2749</v>
      </c>
      <c r="D97" s="1261" t="s">
        <v>634</v>
      </c>
      <c r="E97" s="1262">
        <v>45407</v>
      </c>
      <c r="F97" s="1263">
        <v>100000000</v>
      </c>
      <c r="G97" s="1263">
        <v>1</v>
      </c>
      <c r="H97" s="1336">
        <f t="shared" si="5"/>
        <v>100000000</v>
      </c>
      <c r="I97" s="1263">
        <v>1</v>
      </c>
      <c r="J97" s="1336">
        <f t="shared" si="6"/>
        <v>100000000</v>
      </c>
      <c r="K97" s="1265"/>
      <c r="L97" s="1336">
        <f t="shared" si="7"/>
        <v>100000000</v>
      </c>
    </row>
    <row r="98" spans="1:12" s="1226" customFormat="1" ht="15.6">
      <c r="A98" s="1334" t="s">
        <v>58</v>
      </c>
      <c r="B98" s="1260" t="s">
        <v>1515</v>
      </c>
      <c r="C98" s="1260" t="s">
        <v>2750</v>
      </c>
      <c r="D98" s="1261" t="s">
        <v>634</v>
      </c>
      <c r="E98" s="1262">
        <v>45407</v>
      </c>
      <c r="F98" s="1263">
        <v>500000000</v>
      </c>
      <c r="G98" s="1263">
        <v>1</v>
      </c>
      <c r="H98" s="1336">
        <f t="shared" si="5"/>
        <v>500000000</v>
      </c>
      <c r="I98" s="1263">
        <v>1</v>
      </c>
      <c r="J98" s="1336">
        <f t="shared" si="6"/>
        <v>500000000</v>
      </c>
      <c r="K98" s="1265"/>
      <c r="L98" s="1336">
        <f t="shared" si="7"/>
        <v>500000000</v>
      </c>
    </row>
    <row r="99" spans="1:12" s="1226" customFormat="1" ht="15.6">
      <c r="A99" s="1334" t="s">
        <v>58</v>
      </c>
      <c r="B99" s="1260" t="s">
        <v>1515</v>
      </c>
      <c r="C99" s="1260" t="s">
        <v>1730</v>
      </c>
      <c r="D99" s="1261" t="s">
        <v>634</v>
      </c>
      <c r="E99" s="1262">
        <v>45303</v>
      </c>
      <c r="F99" s="1263">
        <v>533140602</v>
      </c>
      <c r="G99" s="1263">
        <v>1</v>
      </c>
      <c r="H99" s="1336">
        <f t="shared" si="5"/>
        <v>533140602</v>
      </c>
      <c r="I99" s="1263">
        <v>1</v>
      </c>
      <c r="J99" s="1336">
        <f t="shared" si="6"/>
        <v>533140602</v>
      </c>
      <c r="K99" s="1265"/>
      <c r="L99" s="1336">
        <f t="shared" si="7"/>
        <v>533140602</v>
      </c>
    </row>
    <row r="100" spans="1:12" s="1226" customFormat="1" ht="15.6">
      <c r="A100" s="1334" t="s">
        <v>58</v>
      </c>
      <c r="B100" s="1260" t="s">
        <v>1515</v>
      </c>
      <c r="C100" s="1260" t="s">
        <v>1731</v>
      </c>
      <c r="D100" s="1261" t="s">
        <v>634</v>
      </c>
      <c r="E100" s="1262">
        <v>45303</v>
      </c>
      <c r="F100" s="1263">
        <v>533140602</v>
      </c>
      <c r="G100" s="1263">
        <v>1</v>
      </c>
      <c r="H100" s="1336">
        <f t="shared" si="5"/>
        <v>533140602</v>
      </c>
      <c r="I100" s="1263">
        <v>1</v>
      </c>
      <c r="J100" s="1336">
        <f t="shared" si="6"/>
        <v>533140602</v>
      </c>
      <c r="K100" s="1265"/>
      <c r="L100" s="1336">
        <f t="shared" si="7"/>
        <v>533140602</v>
      </c>
    </row>
    <row r="101" spans="1:12" s="1226" customFormat="1" ht="15.6">
      <c r="A101" s="1334" t="s">
        <v>58</v>
      </c>
      <c r="B101" s="1260" t="s">
        <v>1515</v>
      </c>
      <c r="C101" s="1260" t="s">
        <v>1732</v>
      </c>
      <c r="D101" s="1261" t="s">
        <v>634</v>
      </c>
      <c r="E101" s="1262">
        <v>45303</v>
      </c>
      <c r="F101" s="1263">
        <v>533140602</v>
      </c>
      <c r="G101" s="1263">
        <v>1</v>
      </c>
      <c r="H101" s="1336">
        <f t="shared" si="5"/>
        <v>533140602</v>
      </c>
      <c r="I101" s="1263">
        <v>1</v>
      </c>
      <c r="J101" s="1336">
        <f t="shared" si="6"/>
        <v>533140602</v>
      </c>
      <c r="K101" s="1265"/>
      <c r="L101" s="1336">
        <f t="shared" si="7"/>
        <v>533140602</v>
      </c>
    </row>
    <row r="102" spans="1:12" s="1226" customFormat="1" ht="15.6">
      <c r="A102" s="1334" t="s">
        <v>58</v>
      </c>
      <c r="B102" s="1260" t="s">
        <v>1515</v>
      </c>
      <c r="C102" s="1260" t="s">
        <v>1733</v>
      </c>
      <c r="D102" s="1261" t="s">
        <v>634</v>
      </c>
      <c r="E102" s="1262">
        <v>45303</v>
      </c>
      <c r="F102" s="1263">
        <v>533140602</v>
      </c>
      <c r="G102" s="1263">
        <v>1</v>
      </c>
      <c r="H102" s="1336">
        <f t="shared" si="5"/>
        <v>533140602</v>
      </c>
      <c r="I102" s="1263">
        <v>1</v>
      </c>
      <c r="J102" s="1336">
        <f t="shared" si="6"/>
        <v>533140602</v>
      </c>
      <c r="K102" s="1265"/>
      <c r="L102" s="1336">
        <f t="shared" si="7"/>
        <v>533140602</v>
      </c>
    </row>
    <row r="103" spans="1:12" s="1226" customFormat="1" ht="15.6">
      <c r="A103" s="1334" t="s">
        <v>58</v>
      </c>
      <c r="B103" s="1260" t="s">
        <v>1515</v>
      </c>
      <c r="C103" s="1260" t="s">
        <v>1734</v>
      </c>
      <c r="D103" s="1261" t="s">
        <v>634</v>
      </c>
      <c r="E103" s="1262">
        <v>45303</v>
      </c>
      <c r="F103" s="1263">
        <v>533140602</v>
      </c>
      <c r="G103" s="1263">
        <v>1</v>
      </c>
      <c r="H103" s="1336">
        <f t="shared" si="5"/>
        <v>533140602</v>
      </c>
      <c r="I103" s="1263">
        <v>1</v>
      </c>
      <c r="J103" s="1336">
        <f t="shared" si="6"/>
        <v>533140602</v>
      </c>
      <c r="K103" s="1265"/>
      <c r="L103" s="1336">
        <f t="shared" si="7"/>
        <v>533140602</v>
      </c>
    </row>
    <row r="104" spans="1:12" s="1226" customFormat="1" ht="15.6">
      <c r="A104" s="1334" t="s">
        <v>58</v>
      </c>
      <c r="B104" s="1260" t="s">
        <v>1515</v>
      </c>
      <c r="C104" s="1260" t="s">
        <v>1735</v>
      </c>
      <c r="D104" s="1261" t="s">
        <v>634</v>
      </c>
      <c r="E104" s="1262">
        <v>45303</v>
      </c>
      <c r="F104" s="1263">
        <v>533140602</v>
      </c>
      <c r="G104" s="1263">
        <v>1</v>
      </c>
      <c r="H104" s="1336">
        <f t="shared" si="5"/>
        <v>533140602</v>
      </c>
      <c r="I104" s="1263">
        <v>1</v>
      </c>
      <c r="J104" s="1336">
        <f t="shared" si="6"/>
        <v>533140602</v>
      </c>
      <c r="K104" s="1265"/>
      <c r="L104" s="1336">
        <f t="shared" si="7"/>
        <v>533140602</v>
      </c>
    </row>
    <row r="105" spans="1:12" s="1226" customFormat="1" ht="15.6">
      <c r="A105" s="1334" t="s">
        <v>58</v>
      </c>
      <c r="B105" s="1260" t="s">
        <v>1515</v>
      </c>
      <c r="C105" s="1260" t="s">
        <v>1736</v>
      </c>
      <c r="D105" s="1261" t="s">
        <v>634</v>
      </c>
      <c r="E105" s="1262">
        <v>45324</v>
      </c>
      <c r="F105" s="1263">
        <v>200000000</v>
      </c>
      <c r="G105" s="1263">
        <v>1</v>
      </c>
      <c r="H105" s="1336">
        <f t="shared" si="5"/>
        <v>200000000</v>
      </c>
      <c r="I105" s="1263">
        <v>1</v>
      </c>
      <c r="J105" s="1336">
        <f t="shared" si="6"/>
        <v>200000000</v>
      </c>
      <c r="K105" s="1265"/>
      <c r="L105" s="1336">
        <f t="shared" si="7"/>
        <v>200000000</v>
      </c>
    </row>
    <row r="106" spans="1:12" s="1226" customFormat="1" ht="15.6">
      <c r="A106" s="1334" t="s">
        <v>58</v>
      </c>
      <c r="B106" s="1260" t="s">
        <v>1515</v>
      </c>
      <c r="C106" s="1260" t="s">
        <v>1737</v>
      </c>
      <c r="D106" s="1261" t="s">
        <v>634</v>
      </c>
      <c r="E106" s="1262">
        <v>45324</v>
      </c>
      <c r="F106" s="1263">
        <v>200000000</v>
      </c>
      <c r="G106" s="1263">
        <v>1</v>
      </c>
      <c r="H106" s="1336">
        <f t="shared" si="5"/>
        <v>200000000</v>
      </c>
      <c r="I106" s="1263">
        <v>1</v>
      </c>
      <c r="J106" s="1336">
        <f t="shared" si="6"/>
        <v>200000000</v>
      </c>
      <c r="K106" s="1265"/>
      <c r="L106" s="1336">
        <f t="shared" si="7"/>
        <v>200000000</v>
      </c>
    </row>
    <row r="107" spans="1:12" s="1226" customFormat="1" ht="15.6">
      <c r="A107" s="1334" t="s">
        <v>58</v>
      </c>
      <c r="B107" s="1260" t="s">
        <v>1515</v>
      </c>
      <c r="C107" s="1260" t="s">
        <v>1738</v>
      </c>
      <c r="D107" s="1261" t="s">
        <v>634</v>
      </c>
      <c r="E107" s="1262">
        <v>45324</v>
      </c>
      <c r="F107" s="1263">
        <v>200000000</v>
      </c>
      <c r="G107" s="1263">
        <v>1</v>
      </c>
      <c r="H107" s="1336">
        <f t="shared" si="5"/>
        <v>200000000</v>
      </c>
      <c r="I107" s="1263">
        <v>1</v>
      </c>
      <c r="J107" s="1336">
        <f t="shared" si="6"/>
        <v>200000000</v>
      </c>
      <c r="K107" s="1265"/>
      <c r="L107" s="1336">
        <f t="shared" si="7"/>
        <v>200000000</v>
      </c>
    </row>
    <row r="108" spans="1:12" s="1226" customFormat="1" ht="15.6">
      <c r="A108" s="1334" t="s">
        <v>58</v>
      </c>
      <c r="B108" s="1260" t="s">
        <v>1515</v>
      </c>
      <c r="C108" s="1260" t="s">
        <v>1739</v>
      </c>
      <c r="D108" s="1261" t="s">
        <v>634</v>
      </c>
      <c r="E108" s="1262">
        <v>45324</v>
      </c>
      <c r="F108" s="1263">
        <v>200000000</v>
      </c>
      <c r="G108" s="1263">
        <v>1</v>
      </c>
      <c r="H108" s="1336">
        <f t="shared" si="5"/>
        <v>200000000</v>
      </c>
      <c r="I108" s="1263">
        <v>1</v>
      </c>
      <c r="J108" s="1336">
        <f t="shared" si="6"/>
        <v>200000000</v>
      </c>
      <c r="K108" s="1265"/>
      <c r="L108" s="1336">
        <f t="shared" si="7"/>
        <v>200000000</v>
      </c>
    </row>
    <row r="109" spans="1:12" s="1226" customFormat="1" ht="15.6">
      <c r="A109" s="1334" t="s">
        <v>58</v>
      </c>
      <c r="B109" s="1260" t="s">
        <v>1515</v>
      </c>
      <c r="C109" s="1260" t="s">
        <v>1740</v>
      </c>
      <c r="D109" s="1261" t="s">
        <v>634</v>
      </c>
      <c r="E109" s="1262">
        <v>45324</v>
      </c>
      <c r="F109" s="1263">
        <v>200000000</v>
      </c>
      <c r="G109" s="1263">
        <v>1</v>
      </c>
      <c r="H109" s="1336">
        <f t="shared" si="5"/>
        <v>200000000</v>
      </c>
      <c r="I109" s="1263">
        <v>1</v>
      </c>
      <c r="J109" s="1336">
        <f t="shared" si="6"/>
        <v>200000000</v>
      </c>
      <c r="K109" s="1265"/>
      <c r="L109" s="1336">
        <f t="shared" si="7"/>
        <v>200000000</v>
      </c>
    </row>
    <row r="110" spans="1:12" s="1226" customFormat="1" ht="15.6">
      <c r="A110" s="1334" t="s">
        <v>58</v>
      </c>
      <c r="B110" s="1260" t="s">
        <v>1515</v>
      </c>
      <c r="C110" s="1260" t="s">
        <v>1741</v>
      </c>
      <c r="D110" s="1261" t="s">
        <v>634</v>
      </c>
      <c r="E110" s="1262">
        <v>45330</v>
      </c>
      <c r="F110" s="1263">
        <v>100000000</v>
      </c>
      <c r="G110" s="1263">
        <v>1</v>
      </c>
      <c r="H110" s="1336">
        <f t="shared" si="5"/>
        <v>100000000</v>
      </c>
      <c r="I110" s="1263">
        <v>1</v>
      </c>
      <c r="J110" s="1336">
        <f t="shared" si="6"/>
        <v>100000000</v>
      </c>
      <c r="K110" s="1265"/>
      <c r="L110" s="1336">
        <f t="shared" si="7"/>
        <v>100000000</v>
      </c>
    </row>
    <row r="111" spans="1:12" s="1226" customFormat="1" ht="15.6">
      <c r="A111" s="1334" t="s">
        <v>58</v>
      </c>
      <c r="B111" s="1260" t="s">
        <v>1515</v>
      </c>
      <c r="C111" s="1260" t="s">
        <v>1742</v>
      </c>
      <c r="D111" s="1261" t="s">
        <v>634</v>
      </c>
      <c r="E111" s="1262">
        <v>45330</v>
      </c>
      <c r="F111" s="1263">
        <v>100000000</v>
      </c>
      <c r="G111" s="1263">
        <v>1</v>
      </c>
      <c r="H111" s="1336">
        <f t="shared" si="5"/>
        <v>100000000</v>
      </c>
      <c r="I111" s="1263">
        <v>1</v>
      </c>
      <c r="J111" s="1336">
        <f t="shared" si="6"/>
        <v>100000000</v>
      </c>
      <c r="K111" s="1265"/>
      <c r="L111" s="1336">
        <f t="shared" si="7"/>
        <v>100000000</v>
      </c>
    </row>
    <row r="112" spans="1:12" s="1226" customFormat="1" ht="15.6">
      <c r="A112" s="1334" t="s">
        <v>58</v>
      </c>
      <c r="B112" s="1260" t="s">
        <v>1515</v>
      </c>
      <c r="C112" s="1260" t="s">
        <v>1743</v>
      </c>
      <c r="D112" s="1261" t="s">
        <v>634</v>
      </c>
      <c r="E112" s="1262">
        <v>45330</v>
      </c>
      <c r="F112" s="1263">
        <v>100000000</v>
      </c>
      <c r="G112" s="1263">
        <v>1</v>
      </c>
      <c r="H112" s="1336">
        <f t="shared" si="5"/>
        <v>100000000</v>
      </c>
      <c r="I112" s="1263">
        <v>1</v>
      </c>
      <c r="J112" s="1336">
        <f t="shared" si="6"/>
        <v>100000000</v>
      </c>
      <c r="K112" s="1265"/>
      <c r="L112" s="1336">
        <f t="shared" si="7"/>
        <v>100000000</v>
      </c>
    </row>
    <row r="113" spans="1:12" s="1226" customFormat="1" ht="15.6">
      <c r="A113" s="1334" t="s">
        <v>58</v>
      </c>
      <c r="B113" s="1260" t="s">
        <v>1515</v>
      </c>
      <c r="C113" s="1260" t="s">
        <v>1744</v>
      </c>
      <c r="D113" s="1261" t="s">
        <v>634</v>
      </c>
      <c r="E113" s="1262">
        <v>45330</v>
      </c>
      <c r="F113" s="1263">
        <v>100000000</v>
      </c>
      <c r="G113" s="1263">
        <v>1</v>
      </c>
      <c r="H113" s="1336">
        <f t="shared" si="5"/>
        <v>100000000</v>
      </c>
      <c r="I113" s="1263">
        <v>1</v>
      </c>
      <c r="J113" s="1336">
        <f t="shared" si="6"/>
        <v>100000000</v>
      </c>
      <c r="K113" s="1265"/>
      <c r="L113" s="1336">
        <f t="shared" si="7"/>
        <v>100000000</v>
      </c>
    </row>
    <row r="114" spans="1:12" s="1226" customFormat="1" ht="15.6">
      <c r="A114" s="1334" t="s">
        <v>58</v>
      </c>
      <c r="B114" s="1260" t="s">
        <v>1515</v>
      </c>
      <c r="C114" s="1260" t="s">
        <v>1745</v>
      </c>
      <c r="D114" s="1261" t="s">
        <v>634</v>
      </c>
      <c r="E114" s="1262">
        <v>45330</v>
      </c>
      <c r="F114" s="1263">
        <v>100000000</v>
      </c>
      <c r="G114" s="1263">
        <v>1</v>
      </c>
      <c r="H114" s="1336">
        <f t="shared" si="5"/>
        <v>100000000</v>
      </c>
      <c r="I114" s="1263">
        <v>1</v>
      </c>
      <c r="J114" s="1336">
        <f t="shared" si="6"/>
        <v>100000000</v>
      </c>
      <c r="K114" s="1265"/>
      <c r="L114" s="1336">
        <f t="shared" si="7"/>
        <v>100000000</v>
      </c>
    </row>
    <row r="115" spans="1:12" s="1226" customFormat="1" ht="15.6">
      <c r="A115" s="1334" t="s">
        <v>58</v>
      </c>
      <c r="B115" s="1260" t="s">
        <v>1515</v>
      </c>
      <c r="C115" s="1260" t="s">
        <v>1746</v>
      </c>
      <c r="D115" s="1261" t="s">
        <v>634</v>
      </c>
      <c r="E115" s="1262">
        <v>45330</v>
      </c>
      <c r="F115" s="1263">
        <v>100000000</v>
      </c>
      <c r="G115" s="1263">
        <v>1</v>
      </c>
      <c r="H115" s="1336">
        <f t="shared" si="5"/>
        <v>100000000</v>
      </c>
      <c r="I115" s="1263">
        <v>1</v>
      </c>
      <c r="J115" s="1336">
        <f t="shared" si="6"/>
        <v>100000000</v>
      </c>
      <c r="K115" s="1265"/>
      <c r="L115" s="1336">
        <f t="shared" si="7"/>
        <v>100000000</v>
      </c>
    </row>
    <row r="116" spans="1:12" s="1226" customFormat="1" ht="15.6">
      <c r="A116" s="1334" t="s">
        <v>58</v>
      </c>
      <c r="B116" s="1260" t="s">
        <v>1515</v>
      </c>
      <c r="C116" s="1260" t="s">
        <v>1747</v>
      </c>
      <c r="D116" s="1261" t="s">
        <v>634</v>
      </c>
      <c r="E116" s="1262">
        <v>45330</v>
      </c>
      <c r="F116" s="1263">
        <v>150000000</v>
      </c>
      <c r="G116" s="1263">
        <v>1</v>
      </c>
      <c r="H116" s="1336">
        <f t="shared" si="5"/>
        <v>150000000</v>
      </c>
      <c r="I116" s="1263">
        <v>1</v>
      </c>
      <c r="J116" s="1336">
        <f t="shared" si="6"/>
        <v>150000000</v>
      </c>
      <c r="K116" s="1265"/>
      <c r="L116" s="1263">
        <f t="shared" si="7"/>
        <v>150000000</v>
      </c>
    </row>
    <row r="117" spans="1:12" s="1226" customFormat="1" ht="15.6">
      <c r="A117" s="1334" t="s">
        <v>58</v>
      </c>
      <c r="B117" s="1260" t="s">
        <v>1515</v>
      </c>
      <c r="C117" s="1260" t="s">
        <v>1748</v>
      </c>
      <c r="D117" s="1261" t="s">
        <v>634</v>
      </c>
      <c r="E117" s="1262">
        <v>45330</v>
      </c>
      <c r="F117" s="1263">
        <v>150000000</v>
      </c>
      <c r="G117" s="1263">
        <v>1</v>
      </c>
      <c r="H117" s="1336">
        <f t="shared" si="5"/>
        <v>150000000</v>
      </c>
      <c r="I117" s="1263">
        <v>1</v>
      </c>
      <c r="J117" s="1336">
        <f t="shared" si="6"/>
        <v>150000000</v>
      </c>
      <c r="K117" s="1265"/>
      <c r="L117" s="1263">
        <f t="shared" si="7"/>
        <v>150000000</v>
      </c>
    </row>
    <row r="118" spans="1:12" s="1226" customFormat="1" ht="15.6">
      <c r="A118" s="1334" t="s">
        <v>58</v>
      </c>
      <c r="B118" s="1260" t="s">
        <v>1515</v>
      </c>
      <c r="C118" s="1260" t="s">
        <v>1749</v>
      </c>
      <c r="D118" s="1261" t="s">
        <v>634</v>
      </c>
      <c r="E118" s="1262">
        <v>45330</v>
      </c>
      <c r="F118" s="1263">
        <v>150000000</v>
      </c>
      <c r="G118" s="1263">
        <v>1</v>
      </c>
      <c r="H118" s="1336">
        <f t="shared" si="5"/>
        <v>150000000</v>
      </c>
      <c r="I118" s="1263">
        <v>1</v>
      </c>
      <c r="J118" s="1336">
        <f t="shared" si="6"/>
        <v>150000000</v>
      </c>
      <c r="K118" s="1265"/>
      <c r="L118" s="1263">
        <f t="shared" si="7"/>
        <v>150000000</v>
      </c>
    </row>
    <row r="119" spans="1:12" s="1226" customFormat="1" ht="15.6">
      <c r="A119" s="1334" t="s">
        <v>58</v>
      </c>
      <c r="B119" s="1260" t="s">
        <v>1515</v>
      </c>
      <c r="C119" s="1260" t="s">
        <v>1750</v>
      </c>
      <c r="D119" s="1261" t="s">
        <v>634</v>
      </c>
      <c r="E119" s="1262">
        <v>45330</v>
      </c>
      <c r="F119" s="1263">
        <v>150000000</v>
      </c>
      <c r="G119" s="1263">
        <v>1</v>
      </c>
      <c r="H119" s="1336">
        <f t="shared" si="5"/>
        <v>150000000</v>
      </c>
      <c r="I119" s="1263">
        <v>1</v>
      </c>
      <c r="J119" s="1336">
        <f t="shared" si="6"/>
        <v>150000000</v>
      </c>
      <c r="K119" s="1265"/>
      <c r="L119" s="1263">
        <f t="shared" si="7"/>
        <v>150000000</v>
      </c>
    </row>
    <row r="120" spans="1:12" s="1226" customFormat="1" ht="15.6">
      <c r="A120" s="1332" t="s">
        <v>58</v>
      </c>
      <c r="B120" s="1260" t="s">
        <v>1515</v>
      </c>
      <c r="C120" s="1260" t="s">
        <v>1751</v>
      </c>
      <c r="D120" s="1261" t="s">
        <v>634</v>
      </c>
      <c r="E120" s="1262">
        <v>45330</v>
      </c>
      <c r="F120" s="1263">
        <v>150000000</v>
      </c>
      <c r="G120" s="1263">
        <v>1</v>
      </c>
      <c r="H120" s="1263">
        <f t="shared" si="5"/>
        <v>150000000</v>
      </c>
      <c r="I120" s="1263">
        <v>1</v>
      </c>
      <c r="J120" s="1263">
        <f t="shared" si="6"/>
        <v>150000000</v>
      </c>
      <c r="K120" s="1265"/>
      <c r="L120" s="1263">
        <f t="shared" ref="L120:L151" si="17">+J120</f>
        <v>150000000</v>
      </c>
    </row>
    <row r="121" spans="1:12" s="1226" customFormat="1" ht="15.6">
      <c r="A121" s="1332" t="s">
        <v>58</v>
      </c>
      <c r="B121" s="1260" t="s">
        <v>1515</v>
      </c>
      <c r="C121" s="1260" t="s">
        <v>1752</v>
      </c>
      <c r="D121" s="1261" t="s">
        <v>634</v>
      </c>
      <c r="E121" s="1262">
        <v>45330</v>
      </c>
      <c r="F121" s="1263">
        <v>150000000</v>
      </c>
      <c r="G121" s="1263">
        <v>1</v>
      </c>
      <c r="H121" s="1263">
        <f t="shared" si="5"/>
        <v>150000000</v>
      </c>
      <c r="I121" s="1263">
        <v>1</v>
      </c>
      <c r="J121" s="1263">
        <f t="shared" si="6"/>
        <v>150000000</v>
      </c>
      <c r="K121" s="1265"/>
      <c r="L121" s="1263">
        <f t="shared" si="17"/>
        <v>150000000</v>
      </c>
    </row>
    <row r="122" spans="1:12" s="1226" customFormat="1" ht="15.6">
      <c r="A122" s="1332" t="s">
        <v>58</v>
      </c>
      <c r="B122" s="1260" t="s">
        <v>1515</v>
      </c>
      <c r="C122" s="1260" t="s">
        <v>1753</v>
      </c>
      <c r="D122" s="1261" t="s">
        <v>634</v>
      </c>
      <c r="E122" s="1262">
        <v>45330</v>
      </c>
      <c r="F122" s="1263">
        <v>150000000</v>
      </c>
      <c r="G122" s="1263">
        <v>1</v>
      </c>
      <c r="H122" s="1263">
        <f t="shared" si="5"/>
        <v>150000000</v>
      </c>
      <c r="I122" s="1263">
        <v>1</v>
      </c>
      <c r="J122" s="1263">
        <f t="shared" si="6"/>
        <v>150000000</v>
      </c>
      <c r="K122" s="1265"/>
      <c r="L122" s="1263">
        <f t="shared" si="17"/>
        <v>150000000</v>
      </c>
    </row>
    <row r="123" spans="1:12" s="1226" customFormat="1" ht="15.6">
      <c r="A123" s="1332" t="s">
        <v>58</v>
      </c>
      <c r="B123" s="1260" t="s">
        <v>1515</v>
      </c>
      <c r="C123" s="1260" t="s">
        <v>1754</v>
      </c>
      <c r="D123" s="1261" t="s">
        <v>634</v>
      </c>
      <c r="E123" s="1262">
        <v>45330</v>
      </c>
      <c r="F123" s="1263">
        <v>150000000</v>
      </c>
      <c r="G123" s="1263">
        <v>1</v>
      </c>
      <c r="H123" s="1336">
        <f t="shared" si="5"/>
        <v>150000000</v>
      </c>
      <c r="I123" s="1263">
        <v>1</v>
      </c>
      <c r="J123" s="1336">
        <f t="shared" si="6"/>
        <v>150000000</v>
      </c>
      <c r="K123" s="1265"/>
      <c r="L123" s="1263">
        <f t="shared" si="17"/>
        <v>150000000</v>
      </c>
    </row>
    <row r="124" spans="1:12" s="1226" customFormat="1" ht="15.6">
      <c r="A124" s="1332" t="s">
        <v>58</v>
      </c>
      <c r="B124" s="1260" t="s">
        <v>1515</v>
      </c>
      <c r="C124" s="1260" t="s">
        <v>1755</v>
      </c>
      <c r="D124" s="1261" t="s">
        <v>634</v>
      </c>
      <c r="E124" s="1262">
        <v>45338</v>
      </c>
      <c r="F124" s="1263">
        <v>200000000</v>
      </c>
      <c r="G124" s="1263">
        <v>1</v>
      </c>
      <c r="H124" s="1336">
        <f t="shared" si="5"/>
        <v>200000000</v>
      </c>
      <c r="I124" s="1263">
        <v>1</v>
      </c>
      <c r="J124" s="1336">
        <f t="shared" si="6"/>
        <v>200000000</v>
      </c>
      <c r="K124" s="1265"/>
      <c r="L124" s="1263">
        <f t="shared" si="17"/>
        <v>200000000</v>
      </c>
    </row>
    <row r="125" spans="1:12" s="1226" customFormat="1" ht="15.6">
      <c r="A125" s="1332" t="s">
        <v>58</v>
      </c>
      <c r="B125" s="1260" t="s">
        <v>1515</v>
      </c>
      <c r="C125" s="1260" t="s">
        <v>1756</v>
      </c>
      <c r="D125" s="1261" t="s">
        <v>634</v>
      </c>
      <c r="E125" s="1262">
        <v>45338</v>
      </c>
      <c r="F125" s="1263">
        <v>200000000</v>
      </c>
      <c r="G125" s="1263">
        <v>1</v>
      </c>
      <c r="H125" s="1336">
        <f t="shared" si="5"/>
        <v>200000000</v>
      </c>
      <c r="I125" s="1263">
        <v>1</v>
      </c>
      <c r="J125" s="1336">
        <f t="shared" si="6"/>
        <v>200000000</v>
      </c>
      <c r="K125" s="1265"/>
      <c r="L125" s="1263">
        <f t="shared" si="17"/>
        <v>200000000</v>
      </c>
    </row>
    <row r="126" spans="1:12" s="1226" customFormat="1" ht="15.6">
      <c r="A126" s="1332" t="s">
        <v>58</v>
      </c>
      <c r="B126" s="1260" t="s">
        <v>1515</v>
      </c>
      <c r="C126" s="1260" t="s">
        <v>1757</v>
      </c>
      <c r="D126" s="1261" t="s">
        <v>634</v>
      </c>
      <c r="E126" s="1262">
        <v>45338</v>
      </c>
      <c r="F126" s="1263">
        <v>200000000</v>
      </c>
      <c r="G126" s="1263">
        <v>1</v>
      </c>
      <c r="H126" s="1336">
        <f t="shared" si="5"/>
        <v>200000000</v>
      </c>
      <c r="I126" s="1263">
        <v>1</v>
      </c>
      <c r="J126" s="1336">
        <f t="shared" si="6"/>
        <v>200000000</v>
      </c>
      <c r="K126" s="1265"/>
      <c r="L126" s="1263">
        <f t="shared" si="17"/>
        <v>200000000</v>
      </c>
    </row>
    <row r="127" spans="1:12" s="1226" customFormat="1" ht="15.6">
      <c r="A127" s="1332" t="s">
        <v>58</v>
      </c>
      <c r="B127" s="1260" t="s">
        <v>1515</v>
      </c>
      <c r="C127" s="1260" t="s">
        <v>1758</v>
      </c>
      <c r="D127" s="1261" t="s">
        <v>634</v>
      </c>
      <c r="E127" s="1262">
        <v>45343</v>
      </c>
      <c r="F127" s="1263">
        <v>500000000</v>
      </c>
      <c r="G127" s="1263">
        <v>1</v>
      </c>
      <c r="H127" s="1336">
        <f t="shared" si="5"/>
        <v>500000000</v>
      </c>
      <c r="I127" s="1263">
        <v>1</v>
      </c>
      <c r="J127" s="1336">
        <f t="shared" si="6"/>
        <v>500000000</v>
      </c>
      <c r="K127" s="1265"/>
      <c r="L127" s="1263">
        <f t="shared" si="17"/>
        <v>500000000</v>
      </c>
    </row>
    <row r="128" spans="1:12" s="1226" customFormat="1" ht="15.6">
      <c r="A128" s="1332" t="s">
        <v>58</v>
      </c>
      <c r="B128" s="1260" t="s">
        <v>1515</v>
      </c>
      <c r="C128" s="1260" t="s">
        <v>1759</v>
      </c>
      <c r="D128" s="1261" t="s">
        <v>634</v>
      </c>
      <c r="E128" s="1262">
        <v>45343</v>
      </c>
      <c r="F128" s="1263">
        <v>500000000</v>
      </c>
      <c r="G128" s="1263">
        <v>1</v>
      </c>
      <c r="H128" s="1336">
        <f t="shared" si="5"/>
        <v>500000000</v>
      </c>
      <c r="I128" s="1263">
        <v>1</v>
      </c>
      <c r="J128" s="1336">
        <f t="shared" si="6"/>
        <v>500000000</v>
      </c>
      <c r="K128" s="1336"/>
      <c r="L128" s="1263">
        <f t="shared" si="17"/>
        <v>500000000</v>
      </c>
    </row>
    <row r="129" spans="1:12" s="1226" customFormat="1" ht="15.6">
      <c r="A129" s="1332" t="s">
        <v>58</v>
      </c>
      <c r="B129" s="1260" t="s">
        <v>1515</v>
      </c>
      <c r="C129" s="1260" t="s">
        <v>1760</v>
      </c>
      <c r="D129" s="1261" t="s">
        <v>634</v>
      </c>
      <c r="E129" s="1262">
        <v>45343</v>
      </c>
      <c r="F129" s="1263">
        <v>500000000</v>
      </c>
      <c r="G129" s="1263">
        <v>1</v>
      </c>
      <c r="H129" s="1336">
        <f t="shared" si="5"/>
        <v>500000000</v>
      </c>
      <c r="I129" s="1263">
        <v>1</v>
      </c>
      <c r="J129" s="1336">
        <f t="shared" si="6"/>
        <v>500000000</v>
      </c>
      <c r="K129" s="1336"/>
      <c r="L129" s="1263">
        <f t="shared" si="17"/>
        <v>500000000</v>
      </c>
    </row>
    <row r="130" spans="1:12" s="1226" customFormat="1" ht="15.6">
      <c r="A130" s="1332" t="s">
        <v>58</v>
      </c>
      <c r="B130" s="1260" t="s">
        <v>1515</v>
      </c>
      <c r="C130" s="1260" t="s">
        <v>1761</v>
      </c>
      <c r="D130" s="1261" t="s">
        <v>634</v>
      </c>
      <c r="E130" s="1262">
        <v>45343</v>
      </c>
      <c r="F130" s="1263">
        <v>500000000</v>
      </c>
      <c r="G130" s="1263">
        <v>1</v>
      </c>
      <c r="H130" s="1336">
        <f t="shared" si="5"/>
        <v>500000000</v>
      </c>
      <c r="I130" s="1263">
        <v>1</v>
      </c>
      <c r="J130" s="1336">
        <f t="shared" si="6"/>
        <v>500000000</v>
      </c>
      <c r="K130" s="1336"/>
      <c r="L130" s="1263">
        <f t="shared" si="17"/>
        <v>500000000</v>
      </c>
    </row>
    <row r="131" spans="1:12" s="1226" customFormat="1" ht="15.6">
      <c r="A131" s="1332" t="s">
        <v>58</v>
      </c>
      <c r="B131" s="1260" t="s">
        <v>1515</v>
      </c>
      <c r="C131" s="1260" t="s">
        <v>1762</v>
      </c>
      <c r="D131" s="1261" t="s">
        <v>634</v>
      </c>
      <c r="E131" s="1262">
        <v>45350</v>
      </c>
      <c r="F131" s="1263">
        <v>200000000</v>
      </c>
      <c r="G131" s="1263">
        <v>1</v>
      </c>
      <c r="H131" s="1336">
        <f t="shared" ref="H131:H183" si="18">+F131/G131</f>
        <v>200000000</v>
      </c>
      <c r="I131" s="1263">
        <v>1</v>
      </c>
      <c r="J131" s="1336">
        <f t="shared" ref="J131:J183" si="19">+H131*I131</f>
        <v>200000000</v>
      </c>
      <c r="K131" s="1336"/>
      <c r="L131" s="1263">
        <f t="shared" si="17"/>
        <v>200000000</v>
      </c>
    </row>
    <row r="132" spans="1:12" s="1226" customFormat="1" ht="15.6">
      <c r="A132" s="1332" t="s">
        <v>58</v>
      </c>
      <c r="B132" s="1260" t="s">
        <v>1515</v>
      </c>
      <c r="C132" s="1260" t="s">
        <v>1763</v>
      </c>
      <c r="D132" s="1261" t="s">
        <v>634</v>
      </c>
      <c r="E132" s="1262">
        <v>45350</v>
      </c>
      <c r="F132" s="1263">
        <v>200000000</v>
      </c>
      <c r="G132" s="1263">
        <v>1</v>
      </c>
      <c r="H132" s="1336">
        <f t="shared" si="18"/>
        <v>200000000</v>
      </c>
      <c r="I132" s="1263">
        <v>1</v>
      </c>
      <c r="J132" s="1336">
        <f t="shared" si="19"/>
        <v>200000000</v>
      </c>
      <c r="K132" s="1336"/>
      <c r="L132" s="1263">
        <f t="shared" si="17"/>
        <v>200000000</v>
      </c>
    </row>
    <row r="133" spans="1:12" s="1226" customFormat="1" ht="15.6">
      <c r="A133" s="1332" t="s">
        <v>58</v>
      </c>
      <c r="B133" s="1260" t="s">
        <v>1515</v>
      </c>
      <c r="C133" s="1260" t="s">
        <v>1764</v>
      </c>
      <c r="D133" s="1261" t="s">
        <v>634</v>
      </c>
      <c r="E133" s="1262">
        <v>45350</v>
      </c>
      <c r="F133" s="1263">
        <v>200000000</v>
      </c>
      <c r="G133" s="1263">
        <v>1</v>
      </c>
      <c r="H133" s="1336">
        <f t="shared" si="18"/>
        <v>200000000</v>
      </c>
      <c r="I133" s="1263">
        <v>1</v>
      </c>
      <c r="J133" s="1336">
        <f t="shared" si="19"/>
        <v>200000000</v>
      </c>
      <c r="K133" s="1336"/>
      <c r="L133" s="1263">
        <f t="shared" si="17"/>
        <v>200000000</v>
      </c>
    </row>
    <row r="134" spans="1:12" s="1226" customFormat="1" ht="15.6">
      <c r="A134" s="1332" t="s">
        <v>58</v>
      </c>
      <c r="B134" s="1260" t="s">
        <v>1515</v>
      </c>
      <c r="C134" s="1260" t="s">
        <v>1765</v>
      </c>
      <c r="D134" s="1261" t="s">
        <v>634</v>
      </c>
      <c r="E134" s="1262">
        <v>45350</v>
      </c>
      <c r="F134" s="1263">
        <v>200000000</v>
      </c>
      <c r="G134" s="1263">
        <v>1</v>
      </c>
      <c r="H134" s="1336">
        <f t="shared" si="18"/>
        <v>200000000</v>
      </c>
      <c r="I134" s="1263">
        <v>1</v>
      </c>
      <c r="J134" s="1336">
        <f t="shared" si="19"/>
        <v>200000000</v>
      </c>
      <c r="K134" s="1336"/>
      <c r="L134" s="1263">
        <f t="shared" si="17"/>
        <v>200000000</v>
      </c>
    </row>
    <row r="135" spans="1:12" s="1226" customFormat="1" ht="15.6">
      <c r="A135" s="1332" t="s">
        <v>58</v>
      </c>
      <c r="B135" s="1260" t="s">
        <v>1515</v>
      </c>
      <c r="C135" s="1260" t="s">
        <v>1766</v>
      </c>
      <c r="D135" s="1261" t="s">
        <v>634</v>
      </c>
      <c r="E135" s="1262">
        <v>45350</v>
      </c>
      <c r="F135" s="1263">
        <v>200000000</v>
      </c>
      <c r="G135" s="1263">
        <v>1</v>
      </c>
      <c r="H135" s="1336">
        <f t="shared" si="18"/>
        <v>200000000</v>
      </c>
      <c r="I135" s="1263">
        <v>1</v>
      </c>
      <c r="J135" s="1336">
        <f t="shared" si="19"/>
        <v>200000000</v>
      </c>
      <c r="K135" s="1336"/>
      <c r="L135" s="1263">
        <f t="shared" si="17"/>
        <v>200000000</v>
      </c>
    </row>
    <row r="136" spans="1:12" s="1226" customFormat="1" ht="15.6">
      <c r="A136" s="1332" t="s">
        <v>58</v>
      </c>
      <c r="B136" s="1260" t="s">
        <v>1515</v>
      </c>
      <c r="C136" s="1260" t="s">
        <v>1767</v>
      </c>
      <c r="D136" s="1261" t="s">
        <v>634</v>
      </c>
      <c r="E136" s="1262">
        <v>45350</v>
      </c>
      <c r="F136" s="1263">
        <v>200000000</v>
      </c>
      <c r="G136" s="1263">
        <v>1</v>
      </c>
      <c r="H136" s="1336">
        <f t="shared" si="18"/>
        <v>200000000</v>
      </c>
      <c r="I136" s="1263">
        <v>1</v>
      </c>
      <c r="J136" s="1336">
        <f t="shared" si="19"/>
        <v>200000000</v>
      </c>
      <c r="K136" s="1336"/>
      <c r="L136" s="1263">
        <f t="shared" si="17"/>
        <v>200000000</v>
      </c>
    </row>
    <row r="137" spans="1:12" s="1226" customFormat="1" ht="15.6">
      <c r="A137" s="1332" t="s">
        <v>58</v>
      </c>
      <c r="B137" s="1260" t="s">
        <v>1515</v>
      </c>
      <c r="C137" s="1260" t="s">
        <v>1768</v>
      </c>
      <c r="D137" s="1261" t="s">
        <v>634</v>
      </c>
      <c r="E137" s="1262">
        <v>45350</v>
      </c>
      <c r="F137" s="1263">
        <v>200000000</v>
      </c>
      <c r="G137" s="1263">
        <v>1</v>
      </c>
      <c r="H137" s="1336">
        <f t="shared" si="18"/>
        <v>200000000</v>
      </c>
      <c r="I137" s="1263">
        <v>1</v>
      </c>
      <c r="J137" s="1336">
        <f t="shared" si="19"/>
        <v>200000000</v>
      </c>
      <c r="K137" s="1336"/>
      <c r="L137" s="1263">
        <f t="shared" si="17"/>
        <v>200000000</v>
      </c>
    </row>
    <row r="138" spans="1:12" s="1226" customFormat="1" ht="15.6">
      <c r="A138" s="1332" t="s">
        <v>58</v>
      </c>
      <c r="B138" s="1260" t="s">
        <v>1515</v>
      </c>
      <c r="C138" s="1260" t="s">
        <v>1769</v>
      </c>
      <c r="D138" s="1261" t="s">
        <v>634</v>
      </c>
      <c r="E138" s="1262">
        <v>45350</v>
      </c>
      <c r="F138" s="1263">
        <v>200000000</v>
      </c>
      <c r="G138" s="1263">
        <v>1</v>
      </c>
      <c r="H138" s="1336">
        <f t="shared" si="18"/>
        <v>200000000</v>
      </c>
      <c r="I138" s="1263">
        <v>1</v>
      </c>
      <c r="J138" s="1336">
        <f t="shared" si="19"/>
        <v>200000000</v>
      </c>
      <c r="K138" s="1336"/>
      <c r="L138" s="1263">
        <f t="shared" si="17"/>
        <v>200000000</v>
      </c>
    </row>
    <row r="139" spans="1:12" s="1226" customFormat="1" ht="15.6">
      <c r="A139" s="1332" t="s">
        <v>58</v>
      </c>
      <c r="B139" s="1260" t="s">
        <v>1515</v>
      </c>
      <c r="C139" s="1260" t="s">
        <v>1770</v>
      </c>
      <c r="D139" s="1261" t="s">
        <v>634</v>
      </c>
      <c r="E139" s="1262">
        <v>45350</v>
      </c>
      <c r="F139" s="1263">
        <v>200000000</v>
      </c>
      <c r="G139" s="1263">
        <v>1</v>
      </c>
      <c r="H139" s="1336">
        <f t="shared" si="18"/>
        <v>200000000</v>
      </c>
      <c r="I139" s="1263">
        <v>1</v>
      </c>
      <c r="J139" s="1336">
        <f t="shared" si="19"/>
        <v>200000000</v>
      </c>
      <c r="K139" s="1336"/>
      <c r="L139" s="1263">
        <f t="shared" si="17"/>
        <v>200000000</v>
      </c>
    </row>
    <row r="140" spans="1:12" s="1226" customFormat="1" ht="15.6">
      <c r="A140" s="1332" t="s">
        <v>58</v>
      </c>
      <c r="B140" s="1260" t="s">
        <v>1515</v>
      </c>
      <c r="C140" s="1260" t="s">
        <v>1771</v>
      </c>
      <c r="D140" s="1261" t="s">
        <v>634</v>
      </c>
      <c r="E140" s="1262">
        <v>45350</v>
      </c>
      <c r="F140" s="1263">
        <v>200000000</v>
      </c>
      <c r="G140" s="1263">
        <v>1</v>
      </c>
      <c r="H140" s="1336">
        <f t="shared" si="18"/>
        <v>200000000</v>
      </c>
      <c r="I140" s="1263">
        <v>1</v>
      </c>
      <c r="J140" s="1336">
        <f t="shared" si="19"/>
        <v>200000000</v>
      </c>
      <c r="K140" s="1336"/>
      <c r="L140" s="1263">
        <f t="shared" si="17"/>
        <v>200000000</v>
      </c>
    </row>
    <row r="141" spans="1:12" s="1226" customFormat="1" ht="15.6">
      <c r="A141" s="1332" t="s">
        <v>58</v>
      </c>
      <c r="B141" s="1260" t="s">
        <v>1515</v>
      </c>
      <c r="C141" s="1260" t="s">
        <v>1772</v>
      </c>
      <c r="D141" s="1261" t="s">
        <v>634</v>
      </c>
      <c r="E141" s="1262">
        <v>45350</v>
      </c>
      <c r="F141" s="1263">
        <v>200000000</v>
      </c>
      <c r="G141" s="1263">
        <v>1</v>
      </c>
      <c r="H141" s="1336">
        <f t="shared" si="18"/>
        <v>200000000</v>
      </c>
      <c r="I141" s="1263">
        <v>1</v>
      </c>
      <c r="J141" s="1336">
        <f t="shared" si="19"/>
        <v>200000000</v>
      </c>
      <c r="K141" s="1336"/>
      <c r="L141" s="1263">
        <f t="shared" si="17"/>
        <v>200000000</v>
      </c>
    </row>
    <row r="142" spans="1:12" s="1226" customFormat="1" ht="15.6">
      <c r="A142" s="1332" t="s">
        <v>58</v>
      </c>
      <c r="B142" s="1260" t="s">
        <v>1515</v>
      </c>
      <c r="C142" s="1260" t="s">
        <v>1773</v>
      </c>
      <c r="D142" s="1261" t="s">
        <v>634</v>
      </c>
      <c r="E142" s="1262">
        <v>45350</v>
      </c>
      <c r="F142" s="1263">
        <v>200000000</v>
      </c>
      <c r="G142" s="1263">
        <v>1</v>
      </c>
      <c r="H142" s="1336">
        <f t="shared" si="18"/>
        <v>200000000</v>
      </c>
      <c r="I142" s="1263">
        <v>1</v>
      </c>
      <c r="J142" s="1336">
        <f t="shared" si="19"/>
        <v>200000000</v>
      </c>
      <c r="K142" s="1336"/>
      <c r="L142" s="1263">
        <f t="shared" si="17"/>
        <v>200000000</v>
      </c>
    </row>
    <row r="143" spans="1:12" s="1226" customFormat="1" ht="15.6">
      <c r="A143" s="1332" t="s">
        <v>58</v>
      </c>
      <c r="B143" s="1260" t="s">
        <v>1515</v>
      </c>
      <c r="C143" s="1260" t="s">
        <v>1774</v>
      </c>
      <c r="D143" s="1261" t="s">
        <v>634</v>
      </c>
      <c r="E143" s="1262">
        <v>45350</v>
      </c>
      <c r="F143" s="1263">
        <v>200000000</v>
      </c>
      <c r="G143" s="1263">
        <v>1</v>
      </c>
      <c r="H143" s="1336">
        <f t="shared" si="18"/>
        <v>200000000</v>
      </c>
      <c r="I143" s="1263">
        <v>1</v>
      </c>
      <c r="J143" s="1336">
        <f t="shared" si="19"/>
        <v>200000000</v>
      </c>
      <c r="K143" s="1336"/>
      <c r="L143" s="1263">
        <f t="shared" si="17"/>
        <v>200000000</v>
      </c>
    </row>
    <row r="144" spans="1:12" s="1226" customFormat="1" ht="15.6">
      <c r="A144" s="1332" t="s">
        <v>58</v>
      </c>
      <c r="B144" s="1260" t="s">
        <v>1621</v>
      </c>
      <c r="C144" s="1260" t="s">
        <v>1775</v>
      </c>
      <c r="D144" s="1261" t="s">
        <v>634</v>
      </c>
      <c r="E144" s="1262">
        <v>45225</v>
      </c>
      <c r="F144" s="1263">
        <v>1011420954</v>
      </c>
      <c r="G144" s="1263">
        <v>1</v>
      </c>
      <c r="H144" s="1336">
        <f t="shared" si="18"/>
        <v>1011420954</v>
      </c>
      <c r="I144" s="1263">
        <v>1</v>
      </c>
      <c r="J144" s="1336">
        <f t="shared" si="19"/>
        <v>1011420954</v>
      </c>
      <c r="K144" s="1336"/>
      <c r="L144" s="1263">
        <f t="shared" si="17"/>
        <v>1011420954</v>
      </c>
    </row>
    <row r="145" spans="1:12" s="1226" customFormat="1" ht="15.6">
      <c r="A145" s="1332" t="s">
        <v>58</v>
      </c>
      <c r="B145" s="1260" t="s">
        <v>1621</v>
      </c>
      <c r="C145" s="1260" t="s">
        <v>1776</v>
      </c>
      <c r="D145" s="1261" t="s">
        <v>634</v>
      </c>
      <c r="E145" s="1262">
        <v>45303</v>
      </c>
      <c r="F145" s="1263">
        <v>502154926</v>
      </c>
      <c r="G145" s="1263">
        <v>1</v>
      </c>
      <c r="H145" s="1336">
        <f t="shared" si="18"/>
        <v>502154926</v>
      </c>
      <c r="I145" s="1263">
        <v>1</v>
      </c>
      <c r="J145" s="1336">
        <f t="shared" si="19"/>
        <v>502154926</v>
      </c>
      <c r="K145" s="1336"/>
      <c r="L145" s="1263">
        <f t="shared" si="17"/>
        <v>502154926</v>
      </c>
    </row>
    <row r="146" spans="1:12" s="1226" customFormat="1" ht="15.6">
      <c r="A146" s="1332" t="s">
        <v>58</v>
      </c>
      <c r="B146" s="1260" t="s">
        <v>1621</v>
      </c>
      <c r="C146" s="1260" t="s">
        <v>1777</v>
      </c>
      <c r="D146" s="1261" t="s">
        <v>634</v>
      </c>
      <c r="E146" s="1262">
        <v>45303</v>
      </c>
      <c r="F146" s="1263">
        <v>251077462</v>
      </c>
      <c r="G146" s="1263">
        <v>1</v>
      </c>
      <c r="H146" s="1336">
        <f t="shared" si="18"/>
        <v>251077462</v>
      </c>
      <c r="I146" s="1263">
        <v>1</v>
      </c>
      <c r="J146" s="1336">
        <f t="shared" si="19"/>
        <v>251077462</v>
      </c>
      <c r="K146" s="1336"/>
      <c r="L146" s="1263">
        <f t="shared" si="17"/>
        <v>251077462</v>
      </c>
    </row>
    <row r="147" spans="1:12" s="1226" customFormat="1" ht="15.6">
      <c r="A147" s="1332" t="s">
        <v>58</v>
      </c>
      <c r="B147" s="1260" t="s">
        <v>1621</v>
      </c>
      <c r="C147" s="1260" t="s">
        <v>1778</v>
      </c>
      <c r="D147" s="1261" t="s">
        <v>634</v>
      </c>
      <c r="E147" s="1262">
        <v>45303</v>
      </c>
      <c r="F147" s="1263">
        <v>251077462</v>
      </c>
      <c r="G147" s="1263">
        <v>1</v>
      </c>
      <c r="H147" s="1336">
        <f t="shared" si="18"/>
        <v>251077462</v>
      </c>
      <c r="I147" s="1263">
        <v>1</v>
      </c>
      <c r="J147" s="1336">
        <f t="shared" si="19"/>
        <v>251077462</v>
      </c>
      <c r="K147" s="1336"/>
      <c r="L147" s="1263">
        <f t="shared" si="17"/>
        <v>251077462</v>
      </c>
    </row>
    <row r="148" spans="1:12" s="1226" customFormat="1" ht="15.6">
      <c r="A148" s="1332" t="s">
        <v>58</v>
      </c>
      <c r="B148" s="1260" t="s">
        <v>1621</v>
      </c>
      <c r="C148" s="1260" t="s">
        <v>1779</v>
      </c>
      <c r="D148" s="1261" t="s">
        <v>634</v>
      </c>
      <c r="E148" s="1262">
        <v>45303</v>
      </c>
      <c r="F148" s="1263">
        <v>251077462</v>
      </c>
      <c r="G148" s="1263">
        <v>1</v>
      </c>
      <c r="H148" s="1336">
        <f t="shared" si="18"/>
        <v>251077462</v>
      </c>
      <c r="I148" s="1263">
        <v>1</v>
      </c>
      <c r="J148" s="1336">
        <f t="shared" si="19"/>
        <v>251077462</v>
      </c>
      <c r="K148" s="1336"/>
      <c r="L148" s="1263">
        <f t="shared" si="17"/>
        <v>251077462</v>
      </c>
    </row>
    <row r="149" spans="1:12" s="1226" customFormat="1" ht="15.6">
      <c r="A149" s="1332" t="s">
        <v>58</v>
      </c>
      <c r="B149" s="1260" t="s">
        <v>1621</v>
      </c>
      <c r="C149" s="1260" t="s">
        <v>1780</v>
      </c>
      <c r="D149" s="1261" t="s">
        <v>634</v>
      </c>
      <c r="E149" s="1262">
        <v>45303</v>
      </c>
      <c r="F149" s="1263">
        <v>251077462</v>
      </c>
      <c r="G149" s="1263">
        <v>1</v>
      </c>
      <c r="H149" s="1336">
        <f t="shared" si="18"/>
        <v>251077462</v>
      </c>
      <c r="I149" s="1263">
        <v>1</v>
      </c>
      <c r="J149" s="1336">
        <f t="shared" si="19"/>
        <v>251077462</v>
      </c>
      <c r="K149" s="1336"/>
      <c r="L149" s="1263">
        <f t="shared" si="17"/>
        <v>251077462</v>
      </c>
    </row>
    <row r="150" spans="1:12" s="1226" customFormat="1" ht="15.6">
      <c r="A150" s="1332" t="s">
        <v>58</v>
      </c>
      <c r="B150" s="1260" t="s">
        <v>1684</v>
      </c>
      <c r="C150" s="1260" t="s">
        <v>1781</v>
      </c>
      <c r="D150" s="1261" t="s">
        <v>634</v>
      </c>
      <c r="E150" s="1262">
        <v>45331</v>
      </c>
      <c r="F150" s="1263">
        <v>2130209954</v>
      </c>
      <c r="G150" s="1263">
        <v>1</v>
      </c>
      <c r="H150" s="1336">
        <f t="shared" si="18"/>
        <v>2130209954</v>
      </c>
      <c r="I150" s="1263">
        <v>1</v>
      </c>
      <c r="J150" s="1336">
        <f t="shared" si="19"/>
        <v>2130209954</v>
      </c>
      <c r="K150" s="1336"/>
      <c r="L150" s="1263">
        <f t="shared" si="17"/>
        <v>2130209954</v>
      </c>
    </row>
    <row r="151" spans="1:12" s="1226" customFormat="1" ht="15.6">
      <c r="A151" s="1332" t="s">
        <v>58</v>
      </c>
      <c r="B151" s="1260" t="s">
        <v>1684</v>
      </c>
      <c r="C151" s="1260" t="s">
        <v>1685</v>
      </c>
      <c r="D151" s="1261" t="s">
        <v>634</v>
      </c>
      <c r="E151" s="1262">
        <v>45272</v>
      </c>
      <c r="F151" s="1263">
        <v>103203085</v>
      </c>
      <c r="G151" s="1263">
        <v>1</v>
      </c>
      <c r="H151" s="1336">
        <f t="shared" si="18"/>
        <v>103203085</v>
      </c>
      <c r="I151" s="1263">
        <v>1</v>
      </c>
      <c r="J151" s="1336">
        <f t="shared" si="19"/>
        <v>103203085</v>
      </c>
      <c r="K151" s="1336"/>
      <c r="L151" s="1263">
        <f t="shared" si="17"/>
        <v>103203085</v>
      </c>
    </row>
    <row r="152" spans="1:12" s="1226" customFormat="1" ht="15.6">
      <c r="A152" s="1332" t="s">
        <v>58</v>
      </c>
      <c r="B152" s="1260" t="s">
        <v>1688</v>
      </c>
      <c r="C152" s="1260" t="s">
        <v>1782</v>
      </c>
      <c r="D152" s="1261" t="s">
        <v>634</v>
      </c>
      <c r="E152" s="1262">
        <v>45302</v>
      </c>
      <c r="F152" s="1263">
        <v>250000000</v>
      </c>
      <c r="G152" s="1263">
        <v>1</v>
      </c>
      <c r="H152" s="1336">
        <f t="shared" si="18"/>
        <v>250000000</v>
      </c>
      <c r="I152" s="1263">
        <v>1</v>
      </c>
      <c r="J152" s="1336">
        <f t="shared" si="19"/>
        <v>250000000</v>
      </c>
      <c r="K152" s="1336"/>
      <c r="L152" s="1263">
        <f t="shared" ref="L152:L174" si="20">+J152</f>
        <v>250000000</v>
      </c>
    </row>
    <row r="153" spans="1:12" s="1226" customFormat="1" ht="15.6">
      <c r="A153" s="1332" t="s">
        <v>58</v>
      </c>
      <c r="B153" s="1260" t="s">
        <v>1688</v>
      </c>
      <c r="C153" s="1260" t="s">
        <v>1783</v>
      </c>
      <c r="D153" s="1261" t="s">
        <v>634</v>
      </c>
      <c r="E153" s="1262">
        <v>45302</v>
      </c>
      <c r="F153" s="1263">
        <v>250000000</v>
      </c>
      <c r="G153" s="1263">
        <v>1</v>
      </c>
      <c r="H153" s="1336">
        <f t="shared" si="18"/>
        <v>250000000</v>
      </c>
      <c r="I153" s="1263">
        <v>1</v>
      </c>
      <c r="J153" s="1336">
        <f t="shared" si="19"/>
        <v>250000000</v>
      </c>
      <c r="K153" s="1336"/>
      <c r="L153" s="1263">
        <f t="shared" si="20"/>
        <v>250000000</v>
      </c>
    </row>
    <row r="154" spans="1:12" s="1226" customFormat="1" ht="15.6">
      <c r="A154" s="1332" t="s">
        <v>58</v>
      </c>
      <c r="B154" s="1260" t="s">
        <v>1688</v>
      </c>
      <c r="C154" s="1260" t="s">
        <v>1784</v>
      </c>
      <c r="D154" s="1261" t="s">
        <v>634</v>
      </c>
      <c r="E154" s="1262">
        <v>45302</v>
      </c>
      <c r="F154" s="1263">
        <v>200000000</v>
      </c>
      <c r="G154" s="1263">
        <v>1</v>
      </c>
      <c r="H154" s="1336">
        <f t="shared" si="18"/>
        <v>200000000</v>
      </c>
      <c r="I154" s="1263">
        <v>1</v>
      </c>
      <c r="J154" s="1336">
        <f t="shared" si="19"/>
        <v>200000000</v>
      </c>
      <c r="K154" s="1336"/>
      <c r="L154" s="1263">
        <f t="shared" si="20"/>
        <v>200000000</v>
      </c>
    </row>
    <row r="155" spans="1:12" s="1226" customFormat="1" ht="15.6">
      <c r="A155" s="1332" t="s">
        <v>58</v>
      </c>
      <c r="B155" s="1260" t="s">
        <v>2926</v>
      </c>
      <c r="C155" s="1260" t="s">
        <v>2864</v>
      </c>
      <c r="D155" s="1261" t="s">
        <v>634</v>
      </c>
      <c r="E155" s="1262">
        <v>45614</v>
      </c>
      <c r="F155" s="1263">
        <v>5188545900</v>
      </c>
      <c r="G155" s="1263">
        <v>1</v>
      </c>
      <c r="H155" s="1336">
        <f t="shared" si="18"/>
        <v>5188545900</v>
      </c>
      <c r="I155" s="1263">
        <v>1</v>
      </c>
      <c r="J155" s="1336">
        <f t="shared" si="19"/>
        <v>5188545900</v>
      </c>
      <c r="K155" s="1336"/>
      <c r="L155" s="1263">
        <f t="shared" si="20"/>
        <v>5188545900</v>
      </c>
    </row>
    <row r="156" spans="1:12" s="1226" customFormat="1" ht="15.6">
      <c r="A156" s="1332" t="s">
        <v>58</v>
      </c>
      <c r="B156" s="1260" t="s">
        <v>2926</v>
      </c>
      <c r="C156" s="1260" t="s">
        <v>2751</v>
      </c>
      <c r="D156" s="1261" t="s">
        <v>634</v>
      </c>
      <c r="E156" s="1262">
        <v>45534</v>
      </c>
      <c r="F156" s="1263">
        <v>3077489830.8339</v>
      </c>
      <c r="G156" s="1263">
        <v>1</v>
      </c>
      <c r="H156" s="1336">
        <f t="shared" si="18"/>
        <v>3077489830.8339</v>
      </c>
      <c r="I156" s="1263">
        <v>1</v>
      </c>
      <c r="J156" s="1336">
        <f t="shared" si="19"/>
        <v>3077489830.8339</v>
      </c>
      <c r="K156" s="1336"/>
      <c r="L156" s="1263">
        <f t="shared" si="20"/>
        <v>3077489830.8339</v>
      </c>
    </row>
    <row r="157" spans="1:12" s="1226" customFormat="1" ht="15.6">
      <c r="A157" s="1332" t="s">
        <v>58</v>
      </c>
      <c r="B157" s="1260" t="s">
        <v>1515</v>
      </c>
      <c r="C157" s="1260" t="s">
        <v>2865</v>
      </c>
      <c r="D157" s="1261" t="s">
        <v>634</v>
      </c>
      <c r="E157" s="1262">
        <v>45616</v>
      </c>
      <c r="F157" s="1263">
        <v>1052002725</v>
      </c>
      <c r="G157" s="1263">
        <v>1</v>
      </c>
      <c r="H157" s="1336">
        <f t="shared" si="18"/>
        <v>1052002725</v>
      </c>
      <c r="I157" s="1263">
        <v>1</v>
      </c>
      <c r="J157" s="1336">
        <f t="shared" si="19"/>
        <v>1052002725</v>
      </c>
      <c r="K157" s="1336"/>
      <c r="L157" s="1263">
        <f t="shared" si="20"/>
        <v>1052002725</v>
      </c>
    </row>
    <row r="158" spans="1:12" s="1226" customFormat="1" ht="15.6">
      <c r="A158" s="1332" t="s">
        <v>58</v>
      </c>
      <c r="B158" s="1260" t="s">
        <v>1515</v>
      </c>
      <c r="C158" s="1260" t="s">
        <v>2866</v>
      </c>
      <c r="D158" s="1261" t="s">
        <v>634</v>
      </c>
      <c r="E158" s="1262">
        <v>45616</v>
      </c>
      <c r="F158" s="1263">
        <v>1052002725</v>
      </c>
      <c r="G158" s="1263">
        <v>1</v>
      </c>
      <c r="H158" s="1336">
        <f t="shared" si="18"/>
        <v>1052002725</v>
      </c>
      <c r="I158" s="1263">
        <v>1</v>
      </c>
      <c r="J158" s="1336">
        <f t="shared" si="19"/>
        <v>1052002725</v>
      </c>
      <c r="K158" s="1336"/>
      <c r="L158" s="1263">
        <f t="shared" si="20"/>
        <v>1052002725</v>
      </c>
    </row>
    <row r="159" spans="1:12" s="1226" customFormat="1" ht="15.6">
      <c r="A159" s="1332" t="s">
        <v>58</v>
      </c>
      <c r="B159" s="1260" t="s">
        <v>1515</v>
      </c>
      <c r="C159" s="1260" t="s">
        <v>2867</v>
      </c>
      <c r="D159" s="1261" t="s">
        <v>634</v>
      </c>
      <c r="E159" s="1262">
        <v>45616</v>
      </c>
      <c r="F159" s="1263">
        <v>1052002725</v>
      </c>
      <c r="G159" s="1263">
        <v>1</v>
      </c>
      <c r="H159" s="1336">
        <f t="shared" si="18"/>
        <v>1052002725</v>
      </c>
      <c r="I159" s="1263">
        <v>1</v>
      </c>
      <c r="J159" s="1336">
        <f t="shared" si="19"/>
        <v>1052002725</v>
      </c>
      <c r="K159" s="1336"/>
      <c r="L159" s="1263">
        <f t="shared" si="20"/>
        <v>1052002725</v>
      </c>
    </row>
    <row r="160" spans="1:12" s="1226" customFormat="1" ht="15.6">
      <c r="A160" s="1332" t="s">
        <v>58</v>
      </c>
      <c r="B160" s="1260" t="s">
        <v>1515</v>
      </c>
      <c r="C160" s="1260" t="s">
        <v>2868</v>
      </c>
      <c r="D160" s="1261" t="s">
        <v>634</v>
      </c>
      <c r="E160" s="1262">
        <v>45616</v>
      </c>
      <c r="F160" s="1263">
        <v>1052002725</v>
      </c>
      <c r="G160" s="1263">
        <v>1</v>
      </c>
      <c r="H160" s="1336">
        <f t="shared" si="18"/>
        <v>1052002725</v>
      </c>
      <c r="I160" s="1263">
        <v>1</v>
      </c>
      <c r="J160" s="1336">
        <f t="shared" si="19"/>
        <v>1052002725</v>
      </c>
      <c r="K160" s="1336"/>
      <c r="L160" s="1263">
        <f t="shared" si="20"/>
        <v>1052002725</v>
      </c>
    </row>
    <row r="161" spans="1:12" s="1226" customFormat="1" ht="15.6">
      <c r="A161" s="1332" t="s">
        <v>58</v>
      </c>
      <c r="B161" s="1260" t="s">
        <v>1515</v>
      </c>
      <c r="C161" s="1260" t="s">
        <v>2869</v>
      </c>
      <c r="D161" s="1261" t="s">
        <v>634</v>
      </c>
      <c r="E161" s="1262">
        <v>45616</v>
      </c>
      <c r="F161" s="1263">
        <v>1052002725</v>
      </c>
      <c r="G161" s="1263">
        <v>1</v>
      </c>
      <c r="H161" s="1336">
        <f t="shared" si="18"/>
        <v>1052002725</v>
      </c>
      <c r="I161" s="1263">
        <v>1</v>
      </c>
      <c r="J161" s="1336">
        <f t="shared" si="19"/>
        <v>1052002725</v>
      </c>
      <c r="K161" s="1336"/>
      <c r="L161" s="1263">
        <f t="shared" si="20"/>
        <v>1052002725</v>
      </c>
    </row>
    <row r="162" spans="1:12" s="1226" customFormat="1" ht="15.6">
      <c r="A162" s="1332" t="s">
        <v>58</v>
      </c>
      <c r="B162" s="1260" t="s">
        <v>1600</v>
      </c>
      <c r="C162" s="1260" t="s">
        <v>2752</v>
      </c>
      <c r="D162" s="1261" t="s">
        <v>634</v>
      </c>
      <c r="E162" s="1262">
        <v>45548</v>
      </c>
      <c r="F162" s="1263">
        <v>981995863.23000002</v>
      </c>
      <c r="G162" s="1263">
        <v>1</v>
      </c>
      <c r="H162" s="1336">
        <f t="shared" si="18"/>
        <v>981995863.23000002</v>
      </c>
      <c r="I162" s="1263">
        <v>1</v>
      </c>
      <c r="J162" s="1336">
        <f t="shared" si="19"/>
        <v>981995863.23000002</v>
      </c>
      <c r="K162" s="1336"/>
      <c r="L162" s="1263">
        <f t="shared" si="20"/>
        <v>981995863.23000002</v>
      </c>
    </row>
    <row r="163" spans="1:12" s="1226" customFormat="1" ht="15.6">
      <c r="A163" s="1332" t="s">
        <v>58</v>
      </c>
      <c r="B163" s="1260" t="s">
        <v>2601</v>
      </c>
      <c r="C163" s="1260" t="s">
        <v>2735</v>
      </c>
      <c r="D163" s="1261" t="s">
        <v>640</v>
      </c>
      <c r="E163" s="1262">
        <v>45523</v>
      </c>
      <c r="F163" s="1263">
        <v>30450.44</v>
      </c>
      <c r="G163" s="1263">
        <v>1</v>
      </c>
      <c r="H163" s="1336">
        <f t="shared" si="18"/>
        <v>30450.44</v>
      </c>
      <c r="I163" s="1263">
        <v>1</v>
      </c>
      <c r="J163" s="1336">
        <f t="shared" si="19"/>
        <v>30450.44</v>
      </c>
      <c r="K163" s="1339">
        <v>7831.26</v>
      </c>
      <c r="L163" s="1263">
        <f t="shared" ref="L163:L172" si="21">+J163*K163</f>
        <v>238465312.75439999</v>
      </c>
    </row>
    <row r="164" spans="1:12" s="1226" customFormat="1" ht="15.6">
      <c r="A164" s="1332" t="s">
        <v>58</v>
      </c>
      <c r="B164" s="1260" t="s">
        <v>1515</v>
      </c>
      <c r="C164" s="1260" t="s">
        <v>2326</v>
      </c>
      <c r="D164" s="1261" t="s">
        <v>640</v>
      </c>
      <c r="E164" s="1262">
        <v>45638</v>
      </c>
      <c r="F164" s="1263">
        <v>50598.81</v>
      </c>
      <c r="G164" s="1263">
        <v>1</v>
      </c>
      <c r="H164" s="1336">
        <f t="shared" si="18"/>
        <v>50598.81</v>
      </c>
      <c r="I164" s="1263">
        <v>1</v>
      </c>
      <c r="J164" s="1336">
        <f t="shared" si="19"/>
        <v>50598.81</v>
      </c>
      <c r="K164" s="1339">
        <v>7831.26</v>
      </c>
      <c r="L164" s="1336">
        <f t="shared" si="21"/>
        <v>396252436.80059999</v>
      </c>
    </row>
    <row r="165" spans="1:12" s="1226" customFormat="1" ht="15.6">
      <c r="A165" s="1332" t="s">
        <v>58</v>
      </c>
      <c r="B165" s="1260" t="s">
        <v>1515</v>
      </c>
      <c r="C165" s="1260" t="s">
        <v>2328</v>
      </c>
      <c r="D165" s="1261" t="s">
        <v>640</v>
      </c>
      <c r="E165" s="1262">
        <v>45638</v>
      </c>
      <c r="F165" s="1263">
        <v>50598.81</v>
      </c>
      <c r="G165" s="1263">
        <v>1</v>
      </c>
      <c r="H165" s="1336">
        <f t="shared" si="18"/>
        <v>50598.81</v>
      </c>
      <c r="I165" s="1263">
        <v>1</v>
      </c>
      <c r="J165" s="1336">
        <f t="shared" si="19"/>
        <v>50598.81</v>
      </c>
      <c r="K165" s="1336">
        <v>7831.26</v>
      </c>
      <c r="L165" s="1263">
        <f t="shared" si="21"/>
        <v>396252436.80059999</v>
      </c>
    </row>
    <row r="166" spans="1:12" s="1226" customFormat="1" ht="15.6">
      <c r="A166" s="1332" t="s">
        <v>58</v>
      </c>
      <c r="B166" s="1260" t="s">
        <v>1515</v>
      </c>
      <c r="C166" s="1260" t="s">
        <v>2272</v>
      </c>
      <c r="D166" s="1261" t="s">
        <v>640</v>
      </c>
      <c r="E166" s="1262">
        <v>45638</v>
      </c>
      <c r="F166" s="1263">
        <v>50829.01</v>
      </c>
      <c r="G166" s="1263">
        <v>1</v>
      </c>
      <c r="H166" s="1336">
        <f t="shared" si="18"/>
        <v>50829.01</v>
      </c>
      <c r="I166" s="1263">
        <v>1</v>
      </c>
      <c r="J166" s="1336">
        <f t="shared" si="19"/>
        <v>50829.01</v>
      </c>
      <c r="K166" s="1336">
        <v>7831.26</v>
      </c>
      <c r="L166" s="1263">
        <f t="shared" si="21"/>
        <v>398055192.85260004</v>
      </c>
    </row>
    <row r="167" spans="1:12" s="1226" customFormat="1" ht="15.6">
      <c r="A167" s="1332" t="s">
        <v>1802</v>
      </c>
      <c r="B167" s="1260" t="s">
        <v>1600</v>
      </c>
      <c r="C167" s="1260" t="s">
        <v>2938</v>
      </c>
      <c r="D167" s="1261" t="s">
        <v>640</v>
      </c>
      <c r="E167" s="1262">
        <v>45645</v>
      </c>
      <c r="F167" s="1263">
        <v>700000</v>
      </c>
      <c r="G167" s="1263">
        <v>700</v>
      </c>
      <c r="H167" s="1336">
        <f t="shared" si="18"/>
        <v>1000</v>
      </c>
      <c r="I167" s="1263">
        <v>402</v>
      </c>
      <c r="J167" s="1336">
        <f t="shared" si="19"/>
        <v>402000</v>
      </c>
      <c r="K167" s="1336">
        <v>7831.26</v>
      </c>
      <c r="L167" s="1263">
        <f t="shared" si="21"/>
        <v>3148166520</v>
      </c>
    </row>
    <row r="168" spans="1:12" s="1226" customFormat="1" ht="15.6">
      <c r="A168" s="1332" t="s">
        <v>1802</v>
      </c>
      <c r="B168" s="1260" t="s">
        <v>1600</v>
      </c>
      <c r="C168" s="1260" t="s">
        <v>2939</v>
      </c>
      <c r="D168" s="1261" t="s">
        <v>640</v>
      </c>
      <c r="E168" s="1262">
        <v>45645</v>
      </c>
      <c r="F168" s="1263">
        <v>750000</v>
      </c>
      <c r="G168" s="1263">
        <v>750</v>
      </c>
      <c r="H168" s="1336">
        <f t="shared" si="18"/>
        <v>1000</v>
      </c>
      <c r="I168" s="1263">
        <v>415</v>
      </c>
      <c r="J168" s="1336">
        <f t="shared" si="19"/>
        <v>415000</v>
      </c>
      <c r="K168" s="1336">
        <v>7831.26</v>
      </c>
      <c r="L168" s="1263">
        <f t="shared" si="21"/>
        <v>3249972900</v>
      </c>
    </row>
    <row r="169" spans="1:12" s="1226" customFormat="1" ht="15.6">
      <c r="A169" s="1332" t="s">
        <v>1802</v>
      </c>
      <c r="B169" s="1260" t="s">
        <v>1600</v>
      </c>
      <c r="C169" s="1260" t="s">
        <v>2940</v>
      </c>
      <c r="D169" s="1261" t="s">
        <v>640</v>
      </c>
      <c r="E169" s="1262">
        <v>45631</v>
      </c>
      <c r="F169" s="1263">
        <v>330000</v>
      </c>
      <c r="G169" s="1263">
        <v>330</v>
      </c>
      <c r="H169" s="1336">
        <f t="shared" si="18"/>
        <v>1000</v>
      </c>
      <c r="I169" s="1263">
        <v>65</v>
      </c>
      <c r="J169" s="1336">
        <f t="shared" si="19"/>
        <v>65000</v>
      </c>
      <c r="K169" s="1336">
        <v>7831.26</v>
      </c>
      <c r="L169" s="1263">
        <f t="shared" si="21"/>
        <v>509031900</v>
      </c>
    </row>
    <row r="170" spans="1:12" s="1226" customFormat="1" ht="15.6">
      <c r="A170" s="1332" t="s">
        <v>56</v>
      </c>
      <c r="B170" s="1260" t="s">
        <v>2926</v>
      </c>
      <c r="C170" s="1260" t="s">
        <v>2937</v>
      </c>
      <c r="D170" s="1261" t="s">
        <v>640</v>
      </c>
      <c r="E170" s="1262">
        <v>45646</v>
      </c>
      <c r="F170" s="1263">
        <v>350000</v>
      </c>
      <c r="G170" s="1263">
        <v>350</v>
      </c>
      <c r="H170" s="1336">
        <f t="shared" si="18"/>
        <v>1000</v>
      </c>
      <c r="I170" s="1263">
        <v>275</v>
      </c>
      <c r="J170" s="1336">
        <f t="shared" si="19"/>
        <v>275000</v>
      </c>
      <c r="K170" s="1336">
        <v>7831.26</v>
      </c>
      <c r="L170" s="1263">
        <f t="shared" si="21"/>
        <v>2153596500</v>
      </c>
    </row>
    <row r="171" spans="1:12" s="1226" customFormat="1" ht="15.6">
      <c r="A171" s="1332" t="s">
        <v>526</v>
      </c>
      <c r="B171" s="1260" t="s">
        <v>2737</v>
      </c>
      <c r="C171" s="1260" t="s">
        <v>2941</v>
      </c>
      <c r="D171" s="1261" t="s">
        <v>640</v>
      </c>
      <c r="E171" s="1262">
        <v>45624</v>
      </c>
      <c r="F171" s="1263">
        <v>500000</v>
      </c>
      <c r="G171" s="1263">
        <v>500</v>
      </c>
      <c r="H171" s="1336">
        <f t="shared" si="18"/>
        <v>1000</v>
      </c>
      <c r="I171" s="1263">
        <v>131</v>
      </c>
      <c r="J171" s="1336">
        <f t="shared" si="19"/>
        <v>131000</v>
      </c>
      <c r="K171" s="1336">
        <v>7831.26</v>
      </c>
      <c r="L171" s="1263">
        <f t="shared" si="21"/>
        <v>1025895060</v>
      </c>
    </row>
    <row r="172" spans="1:12" s="1226" customFormat="1" ht="15.6">
      <c r="A172" s="1332" t="s">
        <v>526</v>
      </c>
      <c r="B172" s="1260" t="s">
        <v>2737</v>
      </c>
      <c r="C172" s="1260" t="s">
        <v>2942</v>
      </c>
      <c r="D172" s="1261" t="s">
        <v>640</v>
      </c>
      <c r="E172" s="1262">
        <v>45631</v>
      </c>
      <c r="F172" s="1263">
        <v>15308.45</v>
      </c>
      <c r="G172" s="1263">
        <v>15</v>
      </c>
      <c r="H172" s="1336">
        <f t="shared" si="18"/>
        <v>1020.5633333333334</v>
      </c>
      <c r="I172" s="1263">
        <v>15</v>
      </c>
      <c r="J172" s="1336">
        <f t="shared" si="19"/>
        <v>15308.45</v>
      </c>
      <c r="K172" s="1336">
        <v>7831.26</v>
      </c>
      <c r="L172" s="1263">
        <f t="shared" si="21"/>
        <v>119884452.14700001</v>
      </c>
    </row>
    <row r="173" spans="1:12" s="1226" customFormat="1" ht="15.6">
      <c r="A173" s="1332" t="s">
        <v>56</v>
      </c>
      <c r="B173" s="1260" t="s">
        <v>2946</v>
      </c>
      <c r="C173" s="1260" t="s">
        <v>1693</v>
      </c>
      <c r="D173" s="1261" t="s">
        <v>634</v>
      </c>
      <c r="E173" s="1262">
        <v>45254</v>
      </c>
      <c r="F173" s="1263">
        <v>261602356</v>
      </c>
      <c r="G173" s="1263">
        <v>257</v>
      </c>
      <c r="H173" s="1336">
        <f t="shared" si="18"/>
        <v>1017908</v>
      </c>
      <c r="I173" s="1263">
        <v>153</v>
      </c>
      <c r="J173" s="1336">
        <f t="shared" si="19"/>
        <v>155739924</v>
      </c>
      <c r="K173" s="1336"/>
      <c r="L173" s="1263">
        <f t="shared" si="20"/>
        <v>155739924</v>
      </c>
    </row>
    <row r="174" spans="1:12" ht="15.6">
      <c r="A174" s="1332" t="s">
        <v>56</v>
      </c>
      <c r="B174" s="1260" t="s">
        <v>2946</v>
      </c>
      <c r="C174" s="1260" t="s">
        <v>1694</v>
      </c>
      <c r="D174" s="1261" t="s">
        <v>634</v>
      </c>
      <c r="E174" s="1262">
        <v>45470</v>
      </c>
      <c r="F174" s="1263">
        <v>327193750</v>
      </c>
      <c r="G174" s="1263">
        <v>325</v>
      </c>
      <c r="H174" s="1336">
        <f t="shared" si="18"/>
        <v>1006750</v>
      </c>
      <c r="I174" s="1263">
        <v>225</v>
      </c>
      <c r="J174" s="1336">
        <f t="shared" si="19"/>
        <v>226518750</v>
      </c>
      <c r="K174" s="1336"/>
      <c r="L174" s="1263">
        <f t="shared" si="20"/>
        <v>226518750</v>
      </c>
    </row>
    <row r="175" spans="1:12" ht="15.6">
      <c r="A175" s="1257" t="s">
        <v>62</v>
      </c>
      <c r="B175" s="314" t="s">
        <v>1637</v>
      </c>
      <c r="C175" s="314" t="s">
        <v>1638</v>
      </c>
      <c r="D175" s="1267" t="s">
        <v>640</v>
      </c>
      <c r="E175" s="1463">
        <v>44923</v>
      </c>
      <c r="F175" s="1462">
        <v>518477.79499999998</v>
      </c>
      <c r="G175" s="1461">
        <v>515</v>
      </c>
      <c r="H175" s="1462">
        <f t="shared" ref="H175:H181" si="22">+F175/G175</f>
        <v>1006.7529999999999</v>
      </c>
      <c r="I175" s="1461">
        <v>340</v>
      </c>
      <c r="J175" s="1462">
        <f t="shared" ref="J175:J181" si="23">+H175*I175</f>
        <v>342296.01999999996</v>
      </c>
      <c r="K175" s="1462">
        <v>7831.26</v>
      </c>
      <c r="L175" s="1461">
        <f t="shared" ref="L175:L181" si="24">+J175*K175</f>
        <v>2680609129.5851998</v>
      </c>
    </row>
    <row r="176" spans="1:12" ht="15.6">
      <c r="A176" s="1257" t="s">
        <v>62</v>
      </c>
      <c r="B176" s="314" t="s">
        <v>1637</v>
      </c>
      <c r="C176" s="314" t="s">
        <v>1640</v>
      </c>
      <c r="D176" s="1267" t="s">
        <v>640</v>
      </c>
      <c r="E176" s="1463">
        <v>44935</v>
      </c>
      <c r="F176" s="1462">
        <v>295465.88400000002</v>
      </c>
      <c r="G176" s="1461">
        <v>294</v>
      </c>
      <c r="H176" s="1462">
        <f t="shared" si="22"/>
        <v>1004.9860000000001</v>
      </c>
      <c r="I176" s="1461">
        <v>161</v>
      </c>
      <c r="J176" s="1462">
        <f t="shared" si="23"/>
        <v>161802.74600000001</v>
      </c>
      <c r="K176" s="1462">
        <v>7831.26</v>
      </c>
      <c r="L176" s="1461">
        <f t="shared" si="24"/>
        <v>1267119372.6399601</v>
      </c>
    </row>
    <row r="177" spans="1:12" ht="15.6">
      <c r="A177" s="1257" t="s">
        <v>62</v>
      </c>
      <c r="B177" s="314" t="s">
        <v>1637</v>
      </c>
      <c r="C177" s="314" t="s">
        <v>1638</v>
      </c>
      <c r="D177" s="1267" t="s">
        <v>640</v>
      </c>
      <c r="E177" s="1463">
        <v>44923</v>
      </c>
      <c r="F177" s="1462">
        <v>518477.79499999998</v>
      </c>
      <c r="G177" s="1461">
        <v>515</v>
      </c>
      <c r="H177" s="1462">
        <f t="shared" si="22"/>
        <v>1006.7529999999999</v>
      </c>
      <c r="I177" s="1461">
        <v>141</v>
      </c>
      <c r="J177" s="1462">
        <f t="shared" si="23"/>
        <v>141952.17299999998</v>
      </c>
      <c r="K177" s="1462">
        <v>7831.26</v>
      </c>
      <c r="L177" s="1461">
        <f t="shared" si="24"/>
        <v>1111664374.3279798</v>
      </c>
    </row>
    <row r="178" spans="1:12" ht="15.6">
      <c r="A178" s="1257" t="s">
        <v>62</v>
      </c>
      <c r="B178" s="314" t="s">
        <v>1637</v>
      </c>
      <c r="C178" s="314" t="s">
        <v>1640</v>
      </c>
      <c r="D178" s="1267" t="s">
        <v>640</v>
      </c>
      <c r="E178" s="1463">
        <v>44935</v>
      </c>
      <c r="F178" s="1462">
        <v>295465.88400000002</v>
      </c>
      <c r="G178" s="1461">
        <v>294</v>
      </c>
      <c r="H178" s="1462">
        <f t="shared" si="22"/>
        <v>1004.9860000000001</v>
      </c>
      <c r="I178" s="1461">
        <v>53</v>
      </c>
      <c r="J178" s="1462">
        <f t="shared" si="23"/>
        <v>53264.258000000009</v>
      </c>
      <c r="K178" s="1462">
        <v>7831.26</v>
      </c>
      <c r="L178" s="1461">
        <f t="shared" si="24"/>
        <v>417126253.10508007</v>
      </c>
    </row>
    <row r="179" spans="1:12" ht="15.6">
      <c r="A179" s="1257" t="s">
        <v>62</v>
      </c>
      <c r="B179" s="314" t="s">
        <v>1637</v>
      </c>
      <c r="C179" s="314" t="s">
        <v>1639</v>
      </c>
      <c r="D179" s="1267" t="s">
        <v>640</v>
      </c>
      <c r="E179" s="1463">
        <v>44617</v>
      </c>
      <c r="F179" s="1462">
        <v>620452.84</v>
      </c>
      <c r="G179" s="1461">
        <v>607</v>
      </c>
      <c r="H179" s="1462">
        <f t="shared" si="22"/>
        <v>1022.1628336079077</v>
      </c>
      <c r="I179" s="1461">
        <v>321</v>
      </c>
      <c r="J179" s="1462">
        <f t="shared" si="23"/>
        <v>328114.26958813838</v>
      </c>
      <c r="K179" s="1462">
        <v>7831.26</v>
      </c>
      <c r="L179" s="1461">
        <f t="shared" si="24"/>
        <v>2569548154.8548045</v>
      </c>
    </row>
    <row r="180" spans="1:12" ht="15.6">
      <c r="A180" s="1257" t="s">
        <v>62</v>
      </c>
      <c r="B180" s="314" t="s">
        <v>1637</v>
      </c>
      <c r="C180" s="314" t="s">
        <v>1638</v>
      </c>
      <c r="D180" s="1267" t="s">
        <v>640</v>
      </c>
      <c r="E180" s="1463">
        <v>44923</v>
      </c>
      <c r="F180" s="1462">
        <v>518477.79499999998</v>
      </c>
      <c r="G180" s="1461">
        <v>515</v>
      </c>
      <c r="H180" s="1462">
        <f t="shared" si="22"/>
        <v>1006.7529999999999</v>
      </c>
      <c r="I180" s="1461">
        <v>9</v>
      </c>
      <c r="J180" s="1462">
        <f t="shared" si="23"/>
        <v>9060.777</v>
      </c>
      <c r="K180" s="1462">
        <v>7831.26</v>
      </c>
      <c r="L180" s="1461">
        <f t="shared" si="24"/>
        <v>70957300.489020005</v>
      </c>
    </row>
    <row r="181" spans="1:12" ht="15.6">
      <c r="A181" s="1257" t="s">
        <v>62</v>
      </c>
      <c r="B181" s="314" t="s">
        <v>1637</v>
      </c>
      <c r="C181" s="314" t="s">
        <v>1639</v>
      </c>
      <c r="D181" s="1267" t="s">
        <v>640</v>
      </c>
      <c r="E181" s="1463">
        <v>44617</v>
      </c>
      <c r="F181" s="1462">
        <v>620452.84</v>
      </c>
      <c r="G181" s="1461">
        <v>607</v>
      </c>
      <c r="H181" s="1462">
        <f t="shared" si="22"/>
        <v>1022.1628336079077</v>
      </c>
      <c r="I181" s="1461">
        <v>52</v>
      </c>
      <c r="J181" s="1462">
        <f t="shared" si="23"/>
        <v>53152.4673476112</v>
      </c>
      <c r="K181" s="1462">
        <v>7831.26</v>
      </c>
      <c r="L181" s="1461">
        <f t="shared" si="24"/>
        <v>416250791.44065368</v>
      </c>
    </row>
    <row r="182" spans="1:12" ht="15.6">
      <c r="A182" s="1257" t="s">
        <v>62</v>
      </c>
      <c r="B182" s="314" t="s">
        <v>1637</v>
      </c>
      <c r="C182" s="314" t="s">
        <v>1640</v>
      </c>
      <c r="D182" s="1267" t="s">
        <v>640</v>
      </c>
      <c r="E182" s="1463">
        <v>44935</v>
      </c>
      <c r="F182" s="1462">
        <v>295465.88400000002</v>
      </c>
      <c r="G182" s="1461">
        <v>294</v>
      </c>
      <c r="H182" s="1462">
        <f t="shared" si="18"/>
        <v>1004.9860000000001</v>
      </c>
      <c r="I182" s="1461">
        <v>75</v>
      </c>
      <c r="J182" s="1462">
        <f t="shared" si="19"/>
        <v>75373.950000000012</v>
      </c>
      <c r="K182" s="1462">
        <v>7831.26</v>
      </c>
      <c r="L182" s="1461">
        <f t="shared" ref="L182:L183" si="25">+J182*K182</f>
        <v>590272999.67700016</v>
      </c>
    </row>
    <row r="183" spans="1:12" ht="15.6">
      <c r="A183" s="1257" t="s">
        <v>62</v>
      </c>
      <c r="B183" s="314" t="s">
        <v>1637</v>
      </c>
      <c r="C183" s="314" t="s">
        <v>1639</v>
      </c>
      <c r="D183" s="1267" t="s">
        <v>640</v>
      </c>
      <c r="E183" s="1463">
        <v>44617</v>
      </c>
      <c r="F183" s="1462">
        <v>620452.84</v>
      </c>
      <c r="G183" s="1461">
        <v>607</v>
      </c>
      <c r="H183" s="1462">
        <f t="shared" si="18"/>
        <v>1022.1628336079077</v>
      </c>
      <c r="I183" s="1461">
        <v>161</v>
      </c>
      <c r="J183" s="1462">
        <f t="shared" si="19"/>
        <v>164568.21621087313</v>
      </c>
      <c r="K183" s="1462">
        <v>7831.26</v>
      </c>
      <c r="L183" s="1461">
        <f t="shared" si="25"/>
        <v>1288776488.8835623</v>
      </c>
    </row>
    <row r="184" spans="1:12" ht="15.6">
      <c r="B184" s="314"/>
      <c r="C184" s="314"/>
      <c r="D184" s="1267"/>
      <c r="E184" s="1268"/>
      <c r="F184" s="1269"/>
      <c r="G184" s="1269"/>
      <c r="H184" s="1270"/>
      <c r="I184" s="1269"/>
      <c r="J184" s="1270"/>
      <c r="K184" s="1270"/>
      <c r="L184" s="1269"/>
    </row>
  </sheetData>
  <sheetProtection algorithmName="SHA-512" hashValue="1SXLxKNTm0mCLazkLT7CeLiD67wnhK8hKwXPm65vcEnhe+TYFrj6vwMF1oEUL17+oj3kWH4naZeGVoYHgMKlug==" saltValue="rDQ4yuyaYyrkkAtG0e+O3Q==" spinCount="100000" sheet="1" objects="1" scenarios="1"/>
  <mergeCells count="2">
    <mergeCell ref="E1:H1"/>
    <mergeCell ref="I1:L1"/>
  </mergeCells>
  <conditionalFormatting sqref="C1:C1048576">
    <cfRule type="duplicateValues" dxfId="9" priority="1"/>
  </conditionalFormatting>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60E76-972F-4A71-8B37-DAD70E2B7F18}">
  <sheetPr codeName="Hoja20">
    <tabColor rgb="FFFF0000"/>
  </sheetPr>
  <dimension ref="A1:I52"/>
  <sheetViews>
    <sheetView showGridLines="0" topLeftCell="A20" workbookViewId="0">
      <selection activeCell="D26" sqref="D26"/>
    </sheetView>
  </sheetViews>
  <sheetFormatPr baseColWidth="10" defaultColWidth="11.44140625" defaultRowHeight="14.4"/>
  <cols>
    <col min="1" max="1" width="5.77734375" style="1418" customWidth="1"/>
    <col min="2" max="2" width="41.6640625" customWidth="1"/>
    <col min="3" max="3" width="33" customWidth="1"/>
    <col min="4" max="4" width="33.33203125" customWidth="1"/>
    <col min="5" max="5" width="18.33203125" customWidth="1"/>
    <col min="6" max="6" width="30.33203125" customWidth="1"/>
    <col min="7" max="7" width="14.44140625" customWidth="1"/>
    <col min="8" max="8" width="18.33203125" bestFit="1" customWidth="1"/>
    <col min="9" max="9" width="17.109375" customWidth="1"/>
  </cols>
  <sheetData>
    <row r="1" spans="1:8" ht="15.6">
      <c r="B1" s="860" t="s">
        <v>48</v>
      </c>
      <c r="C1" s="861"/>
      <c r="D1" s="860" t="s">
        <v>1818</v>
      </c>
      <c r="E1" s="872" t="s">
        <v>1819</v>
      </c>
      <c r="F1" s="860" t="s">
        <v>2818</v>
      </c>
      <c r="G1" s="874" t="s">
        <v>1820</v>
      </c>
      <c r="H1" s="875">
        <f>+'Balance General'!$D$39</f>
        <v>114274497246</v>
      </c>
    </row>
    <row r="2" spans="1:8" ht="15.6">
      <c r="A2" s="1425"/>
      <c r="B2" s="862" t="s">
        <v>1800</v>
      </c>
      <c r="C2" s="863"/>
      <c r="D2" s="864"/>
      <c r="E2" s="864"/>
      <c r="F2" s="864"/>
    </row>
    <row r="3" spans="1:8" ht="15.6">
      <c r="A3" s="1416" t="s">
        <v>2600</v>
      </c>
      <c r="B3" s="865" t="s">
        <v>1634</v>
      </c>
      <c r="C3" s="866" t="s">
        <v>415</v>
      </c>
      <c r="D3" s="876">
        <f>+Notas!H397</f>
        <v>1249280000</v>
      </c>
      <c r="E3" s="1080">
        <f>+D3/$H$1</f>
        <v>1.093227299272786E-2</v>
      </c>
      <c r="F3" s="1272"/>
    </row>
    <row r="4" spans="1:8" ht="15.6">
      <c r="A4" s="1425"/>
      <c r="B4" s="865"/>
      <c r="C4" s="866"/>
      <c r="D4" s="864"/>
      <c r="E4" s="873"/>
      <c r="F4" s="864"/>
    </row>
    <row r="5" spans="1:8" ht="15.6">
      <c r="A5" s="1425"/>
      <c r="B5" s="1082" t="s">
        <v>688</v>
      </c>
      <c r="C5" s="868"/>
      <c r="D5" s="864"/>
      <c r="E5" s="873"/>
      <c r="F5" s="864"/>
    </row>
    <row r="6" spans="1:8">
      <c r="A6" s="1425" t="str">
        <f t="shared" ref="A6:A17" si="0">+CONCATENATE(B6,C6)</f>
        <v>TELECEL S.A.E.Bonos Corporativos</v>
      </c>
      <c r="B6" s="1279" t="s">
        <v>1616</v>
      </c>
      <c r="C6" s="1280" t="s">
        <v>62</v>
      </c>
      <c r="D6" s="876">
        <f>+SUMIF(Notas!$A$400:$A$490,A6,Notas!$H$400:$H$490)</f>
        <v>4165019546.340981</v>
      </c>
      <c r="E6" s="1080">
        <f t="shared" ref="E6:E27" si="1">+D6/$H$1</f>
        <v>3.6447498319549777E-2</v>
      </c>
      <c r="F6" s="876">
        <f>+SUMIF(Notas!$A$400:$A$490,A6,Notas!$I$400:$I$490)</f>
        <v>-1281446.7442975999</v>
      </c>
    </row>
    <row r="7" spans="1:8" ht="15.6">
      <c r="A7" s="1425" t="str">
        <f t="shared" si="0"/>
        <v>NÚCLEO S.A.Bonos Corporativos</v>
      </c>
      <c r="B7" s="865" t="s">
        <v>1785</v>
      </c>
      <c r="C7" s="1086" t="s">
        <v>62</v>
      </c>
      <c r="D7" s="876">
        <f>+SUMIF(Notas!$A$400:$A$490,A7,Notas!$H$400:$H$490)</f>
        <v>123445479.45205484</v>
      </c>
      <c r="E7" s="1080">
        <f t="shared" si="1"/>
        <v>1.0802539711578197E-3</v>
      </c>
      <c r="F7" s="876">
        <f>+SUMIF(Notas!$A$400:$A$490,A7,Notas!$I$400:$I$490)</f>
        <v>-1174442.3433401401</v>
      </c>
    </row>
    <row r="8" spans="1:8" ht="15.6">
      <c r="A8" s="1425" t="str">
        <f t="shared" si="0"/>
        <v>BANCO FAMILIAR S.A.E.C.A.Bonos Financieros</v>
      </c>
      <c r="B8" s="865" t="s">
        <v>1511</v>
      </c>
      <c r="C8" s="1086" t="s">
        <v>56</v>
      </c>
      <c r="D8" s="876">
        <f>+SUMIF(Notas!$A$400:$A$506,A8,Notas!$H$400:$H$506)</f>
        <v>2427893149.4821868</v>
      </c>
      <c r="E8" s="1080">
        <f t="shared" si="1"/>
        <v>2.1246150348451183E-2</v>
      </c>
      <c r="F8" s="876">
        <f>+SUMIF(Notas!$A$400:$A$490,A8,Notas!$I$400:$I$490)</f>
        <v>0</v>
      </c>
    </row>
    <row r="9" spans="1:8" ht="15.6">
      <c r="A9" s="1425" t="str">
        <f t="shared" si="0"/>
        <v>FINANCIERA FIC S.A.E.C.A.Bonos Financieros</v>
      </c>
      <c r="B9" s="865" t="s">
        <v>1548</v>
      </c>
      <c r="C9" s="1086" t="s">
        <v>56</v>
      </c>
      <c r="D9" s="876">
        <f>+SUMIF(Notas!$A$400:$A$490,A9,Notas!$H$400:$H$490)</f>
        <v>969983578.00075459</v>
      </c>
      <c r="E9" s="1080">
        <f>+D9/$H$1</f>
        <v>8.4881894156371568E-3</v>
      </c>
      <c r="F9" s="876">
        <f>+SUMIF(Notas!$A$400:$A$490,A9,Notas!$I$400:$I$490)</f>
        <v>-1681407.3474470701</v>
      </c>
    </row>
    <row r="10" spans="1:8" ht="15.6">
      <c r="A10" s="1425" t="str">
        <f t="shared" si="0"/>
        <v>BANCO ITAÚ PARAGUAY S.A.Bonos Financieros- Vinculadas</v>
      </c>
      <c r="B10" s="865" t="s">
        <v>1600</v>
      </c>
      <c r="C10" s="1086" t="s">
        <v>1802</v>
      </c>
      <c r="D10" s="876">
        <f>+SUMIF(Notas!$A$400:$A$502,A10,Notas!$H$400:$H$502)</f>
        <v>16954599651.44759</v>
      </c>
      <c r="E10" s="1080">
        <f t="shared" si="1"/>
        <v>0.14836730906764992</v>
      </c>
      <c r="F10" s="876">
        <f>+SUMIF(Notas!$A$400:$A$490,A10,Notas!$I$400:$I$490)</f>
        <v>-105440315</v>
      </c>
    </row>
    <row r="11" spans="1:8" ht="15.6">
      <c r="A11" s="1425" t="str">
        <f t="shared" ref="A11" si="2">+CONCATENATE(B11,C11)</f>
        <v>BANCO GNB PARAGUAY S.A.E.C.A.Bonos Financieros</v>
      </c>
      <c r="B11" s="1279" t="s">
        <v>2926</v>
      </c>
      <c r="C11" s="1086" t="s">
        <v>56</v>
      </c>
      <c r="D11" s="876">
        <f>+SUMIF(Notas!$A$400:$A$490,A11,Notas!$H$400:$H$490)</f>
        <v>3134384603.8373089</v>
      </c>
      <c r="E11" s="1080">
        <f t="shared" ref="E11" si="3">+D11/$H$1</f>
        <v>2.7428557371728213E-2</v>
      </c>
      <c r="F11" s="876">
        <f>+SUMIF(Notas!$A$400:$A$490,A11,Notas!$I$400:$I$490)</f>
        <v>0</v>
      </c>
    </row>
    <row r="12" spans="1:8" ht="15.6">
      <c r="A12" s="1425" t="str">
        <f t="shared" si="0"/>
        <v>MINISTERIO DE ECONOMIA Y FINANZASBONOS PÚBLICOS</v>
      </c>
      <c r="B12" s="865" t="s">
        <v>2741</v>
      </c>
      <c r="C12" s="1086" t="s">
        <v>1671</v>
      </c>
      <c r="D12" s="876">
        <f>+SUMIF(Notas!$A$400:$A$506,A12,Notas!$H$400:$H$506)</f>
        <v>3157181554.2494512</v>
      </c>
      <c r="E12" s="1080">
        <f>+D12/$H$1</f>
        <v>2.7628050267882176E-2</v>
      </c>
      <c r="F12" s="876">
        <f>+SUMIF(Notas!$A$400:$A$490,A12,Notas!$I$400:$I$490)</f>
        <v>-3806204.0326731498</v>
      </c>
    </row>
    <row r="13" spans="1:8" ht="15.6">
      <c r="A13" s="1425" t="str">
        <f t="shared" ref="A13" si="4">+CONCATENATE(B13,C13)</f>
        <v>AGENCIA FINANCIERA DE DESARROLLOBONOS PÚBLICOS</v>
      </c>
      <c r="B13" s="865" t="s">
        <v>1609</v>
      </c>
      <c r="C13" s="1086" t="s">
        <v>1671</v>
      </c>
      <c r="D13" s="876">
        <f>+SUMIF(Notas!$A$400:$A$506,A13,Notas!$H$400:$H$506)</f>
        <v>5159294105.4379406</v>
      </c>
      <c r="E13" s="1080">
        <f>+D13/$H$1</f>
        <v>4.5148254683032817E-2</v>
      </c>
      <c r="F13" s="876">
        <f>+SUMIF(Notas!$A$400:$A$490,A13,Notas!$I$400:$I$490)</f>
        <v>0</v>
      </c>
    </row>
    <row r="14" spans="1:8" ht="15.6">
      <c r="A14" s="1425" t="str">
        <f t="shared" si="0"/>
        <v>SUDAMERIS BANK S.A.E.C.A.Bonos Subordinados</v>
      </c>
      <c r="B14" s="865" t="s">
        <v>1634</v>
      </c>
      <c r="C14" s="1086" t="s">
        <v>526</v>
      </c>
      <c r="D14" s="876">
        <f>+SUMIF(Notas!$A$400:$A$490,A14,Notas!$H$400:$H$490)</f>
        <v>1574716374.9102745</v>
      </c>
      <c r="E14" s="1080">
        <f t="shared" si="1"/>
        <v>1.3780120786883576E-2</v>
      </c>
      <c r="F14" s="876">
        <f>+SUMIF(Notas!$A$400:$A$490,A14,Notas!$I$400:$I$490)</f>
        <v>0</v>
      </c>
    </row>
    <row r="15" spans="1:8" ht="15.6">
      <c r="A15" s="1425" t="str">
        <f t="shared" ref="A15" si="5">+CONCATENATE(B15,C15)</f>
        <v>BANCO RÍO S.A.E.C.A.Bonos Subordinados</v>
      </c>
      <c r="B15" s="1389" t="s">
        <v>2737</v>
      </c>
      <c r="C15" s="1086" t="s">
        <v>526</v>
      </c>
      <c r="D15" s="876">
        <f>+SUMIF(Notas!$A$400:$A$490,A15,Notas!$H$400:$H$490)</f>
        <v>1152839627.9748001</v>
      </c>
      <c r="E15" s="1080">
        <f t="shared" ref="E15" si="6">+D15/$H$1</f>
        <v>1.0088336905942095E-2</v>
      </c>
      <c r="F15" s="876">
        <f>+SUMIF(Notas!$A$400:$A$490,A15,Notas!$I$400:$I$490)</f>
        <v>-313876.9008</v>
      </c>
    </row>
    <row r="16" spans="1:8" ht="15.6">
      <c r="A16" s="1425" t="str">
        <f t="shared" si="0"/>
        <v>BANCO CONTINENTAL S.A.E.C.ACDA</v>
      </c>
      <c r="B16" s="865" t="s">
        <v>1821</v>
      </c>
      <c r="C16" s="1086" t="s">
        <v>58</v>
      </c>
      <c r="D16" s="876">
        <f>+SUMIF(Notas!$A$400:$A$490,A16,Notas!$H$400:$H$490)</f>
        <v>150373287.67123288</v>
      </c>
      <c r="E16" s="1080">
        <f>+D16/$H$1</f>
        <v>1.3158954210712702E-3</v>
      </c>
      <c r="F16" s="876">
        <f>+SUMIF(Notas!$A$400:$A$490,A16,Notas!$I$400:$I$490)</f>
        <v>-572414.41213751794</v>
      </c>
    </row>
    <row r="17" spans="1:9" ht="15.6">
      <c r="A17" s="1418" t="str">
        <f t="shared" si="0"/>
        <v>BANCO ATLAS S.A.CDA</v>
      </c>
      <c r="B17" s="865" t="s">
        <v>1688</v>
      </c>
      <c r="C17" s="1086" t="s">
        <v>58</v>
      </c>
      <c r="D17" s="876">
        <f>+SUMIF(Notas!$A$400:$A$490,A17,Notas!$H$400:$H$490)</f>
        <v>502350684.93150687</v>
      </c>
      <c r="E17" s="1080">
        <f t="shared" ref="E17" si="7">+D17/$H$1</f>
        <v>4.3959999565790333E-3</v>
      </c>
      <c r="F17" s="1272">
        <f>+SUMIF(Notas!$A$400:$A$490,A17,Notas!$I$400:$I$490)</f>
        <v>-3843676.4134151898</v>
      </c>
    </row>
    <row r="18" spans="1:9" ht="15.6">
      <c r="A18" s="1418" t="str">
        <f t="shared" ref="A18:A20" si="8">+CONCATENATE(B18,C18)</f>
        <v>BANCO FAMILIAR S.A.E.C.ACDA</v>
      </c>
      <c r="B18" s="865" t="s">
        <v>2914</v>
      </c>
      <c r="C18" s="1086" t="s">
        <v>58</v>
      </c>
      <c r="D18" s="876">
        <f>+SUMIF(Notas!$A$400:$A$490,A18,Notas!$H$400:$H$490)</f>
        <v>3011946575.3424654</v>
      </c>
      <c r="E18" s="1080">
        <f t="shared" ref="E18:E20" si="9">+D18/$H$1</f>
        <v>2.6357119461734441E-2</v>
      </c>
      <c r="F18" s="1272">
        <f>+SUMIF(Notas!$A$400:$A$490,A18,Notas!$I$400:$I$490)</f>
        <v>0</v>
      </c>
    </row>
    <row r="19" spans="1:9" ht="15.6">
      <c r="A19" s="1418" t="str">
        <f t="shared" si="8"/>
        <v>BANCO ITAÚ PARAGUAY S.A.CDA - Vinculadas</v>
      </c>
      <c r="B19" s="865" t="s">
        <v>1600</v>
      </c>
      <c r="C19" s="1086" t="s">
        <v>2973</v>
      </c>
      <c r="D19" s="876">
        <f>+SUMIF(Notas!$A$400:$A$490,A19,Notas!$H$400:$H$490)</f>
        <v>105543835.61643836</v>
      </c>
      <c r="E19" s="1080">
        <f t="shared" si="9"/>
        <v>9.2359921207295229E-4</v>
      </c>
      <c r="F19" s="1272">
        <f>+SUMIF(Notas!$A$400:$A$490,A19,Notas!$I$400:$I$490)</f>
        <v>-59628.180540919799</v>
      </c>
    </row>
    <row r="20" spans="1:9" ht="15.6">
      <c r="A20" s="1418" t="str">
        <f t="shared" si="8"/>
        <v>BANCO NACIONAL DE FOMENTOCDA</v>
      </c>
      <c r="B20" s="865" t="s">
        <v>1515</v>
      </c>
      <c r="C20" s="1086" t="s">
        <v>58</v>
      </c>
      <c r="D20" s="876">
        <f>+SUMIF(Notas!$A$400:$A$490,A20,Notas!$H$400:$H$490)</f>
        <v>1194396929.6407199</v>
      </c>
      <c r="E20" s="1080">
        <f t="shared" si="9"/>
        <v>1.0451998988624103E-2</v>
      </c>
      <c r="F20" s="1272">
        <f>+SUMIF(Notas!$A$400:$A$490,A20,Notas!$I$400:$I$490)</f>
        <v>0</v>
      </c>
    </row>
    <row r="21" spans="1:9" ht="15.6">
      <c r="A21" s="1418" t="str">
        <f t="shared" ref="A21:A25" si="10">+CONCATENATE(B21,C21)</f>
        <v>FINANCIERA FIC S.A.E.C.A.CDA</v>
      </c>
      <c r="B21" s="865" t="s">
        <v>1548</v>
      </c>
      <c r="C21" s="1086" t="s">
        <v>58</v>
      </c>
      <c r="D21" s="876">
        <f>+SUMIF(Notas!$A$400:$A$490,A21,Notas!$H$400:$H$490)</f>
        <v>906107982.37998736</v>
      </c>
      <c r="E21" s="1080">
        <f t="shared" si="1"/>
        <v>7.9292230919152367E-3</v>
      </c>
      <c r="F21" s="1272">
        <f>+SUMIF(Notas!$A$400:$A$490,A21,Notas!$I$400:$I$490)</f>
        <v>0</v>
      </c>
    </row>
    <row r="22" spans="1:9" ht="15.6">
      <c r="A22" s="1425" t="str">
        <f t="shared" si="10"/>
        <v>FINANCIERA PARAGUAYO JAPONESACDA</v>
      </c>
      <c r="B22" s="865" t="s">
        <v>1530</v>
      </c>
      <c r="C22" s="1086" t="s">
        <v>58</v>
      </c>
      <c r="D22" s="876">
        <f>+SUMIF(Notas!$A$400:$A$490,A22,Notas!$H$400:$H$490)</f>
        <v>612826314.32544982</v>
      </c>
      <c r="E22" s="1080">
        <f t="shared" si="1"/>
        <v>5.3627566000680948E-3</v>
      </c>
      <c r="F22" s="876">
        <f>+SUMIF(Notas!$A$400:$A$490,A22,Notas!$I$400:$I$490)</f>
        <v>0</v>
      </c>
    </row>
    <row r="23" spans="1:9" ht="15.6">
      <c r="A23" s="1425" t="str">
        <f t="shared" si="10"/>
        <v>SOLAR BANCOCDA</v>
      </c>
      <c r="B23" s="865" t="s">
        <v>1689</v>
      </c>
      <c r="C23" s="1086" t="s">
        <v>58</v>
      </c>
      <c r="D23" s="876">
        <f>+SUMIF(Notas!$A$400:$A$490,A23,Notas!$H$400:$H$490)</f>
        <v>3854508657.5342464</v>
      </c>
      <c r="E23" s="1080">
        <f t="shared" si="1"/>
        <v>3.3730261348134415E-2</v>
      </c>
      <c r="F23" s="876">
        <f>+SUMIF(Notas!$A$400:$A$490,A23,Notas!$I$400:$I$490)</f>
        <v>-29326.247198099401</v>
      </c>
    </row>
    <row r="24" spans="1:9" ht="15.6">
      <c r="A24" s="1425" t="str">
        <f t="shared" si="10"/>
        <v>TU FINANCIERA CDA</v>
      </c>
      <c r="B24" s="865" t="s">
        <v>2650</v>
      </c>
      <c r="C24" s="1086" t="s">
        <v>58</v>
      </c>
      <c r="D24" s="876">
        <f>+SUMIF(Notas!$A$400:$A$490,A24,Notas!$H$400:$H$490)</f>
        <v>2145281874.9387951</v>
      </c>
      <c r="E24" s="1080">
        <f t="shared" si="1"/>
        <v>1.8773058964509138E-2</v>
      </c>
      <c r="F24" s="876">
        <f>+SUMIF(Notas!$A$400:$A$490,A24,Notas!$I$400:$I$490)</f>
        <v>-3106.7541969061199</v>
      </c>
    </row>
    <row r="25" spans="1:9" ht="15.6">
      <c r="A25" s="1425" t="str">
        <f t="shared" si="10"/>
        <v>ZETA BANCO S.A.E.C.ACDA</v>
      </c>
      <c r="B25" s="865" t="s">
        <v>2601</v>
      </c>
      <c r="C25" s="1086" t="s">
        <v>58</v>
      </c>
      <c r="D25" s="876">
        <f>+SUMIF(Notas!$A$400:$A$490,A25,Notas!$H$400:$H$490)</f>
        <v>1771540934.7844634</v>
      </c>
      <c r="E25" s="1080">
        <f t="shared" si="1"/>
        <v>1.5502504736212903E-2</v>
      </c>
      <c r="F25" s="876">
        <f>+SUMIF(Notas!$A$400:$A$490,A25,Notas!$I$400:$I$490)</f>
        <v>0</v>
      </c>
      <c r="G25" s="1425"/>
      <c r="H25" s="1425"/>
      <c r="I25" s="1425"/>
    </row>
    <row r="26" spans="1:9" ht="15.6">
      <c r="A26" s="1425" t="str">
        <f t="shared" ref="A26" si="11">+CONCATENATE(B26,C26)</f>
        <v>RADICE S.A.E.C.A.Bonos Corporativos</v>
      </c>
      <c r="B26" s="865" t="s">
        <v>1637</v>
      </c>
      <c r="C26" s="1086" t="s">
        <v>62</v>
      </c>
      <c r="D26" s="876">
        <f>+SUMIF(Notas!$A$493:$A$501,A26,Notas!$H$493:$H$503)</f>
        <v>10416144584.413801</v>
      </c>
      <c r="E26" s="1080">
        <f t="shared" ref="E26" si="12">+D26/$H$1</f>
        <v>9.1150211424609023E-2</v>
      </c>
      <c r="F26" s="876">
        <f>+SUMIF(Notas!$A$400:$A$490,A26,Notas!$I$400:$I$490)</f>
        <v>0</v>
      </c>
      <c r="G26" s="1425"/>
      <c r="H26" s="1425"/>
      <c r="I26" s="1425"/>
    </row>
    <row r="27" spans="1:9" ht="15.6">
      <c r="A27" s="1425"/>
      <c r="B27" s="1389"/>
      <c r="C27" s="1086"/>
      <c r="D27" s="876">
        <f>+SUMIF(Notas!$A$400:$A$490,A27,Notas!$H$400:$H$490)</f>
        <v>0</v>
      </c>
      <c r="E27" s="1080">
        <f t="shared" si="1"/>
        <v>0</v>
      </c>
      <c r="F27" s="1272"/>
      <c r="G27" s="1426">
        <f>+SUM(D6:D27)</f>
        <v>63490379332.712448</v>
      </c>
      <c r="H27" s="1427">
        <f>+SUM(Notas!H400:H490)</f>
        <v>49546215970.833374</v>
      </c>
      <c r="I27" s="1427">
        <f>+G27-H27</f>
        <v>13944163361.879074</v>
      </c>
    </row>
    <row r="28" spans="1:9" ht="15.6">
      <c r="A28" s="1425" t="str">
        <f t="shared" ref="A28" si="13">+CONCATENATE(B28,C28)</f>
        <v/>
      </c>
      <c r="B28" s="1083"/>
      <c r="C28" s="866"/>
      <c r="D28" s="1084"/>
      <c r="E28" s="864"/>
      <c r="F28" s="1275"/>
      <c r="G28" s="1425"/>
      <c r="H28" s="1425"/>
      <c r="I28" s="1425" t="s">
        <v>3070</v>
      </c>
    </row>
    <row r="29" spans="1:9" ht="15.6">
      <c r="A29" s="1425"/>
      <c r="B29" s="867" t="s">
        <v>1803</v>
      </c>
      <c r="C29" s="868"/>
      <c r="D29" s="876"/>
      <c r="E29" s="864"/>
      <c r="F29" s="1272"/>
      <c r="G29" s="1425"/>
      <c r="H29" s="1425"/>
      <c r="I29" s="1425"/>
    </row>
    <row r="30" spans="1:9" ht="15.6">
      <c r="A30" s="1425" t="str">
        <f>+CONCATENATE(B30,C30)</f>
        <v>BANCO ATLAS S.A.CDA</v>
      </c>
      <c r="B30" s="865" t="s">
        <v>1688</v>
      </c>
      <c r="C30" s="866" t="s">
        <v>58</v>
      </c>
      <c r="D30" s="876">
        <f>+SUMIF(Notas!$A$515:$A$589,A30,Notas!$H$515:$H$589)</f>
        <v>714999999.94520545</v>
      </c>
      <c r="E30" s="1080">
        <f t="shared" ref="E30:E39" si="14">+D30/$H$1</f>
        <v>6.2568641050856416E-3</v>
      </c>
      <c r="F30" s="876">
        <f>+SUMIF(Notas!$A$516:$A$589,A30,Notas!$I$516:$I$589)</f>
        <v>0</v>
      </c>
    </row>
    <row r="31" spans="1:9" ht="15.6">
      <c r="A31" s="1425" t="str">
        <f t="shared" ref="A31:A39" si="15">+CONCATENATE(B31,C31)</f>
        <v>BANCO CONTINENTAL S.A.E.C.ACDA</v>
      </c>
      <c r="B31" s="865" t="s">
        <v>1821</v>
      </c>
      <c r="C31" s="866" t="s">
        <v>58</v>
      </c>
      <c r="D31" s="876">
        <f>+SUMIF(Notas!$A$515:$A$589,A31,Notas!$H$515:$H$589)</f>
        <v>2217829768.9937267</v>
      </c>
      <c r="E31" s="1080">
        <f>+D31/$H$1</f>
        <v>1.9407915348070879E-2</v>
      </c>
      <c r="F31" s="876">
        <f>+SUMIF(Notas!$A$516:$A$589,A31,Notas!$I$516:$I$589)</f>
        <v>0</v>
      </c>
    </row>
    <row r="32" spans="1:9" ht="15.6">
      <c r="A32" s="858" t="str">
        <f t="shared" si="15"/>
        <v>BANCO GNB PARAGUAY S.A.CDA</v>
      </c>
      <c r="B32" s="865" t="s">
        <v>1519</v>
      </c>
      <c r="C32" s="866" t="s">
        <v>58</v>
      </c>
      <c r="D32" s="876">
        <f>+SUMIF(Notas!$A$515:$A$589,A32,Notas!$H$515:$H$589)</f>
        <v>8388371708.7821045</v>
      </c>
      <c r="E32" s="1080">
        <f>+D32/$H$1</f>
        <v>7.3405457131212423E-2</v>
      </c>
      <c r="F32" s="876">
        <f>+SUMIF(Notas!$A$516:$A$589,A32,Notas!$I$516:$I$589)</f>
        <v>0</v>
      </c>
    </row>
    <row r="33" spans="1:6" ht="15.6">
      <c r="A33" s="1425" t="str">
        <f t="shared" si="15"/>
        <v>BANCO ITAÚ PARAGUAY S.A.CDA - Vinculadas</v>
      </c>
      <c r="B33" s="865" t="s">
        <v>1600</v>
      </c>
      <c r="C33" s="866" t="s">
        <v>2973</v>
      </c>
      <c r="D33" s="876">
        <f>+SUMIF(Notas!$A$515:$A$589,A33,Notas!$H$515:$H$589)</f>
        <v>1001239452.0547948</v>
      </c>
      <c r="E33" s="1080">
        <f t="shared" si="14"/>
        <v>8.7617051589333646E-3</v>
      </c>
      <c r="F33" s="876">
        <f>+SUMIF(Notas!$A$516:$A$589,A33,Notas!$I$516:$I$589)</f>
        <v>-20043236.388392199</v>
      </c>
    </row>
    <row r="34" spans="1:6" ht="15.6">
      <c r="A34" s="858" t="str">
        <f t="shared" si="15"/>
        <v>BANCO NACIONAL DE FOMENTOCDA</v>
      </c>
      <c r="B34" s="865" t="s">
        <v>1515</v>
      </c>
      <c r="C34" s="866" t="s">
        <v>58</v>
      </c>
      <c r="D34" s="876">
        <f>+SUMIF(Notas!$A$515:$A$589,A34,Notas!$H$515:$H$589)</f>
        <v>17728435460.279251</v>
      </c>
      <c r="E34" s="1080">
        <f>+D34/$H$1</f>
        <v>0.15513903703391535</v>
      </c>
      <c r="F34" s="876">
        <f>+SUMIF(Notas!$A$516:$A$589,A34,Notas!$I$516:$I$589)</f>
        <v>0</v>
      </c>
    </row>
    <row r="35" spans="1:6" ht="15.6">
      <c r="A35" s="858" t="str">
        <f t="shared" si="15"/>
        <v>SUDAMERIS BANK SAECACDA</v>
      </c>
      <c r="B35" s="865" t="s">
        <v>1621</v>
      </c>
      <c r="C35" s="866" t="s">
        <v>58</v>
      </c>
      <c r="D35" s="876">
        <f>+SUMIF(Notas!$A$515:$A$589,A35,Notas!$H$515:$H$589)</f>
        <v>2540097018.5620227</v>
      </c>
      <c r="E35" s="1080">
        <f>+D35/$H$1</f>
        <v>2.2228030573557697E-2</v>
      </c>
      <c r="F35" s="876">
        <f>+SUMIF(Notas!$A$516:$A$589,A35,Notas!$I$516:$I$589)</f>
        <v>-2634638.5914545199</v>
      </c>
    </row>
    <row r="36" spans="1:6" ht="15.6">
      <c r="A36" s="858" t="str">
        <f t="shared" si="15"/>
        <v>BANCO CENTRAL DEL PARAGUAYLETRAS DE REGULACIÓN MONETARIA</v>
      </c>
      <c r="B36" s="235" t="s">
        <v>1504</v>
      </c>
      <c r="C36" s="866" t="s">
        <v>1668</v>
      </c>
      <c r="D36" s="876">
        <f>+SUMIF(Notas!$A$515:$A$589,A36,Notas!$H$515:$H$589)</f>
        <v>800000000</v>
      </c>
      <c r="E36" s="1080">
        <f>+D36/$H$1</f>
        <v>7.0006871111218368E-3</v>
      </c>
      <c r="F36" s="876">
        <f>+SUMIF(Notas!$A$516:$A$589,A36,Notas!$I$516:$I$589)</f>
        <v>-19400611.897628698</v>
      </c>
    </row>
    <row r="37" spans="1:6" ht="15.6">
      <c r="A37" s="858" t="str">
        <f t="shared" ref="A37" si="16">+CONCATENATE(B37,C37)</f>
        <v>MINISTERIO DE ECONOMIA Y FINANZASBonos Públicos</v>
      </c>
      <c r="B37" s="865" t="s">
        <v>2741</v>
      </c>
      <c r="C37" s="866" t="s">
        <v>525</v>
      </c>
      <c r="D37" s="876">
        <f>+SUMIF(Notas!$A$515:$A$589,A37,Notas!$H$515:$H$589)</f>
        <v>2749597331.9241972</v>
      </c>
      <c r="E37" s="1080">
        <f>+D37/$H$1</f>
        <v>2.4061338252970896E-2</v>
      </c>
      <c r="F37" s="876">
        <f>+SUMIF(Notas!$A$516:$A$589,A37,Notas!$I$516:$I$589)</f>
        <v>0</v>
      </c>
    </row>
    <row r="38" spans="1:6" ht="15.6">
      <c r="A38" s="858" t="str">
        <f t="shared" si="15"/>
        <v>TELECEL S.A.E.Bonos Corporativos</v>
      </c>
      <c r="B38" s="865" t="s">
        <v>1616</v>
      </c>
      <c r="C38" s="866" t="s">
        <v>62</v>
      </c>
      <c r="D38" s="876">
        <f>+SUMIF(Notas!$A$515:$A$589,A38,Notas!$H$515:$H$589)</f>
        <v>1504487671.232877</v>
      </c>
      <c r="E38" s="1080">
        <f>+D38/$H$1</f>
        <v>1.3165559311052136E-2</v>
      </c>
      <c r="F38" s="876">
        <f>+SUMIF(Notas!$A$516:$A$589,A38,Notas!$I$516:$I$589)</f>
        <v>0</v>
      </c>
    </row>
    <row r="39" spans="1:6" ht="15.6">
      <c r="A39" s="858" t="str">
        <f t="shared" si="15"/>
        <v>BANCO ITAÚ PARAGUAY S.A.Bonos Financieros- Vinculadas</v>
      </c>
      <c r="B39" s="1387" t="s">
        <v>1600</v>
      </c>
      <c r="C39" s="1388" t="s">
        <v>1802</v>
      </c>
      <c r="D39" s="876">
        <f>+SUMIF(Notas!$A$515:$A$589,A39,Notas!$H$515:$H$589)</f>
        <v>357691678</v>
      </c>
      <c r="E39" s="1080">
        <f t="shared" si="14"/>
        <v>3.1301093999126779E-3</v>
      </c>
      <c r="F39" s="876">
        <f>+SUMIF(Notas!$A$516:$A$589,A39,Notas!$I$516:$I$589)</f>
        <v>-20691170</v>
      </c>
    </row>
    <row r="40" spans="1:6" ht="15.6">
      <c r="C40" s="954" t="s">
        <v>1829</v>
      </c>
      <c r="D40" s="955">
        <f>SUM(D29:D39)</f>
        <v>38002750089.774185</v>
      </c>
    </row>
    <row r="41" spans="1:6" ht="15.6">
      <c r="C41" s="954" t="s">
        <v>1830</v>
      </c>
      <c r="D41" s="956">
        <f>+SUM(Notas!H515:H589)</f>
        <v>38002750089.774178</v>
      </c>
    </row>
    <row r="42" spans="1:6" ht="15.6">
      <c r="A42" s="1425"/>
      <c r="C42" s="957" t="s">
        <v>1831</v>
      </c>
      <c r="D42" s="958">
        <f>+D40-D41</f>
        <v>0</v>
      </c>
    </row>
    <row r="43" spans="1:6">
      <c r="A43" s="1425"/>
      <c r="D43" s="823"/>
    </row>
    <row r="44" spans="1:6">
      <c r="D44" s="788"/>
      <c r="F44" s="788"/>
    </row>
    <row r="45" spans="1:6">
      <c r="D45" s="788"/>
      <c r="F45" s="788"/>
    </row>
    <row r="50" spans="3:6">
      <c r="C50" s="869"/>
      <c r="D50" s="870"/>
      <c r="F50" s="870"/>
    </row>
    <row r="51" spans="3:6">
      <c r="C51" s="869"/>
      <c r="D51" s="870"/>
      <c r="F51" s="870"/>
    </row>
    <row r="52" spans="3:6" ht="15.6">
      <c r="C52" s="871"/>
      <c r="D52" s="870"/>
      <c r="F52" s="870"/>
    </row>
  </sheetData>
  <sheetProtection algorithmName="SHA-512" hashValue="AEeClIQMrOcJT7alPhM0m5oNo9hfLl6qEvlfZby2GqQw51hGhoUbefXPtSTtm79aX2uklUr16QjZrxZ5McxKIw==" saltValue="1u02WwvpgPFv91Ni8BV8/A==" spinCount="100000" sheet="1" objects="1" scenarios="1"/>
  <autoFilter ref="B1:E43" xr:uid="{37F60E76-972F-4A71-8B37-DAD70E2B7F18}"/>
  <conditionalFormatting sqref="A34:A39">
    <cfRule type="duplicateValues" dxfId="8" priority="98"/>
  </conditionalFormatting>
  <conditionalFormatting sqref="E1:E1048576">
    <cfRule type="cellIs" dxfId="7" priority="8" operator="greaterThan">
      <formula>0.1</formula>
    </cfRule>
    <cfRule type="aboveAverage" priority="9" equalAverage="1"/>
  </conditionalFormatting>
  <conditionalFormatting sqref="F40:F43">
    <cfRule type="cellIs" dxfId="6" priority="1" operator="greaterThan">
      <formula>0.1</formula>
    </cfRule>
    <cfRule type="aboveAverage" priority="2" equalAverage="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A677D-2F36-4818-A15E-2F6CCE272B72}">
  <sheetPr codeName="Hoja19">
    <tabColor rgb="FF92D050"/>
  </sheetPr>
  <dimension ref="B5:R103"/>
  <sheetViews>
    <sheetView showGridLines="0" zoomScale="80" zoomScaleNormal="80" workbookViewId="0">
      <selection activeCell="D11" sqref="D11"/>
    </sheetView>
  </sheetViews>
  <sheetFormatPr baseColWidth="10" defaultColWidth="11.44140625" defaultRowHeight="12.75" customHeight="1"/>
  <cols>
    <col min="1" max="1" width="2.109375" style="996" customWidth="1"/>
    <col min="2" max="2" width="32.44140625" style="996" customWidth="1"/>
    <col min="3" max="3" width="9.44140625" style="996" bestFit="1" customWidth="1"/>
    <col min="4" max="4" width="15.109375" style="996" bestFit="1" customWidth="1"/>
    <col min="5" max="5" width="13.88671875" style="996" customWidth="1"/>
    <col min="6" max="6" width="11.6640625" style="996" bestFit="1" customWidth="1"/>
    <col min="7" max="7" width="19.88671875" style="996" bestFit="1" customWidth="1"/>
    <col min="8" max="8" width="20.88671875" style="996" customWidth="1"/>
    <col min="9" max="9" width="18.5546875" style="996" bestFit="1" customWidth="1"/>
    <col min="10" max="10" width="19.109375" style="996" bestFit="1" customWidth="1"/>
    <col min="11" max="11" width="16.6640625" style="996" customWidth="1"/>
    <col min="12" max="12" width="19.44140625" style="996" bestFit="1" customWidth="1"/>
    <col min="13" max="13" width="11.6640625" style="996" bestFit="1" customWidth="1"/>
    <col min="14" max="17" width="18.6640625" style="996" customWidth="1"/>
    <col min="18" max="16384" width="11.44140625" style="996"/>
  </cols>
  <sheetData>
    <row r="5" spans="2:17" ht="16.2" customHeight="1">
      <c r="B5" s="1576" t="s">
        <v>1727</v>
      </c>
      <c r="C5" s="1576"/>
      <c r="D5" s="1576"/>
      <c r="E5" s="1576"/>
      <c r="F5" s="1576"/>
      <c r="G5" s="1576"/>
      <c r="H5" s="1576"/>
      <c r="I5" s="1576"/>
      <c r="J5" s="1576"/>
      <c r="K5" s="1576"/>
      <c r="L5" s="1576"/>
      <c r="M5" s="1576"/>
      <c r="N5" s="1576"/>
      <c r="O5" s="995"/>
      <c r="P5" s="995"/>
      <c r="Q5" s="995"/>
    </row>
    <row r="6" spans="2:17" ht="16.2" thickBot="1">
      <c r="B6" s="1577" t="s">
        <v>2872</v>
      </c>
      <c r="C6" s="1577"/>
      <c r="D6" s="1577"/>
      <c r="E6" s="1577"/>
      <c r="F6" s="1577"/>
      <c r="G6" s="1577"/>
      <c r="H6" s="1577"/>
      <c r="I6" s="1577"/>
      <c r="J6" s="1577"/>
      <c r="K6" s="1577"/>
      <c r="L6" s="1577"/>
      <c r="M6" s="1577"/>
      <c r="N6" s="1577"/>
      <c r="O6" s="1025"/>
      <c r="P6" s="1025"/>
      <c r="Q6" s="1025"/>
    </row>
    <row r="7" spans="2:17" ht="14.4" thickTop="1" thickBot="1">
      <c r="B7" s="997"/>
      <c r="C7" s="997"/>
      <c r="D7" s="997"/>
      <c r="E7" s="997"/>
      <c r="F7" s="997"/>
      <c r="G7" s="998"/>
      <c r="H7" s="999"/>
      <c r="I7" s="999"/>
      <c r="J7" s="999"/>
      <c r="K7" s="999"/>
      <c r="L7" s="999"/>
      <c r="M7" s="999"/>
      <c r="N7" s="999"/>
      <c r="O7" s="999"/>
      <c r="P7" s="999"/>
      <c r="Q7" s="999"/>
    </row>
    <row r="8" spans="2:17" ht="33.75" customHeight="1" thickBot="1">
      <c r="B8" s="1000" t="s">
        <v>1488</v>
      </c>
      <c r="C8" s="1000" t="s">
        <v>631</v>
      </c>
      <c r="D8" s="1000" t="s">
        <v>1489</v>
      </c>
      <c r="E8" s="1000" t="s">
        <v>1490</v>
      </c>
      <c r="F8" s="1000" t="s">
        <v>1491</v>
      </c>
      <c r="G8" s="1000" t="s">
        <v>1492</v>
      </c>
      <c r="H8" s="1000" t="s">
        <v>1493</v>
      </c>
      <c r="I8" s="1000" t="s">
        <v>1494</v>
      </c>
      <c r="J8" s="1000" t="s">
        <v>1495</v>
      </c>
      <c r="K8" s="1000" t="s">
        <v>1496</v>
      </c>
      <c r="L8" s="1000" t="s">
        <v>1497</v>
      </c>
      <c r="M8" s="1001" t="s">
        <v>1664</v>
      </c>
      <c r="N8" s="1000" t="s">
        <v>1499</v>
      </c>
      <c r="O8" s="1026" t="s">
        <v>1665</v>
      </c>
      <c r="P8" s="1026" t="s">
        <v>1666</v>
      </c>
      <c r="Q8" s="1026" t="s">
        <v>1667</v>
      </c>
    </row>
    <row r="9" spans="2:17" ht="7.2" customHeight="1">
      <c r="B9" s="999"/>
      <c r="C9" s="1002"/>
      <c r="D9" s="850"/>
      <c r="E9" s="1003"/>
      <c r="F9" s="997"/>
      <c r="G9" s="1018"/>
      <c r="H9" s="1018"/>
      <c r="I9" s="1018"/>
      <c r="J9" s="1018"/>
      <c r="K9" s="1018"/>
      <c r="L9" s="1018"/>
      <c r="M9" s="1018"/>
      <c r="N9" s="1018"/>
      <c r="O9" s="1018"/>
      <c r="P9" s="1018"/>
      <c r="Q9" s="1018"/>
    </row>
    <row r="10" spans="2:17" ht="12.75" customHeight="1" thickBot="1">
      <c r="B10" s="1004" t="s">
        <v>1671</v>
      </c>
      <c r="C10" s="1005"/>
      <c r="D10" s="53"/>
      <c r="E10" s="1005"/>
      <c r="F10" s="1005"/>
      <c r="G10" s="53"/>
      <c r="H10" s="53"/>
      <c r="I10" s="53"/>
      <c r="J10" s="53"/>
      <c r="K10" s="53"/>
      <c r="L10" s="53"/>
      <c r="M10" s="427"/>
      <c r="N10" s="53"/>
      <c r="O10" s="53"/>
      <c r="P10" s="53"/>
      <c r="Q10" s="53"/>
    </row>
    <row r="11" spans="2:17" ht="12.75" customHeight="1">
      <c r="B11" s="77" t="s">
        <v>1611</v>
      </c>
      <c r="C11" s="75" t="s">
        <v>1505</v>
      </c>
      <c r="D11" s="54" t="s">
        <v>1672</v>
      </c>
      <c r="E11" s="69">
        <v>46798</v>
      </c>
      <c r="F11" s="127">
        <v>8.2500000000000004E-2</v>
      </c>
      <c r="G11" s="54">
        <v>68000000</v>
      </c>
      <c r="H11" s="426">
        <v>19635000</v>
      </c>
      <c r="I11" s="54">
        <v>-17521860.8957044</v>
      </c>
      <c r="J11" s="54">
        <v>0</v>
      </c>
      <c r="K11" s="852">
        <v>1202630.81990158</v>
      </c>
      <c r="L11" s="54">
        <f t="shared" ref="L11:L12" si="0">+G11+H11+I11+J11+K11</f>
        <v>71315769.924197182</v>
      </c>
      <c r="M11" s="428"/>
      <c r="N11" s="54">
        <f t="shared" ref="N11:N12" si="1">+L11</f>
        <v>71315769.924197182</v>
      </c>
      <c r="O11" s="54">
        <f>+N11-J11</f>
        <v>71315769.924197182</v>
      </c>
      <c r="P11" s="54">
        <f>+J11</f>
        <v>0</v>
      </c>
      <c r="Q11" s="54">
        <f>+O11+P11</f>
        <v>71315769.924197182</v>
      </c>
    </row>
    <row r="12" spans="2:17" ht="12.75" customHeight="1">
      <c r="B12" s="77" t="s">
        <v>1611</v>
      </c>
      <c r="C12" s="75" t="s">
        <v>1505</v>
      </c>
      <c r="D12" s="54" t="s">
        <v>1728</v>
      </c>
      <c r="E12" s="69">
        <v>47529</v>
      </c>
      <c r="F12" s="127">
        <v>9.0300000000000005E-2</v>
      </c>
      <c r="G12" s="852">
        <v>2433000000</v>
      </c>
      <c r="H12" s="852">
        <v>1208349450</v>
      </c>
      <c r="I12" s="54">
        <v>-1125829856</v>
      </c>
      <c r="J12" s="852">
        <v>0</v>
      </c>
      <c r="K12" s="852">
        <v>162761968</v>
      </c>
      <c r="L12" s="54">
        <f t="shared" si="0"/>
        <v>2678281562</v>
      </c>
      <c r="M12" s="428"/>
      <c r="N12" s="54">
        <f t="shared" si="1"/>
        <v>2678281562</v>
      </c>
      <c r="O12" s="54">
        <f>+N12-J12</f>
        <v>2678281562</v>
      </c>
      <c r="P12" s="54">
        <f>+J12</f>
        <v>0</v>
      </c>
      <c r="Q12" s="54">
        <f>+O12+P12</f>
        <v>2678281562</v>
      </c>
    </row>
    <row r="13" spans="2:17" ht="12.75" customHeight="1" thickBot="1">
      <c r="B13" s="999"/>
      <c r="C13" s="1002"/>
      <c r="D13" s="850"/>
      <c r="E13" s="1003"/>
      <c r="F13" s="1009" t="s">
        <v>1509</v>
      </c>
      <c r="G13" s="429">
        <f t="shared" ref="G13:Q13" si="2">+SUM(G11:G12)</f>
        <v>2501000000</v>
      </c>
      <c r="H13" s="429">
        <f t="shared" si="2"/>
        <v>1227984450</v>
      </c>
      <c r="I13" s="429">
        <f t="shared" si="2"/>
        <v>-1143351716.8957045</v>
      </c>
      <c r="J13" s="429">
        <f t="shared" si="2"/>
        <v>0</v>
      </c>
      <c r="K13" s="429">
        <f t="shared" si="2"/>
        <v>163964598.81990159</v>
      </c>
      <c r="L13" s="429">
        <f t="shared" si="2"/>
        <v>2749597331.9241972</v>
      </c>
      <c r="M13" s="429">
        <f t="shared" si="2"/>
        <v>0</v>
      </c>
      <c r="N13" s="429">
        <f t="shared" si="2"/>
        <v>2749597331.9241972</v>
      </c>
      <c r="O13" s="429">
        <f t="shared" si="2"/>
        <v>2749597331.9241972</v>
      </c>
      <c r="P13" s="429">
        <f t="shared" si="2"/>
        <v>0</v>
      </c>
      <c r="Q13" s="429">
        <f t="shared" si="2"/>
        <v>2749597331.9241972</v>
      </c>
    </row>
    <row r="14" spans="2:17" ht="7.2" customHeight="1" thickTop="1">
      <c r="B14" s="999"/>
      <c r="C14" s="1002"/>
      <c r="D14" s="850"/>
      <c r="E14" s="1003"/>
      <c r="F14" s="997"/>
      <c r="G14" s="1018"/>
      <c r="H14" s="1018"/>
      <c r="I14" s="1018"/>
      <c r="J14" s="1018"/>
      <c r="K14" s="1018"/>
      <c r="L14" s="1018"/>
      <c r="M14" s="1018"/>
      <c r="N14" s="1018"/>
      <c r="O14" s="1018"/>
      <c r="P14" s="1018"/>
      <c r="Q14" s="1018"/>
    </row>
    <row r="15" spans="2:17" ht="12.75" customHeight="1" thickBot="1">
      <c r="B15" s="80" t="s">
        <v>1668</v>
      </c>
      <c r="C15" s="1005"/>
      <c r="D15" s="53"/>
      <c r="E15" s="1005"/>
      <c r="F15" s="1005"/>
      <c r="G15" s="53"/>
      <c r="H15" s="53"/>
      <c r="I15" s="53"/>
      <c r="J15" s="53"/>
      <c r="K15" s="53"/>
      <c r="L15" s="53"/>
      <c r="M15" s="427"/>
      <c r="N15" s="53"/>
      <c r="O15" s="53"/>
      <c r="P15" s="53"/>
      <c r="Q15" s="53"/>
    </row>
    <row r="16" spans="2:17" ht="12.75" customHeight="1">
      <c r="B16" s="77" t="s">
        <v>1504</v>
      </c>
      <c r="C16" s="75" t="s">
        <v>1505</v>
      </c>
      <c r="D16" s="54" t="s">
        <v>1669</v>
      </c>
      <c r="E16" s="69">
        <v>45807</v>
      </c>
      <c r="F16" s="127">
        <v>6.2700000000000006E-2</v>
      </c>
      <c r="G16" s="54">
        <v>800000000</v>
      </c>
      <c r="H16" s="426">
        <v>0</v>
      </c>
      <c r="I16" s="54">
        <v>0</v>
      </c>
      <c r="J16" s="54">
        <v>-19400612.897628698</v>
      </c>
      <c r="K16" s="852">
        <v>0</v>
      </c>
      <c r="L16" s="54">
        <f t="shared" ref="L16" si="3">+G16+H16+I16+J16+K16</f>
        <v>780599387.10237134</v>
      </c>
      <c r="M16" s="428"/>
      <c r="N16" s="54">
        <f t="shared" ref="N16" si="4">+L16</f>
        <v>780599387.10237134</v>
      </c>
      <c r="O16" s="54">
        <f>+N16-J16</f>
        <v>800000000</v>
      </c>
      <c r="P16" s="54">
        <f>+J16+1</f>
        <v>-19400611.897628698</v>
      </c>
      <c r="Q16" s="54">
        <f>+O16+P16</f>
        <v>780599388.10237134</v>
      </c>
    </row>
    <row r="17" spans="2:17" customFormat="1" ht="12.75" customHeight="1" thickBot="1">
      <c r="B17" s="87"/>
      <c r="C17" s="68"/>
      <c r="D17" s="850"/>
      <c r="E17" s="64"/>
      <c r="F17" s="72" t="s">
        <v>1509</v>
      </c>
      <c r="G17" s="429">
        <f>+SUM(G16)</f>
        <v>800000000</v>
      </c>
      <c r="H17" s="429">
        <f t="shared" ref="H17:Q17" si="5">+SUM(H16)</f>
        <v>0</v>
      </c>
      <c r="I17" s="429">
        <f t="shared" si="5"/>
        <v>0</v>
      </c>
      <c r="J17" s="429">
        <f t="shared" si="5"/>
        <v>-19400612.897628698</v>
      </c>
      <c r="K17" s="429">
        <f t="shared" si="5"/>
        <v>0</v>
      </c>
      <c r="L17" s="429">
        <f t="shared" si="5"/>
        <v>780599387.10237134</v>
      </c>
      <c r="M17" s="429">
        <f t="shared" si="5"/>
        <v>0</v>
      </c>
      <c r="N17" s="429">
        <f t="shared" si="5"/>
        <v>780599387.10237134</v>
      </c>
      <c r="O17" s="429">
        <f t="shared" si="5"/>
        <v>800000000</v>
      </c>
      <c r="P17" s="429">
        <f t="shared" si="5"/>
        <v>-19400611.897628698</v>
      </c>
      <c r="Q17" s="429">
        <f t="shared" si="5"/>
        <v>780599388.10237134</v>
      </c>
    </row>
    <row r="18" spans="2:17" ht="12.75" customHeight="1" thickTop="1"/>
    <row r="19" spans="2:17" ht="12.75" customHeight="1" thickBot="1">
      <c r="B19" s="1004" t="s">
        <v>1673</v>
      </c>
      <c r="C19" s="1005"/>
      <c r="D19" s="53"/>
      <c r="E19" s="1005"/>
      <c r="F19" s="1005"/>
      <c r="G19" s="53"/>
      <c r="H19" s="53"/>
      <c r="I19" s="53"/>
      <c r="J19" s="53"/>
      <c r="K19" s="53"/>
      <c r="L19" s="53"/>
      <c r="M19" s="427"/>
      <c r="N19" s="53"/>
      <c r="O19" s="53"/>
      <c r="P19" s="53"/>
      <c r="Q19" s="53"/>
    </row>
    <row r="20" spans="2:17" ht="12.75" customHeight="1">
      <c r="B20" s="1006" t="s">
        <v>1515</v>
      </c>
      <c r="C20" s="1007" t="s">
        <v>1505</v>
      </c>
      <c r="D20" s="54" t="s">
        <v>2745</v>
      </c>
      <c r="E20" s="1008">
        <v>46776</v>
      </c>
      <c r="F20" s="127">
        <v>7.4999999999999997E-2</v>
      </c>
      <c r="G20" s="426">
        <v>100000000</v>
      </c>
      <c r="H20" s="426">
        <v>28130136.98630137</v>
      </c>
      <c r="I20" s="426">
        <v>-22993150.684931498</v>
      </c>
      <c r="J20" s="54">
        <v>0</v>
      </c>
      <c r="K20" s="54">
        <v>0</v>
      </c>
      <c r="L20" s="54">
        <f t="shared" ref="L20" si="6">+G20+H20+I20+J20+K20</f>
        <v>105136986.30136986</v>
      </c>
      <c r="M20" s="428"/>
      <c r="N20" s="54">
        <f t="shared" ref="N20" si="7">+L20</f>
        <v>105136986.30136986</v>
      </c>
      <c r="O20" s="54">
        <f t="shared" ref="O20:O83" si="8">+N20-J20</f>
        <v>105136986.30136986</v>
      </c>
      <c r="P20" s="54">
        <f t="shared" ref="P20:P83" si="9">+J20</f>
        <v>0</v>
      </c>
      <c r="Q20" s="54">
        <f t="shared" ref="Q20:Q83" si="10">+O20+P20</f>
        <v>105136986.30136986</v>
      </c>
    </row>
    <row r="21" spans="2:17" ht="12.75" customHeight="1">
      <c r="B21" s="1006" t="s">
        <v>1515</v>
      </c>
      <c r="C21" s="1007" t="s">
        <v>1505</v>
      </c>
      <c r="D21" s="54" t="s">
        <v>2746</v>
      </c>
      <c r="E21" s="1008">
        <v>46776</v>
      </c>
      <c r="F21" s="127">
        <v>7.4999999999999997E-2</v>
      </c>
      <c r="G21" s="426">
        <v>100000000</v>
      </c>
      <c r="H21" s="426">
        <v>28130136.98630137</v>
      </c>
      <c r="I21" s="426">
        <v>-22993150.684931498</v>
      </c>
      <c r="J21" s="54">
        <v>0</v>
      </c>
      <c r="K21" s="54">
        <v>0</v>
      </c>
      <c r="L21" s="54">
        <f t="shared" ref="L21:L84" si="11">+G21+H21+I21+J21+K21</f>
        <v>105136986.30136986</v>
      </c>
      <c r="M21" s="428"/>
      <c r="N21" s="54">
        <f t="shared" ref="N21:N84" si="12">+L21</f>
        <v>105136986.30136986</v>
      </c>
      <c r="O21" s="54">
        <f t="shared" si="8"/>
        <v>105136986.30136986</v>
      </c>
      <c r="P21" s="54">
        <f t="shared" si="9"/>
        <v>0</v>
      </c>
      <c r="Q21" s="54">
        <f t="shared" si="10"/>
        <v>105136986.30136986</v>
      </c>
    </row>
    <row r="22" spans="2:17" ht="12.75" customHeight="1">
      <c r="B22" s="1006" t="s">
        <v>1515</v>
      </c>
      <c r="C22" s="1007" t="s">
        <v>1505</v>
      </c>
      <c r="D22" s="54" t="s">
        <v>2747</v>
      </c>
      <c r="E22" s="1008">
        <v>46776</v>
      </c>
      <c r="F22" s="127">
        <v>7.4999999999999997E-2</v>
      </c>
      <c r="G22" s="426">
        <v>100000000</v>
      </c>
      <c r="H22" s="426">
        <v>28130136.98630137</v>
      </c>
      <c r="I22" s="426">
        <v>-22993150.684931498</v>
      </c>
      <c r="J22" s="54">
        <v>0</v>
      </c>
      <c r="K22" s="54">
        <v>0</v>
      </c>
      <c r="L22" s="54">
        <f t="shared" si="11"/>
        <v>105136986.30136986</v>
      </c>
      <c r="M22" s="428"/>
      <c r="N22" s="54">
        <f t="shared" si="12"/>
        <v>105136986.30136986</v>
      </c>
      <c r="O22" s="54">
        <f t="shared" si="8"/>
        <v>105136986.30136986</v>
      </c>
      <c r="P22" s="54">
        <f t="shared" si="9"/>
        <v>0</v>
      </c>
      <c r="Q22" s="54">
        <f t="shared" si="10"/>
        <v>105136986.30136986</v>
      </c>
    </row>
    <row r="23" spans="2:17" ht="12.75" customHeight="1">
      <c r="B23" s="1006" t="s">
        <v>1515</v>
      </c>
      <c r="C23" s="1007" t="s">
        <v>1505</v>
      </c>
      <c r="D23" s="54" t="s">
        <v>2748</v>
      </c>
      <c r="E23" s="1008">
        <v>46776</v>
      </c>
      <c r="F23" s="127">
        <v>7.4999999999999997E-2</v>
      </c>
      <c r="G23" s="426">
        <v>100000000</v>
      </c>
      <c r="H23" s="426">
        <v>28130136.98630137</v>
      </c>
      <c r="I23" s="426">
        <v>-22993150.684931498</v>
      </c>
      <c r="J23" s="54">
        <v>0</v>
      </c>
      <c r="K23" s="54">
        <v>0</v>
      </c>
      <c r="L23" s="54">
        <f t="shared" si="11"/>
        <v>105136986.30136986</v>
      </c>
      <c r="M23" s="428"/>
      <c r="N23" s="54">
        <f t="shared" si="12"/>
        <v>105136986.30136986</v>
      </c>
      <c r="O23" s="54">
        <f t="shared" si="8"/>
        <v>105136986.30136986</v>
      </c>
      <c r="P23" s="54">
        <f t="shared" si="9"/>
        <v>0</v>
      </c>
      <c r="Q23" s="54">
        <f t="shared" si="10"/>
        <v>105136986.30136986</v>
      </c>
    </row>
    <row r="24" spans="2:17" ht="12.75" customHeight="1">
      <c r="B24" s="1006" t="s">
        <v>1515</v>
      </c>
      <c r="C24" s="1007" t="s">
        <v>1505</v>
      </c>
      <c r="D24" s="54" t="s">
        <v>2749</v>
      </c>
      <c r="E24" s="1008">
        <v>46776</v>
      </c>
      <c r="F24" s="127">
        <v>7.4999999999999997E-2</v>
      </c>
      <c r="G24" s="54">
        <v>100000000</v>
      </c>
      <c r="H24" s="426">
        <v>28130136.98630137</v>
      </c>
      <c r="I24" s="426">
        <v>-22993150.684931498</v>
      </c>
      <c r="J24" s="54">
        <v>0</v>
      </c>
      <c r="K24" s="54">
        <v>0</v>
      </c>
      <c r="L24" s="54">
        <f t="shared" si="11"/>
        <v>105136986.30136986</v>
      </c>
      <c r="M24" s="428"/>
      <c r="N24" s="54">
        <f t="shared" si="12"/>
        <v>105136986.30136986</v>
      </c>
      <c r="O24" s="54">
        <f t="shared" si="8"/>
        <v>105136986.30136986</v>
      </c>
      <c r="P24" s="54">
        <f t="shared" si="9"/>
        <v>0</v>
      </c>
      <c r="Q24" s="54">
        <f t="shared" si="10"/>
        <v>105136986.30136986</v>
      </c>
    </row>
    <row r="25" spans="2:17" ht="12.75" customHeight="1">
      <c r="B25" s="1006" t="s">
        <v>1515</v>
      </c>
      <c r="C25" s="1007" t="s">
        <v>1505</v>
      </c>
      <c r="D25" s="54" t="s">
        <v>2750</v>
      </c>
      <c r="E25" s="1008">
        <v>46776</v>
      </c>
      <c r="F25" s="127">
        <v>7.4999999999999997E-2</v>
      </c>
      <c r="G25" s="54">
        <v>500000000</v>
      </c>
      <c r="H25" s="426">
        <v>140650684.93150684</v>
      </c>
      <c r="I25" s="426">
        <v>-114965753.42465764</v>
      </c>
      <c r="J25" s="54">
        <v>0</v>
      </c>
      <c r="K25" s="54">
        <v>0</v>
      </c>
      <c r="L25" s="54">
        <f t="shared" si="11"/>
        <v>525684931.50684923</v>
      </c>
      <c r="M25" s="428"/>
      <c r="N25" s="54">
        <f t="shared" si="12"/>
        <v>525684931.50684923</v>
      </c>
      <c r="O25" s="54">
        <f t="shared" si="8"/>
        <v>525684931.50684923</v>
      </c>
      <c r="P25" s="54">
        <f t="shared" si="9"/>
        <v>0</v>
      </c>
      <c r="Q25" s="54">
        <f t="shared" si="10"/>
        <v>525684931.50684923</v>
      </c>
    </row>
    <row r="26" spans="2:17" ht="12.75" customHeight="1">
      <c r="B26" s="1006" t="s">
        <v>1515</v>
      </c>
      <c r="C26" s="1007" t="s">
        <v>1505</v>
      </c>
      <c r="D26" s="54" t="s">
        <v>1730</v>
      </c>
      <c r="E26" s="1008">
        <v>46234</v>
      </c>
      <c r="F26" s="127">
        <v>8.9499999999999996E-2</v>
      </c>
      <c r="G26" s="54">
        <v>500000000</v>
      </c>
      <c r="H26" s="426">
        <v>89377397</v>
      </c>
      <c r="I26" s="426">
        <v>-70741780.821917892</v>
      </c>
      <c r="J26" s="54">
        <v>0</v>
      </c>
      <c r="K26" s="54">
        <v>8077846.7230993602</v>
      </c>
      <c r="L26" s="54">
        <f t="shared" si="11"/>
        <v>526713462.90118146</v>
      </c>
      <c r="M26" s="428"/>
      <c r="N26" s="54">
        <f t="shared" si="12"/>
        <v>526713462.90118146</v>
      </c>
      <c r="O26" s="54">
        <f t="shared" si="8"/>
        <v>526713462.90118146</v>
      </c>
      <c r="P26" s="54">
        <f t="shared" si="9"/>
        <v>0</v>
      </c>
      <c r="Q26" s="54">
        <f t="shared" si="10"/>
        <v>526713462.90118146</v>
      </c>
    </row>
    <row r="27" spans="2:17" ht="12.75" customHeight="1">
      <c r="B27" s="1006" t="s">
        <v>1515</v>
      </c>
      <c r="C27" s="1007" t="s">
        <v>1505</v>
      </c>
      <c r="D27" s="54" t="s">
        <v>1731</v>
      </c>
      <c r="E27" s="1008">
        <v>46234</v>
      </c>
      <c r="F27" s="127">
        <v>8.9499999999999996E-2</v>
      </c>
      <c r="G27" s="54">
        <v>500000000</v>
      </c>
      <c r="H27" s="426">
        <v>89377397</v>
      </c>
      <c r="I27" s="426">
        <v>-70741780.821917892</v>
      </c>
      <c r="J27" s="54">
        <v>0</v>
      </c>
      <c r="K27" s="54">
        <v>8077846.7230993602</v>
      </c>
      <c r="L27" s="54">
        <f t="shared" si="11"/>
        <v>526713462.90118146</v>
      </c>
      <c r="M27" s="428"/>
      <c r="N27" s="54">
        <f t="shared" si="12"/>
        <v>526713462.90118146</v>
      </c>
      <c r="O27" s="54">
        <f t="shared" si="8"/>
        <v>526713462.90118146</v>
      </c>
      <c r="P27" s="54">
        <f t="shared" si="9"/>
        <v>0</v>
      </c>
      <c r="Q27" s="54">
        <f t="shared" si="10"/>
        <v>526713462.90118146</v>
      </c>
    </row>
    <row r="28" spans="2:17" ht="12.75" customHeight="1">
      <c r="B28" s="1006" t="s">
        <v>1515</v>
      </c>
      <c r="C28" s="1007" t="s">
        <v>1505</v>
      </c>
      <c r="D28" s="54" t="s">
        <v>1732</v>
      </c>
      <c r="E28" s="1008">
        <v>46234</v>
      </c>
      <c r="F28" s="127">
        <v>8.9499999999999996E-2</v>
      </c>
      <c r="G28" s="54">
        <v>500000000</v>
      </c>
      <c r="H28" s="426">
        <v>89377397</v>
      </c>
      <c r="I28" s="426">
        <v>-70741780.821917892</v>
      </c>
      <c r="J28" s="54">
        <v>0</v>
      </c>
      <c r="K28" s="54">
        <v>8077846.7230993602</v>
      </c>
      <c r="L28" s="54">
        <f t="shared" si="11"/>
        <v>526713462.90118146</v>
      </c>
      <c r="M28" s="428"/>
      <c r="N28" s="54">
        <f t="shared" si="12"/>
        <v>526713462.90118146</v>
      </c>
      <c r="O28" s="54">
        <f t="shared" si="8"/>
        <v>526713462.90118146</v>
      </c>
      <c r="P28" s="54">
        <f t="shared" si="9"/>
        <v>0</v>
      </c>
      <c r="Q28" s="54">
        <f t="shared" si="10"/>
        <v>526713462.90118146</v>
      </c>
    </row>
    <row r="29" spans="2:17" ht="12.75" customHeight="1">
      <c r="B29" s="1006" t="s">
        <v>1515</v>
      </c>
      <c r="C29" s="1007" t="s">
        <v>1505</v>
      </c>
      <c r="D29" s="54" t="s">
        <v>1733</v>
      </c>
      <c r="E29" s="1008">
        <v>46234</v>
      </c>
      <c r="F29" s="127">
        <v>8.9499999999999996E-2</v>
      </c>
      <c r="G29" s="54">
        <v>500000000</v>
      </c>
      <c r="H29" s="426">
        <v>89377397</v>
      </c>
      <c r="I29" s="426">
        <v>-70741780.821917892</v>
      </c>
      <c r="J29" s="54">
        <v>0</v>
      </c>
      <c r="K29" s="54">
        <v>8077846.7230993602</v>
      </c>
      <c r="L29" s="54">
        <f t="shared" si="11"/>
        <v>526713462.90118146</v>
      </c>
      <c r="M29" s="428"/>
      <c r="N29" s="54">
        <f t="shared" si="12"/>
        <v>526713462.90118146</v>
      </c>
      <c r="O29" s="54">
        <f t="shared" si="8"/>
        <v>526713462.90118146</v>
      </c>
      <c r="P29" s="54">
        <f t="shared" si="9"/>
        <v>0</v>
      </c>
      <c r="Q29" s="54">
        <f t="shared" si="10"/>
        <v>526713462.90118146</v>
      </c>
    </row>
    <row r="30" spans="2:17" ht="12.75" customHeight="1">
      <c r="B30" s="1006" t="s">
        <v>1515</v>
      </c>
      <c r="C30" s="1007" t="s">
        <v>1505</v>
      </c>
      <c r="D30" s="54" t="s">
        <v>1734</v>
      </c>
      <c r="E30" s="1008">
        <v>46234</v>
      </c>
      <c r="F30" s="127">
        <v>8.9499999999999996E-2</v>
      </c>
      <c r="G30" s="54">
        <v>500000000</v>
      </c>
      <c r="H30" s="426">
        <v>89377397</v>
      </c>
      <c r="I30" s="426">
        <v>-70741780.821917892</v>
      </c>
      <c r="J30" s="54">
        <v>0</v>
      </c>
      <c r="K30" s="54">
        <v>8077846.7230993602</v>
      </c>
      <c r="L30" s="54">
        <f t="shared" si="11"/>
        <v>526713462.90118146</v>
      </c>
      <c r="M30" s="428"/>
      <c r="N30" s="54">
        <f t="shared" si="12"/>
        <v>526713462.90118146</v>
      </c>
      <c r="O30" s="54">
        <f t="shared" si="8"/>
        <v>526713462.90118146</v>
      </c>
      <c r="P30" s="54">
        <f t="shared" si="9"/>
        <v>0</v>
      </c>
      <c r="Q30" s="54">
        <f t="shared" si="10"/>
        <v>526713462.90118146</v>
      </c>
    </row>
    <row r="31" spans="2:17" ht="12.75" customHeight="1">
      <c r="B31" s="1006" t="s">
        <v>1515</v>
      </c>
      <c r="C31" s="1007" t="s">
        <v>1505</v>
      </c>
      <c r="D31" s="54" t="s">
        <v>1735</v>
      </c>
      <c r="E31" s="1008">
        <v>46234</v>
      </c>
      <c r="F31" s="127">
        <v>8.9499999999999996E-2</v>
      </c>
      <c r="G31" s="54">
        <v>500000000</v>
      </c>
      <c r="H31" s="426">
        <v>89377397</v>
      </c>
      <c r="I31" s="426">
        <v>-70741780.821917892</v>
      </c>
      <c r="J31" s="54">
        <v>0</v>
      </c>
      <c r="K31" s="54">
        <v>8077846.7230993602</v>
      </c>
      <c r="L31" s="54">
        <f t="shared" si="11"/>
        <v>526713462.90118146</v>
      </c>
      <c r="M31" s="428"/>
      <c r="N31" s="54">
        <f t="shared" si="12"/>
        <v>526713462.90118146</v>
      </c>
      <c r="O31" s="54">
        <f t="shared" si="8"/>
        <v>526713462.90118146</v>
      </c>
      <c r="P31" s="54">
        <f t="shared" si="9"/>
        <v>0</v>
      </c>
      <c r="Q31" s="54">
        <f t="shared" si="10"/>
        <v>526713462.90118146</v>
      </c>
    </row>
    <row r="32" spans="2:17" ht="12.75" customHeight="1">
      <c r="B32" s="1006" t="s">
        <v>1515</v>
      </c>
      <c r="C32" s="1007" t="s">
        <v>1505</v>
      </c>
      <c r="D32" s="54" t="s">
        <v>1736</v>
      </c>
      <c r="E32" s="1008">
        <v>46420</v>
      </c>
      <c r="F32" s="127">
        <v>7.8500003330200005E-2</v>
      </c>
      <c r="G32" s="54">
        <v>200000000</v>
      </c>
      <c r="H32" s="426">
        <v>35271234.4246023</v>
      </c>
      <c r="I32" s="426">
        <v>-32819453.447091907</v>
      </c>
      <c r="J32" s="54">
        <v>0</v>
      </c>
      <c r="K32" s="54">
        <v>0</v>
      </c>
      <c r="L32" s="54">
        <f t="shared" si="11"/>
        <v>202451780.97751039</v>
      </c>
      <c r="M32" s="428"/>
      <c r="N32" s="54">
        <f t="shared" si="12"/>
        <v>202451780.97751039</v>
      </c>
      <c r="O32" s="54">
        <f t="shared" si="8"/>
        <v>202451780.97751039</v>
      </c>
      <c r="P32" s="54">
        <f t="shared" si="9"/>
        <v>0</v>
      </c>
      <c r="Q32" s="54">
        <f t="shared" si="10"/>
        <v>202451780.97751039</v>
      </c>
    </row>
    <row r="33" spans="2:17" ht="12.75" customHeight="1">
      <c r="B33" s="1006" t="s">
        <v>1515</v>
      </c>
      <c r="C33" s="1007" t="s">
        <v>1505</v>
      </c>
      <c r="D33" s="54" t="s">
        <v>1737</v>
      </c>
      <c r="E33" s="1008">
        <v>46420</v>
      </c>
      <c r="F33" s="127">
        <v>7.8500003330200005E-2</v>
      </c>
      <c r="G33" s="54">
        <v>200000000</v>
      </c>
      <c r="H33" s="426">
        <v>35271234.4246023</v>
      </c>
      <c r="I33" s="426">
        <v>-32819453.447091907</v>
      </c>
      <c r="J33" s="54">
        <v>0</v>
      </c>
      <c r="K33" s="54">
        <v>0</v>
      </c>
      <c r="L33" s="54">
        <f t="shared" si="11"/>
        <v>202451780.97751039</v>
      </c>
      <c r="M33" s="428"/>
      <c r="N33" s="54">
        <f t="shared" si="12"/>
        <v>202451780.97751039</v>
      </c>
      <c r="O33" s="54">
        <f t="shared" si="8"/>
        <v>202451780.97751039</v>
      </c>
      <c r="P33" s="54">
        <f t="shared" si="9"/>
        <v>0</v>
      </c>
      <c r="Q33" s="54">
        <f t="shared" si="10"/>
        <v>202451780.97751039</v>
      </c>
    </row>
    <row r="34" spans="2:17" ht="12.75" customHeight="1">
      <c r="B34" s="1006" t="s">
        <v>1515</v>
      </c>
      <c r="C34" s="1007" t="s">
        <v>1505</v>
      </c>
      <c r="D34" s="54" t="s">
        <v>1738</v>
      </c>
      <c r="E34" s="1008">
        <v>46420</v>
      </c>
      <c r="F34" s="127">
        <v>7.8500003330200005E-2</v>
      </c>
      <c r="G34" s="54">
        <v>200000000</v>
      </c>
      <c r="H34" s="426">
        <v>35271234.4246023</v>
      </c>
      <c r="I34" s="426">
        <v>-32819453.447091907</v>
      </c>
      <c r="J34" s="54">
        <v>0</v>
      </c>
      <c r="K34" s="54">
        <v>0</v>
      </c>
      <c r="L34" s="54">
        <f t="shared" si="11"/>
        <v>202451780.97751039</v>
      </c>
      <c r="M34" s="428"/>
      <c r="N34" s="54">
        <f t="shared" si="12"/>
        <v>202451780.97751039</v>
      </c>
      <c r="O34" s="54">
        <f t="shared" si="8"/>
        <v>202451780.97751039</v>
      </c>
      <c r="P34" s="54">
        <f t="shared" si="9"/>
        <v>0</v>
      </c>
      <c r="Q34" s="54">
        <f t="shared" si="10"/>
        <v>202451780.97751039</v>
      </c>
    </row>
    <row r="35" spans="2:17" ht="12.75" customHeight="1">
      <c r="B35" s="1006" t="s">
        <v>1515</v>
      </c>
      <c r="C35" s="1007" t="s">
        <v>1505</v>
      </c>
      <c r="D35" s="54" t="s">
        <v>1739</v>
      </c>
      <c r="E35" s="1008">
        <v>46420</v>
      </c>
      <c r="F35" s="127">
        <v>7.8500003330200005E-2</v>
      </c>
      <c r="G35" s="54">
        <v>200000000</v>
      </c>
      <c r="H35" s="426">
        <v>35271234.4246023</v>
      </c>
      <c r="I35" s="426">
        <v>-32819453.447091907</v>
      </c>
      <c r="J35" s="54">
        <v>0</v>
      </c>
      <c r="K35" s="54">
        <v>0</v>
      </c>
      <c r="L35" s="54">
        <f t="shared" si="11"/>
        <v>202451780.97751039</v>
      </c>
      <c r="M35" s="428"/>
      <c r="N35" s="54">
        <f t="shared" si="12"/>
        <v>202451780.97751039</v>
      </c>
      <c r="O35" s="54">
        <f t="shared" si="8"/>
        <v>202451780.97751039</v>
      </c>
      <c r="P35" s="54">
        <f t="shared" si="9"/>
        <v>0</v>
      </c>
      <c r="Q35" s="54">
        <f t="shared" si="10"/>
        <v>202451780.97751039</v>
      </c>
    </row>
    <row r="36" spans="2:17" ht="12.75" customHeight="1">
      <c r="B36" s="1006" t="s">
        <v>1515</v>
      </c>
      <c r="C36" s="1007" t="s">
        <v>1505</v>
      </c>
      <c r="D36" s="54" t="s">
        <v>1740</v>
      </c>
      <c r="E36" s="1008">
        <v>46420</v>
      </c>
      <c r="F36" s="127">
        <v>7.8500003330200005E-2</v>
      </c>
      <c r="G36" s="54">
        <v>200000000</v>
      </c>
      <c r="H36" s="426">
        <v>35271234.4246023</v>
      </c>
      <c r="I36" s="426">
        <v>-32819453.447091907</v>
      </c>
      <c r="J36" s="54">
        <v>0</v>
      </c>
      <c r="K36" s="54">
        <v>0</v>
      </c>
      <c r="L36" s="54">
        <f t="shared" si="11"/>
        <v>202451780.97751039</v>
      </c>
      <c r="M36" s="428"/>
      <c r="N36" s="54">
        <f t="shared" si="12"/>
        <v>202451780.97751039</v>
      </c>
      <c r="O36" s="54">
        <f t="shared" si="8"/>
        <v>202451780.97751039</v>
      </c>
      <c r="P36" s="54">
        <f t="shared" si="9"/>
        <v>0</v>
      </c>
      <c r="Q36" s="54">
        <f t="shared" si="10"/>
        <v>202451780.97751039</v>
      </c>
    </row>
    <row r="37" spans="2:17" ht="12.75" customHeight="1">
      <c r="B37" s="1006" t="s">
        <v>1515</v>
      </c>
      <c r="C37" s="1007" t="s">
        <v>1505</v>
      </c>
      <c r="D37" s="54" t="s">
        <v>1741</v>
      </c>
      <c r="E37" s="1008">
        <v>46062</v>
      </c>
      <c r="F37" s="127">
        <v>7.8E-2</v>
      </c>
      <c r="G37" s="54">
        <v>100000000</v>
      </c>
      <c r="H37" s="426">
        <v>11753424.657534247</v>
      </c>
      <c r="I37" s="426">
        <v>-8654794.5205479227</v>
      </c>
      <c r="J37" s="54">
        <v>0</v>
      </c>
      <c r="K37" s="54">
        <v>0</v>
      </c>
      <c r="L37" s="54">
        <f t="shared" si="11"/>
        <v>103098630.13698632</v>
      </c>
      <c r="M37" s="428"/>
      <c r="N37" s="54">
        <f t="shared" si="12"/>
        <v>103098630.13698632</v>
      </c>
      <c r="O37" s="54">
        <f t="shared" si="8"/>
        <v>103098630.13698632</v>
      </c>
      <c r="P37" s="54">
        <f t="shared" si="9"/>
        <v>0</v>
      </c>
      <c r="Q37" s="54">
        <f t="shared" si="10"/>
        <v>103098630.13698632</v>
      </c>
    </row>
    <row r="38" spans="2:17" ht="12.75" customHeight="1">
      <c r="B38" s="1006" t="s">
        <v>1515</v>
      </c>
      <c r="C38" s="1007" t="s">
        <v>1505</v>
      </c>
      <c r="D38" s="54" t="s">
        <v>1742</v>
      </c>
      <c r="E38" s="1008">
        <v>46062</v>
      </c>
      <c r="F38" s="127">
        <v>7.8E-2</v>
      </c>
      <c r="G38" s="54">
        <v>100000000</v>
      </c>
      <c r="H38" s="426">
        <v>11753424.657534247</v>
      </c>
      <c r="I38" s="426">
        <v>-8654794.5205479227</v>
      </c>
      <c r="J38" s="54">
        <v>0</v>
      </c>
      <c r="K38" s="54">
        <v>0</v>
      </c>
      <c r="L38" s="54">
        <f t="shared" si="11"/>
        <v>103098630.13698632</v>
      </c>
      <c r="M38" s="428"/>
      <c r="N38" s="54">
        <f t="shared" si="12"/>
        <v>103098630.13698632</v>
      </c>
      <c r="O38" s="54">
        <f t="shared" si="8"/>
        <v>103098630.13698632</v>
      </c>
      <c r="P38" s="54">
        <f t="shared" si="9"/>
        <v>0</v>
      </c>
      <c r="Q38" s="54">
        <f t="shared" si="10"/>
        <v>103098630.13698632</v>
      </c>
    </row>
    <row r="39" spans="2:17" ht="12.75" customHeight="1">
      <c r="B39" s="1006" t="s">
        <v>1515</v>
      </c>
      <c r="C39" s="1007" t="s">
        <v>1505</v>
      </c>
      <c r="D39" s="54" t="s">
        <v>1743</v>
      </c>
      <c r="E39" s="1008">
        <v>46062</v>
      </c>
      <c r="F39" s="127">
        <v>7.8E-2</v>
      </c>
      <c r="G39" s="54">
        <v>100000000</v>
      </c>
      <c r="H39" s="426">
        <v>11753424.657534247</v>
      </c>
      <c r="I39" s="426">
        <v>-8654794.5205479227</v>
      </c>
      <c r="J39" s="54">
        <v>0</v>
      </c>
      <c r="K39" s="54">
        <v>0</v>
      </c>
      <c r="L39" s="54">
        <f t="shared" si="11"/>
        <v>103098630.13698632</v>
      </c>
      <c r="M39" s="428"/>
      <c r="N39" s="54">
        <f t="shared" si="12"/>
        <v>103098630.13698632</v>
      </c>
      <c r="O39" s="54">
        <f t="shared" si="8"/>
        <v>103098630.13698632</v>
      </c>
      <c r="P39" s="54">
        <f t="shared" si="9"/>
        <v>0</v>
      </c>
      <c r="Q39" s="54">
        <f t="shared" si="10"/>
        <v>103098630.13698632</v>
      </c>
    </row>
    <row r="40" spans="2:17" ht="12.75" customHeight="1">
      <c r="B40" s="1006" t="s">
        <v>1515</v>
      </c>
      <c r="C40" s="1007" t="s">
        <v>1505</v>
      </c>
      <c r="D40" s="54" t="s">
        <v>1744</v>
      </c>
      <c r="E40" s="1008">
        <v>46062</v>
      </c>
      <c r="F40" s="127">
        <v>7.8E-2</v>
      </c>
      <c r="G40" s="54">
        <v>100000000</v>
      </c>
      <c r="H40" s="426">
        <v>11753424.657534247</v>
      </c>
      <c r="I40" s="426">
        <v>-8654794.5205479227</v>
      </c>
      <c r="J40" s="54">
        <v>0</v>
      </c>
      <c r="K40" s="54">
        <v>0</v>
      </c>
      <c r="L40" s="54">
        <f t="shared" si="11"/>
        <v>103098630.13698632</v>
      </c>
      <c r="M40" s="428"/>
      <c r="N40" s="54">
        <f t="shared" si="12"/>
        <v>103098630.13698632</v>
      </c>
      <c r="O40" s="54">
        <f t="shared" si="8"/>
        <v>103098630.13698632</v>
      </c>
      <c r="P40" s="54">
        <f t="shared" si="9"/>
        <v>0</v>
      </c>
      <c r="Q40" s="54">
        <f t="shared" si="10"/>
        <v>103098630.13698632</v>
      </c>
    </row>
    <row r="41" spans="2:17" ht="12.75" customHeight="1">
      <c r="B41" s="1006" t="s">
        <v>1515</v>
      </c>
      <c r="C41" s="1007" t="s">
        <v>1505</v>
      </c>
      <c r="D41" s="54" t="s">
        <v>1745</v>
      </c>
      <c r="E41" s="1008">
        <v>46062</v>
      </c>
      <c r="F41" s="127">
        <v>7.8E-2</v>
      </c>
      <c r="G41" s="54">
        <v>100000000</v>
      </c>
      <c r="H41" s="426">
        <v>11753424.657534247</v>
      </c>
      <c r="I41" s="426">
        <v>-8654794.5205479227</v>
      </c>
      <c r="J41" s="54">
        <v>0</v>
      </c>
      <c r="K41" s="54">
        <v>0</v>
      </c>
      <c r="L41" s="54">
        <f t="shared" si="11"/>
        <v>103098630.13698632</v>
      </c>
      <c r="M41" s="428"/>
      <c r="N41" s="54">
        <f t="shared" si="12"/>
        <v>103098630.13698632</v>
      </c>
      <c r="O41" s="54">
        <f t="shared" si="8"/>
        <v>103098630.13698632</v>
      </c>
      <c r="P41" s="54">
        <f t="shared" si="9"/>
        <v>0</v>
      </c>
      <c r="Q41" s="54">
        <f t="shared" si="10"/>
        <v>103098630.13698632</v>
      </c>
    </row>
    <row r="42" spans="2:17" ht="12.75" customHeight="1">
      <c r="B42" s="1006" t="s">
        <v>1515</v>
      </c>
      <c r="C42" s="1007" t="s">
        <v>1505</v>
      </c>
      <c r="D42" s="54" t="s">
        <v>1746</v>
      </c>
      <c r="E42" s="1008">
        <v>46062</v>
      </c>
      <c r="F42" s="127">
        <v>7.8E-2</v>
      </c>
      <c r="G42" s="54">
        <v>100000000</v>
      </c>
      <c r="H42" s="426">
        <v>11753424.657534247</v>
      </c>
      <c r="I42" s="426">
        <v>-8654794.5205479227</v>
      </c>
      <c r="J42" s="54">
        <v>0</v>
      </c>
      <c r="K42" s="54">
        <v>0</v>
      </c>
      <c r="L42" s="54">
        <f t="shared" si="11"/>
        <v>103098630.13698632</v>
      </c>
      <c r="M42" s="428"/>
      <c r="N42" s="54">
        <f t="shared" si="12"/>
        <v>103098630.13698632</v>
      </c>
      <c r="O42" s="54">
        <f t="shared" si="8"/>
        <v>103098630.13698632</v>
      </c>
      <c r="P42" s="54">
        <f t="shared" si="9"/>
        <v>0</v>
      </c>
      <c r="Q42" s="54">
        <f t="shared" si="10"/>
        <v>103098630.13698632</v>
      </c>
    </row>
    <row r="43" spans="2:17" ht="12.75" customHeight="1">
      <c r="B43" s="1006" t="s">
        <v>1515</v>
      </c>
      <c r="C43" s="1007" t="s">
        <v>1505</v>
      </c>
      <c r="D43" s="54" t="s">
        <v>1747</v>
      </c>
      <c r="E43" s="1008">
        <v>46062</v>
      </c>
      <c r="F43" s="127">
        <v>7.8E-2</v>
      </c>
      <c r="G43" s="54">
        <v>150000000</v>
      </c>
      <c r="H43" s="426">
        <v>17630136.98630137</v>
      </c>
      <c r="I43" s="426">
        <v>-12982191.780821975</v>
      </c>
      <c r="J43" s="54">
        <v>0</v>
      </c>
      <c r="K43" s="54">
        <v>0</v>
      </c>
      <c r="L43" s="54">
        <f t="shared" si="11"/>
        <v>154647945.20547938</v>
      </c>
      <c r="M43" s="428"/>
      <c r="N43" s="54">
        <f t="shared" si="12"/>
        <v>154647945.20547938</v>
      </c>
      <c r="O43" s="54">
        <f t="shared" si="8"/>
        <v>154647945.20547938</v>
      </c>
      <c r="P43" s="54">
        <f t="shared" si="9"/>
        <v>0</v>
      </c>
      <c r="Q43" s="54">
        <f t="shared" si="10"/>
        <v>154647945.20547938</v>
      </c>
    </row>
    <row r="44" spans="2:17" ht="12.75" customHeight="1">
      <c r="B44" s="1006" t="s">
        <v>1515</v>
      </c>
      <c r="C44" s="1007" t="s">
        <v>1505</v>
      </c>
      <c r="D44" s="54" t="s">
        <v>1748</v>
      </c>
      <c r="E44" s="1008">
        <v>46062</v>
      </c>
      <c r="F44" s="127">
        <v>7.8E-2</v>
      </c>
      <c r="G44" s="54">
        <v>150000000</v>
      </c>
      <c r="H44" s="426">
        <v>17630136.98630137</v>
      </c>
      <c r="I44" s="426">
        <v>-12982191.780821975</v>
      </c>
      <c r="J44" s="54">
        <v>0</v>
      </c>
      <c r="K44" s="54">
        <v>0</v>
      </c>
      <c r="L44" s="54">
        <f t="shared" si="11"/>
        <v>154647945.20547938</v>
      </c>
      <c r="M44" s="428"/>
      <c r="N44" s="54">
        <f t="shared" si="12"/>
        <v>154647945.20547938</v>
      </c>
      <c r="O44" s="54">
        <f t="shared" si="8"/>
        <v>154647945.20547938</v>
      </c>
      <c r="P44" s="54">
        <f t="shared" si="9"/>
        <v>0</v>
      </c>
      <c r="Q44" s="54">
        <f t="shared" si="10"/>
        <v>154647945.20547938</v>
      </c>
    </row>
    <row r="45" spans="2:17" ht="12.75" customHeight="1">
      <c r="B45" s="1006" t="s">
        <v>1515</v>
      </c>
      <c r="C45" s="1007" t="s">
        <v>1505</v>
      </c>
      <c r="D45" s="54" t="s">
        <v>1749</v>
      </c>
      <c r="E45" s="1008">
        <v>46062</v>
      </c>
      <c r="F45" s="127">
        <v>7.8E-2</v>
      </c>
      <c r="G45" s="426">
        <v>150000000</v>
      </c>
      <c r="H45" s="426">
        <v>17630136.98630137</v>
      </c>
      <c r="I45" s="426">
        <v>-12982191.780821975</v>
      </c>
      <c r="J45" s="54">
        <v>0</v>
      </c>
      <c r="K45" s="54">
        <v>0</v>
      </c>
      <c r="L45" s="54">
        <f t="shared" si="11"/>
        <v>154647945.20547938</v>
      </c>
      <c r="M45" s="428"/>
      <c r="N45" s="54">
        <f t="shared" si="12"/>
        <v>154647945.20547938</v>
      </c>
      <c r="O45" s="54">
        <f t="shared" si="8"/>
        <v>154647945.20547938</v>
      </c>
      <c r="P45" s="54">
        <f t="shared" si="9"/>
        <v>0</v>
      </c>
      <c r="Q45" s="54">
        <f t="shared" si="10"/>
        <v>154647945.20547938</v>
      </c>
    </row>
    <row r="46" spans="2:17" ht="12.75" customHeight="1">
      <c r="B46" s="1006" t="s">
        <v>1515</v>
      </c>
      <c r="C46" s="1007" t="s">
        <v>1505</v>
      </c>
      <c r="D46" s="54" t="s">
        <v>1750</v>
      </c>
      <c r="E46" s="1008">
        <v>46062</v>
      </c>
      <c r="F46" s="127">
        <v>7.8E-2</v>
      </c>
      <c r="G46" s="54">
        <v>150000000</v>
      </c>
      <c r="H46" s="426">
        <v>17630136.98630137</v>
      </c>
      <c r="I46" s="426">
        <v>-12982191.780821975</v>
      </c>
      <c r="J46" s="54">
        <v>0</v>
      </c>
      <c r="K46" s="54">
        <v>0</v>
      </c>
      <c r="L46" s="54">
        <f t="shared" si="11"/>
        <v>154647945.20547938</v>
      </c>
      <c r="M46" s="428"/>
      <c r="N46" s="54">
        <f t="shared" si="12"/>
        <v>154647945.20547938</v>
      </c>
      <c r="O46" s="54">
        <f t="shared" si="8"/>
        <v>154647945.20547938</v>
      </c>
      <c r="P46" s="54">
        <f t="shared" si="9"/>
        <v>0</v>
      </c>
      <c r="Q46" s="54">
        <f t="shared" si="10"/>
        <v>154647945.20547938</v>
      </c>
    </row>
    <row r="47" spans="2:17" ht="12.75" customHeight="1">
      <c r="B47" s="1006" t="s">
        <v>1515</v>
      </c>
      <c r="C47" s="1007" t="s">
        <v>1505</v>
      </c>
      <c r="D47" s="54" t="s">
        <v>1751</v>
      </c>
      <c r="E47" s="1008">
        <v>46062</v>
      </c>
      <c r="F47" s="127">
        <v>7.8E-2</v>
      </c>
      <c r="G47" s="54">
        <v>150000000</v>
      </c>
      <c r="H47" s="426">
        <v>17630136.98630137</v>
      </c>
      <c r="I47" s="426">
        <v>-12982191.780821975</v>
      </c>
      <c r="J47" s="54">
        <v>0</v>
      </c>
      <c r="K47" s="54">
        <v>0</v>
      </c>
      <c r="L47" s="54">
        <f t="shared" si="11"/>
        <v>154647945.20547938</v>
      </c>
      <c r="M47" s="428"/>
      <c r="N47" s="54">
        <f t="shared" si="12"/>
        <v>154647945.20547938</v>
      </c>
      <c r="O47" s="54">
        <f t="shared" si="8"/>
        <v>154647945.20547938</v>
      </c>
      <c r="P47" s="54">
        <f t="shared" si="9"/>
        <v>0</v>
      </c>
      <c r="Q47" s="54">
        <f t="shared" si="10"/>
        <v>154647945.20547938</v>
      </c>
    </row>
    <row r="48" spans="2:17" ht="12.75" customHeight="1">
      <c r="B48" s="1006" t="s">
        <v>1515</v>
      </c>
      <c r="C48" s="1007" t="s">
        <v>1505</v>
      </c>
      <c r="D48" s="54" t="s">
        <v>1752</v>
      </c>
      <c r="E48" s="1008">
        <v>46062</v>
      </c>
      <c r="F48" s="127">
        <v>7.8E-2</v>
      </c>
      <c r="G48" s="54">
        <v>150000000</v>
      </c>
      <c r="H48" s="426">
        <v>17630136.98630137</v>
      </c>
      <c r="I48" s="426">
        <v>-12982191.780821975</v>
      </c>
      <c r="J48" s="54">
        <v>0</v>
      </c>
      <c r="K48" s="54">
        <v>0</v>
      </c>
      <c r="L48" s="54">
        <f t="shared" si="11"/>
        <v>154647945.20547938</v>
      </c>
      <c r="M48" s="428"/>
      <c r="N48" s="54">
        <f t="shared" si="12"/>
        <v>154647945.20547938</v>
      </c>
      <c r="O48" s="54">
        <f t="shared" si="8"/>
        <v>154647945.20547938</v>
      </c>
      <c r="P48" s="54">
        <f t="shared" si="9"/>
        <v>0</v>
      </c>
      <c r="Q48" s="54">
        <f t="shared" si="10"/>
        <v>154647945.20547938</v>
      </c>
    </row>
    <row r="49" spans="2:17" ht="12.75" customHeight="1">
      <c r="B49" s="1006" t="s">
        <v>1515</v>
      </c>
      <c r="C49" s="1007" t="s">
        <v>1505</v>
      </c>
      <c r="D49" s="54" t="s">
        <v>1753</v>
      </c>
      <c r="E49" s="1008">
        <v>46062</v>
      </c>
      <c r="F49" s="127">
        <v>7.8E-2</v>
      </c>
      <c r="G49" s="426">
        <v>150000000</v>
      </c>
      <c r="H49" s="426">
        <v>17630136.98630137</v>
      </c>
      <c r="I49" s="426">
        <v>-12982191.780821975</v>
      </c>
      <c r="J49" s="54">
        <v>0</v>
      </c>
      <c r="K49" s="54">
        <v>0</v>
      </c>
      <c r="L49" s="54">
        <f t="shared" si="11"/>
        <v>154647945.20547938</v>
      </c>
      <c r="M49" s="428"/>
      <c r="N49" s="54">
        <f t="shared" si="12"/>
        <v>154647945.20547938</v>
      </c>
      <c r="O49" s="54">
        <f t="shared" si="8"/>
        <v>154647945.20547938</v>
      </c>
      <c r="P49" s="54">
        <f t="shared" si="9"/>
        <v>0</v>
      </c>
      <c r="Q49" s="54">
        <f t="shared" si="10"/>
        <v>154647945.20547938</v>
      </c>
    </row>
    <row r="50" spans="2:17" ht="12.75" customHeight="1">
      <c r="B50" s="1006" t="s">
        <v>1515</v>
      </c>
      <c r="C50" s="1007" t="s">
        <v>1505</v>
      </c>
      <c r="D50" s="54" t="s">
        <v>1754</v>
      </c>
      <c r="E50" s="1008">
        <v>46062</v>
      </c>
      <c r="F50" s="127">
        <v>7.8E-2</v>
      </c>
      <c r="G50" s="426">
        <v>150000000</v>
      </c>
      <c r="H50" s="426">
        <v>17630136.98630137</v>
      </c>
      <c r="I50" s="426">
        <v>-12982191.780821975</v>
      </c>
      <c r="J50" s="54">
        <v>0</v>
      </c>
      <c r="K50" s="54">
        <v>0</v>
      </c>
      <c r="L50" s="54">
        <f t="shared" si="11"/>
        <v>154647945.20547938</v>
      </c>
      <c r="M50" s="428"/>
      <c r="N50" s="54">
        <f t="shared" si="12"/>
        <v>154647945.20547938</v>
      </c>
      <c r="O50" s="54">
        <f t="shared" si="8"/>
        <v>154647945.20547938</v>
      </c>
      <c r="P50" s="54">
        <f t="shared" si="9"/>
        <v>0</v>
      </c>
      <c r="Q50" s="54">
        <f t="shared" si="10"/>
        <v>154647945.20547938</v>
      </c>
    </row>
    <row r="51" spans="2:17" ht="12.75" customHeight="1">
      <c r="B51" s="1006" t="s">
        <v>1515</v>
      </c>
      <c r="C51" s="1007" t="s">
        <v>1505</v>
      </c>
      <c r="D51" s="54" t="s">
        <v>1755</v>
      </c>
      <c r="E51" s="1008">
        <v>46069</v>
      </c>
      <c r="F51" s="127">
        <v>7.8E-2</v>
      </c>
      <c r="G51" s="426">
        <v>200000000</v>
      </c>
      <c r="H51" s="426">
        <v>23464109.589041095</v>
      </c>
      <c r="I51" s="426">
        <v>-17608767.123287626</v>
      </c>
      <c r="J51" s="54">
        <v>0</v>
      </c>
      <c r="K51" s="54">
        <v>0</v>
      </c>
      <c r="L51" s="54">
        <f t="shared" si="11"/>
        <v>205855342.46575347</v>
      </c>
      <c r="M51" s="428"/>
      <c r="N51" s="54">
        <f t="shared" si="12"/>
        <v>205855342.46575347</v>
      </c>
      <c r="O51" s="54">
        <f t="shared" si="8"/>
        <v>205855342.46575347</v>
      </c>
      <c r="P51" s="54">
        <f t="shared" si="9"/>
        <v>0</v>
      </c>
      <c r="Q51" s="54">
        <f t="shared" si="10"/>
        <v>205855342.46575347</v>
      </c>
    </row>
    <row r="52" spans="2:17" ht="12.75" customHeight="1">
      <c r="B52" s="1006" t="s">
        <v>1515</v>
      </c>
      <c r="C52" s="1007" t="s">
        <v>1505</v>
      </c>
      <c r="D52" s="54" t="s">
        <v>1756</v>
      </c>
      <c r="E52" s="1008">
        <v>46069</v>
      </c>
      <c r="F52" s="127">
        <v>7.8E-2</v>
      </c>
      <c r="G52" s="54">
        <v>200000000</v>
      </c>
      <c r="H52" s="426">
        <v>23464109.589041095</v>
      </c>
      <c r="I52" s="426">
        <v>-17608767.123287626</v>
      </c>
      <c r="J52" s="54">
        <v>0</v>
      </c>
      <c r="K52" s="54">
        <v>0</v>
      </c>
      <c r="L52" s="54">
        <f t="shared" si="11"/>
        <v>205855342.46575347</v>
      </c>
      <c r="M52" s="428"/>
      <c r="N52" s="54">
        <f t="shared" si="12"/>
        <v>205855342.46575347</v>
      </c>
      <c r="O52" s="54">
        <f t="shared" si="8"/>
        <v>205855342.46575347</v>
      </c>
      <c r="P52" s="54">
        <f t="shared" si="9"/>
        <v>0</v>
      </c>
      <c r="Q52" s="54">
        <f t="shared" si="10"/>
        <v>205855342.46575347</v>
      </c>
    </row>
    <row r="53" spans="2:17" ht="12.75" customHeight="1">
      <c r="B53" s="1006" t="s">
        <v>1515</v>
      </c>
      <c r="C53" s="1007" t="s">
        <v>1505</v>
      </c>
      <c r="D53" s="54" t="s">
        <v>1757</v>
      </c>
      <c r="E53" s="1008">
        <v>46069</v>
      </c>
      <c r="F53" s="127">
        <v>7.8E-2</v>
      </c>
      <c r="G53" s="54">
        <v>200000000</v>
      </c>
      <c r="H53" s="426">
        <v>23464109.589041095</v>
      </c>
      <c r="I53" s="426">
        <v>-17608767.123287626</v>
      </c>
      <c r="J53" s="54">
        <v>0</v>
      </c>
      <c r="K53" s="54">
        <v>0</v>
      </c>
      <c r="L53" s="54">
        <f t="shared" si="11"/>
        <v>205855342.46575347</v>
      </c>
      <c r="M53" s="428"/>
      <c r="N53" s="54">
        <f t="shared" si="12"/>
        <v>205855342.46575347</v>
      </c>
      <c r="O53" s="54">
        <f t="shared" si="8"/>
        <v>205855342.46575347</v>
      </c>
      <c r="P53" s="54">
        <f t="shared" si="9"/>
        <v>0</v>
      </c>
      <c r="Q53" s="54">
        <f t="shared" si="10"/>
        <v>205855342.46575347</v>
      </c>
    </row>
    <row r="54" spans="2:17" ht="12.75" customHeight="1">
      <c r="B54" s="1006" t="s">
        <v>1515</v>
      </c>
      <c r="C54" s="1007" t="s">
        <v>1505</v>
      </c>
      <c r="D54" s="54" t="s">
        <v>1758</v>
      </c>
      <c r="E54" s="1008">
        <v>46076</v>
      </c>
      <c r="F54" s="127">
        <v>7.8E-2</v>
      </c>
      <c r="G54" s="54">
        <v>500000000</v>
      </c>
      <c r="H54" s="426">
        <v>58873972.602739722</v>
      </c>
      <c r="I54" s="426">
        <v>-44769863.013698436</v>
      </c>
      <c r="J54" s="54">
        <v>0</v>
      </c>
      <c r="K54" s="54">
        <v>0</v>
      </c>
      <c r="L54" s="54">
        <f t="shared" si="11"/>
        <v>514104109.58904123</v>
      </c>
      <c r="M54" s="428"/>
      <c r="N54" s="54">
        <f t="shared" si="12"/>
        <v>514104109.58904123</v>
      </c>
      <c r="O54" s="54">
        <f t="shared" si="8"/>
        <v>514104109.58904123</v>
      </c>
      <c r="P54" s="54">
        <f t="shared" si="9"/>
        <v>0</v>
      </c>
      <c r="Q54" s="54">
        <f t="shared" si="10"/>
        <v>514104109.58904123</v>
      </c>
    </row>
    <row r="55" spans="2:17" ht="12.75" customHeight="1">
      <c r="B55" s="1006" t="s">
        <v>1515</v>
      </c>
      <c r="C55" s="1007" t="s">
        <v>1505</v>
      </c>
      <c r="D55" s="54" t="s">
        <v>1759</v>
      </c>
      <c r="E55" s="1008">
        <v>46076</v>
      </c>
      <c r="F55" s="127">
        <v>7.8E-2</v>
      </c>
      <c r="G55" s="54">
        <v>500000000</v>
      </c>
      <c r="H55" s="426">
        <v>58873972.602739722</v>
      </c>
      <c r="I55" s="426">
        <v>-44769863.013698436</v>
      </c>
      <c r="J55" s="54">
        <v>0</v>
      </c>
      <c r="K55" s="54">
        <v>0</v>
      </c>
      <c r="L55" s="54">
        <f t="shared" si="11"/>
        <v>514104109.58904123</v>
      </c>
      <c r="M55" s="428"/>
      <c r="N55" s="54">
        <f t="shared" si="12"/>
        <v>514104109.58904123</v>
      </c>
      <c r="O55" s="54">
        <f t="shared" si="8"/>
        <v>514104109.58904123</v>
      </c>
      <c r="P55" s="54">
        <f t="shared" si="9"/>
        <v>0</v>
      </c>
      <c r="Q55" s="54">
        <f t="shared" si="10"/>
        <v>514104109.58904123</v>
      </c>
    </row>
    <row r="56" spans="2:17" ht="12.75" customHeight="1">
      <c r="B56" s="1006" t="s">
        <v>1515</v>
      </c>
      <c r="C56" s="1007" t="s">
        <v>1505</v>
      </c>
      <c r="D56" s="54" t="s">
        <v>1760</v>
      </c>
      <c r="E56" s="1008">
        <v>46076</v>
      </c>
      <c r="F56" s="127">
        <v>7.8E-2</v>
      </c>
      <c r="G56" s="54">
        <v>500000000</v>
      </c>
      <c r="H56" s="426">
        <v>58873972.602739722</v>
      </c>
      <c r="I56" s="426">
        <v>-44769863.013698436</v>
      </c>
      <c r="J56" s="54">
        <v>0</v>
      </c>
      <c r="K56" s="54">
        <v>0</v>
      </c>
      <c r="L56" s="54">
        <f t="shared" si="11"/>
        <v>514104109.58904123</v>
      </c>
      <c r="M56" s="428"/>
      <c r="N56" s="54">
        <f t="shared" si="12"/>
        <v>514104109.58904123</v>
      </c>
      <c r="O56" s="54">
        <f t="shared" si="8"/>
        <v>514104109.58904123</v>
      </c>
      <c r="P56" s="54">
        <f t="shared" si="9"/>
        <v>0</v>
      </c>
      <c r="Q56" s="54">
        <f t="shared" si="10"/>
        <v>514104109.58904123</v>
      </c>
    </row>
    <row r="57" spans="2:17" ht="12.75" customHeight="1">
      <c r="B57" s="1006" t="s">
        <v>1515</v>
      </c>
      <c r="C57" s="1007" t="s">
        <v>1505</v>
      </c>
      <c r="D57" s="54" t="s">
        <v>1761</v>
      </c>
      <c r="E57" s="1008">
        <v>46076</v>
      </c>
      <c r="F57" s="127">
        <v>7.8E-2</v>
      </c>
      <c r="G57" s="54">
        <v>500000000</v>
      </c>
      <c r="H57" s="426">
        <v>58873972.602739722</v>
      </c>
      <c r="I57" s="426">
        <v>-44769863.013698436</v>
      </c>
      <c r="J57" s="54">
        <v>0</v>
      </c>
      <c r="K57" s="54">
        <v>0</v>
      </c>
      <c r="L57" s="54">
        <f t="shared" si="11"/>
        <v>514104109.58904123</v>
      </c>
      <c r="M57" s="428"/>
      <c r="N57" s="54">
        <f t="shared" si="12"/>
        <v>514104109.58904123</v>
      </c>
      <c r="O57" s="54">
        <f t="shared" si="8"/>
        <v>514104109.58904123</v>
      </c>
      <c r="P57" s="54">
        <f t="shared" si="9"/>
        <v>0</v>
      </c>
      <c r="Q57" s="54">
        <f t="shared" si="10"/>
        <v>514104109.58904123</v>
      </c>
    </row>
    <row r="58" spans="2:17" ht="12.75" customHeight="1">
      <c r="B58" s="1006" t="s">
        <v>1515</v>
      </c>
      <c r="C58" s="1007" t="s">
        <v>1505</v>
      </c>
      <c r="D58" s="54" t="s">
        <v>1762</v>
      </c>
      <c r="E58" s="1008">
        <v>46082</v>
      </c>
      <c r="F58" s="127">
        <v>7.8E-2</v>
      </c>
      <c r="G58" s="54">
        <v>200000000</v>
      </c>
      <c r="H58" s="426">
        <v>23506849.315068495</v>
      </c>
      <c r="I58" s="426">
        <v>-18164383.561643794</v>
      </c>
      <c r="J58" s="54">
        <v>0</v>
      </c>
      <c r="K58" s="54">
        <v>0</v>
      </c>
      <c r="L58" s="54">
        <f t="shared" si="11"/>
        <v>205342465.7534247</v>
      </c>
      <c r="M58" s="428"/>
      <c r="N58" s="54">
        <f t="shared" si="12"/>
        <v>205342465.7534247</v>
      </c>
      <c r="O58" s="54">
        <f t="shared" si="8"/>
        <v>205342465.7534247</v>
      </c>
      <c r="P58" s="54">
        <f t="shared" si="9"/>
        <v>0</v>
      </c>
      <c r="Q58" s="54">
        <f t="shared" si="10"/>
        <v>205342465.7534247</v>
      </c>
    </row>
    <row r="59" spans="2:17" ht="12.75" customHeight="1">
      <c r="B59" s="1006" t="s">
        <v>1515</v>
      </c>
      <c r="C59" s="1007" t="s">
        <v>1505</v>
      </c>
      <c r="D59" s="54" t="s">
        <v>1763</v>
      </c>
      <c r="E59" s="1008">
        <v>46082</v>
      </c>
      <c r="F59" s="127">
        <v>7.8E-2</v>
      </c>
      <c r="G59" s="54">
        <v>200000000</v>
      </c>
      <c r="H59" s="426">
        <v>23506849.315068495</v>
      </c>
      <c r="I59" s="426">
        <v>-18164383.561643794</v>
      </c>
      <c r="J59" s="54">
        <v>0</v>
      </c>
      <c r="K59" s="54">
        <v>0</v>
      </c>
      <c r="L59" s="54">
        <f t="shared" si="11"/>
        <v>205342465.7534247</v>
      </c>
      <c r="M59" s="428"/>
      <c r="N59" s="54">
        <f t="shared" si="12"/>
        <v>205342465.7534247</v>
      </c>
      <c r="O59" s="54">
        <f t="shared" si="8"/>
        <v>205342465.7534247</v>
      </c>
      <c r="P59" s="54">
        <f t="shared" si="9"/>
        <v>0</v>
      </c>
      <c r="Q59" s="54">
        <f t="shared" si="10"/>
        <v>205342465.7534247</v>
      </c>
    </row>
    <row r="60" spans="2:17" ht="12.75" customHeight="1">
      <c r="B60" s="1006" t="s">
        <v>1515</v>
      </c>
      <c r="C60" s="1007" t="s">
        <v>1505</v>
      </c>
      <c r="D60" s="54" t="s">
        <v>1764</v>
      </c>
      <c r="E60" s="1008">
        <v>46082</v>
      </c>
      <c r="F60" s="127">
        <v>7.8E-2</v>
      </c>
      <c r="G60" s="54">
        <v>200000000</v>
      </c>
      <c r="H60" s="426">
        <v>23506849.315068495</v>
      </c>
      <c r="I60" s="426">
        <v>-18164383.561643794</v>
      </c>
      <c r="J60" s="54">
        <v>0</v>
      </c>
      <c r="K60" s="54">
        <v>0</v>
      </c>
      <c r="L60" s="54">
        <f t="shared" si="11"/>
        <v>205342465.7534247</v>
      </c>
      <c r="M60" s="428"/>
      <c r="N60" s="54">
        <f t="shared" si="12"/>
        <v>205342465.7534247</v>
      </c>
      <c r="O60" s="54">
        <f t="shared" si="8"/>
        <v>205342465.7534247</v>
      </c>
      <c r="P60" s="54">
        <f t="shared" si="9"/>
        <v>0</v>
      </c>
      <c r="Q60" s="54">
        <f t="shared" si="10"/>
        <v>205342465.7534247</v>
      </c>
    </row>
    <row r="61" spans="2:17" ht="12.75" customHeight="1">
      <c r="B61" s="1006" t="s">
        <v>1515</v>
      </c>
      <c r="C61" s="1007" t="s">
        <v>1505</v>
      </c>
      <c r="D61" s="54" t="s">
        <v>1765</v>
      </c>
      <c r="E61" s="1008">
        <v>46082</v>
      </c>
      <c r="F61" s="127">
        <v>7.8E-2</v>
      </c>
      <c r="G61" s="54">
        <v>200000000</v>
      </c>
      <c r="H61" s="426">
        <v>23506849.315068495</v>
      </c>
      <c r="I61" s="426">
        <v>-18164383.561643794</v>
      </c>
      <c r="J61" s="54">
        <v>0</v>
      </c>
      <c r="K61" s="54">
        <v>0</v>
      </c>
      <c r="L61" s="54">
        <f t="shared" si="11"/>
        <v>205342465.7534247</v>
      </c>
      <c r="M61" s="428"/>
      <c r="N61" s="54">
        <f t="shared" si="12"/>
        <v>205342465.7534247</v>
      </c>
      <c r="O61" s="54">
        <f t="shared" si="8"/>
        <v>205342465.7534247</v>
      </c>
      <c r="P61" s="54">
        <f t="shared" si="9"/>
        <v>0</v>
      </c>
      <c r="Q61" s="54">
        <f t="shared" si="10"/>
        <v>205342465.7534247</v>
      </c>
    </row>
    <row r="62" spans="2:17" ht="12.75" customHeight="1">
      <c r="B62" s="1006" t="s">
        <v>1515</v>
      </c>
      <c r="C62" s="1007" t="s">
        <v>1505</v>
      </c>
      <c r="D62" s="54" t="s">
        <v>1766</v>
      </c>
      <c r="E62" s="1008">
        <v>46082</v>
      </c>
      <c r="F62" s="127">
        <v>7.8E-2</v>
      </c>
      <c r="G62" s="54">
        <v>200000000</v>
      </c>
      <c r="H62" s="426">
        <v>23506849.315068495</v>
      </c>
      <c r="I62" s="426">
        <v>-18164383.561643794</v>
      </c>
      <c r="J62" s="54">
        <v>0</v>
      </c>
      <c r="K62" s="54">
        <v>0</v>
      </c>
      <c r="L62" s="54">
        <f t="shared" si="11"/>
        <v>205342465.7534247</v>
      </c>
      <c r="M62" s="428"/>
      <c r="N62" s="54">
        <f t="shared" si="12"/>
        <v>205342465.7534247</v>
      </c>
      <c r="O62" s="54">
        <f t="shared" si="8"/>
        <v>205342465.7534247</v>
      </c>
      <c r="P62" s="54">
        <f t="shared" si="9"/>
        <v>0</v>
      </c>
      <c r="Q62" s="54">
        <f t="shared" si="10"/>
        <v>205342465.7534247</v>
      </c>
    </row>
    <row r="63" spans="2:17" ht="12.75" customHeight="1">
      <c r="B63" s="1006" t="s">
        <v>1515</v>
      </c>
      <c r="C63" s="1007" t="s">
        <v>1505</v>
      </c>
      <c r="D63" s="54" t="s">
        <v>1767</v>
      </c>
      <c r="E63" s="1008">
        <v>46082</v>
      </c>
      <c r="F63" s="127">
        <v>7.8E-2</v>
      </c>
      <c r="G63" s="54">
        <v>200000000</v>
      </c>
      <c r="H63" s="426">
        <v>23506849.315068495</v>
      </c>
      <c r="I63" s="426">
        <v>-18164383.561643794</v>
      </c>
      <c r="J63" s="54">
        <v>0</v>
      </c>
      <c r="K63" s="54">
        <v>0</v>
      </c>
      <c r="L63" s="54">
        <f t="shared" si="11"/>
        <v>205342465.7534247</v>
      </c>
      <c r="M63" s="428"/>
      <c r="N63" s="54">
        <f t="shared" si="12"/>
        <v>205342465.7534247</v>
      </c>
      <c r="O63" s="54">
        <f t="shared" si="8"/>
        <v>205342465.7534247</v>
      </c>
      <c r="P63" s="54">
        <f t="shared" si="9"/>
        <v>0</v>
      </c>
      <c r="Q63" s="54">
        <f t="shared" si="10"/>
        <v>205342465.7534247</v>
      </c>
    </row>
    <row r="64" spans="2:17" ht="12.75" customHeight="1">
      <c r="B64" s="1006" t="s">
        <v>1515</v>
      </c>
      <c r="C64" s="1007" t="s">
        <v>1505</v>
      </c>
      <c r="D64" s="54" t="s">
        <v>1768</v>
      </c>
      <c r="E64" s="1008">
        <v>46082</v>
      </c>
      <c r="F64" s="127">
        <v>7.8E-2</v>
      </c>
      <c r="G64" s="54">
        <v>200000000</v>
      </c>
      <c r="H64" s="426">
        <v>23506849.315068495</v>
      </c>
      <c r="I64" s="426">
        <v>-18164383.561643794</v>
      </c>
      <c r="J64" s="54">
        <v>0</v>
      </c>
      <c r="K64" s="54">
        <v>0</v>
      </c>
      <c r="L64" s="54">
        <f t="shared" si="11"/>
        <v>205342465.7534247</v>
      </c>
      <c r="M64" s="428"/>
      <c r="N64" s="54">
        <f t="shared" si="12"/>
        <v>205342465.7534247</v>
      </c>
      <c r="O64" s="54">
        <f t="shared" si="8"/>
        <v>205342465.7534247</v>
      </c>
      <c r="P64" s="54">
        <f t="shared" si="9"/>
        <v>0</v>
      </c>
      <c r="Q64" s="54">
        <f t="shared" si="10"/>
        <v>205342465.7534247</v>
      </c>
    </row>
    <row r="65" spans="2:17" ht="12.75" customHeight="1">
      <c r="B65" s="1006" t="s">
        <v>1515</v>
      </c>
      <c r="C65" s="1007" t="s">
        <v>1505</v>
      </c>
      <c r="D65" s="54" t="s">
        <v>1769</v>
      </c>
      <c r="E65" s="1008">
        <v>46082</v>
      </c>
      <c r="F65" s="127">
        <v>7.8E-2</v>
      </c>
      <c r="G65" s="54">
        <v>200000000</v>
      </c>
      <c r="H65" s="426">
        <v>23506849.315068495</v>
      </c>
      <c r="I65" s="426">
        <v>-18164383.561643794</v>
      </c>
      <c r="J65" s="54">
        <v>0</v>
      </c>
      <c r="K65" s="54">
        <v>0</v>
      </c>
      <c r="L65" s="54">
        <f t="shared" si="11"/>
        <v>205342465.7534247</v>
      </c>
      <c r="M65" s="428"/>
      <c r="N65" s="54">
        <f t="shared" si="12"/>
        <v>205342465.7534247</v>
      </c>
      <c r="O65" s="54">
        <f t="shared" si="8"/>
        <v>205342465.7534247</v>
      </c>
      <c r="P65" s="54">
        <f t="shared" si="9"/>
        <v>0</v>
      </c>
      <c r="Q65" s="54">
        <f t="shared" si="10"/>
        <v>205342465.7534247</v>
      </c>
    </row>
    <row r="66" spans="2:17" ht="12.75" customHeight="1">
      <c r="B66" s="1006" t="s">
        <v>1515</v>
      </c>
      <c r="C66" s="1007" t="s">
        <v>1505</v>
      </c>
      <c r="D66" s="54" t="s">
        <v>1770</v>
      </c>
      <c r="E66" s="1008">
        <v>46082</v>
      </c>
      <c r="F66" s="127">
        <v>7.8E-2</v>
      </c>
      <c r="G66" s="54">
        <v>200000000</v>
      </c>
      <c r="H66" s="426">
        <v>23506849.315068495</v>
      </c>
      <c r="I66" s="426">
        <v>-18164383.561643794</v>
      </c>
      <c r="J66" s="54">
        <v>0</v>
      </c>
      <c r="K66" s="54">
        <v>0</v>
      </c>
      <c r="L66" s="54">
        <f t="shared" si="11"/>
        <v>205342465.7534247</v>
      </c>
      <c r="M66" s="428"/>
      <c r="N66" s="54">
        <f t="shared" si="12"/>
        <v>205342465.7534247</v>
      </c>
      <c r="O66" s="54">
        <f t="shared" si="8"/>
        <v>205342465.7534247</v>
      </c>
      <c r="P66" s="54">
        <f t="shared" si="9"/>
        <v>0</v>
      </c>
      <c r="Q66" s="54">
        <f t="shared" si="10"/>
        <v>205342465.7534247</v>
      </c>
    </row>
    <row r="67" spans="2:17" ht="12.75" customHeight="1">
      <c r="B67" s="1006" t="s">
        <v>1515</v>
      </c>
      <c r="C67" s="1007" t="s">
        <v>1505</v>
      </c>
      <c r="D67" s="54" t="s">
        <v>1771</v>
      </c>
      <c r="E67" s="1008">
        <v>46082</v>
      </c>
      <c r="F67" s="127">
        <v>7.8E-2</v>
      </c>
      <c r="G67" s="54">
        <v>200000000</v>
      </c>
      <c r="H67" s="426">
        <v>23506849.315068495</v>
      </c>
      <c r="I67" s="426">
        <v>-18164383.561643794</v>
      </c>
      <c r="J67" s="54">
        <v>0</v>
      </c>
      <c r="K67" s="54">
        <v>0</v>
      </c>
      <c r="L67" s="54">
        <f t="shared" si="11"/>
        <v>205342465.7534247</v>
      </c>
      <c r="M67" s="428"/>
      <c r="N67" s="54">
        <f t="shared" si="12"/>
        <v>205342465.7534247</v>
      </c>
      <c r="O67" s="54">
        <f t="shared" si="8"/>
        <v>205342465.7534247</v>
      </c>
      <c r="P67" s="54">
        <f t="shared" si="9"/>
        <v>0</v>
      </c>
      <c r="Q67" s="54">
        <f t="shared" si="10"/>
        <v>205342465.7534247</v>
      </c>
    </row>
    <row r="68" spans="2:17" ht="12.75" customHeight="1">
      <c r="B68" s="1006" t="s">
        <v>1515</v>
      </c>
      <c r="C68" s="1007" t="s">
        <v>1505</v>
      </c>
      <c r="D68" s="54" t="s">
        <v>1772</v>
      </c>
      <c r="E68" s="1008">
        <v>46082</v>
      </c>
      <c r="F68" s="127">
        <v>7.8E-2</v>
      </c>
      <c r="G68" s="426">
        <v>200000000</v>
      </c>
      <c r="H68" s="426">
        <v>23506849.315068495</v>
      </c>
      <c r="I68" s="426">
        <v>-18164383.561643794</v>
      </c>
      <c r="J68" s="54">
        <v>0</v>
      </c>
      <c r="K68" s="54">
        <v>0</v>
      </c>
      <c r="L68" s="54">
        <f t="shared" si="11"/>
        <v>205342465.7534247</v>
      </c>
      <c r="M68" s="428"/>
      <c r="N68" s="54">
        <f t="shared" si="12"/>
        <v>205342465.7534247</v>
      </c>
      <c r="O68" s="54">
        <f t="shared" si="8"/>
        <v>205342465.7534247</v>
      </c>
      <c r="P68" s="54">
        <f t="shared" si="9"/>
        <v>0</v>
      </c>
      <c r="Q68" s="54">
        <f t="shared" si="10"/>
        <v>205342465.7534247</v>
      </c>
    </row>
    <row r="69" spans="2:17" ht="12.75" customHeight="1">
      <c r="B69" s="1006" t="s">
        <v>1515</v>
      </c>
      <c r="C69" s="1007" t="s">
        <v>1505</v>
      </c>
      <c r="D69" s="54" t="s">
        <v>1773</v>
      </c>
      <c r="E69" s="1008">
        <v>46082</v>
      </c>
      <c r="F69" s="127">
        <v>7.8E-2</v>
      </c>
      <c r="G69" s="426">
        <v>200000000</v>
      </c>
      <c r="H69" s="426">
        <v>23506849.315068495</v>
      </c>
      <c r="I69" s="426">
        <v>-18164383.561643794</v>
      </c>
      <c r="J69" s="54">
        <v>0</v>
      </c>
      <c r="K69" s="54">
        <v>0</v>
      </c>
      <c r="L69" s="54">
        <f t="shared" si="11"/>
        <v>205342465.7534247</v>
      </c>
      <c r="M69" s="428"/>
      <c r="N69" s="54">
        <f t="shared" si="12"/>
        <v>205342465.7534247</v>
      </c>
      <c r="O69" s="54">
        <f t="shared" si="8"/>
        <v>205342465.7534247</v>
      </c>
      <c r="P69" s="54">
        <f t="shared" si="9"/>
        <v>0</v>
      </c>
      <c r="Q69" s="54">
        <f t="shared" si="10"/>
        <v>205342465.7534247</v>
      </c>
    </row>
    <row r="70" spans="2:17" ht="12.75" customHeight="1">
      <c r="B70" s="1006" t="s">
        <v>1515</v>
      </c>
      <c r="C70" s="1007" t="s">
        <v>1505</v>
      </c>
      <c r="D70" s="54" t="s">
        <v>1774</v>
      </c>
      <c r="E70" s="1008">
        <v>46082</v>
      </c>
      <c r="F70" s="127">
        <v>7.8E-2</v>
      </c>
      <c r="G70" s="426">
        <v>200000000</v>
      </c>
      <c r="H70" s="426">
        <v>23506849.315068495</v>
      </c>
      <c r="I70" s="426">
        <v>-18164383.561643794</v>
      </c>
      <c r="J70" s="54">
        <v>0</v>
      </c>
      <c r="K70" s="54">
        <v>0</v>
      </c>
      <c r="L70" s="54">
        <f t="shared" si="11"/>
        <v>205342465.7534247</v>
      </c>
      <c r="M70" s="428"/>
      <c r="N70" s="54">
        <f t="shared" si="12"/>
        <v>205342465.7534247</v>
      </c>
      <c r="O70" s="54">
        <f t="shared" si="8"/>
        <v>205342465.7534247</v>
      </c>
      <c r="P70" s="54">
        <f t="shared" si="9"/>
        <v>0</v>
      </c>
      <c r="Q70" s="54">
        <f t="shared" si="10"/>
        <v>205342465.7534247</v>
      </c>
    </row>
    <row r="71" spans="2:17" ht="12.75" customHeight="1">
      <c r="B71" s="1006" t="s">
        <v>1621</v>
      </c>
      <c r="C71" s="1007" t="s">
        <v>1505</v>
      </c>
      <c r="D71" s="54" t="s">
        <v>1775</v>
      </c>
      <c r="E71" s="1008">
        <v>46434</v>
      </c>
      <c r="F71" s="127">
        <v>9.5000000000000001E-2</v>
      </c>
      <c r="G71" s="426">
        <v>1010000000</v>
      </c>
      <c r="H71" s="426">
        <v>204518082.19178081</v>
      </c>
      <c r="I71" s="426">
        <v>-204255205.47945243</v>
      </c>
      <c r="J71" s="54">
        <v>-2634638.5914545199</v>
      </c>
      <c r="K71" s="54">
        <v>0</v>
      </c>
      <c r="L71" s="54">
        <f t="shared" si="11"/>
        <v>1007628238.1208739</v>
      </c>
      <c r="M71" s="428"/>
      <c r="N71" s="54">
        <f t="shared" si="12"/>
        <v>1007628238.1208739</v>
      </c>
      <c r="O71" s="54">
        <f t="shared" si="8"/>
        <v>1010262876.7123284</v>
      </c>
      <c r="P71" s="54">
        <f t="shared" si="9"/>
        <v>-2634638.5914545199</v>
      </c>
      <c r="Q71" s="54">
        <f t="shared" si="10"/>
        <v>1007628238.1208739</v>
      </c>
    </row>
    <row r="72" spans="2:17" ht="12.75" customHeight="1">
      <c r="B72" s="1006" t="s">
        <v>1621</v>
      </c>
      <c r="C72" s="1007" t="s">
        <v>1505</v>
      </c>
      <c r="D72" s="54" t="s">
        <v>1776</v>
      </c>
      <c r="E72" s="1008">
        <v>45846</v>
      </c>
      <c r="F72" s="127">
        <v>7.7499999999999999E-2</v>
      </c>
      <c r="G72" s="426">
        <v>500000000</v>
      </c>
      <c r="H72" s="426">
        <v>29407534</v>
      </c>
      <c r="I72" s="426">
        <v>-20065068.493150592</v>
      </c>
      <c r="J72" s="54">
        <v>0</v>
      </c>
      <c r="K72" s="54">
        <v>602248.14001362899</v>
      </c>
      <c r="L72" s="54">
        <f t="shared" si="11"/>
        <v>509944713.64686304</v>
      </c>
      <c r="M72" s="428"/>
      <c r="N72" s="54">
        <f t="shared" si="12"/>
        <v>509944713.64686304</v>
      </c>
      <c r="O72" s="54">
        <f t="shared" si="8"/>
        <v>509944713.64686304</v>
      </c>
      <c r="P72" s="54">
        <f t="shared" si="9"/>
        <v>0</v>
      </c>
      <c r="Q72" s="54">
        <f t="shared" si="10"/>
        <v>509944713.64686304</v>
      </c>
    </row>
    <row r="73" spans="2:17" ht="12.75" customHeight="1">
      <c r="B73" s="1006" t="s">
        <v>1621</v>
      </c>
      <c r="C73" s="1007" t="s">
        <v>1505</v>
      </c>
      <c r="D73" s="54" t="s">
        <v>1777</v>
      </c>
      <c r="E73" s="1008">
        <v>45846</v>
      </c>
      <c r="F73" s="127">
        <v>7.7499999999999999E-2</v>
      </c>
      <c r="G73" s="426">
        <v>250000000</v>
      </c>
      <c r="H73" s="426">
        <v>14703767.575342465</v>
      </c>
      <c r="I73" s="426">
        <v>-10032534.246575296</v>
      </c>
      <c r="J73" s="54">
        <v>0</v>
      </c>
      <c r="K73" s="54">
        <v>301123.721940513</v>
      </c>
      <c r="L73" s="54">
        <f t="shared" si="11"/>
        <v>254972357.0507077</v>
      </c>
      <c r="M73" s="428"/>
      <c r="N73" s="54">
        <f t="shared" si="12"/>
        <v>254972357.0507077</v>
      </c>
      <c r="O73" s="54">
        <f t="shared" si="8"/>
        <v>254972357.0507077</v>
      </c>
      <c r="P73" s="54">
        <f t="shared" si="9"/>
        <v>0</v>
      </c>
      <c r="Q73" s="54">
        <f t="shared" si="10"/>
        <v>254972357.0507077</v>
      </c>
    </row>
    <row r="74" spans="2:17" ht="12.75" customHeight="1">
      <c r="B74" s="1006" t="s">
        <v>1621</v>
      </c>
      <c r="C74" s="1007" t="s">
        <v>1505</v>
      </c>
      <c r="D74" s="54" t="s">
        <v>1778</v>
      </c>
      <c r="E74" s="1008">
        <v>45846</v>
      </c>
      <c r="F74" s="127">
        <v>7.7499999999999999E-2</v>
      </c>
      <c r="G74" s="426">
        <v>250000000</v>
      </c>
      <c r="H74" s="426">
        <v>14703767.575342465</v>
      </c>
      <c r="I74" s="426">
        <v>-10032534.246575296</v>
      </c>
      <c r="J74" s="54">
        <v>0</v>
      </c>
      <c r="K74" s="54">
        <v>301123.721940513</v>
      </c>
      <c r="L74" s="54">
        <f t="shared" si="11"/>
        <v>254972357.0507077</v>
      </c>
      <c r="M74" s="428"/>
      <c r="N74" s="54">
        <f t="shared" si="12"/>
        <v>254972357.0507077</v>
      </c>
      <c r="O74" s="54">
        <f t="shared" si="8"/>
        <v>254972357.0507077</v>
      </c>
      <c r="P74" s="54">
        <f t="shared" si="9"/>
        <v>0</v>
      </c>
      <c r="Q74" s="54">
        <f t="shared" si="10"/>
        <v>254972357.0507077</v>
      </c>
    </row>
    <row r="75" spans="2:17" ht="12.75" customHeight="1">
      <c r="B75" s="1006" t="s">
        <v>1621</v>
      </c>
      <c r="C75" s="1007" t="s">
        <v>1505</v>
      </c>
      <c r="D75" s="54" t="s">
        <v>1779</v>
      </c>
      <c r="E75" s="1008">
        <v>45846</v>
      </c>
      <c r="F75" s="127">
        <v>7.7499999999999999E-2</v>
      </c>
      <c r="G75" s="426">
        <v>250000000</v>
      </c>
      <c r="H75" s="426">
        <v>14703767.575342465</v>
      </c>
      <c r="I75" s="426">
        <v>-10032534.246575296</v>
      </c>
      <c r="J75" s="54">
        <v>0</v>
      </c>
      <c r="K75" s="54">
        <v>301123.721940513</v>
      </c>
      <c r="L75" s="54">
        <f t="shared" si="11"/>
        <v>254972357.0507077</v>
      </c>
      <c r="M75" s="428"/>
      <c r="N75" s="54">
        <f t="shared" si="12"/>
        <v>254972357.0507077</v>
      </c>
      <c r="O75" s="54">
        <f t="shared" si="8"/>
        <v>254972357.0507077</v>
      </c>
      <c r="P75" s="54">
        <f t="shared" si="9"/>
        <v>0</v>
      </c>
      <c r="Q75" s="54">
        <f t="shared" si="10"/>
        <v>254972357.0507077</v>
      </c>
    </row>
    <row r="76" spans="2:17" ht="12.75" customHeight="1">
      <c r="B76" s="1006" t="s">
        <v>1621</v>
      </c>
      <c r="C76" s="1007" t="s">
        <v>1505</v>
      </c>
      <c r="D76" s="54" t="s">
        <v>1780</v>
      </c>
      <c r="E76" s="1008">
        <v>45846</v>
      </c>
      <c r="F76" s="127">
        <v>7.7499999999999999E-2</v>
      </c>
      <c r="G76" s="426">
        <v>250000000</v>
      </c>
      <c r="H76" s="426">
        <v>14703767.575342465</v>
      </c>
      <c r="I76" s="426">
        <v>-10032534.246575296</v>
      </c>
      <c r="J76" s="54">
        <v>0</v>
      </c>
      <c r="K76" s="54">
        <v>301123.721940513</v>
      </c>
      <c r="L76" s="54">
        <f t="shared" si="11"/>
        <v>254972357.0507077</v>
      </c>
      <c r="M76" s="428"/>
      <c r="N76" s="54">
        <f t="shared" si="12"/>
        <v>254972357.0507077</v>
      </c>
      <c r="O76" s="54">
        <f t="shared" si="8"/>
        <v>254972357.0507077</v>
      </c>
      <c r="P76" s="54">
        <f t="shared" si="9"/>
        <v>0</v>
      </c>
      <c r="Q76" s="54">
        <f t="shared" si="10"/>
        <v>254972357.0507077</v>
      </c>
    </row>
    <row r="77" spans="2:17" ht="12.75" customHeight="1">
      <c r="B77" s="1006" t="s">
        <v>1684</v>
      </c>
      <c r="C77" s="1007" t="s">
        <v>1505</v>
      </c>
      <c r="D77" s="54" t="s">
        <v>1781</v>
      </c>
      <c r="E77" s="1008">
        <v>46769</v>
      </c>
      <c r="F77" s="127">
        <v>9.7500000000000003E-2</v>
      </c>
      <c r="G77" s="426">
        <v>2000000000</v>
      </c>
      <c r="H77" s="426">
        <v>611013698.63013697</v>
      </c>
      <c r="I77" s="426">
        <v>-594082191.78082156</v>
      </c>
      <c r="J77" s="54">
        <v>0</v>
      </c>
      <c r="K77" s="54">
        <v>98339200.429668203</v>
      </c>
      <c r="L77" s="54">
        <f t="shared" si="11"/>
        <v>2115270707.2789836</v>
      </c>
      <c r="M77" s="428"/>
      <c r="N77" s="54">
        <f t="shared" si="12"/>
        <v>2115270707.2789836</v>
      </c>
      <c r="O77" s="54">
        <f t="shared" si="8"/>
        <v>2115270707.2789836</v>
      </c>
      <c r="P77" s="54">
        <f t="shared" si="9"/>
        <v>0</v>
      </c>
      <c r="Q77" s="54">
        <f t="shared" si="10"/>
        <v>2115270707.2789836</v>
      </c>
    </row>
    <row r="78" spans="2:17" ht="12.75" customHeight="1">
      <c r="B78" s="1006" t="s">
        <v>1684</v>
      </c>
      <c r="C78" s="1007" t="s">
        <v>1505</v>
      </c>
      <c r="D78" s="54" t="s">
        <v>1685</v>
      </c>
      <c r="E78" s="1008">
        <v>46265</v>
      </c>
      <c r="F78" s="127">
        <v>9.2499999999999999E-2</v>
      </c>
      <c r="G78" s="426">
        <v>100000000</v>
      </c>
      <c r="H78" s="426">
        <v>16269863.01369863</v>
      </c>
      <c r="I78" s="426">
        <v>-15408219.178082159</v>
      </c>
      <c r="J78" s="54">
        <v>0</v>
      </c>
      <c r="K78" s="54">
        <v>1697417.8791265001</v>
      </c>
      <c r="L78" s="54">
        <f t="shared" si="11"/>
        <v>102559061.71474299</v>
      </c>
      <c r="M78" s="428"/>
      <c r="N78" s="54">
        <f t="shared" si="12"/>
        <v>102559061.71474299</v>
      </c>
      <c r="O78" s="54">
        <f t="shared" si="8"/>
        <v>102559061.71474299</v>
      </c>
      <c r="P78" s="54">
        <f t="shared" si="9"/>
        <v>0</v>
      </c>
      <c r="Q78" s="54">
        <f t="shared" si="10"/>
        <v>102559061.71474299</v>
      </c>
    </row>
    <row r="79" spans="2:17" ht="12.75" customHeight="1">
      <c r="B79" s="1006" t="s">
        <v>1688</v>
      </c>
      <c r="C79" s="1007" t="s">
        <v>1505</v>
      </c>
      <c r="D79" s="54" t="s">
        <v>1782</v>
      </c>
      <c r="E79" s="1008">
        <v>46024</v>
      </c>
      <c r="F79" s="127">
        <v>7.4999999999999997E-2</v>
      </c>
      <c r="G79" s="426">
        <v>250000000</v>
      </c>
      <c r="H79" s="426">
        <v>25993150.82191781</v>
      </c>
      <c r="I79" s="426">
        <v>-18852739.726027492</v>
      </c>
      <c r="J79" s="54">
        <v>0</v>
      </c>
      <c r="K79" s="54">
        <v>0</v>
      </c>
      <c r="L79" s="54">
        <f t="shared" si="11"/>
        <v>257140411.09589034</v>
      </c>
      <c r="M79" s="428"/>
      <c r="N79" s="54">
        <f t="shared" si="12"/>
        <v>257140411.09589034</v>
      </c>
      <c r="O79" s="54">
        <f t="shared" si="8"/>
        <v>257140411.09589034</v>
      </c>
      <c r="P79" s="54">
        <f t="shared" si="9"/>
        <v>0</v>
      </c>
      <c r="Q79" s="54">
        <f t="shared" si="10"/>
        <v>257140411.09589034</v>
      </c>
    </row>
    <row r="80" spans="2:17" ht="12.75" customHeight="1">
      <c r="B80" s="1006" t="s">
        <v>1688</v>
      </c>
      <c r="C80" s="1007" t="s">
        <v>1505</v>
      </c>
      <c r="D80" s="54" t="s">
        <v>1783</v>
      </c>
      <c r="E80" s="1008">
        <v>46024</v>
      </c>
      <c r="F80" s="127">
        <v>7.4999999999999997E-2</v>
      </c>
      <c r="G80" s="426">
        <v>250000000</v>
      </c>
      <c r="H80" s="426">
        <v>25993150.82191781</v>
      </c>
      <c r="I80" s="426">
        <v>-18852739.726027492</v>
      </c>
      <c r="J80" s="54">
        <v>0</v>
      </c>
      <c r="K80" s="54">
        <v>0</v>
      </c>
      <c r="L80" s="54">
        <f t="shared" si="11"/>
        <v>257140411.09589034</v>
      </c>
      <c r="M80" s="428"/>
      <c r="N80" s="54">
        <f t="shared" si="12"/>
        <v>257140411.09589034</v>
      </c>
      <c r="O80" s="54">
        <f t="shared" si="8"/>
        <v>257140411.09589034</v>
      </c>
      <c r="P80" s="54">
        <f t="shared" si="9"/>
        <v>0</v>
      </c>
      <c r="Q80" s="54">
        <f t="shared" si="10"/>
        <v>257140411.09589034</v>
      </c>
    </row>
    <row r="81" spans="2:18" ht="12.75" customHeight="1">
      <c r="B81" s="1006" t="s">
        <v>1688</v>
      </c>
      <c r="C81" s="1007" t="s">
        <v>1505</v>
      </c>
      <c r="D81" s="54" t="s">
        <v>1784</v>
      </c>
      <c r="E81" s="1008">
        <v>46024</v>
      </c>
      <c r="F81" s="127">
        <v>7.4999999999999997E-2</v>
      </c>
      <c r="G81" s="426">
        <v>200000000</v>
      </c>
      <c r="H81" s="426">
        <v>15801369.534246579</v>
      </c>
      <c r="I81" s="426">
        <v>-15082191.780821815</v>
      </c>
      <c r="J81" s="54">
        <v>0</v>
      </c>
      <c r="K81" s="54">
        <v>0</v>
      </c>
      <c r="L81" s="54">
        <f t="shared" si="11"/>
        <v>200719177.75342476</v>
      </c>
      <c r="M81" s="428"/>
      <c r="N81" s="54">
        <f t="shared" si="12"/>
        <v>200719177.75342476</v>
      </c>
      <c r="O81" s="54">
        <f t="shared" si="8"/>
        <v>200719177.75342476</v>
      </c>
      <c r="P81" s="54">
        <f t="shared" si="9"/>
        <v>0</v>
      </c>
      <c r="Q81" s="54">
        <f t="shared" si="10"/>
        <v>200719177.75342476</v>
      </c>
    </row>
    <row r="82" spans="2:18" ht="12.75" customHeight="1">
      <c r="B82" s="1006" t="s">
        <v>2863</v>
      </c>
      <c r="C82" s="1007" t="s">
        <v>1505</v>
      </c>
      <c r="D82" s="54" t="s">
        <v>2864</v>
      </c>
      <c r="E82" s="1008">
        <v>45847</v>
      </c>
      <c r="F82" s="127">
        <v>0.105</v>
      </c>
      <c r="G82" s="54">
        <v>5000000000</v>
      </c>
      <c r="H82" s="426">
        <v>446273972.60273969</v>
      </c>
      <c r="I82" s="426">
        <v>-232945205.47945207</v>
      </c>
      <c r="J82" s="54">
        <v>0</v>
      </c>
      <c r="K82" s="54">
        <v>22780682.756188001</v>
      </c>
      <c r="L82" s="54">
        <f t="shared" si="11"/>
        <v>5236109449.8794756</v>
      </c>
      <c r="M82" s="428"/>
      <c r="N82" s="54">
        <f t="shared" si="12"/>
        <v>5236109449.8794756</v>
      </c>
      <c r="O82" s="54">
        <f t="shared" si="8"/>
        <v>5236109449.8794756</v>
      </c>
      <c r="P82" s="54">
        <f t="shared" si="9"/>
        <v>0</v>
      </c>
      <c r="Q82" s="54">
        <f t="shared" si="10"/>
        <v>5236109449.8794756</v>
      </c>
    </row>
    <row r="83" spans="2:18" ht="12.75" customHeight="1">
      <c r="B83" s="1006" t="s">
        <v>1519</v>
      </c>
      <c r="C83" s="1007" t="s">
        <v>1505</v>
      </c>
      <c r="D83" s="54" t="s">
        <v>2751</v>
      </c>
      <c r="E83" s="1008">
        <v>45847</v>
      </c>
      <c r="F83" s="127">
        <v>8.9499999999999996E-2</v>
      </c>
      <c r="G83" s="54">
        <v>3000000000</v>
      </c>
      <c r="H83" s="426">
        <v>267764383.56164384</v>
      </c>
      <c r="I83" s="426">
        <v>-139767123.28767145</v>
      </c>
      <c r="J83" s="54">
        <v>0</v>
      </c>
      <c r="K83" s="54">
        <v>24264998.628657401</v>
      </c>
      <c r="L83" s="54">
        <f t="shared" si="11"/>
        <v>3152262258.9026294</v>
      </c>
      <c r="M83" s="428"/>
      <c r="N83" s="54">
        <f t="shared" si="12"/>
        <v>3152262258.9026294</v>
      </c>
      <c r="O83" s="54">
        <f t="shared" si="8"/>
        <v>3152262258.9026294</v>
      </c>
      <c r="P83" s="54">
        <f t="shared" si="9"/>
        <v>0</v>
      </c>
      <c r="Q83" s="54">
        <f t="shared" si="10"/>
        <v>3152262258.9026294</v>
      </c>
    </row>
    <row r="84" spans="2:18" ht="12.75" customHeight="1">
      <c r="B84" s="1006" t="s">
        <v>1515</v>
      </c>
      <c r="C84" s="1007" t="s">
        <v>1505</v>
      </c>
      <c r="D84" s="54" t="s">
        <v>2865</v>
      </c>
      <c r="E84" s="1008">
        <v>46202</v>
      </c>
      <c r="F84" s="127">
        <v>9.0999999999999998E-2</v>
      </c>
      <c r="G84" s="54">
        <v>1000000000</v>
      </c>
      <c r="H84" s="426">
        <v>181501369.86301371</v>
      </c>
      <c r="I84" s="426">
        <v>-135876712.32876712</v>
      </c>
      <c r="J84" s="54">
        <v>0</v>
      </c>
      <c r="K84" s="54">
        <v>15438552.857193001</v>
      </c>
      <c r="L84" s="54">
        <f t="shared" si="11"/>
        <v>1061063210.3914397</v>
      </c>
      <c r="M84" s="428"/>
      <c r="N84" s="54">
        <f t="shared" si="12"/>
        <v>1061063210.3914397</v>
      </c>
      <c r="O84" s="54">
        <f t="shared" ref="O84:O88" si="13">+N84-J84</f>
        <v>1061063210.3914397</v>
      </c>
      <c r="P84" s="54">
        <f t="shared" ref="P84:P88" si="14">+J84</f>
        <v>0</v>
      </c>
      <c r="Q84" s="54">
        <f t="shared" ref="Q84:Q88" si="15">+O84+P84</f>
        <v>1061063210.3914397</v>
      </c>
    </row>
    <row r="85" spans="2:18" ht="12.75" customHeight="1">
      <c r="B85" s="1006" t="s">
        <v>1515</v>
      </c>
      <c r="C85" s="1007" t="s">
        <v>1505</v>
      </c>
      <c r="D85" s="54" t="s">
        <v>2866</v>
      </c>
      <c r="E85" s="1008">
        <v>46202</v>
      </c>
      <c r="F85" s="127">
        <v>9.0999999999999998E-2</v>
      </c>
      <c r="G85" s="54">
        <v>1000000000</v>
      </c>
      <c r="H85" s="426">
        <v>181501369.86301371</v>
      </c>
      <c r="I85" s="426">
        <v>-135876712.32876712</v>
      </c>
      <c r="J85" s="54">
        <v>0</v>
      </c>
      <c r="K85" s="54">
        <v>15438552.857193001</v>
      </c>
      <c r="L85" s="54">
        <f t="shared" ref="L85:L88" si="16">+G85+H85+I85+J85+K85</f>
        <v>1061063210.3914397</v>
      </c>
      <c r="M85" s="428"/>
      <c r="N85" s="54">
        <f t="shared" ref="N85:N88" si="17">+L85</f>
        <v>1061063210.3914397</v>
      </c>
      <c r="O85" s="54">
        <f t="shared" si="13"/>
        <v>1061063210.3914397</v>
      </c>
      <c r="P85" s="54">
        <f t="shared" si="14"/>
        <v>0</v>
      </c>
      <c r="Q85" s="54">
        <f t="shared" si="15"/>
        <v>1061063210.3914397</v>
      </c>
    </row>
    <row r="86" spans="2:18" ht="12.75" customHeight="1">
      <c r="B86" s="1006" t="s">
        <v>1515</v>
      </c>
      <c r="C86" s="1007" t="s">
        <v>1505</v>
      </c>
      <c r="D86" s="54" t="s">
        <v>2867</v>
      </c>
      <c r="E86" s="1008">
        <v>46202</v>
      </c>
      <c r="F86" s="127">
        <v>9.0999999999999998E-2</v>
      </c>
      <c r="G86" s="54">
        <v>1000000000</v>
      </c>
      <c r="H86" s="426">
        <v>181501369.86301371</v>
      </c>
      <c r="I86" s="426">
        <v>-135876712.32876712</v>
      </c>
      <c r="J86" s="54">
        <v>0</v>
      </c>
      <c r="K86" s="54">
        <v>15438552.857193001</v>
      </c>
      <c r="L86" s="54">
        <f t="shared" si="16"/>
        <v>1061063210.3914397</v>
      </c>
      <c r="M86" s="428"/>
      <c r="N86" s="54">
        <f t="shared" si="17"/>
        <v>1061063210.3914397</v>
      </c>
      <c r="O86" s="54">
        <f t="shared" si="13"/>
        <v>1061063210.3914397</v>
      </c>
      <c r="P86" s="54">
        <f t="shared" si="14"/>
        <v>0</v>
      </c>
      <c r="Q86" s="54">
        <f t="shared" si="15"/>
        <v>1061063210.3914397</v>
      </c>
    </row>
    <row r="87" spans="2:18" ht="12.75" customHeight="1">
      <c r="B87" s="1006" t="s">
        <v>1515</v>
      </c>
      <c r="C87" s="1007" t="s">
        <v>1505</v>
      </c>
      <c r="D87" s="54" t="s">
        <v>2868</v>
      </c>
      <c r="E87" s="1008">
        <v>46202</v>
      </c>
      <c r="F87" s="127">
        <v>9.0999999999999998E-2</v>
      </c>
      <c r="G87" s="54">
        <v>1000000000</v>
      </c>
      <c r="H87" s="426">
        <v>181501369.86301371</v>
      </c>
      <c r="I87" s="426">
        <v>-135876712.32876712</v>
      </c>
      <c r="J87" s="54">
        <v>0</v>
      </c>
      <c r="K87" s="54">
        <v>15438552.857193001</v>
      </c>
      <c r="L87" s="54">
        <f t="shared" si="16"/>
        <v>1061063210.3914397</v>
      </c>
      <c r="M87" s="428"/>
      <c r="N87" s="54">
        <f t="shared" si="17"/>
        <v>1061063210.3914397</v>
      </c>
      <c r="O87" s="54">
        <f t="shared" si="13"/>
        <v>1061063210.3914397</v>
      </c>
      <c r="P87" s="54">
        <f t="shared" si="14"/>
        <v>0</v>
      </c>
      <c r="Q87" s="54">
        <f t="shared" si="15"/>
        <v>1061063210.3914397</v>
      </c>
    </row>
    <row r="88" spans="2:18" ht="12.75" customHeight="1">
      <c r="B88" s="1006" t="s">
        <v>1515</v>
      </c>
      <c r="C88" s="1007" t="s">
        <v>1505</v>
      </c>
      <c r="D88" s="54" t="s">
        <v>2869</v>
      </c>
      <c r="E88" s="1008">
        <v>46202</v>
      </c>
      <c r="F88" s="127">
        <v>9.0999999999999998E-2</v>
      </c>
      <c r="G88" s="54">
        <v>1000000000</v>
      </c>
      <c r="H88" s="426">
        <v>181501369.86301371</v>
      </c>
      <c r="I88" s="426">
        <v>-135876712.32876712</v>
      </c>
      <c r="J88" s="54">
        <v>0</v>
      </c>
      <c r="K88" s="54">
        <v>15438552.857193001</v>
      </c>
      <c r="L88" s="54">
        <f t="shared" si="16"/>
        <v>1061063210.3914397</v>
      </c>
      <c r="M88" s="428"/>
      <c r="N88" s="54">
        <f t="shared" si="17"/>
        <v>1061063210.3914397</v>
      </c>
      <c r="O88" s="54">
        <f t="shared" si="13"/>
        <v>1061063210.3914397</v>
      </c>
      <c r="P88" s="54">
        <f t="shared" si="14"/>
        <v>0</v>
      </c>
      <c r="Q88" s="54">
        <f t="shared" si="15"/>
        <v>1061063210.3914397</v>
      </c>
    </row>
    <row r="89" spans="2:18" ht="12.75" customHeight="1" thickBot="1">
      <c r="B89" s="999"/>
      <c r="C89" s="1012"/>
      <c r="D89" s="86"/>
      <c r="E89" s="1013"/>
      <c r="F89" s="1009" t="s">
        <v>1509</v>
      </c>
      <c r="G89" s="429">
        <f t="shared" ref="G89:Q89" si="18">+SUM(G20:G88)</f>
        <v>30310000000</v>
      </c>
      <c r="H89" s="429">
        <f t="shared" si="18"/>
        <v>4426317952.8901348</v>
      </c>
      <c r="I89" s="429">
        <f t="shared" si="18"/>
        <v>-3421132883.6738162</v>
      </c>
      <c r="J89" s="429">
        <f t="shared" si="18"/>
        <v>-2634638.5914545199</v>
      </c>
      <c r="K89" s="429">
        <f t="shared" si="18"/>
        <v>274548887.34597689</v>
      </c>
      <c r="L89" s="429">
        <f t="shared" si="18"/>
        <v>31587099317.970863</v>
      </c>
      <c r="M89" s="429">
        <f t="shared" si="18"/>
        <v>0</v>
      </c>
      <c r="N89" s="429">
        <f t="shared" si="18"/>
        <v>31587099317.970863</v>
      </c>
      <c r="O89" s="429">
        <f t="shared" si="18"/>
        <v>31589733956.562317</v>
      </c>
      <c r="P89" s="429">
        <f t="shared" si="18"/>
        <v>-2634638.5914545199</v>
      </c>
      <c r="Q89" s="429">
        <f t="shared" si="18"/>
        <v>31587099317.970863</v>
      </c>
      <c r="R89" s="1022">
        <f>+Q89-N89</f>
        <v>0</v>
      </c>
    </row>
    <row r="90" spans="2:18" ht="12.75" customHeight="1" thickTop="1">
      <c r="G90" s="1022"/>
      <c r="H90" s="1022"/>
      <c r="I90" s="1022"/>
      <c r="J90" s="1022"/>
      <c r="K90" s="1022"/>
    </row>
    <row r="91" spans="2:18" ht="12.75" customHeight="1" thickBot="1">
      <c r="B91" s="1004" t="s">
        <v>1673</v>
      </c>
      <c r="C91" s="1005"/>
      <c r="D91" s="53"/>
      <c r="E91" s="1005"/>
      <c r="F91" s="1005"/>
      <c r="G91" s="53"/>
      <c r="H91" s="53"/>
      <c r="I91" s="53"/>
      <c r="J91" s="53"/>
      <c r="K91" s="53"/>
      <c r="L91" s="53"/>
      <c r="M91" s="427"/>
      <c r="N91" s="53"/>
      <c r="O91" s="53"/>
      <c r="P91" s="53"/>
      <c r="Q91" s="53"/>
    </row>
    <row r="92" spans="2:18" ht="12.75" customHeight="1">
      <c r="B92" s="77" t="s">
        <v>1600</v>
      </c>
      <c r="C92" s="75" t="s">
        <v>1505</v>
      </c>
      <c r="D92" s="54" t="s">
        <v>2752</v>
      </c>
      <c r="E92" s="69">
        <v>46958</v>
      </c>
      <c r="F92" s="127">
        <v>7.5399999999999995E-2</v>
      </c>
      <c r="G92" s="54">
        <v>1000000000</v>
      </c>
      <c r="H92" s="426">
        <v>269993972.60273975</v>
      </c>
      <c r="I92" s="426">
        <v>-268754520.54794502</v>
      </c>
      <c r="J92" s="54">
        <v>-20043236.388392199</v>
      </c>
      <c r="K92" s="54">
        <v>0</v>
      </c>
      <c r="L92" s="54">
        <f t="shared" ref="L92" si="19">+G92+H92+I92+J92+K92</f>
        <v>981196215.66640258</v>
      </c>
      <c r="M92" s="428"/>
      <c r="N92" s="54">
        <f t="shared" ref="N92" si="20">+L92</f>
        <v>981196215.66640258</v>
      </c>
      <c r="O92" s="54">
        <f t="shared" ref="O92" si="21">+N92-J92</f>
        <v>1001239452.0547948</v>
      </c>
      <c r="P92" s="54">
        <f t="shared" ref="P92" si="22">+J92</f>
        <v>-20043236.388392199</v>
      </c>
      <c r="Q92" s="54">
        <f t="shared" ref="Q92" si="23">+O92+P92</f>
        <v>981196215.66640258</v>
      </c>
    </row>
    <row r="93" spans="2:18" ht="12.75" customHeight="1" thickBot="1">
      <c r="B93" s="999"/>
      <c r="C93" s="1012"/>
      <c r="D93" s="86"/>
      <c r="E93" s="1013"/>
      <c r="F93" s="1009" t="s">
        <v>1509</v>
      </c>
      <c r="G93" s="429">
        <f>+SUM(G92)</f>
        <v>1000000000</v>
      </c>
      <c r="H93" s="429">
        <f t="shared" ref="H93:Q93" si="24">+SUM(H92)</f>
        <v>269993972.60273975</v>
      </c>
      <c r="I93" s="429">
        <f t="shared" si="24"/>
        <v>-268754520.54794502</v>
      </c>
      <c r="J93" s="429">
        <f t="shared" si="24"/>
        <v>-20043236.388392199</v>
      </c>
      <c r="K93" s="429">
        <f t="shared" si="24"/>
        <v>0</v>
      </c>
      <c r="L93" s="429">
        <f t="shared" si="24"/>
        <v>981196215.66640258</v>
      </c>
      <c r="M93" s="429">
        <f t="shared" si="24"/>
        <v>0</v>
      </c>
      <c r="N93" s="429">
        <f t="shared" si="24"/>
        <v>981196215.66640258</v>
      </c>
      <c r="O93" s="429">
        <f t="shared" si="24"/>
        <v>1001239452.0547948</v>
      </c>
      <c r="P93" s="429">
        <f t="shared" si="24"/>
        <v>-20043236.388392199</v>
      </c>
      <c r="Q93" s="429">
        <f t="shared" si="24"/>
        <v>981196215.66640258</v>
      </c>
      <c r="R93" s="1022">
        <f>+Q93-N93</f>
        <v>0</v>
      </c>
    </row>
    <row r="94" spans="2:18" ht="12.75" customHeight="1" thickTop="1"/>
    <row r="95" spans="2:18" ht="12.75" customHeight="1" thickBot="1">
      <c r="B95" s="1004" t="s">
        <v>1696</v>
      </c>
      <c r="C95" s="1005"/>
      <c r="D95" s="53"/>
      <c r="E95" s="1005"/>
      <c r="F95" s="1005"/>
      <c r="G95" s="53"/>
      <c r="H95" s="53"/>
      <c r="I95" s="53"/>
      <c r="J95" s="53"/>
      <c r="K95" s="53"/>
      <c r="L95" s="53"/>
      <c r="M95" s="427"/>
      <c r="N95" s="53"/>
      <c r="O95" s="53"/>
      <c r="P95" s="53"/>
      <c r="Q95" s="53"/>
    </row>
    <row r="96" spans="2:18" ht="12.75" customHeight="1">
      <c r="B96" s="77" t="s">
        <v>1600</v>
      </c>
      <c r="C96" s="75" t="s">
        <v>1505</v>
      </c>
      <c r="D96" s="54" t="s">
        <v>1697</v>
      </c>
      <c r="E96" s="69">
        <v>46937</v>
      </c>
      <c r="F96" s="127">
        <v>6.1499999999999999E-2</v>
      </c>
      <c r="G96" s="54">
        <v>355000000</v>
      </c>
      <c r="H96" s="426">
        <v>79254966</v>
      </c>
      <c r="I96" s="945">
        <v>-76563288</v>
      </c>
      <c r="J96" s="54">
        <v>-20691170</v>
      </c>
      <c r="K96" s="54">
        <v>0</v>
      </c>
      <c r="L96" s="54">
        <f>+G96+H96+I96+J96+K96</f>
        <v>337000508</v>
      </c>
      <c r="M96" s="428"/>
      <c r="N96" s="54">
        <f>+L96</f>
        <v>337000508</v>
      </c>
      <c r="O96" s="54">
        <f t="shared" ref="O96" si="25">+N96-J96</f>
        <v>357691678</v>
      </c>
      <c r="P96" s="54">
        <f t="shared" ref="P96" si="26">+J96</f>
        <v>-20691170</v>
      </c>
      <c r="Q96" s="54">
        <f t="shared" ref="Q96" si="27">+O96+P96</f>
        <v>337000508</v>
      </c>
    </row>
    <row r="97" spans="2:18" ht="12.75" customHeight="1" thickBot="1">
      <c r="B97" s="999"/>
      <c r="C97" s="1002"/>
      <c r="D97" s="850"/>
      <c r="E97" s="1003"/>
      <c r="F97" s="1009" t="s">
        <v>1509</v>
      </c>
      <c r="G97" s="429">
        <f t="shared" ref="G97:N97" si="28">SUM(G96:G96)</f>
        <v>355000000</v>
      </c>
      <c r="H97" s="429">
        <f t="shared" si="28"/>
        <v>79254966</v>
      </c>
      <c r="I97" s="429">
        <f t="shared" si="28"/>
        <v>-76563288</v>
      </c>
      <c r="J97" s="429">
        <f t="shared" si="28"/>
        <v>-20691170</v>
      </c>
      <c r="K97" s="429">
        <f t="shared" si="28"/>
        <v>0</v>
      </c>
      <c r="L97" s="429">
        <f t="shared" si="28"/>
        <v>337000508</v>
      </c>
      <c r="M97" s="429">
        <f t="shared" si="28"/>
        <v>0</v>
      </c>
      <c r="N97" s="429">
        <f t="shared" si="28"/>
        <v>337000508</v>
      </c>
      <c r="O97" s="429">
        <f t="shared" ref="O97:Q97" si="29">SUM(O96:O96)</f>
        <v>357691678</v>
      </c>
      <c r="P97" s="429">
        <f t="shared" ref="P97" si="30">SUM(P96:P96)</f>
        <v>-20691170</v>
      </c>
      <c r="Q97" s="429">
        <f t="shared" si="29"/>
        <v>337000508</v>
      </c>
      <c r="R97" s="1022">
        <f>+Q97-N97</f>
        <v>0</v>
      </c>
    </row>
    <row r="98" spans="2:18" ht="12.75" customHeight="1" thickTop="1"/>
    <row r="99" spans="2:18" ht="12.75" customHeight="1" thickBot="1">
      <c r="B99" s="80" t="s">
        <v>2870</v>
      </c>
      <c r="C99" s="1005"/>
      <c r="D99" s="53"/>
      <c r="E99" s="1005"/>
      <c r="F99" s="1005"/>
      <c r="G99" s="53"/>
      <c r="H99" s="53"/>
      <c r="I99" s="53"/>
      <c r="J99" s="53"/>
      <c r="K99" s="53"/>
      <c r="L99" s="53"/>
      <c r="M99" s="427"/>
      <c r="N99" s="53"/>
      <c r="O99" s="53"/>
      <c r="P99" s="53"/>
      <c r="Q99" s="53"/>
    </row>
    <row r="100" spans="2:18" ht="12.75" customHeight="1">
      <c r="B100" s="77" t="s">
        <v>1616</v>
      </c>
      <c r="C100" s="75" t="s">
        <v>1505</v>
      </c>
      <c r="D100" s="54" t="s">
        <v>2871</v>
      </c>
      <c r="E100" s="69">
        <v>46751</v>
      </c>
      <c r="F100" s="127">
        <v>7.8E-2</v>
      </c>
      <c r="G100" s="54">
        <v>1500000000</v>
      </c>
      <c r="H100" s="426">
        <v>355167123.28767121</v>
      </c>
      <c r="I100" s="945">
        <v>-350679452.05479401</v>
      </c>
      <c r="J100" s="54">
        <v>0</v>
      </c>
      <c r="K100" s="54">
        <v>0</v>
      </c>
      <c r="L100" s="54">
        <f>+G100+H100+I100+J100+K100</f>
        <v>1504487671.232877</v>
      </c>
      <c r="M100" s="428"/>
      <c r="N100" s="54">
        <f>+L100</f>
        <v>1504487671.232877</v>
      </c>
      <c r="O100" s="54">
        <f t="shared" ref="O100" si="31">+N100-J100</f>
        <v>1504487671.232877</v>
      </c>
      <c r="P100" s="54">
        <f t="shared" ref="P100" si="32">+J100</f>
        <v>0</v>
      </c>
      <c r="Q100" s="54">
        <f t="shared" ref="Q100" si="33">+O100+P100</f>
        <v>1504487671.232877</v>
      </c>
    </row>
    <row r="101" spans="2:18" ht="12.75" customHeight="1" thickBot="1">
      <c r="B101" s="999"/>
      <c r="C101" s="1002"/>
      <c r="D101" s="850"/>
      <c r="E101" s="1003"/>
      <c r="F101" s="1009" t="s">
        <v>1509</v>
      </c>
      <c r="G101" s="429">
        <f t="shared" ref="G101:N101" si="34">SUM(G100:G100)</f>
        <v>1500000000</v>
      </c>
      <c r="H101" s="429">
        <f t="shared" si="34"/>
        <v>355167123.28767121</v>
      </c>
      <c r="I101" s="429">
        <f t="shared" si="34"/>
        <v>-350679452.05479401</v>
      </c>
      <c r="J101" s="429">
        <f t="shared" si="34"/>
        <v>0</v>
      </c>
      <c r="K101" s="429">
        <f t="shared" si="34"/>
        <v>0</v>
      </c>
      <c r="L101" s="429">
        <f t="shared" si="34"/>
        <v>1504487671.232877</v>
      </c>
      <c r="M101" s="429">
        <f t="shared" si="34"/>
        <v>0</v>
      </c>
      <c r="N101" s="429">
        <f t="shared" si="34"/>
        <v>1504487671.232877</v>
      </c>
      <c r="O101" s="429">
        <f t="shared" ref="O101:Q101" si="35">SUM(O100:O100)</f>
        <v>1504487671.232877</v>
      </c>
      <c r="P101" s="429">
        <f t="shared" si="35"/>
        <v>0</v>
      </c>
      <c r="Q101" s="429">
        <f t="shared" si="35"/>
        <v>1504487671.232877</v>
      </c>
      <c r="R101" s="1022">
        <f>+Q101-N101</f>
        <v>0</v>
      </c>
    </row>
    <row r="102" spans="2:18" ht="12.75" customHeight="1" thickTop="1"/>
    <row r="103" spans="2:18" s="1021" customFormat="1" ht="12.75" customHeight="1">
      <c r="B103" s="1023" t="s">
        <v>1787</v>
      </c>
      <c r="C103" s="1024"/>
      <c r="D103" s="1024"/>
      <c r="E103" s="1024"/>
      <c r="F103" s="1024"/>
      <c r="G103" s="1023">
        <f>+G13+G89+G97+G93+G17+G101</f>
        <v>36466000000</v>
      </c>
      <c r="H103" s="1023">
        <f t="shared" ref="H103:Q103" si="36">+H13+H89+H97+H93+H17+H101</f>
        <v>6358718464.7805452</v>
      </c>
      <c r="I103" s="1023">
        <f t="shared" si="36"/>
        <v>-5260481861.1722603</v>
      </c>
      <c r="J103" s="1023">
        <f t="shared" si="36"/>
        <v>-62769657.877475411</v>
      </c>
      <c r="K103" s="1023">
        <f t="shared" si="36"/>
        <v>438513486.16587847</v>
      </c>
      <c r="L103" s="1023">
        <f t="shared" si="36"/>
        <v>37939980431.896721</v>
      </c>
      <c r="M103" s="1023">
        <f t="shared" si="36"/>
        <v>0</v>
      </c>
      <c r="N103" s="1023">
        <f t="shared" si="36"/>
        <v>37939980431.896721</v>
      </c>
      <c r="O103" s="1023">
        <f t="shared" si="36"/>
        <v>38002750089.774185</v>
      </c>
      <c r="P103" s="1023">
        <f t="shared" si="36"/>
        <v>-62769656.877475411</v>
      </c>
      <c r="Q103" s="1023">
        <f t="shared" si="36"/>
        <v>37939980432.896721</v>
      </c>
    </row>
  </sheetData>
  <sheetProtection algorithmName="SHA-512" hashValue="EpZPuIdThjaMa/wFGCICwD7MJVMnLVVyu8U4DEmhhP/2BMXfmIuq1ZXXUGNaQYzhBmfE/rgQNImGz9M3lQejYA==" saltValue="jinOQpMvIFnb1I1OXLbLjQ==" spinCount="100000" sheet="1" objects="1" scenarios="1"/>
  <mergeCells count="2">
    <mergeCell ref="B5:N5"/>
    <mergeCell ref="B6:N6"/>
  </mergeCells>
  <conditionalFormatting sqref="D24:D44 D49:D88">
    <cfRule type="duplicateValues" dxfId="5" priority="81"/>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8AAF8-4B7F-458C-9B61-F59DBA4152E5}">
  <sheetPr codeName="Hoja18">
    <tabColor rgb="FF92D050"/>
  </sheetPr>
  <dimension ref="B5:T223"/>
  <sheetViews>
    <sheetView showGridLines="0" topLeftCell="A4" zoomScale="80" zoomScaleNormal="80" workbookViewId="0">
      <pane xSplit="10" ySplit="5" topLeftCell="K139" activePane="bottomRight" state="frozen"/>
      <selection activeCell="D365" sqref="D365"/>
      <selection pane="topRight" activeCell="D365" sqref="D365"/>
      <selection pane="bottomLeft" activeCell="D365" sqref="D365"/>
      <selection pane="bottomRight" activeCell="D144" sqref="D144"/>
    </sheetView>
  </sheetViews>
  <sheetFormatPr baseColWidth="10" defaultColWidth="11.44140625" defaultRowHeight="12.75" customHeight="1"/>
  <cols>
    <col min="1" max="1" width="2.109375" style="996" customWidth="1"/>
    <col min="2" max="2" width="32.44140625" style="996" customWidth="1"/>
    <col min="3" max="3" width="9.88671875" style="996" customWidth="1"/>
    <col min="4" max="4" width="16.109375" style="996" customWidth="1"/>
    <col min="5" max="5" width="13.88671875" style="996" customWidth="1"/>
    <col min="6" max="6" width="12.33203125" style="996" bestFit="1" customWidth="1"/>
    <col min="7" max="7" width="22.33203125" style="996" bestFit="1" customWidth="1"/>
    <col min="8" max="8" width="21" style="996" bestFit="1" customWidth="1"/>
    <col min="9" max="9" width="21.6640625" style="996" bestFit="1" customWidth="1"/>
    <col min="10" max="10" width="17.5546875" style="996" customWidth="1"/>
    <col min="11" max="11" width="17.109375" style="996" bestFit="1" customWidth="1"/>
    <col min="12" max="12" width="22" style="996" bestFit="1" customWidth="1"/>
    <col min="13" max="13" width="19.109375" style="996" customWidth="1"/>
    <col min="14" max="14" width="21.33203125" style="996" customWidth="1"/>
    <col min="15" max="15" width="13" style="996" bestFit="1" customWidth="1"/>
    <col min="16" max="16" width="16.5546875" style="996" bestFit="1" customWidth="1"/>
    <col min="17" max="17" width="21.33203125" style="996" customWidth="1"/>
    <col min="18" max="19" width="21.88671875" style="996" customWidth="1"/>
    <col min="20" max="20" width="17.33203125" style="996" bestFit="1" customWidth="1"/>
    <col min="21" max="16384" width="11.44140625" style="996"/>
  </cols>
  <sheetData>
    <row r="5" spans="2:20" ht="16.2" customHeight="1">
      <c r="B5" s="1576" t="s">
        <v>1663</v>
      </c>
      <c r="C5" s="1576"/>
      <c r="D5" s="1576"/>
      <c r="E5" s="1576"/>
      <c r="F5" s="1576"/>
      <c r="G5" s="1576"/>
      <c r="H5" s="1576"/>
      <c r="I5" s="1576"/>
      <c r="J5" s="1576"/>
      <c r="K5" s="1576"/>
      <c r="L5" s="1576"/>
      <c r="M5" s="1576"/>
      <c r="N5" s="1576"/>
      <c r="R5" s="1067">
        <v>-117891967</v>
      </c>
      <c r="S5" s="1067">
        <v>117892008</v>
      </c>
      <c r="T5" s="1067">
        <f>+R5+S5</f>
        <v>41</v>
      </c>
    </row>
    <row r="6" spans="2:20" ht="16.2" customHeight="1" thickBot="1">
      <c r="B6" s="1577" t="s">
        <v>2872</v>
      </c>
      <c r="C6" s="1577"/>
      <c r="D6" s="1577"/>
      <c r="E6" s="1577"/>
      <c r="F6" s="1577"/>
      <c r="G6" s="1577"/>
      <c r="H6" s="1577"/>
      <c r="I6" s="1577"/>
      <c r="J6" s="1577"/>
      <c r="K6" s="1577"/>
      <c r="L6" s="1577"/>
      <c r="M6" s="1577"/>
      <c r="N6" s="1577"/>
      <c r="O6" s="1577"/>
      <c r="P6" s="1577"/>
      <c r="Q6" s="1577"/>
      <c r="R6" s="1577"/>
      <c r="S6" s="1577"/>
    </row>
    <row r="7" spans="2:20" ht="14.4" thickTop="1" thickBot="1">
      <c r="B7" s="997"/>
      <c r="C7" s="997"/>
      <c r="D7" s="997"/>
      <c r="E7" s="997"/>
      <c r="F7" s="997"/>
      <c r="G7" s="998"/>
      <c r="H7" s="999"/>
      <c r="I7" s="999"/>
      <c r="J7" s="999"/>
      <c r="K7" s="999"/>
      <c r="L7" s="999"/>
      <c r="M7" s="999"/>
      <c r="N7" s="999"/>
      <c r="O7" s="999"/>
      <c r="P7" s="999"/>
      <c r="Q7" s="999"/>
    </row>
    <row r="8" spans="2:20" ht="33.75" customHeight="1" thickBot="1">
      <c r="B8" s="1000" t="s">
        <v>1488</v>
      </c>
      <c r="C8" s="1000" t="s">
        <v>631</v>
      </c>
      <c r="D8" s="1000" t="s">
        <v>1489</v>
      </c>
      <c r="E8" s="1000" t="s">
        <v>1490</v>
      </c>
      <c r="F8" s="1000" t="s">
        <v>1491</v>
      </c>
      <c r="G8" s="1000" t="s">
        <v>1492</v>
      </c>
      <c r="H8" s="1000" t="s">
        <v>1493</v>
      </c>
      <c r="I8" s="1000" t="s">
        <v>1494</v>
      </c>
      <c r="J8" s="1000" t="s">
        <v>1495</v>
      </c>
      <c r="K8" s="1000" t="s">
        <v>1496</v>
      </c>
      <c r="L8" s="1000" t="s">
        <v>1497</v>
      </c>
      <c r="M8" s="1001" t="s">
        <v>1664</v>
      </c>
      <c r="N8" s="1000" t="s">
        <v>1499</v>
      </c>
      <c r="Q8" s="1026" t="s">
        <v>1665</v>
      </c>
      <c r="R8" s="1026" t="s">
        <v>1666</v>
      </c>
      <c r="S8" s="1026" t="s">
        <v>1667</v>
      </c>
    </row>
    <row r="9" spans="2:20" ht="13.2" customHeight="1">
      <c r="B9" s="999"/>
      <c r="C9" s="1002"/>
      <c r="D9" s="850"/>
      <c r="E9" s="1003"/>
      <c r="F9" s="997"/>
      <c r="G9" s="430"/>
      <c r="H9" s="430"/>
      <c r="I9" s="430"/>
      <c r="J9" s="430"/>
      <c r="K9" s="430"/>
      <c r="L9" s="430"/>
      <c r="M9" s="430"/>
      <c r="N9" s="430"/>
      <c r="Q9" s="430"/>
      <c r="R9" s="430"/>
      <c r="S9" s="430"/>
    </row>
    <row r="10" spans="2:20" ht="12.75" customHeight="1">
      <c r="K10" s="1011"/>
    </row>
    <row r="11" spans="2:20" ht="12.75" customHeight="1" thickBot="1">
      <c r="B11" s="1004" t="s">
        <v>1671</v>
      </c>
      <c r="C11" s="1005"/>
      <c r="D11" s="53"/>
      <c r="E11" s="1005"/>
      <c r="F11" s="1005"/>
      <c r="G11" s="53"/>
      <c r="H11" s="53"/>
      <c r="I11" s="53"/>
      <c r="J11" s="53"/>
      <c r="K11" s="53"/>
      <c r="L11" s="53"/>
      <c r="M11" s="427"/>
      <c r="N11" s="53"/>
      <c r="Q11" s="1303"/>
      <c r="R11" s="1303"/>
      <c r="S11" s="1303"/>
    </row>
    <row r="12" spans="2:20" ht="12.75" customHeight="1">
      <c r="B12" s="77" t="s">
        <v>1611</v>
      </c>
      <c r="C12" s="1301" t="s">
        <v>1505</v>
      </c>
      <c r="D12" s="942" t="s">
        <v>2718</v>
      </c>
      <c r="E12" s="627">
        <v>47297</v>
      </c>
      <c r="F12" s="1302">
        <v>7.0999999999999994E-2</v>
      </c>
      <c r="G12" s="942">
        <v>1000000000</v>
      </c>
      <c r="H12" s="945">
        <v>355000000</v>
      </c>
      <c r="I12" s="942">
        <v>-352411989.12140203</v>
      </c>
      <c r="J12" s="942">
        <v>-3806204.0326731498</v>
      </c>
      <c r="K12" s="942">
        <v>0</v>
      </c>
      <c r="L12" s="54">
        <f t="shared" ref="L12" si="0">+G12+H12+I12+J12+K12</f>
        <v>998781806.84592485</v>
      </c>
      <c r="M12" s="428"/>
      <c r="N12" s="54">
        <f t="shared" ref="N12" si="1">+L12</f>
        <v>998781806.84592485</v>
      </c>
      <c r="Q12" s="54">
        <f t="shared" ref="Q12" si="2">+N12-J12</f>
        <v>1002588010.878598</v>
      </c>
      <c r="R12" s="54">
        <f t="shared" ref="R12" si="3">+J12</f>
        <v>-3806204.0326731498</v>
      </c>
      <c r="S12" s="54">
        <f t="shared" ref="S12" si="4">+Q12+R12</f>
        <v>998781806.84592485</v>
      </c>
    </row>
    <row r="13" spans="2:20" ht="12.75" customHeight="1">
      <c r="B13" s="77" t="s">
        <v>1609</v>
      </c>
      <c r="C13" s="1301" t="s">
        <v>1505</v>
      </c>
      <c r="D13" s="942" t="s">
        <v>1729</v>
      </c>
      <c r="E13" s="627">
        <v>45709</v>
      </c>
      <c r="F13" s="1302">
        <v>8.2500000000000004E-2</v>
      </c>
      <c r="G13" s="942">
        <v>5000000000</v>
      </c>
      <c r="H13" s="945">
        <v>206815068.49315071</v>
      </c>
      <c r="I13" s="942">
        <v>-58767123.287671201</v>
      </c>
      <c r="J13" s="942">
        <v>0</v>
      </c>
      <c r="K13" s="942">
        <v>11246160.2324613</v>
      </c>
      <c r="L13" s="54">
        <f t="shared" ref="L13" si="5">+G13+H13+I13+J13+K13</f>
        <v>5159294105.4379406</v>
      </c>
      <c r="M13" s="428"/>
      <c r="N13" s="54">
        <f t="shared" ref="N13" si="6">+L13</f>
        <v>5159294105.4379406</v>
      </c>
      <c r="Q13" s="54">
        <f t="shared" ref="Q13" si="7">+N13-J13</f>
        <v>5159294105.4379406</v>
      </c>
      <c r="R13" s="54">
        <f t="shared" ref="R13" si="8">+J13</f>
        <v>0</v>
      </c>
      <c r="S13" s="54">
        <f t="shared" ref="S13" si="9">+Q13+R13</f>
        <v>5159294105.4379406</v>
      </c>
    </row>
    <row r="14" spans="2:20" ht="12.75" customHeight="1" thickBot="1">
      <c r="B14" s="999"/>
      <c r="C14" s="1002"/>
      <c r="D14" s="850"/>
      <c r="E14" s="1003"/>
      <c r="F14" s="1009" t="s">
        <v>1509</v>
      </c>
      <c r="G14" s="429">
        <f>+SUM(G12:G13)</f>
        <v>6000000000</v>
      </c>
      <c r="H14" s="429">
        <f t="shared" ref="H14:N14" si="10">+SUM(H12:H13)</f>
        <v>561815068.49315071</v>
      </c>
      <c r="I14" s="429">
        <f t="shared" si="10"/>
        <v>-411179112.40907323</v>
      </c>
      <c r="J14" s="429">
        <f t="shared" si="10"/>
        <v>-3806204.0326731498</v>
      </c>
      <c r="K14" s="429">
        <f t="shared" si="10"/>
        <v>11246160.2324613</v>
      </c>
      <c r="L14" s="429">
        <f t="shared" si="10"/>
        <v>6158075912.283865</v>
      </c>
      <c r="M14" s="429">
        <f t="shared" si="10"/>
        <v>0</v>
      </c>
      <c r="N14" s="429">
        <f t="shared" si="10"/>
        <v>6158075912.283865</v>
      </c>
      <c r="Q14" s="429">
        <f>+SUM(Q12:Q13)</f>
        <v>6161882116.3165388</v>
      </c>
      <c r="R14" s="429">
        <f t="shared" ref="R14:S14" si="11">+SUM(R12:R13)</f>
        <v>-3806204.0326731498</v>
      </c>
      <c r="S14" s="429">
        <f t="shared" si="11"/>
        <v>6158075912.283865</v>
      </c>
    </row>
    <row r="15" spans="2:20" ht="12.75" customHeight="1" thickTop="1"/>
    <row r="16" spans="2:20" ht="12.75" customHeight="1" thickBot="1">
      <c r="B16" s="1004" t="s">
        <v>1673</v>
      </c>
      <c r="C16" s="1005"/>
      <c r="D16" s="53"/>
      <c r="E16" s="1005"/>
      <c r="F16" s="1005"/>
      <c r="G16" s="53"/>
      <c r="H16" s="53"/>
      <c r="I16" s="53"/>
      <c r="J16" s="53"/>
      <c r="K16" s="53"/>
      <c r="L16" s="53"/>
      <c r="M16" s="427"/>
      <c r="N16" s="53"/>
      <c r="Q16" s="53"/>
    </row>
    <row r="17" spans="2:19" ht="12.75" customHeight="1">
      <c r="B17" s="77" t="s">
        <v>1684</v>
      </c>
      <c r="C17" s="75" t="s">
        <v>1505</v>
      </c>
      <c r="D17" s="54" t="s">
        <v>2719</v>
      </c>
      <c r="E17" s="69">
        <v>45782</v>
      </c>
      <c r="F17" s="127">
        <v>6.5000000000000002E-2</v>
      </c>
      <c r="G17" s="54">
        <v>50000000</v>
      </c>
      <c r="H17" s="426">
        <v>1371232.8767123299</v>
      </c>
      <c r="I17" s="426">
        <v>-1113013.6986301327</v>
      </c>
      <c r="J17" s="54">
        <v>-107334.90092955</v>
      </c>
      <c r="K17" s="54">
        <v>0</v>
      </c>
      <c r="L17" s="54">
        <f t="shared" ref="L17:L72" si="12">+G17+H17+I17+J17+K17</f>
        <v>50150884.27715265</v>
      </c>
      <c r="M17" s="428"/>
      <c r="N17" s="54">
        <f t="shared" ref="N17:N72" si="13">+L17</f>
        <v>50150884.27715265</v>
      </c>
      <c r="Q17" s="1010">
        <f t="shared" ref="Q17" si="14">+N17-J17</f>
        <v>50258219.178082198</v>
      </c>
      <c r="R17" s="1010">
        <f t="shared" ref="R17" si="15">+J17</f>
        <v>-107334.90092955</v>
      </c>
      <c r="S17" s="1010">
        <f t="shared" ref="S17" si="16">+Q17+R17</f>
        <v>50150884.27715265</v>
      </c>
    </row>
    <row r="18" spans="2:19" ht="12.75" customHeight="1">
      <c r="B18" s="77" t="s">
        <v>1684</v>
      </c>
      <c r="C18" s="75" t="s">
        <v>1505</v>
      </c>
      <c r="D18" s="54" t="s">
        <v>2720</v>
      </c>
      <c r="E18" s="69">
        <v>45810</v>
      </c>
      <c r="F18" s="127">
        <v>0.06</v>
      </c>
      <c r="G18" s="54">
        <v>100000000</v>
      </c>
      <c r="H18" s="426">
        <v>2630136.9863013704</v>
      </c>
      <c r="I18" s="426">
        <v>-2515068.4931506864</v>
      </c>
      <c r="J18" s="54">
        <v>-465079.511207968</v>
      </c>
      <c r="K18" s="54">
        <v>0</v>
      </c>
      <c r="L18" s="54">
        <f t="shared" si="12"/>
        <v>99649988.981942728</v>
      </c>
      <c r="M18" s="428"/>
      <c r="N18" s="54">
        <f t="shared" si="13"/>
        <v>99649988.981942728</v>
      </c>
      <c r="Q18" s="54">
        <f t="shared" ref="Q18:Q72" si="17">+N18-J18</f>
        <v>100115068.4931507</v>
      </c>
      <c r="R18" s="54">
        <f t="shared" ref="R18:R72" si="18">+J18</f>
        <v>-465079.511207968</v>
      </c>
      <c r="S18" s="54">
        <f t="shared" ref="S18:S72" si="19">+Q18+R18</f>
        <v>99649988.981942728</v>
      </c>
    </row>
    <row r="19" spans="2:19" ht="12.75" customHeight="1">
      <c r="B19" s="77" t="s">
        <v>2721</v>
      </c>
      <c r="C19" s="75" t="s">
        <v>1505</v>
      </c>
      <c r="D19" s="54" t="s">
        <v>2722</v>
      </c>
      <c r="E19" s="69">
        <v>46020</v>
      </c>
      <c r="F19" s="127">
        <v>8.5000000000000006E-2</v>
      </c>
      <c r="G19" s="54">
        <v>250000000</v>
      </c>
      <c r="H19" s="426">
        <v>26373287.671232875</v>
      </c>
      <c r="I19" s="426">
        <v>-21133561.643835619</v>
      </c>
      <c r="J19" s="54">
        <v>0</v>
      </c>
      <c r="K19" s="54">
        <v>0</v>
      </c>
      <c r="L19" s="54">
        <f t="shared" si="12"/>
        <v>255239726.02739727</v>
      </c>
      <c r="M19" s="428"/>
      <c r="N19" s="54">
        <f t="shared" si="13"/>
        <v>255239726.02739727</v>
      </c>
      <c r="Q19" s="54">
        <f t="shared" si="17"/>
        <v>255239726.02739727</v>
      </c>
      <c r="R19" s="54">
        <f t="shared" si="18"/>
        <v>0</v>
      </c>
      <c r="S19" s="54">
        <f t="shared" si="19"/>
        <v>255239726.02739727</v>
      </c>
    </row>
    <row r="20" spans="2:19" ht="12.75" customHeight="1">
      <c r="B20" s="77" t="s">
        <v>2721</v>
      </c>
      <c r="C20" s="75" t="s">
        <v>1505</v>
      </c>
      <c r="D20" s="54" t="s">
        <v>2723</v>
      </c>
      <c r="E20" s="69">
        <v>46020</v>
      </c>
      <c r="F20" s="127">
        <v>8.5000000000000006E-2</v>
      </c>
      <c r="G20" s="54">
        <v>250000000</v>
      </c>
      <c r="H20" s="426">
        <v>26373287.671232875</v>
      </c>
      <c r="I20" s="426">
        <v>-21133561.643835619</v>
      </c>
      <c r="J20" s="54">
        <v>0</v>
      </c>
      <c r="K20" s="54">
        <v>0</v>
      </c>
      <c r="L20" s="54">
        <f t="shared" si="12"/>
        <v>255239726.02739727</v>
      </c>
      <c r="M20" s="428"/>
      <c r="N20" s="54">
        <f t="shared" si="13"/>
        <v>255239726.02739727</v>
      </c>
      <c r="Q20" s="54">
        <f t="shared" si="17"/>
        <v>255239726.02739727</v>
      </c>
      <c r="R20" s="54">
        <f t="shared" si="18"/>
        <v>0</v>
      </c>
      <c r="S20" s="54">
        <f t="shared" si="19"/>
        <v>255239726.02739727</v>
      </c>
    </row>
    <row r="21" spans="2:19" ht="12.75" customHeight="1">
      <c r="B21" s="77" t="s">
        <v>2721</v>
      </c>
      <c r="C21" s="75" t="s">
        <v>1505</v>
      </c>
      <c r="D21" s="54" t="s">
        <v>2724</v>
      </c>
      <c r="E21" s="69">
        <v>46209</v>
      </c>
      <c r="F21" s="127">
        <v>8.5000000000000006E-2</v>
      </c>
      <c r="G21" s="54">
        <v>250000000</v>
      </c>
      <c r="H21" s="426">
        <v>37376712.328767128</v>
      </c>
      <c r="I21" s="426">
        <v>-32136986.301369876</v>
      </c>
      <c r="J21" s="54">
        <v>0</v>
      </c>
      <c r="K21" s="54">
        <v>0</v>
      </c>
      <c r="L21" s="54">
        <f t="shared" si="12"/>
        <v>255239726.02739725</v>
      </c>
      <c r="M21" s="428"/>
      <c r="N21" s="54">
        <f t="shared" si="13"/>
        <v>255239726.02739725</v>
      </c>
      <c r="Q21" s="54">
        <f t="shared" si="17"/>
        <v>255239726.02739725</v>
      </c>
      <c r="R21" s="54">
        <f t="shared" si="18"/>
        <v>0</v>
      </c>
      <c r="S21" s="54">
        <f t="shared" si="19"/>
        <v>255239726.02739725</v>
      </c>
    </row>
    <row r="22" spans="2:19" ht="12.75" customHeight="1">
      <c r="B22" s="77" t="s">
        <v>2721</v>
      </c>
      <c r="C22" s="75" t="s">
        <v>1505</v>
      </c>
      <c r="D22" s="54" t="s">
        <v>2725</v>
      </c>
      <c r="E22" s="69">
        <v>46209</v>
      </c>
      <c r="F22" s="127">
        <v>8.5000000000000006E-2</v>
      </c>
      <c r="G22" s="54">
        <v>250000000</v>
      </c>
      <c r="H22" s="426">
        <v>37376712.328767128</v>
      </c>
      <c r="I22" s="426">
        <v>-32136986.301369876</v>
      </c>
      <c r="J22" s="54">
        <v>0</v>
      </c>
      <c r="K22" s="54">
        <v>0</v>
      </c>
      <c r="L22" s="54">
        <f t="shared" si="12"/>
        <v>255239726.02739725</v>
      </c>
      <c r="M22" s="428"/>
      <c r="N22" s="54">
        <f t="shared" si="13"/>
        <v>255239726.02739725</v>
      </c>
      <c r="Q22" s="54">
        <f t="shared" si="17"/>
        <v>255239726.02739725</v>
      </c>
      <c r="R22" s="54">
        <f t="shared" si="18"/>
        <v>0</v>
      </c>
      <c r="S22" s="54">
        <f t="shared" si="19"/>
        <v>255239726.02739725</v>
      </c>
    </row>
    <row r="23" spans="2:19" ht="12.75" customHeight="1">
      <c r="B23" s="77" t="s">
        <v>2721</v>
      </c>
      <c r="C23" s="75" t="s">
        <v>1505</v>
      </c>
      <c r="D23" s="54" t="s">
        <v>2726</v>
      </c>
      <c r="E23" s="69">
        <v>46209</v>
      </c>
      <c r="F23" s="127">
        <v>8.5000000000000006E-2</v>
      </c>
      <c r="G23" s="54">
        <v>250000000</v>
      </c>
      <c r="H23" s="426">
        <v>37376712.328767128</v>
      </c>
      <c r="I23" s="426">
        <v>-32136986.301369876</v>
      </c>
      <c r="J23" s="54">
        <v>0</v>
      </c>
      <c r="K23" s="54">
        <v>0</v>
      </c>
      <c r="L23" s="54">
        <f t="shared" si="12"/>
        <v>255239726.02739725</v>
      </c>
      <c r="M23" s="428"/>
      <c r="N23" s="54">
        <f t="shared" si="13"/>
        <v>255239726.02739725</v>
      </c>
      <c r="Q23" s="54">
        <f t="shared" si="17"/>
        <v>255239726.02739725</v>
      </c>
      <c r="R23" s="54">
        <f t="shared" si="18"/>
        <v>0</v>
      </c>
      <c r="S23" s="54">
        <f t="shared" si="19"/>
        <v>255239726.02739725</v>
      </c>
    </row>
    <row r="24" spans="2:19" ht="12.75" customHeight="1">
      <c r="B24" s="77" t="s">
        <v>2721</v>
      </c>
      <c r="C24" s="75" t="s">
        <v>1505</v>
      </c>
      <c r="D24" s="54" t="s">
        <v>2727</v>
      </c>
      <c r="E24" s="69">
        <v>46209</v>
      </c>
      <c r="F24" s="127">
        <v>8.5000000000000006E-2</v>
      </c>
      <c r="G24" s="54">
        <v>250000000</v>
      </c>
      <c r="H24" s="426">
        <v>37376712.328767128</v>
      </c>
      <c r="I24" s="426">
        <v>-32136986.301369876</v>
      </c>
      <c r="J24" s="54">
        <v>0</v>
      </c>
      <c r="K24" s="54">
        <v>0</v>
      </c>
      <c r="L24" s="54">
        <f t="shared" si="12"/>
        <v>255239726.02739725</v>
      </c>
      <c r="M24" s="428"/>
      <c r="N24" s="54">
        <f t="shared" si="13"/>
        <v>255239726.02739725</v>
      </c>
      <c r="Q24" s="54">
        <f t="shared" si="17"/>
        <v>255239726.02739725</v>
      </c>
      <c r="R24" s="54">
        <f t="shared" si="18"/>
        <v>0</v>
      </c>
      <c r="S24" s="54">
        <f t="shared" si="19"/>
        <v>255239726.02739725</v>
      </c>
    </row>
    <row r="25" spans="2:19" ht="12.75" customHeight="1">
      <c r="B25" s="77" t="s">
        <v>1689</v>
      </c>
      <c r="C25" s="75" t="s">
        <v>1505</v>
      </c>
      <c r="D25" s="54" t="s">
        <v>2873</v>
      </c>
      <c r="E25" s="69">
        <v>45671</v>
      </c>
      <c r="F25" s="127">
        <v>7.3999999999999996E-2</v>
      </c>
      <c r="G25" s="54">
        <v>1000000000</v>
      </c>
      <c r="H25" s="426">
        <v>23461041.095890649</v>
      </c>
      <c r="I25" s="426">
        <v>-2838356.1643835567</v>
      </c>
      <c r="J25" s="54">
        <v>-14663.123599049701</v>
      </c>
      <c r="K25" s="54">
        <v>0</v>
      </c>
      <c r="L25" s="54">
        <f t="shared" si="12"/>
        <v>1020608021.8079081</v>
      </c>
      <c r="M25" s="428"/>
      <c r="N25" s="54">
        <f t="shared" si="13"/>
        <v>1020608021.8079081</v>
      </c>
      <c r="Q25" s="54">
        <f t="shared" si="17"/>
        <v>1020622684.9315071</v>
      </c>
      <c r="R25" s="54">
        <f t="shared" si="18"/>
        <v>-14663.123599049701</v>
      </c>
      <c r="S25" s="54">
        <f t="shared" si="19"/>
        <v>1020608021.8079081</v>
      </c>
    </row>
    <row r="26" spans="2:19" ht="12.75" customHeight="1">
      <c r="B26" s="77" t="s">
        <v>1689</v>
      </c>
      <c r="C26" s="75" t="s">
        <v>1505</v>
      </c>
      <c r="D26" s="54" t="s">
        <v>2874</v>
      </c>
      <c r="E26" s="69">
        <v>45671</v>
      </c>
      <c r="F26" s="127">
        <v>7.3999999999999996E-2</v>
      </c>
      <c r="G26" s="54">
        <v>1000000000</v>
      </c>
      <c r="H26" s="426">
        <v>23461041.095890649</v>
      </c>
      <c r="I26" s="426">
        <v>-2838356.1643835567</v>
      </c>
      <c r="J26" s="54">
        <v>-14663.123599049701</v>
      </c>
      <c r="K26" s="54">
        <v>0</v>
      </c>
      <c r="L26" s="54">
        <f t="shared" si="12"/>
        <v>1020608021.8079081</v>
      </c>
      <c r="M26" s="428"/>
      <c r="N26" s="54">
        <f t="shared" si="13"/>
        <v>1020608021.8079081</v>
      </c>
      <c r="Q26" s="54">
        <f t="shared" si="17"/>
        <v>1020622684.9315071</v>
      </c>
      <c r="R26" s="54">
        <f t="shared" si="18"/>
        <v>-14663.123599049701</v>
      </c>
      <c r="S26" s="54">
        <f t="shared" si="19"/>
        <v>1020608021.8079081</v>
      </c>
    </row>
    <row r="27" spans="2:19" ht="12.75" customHeight="1">
      <c r="B27" s="77" t="s">
        <v>1689</v>
      </c>
      <c r="C27" s="75" t="s">
        <v>1505</v>
      </c>
      <c r="D27" s="54" t="s">
        <v>2875</v>
      </c>
      <c r="E27" s="69">
        <v>46354</v>
      </c>
      <c r="F27" s="127">
        <v>8.1500000000000003E-2</v>
      </c>
      <c r="G27" s="54">
        <v>250000000</v>
      </c>
      <c r="H27" s="426">
        <v>40750000</v>
      </c>
      <c r="I27" s="426">
        <v>-38907876.712328769</v>
      </c>
      <c r="J27" s="54">
        <v>0</v>
      </c>
      <c r="K27" s="54">
        <v>0</v>
      </c>
      <c r="L27" s="54">
        <f t="shared" si="12"/>
        <v>251842123.28767124</v>
      </c>
      <c r="M27" s="428"/>
      <c r="N27" s="54">
        <f t="shared" si="13"/>
        <v>251842123.28767124</v>
      </c>
      <c r="Q27" s="54">
        <f t="shared" si="17"/>
        <v>251842123.28767124</v>
      </c>
      <c r="R27" s="54">
        <f t="shared" si="18"/>
        <v>0</v>
      </c>
      <c r="S27" s="54">
        <f t="shared" si="19"/>
        <v>251842123.28767124</v>
      </c>
    </row>
    <row r="28" spans="2:19" ht="12.75" customHeight="1">
      <c r="B28" s="77" t="s">
        <v>1689</v>
      </c>
      <c r="C28" s="75" t="s">
        <v>1505</v>
      </c>
      <c r="D28" s="54" t="s">
        <v>2876</v>
      </c>
      <c r="E28" s="69">
        <v>46354</v>
      </c>
      <c r="F28" s="127">
        <v>8.1500000000000003E-2</v>
      </c>
      <c r="G28" s="54">
        <v>250000000</v>
      </c>
      <c r="H28" s="426">
        <v>40750000</v>
      </c>
      <c r="I28" s="426">
        <v>-38907876.712328769</v>
      </c>
      <c r="J28" s="54">
        <v>0</v>
      </c>
      <c r="K28" s="54">
        <v>0</v>
      </c>
      <c r="L28" s="54">
        <f t="shared" si="12"/>
        <v>251842123.28767124</v>
      </c>
      <c r="M28" s="428"/>
      <c r="N28" s="54">
        <f t="shared" si="13"/>
        <v>251842123.28767124</v>
      </c>
      <c r="Q28" s="54">
        <f t="shared" si="17"/>
        <v>251842123.28767124</v>
      </c>
      <c r="R28" s="54">
        <f t="shared" si="18"/>
        <v>0</v>
      </c>
      <c r="S28" s="54">
        <f t="shared" si="19"/>
        <v>251842123.28767124</v>
      </c>
    </row>
    <row r="29" spans="2:19" ht="12.75" customHeight="1">
      <c r="B29" s="77" t="s">
        <v>1689</v>
      </c>
      <c r="C29" s="75" t="s">
        <v>1505</v>
      </c>
      <c r="D29" s="54" t="s">
        <v>2877</v>
      </c>
      <c r="E29" s="69">
        <v>46354</v>
      </c>
      <c r="F29" s="127">
        <v>8.1500000000000003E-2</v>
      </c>
      <c r="G29" s="54">
        <v>250000000</v>
      </c>
      <c r="H29" s="426">
        <v>40750000</v>
      </c>
      <c r="I29" s="426">
        <v>-38907876.712328769</v>
      </c>
      <c r="J29" s="54">
        <v>0</v>
      </c>
      <c r="K29" s="54">
        <v>0</v>
      </c>
      <c r="L29" s="54">
        <f t="shared" si="12"/>
        <v>251842123.28767124</v>
      </c>
      <c r="M29" s="428"/>
      <c r="N29" s="54">
        <f t="shared" si="13"/>
        <v>251842123.28767124</v>
      </c>
      <c r="Q29" s="54">
        <f t="shared" si="17"/>
        <v>251842123.28767124</v>
      </c>
      <c r="R29" s="54">
        <f t="shared" si="18"/>
        <v>0</v>
      </c>
      <c r="S29" s="54">
        <f t="shared" si="19"/>
        <v>251842123.28767124</v>
      </c>
    </row>
    <row r="30" spans="2:19" ht="12.75" customHeight="1">
      <c r="B30" s="77" t="s">
        <v>1689</v>
      </c>
      <c r="C30" s="75" t="s">
        <v>1505</v>
      </c>
      <c r="D30" s="54" t="s">
        <v>2878</v>
      </c>
      <c r="E30" s="69">
        <v>46354</v>
      </c>
      <c r="F30" s="127">
        <v>8.1500000000000003E-2</v>
      </c>
      <c r="G30" s="54">
        <v>250000000</v>
      </c>
      <c r="H30" s="426">
        <v>40750000</v>
      </c>
      <c r="I30" s="426">
        <v>-38907876.712328769</v>
      </c>
      <c r="J30" s="54">
        <v>0</v>
      </c>
      <c r="K30" s="54">
        <v>0</v>
      </c>
      <c r="L30" s="54">
        <f t="shared" si="12"/>
        <v>251842123.28767124</v>
      </c>
      <c r="M30" s="428"/>
      <c r="N30" s="54">
        <f t="shared" si="13"/>
        <v>251842123.28767124</v>
      </c>
      <c r="Q30" s="54">
        <f t="shared" si="17"/>
        <v>251842123.28767124</v>
      </c>
      <c r="R30" s="54">
        <f t="shared" si="18"/>
        <v>0</v>
      </c>
      <c r="S30" s="54">
        <f t="shared" si="19"/>
        <v>251842123.28767124</v>
      </c>
    </row>
    <row r="31" spans="2:19" ht="12.75" customHeight="1">
      <c r="B31" s="77" t="s">
        <v>1689</v>
      </c>
      <c r="C31" s="75" t="s">
        <v>1505</v>
      </c>
      <c r="D31" s="54" t="s">
        <v>2879</v>
      </c>
      <c r="E31" s="69">
        <v>46354</v>
      </c>
      <c r="F31" s="127">
        <v>8.1500000000000003E-2</v>
      </c>
      <c r="G31" s="54">
        <v>200000000</v>
      </c>
      <c r="H31" s="426">
        <v>32689315.06849315</v>
      </c>
      <c r="I31" s="426">
        <v>-31215616.438356165</v>
      </c>
      <c r="J31" s="54">
        <v>0</v>
      </c>
      <c r="K31" s="54">
        <v>0</v>
      </c>
      <c r="L31" s="54">
        <f t="shared" si="12"/>
        <v>201473698.630137</v>
      </c>
      <c r="M31" s="428"/>
      <c r="N31" s="54">
        <f t="shared" si="13"/>
        <v>201473698.630137</v>
      </c>
      <c r="Q31" s="54">
        <f t="shared" si="17"/>
        <v>201473698.630137</v>
      </c>
      <c r="R31" s="54">
        <f t="shared" si="18"/>
        <v>0</v>
      </c>
      <c r="S31" s="54">
        <f t="shared" si="19"/>
        <v>201473698.630137</v>
      </c>
    </row>
    <row r="32" spans="2:19" ht="12.75" customHeight="1">
      <c r="B32" s="77" t="s">
        <v>1689</v>
      </c>
      <c r="C32" s="75" t="s">
        <v>1505</v>
      </c>
      <c r="D32" s="54" t="s">
        <v>2880</v>
      </c>
      <c r="E32" s="69">
        <v>46354</v>
      </c>
      <c r="F32" s="127">
        <v>8.1500000000000003E-2</v>
      </c>
      <c r="G32" s="54">
        <v>200000000</v>
      </c>
      <c r="H32" s="426">
        <v>32689315.06849315</v>
      </c>
      <c r="I32" s="426">
        <v>-31215616.438356165</v>
      </c>
      <c r="J32" s="54">
        <v>0</v>
      </c>
      <c r="K32" s="54">
        <v>0</v>
      </c>
      <c r="L32" s="54">
        <f t="shared" si="12"/>
        <v>201473698.630137</v>
      </c>
      <c r="M32" s="428"/>
      <c r="N32" s="54">
        <f t="shared" si="13"/>
        <v>201473698.630137</v>
      </c>
      <c r="Q32" s="54">
        <f t="shared" si="17"/>
        <v>201473698.630137</v>
      </c>
      <c r="R32" s="54">
        <f t="shared" si="18"/>
        <v>0</v>
      </c>
      <c r="S32" s="54">
        <f t="shared" si="19"/>
        <v>201473698.630137</v>
      </c>
    </row>
    <row r="33" spans="2:19" ht="12.75" customHeight="1">
      <c r="B33" s="77" t="s">
        <v>1689</v>
      </c>
      <c r="C33" s="75" t="s">
        <v>1505</v>
      </c>
      <c r="D33" s="54" t="s">
        <v>2881</v>
      </c>
      <c r="E33" s="69">
        <v>46354</v>
      </c>
      <c r="F33" s="127">
        <v>8.1500000000000003E-2</v>
      </c>
      <c r="G33" s="54">
        <v>200000000</v>
      </c>
      <c r="H33" s="426">
        <v>32689315.06849315</v>
      </c>
      <c r="I33" s="426">
        <v>-31215616.438356165</v>
      </c>
      <c r="J33" s="54">
        <v>0</v>
      </c>
      <c r="K33" s="54">
        <v>0</v>
      </c>
      <c r="L33" s="54">
        <f t="shared" si="12"/>
        <v>201473698.630137</v>
      </c>
      <c r="M33" s="428"/>
      <c r="N33" s="54">
        <f t="shared" si="13"/>
        <v>201473698.630137</v>
      </c>
      <c r="Q33" s="54">
        <f t="shared" si="17"/>
        <v>201473698.630137</v>
      </c>
      <c r="R33" s="54">
        <f t="shared" si="18"/>
        <v>0</v>
      </c>
      <c r="S33" s="54">
        <f t="shared" si="19"/>
        <v>201473698.630137</v>
      </c>
    </row>
    <row r="34" spans="2:19" ht="12.75" customHeight="1">
      <c r="B34" s="77" t="s">
        <v>1689</v>
      </c>
      <c r="C34" s="75" t="s">
        <v>1505</v>
      </c>
      <c r="D34" s="54" t="s">
        <v>2882</v>
      </c>
      <c r="E34" s="69">
        <v>46354</v>
      </c>
      <c r="F34" s="127">
        <v>8.1500000000000003E-2</v>
      </c>
      <c r="G34" s="54">
        <v>200000000</v>
      </c>
      <c r="H34" s="426">
        <v>32689315.06849315</v>
      </c>
      <c r="I34" s="426">
        <v>-31215616.438356165</v>
      </c>
      <c r="J34" s="54">
        <v>0</v>
      </c>
      <c r="K34" s="54">
        <v>0</v>
      </c>
      <c r="L34" s="54">
        <f t="shared" si="12"/>
        <v>201473698.630137</v>
      </c>
      <c r="M34" s="428"/>
      <c r="N34" s="54">
        <f t="shared" si="13"/>
        <v>201473698.630137</v>
      </c>
      <c r="Q34" s="54">
        <f t="shared" si="17"/>
        <v>201473698.630137</v>
      </c>
      <c r="R34" s="54">
        <f t="shared" si="18"/>
        <v>0</v>
      </c>
      <c r="S34" s="54">
        <f t="shared" si="19"/>
        <v>201473698.630137</v>
      </c>
    </row>
    <row r="35" spans="2:19" ht="12.75" customHeight="1">
      <c r="B35" s="77" t="s">
        <v>1822</v>
      </c>
      <c r="C35" s="75" t="s">
        <v>1505</v>
      </c>
      <c r="D35" s="54" t="s">
        <v>2883</v>
      </c>
      <c r="E35" s="69">
        <v>45824</v>
      </c>
      <c r="F35" s="127">
        <v>8.8999999999999996E-2</v>
      </c>
      <c r="G35" s="54">
        <v>100000000</v>
      </c>
      <c r="H35" s="426">
        <v>4608493.1506849313</v>
      </c>
      <c r="I35" s="426">
        <v>-4072054.7945205476</v>
      </c>
      <c r="J35" s="54">
        <v>0</v>
      </c>
      <c r="K35" s="54">
        <v>142226.35272310299</v>
      </c>
      <c r="L35" s="54">
        <f t="shared" si="12"/>
        <v>100678664.7088875</v>
      </c>
      <c r="M35" s="428"/>
      <c r="N35" s="54">
        <f t="shared" si="13"/>
        <v>100678664.7088875</v>
      </c>
      <c r="Q35" s="54">
        <f t="shared" si="17"/>
        <v>100678664.7088875</v>
      </c>
      <c r="R35" s="54">
        <f t="shared" si="18"/>
        <v>0</v>
      </c>
      <c r="S35" s="54">
        <f t="shared" si="19"/>
        <v>100678664.7088875</v>
      </c>
    </row>
    <row r="36" spans="2:19" ht="12.75" customHeight="1">
      <c r="B36" s="77" t="s">
        <v>1822</v>
      </c>
      <c r="C36" s="75" t="s">
        <v>1505</v>
      </c>
      <c r="D36" s="54" t="s">
        <v>2884</v>
      </c>
      <c r="E36" s="69">
        <v>45824</v>
      </c>
      <c r="F36" s="127">
        <v>8.8999999999999996E-2</v>
      </c>
      <c r="G36" s="54">
        <v>100000000</v>
      </c>
      <c r="H36" s="426">
        <v>4608493.1506849313</v>
      </c>
      <c r="I36" s="426">
        <v>-4072054.7945205476</v>
      </c>
      <c r="J36" s="54">
        <v>0</v>
      </c>
      <c r="K36" s="54">
        <v>142226.35272310299</v>
      </c>
      <c r="L36" s="54">
        <f t="shared" si="12"/>
        <v>100678664.7088875</v>
      </c>
      <c r="M36" s="428"/>
      <c r="N36" s="54">
        <f t="shared" si="13"/>
        <v>100678664.7088875</v>
      </c>
      <c r="Q36" s="54">
        <f t="shared" si="17"/>
        <v>100678664.7088875</v>
      </c>
      <c r="R36" s="54">
        <f t="shared" si="18"/>
        <v>0</v>
      </c>
      <c r="S36" s="54">
        <f t="shared" si="19"/>
        <v>100678664.7088875</v>
      </c>
    </row>
    <row r="37" spans="2:19" ht="12.75" customHeight="1">
      <c r="B37" s="77" t="s">
        <v>1822</v>
      </c>
      <c r="C37" s="75" t="s">
        <v>1505</v>
      </c>
      <c r="D37" s="54" t="s">
        <v>2885</v>
      </c>
      <c r="E37" s="69">
        <v>45824</v>
      </c>
      <c r="F37" s="127">
        <v>8.8999999999999996E-2</v>
      </c>
      <c r="G37" s="54">
        <v>100000000</v>
      </c>
      <c r="H37" s="426">
        <v>4608493.1506849313</v>
      </c>
      <c r="I37" s="426">
        <v>-4072054.7945205476</v>
      </c>
      <c r="J37" s="54">
        <v>0</v>
      </c>
      <c r="K37" s="54">
        <v>142226.35272310299</v>
      </c>
      <c r="L37" s="54">
        <f t="shared" si="12"/>
        <v>100678664.7088875</v>
      </c>
      <c r="M37" s="428"/>
      <c r="N37" s="54">
        <f t="shared" si="13"/>
        <v>100678664.7088875</v>
      </c>
      <c r="Q37" s="54">
        <f t="shared" si="17"/>
        <v>100678664.7088875</v>
      </c>
      <c r="R37" s="54">
        <f t="shared" si="18"/>
        <v>0</v>
      </c>
      <c r="S37" s="54">
        <f t="shared" si="19"/>
        <v>100678664.7088875</v>
      </c>
    </row>
    <row r="38" spans="2:19" ht="12.75" customHeight="1">
      <c r="B38" s="77" t="s">
        <v>1822</v>
      </c>
      <c r="C38" s="75" t="s">
        <v>1505</v>
      </c>
      <c r="D38" s="54" t="s">
        <v>2886</v>
      </c>
      <c r="E38" s="69">
        <v>45824</v>
      </c>
      <c r="F38" s="127">
        <v>8.8999999999999996E-2</v>
      </c>
      <c r="G38" s="54">
        <v>100000000</v>
      </c>
      <c r="H38" s="426">
        <v>4608493.1506849313</v>
      </c>
      <c r="I38" s="426">
        <v>-4072054.7945205476</v>
      </c>
      <c r="J38" s="54">
        <v>0</v>
      </c>
      <c r="K38" s="54">
        <v>142226.35272310299</v>
      </c>
      <c r="L38" s="54">
        <f t="shared" si="12"/>
        <v>100678664.7088875</v>
      </c>
      <c r="M38" s="428"/>
      <c r="N38" s="54">
        <f t="shared" si="13"/>
        <v>100678664.7088875</v>
      </c>
      <c r="Q38" s="54">
        <f t="shared" si="17"/>
        <v>100678664.7088875</v>
      </c>
      <c r="R38" s="54">
        <f t="shared" si="18"/>
        <v>0</v>
      </c>
      <c r="S38" s="54">
        <f t="shared" si="19"/>
        <v>100678664.7088875</v>
      </c>
    </row>
    <row r="39" spans="2:19" ht="12.75" customHeight="1">
      <c r="B39" s="77" t="s">
        <v>1822</v>
      </c>
      <c r="C39" s="75" t="s">
        <v>1505</v>
      </c>
      <c r="D39" s="54" t="s">
        <v>2887</v>
      </c>
      <c r="E39" s="69">
        <v>45824</v>
      </c>
      <c r="F39" s="127">
        <v>8.8999999999999996E-2</v>
      </c>
      <c r="G39" s="54">
        <v>100000000</v>
      </c>
      <c r="H39" s="426">
        <v>4608493.1506849313</v>
      </c>
      <c r="I39" s="426">
        <v>-4072054.7945205476</v>
      </c>
      <c r="J39" s="54">
        <v>0</v>
      </c>
      <c r="K39" s="54">
        <v>142226.35272310299</v>
      </c>
      <c r="L39" s="54">
        <f t="shared" si="12"/>
        <v>100678664.7088875</v>
      </c>
      <c r="M39" s="428"/>
      <c r="N39" s="54">
        <f t="shared" si="13"/>
        <v>100678664.7088875</v>
      </c>
      <c r="Q39" s="54">
        <f t="shared" si="17"/>
        <v>100678664.7088875</v>
      </c>
      <c r="R39" s="54">
        <f t="shared" si="18"/>
        <v>0</v>
      </c>
      <c r="S39" s="54">
        <f t="shared" si="19"/>
        <v>100678664.7088875</v>
      </c>
    </row>
    <row r="40" spans="2:19" ht="12.75" customHeight="1">
      <c r="B40" s="77" t="s">
        <v>1822</v>
      </c>
      <c r="C40" s="75" t="s">
        <v>1505</v>
      </c>
      <c r="D40" s="54" t="s">
        <v>2888</v>
      </c>
      <c r="E40" s="69">
        <v>45824</v>
      </c>
      <c r="F40" s="127">
        <v>8.8999999999999996E-2</v>
      </c>
      <c r="G40" s="54">
        <v>100000000</v>
      </c>
      <c r="H40" s="426">
        <v>4608493.1506849313</v>
      </c>
      <c r="I40" s="426">
        <v>-4072054.7945205476</v>
      </c>
      <c r="J40" s="54">
        <v>0</v>
      </c>
      <c r="K40" s="54">
        <v>142226.35272310299</v>
      </c>
      <c r="L40" s="54">
        <f t="shared" si="12"/>
        <v>100678664.7088875</v>
      </c>
      <c r="M40" s="428"/>
      <c r="N40" s="54">
        <f t="shared" si="13"/>
        <v>100678664.7088875</v>
      </c>
      <c r="Q40" s="54">
        <f t="shared" si="17"/>
        <v>100678664.7088875</v>
      </c>
      <c r="R40" s="54">
        <f t="shared" si="18"/>
        <v>0</v>
      </c>
      <c r="S40" s="54">
        <f t="shared" si="19"/>
        <v>100678664.7088875</v>
      </c>
    </row>
    <row r="41" spans="2:19" ht="12.75" customHeight="1">
      <c r="B41" s="77" t="s">
        <v>1822</v>
      </c>
      <c r="C41" s="75" t="s">
        <v>1505</v>
      </c>
      <c r="D41" s="54" t="s">
        <v>2889</v>
      </c>
      <c r="E41" s="69">
        <v>45824</v>
      </c>
      <c r="F41" s="127">
        <v>8.8999999999999996E-2</v>
      </c>
      <c r="G41" s="54">
        <v>100000000</v>
      </c>
      <c r="H41" s="426">
        <v>4608493.1506849313</v>
      </c>
      <c r="I41" s="426">
        <v>-4072054.7945205476</v>
      </c>
      <c r="J41" s="54">
        <v>0</v>
      </c>
      <c r="K41" s="54">
        <v>142226.35272310299</v>
      </c>
      <c r="L41" s="54">
        <f t="shared" si="12"/>
        <v>100678664.7088875</v>
      </c>
      <c r="M41" s="428"/>
      <c r="N41" s="54">
        <f t="shared" si="13"/>
        <v>100678664.7088875</v>
      </c>
      <c r="Q41" s="54">
        <f t="shared" si="17"/>
        <v>100678664.7088875</v>
      </c>
      <c r="R41" s="54">
        <f t="shared" si="18"/>
        <v>0</v>
      </c>
      <c r="S41" s="54">
        <f t="shared" si="19"/>
        <v>100678664.7088875</v>
      </c>
    </row>
    <row r="42" spans="2:19" ht="12.75" customHeight="1">
      <c r="B42" s="77" t="s">
        <v>1822</v>
      </c>
      <c r="C42" s="75" t="s">
        <v>1505</v>
      </c>
      <c r="D42" s="54" t="s">
        <v>2890</v>
      </c>
      <c r="E42" s="69">
        <v>45824</v>
      </c>
      <c r="F42" s="127">
        <v>8.8999999999999996E-2</v>
      </c>
      <c r="G42" s="54">
        <v>100000000</v>
      </c>
      <c r="H42" s="426">
        <v>4608493.1506849313</v>
      </c>
      <c r="I42" s="426">
        <v>-4072054.7945205476</v>
      </c>
      <c r="J42" s="54">
        <v>0</v>
      </c>
      <c r="K42" s="54">
        <v>142226.35272310299</v>
      </c>
      <c r="L42" s="54">
        <f t="shared" si="12"/>
        <v>100678664.7088875</v>
      </c>
      <c r="M42" s="428"/>
      <c r="N42" s="54">
        <f t="shared" si="13"/>
        <v>100678664.7088875</v>
      </c>
      <c r="Q42" s="54">
        <f t="shared" si="17"/>
        <v>100678664.7088875</v>
      </c>
      <c r="R42" s="54">
        <f t="shared" si="18"/>
        <v>0</v>
      </c>
      <c r="S42" s="54">
        <f t="shared" si="19"/>
        <v>100678664.7088875</v>
      </c>
    </row>
    <row r="43" spans="2:19" ht="12.75" customHeight="1">
      <c r="B43" s="77" t="s">
        <v>1822</v>
      </c>
      <c r="C43" s="75" t="s">
        <v>1505</v>
      </c>
      <c r="D43" s="54" t="s">
        <v>2891</v>
      </c>
      <c r="E43" s="69">
        <v>45824</v>
      </c>
      <c r="F43" s="127">
        <v>8.8999999999999996E-2</v>
      </c>
      <c r="G43" s="54">
        <v>100000000</v>
      </c>
      <c r="H43" s="426">
        <v>4608493.1506849313</v>
      </c>
      <c r="I43" s="426">
        <v>-4072054.7945205476</v>
      </c>
      <c r="J43" s="54">
        <v>0</v>
      </c>
      <c r="K43" s="54">
        <v>142226.35272310299</v>
      </c>
      <c r="L43" s="54">
        <f t="shared" si="12"/>
        <v>100678664.7088875</v>
      </c>
      <c r="M43" s="428"/>
      <c r="N43" s="54">
        <f t="shared" si="13"/>
        <v>100678664.7088875</v>
      </c>
      <c r="Q43" s="54">
        <f t="shared" si="17"/>
        <v>100678664.7088875</v>
      </c>
      <c r="R43" s="54">
        <f t="shared" si="18"/>
        <v>0</v>
      </c>
      <c r="S43" s="54">
        <f t="shared" si="19"/>
        <v>100678664.7088875</v>
      </c>
    </row>
    <row r="44" spans="2:19" ht="12.75" customHeight="1">
      <c r="B44" s="77" t="s">
        <v>2650</v>
      </c>
      <c r="C44" s="75" t="s">
        <v>1505</v>
      </c>
      <c r="D44" s="54" t="s">
        <v>2892</v>
      </c>
      <c r="E44" s="69">
        <v>45964</v>
      </c>
      <c r="F44" s="127">
        <v>0.11</v>
      </c>
      <c r="G44" s="54">
        <v>200000000</v>
      </c>
      <c r="H44" s="426">
        <v>22060273.479452055</v>
      </c>
      <c r="I44" s="426">
        <v>-18504109.589041088</v>
      </c>
      <c r="J44" s="54">
        <v>0</v>
      </c>
      <c r="K44" s="54">
        <v>4378301.2653507702</v>
      </c>
      <c r="L44" s="54">
        <f t="shared" si="12"/>
        <v>207934465.15576172</v>
      </c>
      <c r="M44" s="428"/>
      <c r="N44" s="54">
        <f t="shared" si="13"/>
        <v>207934465.15576172</v>
      </c>
      <c r="Q44" s="54">
        <f t="shared" si="17"/>
        <v>207934465.15576172</v>
      </c>
      <c r="R44" s="54">
        <f t="shared" si="18"/>
        <v>0</v>
      </c>
      <c r="S44" s="54">
        <f t="shared" si="19"/>
        <v>207934465.15576172</v>
      </c>
    </row>
    <row r="45" spans="2:19" ht="12.75" customHeight="1">
      <c r="B45" s="77" t="s">
        <v>2650</v>
      </c>
      <c r="C45" s="75" t="s">
        <v>1505</v>
      </c>
      <c r="D45" s="54" t="s">
        <v>2893</v>
      </c>
      <c r="E45" s="69">
        <v>45964</v>
      </c>
      <c r="F45" s="127">
        <v>0.11</v>
      </c>
      <c r="G45" s="54">
        <v>200000000</v>
      </c>
      <c r="H45" s="426">
        <v>22060273.479452055</v>
      </c>
      <c r="I45" s="426">
        <v>-18504109.589041088</v>
      </c>
      <c r="J45" s="54">
        <v>0</v>
      </c>
      <c r="K45" s="54">
        <v>4378301.2653507702</v>
      </c>
      <c r="L45" s="54">
        <f t="shared" si="12"/>
        <v>207934465.15576172</v>
      </c>
      <c r="M45" s="428"/>
      <c r="N45" s="54">
        <f t="shared" si="13"/>
        <v>207934465.15576172</v>
      </c>
      <c r="Q45" s="54">
        <f t="shared" si="17"/>
        <v>207934465.15576172</v>
      </c>
      <c r="R45" s="54">
        <f t="shared" si="18"/>
        <v>0</v>
      </c>
      <c r="S45" s="54">
        <f t="shared" si="19"/>
        <v>207934465.15576172</v>
      </c>
    </row>
    <row r="46" spans="2:19" ht="12.75" customHeight="1">
      <c r="B46" s="77" t="s">
        <v>2650</v>
      </c>
      <c r="C46" s="75" t="s">
        <v>1505</v>
      </c>
      <c r="D46" s="54" t="s">
        <v>2894</v>
      </c>
      <c r="E46" s="69">
        <v>45964</v>
      </c>
      <c r="F46" s="127">
        <v>0.11</v>
      </c>
      <c r="G46" s="54">
        <v>200000000</v>
      </c>
      <c r="H46" s="426">
        <v>22060273.479452055</v>
      </c>
      <c r="I46" s="426">
        <v>-18504109.589041088</v>
      </c>
      <c r="J46" s="54">
        <v>0</v>
      </c>
      <c r="K46" s="54">
        <v>4378301.2653507702</v>
      </c>
      <c r="L46" s="54">
        <f t="shared" si="12"/>
        <v>207934465.15576172</v>
      </c>
      <c r="M46" s="428"/>
      <c r="N46" s="54">
        <f t="shared" si="13"/>
        <v>207934465.15576172</v>
      </c>
      <c r="Q46" s="54">
        <f t="shared" si="17"/>
        <v>207934465.15576172</v>
      </c>
      <c r="R46" s="54">
        <f t="shared" si="18"/>
        <v>0</v>
      </c>
      <c r="S46" s="54">
        <f t="shared" si="19"/>
        <v>207934465.15576172</v>
      </c>
    </row>
    <row r="47" spans="2:19" ht="12.75" customHeight="1">
      <c r="B47" s="77" t="s">
        <v>2650</v>
      </c>
      <c r="C47" s="75" t="s">
        <v>1505</v>
      </c>
      <c r="D47" s="54" t="s">
        <v>2895</v>
      </c>
      <c r="E47" s="69">
        <v>45964</v>
      </c>
      <c r="F47" s="127">
        <v>0.11</v>
      </c>
      <c r="G47" s="54">
        <v>200000000</v>
      </c>
      <c r="H47" s="426">
        <v>22060273.479452055</v>
      </c>
      <c r="I47" s="426">
        <v>-18504109.589041088</v>
      </c>
      <c r="J47" s="54">
        <v>0</v>
      </c>
      <c r="K47" s="54">
        <v>4378301.2653507702</v>
      </c>
      <c r="L47" s="54">
        <f t="shared" si="12"/>
        <v>207934465.15576172</v>
      </c>
      <c r="M47" s="428"/>
      <c r="N47" s="54">
        <f t="shared" si="13"/>
        <v>207934465.15576172</v>
      </c>
      <c r="Q47" s="54">
        <f t="shared" si="17"/>
        <v>207934465.15576172</v>
      </c>
      <c r="R47" s="54">
        <f t="shared" si="18"/>
        <v>0</v>
      </c>
      <c r="S47" s="54">
        <f t="shared" si="19"/>
        <v>207934465.15576172</v>
      </c>
    </row>
    <row r="48" spans="2:19" ht="12.75" customHeight="1">
      <c r="B48" s="77" t="s">
        <v>2650</v>
      </c>
      <c r="C48" s="75" t="s">
        <v>1505</v>
      </c>
      <c r="D48" s="54" t="s">
        <v>2896</v>
      </c>
      <c r="E48" s="69">
        <v>46021</v>
      </c>
      <c r="F48" s="127">
        <v>0.11</v>
      </c>
      <c r="G48" s="54">
        <v>200000000</v>
      </c>
      <c r="H48" s="426">
        <v>23084931.506849315</v>
      </c>
      <c r="I48" s="426">
        <v>-21939726.02739726</v>
      </c>
      <c r="J48" s="54">
        <v>0</v>
      </c>
      <c r="K48" s="54">
        <v>4507028.0417754604</v>
      </c>
      <c r="L48" s="54">
        <f t="shared" si="12"/>
        <v>205652233.52122754</v>
      </c>
      <c r="M48" s="428"/>
      <c r="N48" s="54">
        <f t="shared" si="13"/>
        <v>205652233.52122754</v>
      </c>
      <c r="Q48" s="54">
        <f t="shared" si="17"/>
        <v>205652233.52122754</v>
      </c>
      <c r="R48" s="54">
        <f t="shared" si="18"/>
        <v>0</v>
      </c>
      <c r="S48" s="54">
        <f t="shared" si="19"/>
        <v>205652233.52122754</v>
      </c>
    </row>
    <row r="49" spans="2:19" ht="12.75" customHeight="1">
      <c r="B49" s="77" t="s">
        <v>2650</v>
      </c>
      <c r="C49" s="75" t="s">
        <v>1505</v>
      </c>
      <c r="D49" s="54" t="s">
        <v>2897</v>
      </c>
      <c r="E49" s="69">
        <v>46175</v>
      </c>
      <c r="F49" s="127">
        <v>8.5999999999999993E-2</v>
      </c>
      <c r="G49" s="54">
        <v>100000000</v>
      </c>
      <c r="H49" s="426">
        <v>12982465.753424658</v>
      </c>
      <c r="I49" s="426">
        <v>-12204931.506849315</v>
      </c>
      <c r="J49" s="54">
        <v>0</v>
      </c>
      <c r="K49" s="54">
        <v>0</v>
      </c>
      <c r="L49" s="54">
        <f t="shared" si="12"/>
        <v>100777534.24657534</v>
      </c>
      <c r="M49" s="428"/>
      <c r="N49" s="54">
        <f t="shared" si="13"/>
        <v>100777534.24657534</v>
      </c>
      <c r="Q49" s="54">
        <f t="shared" si="17"/>
        <v>100777534.24657534</v>
      </c>
      <c r="R49" s="54">
        <f t="shared" si="18"/>
        <v>0</v>
      </c>
      <c r="S49" s="54">
        <f t="shared" si="19"/>
        <v>100777534.24657534</v>
      </c>
    </row>
    <row r="50" spans="2:19" ht="12.75" customHeight="1">
      <c r="B50" s="77" t="s">
        <v>2650</v>
      </c>
      <c r="C50" s="75" t="s">
        <v>1505</v>
      </c>
      <c r="D50" s="54" t="s">
        <v>2898</v>
      </c>
      <c r="E50" s="69">
        <v>46175</v>
      </c>
      <c r="F50" s="127">
        <v>8.5999999999999993E-2</v>
      </c>
      <c r="G50" s="54">
        <v>100000000</v>
      </c>
      <c r="H50" s="426">
        <v>12982465.753424658</v>
      </c>
      <c r="I50" s="426">
        <v>-12204931.506849315</v>
      </c>
      <c r="J50" s="54">
        <v>0</v>
      </c>
      <c r="K50" s="54">
        <v>0</v>
      </c>
      <c r="L50" s="54">
        <f t="shared" si="12"/>
        <v>100777534.24657534</v>
      </c>
      <c r="M50" s="428"/>
      <c r="N50" s="54">
        <f t="shared" si="13"/>
        <v>100777534.24657534</v>
      </c>
      <c r="Q50" s="54">
        <f t="shared" si="17"/>
        <v>100777534.24657534</v>
      </c>
      <c r="R50" s="54">
        <f t="shared" si="18"/>
        <v>0</v>
      </c>
      <c r="S50" s="54">
        <f t="shared" si="19"/>
        <v>100777534.24657534</v>
      </c>
    </row>
    <row r="51" spans="2:19" ht="12.75" customHeight="1">
      <c r="B51" s="77" t="s">
        <v>2650</v>
      </c>
      <c r="C51" s="75" t="s">
        <v>1505</v>
      </c>
      <c r="D51" s="54" t="s">
        <v>2899</v>
      </c>
      <c r="E51" s="69">
        <v>46175</v>
      </c>
      <c r="F51" s="127">
        <v>8.5999999999999993E-2</v>
      </c>
      <c r="G51" s="54">
        <v>100000000</v>
      </c>
      <c r="H51" s="426">
        <v>12982465.753424658</v>
      </c>
      <c r="I51" s="426">
        <v>-12204931.506849315</v>
      </c>
      <c r="J51" s="54">
        <v>0</v>
      </c>
      <c r="K51" s="54">
        <v>0</v>
      </c>
      <c r="L51" s="54">
        <f t="shared" si="12"/>
        <v>100777534.24657534</v>
      </c>
      <c r="M51" s="428"/>
      <c r="N51" s="54">
        <f t="shared" si="13"/>
        <v>100777534.24657534</v>
      </c>
      <c r="Q51" s="54">
        <f t="shared" si="17"/>
        <v>100777534.24657534</v>
      </c>
      <c r="R51" s="54">
        <f t="shared" si="18"/>
        <v>0</v>
      </c>
      <c r="S51" s="54">
        <f t="shared" si="19"/>
        <v>100777534.24657534</v>
      </c>
    </row>
    <row r="52" spans="2:19" ht="12.75" customHeight="1">
      <c r="B52" s="77" t="s">
        <v>2650</v>
      </c>
      <c r="C52" s="75" t="s">
        <v>1505</v>
      </c>
      <c r="D52" s="54" t="s">
        <v>2900</v>
      </c>
      <c r="E52" s="69">
        <v>46175</v>
      </c>
      <c r="F52" s="127">
        <v>8.5999999999999993E-2</v>
      </c>
      <c r="G52" s="54">
        <v>100000000</v>
      </c>
      <c r="H52" s="426">
        <v>12982465.753424658</v>
      </c>
      <c r="I52" s="426">
        <v>-12204931.506849315</v>
      </c>
      <c r="J52" s="54">
        <v>0</v>
      </c>
      <c r="K52" s="54">
        <v>0</v>
      </c>
      <c r="L52" s="54">
        <f t="shared" si="12"/>
        <v>100777534.24657534</v>
      </c>
      <c r="M52" s="428"/>
      <c r="N52" s="54">
        <f t="shared" si="13"/>
        <v>100777534.24657534</v>
      </c>
      <c r="Q52" s="54">
        <f t="shared" si="17"/>
        <v>100777534.24657534</v>
      </c>
      <c r="R52" s="54">
        <f t="shared" si="18"/>
        <v>0</v>
      </c>
      <c r="S52" s="54">
        <f t="shared" si="19"/>
        <v>100777534.24657534</v>
      </c>
    </row>
    <row r="53" spans="2:19" ht="12.75" customHeight="1">
      <c r="B53" s="77" t="s">
        <v>2650</v>
      </c>
      <c r="C53" s="75" t="s">
        <v>1505</v>
      </c>
      <c r="D53" s="54" t="s">
        <v>2901</v>
      </c>
      <c r="E53" s="69">
        <v>46175</v>
      </c>
      <c r="F53" s="127">
        <v>8.5999999999999993E-2</v>
      </c>
      <c r="G53" s="54">
        <v>100000000</v>
      </c>
      <c r="H53" s="426">
        <v>12982465.753424658</v>
      </c>
      <c r="I53" s="426">
        <v>-12204931.506849315</v>
      </c>
      <c r="J53" s="54">
        <v>0</v>
      </c>
      <c r="K53" s="54">
        <v>0</v>
      </c>
      <c r="L53" s="54">
        <f t="shared" si="12"/>
        <v>100777534.24657534</v>
      </c>
      <c r="M53" s="428"/>
      <c r="N53" s="54">
        <f t="shared" si="13"/>
        <v>100777534.24657534</v>
      </c>
      <c r="Q53" s="54">
        <f t="shared" si="17"/>
        <v>100777534.24657534</v>
      </c>
      <c r="R53" s="54">
        <f t="shared" si="18"/>
        <v>0</v>
      </c>
      <c r="S53" s="54">
        <f t="shared" si="19"/>
        <v>100777534.24657534</v>
      </c>
    </row>
    <row r="54" spans="2:19" ht="12.75" customHeight="1">
      <c r="B54" s="77" t="s">
        <v>2650</v>
      </c>
      <c r="C54" s="75" t="s">
        <v>1505</v>
      </c>
      <c r="D54" s="54" t="s">
        <v>2902</v>
      </c>
      <c r="E54" s="69">
        <v>46175</v>
      </c>
      <c r="F54" s="127">
        <v>8.5999999999999993E-2</v>
      </c>
      <c r="G54" s="54">
        <v>100000000</v>
      </c>
      <c r="H54" s="426">
        <v>12982465.753424658</v>
      </c>
      <c r="I54" s="426">
        <v>-12204931.506849315</v>
      </c>
      <c r="J54" s="54">
        <v>0</v>
      </c>
      <c r="K54" s="54">
        <v>0</v>
      </c>
      <c r="L54" s="54">
        <f t="shared" si="12"/>
        <v>100777534.24657534</v>
      </c>
      <c r="M54" s="428"/>
      <c r="N54" s="54">
        <f t="shared" si="13"/>
        <v>100777534.24657534</v>
      </c>
      <c r="Q54" s="54">
        <f t="shared" si="17"/>
        <v>100777534.24657534</v>
      </c>
      <c r="R54" s="54">
        <f t="shared" si="18"/>
        <v>0</v>
      </c>
      <c r="S54" s="54">
        <f t="shared" si="19"/>
        <v>100777534.24657534</v>
      </c>
    </row>
    <row r="55" spans="2:19" ht="12.75" customHeight="1">
      <c r="B55" s="77" t="s">
        <v>2650</v>
      </c>
      <c r="C55" s="75" t="s">
        <v>1505</v>
      </c>
      <c r="D55" s="54" t="s">
        <v>2903</v>
      </c>
      <c r="E55" s="69">
        <v>46175</v>
      </c>
      <c r="F55" s="127">
        <v>8.5999999999999993E-2</v>
      </c>
      <c r="G55" s="54">
        <v>100000000</v>
      </c>
      <c r="H55" s="426">
        <v>12982465.753424658</v>
      </c>
      <c r="I55" s="426">
        <v>-12204931.506849315</v>
      </c>
      <c r="J55" s="54">
        <v>0</v>
      </c>
      <c r="K55" s="54">
        <v>0</v>
      </c>
      <c r="L55" s="54">
        <f t="shared" si="12"/>
        <v>100777534.24657534</v>
      </c>
      <c r="M55" s="428"/>
      <c r="N55" s="54">
        <f t="shared" si="13"/>
        <v>100777534.24657534</v>
      </c>
      <c r="Q55" s="54">
        <f t="shared" si="17"/>
        <v>100777534.24657534</v>
      </c>
      <c r="R55" s="54">
        <f t="shared" si="18"/>
        <v>0</v>
      </c>
      <c r="S55" s="54">
        <f t="shared" si="19"/>
        <v>100777534.24657534</v>
      </c>
    </row>
    <row r="56" spans="2:19" ht="12.75" customHeight="1">
      <c r="B56" s="77" t="s">
        <v>2650</v>
      </c>
      <c r="C56" s="75" t="s">
        <v>1505</v>
      </c>
      <c r="D56" s="54" t="s">
        <v>2904</v>
      </c>
      <c r="E56" s="69">
        <v>46175</v>
      </c>
      <c r="F56" s="127">
        <v>8.5999999999999993E-2</v>
      </c>
      <c r="G56" s="54">
        <v>100000000</v>
      </c>
      <c r="H56" s="426">
        <v>12982465.753424658</v>
      </c>
      <c r="I56" s="426">
        <v>-12204931.506849315</v>
      </c>
      <c r="J56" s="54">
        <v>0</v>
      </c>
      <c r="K56" s="54">
        <v>0</v>
      </c>
      <c r="L56" s="54">
        <f t="shared" si="12"/>
        <v>100777534.24657534</v>
      </c>
      <c r="M56" s="428"/>
      <c r="N56" s="54">
        <f t="shared" si="13"/>
        <v>100777534.24657534</v>
      </c>
      <c r="Q56" s="54">
        <f t="shared" si="17"/>
        <v>100777534.24657534</v>
      </c>
      <c r="R56" s="54">
        <f t="shared" si="18"/>
        <v>0</v>
      </c>
      <c r="S56" s="54">
        <f t="shared" si="19"/>
        <v>100777534.24657534</v>
      </c>
    </row>
    <row r="57" spans="2:19" ht="12.75" customHeight="1">
      <c r="B57" s="77" t="s">
        <v>2650</v>
      </c>
      <c r="C57" s="75" t="s">
        <v>1505</v>
      </c>
      <c r="D57" s="54" t="s">
        <v>2905</v>
      </c>
      <c r="E57" s="69">
        <v>46175</v>
      </c>
      <c r="F57" s="127">
        <v>8.5999999999999993E-2</v>
      </c>
      <c r="G57" s="54">
        <v>100000000</v>
      </c>
      <c r="H57" s="426">
        <v>12982465.753424658</v>
      </c>
      <c r="I57" s="426">
        <v>-12204931.506849315</v>
      </c>
      <c r="J57" s="54">
        <v>0</v>
      </c>
      <c r="K57" s="54">
        <v>0</v>
      </c>
      <c r="L57" s="54">
        <f t="shared" si="12"/>
        <v>100777534.24657534</v>
      </c>
      <c r="M57" s="428"/>
      <c r="N57" s="54">
        <f t="shared" si="13"/>
        <v>100777534.24657534</v>
      </c>
      <c r="Q57" s="54">
        <f t="shared" si="17"/>
        <v>100777534.24657534</v>
      </c>
      <c r="R57" s="54">
        <f t="shared" si="18"/>
        <v>0</v>
      </c>
      <c r="S57" s="54">
        <f t="shared" si="19"/>
        <v>100777534.24657534</v>
      </c>
    </row>
    <row r="58" spans="2:19" ht="12.75" customHeight="1">
      <c r="B58" s="77" t="s">
        <v>2650</v>
      </c>
      <c r="C58" s="75" t="s">
        <v>1505</v>
      </c>
      <c r="D58" s="54" t="s">
        <v>2906</v>
      </c>
      <c r="E58" s="69">
        <v>46175</v>
      </c>
      <c r="F58" s="127">
        <v>8.5999999999999993E-2</v>
      </c>
      <c r="G58" s="54">
        <v>100000000</v>
      </c>
      <c r="H58" s="426">
        <v>12982465.753424658</v>
      </c>
      <c r="I58" s="426">
        <v>-12204931.506849315</v>
      </c>
      <c r="J58" s="54">
        <v>0</v>
      </c>
      <c r="K58" s="54">
        <v>0</v>
      </c>
      <c r="L58" s="54">
        <f t="shared" si="12"/>
        <v>100777534.24657534</v>
      </c>
      <c r="M58" s="428"/>
      <c r="N58" s="54">
        <f t="shared" si="13"/>
        <v>100777534.24657534</v>
      </c>
      <c r="Q58" s="54">
        <f t="shared" si="17"/>
        <v>100777534.24657534</v>
      </c>
      <c r="R58" s="54">
        <f t="shared" si="18"/>
        <v>0</v>
      </c>
      <c r="S58" s="54">
        <f t="shared" si="19"/>
        <v>100777534.24657534</v>
      </c>
    </row>
    <row r="59" spans="2:19" ht="12.75" customHeight="1">
      <c r="B59" s="77" t="s">
        <v>2650</v>
      </c>
      <c r="C59" s="75" t="s">
        <v>1505</v>
      </c>
      <c r="D59" s="54" t="s">
        <v>2907</v>
      </c>
      <c r="E59" s="69">
        <v>45967</v>
      </c>
      <c r="F59" s="127">
        <v>8.5000000000000006E-2</v>
      </c>
      <c r="G59" s="54">
        <v>100000000</v>
      </c>
      <c r="H59" s="426">
        <v>7335616.4109588228</v>
      </c>
      <c r="I59" s="426">
        <v>-7219178.0821917811</v>
      </c>
      <c r="J59" s="54">
        <v>-3106.7541969061199</v>
      </c>
      <c r="K59" s="54">
        <v>0</v>
      </c>
      <c r="L59" s="54">
        <f t="shared" si="12"/>
        <v>100113331.57457013</v>
      </c>
      <c r="M59" s="428"/>
      <c r="N59" s="54">
        <f t="shared" si="13"/>
        <v>100113331.57457013</v>
      </c>
      <c r="Q59" s="54">
        <f t="shared" si="17"/>
        <v>100116438.32876705</v>
      </c>
      <c r="R59" s="54">
        <f t="shared" si="18"/>
        <v>-3106.7541969061199</v>
      </c>
      <c r="S59" s="54">
        <f t="shared" si="19"/>
        <v>100113331.57457013</v>
      </c>
    </row>
    <row r="60" spans="2:19" ht="12.75" customHeight="1">
      <c r="B60" s="77" t="s">
        <v>1530</v>
      </c>
      <c r="C60" s="75" t="s">
        <v>1505</v>
      </c>
      <c r="D60" s="54" t="s">
        <v>2908</v>
      </c>
      <c r="E60" s="69">
        <v>46021</v>
      </c>
      <c r="F60" s="127">
        <v>8.7999999999999995E-2</v>
      </c>
      <c r="G60" s="54">
        <v>100000000</v>
      </c>
      <c r="H60" s="703">
        <v>4604931.506849315</v>
      </c>
      <c r="I60" s="703">
        <v>-2507397.2602739702</v>
      </c>
      <c r="J60" s="54">
        <v>0</v>
      </c>
      <c r="K60" s="54">
        <v>92615.613720090507</v>
      </c>
      <c r="L60" s="54">
        <f t="shared" si="12"/>
        <v>102190149.86029544</v>
      </c>
      <c r="M60" s="428"/>
      <c r="N60" s="54">
        <f t="shared" si="13"/>
        <v>102190149.86029544</v>
      </c>
      <c r="Q60" s="54">
        <f t="shared" si="17"/>
        <v>102190149.86029544</v>
      </c>
      <c r="R60" s="54">
        <f t="shared" si="18"/>
        <v>0</v>
      </c>
      <c r="S60" s="54">
        <f t="shared" si="19"/>
        <v>102190149.86029544</v>
      </c>
    </row>
    <row r="61" spans="2:19" ht="12.75" customHeight="1">
      <c r="B61" s="77" t="s">
        <v>1530</v>
      </c>
      <c r="C61" s="75" t="s">
        <v>1505</v>
      </c>
      <c r="D61" s="54" t="s">
        <v>2909</v>
      </c>
      <c r="E61" s="69">
        <v>46021</v>
      </c>
      <c r="F61" s="127">
        <v>8.7999999999999995E-2</v>
      </c>
      <c r="G61" s="54">
        <v>100000000</v>
      </c>
      <c r="H61" s="703">
        <v>4604931.506849315</v>
      </c>
      <c r="I61" s="703">
        <v>-2507397.2602739702</v>
      </c>
      <c r="J61" s="54">
        <v>0</v>
      </c>
      <c r="K61" s="54">
        <v>92615.613720090507</v>
      </c>
      <c r="L61" s="54">
        <f t="shared" si="12"/>
        <v>102190149.86029544</v>
      </c>
      <c r="M61" s="428"/>
      <c r="N61" s="54">
        <f t="shared" si="13"/>
        <v>102190149.86029544</v>
      </c>
      <c r="Q61" s="54">
        <f t="shared" si="17"/>
        <v>102190149.86029544</v>
      </c>
      <c r="R61" s="54">
        <f t="shared" si="18"/>
        <v>0</v>
      </c>
      <c r="S61" s="54">
        <f t="shared" si="19"/>
        <v>102190149.86029544</v>
      </c>
    </row>
    <row r="62" spans="2:19" ht="12.75" customHeight="1">
      <c r="B62" s="77" t="s">
        <v>1530</v>
      </c>
      <c r="C62" s="75" t="s">
        <v>1505</v>
      </c>
      <c r="D62" s="54" t="s">
        <v>2910</v>
      </c>
      <c r="E62" s="69">
        <v>46021</v>
      </c>
      <c r="F62" s="127">
        <v>8.7999999999999995E-2</v>
      </c>
      <c r="G62" s="54">
        <v>100000000</v>
      </c>
      <c r="H62" s="703">
        <v>4604931.506849315</v>
      </c>
      <c r="I62" s="703">
        <v>-2507397.2602739702</v>
      </c>
      <c r="J62" s="54">
        <v>0</v>
      </c>
      <c r="K62" s="54">
        <v>92615.613720090507</v>
      </c>
      <c r="L62" s="54">
        <f t="shared" si="12"/>
        <v>102190149.86029544</v>
      </c>
      <c r="M62" s="428"/>
      <c r="N62" s="54">
        <f t="shared" si="13"/>
        <v>102190149.86029544</v>
      </c>
      <c r="Q62" s="54">
        <f t="shared" si="17"/>
        <v>102190149.86029544</v>
      </c>
      <c r="R62" s="54">
        <f t="shared" si="18"/>
        <v>0</v>
      </c>
      <c r="S62" s="54">
        <f t="shared" si="19"/>
        <v>102190149.86029544</v>
      </c>
    </row>
    <row r="63" spans="2:19" ht="12.75" customHeight="1">
      <c r="B63" s="77" t="s">
        <v>1530</v>
      </c>
      <c r="C63" s="75" t="s">
        <v>1505</v>
      </c>
      <c r="D63" s="54" t="s">
        <v>2911</v>
      </c>
      <c r="E63" s="69">
        <v>46021</v>
      </c>
      <c r="F63" s="127">
        <v>8.7999999999999995E-2</v>
      </c>
      <c r="G63" s="54">
        <v>100000000</v>
      </c>
      <c r="H63" s="703">
        <v>4604931.506849315</v>
      </c>
      <c r="I63" s="703">
        <v>-2507397.2602739702</v>
      </c>
      <c r="J63" s="54">
        <v>0</v>
      </c>
      <c r="K63" s="54">
        <v>92615.613720090507</v>
      </c>
      <c r="L63" s="54">
        <f t="shared" si="12"/>
        <v>102190149.86029544</v>
      </c>
      <c r="M63" s="428"/>
      <c r="N63" s="54">
        <f t="shared" si="13"/>
        <v>102190149.86029544</v>
      </c>
      <c r="Q63" s="54">
        <f t="shared" si="17"/>
        <v>102190149.86029544</v>
      </c>
      <c r="R63" s="54">
        <f t="shared" si="18"/>
        <v>0</v>
      </c>
      <c r="S63" s="54">
        <f t="shared" si="19"/>
        <v>102190149.86029544</v>
      </c>
    </row>
    <row r="64" spans="2:19" ht="12.75" customHeight="1">
      <c r="B64" s="77" t="s">
        <v>1530</v>
      </c>
      <c r="C64" s="75" t="s">
        <v>1505</v>
      </c>
      <c r="D64" s="54" t="s">
        <v>2912</v>
      </c>
      <c r="E64" s="69">
        <v>46021</v>
      </c>
      <c r="F64" s="127">
        <v>8.7999999999999995E-2</v>
      </c>
      <c r="G64" s="54">
        <v>100000000</v>
      </c>
      <c r="H64" s="703">
        <v>4604931.506849315</v>
      </c>
      <c r="I64" s="703">
        <v>-2507397.2602739702</v>
      </c>
      <c r="J64" s="54">
        <v>0</v>
      </c>
      <c r="K64" s="54">
        <v>92615.613720090507</v>
      </c>
      <c r="L64" s="54">
        <f t="shared" si="12"/>
        <v>102190149.86029544</v>
      </c>
      <c r="M64" s="428"/>
      <c r="N64" s="54">
        <f t="shared" si="13"/>
        <v>102190149.86029544</v>
      </c>
      <c r="Q64" s="54">
        <f t="shared" si="17"/>
        <v>102190149.86029544</v>
      </c>
      <c r="R64" s="54">
        <f t="shared" si="18"/>
        <v>0</v>
      </c>
      <c r="S64" s="54">
        <f t="shared" si="19"/>
        <v>102190149.86029544</v>
      </c>
    </row>
    <row r="65" spans="2:19" ht="12.75" customHeight="1">
      <c r="B65" s="77" t="s">
        <v>1530</v>
      </c>
      <c r="C65" s="75" t="s">
        <v>1505</v>
      </c>
      <c r="D65" s="54" t="s">
        <v>2913</v>
      </c>
      <c r="E65" s="69">
        <v>45698</v>
      </c>
      <c r="F65" s="127">
        <v>0.10150000000000001</v>
      </c>
      <c r="G65" s="54">
        <v>100000000</v>
      </c>
      <c r="H65" s="426">
        <v>2836438.3561643837</v>
      </c>
      <c r="I65" s="426">
        <v>-1140136.98630137</v>
      </c>
      <c r="J65" s="54">
        <v>0</v>
      </c>
      <c r="K65" s="54">
        <v>179263.654109589</v>
      </c>
      <c r="L65" s="54">
        <f t="shared" si="12"/>
        <v>101875565.02397259</v>
      </c>
      <c r="M65" s="428"/>
      <c r="N65" s="54">
        <f t="shared" si="13"/>
        <v>101875565.02397259</v>
      </c>
      <c r="Q65" s="54">
        <f t="shared" si="17"/>
        <v>101875565.02397259</v>
      </c>
      <c r="R65" s="54">
        <f t="shared" si="18"/>
        <v>0</v>
      </c>
      <c r="S65" s="54">
        <f t="shared" si="19"/>
        <v>101875565.02397259</v>
      </c>
    </row>
    <row r="66" spans="2:19" ht="12.75" customHeight="1">
      <c r="B66" s="77" t="s">
        <v>2914</v>
      </c>
      <c r="C66" s="75" t="s">
        <v>1505</v>
      </c>
      <c r="D66" s="54" t="s">
        <v>2915</v>
      </c>
      <c r="E66" s="69">
        <v>46189</v>
      </c>
      <c r="F66" s="127">
        <v>7.6499999999999999E-2</v>
      </c>
      <c r="G66" s="54">
        <v>500000000</v>
      </c>
      <c r="H66" s="426">
        <v>57741780.82191781</v>
      </c>
      <c r="I66" s="426">
        <v>-55750684.93150685</v>
      </c>
      <c r="J66" s="54">
        <v>0</v>
      </c>
      <c r="K66" s="54">
        <v>0</v>
      </c>
      <c r="L66" s="54">
        <f t="shared" si="12"/>
        <v>501991095.8904109</v>
      </c>
      <c r="M66" s="428"/>
      <c r="N66" s="54">
        <f t="shared" si="13"/>
        <v>501991095.8904109</v>
      </c>
      <c r="Q66" s="54">
        <f t="shared" si="17"/>
        <v>501991095.8904109</v>
      </c>
      <c r="R66" s="54">
        <f t="shared" si="18"/>
        <v>0</v>
      </c>
      <c r="S66" s="54">
        <f t="shared" si="19"/>
        <v>501991095.8904109</v>
      </c>
    </row>
    <row r="67" spans="2:19" ht="12.75" customHeight="1">
      <c r="B67" s="77" t="s">
        <v>2914</v>
      </c>
      <c r="C67" s="75" t="s">
        <v>1505</v>
      </c>
      <c r="D67" s="54" t="s">
        <v>2916</v>
      </c>
      <c r="E67" s="69">
        <v>46189</v>
      </c>
      <c r="F67" s="127">
        <v>7.6499999999999999E-2</v>
      </c>
      <c r="G67" s="54">
        <v>500000000</v>
      </c>
      <c r="H67" s="426">
        <v>57741780.82191781</v>
      </c>
      <c r="I67" s="426">
        <v>-55750684.93150685</v>
      </c>
      <c r="J67" s="54">
        <v>0</v>
      </c>
      <c r="K67" s="54">
        <v>0</v>
      </c>
      <c r="L67" s="54">
        <f t="shared" si="12"/>
        <v>501991095.8904109</v>
      </c>
      <c r="M67" s="428"/>
      <c r="N67" s="54">
        <f t="shared" si="13"/>
        <v>501991095.8904109</v>
      </c>
      <c r="Q67" s="54">
        <f t="shared" si="17"/>
        <v>501991095.8904109</v>
      </c>
      <c r="R67" s="54">
        <f t="shared" si="18"/>
        <v>0</v>
      </c>
      <c r="S67" s="54">
        <f t="shared" si="19"/>
        <v>501991095.8904109</v>
      </c>
    </row>
    <row r="68" spans="2:19" ht="12.75" customHeight="1">
      <c r="B68" s="77" t="s">
        <v>2914</v>
      </c>
      <c r="C68" s="75" t="s">
        <v>1505</v>
      </c>
      <c r="D68" s="54" t="s">
        <v>2917</v>
      </c>
      <c r="E68" s="69">
        <v>46189</v>
      </c>
      <c r="F68" s="127">
        <v>7.6499999999999999E-2</v>
      </c>
      <c r="G68" s="54">
        <v>500000000</v>
      </c>
      <c r="H68" s="426">
        <v>57741780.82191781</v>
      </c>
      <c r="I68" s="426">
        <v>-55750684.93150685</v>
      </c>
      <c r="J68" s="54">
        <v>0</v>
      </c>
      <c r="K68" s="54">
        <v>0</v>
      </c>
      <c r="L68" s="54">
        <f t="shared" si="12"/>
        <v>501991095.8904109</v>
      </c>
      <c r="M68" s="428"/>
      <c r="N68" s="54">
        <f t="shared" si="13"/>
        <v>501991095.8904109</v>
      </c>
      <c r="Q68" s="54">
        <f t="shared" si="17"/>
        <v>501991095.8904109</v>
      </c>
      <c r="R68" s="54">
        <f t="shared" si="18"/>
        <v>0</v>
      </c>
      <c r="S68" s="54">
        <f t="shared" si="19"/>
        <v>501991095.8904109</v>
      </c>
    </row>
    <row r="69" spans="2:19" ht="12.75" customHeight="1">
      <c r="B69" s="77" t="s">
        <v>2914</v>
      </c>
      <c r="C69" s="75" t="s">
        <v>1505</v>
      </c>
      <c r="D69" s="54" t="s">
        <v>2918</v>
      </c>
      <c r="E69" s="69">
        <v>46189</v>
      </c>
      <c r="F69" s="127">
        <v>7.6499999999999999E-2</v>
      </c>
      <c r="G69" s="54">
        <v>500000000</v>
      </c>
      <c r="H69" s="426">
        <v>57741780.82191781</v>
      </c>
      <c r="I69" s="426">
        <v>-55750684.93150685</v>
      </c>
      <c r="J69" s="54">
        <v>0</v>
      </c>
      <c r="K69" s="54">
        <v>0</v>
      </c>
      <c r="L69" s="54">
        <f t="shared" si="12"/>
        <v>501991095.8904109</v>
      </c>
      <c r="M69" s="428"/>
      <c r="N69" s="54">
        <f t="shared" si="13"/>
        <v>501991095.8904109</v>
      </c>
      <c r="Q69" s="54">
        <f t="shared" si="17"/>
        <v>501991095.8904109</v>
      </c>
      <c r="R69" s="54">
        <f t="shared" si="18"/>
        <v>0</v>
      </c>
      <c r="S69" s="54">
        <f t="shared" si="19"/>
        <v>501991095.8904109</v>
      </c>
    </row>
    <row r="70" spans="2:19" ht="12.75" customHeight="1">
      <c r="B70" s="77" t="s">
        <v>2914</v>
      </c>
      <c r="C70" s="75" t="s">
        <v>1505</v>
      </c>
      <c r="D70" s="54" t="s">
        <v>2919</v>
      </c>
      <c r="E70" s="69">
        <v>46189</v>
      </c>
      <c r="F70" s="127">
        <v>7.6499999999999999E-2</v>
      </c>
      <c r="G70" s="54">
        <v>500000000</v>
      </c>
      <c r="H70" s="426">
        <v>57741780.82191781</v>
      </c>
      <c r="I70" s="426">
        <v>-55750684.93150685</v>
      </c>
      <c r="J70" s="54">
        <v>0</v>
      </c>
      <c r="K70" s="54">
        <v>0</v>
      </c>
      <c r="L70" s="54">
        <f t="shared" si="12"/>
        <v>501991095.8904109</v>
      </c>
      <c r="M70" s="428"/>
      <c r="N70" s="54">
        <f t="shared" si="13"/>
        <v>501991095.8904109</v>
      </c>
      <c r="Q70" s="54">
        <f t="shared" si="17"/>
        <v>501991095.8904109</v>
      </c>
      <c r="R70" s="54">
        <f t="shared" si="18"/>
        <v>0</v>
      </c>
      <c r="S70" s="54">
        <f t="shared" si="19"/>
        <v>501991095.8904109</v>
      </c>
    </row>
    <row r="71" spans="2:19" ht="12.75" customHeight="1">
      <c r="B71" s="77" t="s">
        <v>2914</v>
      </c>
      <c r="C71" s="75" t="s">
        <v>1505</v>
      </c>
      <c r="D71" s="54" t="s">
        <v>2920</v>
      </c>
      <c r="E71" s="69">
        <v>46189</v>
      </c>
      <c r="F71" s="127">
        <v>7.6499999999999999E-2</v>
      </c>
      <c r="G71" s="54">
        <v>500000000</v>
      </c>
      <c r="H71" s="426">
        <v>57741780.82191781</v>
      </c>
      <c r="I71" s="426">
        <v>-55750684.93150685</v>
      </c>
      <c r="J71" s="54">
        <v>0</v>
      </c>
      <c r="K71" s="54">
        <v>0</v>
      </c>
      <c r="L71" s="54">
        <f t="shared" si="12"/>
        <v>501991095.8904109</v>
      </c>
      <c r="M71" s="428"/>
      <c r="N71" s="54">
        <f t="shared" si="13"/>
        <v>501991095.8904109</v>
      </c>
      <c r="Q71" s="54">
        <f t="shared" si="17"/>
        <v>501991095.8904109</v>
      </c>
      <c r="R71" s="54">
        <f t="shared" si="18"/>
        <v>0</v>
      </c>
      <c r="S71" s="54">
        <f t="shared" si="19"/>
        <v>501991095.8904109</v>
      </c>
    </row>
    <row r="72" spans="2:19" ht="12.75" customHeight="1">
      <c r="B72" s="77" t="s">
        <v>1688</v>
      </c>
      <c r="C72" s="75" t="s">
        <v>1505</v>
      </c>
      <c r="D72" s="54" t="s">
        <v>2921</v>
      </c>
      <c r="E72" s="69">
        <v>45933</v>
      </c>
      <c r="F72" s="127">
        <v>6.6000000000000003E-2</v>
      </c>
      <c r="G72" s="54">
        <v>500000000</v>
      </c>
      <c r="H72" s="426">
        <v>27304109.589041095</v>
      </c>
      <c r="I72" s="426">
        <v>-24953424.657534245</v>
      </c>
      <c r="J72" s="54">
        <v>-3843676.4134151898</v>
      </c>
      <c r="K72" s="54">
        <v>0</v>
      </c>
      <c r="L72" s="54">
        <f t="shared" si="12"/>
        <v>498507008.51809168</v>
      </c>
      <c r="M72" s="428"/>
      <c r="N72" s="54">
        <f t="shared" si="13"/>
        <v>498507008.51809168</v>
      </c>
      <c r="Q72" s="54">
        <f t="shared" si="17"/>
        <v>502350684.93150687</v>
      </c>
      <c r="R72" s="54">
        <f t="shared" si="18"/>
        <v>-3843676.4134151898</v>
      </c>
      <c r="S72" s="54">
        <f t="shared" si="19"/>
        <v>498507008.51809168</v>
      </c>
    </row>
    <row r="73" spans="2:19" ht="12.75" customHeight="1" thickBot="1">
      <c r="B73" s="999"/>
      <c r="C73" s="1012"/>
      <c r="D73" s="86"/>
      <c r="E73" s="1013"/>
      <c r="F73" s="1009" t="s">
        <v>1509</v>
      </c>
      <c r="G73" s="429">
        <f t="shared" ref="G73:L73" si="20">SUM(G17:G72)</f>
        <v>12550000000</v>
      </c>
      <c r="H73" s="429">
        <f t="shared" si="20"/>
        <v>1236512765.1232874</v>
      </c>
      <c r="I73" s="429">
        <f t="shared" si="20"/>
        <v>-1095621643.8356164</v>
      </c>
      <c r="J73" s="429">
        <f t="shared" si="20"/>
        <v>-4448523.8269477133</v>
      </c>
      <c r="K73" s="429">
        <f t="shared" si="20"/>
        <v>23942612.000396505</v>
      </c>
      <c r="L73" s="429">
        <f t="shared" si="20"/>
        <v>12710385209.461124</v>
      </c>
      <c r="M73" s="429">
        <v>0</v>
      </c>
      <c r="N73" s="429">
        <f>SUM(N17:N72)</f>
        <v>12710385209.461124</v>
      </c>
      <c r="Q73" s="429">
        <f>SUM(Q17:Q72)</f>
        <v>12714833733.288073</v>
      </c>
      <c r="R73" s="429">
        <f t="shared" ref="R73:S73" si="21">SUM(R17:R72)</f>
        <v>-4448523.8269477133</v>
      </c>
      <c r="S73" s="429">
        <f t="shared" si="21"/>
        <v>12710385209.461124</v>
      </c>
    </row>
    <row r="74" spans="2:19" ht="12.75" customHeight="1" thickTop="1">
      <c r="B74" s="999"/>
      <c r="C74" s="1002"/>
      <c r="D74" s="56"/>
      <c r="E74" s="1003"/>
      <c r="F74" s="997"/>
      <c r="G74" s="737"/>
      <c r="H74" s="737"/>
      <c r="I74" s="737"/>
      <c r="J74" s="737"/>
      <c r="K74" s="737"/>
      <c r="L74" s="737"/>
      <c r="M74" s="737"/>
      <c r="N74" s="737"/>
      <c r="Q74" s="737"/>
      <c r="R74" s="737"/>
      <c r="S74" s="1304"/>
    </row>
    <row r="75" spans="2:19" ht="12.75" customHeight="1" thickBot="1">
      <c r="B75" s="80" t="s">
        <v>2924</v>
      </c>
      <c r="C75" s="1005"/>
      <c r="D75" s="53"/>
      <c r="E75" s="1005"/>
      <c r="F75" s="1005"/>
      <c r="G75" s="53"/>
      <c r="H75" s="53"/>
      <c r="I75" s="53"/>
      <c r="J75" s="53"/>
      <c r="K75" s="53"/>
      <c r="L75" s="53"/>
      <c r="M75" s="427"/>
      <c r="N75" s="53"/>
      <c r="Q75" s="53"/>
    </row>
    <row r="76" spans="2:19" ht="12.75" customHeight="1">
      <c r="B76" s="77" t="s">
        <v>1600</v>
      </c>
      <c r="C76" s="75" t="s">
        <v>1505</v>
      </c>
      <c r="D76" s="54" t="s">
        <v>2922</v>
      </c>
      <c r="E76" s="69">
        <v>45645</v>
      </c>
      <c r="F76" s="127">
        <v>5.11E-2</v>
      </c>
      <c r="G76" s="54">
        <v>50000000</v>
      </c>
      <c r="H76" s="426">
        <v>2850000</v>
      </c>
      <c r="I76" s="426">
        <v>-78082.191780822002</v>
      </c>
      <c r="J76" s="1305">
        <v>-29814.090270459899</v>
      </c>
      <c r="K76" s="54">
        <v>0</v>
      </c>
      <c r="L76" s="54">
        <f t="shared" ref="L76:L77" si="22">+G76+H76+I76+J76+K76</f>
        <v>52742103.71794872</v>
      </c>
      <c r="M76" s="428"/>
      <c r="N76" s="54">
        <f t="shared" ref="N76:N77" si="23">+L76</f>
        <v>52742103.71794872</v>
      </c>
      <c r="Q76" s="1010">
        <f t="shared" ref="Q76:Q77" si="24">+N76-J76</f>
        <v>52771917.80821918</v>
      </c>
      <c r="R76" s="1010">
        <f t="shared" ref="R76:R77" si="25">+J76</f>
        <v>-29814.090270459899</v>
      </c>
      <c r="S76" s="1010">
        <f t="shared" ref="S76:S77" si="26">+Q76+R76</f>
        <v>52742103.71794872</v>
      </c>
    </row>
    <row r="77" spans="2:19" ht="12.75" customHeight="1">
      <c r="B77" s="77" t="s">
        <v>1600</v>
      </c>
      <c r="C77" s="75" t="s">
        <v>1505</v>
      </c>
      <c r="D77" s="54" t="s">
        <v>2923</v>
      </c>
      <c r="E77" s="69">
        <v>45667</v>
      </c>
      <c r="F77" s="127">
        <v>5.7000000000000002E-2</v>
      </c>
      <c r="G77" s="54">
        <v>50000000</v>
      </c>
      <c r="H77" s="426">
        <v>2850000</v>
      </c>
      <c r="I77" s="426">
        <v>-78082.191780822002</v>
      </c>
      <c r="J77" s="1305">
        <v>-29814.090270459899</v>
      </c>
      <c r="K77" s="54">
        <v>0</v>
      </c>
      <c r="L77" s="54">
        <f t="shared" si="22"/>
        <v>52742103.71794872</v>
      </c>
      <c r="M77" s="428"/>
      <c r="N77" s="54">
        <f t="shared" si="23"/>
        <v>52742103.71794872</v>
      </c>
      <c r="Q77" s="54">
        <f t="shared" si="24"/>
        <v>52771917.80821918</v>
      </c>
      <c r="R77" s="54">
        <f t="shared" si="25"/>
        <v>-29814.090270459899</v>
      </c>
      <c r="S77" s="54">
        <f t="shared" si="26"/>
        <v>52742103.71794872</v>
      </c>
    </row>
    <row r="78" spans="2:19" ht="12.75" customHeight="1" thickBot="1">
      <c r="B78" s="999"/>
      <c r="C78" s="1012"/>
      <c r="D78" s="86"/>
      <c r="E78" s="1013"/>
      <c r="F78" s="1009" t="s">
        <v>1509</v>
      </c>
      <c r="G78" s="429">
        <f>SUM(G76:G77)</f>
        <v>100000000</v>
      </c>
      <c r="H78" s="429">
        <f t="shared" ref="H78:N78" si="27">SUM(H76:H77)</f>
        <v>5700000</v>
      </c>
      <c r="I78" s="429">
        <f t="shared" si="27"/>
        <v>-156164.383561644</v>
      </c>
      <c r="J78" s="429">
        <f t="shared" si="27"/>
        <v>-59628.180540919799</v>
      </c>
      <c r="K78" s="429">
        <f t="shared" si="27"/>
        <v>0</v>
      </c>
      <c r="L78" s="429">
        <f t="shared" si="27"/>
        <v>105484207.43589744</v>
      </c>
      <c r="M78" s="429">
        <f t="shared" si="27"/>
        <v>0</v>
      </c>
      <c r="N78" s="429">
        <f t="shared" si="27"/>
        <v>105484207.43589744</v>
      </c>
      <c r="Q78" s="429">
        <f>SUM(Q76:Q77)</f>
        <v>105543835.61643836</v>
      </c>
      <c r="R78" s="429">
        <f t="shared" ref="R78:S78" si="28">SUM(R76:R77)</f>
        <v>-59628.180540919799</v>
      </c>
      <c r="S78" s="429">
        <f t="shared" si="28"/>
        <v>105484207.43589744</v>
      </c>
    </row>
    <row r="79" spans="2:19" ht="12.75" customHeight="1" thickTop="1">
      <c r="B79" s="999"/>
      <c r="C79" s="1002"/>
      <c r="D79" s="56"/>
      <c r="E79" s="1014"/>
      <c r="F79" s="847"/>
      <c r="G79" s="56"/>
      <c r="H79" s="56"/>
      <c r="I79" s="56"/>
      <c r="J79" s="56"/>
      <c r="K79" s="56"/>
      <c r="L79" s="56"/>
      <c r="M79" s="56"/>
      <c r="N79" s="56"/>
      <c r="O79" s="56"/>
      <c r="P79" s="56"/>
      <c r="Q79" s="56"/>
    </row>
    <row r="80" spans="2:19" ht="12.75" customHeight="1" thickBot="1">
      <c r="B80" s="1004" t="s">
        <v>1691</v>
      </c>
      <c r="C80" s="1005"/>
      <c r="D80" s="53"/>
      <c r="E80" s="1005"/>
      <c r="F80" s="1005"/>
      <c r="G80" s="53"/>
      <c r="H80" s="53"/>
      <c r="I80" s="53"/>
      <c r="J80" s="53"/>
      <c r="K80" s="53"/>
      <c r="L80" s="53"/>
      <c r="M80" s="427"/>
      <c r="N80" s="53"/>
      <c r="O80" s="53"/>
      <c r="P80" s="53"/>
      <c r="Q80" s="53"/>
    </row>
    <row r="81" spans="2:19" ht="12.75" customHeight="1">
      <c r="B81" s="77" t="s">
        <v>1511</v>
      </c>
      <c r="C81" s="75" t="s">
        <v>1505</v>
      </c>
      <c r="D81" s="54" t="s">
        <v>2641</v>
      </c>
      <c r="E81" s="69">
        <v>45817</v>
      </c>
      <c r="F81" s="127">
        <v>7.9500000000000001E-2</v>
      </c>
      <c r="G81" s="54">
        <v>806000000</v>
      </c>
      <c r="H81" s="426">
        <v>32828490.410958901</v>
      </c>
      <c r="I81" s="426">
        <v>-28088547.945205498</v>
      </c>
      <c r="J81" s="54"/>
      <c r="K81" s="54">
        <v>2031896.0572749199</v>
      </c>
      <c r="L81" s="54">
        <f t="shared" ref="L81:L86" si="29">+G81+H81+I81+J81+K81</f>
        <v>812771838.52302837</v>
      </c>
      <c r="M81" s="428"/>
      <c r="N81" s="54">
        <f t="shared" ref="N81:N86" si="30">+L81</f>
        <v>812771838.52302837</v>
      </c>
      <c r="Q81" s="1010">
        <f t="shared" ref="Q81" si="31">+N81-J81</f>
        <v>812771838.52302837</v>
      </c>
      <c r="R81" s="1010">
        <f t="shared" ref="R81:R86" si="32">+J81</f>
        <v>0</v>
      </c>
      <c r="S81" s="1010">
        <f t="shared" ref="S81:S86" si="33">+Q81+R81</f>
        <v>812771838.52302837</v>
      </c>
    </row>
    <row r="82" spans="2:19" ht="12.75" customHeight="1">
      <c r="B82" s="77" t="s">
        <v>1511</v>
      </c>
      <c r="C82" s="75" t="s">
        <v>1505</v>
      </c>
      <c r="D82" s="54" t="s">
        <v>1695</v>
      </c>
      <c r="E82" s="69">
        <v>46930</v>
      </c>
      <c r="F82" s="127">
        <v>7.5999999999999998E-2</v>
      </c>
      <c r="G82" s="54">
        <v>455000000</v>
      </c>
      <c r="H82" s="426">
        <v>121266849.31506801</v>
      </c>
      <c r="I82" s="426">
        <v>-120603671.232877</v>
      </c>
      <c r="J82" s="54"/>
      <c r="K82" s="54">
        <v>2043344.22091384</v>
      </c>
      <c r="L82" s="54">
        <f t="shared" si="29"/>
        <v>457706522.30310482</v>
      </c>
      <c r="M82" s="428"/>
      <c r="N82" s="54">
        <f t="shared" si="30"/>
        <v>457706522.30310482</v>
      </c>
      <c r="Q82" s="54">
        <f t="shared" ref="Q82:Q86" si="34">+N82-J82</f>
        <v>457706522.30310482</v>
      </c>
      <c r="R82" s="54">
        <f t="shared" si="32"/>
        <v>0</v>
      </c>
      <c r="S82" s="54">
        <f t="shared" si="33"/>
        <v>457706522.30310482</v>
      </c>
    </row>
    <row r="83" spans="2:19" ht="12.75" customHeight="1">
      <c r="B83" s="77" t="s">
        <v>1511</v>
      </c>
      <c r="C83" s="75" t="s">
        <v>1505</v>
      </c>
      <c r="D83" s="54" t="s">
        <v>2925</v>
      </c>
      <c r="E83" s="69">
        <v>46287</v>
      </c>
      <c r="F83" s="127">
        <v>7.2499999999999995E-2</v>
      </c>
      <c r="G83" s="54">
        <v>775000000</v>
      </c>
      <c r="H83" s="426">
        <v>97135102.739726022</v>
      </c>
      <c r="I83" s="426">
        <v>-96981164.383561701</v>
      </c>
      <c r="J83" s="54"/>
      <c r="K83" s="54"/>
      <c r="L83" s="54">
        <f t="shared" ref="L83" si="35">+G83+H83+I83+J83+K83</f>
        <v>775153938.35616434</v>
      </c>
      <c r="M83" s="428"/>
      <c r="N83" s="54">
        <f t="shared" ref="N83" si="36">+L83</f>
        <v>775153938.35616434</v>
      </c>
      <c r="Q83" s="54">
        <f t="shared" si="34"/>
        <v>775153938.35616434</v>
      </c>
      <c r="R83" s="54">
        <f t="shared" ref="R83" si="37">+J83</f>
        <v>0</v>
      </c>
      <c r="S83" s="54">
        <f t="shared" ref="S83" si="38">+Q83+R83</f>
        <v>775153938.35616434</v>
      </c>
    </row>
    <row r="84" spans="2:19" ht="12.75" customHeight="1">
      <c r="B84" s="77" t="s">
        <v>2728</v>
      </c>
      <c r="C84" s="75" t="s">
        <v>1505</v>
      </c>
      <c r="D84" s="54" t="s">
        <v>2729</v>
      </c>
      <c r="E84" s="69">
        <v>46260</v>
      </c>
      <c r="F84" s="127">
        <v>9.1499999999999998E-2</v>
      </c>
      <c r="G84" s="54">
        <v>495000000</v>
      </c>
      <c r="H84" s="426">
        <v>90585000</v>
      </c>
      <c r="I84" s="426">
        <v>-74825692</v>
      </c>
      <c r="J84" s="54">
        <v>-1681407.3474470701</v>
      </c>
      <c r="K84" s="54">
        <v>786319</v>
      </c>
      <c r="L84" s="54">
        <f t="shared" si="29"/>
        <v>509864219.6525529</v>
      </c>
      <c r="M84" s="428"/>
      <c r="N84" s="54">
        <f t="shared" si="30"/>
        <v>509864219.6525529</v>
      </c>
      <c r="Q84" s="54">
        <f t="shared" si="34"/>
        <v>511545627</v>
      </c>
      <c r="R84" s="54">
        <f t="shared" si="32"/>
        <v>-1681407.3474470701</v>
      </c>
      <c r="S84" s="54">
        <f t="shared" si="33"/>
        <v>509864219.6525529</v>
      </c>
    </row>
    <row r="85" spans="2:19" ht="12.75" customHeight="1">
      <c r="B85" s="77" t="s">
        <v>1548</v>
      </c>
      <c r="C85" s="75" t="s">
        <v>1505</v>
      </c>
      <c r="D85" s="54" t="s">
        <v>2730</v>
      </c>
      <c r="E85" s="69">
        <v>46623</v>
      </c>
      <c r="F85" s="127">
        <v>9.5000000000000001E-2</v>
      </c>
      <c r="G85" s="54">
        <v>440000000</v>
      </c>
      <c r="H85" s="426">
        <v>125056438.80219179</v>
      </c>
      <c r="I85" s="426">
        <v>-110626849.31506801</v>
      </c>
      <c r="J85" s="54"/>
      <c r="K85" s="54">
        <v>4008361.51363082</v>
      </c>
      <c r="L85" s="54">
        <f t="shared" si="29"/>
        <v>458437951.00075454</v>
      </c>
      <c r="M85" s="428"/>
      <c r="N85" s="54">
        <f t="shared" si="30"/>
        <v>458437951.00075454</v>
      </c>
      <c r="Q85" s="54">
        <f t="shared" si="34"/>
        <v>458437951.00075454</v>
      </c>
      <c r="R85" s="54">
        <f t="shared" si="32"/>
        <v>0</v>
      </c>
      <c r="S85" s="54">
        <f t="shared" si="33"/>
        <v>458437951.00075454</v>
      </c>
    </row>
    <row r="86" spans="2:19" ht="12.75" customHeight="1">
      <c r="B86" s="77" t="s">
        <v>2926</v>
      </c>
      <c r="C86" s="75" t="s">
        <v>1505</v>
      </c>
      <c r="D86" s="54" t="s">
        <v>2927</v>
      </c>
      <c r="E86" s="69">
        <v>47087</v>
      </c>
      <c r="F86" s="127">
        <v>9.5000000000000001E-2</v>
      </c>
      <c r="G86" s="54">
        <v>975000000</v>
      </c>
      <c r="H86" s="426">
        <v>290618116.43835622</v>
      </c>
      <c r="I86" s="426">
        <v>-288399657.53424698</v>
      </c>
      <c r="J86" s="54"/>
      <c r="K86" s="54">
        <v>0</v>
      </c>
      <c r="L86" s="54">
        <f t="shared" si="29"/>
        <v>977218458.90410924</v>
      </c>
      <c r="M86" s="428"/>
      <c r="N86" s="54">
        <f t="shared" si="30"/>
        <v>977218458.90410924</v>
      </c>
      <c r="Q86" s="54">
        <f t="shared" si="34"/>
        <v>977218458.90410924</v>
      </c>
      <c r="R86" s="54">
        <f t="shared" si="32"/>
        <v>0</v>
      </c>
      <c r="S86" s="54">
        <f t="shared" si="33"/>
        <v>977218458.90410924</v>
      </c>
    </row>
    <row r="87" spans="2:19" ht="12.75" customHeight="1" thickBot="1">
      <c r="B87" s="999"/>
      <c r="C87" s="1012"/>
      <c r="D87" s="86"/>
      <c r="E87" s="1013"/>
      <c r="F87" s="1009" t="s">
        <v>1509</v>
      </c>
      <c r="G87" s="429">
        <f t="shared" ref="G87:L87" si="39">SUM(G81:G86)</f>
        <v>3946000000</v>
      </c>
      <c r="H87" s="429">
        <f t="shared" si="39"/>
        <v>757489997.70630097</v>
      </c>
      <c r="I87" s="429">
        <f t="shared" si="39"/>
        <v>-719525582.41095924</v>
      </c>
      <c r="J87" s="429">
        <f t="shared" si="39"/>
        <v>-1681407.3474470701</v>
      </c>
      <c r="K87" s="429">
        <f t="shared" si="39"/>
        <v>8869920.7918195799</v>
      </c>
      <c r="L87" s="429">
        <f t="shared" si="39"/>
        <v>3991152928.7397146</v>
      </c>
      <c r="M87" s="429"/>
      <c r="N87" s="429">
        <f>SUM(N81:N86)</f>
        <v>3991152928.7397146</v>
      </c>
      <c r="Q87" s="429">
        <f>SUM(Q81:Q86)</f>
        <v>3992834336.0871611</v>
      </c>
      <c r="R87" s="429">
        <f t="shared" ref="R87:S87" si="40">SUM(R81:R86)</f>
        <v>-1681407.3474470701</v>
      </c>
      <c r="S87" s="429">
        <f t="shared" si="40"/>
        <v>3991152928.7397146</v>
      </c>
    </row>
    <row r="88" spans="2:19" ht="12.75" customHeight="1" thickTop="1">
      <c r="B88" s="999"/>
      <c r="C88" s="1002"/>
      <c r="D88" s="850"/>
      <c r="E88" s="1003"/>
      <c r="F88" s="997"/>
      <c r="G88" s="430"/>
      <c r="H88" s="941"/>
      <c r="I88" s="941"/>
      <c r="J88" s="941"/>
      <c r="K88" s="941"/>
      <c r="L88" s="430"/>
      <c r="M88" s="943"/>
      <c r="N88" s="430"/>
      <c r="Q88" s="430"/>
      <c r="R88" s="430"/>
      <c r="S88" s="430"/>
    </row>
    <row r="89" spans="2:19" ht="12.75" customHeight="1" thickBot="1">
      <c r="B89" s="1004" t="s">
        <v>1696</v>
      </c>
      <c r="C89" s="1005"/>
      <c r="D89" s="53"/>
      <c r="E89" s="1005"/>
      <c r="F89" s="1005"/>
      <c r="G89" s="53"/>
      <c r="H89" s="53"/>
      <c r="I89" s="53"/>
      <c r="J89" s="53"/>
      <c r="K89" s="53"/>
      <c r="L89" s="53"/>
      <c r="M89" s="427"/>
      <c r="N89" s="53"/>
      <c r="Q89" s="53"/>
      <c r="R89" s="53"/>
      <c r="S89" s="53"/>
    </row>
    <row r="90" spans="2:19" ht="12.75" customHeight="1">
      <c r="B90" s="77" t="s">
        <v>1600</v>
      </c>
      <c r="C90" s="75" t="s">
        <v>1505</v>
      </c>
      <c r="D90" s="54" t="s">
        <v>1697</v>
      </c>
      <c r="E90" s="69">
        <v>46937</v>
      </c>
      <c r="F90" s="127">
        <v>6.1499999999999999E-2</v>
      </c>
      <c r="G90" s="54">
        <v>2075000000</v>
      </c>
      <c r="H90" s="426">
        <v>455744486</v>
      </c>
      <c r="I90" s="426">
        <v>-447517808.39999998</v>
      </c>
      <c r="J90" s="54">
        <v>-105440315</v>
      </c>
      <c r="K90" s="54">
        <v>0</v>
      </c>
      <c r="L90" s="54">
        <f t="shared" ref="L90:L98" si="41">+G90+H90+I90+J90+K90</f>
        <v>1977786362.5999999</v>
      </c>
      <c r="M90" s="428"/>
      <c r="N90" s="54">
        <f t="shared" ref="N90:N98" si="42">+L90</f>
        <v>1977786362.5999999</v>
      </c>
      <c r="Q90" s="1010">
        <f t="shared" ref="Q90:Q98" si="43">+N90-J90</f>
        <v>2083226677.5999999</v>
      </c>
      <c r="R90" s="1010">
        <f t="shared" ref="R90:R98" si="44">+J90</f>
        <v>-105440315</v>
      </c>
      <c r="S90" s="1010">
        <f t="shared" ref="S90:S98" si="45">+Q90+R90</f>
        <v>1977786362.5999999</v>
      </c>
    </row>
    <row r="91" spans="2:19" ht="12.75" customHeight="1">
      <c r="B91" s="77" t="s">
        <v>1600</v>
      </c>
      <c r="C91" s="75" t="s">
        <v>1505</v>
      </c>
      <c r="D91" s="54" t="s">
        <v>1659</v>
      </c>
      <c r="E91" s="69">
        <v>48074</v>
      </c>
      <c r="F91" s="127">
        <v>6.5000000000000002E-2</v>
      </c>
      <c r="G91" s="54">
        <v>650000000</v>
      </c>
      <c r="H91" s="426">
        <v>295865754</v>
      </c>
      <c r="I91" s="426">
        <v>-279776027.39999998</v>
      </c>
      <c r="J91" s="54"/>
      <c r="K91" s="54">
        <v>139.72602736949901</v>
      </c>
      <c r="L91" s="54">
        <f t="shared" si="41"/>
        <v>666089866.32602739</v>
      </c>
      <c r="M91" s="428"/>
      <c r="N91" s="54">
        <f t="shared" si="42"/>
        <v>666089866.32602739</v>
      </c>
      <c r="Q91" s="54">
        <f t="shared" si="43"/>
        <v>666089866.32602739</v>
      </c>
      <c r="R91" s="54">
        <f t="shared" si="44"/>
        <v>0</v>
      </c>
      <c r="S91" s="54">
        <f t="shared" si="45"/>
        <v>666089866.32602739</v>
      </c>
    </row>
    <row r="92" spans="2:19" ht="12.75" customHeight="1">
      <c r="B92" s="77" t="s">
        <v>1600</v>
      </c>
      <c r="C92" s="75" t="s">
        <v>1505</v>
      </c>
      <c r="D92" s="54" t="s">
        <v>2731</v>
      </c>
      <c r="E92" s="69">
        <v>49192</v>
      </c>
      <c r="F92" s="127">
        <v>7.3499999999999996E-2</v>
      </c>
      <c r="G92" s="54">
        <v>1443000000</v>
      </c>
      <c r="H92" s="426">
        <v>1036196556.16438</v>
      </c>
      <c r="I92" s="426">
        <v>-1027188678.4</v>
      </c>
      <c r="J92" s="54"/>
      <c r="K92" s="54"/>
      <c r="L92" s="54">
        <f t="shared" ref="L92:L94" si="46">+G92+H92+I92+J92+K92</f>
        <v>1452007877.76438</v>
      </c>
      <c r="M92" s="428"/>
      <c r="N92" s="54">
        <f t="shared" ref="N92:N94" si="47">+L92</f>
        <v>1452007877.76438</v>
      </c>
      <c r="Q92" s="54">
        <f t="shared" si="43"/>
        <v>1452007877.76438</v>
      </c>
      <c r="R92" s="54">
        <f t="shared" si="44"/>
        <v>0</v>
      </c>
      <c r="S92" s="54">
        <f t="shared" si="45"/>
        <v>1452007877.76438</v>
      </c>
    </row>
    <row r="93" spans="2:19" ht="12.75" customHeight="1">
      <c r="B93" s="77" t="s">
        <v>1600</v>
      </c>
      <c r="C93" s="75" t="s">
        <v>1505</v>
      </c>
      <c r="D93" s="54" t="s">
        <v>2732</v>
      </c>
      <c r="E93" s="69">
        <v>47358</v>
      </c>
      <c r="F93" s="127">
        <v>7.0999999999999994E-2</v>
      </c>
      <c r="G93" s="54">
        <v>1533000000</v>
      </c>
      <c r="H93" s="426">
        <v>544215000</v>
      </c>
      <c r="I93" s="426">
        <v>-507238200.39999998</v>
      </c>
      <c r="J93" s="54"/>
      <c r="K93" s="54"/>
      <c r="L93" s="54">
        <f t="shared" si="46"/>
        <v>1569976799.5999999</v>
      </c>
      <c r="M93" s="428"/>
      <c r="N93" s="54">
        <f t="shared" si="47"/>
        <v>1569976799.5999999</v>
      </c>
      <c r="Q93" s="54">
        <f t="shared" si="43"/>
        <v>1569976799.5999999</v>
      </c>
      <c r="R93" s="54">
        <f t="shared" si="44"/>
        <v>0</v>
      </c>
      <c r="S93" s="54">
        <f t="shared" si="45"/>
        <v>1569976799.5999999</v>
      </c>
    </row>
    <row r="94" spans="2:19" ht="12.75" customHeight="1">
      <c r="B94" s="77" t="s">
        <v>1600</v>
      </c>
      <c r="C94" s="75" t="s">
        <v>1505</v>
      </c>
      <c r="D94" s="54" t="s">
        <v>2733</v>
      </c>
      <c r="E94" s="69">
        <v>46994</v>
      </c>
      <c r="F94" s="127">
        <v>7.0000000000000007E-2</v>
      </c>
      <c r="G94" s="54">
        <v>159000000</v>
      </c>
      <c r="H94" s="426">
        <v>44550493.150684901</v>
      </c>
      <c r="I94" s="426">
        <v>-40769342</v>
      </c>
      <c r="J94" s="54"/>
      <c r="K94" s="54"/>
      <c r="L94" s="54">
        <f t="shared" si="46"/>
        <v>162781151.15068489</v>
      </c>
      <c r="M94" s="428"/>
      <c r="N94" s="54">
        <f t="shared" si="47"/>
        <v>162781151.15068489</v>
      </c>
      <c r="Q94" s="54">
        <f t="shared" si="43"/>
        <v>162781151.15068489</v>
      </c>
      <c r="R94" s="54">
        <f t="shared" si="44"/>
        <v>0</v>
      </c>
      <c r="S94" s="54">
        <f t="shared" si="45"/>
        <v>162781151.15068489</v>
      </c>
    </row>
    <row r="95" spans="2:19" ht="12.75" customHeight="1">
      <c r="B95" s="77" t="s">
        <v>1600</v>
      </c>
      <c r="C95" s="75" t="s">
        <v>1505</v>
      </c>
      <c r="D95" s="54" t="s">
        <v>2928</v>
      </c>
      <c r="E95" s="69">
        <v>46311</v>
      </c>
      <c r="F95" s="127">
        <v>7.3499999999999996E-2</v>
      </c>
      <c r="G95" s="54">
        <v>35000000</v>
      </c>
      <c r="H95" s="426">
        <v>5145000</v>
      </c>
      <c r="I95" s="426">
        <v>-4609356</v>
      </c>
      <c r="J95" s="54"/>
      <c r="K95" s="54"/>
      <c r="L95" s="54">
        <f t="shared" si="41"/>
        <v>35535644</v>
      </c>
      <c r="M95" s="428"/>
      <c r="N95" s="54">
        <f t="shared" si="42"/>
        <v>35535644</v>
      </c>
      <c r="Q95" s="54">
        <f t="shared" si="43"/>
        <v>35535644</v>
      </c>
      <c r="R95" s="54">
        <f t="shared" ref="R95" si="48">+J95</f>
        <v>0</v>
      </c>
      <c r="S95" s="54">
        <f t="shared" ref="S95" si="49">+Q95+R95</f>
        <v>35535644</v>
      </c>
    </row>
    <row r="96" spans="2:19" ht="12.75" customHeight="1">
      <c r="B96" s="77" t="s">
        <v>1600</v>
      </c>
      <c r="C96" s="75" t="s">
        <v>1505</v>
      </c>
      <c r="D96" s="54" t="s">
        <v>2929</v>
      </c>
      <c r="E96" s="69">
        <v>46524</v>
      </c>
      <c r="F96" s="127">
        <v>7.4499999999999997E-2</v>
      </c>
      <c r="G96" s="54">
        <v>63000000</v>
      </c>
      <c r="H96" s="426">
        <v>11753038.3561644</v>
      </c>
      <c r="I96" s="426">
        <v>-11148670</v>
      </c>
      <c r="J96" s="54"/>
      <c r="K96" s="54"/>
      <c r="L96" s="54">
        <f t="shared" si="41"/>
        <v>63604368.356164396</v>
      </c>
      <c r="M96" s="428"/>
      <c r="N96" s="54">
        <f t="shared" si="42"/>
        <v>63604368.356164396</v>
      </c>
      <c r="Q96" s="54">
        <f t="shared" si="43"/>
        <v>63604368.356164396</v>
      </c>
      <c r="R96" s="54">
        <f t="shared" ref="R96:R97" si="50">+J96</f>
        <v>0</v>
      </c>
      <c r="S96" s="54">
        <f t="shared" ref="S96:S97" si="51">+Q96+R96</f>
        <v>63604368.356164396</v>
      </c>
    </row>
    <row r="97" spans="2:19" ht="12.75" customHeight="1">
      <c r="B97" s="77" t="s">
        <v>1600</v>
      </c>
      <c r="C97" s="75" t="s">
        <v>1505</v>
      </c>
      <c r="D97" s="54" t="s">
        <v>2930</v>
      </c>
      <c r="E97" s="69">
        <v>49284</v>
      </c>
      <c r="F97" s="127">
        <v>7.5499999999999998E-2</v>
      </c>
      <c r="G97" s="54">
        <v>840000000</v>
      </c>
      <c r="H97" s="426">
        <v>634721260.27397299</v>
      </c>
      <c r="I97" s="426">
        <v>-630203671</v>
      </c>
      <c r="J97" s="54"/>
      <c r="K97" s="54"/>
      <c r="L97" s="54">
        <f t="shared" si="41"/>
        <v>844517589.27397299</v>
      </c>
      <c r="M97" s="428"/>
      <c r="N97" s="54">
        <f t="shared" si="42"/>
        <v>844517589.27397299</v>
      </c>
      <c r="Q97" s="54">
        <f t="shared" si="43"/>
        <v>844517589.27397299</v>
      </c>
      <c r="R97" s="54">
        <f t="shared" si="50"/>
        <v>0</v>
      </c>
      <c r="S97" s="54">
        <f t="shared" si="51"/>
        <v>844517589.27397299</v>
      </c>
    </row>
    <row r="98" spans="2:19" ht="12.75" customHeight="1">
      <c r="B98" s="77" t="s">
        <v>1600</v>
      </c>
      <c r="C98" s="75" t="s">
        <v>1505</v>
      </c>
      <c r="D98" s="54" t="s">
        <v>2931</v>
      </c>
      <c r="E98" s="69">
        <v>46741</v>
      </c>
      <c r="F98" s="127">
        <v>7.4999999999999997E-2</v>
      </c>
      <c r="G98" s="54">
        <v>2160000000</v>
      </c>
      <c r="H98" s="426">
        <v>486443835.61643833</v>
      </c>
      <c r="I98" s="426">
        <v>-481117808</v>
      </c>
      <c r="J98" s="54"/>
      <c r="K98" s="54"/>
      <c r="L98" s="54">
        <f t="shared" si="41"/>
        <v>2165326027.6164384</v>
      </c>
      <c r="M98" s="428"/>
      <c r="N98" s="54">
        <f t="shared" si="42"/>
        <v>2165326027.6164384</v>
      </c>
      <c r="Q98" s="54">
        <f t="shared" si="43"/>
        <v>2165326027.6164384</v>
      </c>
      <c r="R98" s="54">
        <f t="shared" si="44"/>
        <v>0</v>
      </c>
      <c r="S98" s="54">
        <f t="shared" si="45"/>
        <v>2165326027.6164384</v>
      </c>
    </row>
    <row r="99" spans="2:19" ht="12.75" customHeight="1" thickBot="1">
      <c r="B99" s="999"/>
      <c r="C99" s="1012"/>
      <c r="D99" s="86"/>
      <c r="E99" s="1013"/>
      <c r="F99" s="1009" t="s">
        <v>1509</v>
      </c>
      <c r="G99" s="429">
        <f>SUM(G90:G98)</f>
        <v>8958000000</v>
      </c>
      <c r="H99" s="429">
        <f t="shared" ref="H99:N99" si="52">SUM(H90:H98)</f>
        <v>3514635423.5616407</v>
      </c>
      <c r="I99" s="429">
        <f t="shared" si="52"/>
        <v>-3429569561.5999999</v>
      </c>
      <c r="J99" s="429">
        <f t="shared" si="52"/>
        <v>-105440315</v>
      </c>
      <c r="K99" s="429">
        <f t="shared" si="52"/>
        <v>139.72602736949901</v>
      </c>
      <c r="L99" s="429">
        <f t="shared" si="52"/>
        <v>8937625686.6876678</v>
      </c>
      <c r="M99" s="429">
        <f t="shared" si="52"/>
        <v>0</v>
      </c>
      <c r="N99" s="429">
        <f t="shared" si="52"/>
        <v>8937625686.6876678</v>
      </c>
      <c r="Q99" s="429">
        <f>SUM(Q90:Q98)</f>
        <v>9043066001.6876678</v>
      </c>
      <c r="R99" s="429">
        <f t="shared" ref="R99:S99" si="53">SUM(R90:R98)</f>
        <v>-105440315</v>
      </c>
      <c r="S99" s="429">
        <f t="shared" si="53"/>
        <v>8937625686.6876678</v>
      </c>
    </row>
    <row r="100" spans="2:19" ht="12.75" customHeight="1" thickTop="1">
      <c r="B100" s="999"/>
      <c r="C100" s="1002"/>
      <c r="D100" s="850"/>
      <c r="E100" s="1003"/>
      <c r="F100" s="997"/>
      <c r="G100" s="430"/>
      <c r="H100" s="941"/>
      <c r="I100" s="941"/>
      <c r="J100" s="941"/>
      <c r="K100" s="941"/>
      <c r="L100" s="430"/>
      <c r="M100" s="943"/>
      <c r="N100" s="430"/>
      <c r="Q100" s="430"/>
      <c r="R100" s="430"/>
      <c r="S100" s="430"/>
    </row>
    <row r="101" spans="2:19" ht="12.75" customHeight="1" thickBot="1">
      <c r="B101" s="80" t="s">
        <v>2932</v>
      </c>
      <c r="C101" s="1005"/>
      <c r="D101" s="53"/>
      <c r="E101" s="1005"/>
      <c r="F101" s="1005"/>
      <c r="G101" s="53"/>
      <c r="H101" s="53"/>
      <c r="I101" s="53"/>
      <c r="J101" s="53"/>
      <c r="K101" s="53"/>
      <c r="L101" s="53"/>
      <c r="M101" s="427"/>
      <c r="N101" s="53"/>
      <c r="Q101" s="53"/>
      <c r="R101" s="53"/>
      <c r="S101" s="53"/>
    </row>
    <row r="102" spans="2:19" ht="13.8" thickBot="1">
      <c r="B102" s="77" t="s">
        <v>1634</v>
      </c>
      <c r="C102" s="75" t="s">
        <v>1505</v>
      </c>
      <c r="D102" s="54" t="s">
        <v>2933</v>
      </c>
      <c r="E102" s="69">
        <v>47137</v>
      </c>
      <c r="F102" s="1192">
        <v>9.2499999999999999E-2</v>
      </c>
      <c r="G102" s="54">
        <v>255000000</v>
      </c>
      <c r="H102" s="426">
        <v>99972226</v>
      </c>
      <c r="I102" s="426">
        <v>-95642465.753424704</v>
      </c>
      <c r="J102" s="54">
        <v>0</v>
      </c>
      <c r="K102" s="54">
        <v>5994592.7458917396</v>
      </c>
      <c r="L102" s="54">
        <f>+G102+H102+I102+J102+K102</f>
        <v>265324352.99246705</v>
      </c>
      <c r="M102" s="852"/>
      <c r="N102" s="54">
        <f t="shared" ref="N102" si="54">+L102</f>
        <v>265324352.99246705</v>
      </c>
      <c r="Q102" s="1010">
        <f t="shared" ref="Q102:Q103" si="55">+N102-J102</f>
        <v>265324352.99246705</v>
      </c>
      <c r="R102" s="1010">
        <f t="shared" ref="R102" si="56">+J102</f>
        <v>0</v>
      </c>
      <c r="S102" s="1010">
        <f t="shared" ref="S102" si="57">+Q102+R102</f>
        <v>265324352.99246705</v>
      </c>
    </row>
    <row r="103" spans="2:19" ht="13.2">
      <c r="B103" s="77" t="s">
        <v>1634</v>
      </c>
      <c r="C103" s="75" t="s">
        <v>1505</v>
      </c>
      <c r="D103" s="54" t="s">
        <v>2734</v>
      </c>
      <c r="E103" s="69">
        <v>48102</v>
      </c>
      <c r="F103" s="1192">
        <v>7.9000000000000001E-2</v>
      </c>
      <c r="G103" s="54">
        <v>1306000000</v>
      </c>
      <c r="H103" s="426">
        <v>694516487.67123282</v>
      </c>
      <c r="I103" s="426">
        <v>-691124465.753425</v>
      </c>
      <c r="J103" s="54">
        <v>0</v>
      </c>
      <c r="K103" s="54"/>
      <c r="L103" s="54">
        <f>+G103+H103+I103+J103+K103</f>
        <v>1309392021.9178076</v>
      </c>
      <c r="M103" s="852"/>
      <c r="N103" s="54">
        <f t="shared" ref="N103" si="58">+L103</f>
        <v>1309392021.9178076</v>
      </c>
      <c r="Q103" s="1010">
        <f t="shared" si="55"/>
        <v>1309392021.9178076</v>
      </c>
      <c r="R103" s="1010">
        <f t="shared" ref="R103" si="59">+J103</f>
        <v>0</v>
      </c>
      <c r="S103" s="1010">
        <f t="shared" ref="S103" si="60">+Q103+R103</f>
        <v>1309392021.9178076</v>
      </c>
    </row>
    <row r="104" spans="2:19" ht="12.75" customHeight="1" thickBot="1">
      <c r="B104" s="999"/>
      <c r="C104" s="1012"/>
      <c r="D104" s="86"/>
      <c r="E104" s="1013"/>
      <c r="F104" s="1009" t="s">
        <v>1509</v>
      </c>
      <c r="G104" s="429">
        <f>SUM(G102:G103)</f>
        <v>1561000000</v>
      </c>
      <c r="H104" s="429">
        <f t="shared" ref="H104:N104" si="61">SUM(H102:H103)</f>
        <v>794488713.67123282</v>
      </c>
      <c r="I104" s="429">
        <f t="shared" si="61"/>
        <v>-786766931.50684977</v>
      </c>
      <c r="J104" s="429">
        <f t="shared" si="61"/>
        <v>0</v>
      </c>
      <c r="K104" s="429">
        <f t="shared" si="61"/>
        <v>5994592.7458917396</v>
      </c>
      <c r="L104" s="429">
        <f t="shared" si="61"/>
        <v>1574716374.9102745</v>
      </c>
      <c r="M104" s="429">
        <f t="shared" si="61"/>
        <v>0</v>
      </c>
      <c r="N104" s="429">
        <f t="shared" si="61"/>
        <v>1574716374.9102745</v>
      </c>
      <c r="Q104" s="429">
        <f>SUM(Q102:Q103)</f>
        <v>1574716374.9102745</v>
      </c>
      <c r="R104" s="429">
        <f t="shared" ref="R104:S104" si="62">SUM(R102:R103)</f>
        <v>0</v>
      </c>
      <c r="S104" s="429">
        <f t="shared" si="62"/>
        <v>1574716374.9102745</v>
      </c>
    </row>
    <row r="105" spans="2:19" ht="13.8" thickTop="1">
      <c r="B105" s="999"/>
      <c r="C105" s="1002"/>
      <c r="D105" s="850"/>
      <c r="E105" s="1003"/>
      <c r="F105" s="997"/>
      <c r="G105" s="430"/>
      <c r="H105" s="430"/>
      <c r="I105" s="941"/>
      <c r="J105" s="430"/>
      <c r="K105" s="430"/>
      <c r="L105" s="430"/>
      <c r="M105" s="943"/>
      <c r="N105" s="430"/>
      <c r="Q105" s="430"/>
      <c r="R105" s="430"/>
      <c r="S105" s="430"/>
    </row>
    <row r="106" spans="2:19" ht="15.75" customHeight="1" thickBot="1">
      <c r="B106" s="80" t="s">
        <v>2870</v>
      </c>
      <c r="C106" s="1005"/>
      <c r="D106" s="53"/>
      <c r="E106" s="1005"/>
      <c r="F106" s="1005"/>
      <c r="G106" s="53"/>
      <c r="H106" s="53"/>
      <c r="I106" s="53"/>
      <c r="J106" s="53"/>
      <c r="K106" s="944"/>
      <c r="L106" s="53"/>
      <c r="M106" s="427"/>
      <c r="N106" s="53"/>
      <c r="Q106" s="53"/>
      <c r="R106" s="53"/>
      <c r="S106" s="53"/>
    </row>
    <row r="107" spans="2:19" ht="12.75" customHeight="1" thickBot="1">
      <c r="B107" s="77" t="s">
        <v>2934</v>
      </c>
      <c r="C107" s="75" t="s">
        <v>634</v>
      </c>
      <c r="D107" s="54" t="s">
        <v>1786</v>
      </c>
      <c r="E107" s="69">
        <v>47865</v>
      </c>
      <c r="F107" s="127">
        <v>0.08</v>
      </c>
      <c r="G107" s="426">
        <v>120000000</v>
      </c>
      <c r="H107" s="426">
        <v>61518904.10958904</v>
      </c>
      <c r="I107" s="426">
        <v>-58073424.657534197</v>
      </c>
      <c r="J107" s="54">
        <v>-1174442.3433401401</v>
      </c>
      <c r="K107" s="54"/>
      <c r="L107" s="942">
        <f>+G107+H107+I107+J107+K107</f>
        <v>122271037.1087147</v>
      </c>
      <c r="M107" s="946"/>
      <c r="N107" s="942">
        <f>+L107</f>
        <v>122271037.1087147</v>
      </c>
      <c r="Q107" s="1010">
        <f t="shared" ref="Q107:Q110" si="63">+N107-J107</f>
        <v>123445479.45205484</v>
      </c>
      <c r="R107" s="1010">
        <f t="shared" ref="R107" si="64">+J107</f>
        <v>-1174442.3433401401</v>
      </c>
      <c r="S107" s="1010">
        <f t="shared" ref="S107" si="65">+Q107+R107</f>
        <v>122271037.1087147</v>
      </c>
    </row>
    <row r="108" spans="2:19" ht="12.75" customHeight="1" thickBot="1">
      <c r="B108" s="77" t="s">
        <v>1616</v>
      </c>
      <c r="C108" s="75" t="s">
        <v>634</v>
      </c>
      <c r="D108" s="54" t="s">
        <v>1699</v>
      </c>
      <c r="E108" s="69">
        <v>47269</v>
      </c>
      <c r="F108" s="127">
        <v>0.1</v>
      </c>
      <c r="G108" s="426">
        <v>300000000</v>
      </c>
      <c r="H108" s="426">
        <v>132575342.46575342</v>
      </c>
      <c r="I108" s="426">
        <v>-132493150.68493199</v>
      </c>
      <c r="J108" s="54"/>
      <c r="K108" s="54">
        <v>20946392.916322801</v>
      </c>
      <c r="L108" s="942">
        <f>+G108+H108+I108+J108+K108</f>
        <v>321028584.69714427</v>
      </c>
      <c r="M108" s="946"/>
      <c r="N108" s="942">
        <f>+L108</f>
        <v>321028584.69714427</v>
      </c>
      <c r="Q108" s="1010">
        <f t="shared" si="63"/>
        <v>321028584.69714427</v>
      </c>
      <c r="R108" s="1010">
        <f t="shared" ref="R108:R109" si="66">+J108</f>
        <v>0</v>
      </c>
      <c r="S108" s="1010">
        <f t="shared" ref="S108:S109" si="67">+Q108+R108</f>
        <v>321028584.69714427</v>
      </c>
    </row>
    <row r="109" spans="2:19" ht="12.75" customHeight="1" thickBot="1">
      <c r="B109" s="77" t="s">
        <v>1616</v>
      </c>
      <c r="C109" s="75" t="s">
        <v>634</v>
      </c>
      <c r="D109" s="54" t="s">
        <v>2871</v>
      </c>
      <c r="E109" s="69">
        <v>46751</v>
      </c>
      <c r="F109" s="127">
        <v>7.8E-2</v>
      </c>
      <c r="G109" s="426">
        <v>3303000000</v>
      </c>
      <c r="H109" s="426">
        <v>782078005.47945201</v>
      </c>
      <c r="I109" s="426">
        <v>-772196153.42465699</v>
      </c>
      <c r="J109" s="54">
        <v>0</v>
      </c>
      <c r="K109" s="54">
        <v>0</v>
      </c>
      <c r="L109" s="942">
        <f>+G109+H109+I109+J109+K109</f>
        <v>3312881852.0547953</v>
      </c>
      <c r="M109" s="946"/>
      <c r="N109" s="942">
        <f>+L109</f>
        <v>3312881852.0547953</v>
      </c>
      <c r="Q109" s="1010">
        <f t="shared" si="63"/>
        <v>3312881852.0547953</v>
      </c>
      <c r="R109" s="1010">
        <f t="shared" si="66"/>
        <v>0</v>
      </c>
      <c r="S109" s="1010">
        <f t="shared" si="67"/>
        <v>3312881852.0547953</v>
      </c>
    </row>
    <row r="110" spans="2:19" ht="12.75" customHeight="1">
      <c r="B110" s="77" t="s">
        <v>1616</v>
      </c>
      <c r="C110" s="75" t="s">
        <v>634</v>
      </c>
      <c r="D110" s="54" t="s">
        <v>2935</v>
      </c>
      <c r="E110" s="69">
        <v>48121</v>
      </c>
      <c r="F110" s="127">
        <v>7.4999999999999997E-2</v>
      </c>
      <c r="G110" s="426">
        <v>531000000</v>
      </c>
      <c r="H110" s="426">
        <v>268955136.98630136</v>
      </c>
      <c r="I110" s="426">
        <v>-268846027.39726001</v>
      </c>
      <c r="J110" s="54">
        <v>-1281446.7442975999</v>
      </c>
      <c r="K110" s="54"/>
      <c r="L110" s="942">
        <f>+G110+H110+I110+J110+K110</f>
        <v>529827662.84474379</v>
      </c>
      <c r="M110" s="946"/>
      <c r="N110" s="942">
        <f>+L110</f>
        <v>529827662.84474379</v>
      </c>
      <c r="Q110" s="1010">
        <f t="shared" si="63"/>
        <v>531109109.58904141</v>
      </c>
      <c r="R110" s="1010">
        <f t="shared" ref="R110" si="68">+J110</f>
        <v>-1281446.7442975999</v>
      </c>
      <c r="S110" s="1010">
        <f t="shared" ref="S110" si="69">+Q110+R110</f>
        <v>529827662.84474379</v>
      </c>
    </row>
    <row r="111" spans="2:19" ht="12.75" customHeight="1" thickBot="1">
      <c r="B111" s="999"/>
      <c r="C111" s="1012"/>
      <c r="D111" s="86"/>
      <c r="E111" s="1013"/>
      <c r="F111" s="1009" t="s">
        <v>1509</v>
      </c>
      <c r="G111" s="429">
        <f>+SUM(G107:G110)</f>
        <v>4254000000</v>
      </c>
      <c r="H111" s="429">
        <f t="shared" ref="H111:N111" si="70">+SUM(H107:H110)</f>
        <v>1245127389.041096</v>
      </c>
      <c r="I111" s="429">
        <f t="shared" si="70"/>
        <v>-1231608756.1643832</v>
      </c>
      <c r="J111" s="429">
        <f t="shared" si="70"/>
        <v>-2455889.0876377402</v>
      </c>
      <c r="K111" s="429">
        <f t="shared" si="70"/>
        <v>20946392.916322801</v>
      </c>
      <c r="L111" s="429">
        <f t="shared" si="70"/>
        <v>4286009136.7053981</v>
      </c>
      <c r="M111" s="429">
        <f t="shared" si="70"/>
        <v>0</v>
      </c>
      <c r="N111" s="429">
        <f t="shared" si="70"/>
        <v>4286009136.7053981</v>
      </c>
      <c r="Q111" s="429">
        <f>+SUM(Q107:Q110)</f>
        <v>4288465025.7930355</v>
      </c>
      <c r="R111" s="429">
        <f t="shared" ref="R111:S111" si="71">+SUM(R107:R110)</f>
        <v>-2455889.0876377402</v>
      </c>
      <c r="S111" s="429">
        <f t="shared" si="71"/>
        <v>4286009136.7053981</v>
      </c>
    </row>
    <row r="112" spans="2:19" ht="12.75" customHeight="1" thickTop="1">
      <c r="B112" s="999"/>
      <c r="C112" s="1002"/>
      <c r="D112" s="56"/>
      <c r="E112" s="1014"/>
      <c r="F112" s="847"/>
      <c r="G112" s="56"/>
      <c r="H112" s="848"/>
      <c r="I112" s="56"/>
      <c r="J112" s="56"/>
      <c r="K112" s="947"/>
      <c r="L112" s="56"/>
      <c r="M112" s="849"/>
      <c r="N112" s="56"/>
      <c r="Q112" s="56"/>
      <c r="R112" s="56"/>
      <c r="S112" s="56"/>
    </row>
    <row r="113" spans="2:19" ht="12.75" customHeight="1">
      <c r="B113" s="999"/>
      <c r="C113" s="1002"/>
      <c r="D113" s="850"/>
      <c r="E113" s="1003"/>
      <c r="F113" s="997"/>
      <c r="G113" s="430"/>
      <c r="H113" s="430"/>
      <c r="I113" s="430"/>
      <c r="J113" s="430"/>
      <c r="K113" s="430"/>
      <c r="L113" s="430"/>
      <c r="M113" s="430"/>
      <c r="N113" s="430"/>
      <c r="Q113" s="430"/>
      <c r="R113" s="430"/>
      <c r="S113" s="430"/>
    </row>
    <row r="114" spans="2:19" s="1017" customFormat="1" ht="14.4">
      <c r="B114" s="1015" t="s">
        <v>1700</v>
      </c>
      <c r="C114" s="1016"/>
      <c r="D114" s="1016"/>
      <c r="E114" s="1016"/>
      <c r="F114" s="1016"/>
      <c r="G114" s="1015">
        <f>+G14+G73+G87+G99+G104+G111</f>
        <v>37269000000</v>
      </c>
      <c r="H114" s="1015">
        <f t="shared" ref="H114:N114" si="72">+H14+H73+H87+H99+H104+H111</f>
        <v>8110069357.5967093</v>
      </c>
      <c r="I114" s="1015">
        <f t="shared" si="72"/>
        <v>-7674271587.9268818</v>
      </c>
      <c r="J114" s="1015">
        <f t="shared" si="72"/>
        <v>-117832339.29470567</v>
      </c>
      <c r="K114" s="1015">
        <f t="shared" si="72"/>
        <v>70999818.412919298</v>
      </c>
      <c r="L114" s="1015">
        <f t="shared" si="72"/>
        <v>37657965248.78804</v>
      </c>
      <c r="M114" s="1015">
        <f t="shared" si="72"/>
        <v>0</v>
      </c>
      <c r="N114" s="1015">
        <f t="shared" si="72"/>
        <v>37657965248.78804</v>
      </c>
      <c r="O114" s="996"/>
      <c r="P114" s="996"/>
      <c r="Q114" s="1015">
        <f>+Q14+Q73+Q87+Q99+Q104+Q111+Q78</f>
        <v>37881341423.699188</v>
      </c>
      <c r="R114" s="1015">
        <f t="shared" ref="R114:S114" si="73">+R14+R73+R87+R99+R104+R111+R78</f>
        <v>-117891967.47524659</v>
      </c>
      <c r="S114" s="1015">
        <f t="shared" si="73"/>
        <v>37763449456.223938</v>
      </c>
    </row>
    <row r="115" spans="2:19" ht="12.6" customHeight="1">
      <c r="B115" s="999"/>
      <c r="C115" s="1002"/>
      <c r="D115" s="56"/>
      <c r="E115" s="1003"/>
      <c r="F115" s="997"/>
      <c r="G115" s="997"/>
      <c r="H115" s="1018"/>
      <c r="I115" s="1019"/>
      <c r="J115" s="999"/>
      <c r="K115" s="1019"/>
      <c r="L115" s="1019"/>
      <c r="M115" s="1018"/>
      <c r="N115" s="430"/>
      <c r="O115" s="430"/>
      <c r="P115" s="430"/>
      <c r="Q115" s="430"/>
    </row>
    <row r="116" spans="2:19" ht="12.75" customHeight="1" thickBot="1">
      <c r="B116" s="1004" t="s">
        <v>1701</v>
      </c>
      <c r="C116" s="1005"/>
      <c r="D116" s="53"/>
      <c r="E116" s="1005"/>
      <c r="F116" s="1005"/>
      <c r="G116" s="53"/>
      <c r="H116" s="53"/>
      <c r="I116" s="53"/>
      <c r="J116" s="53"/>
      <c r="K116" s="53"/>
      <c r="L116" s="53"/>
      <c r="M116" s="427"/>
      <c r="N116" s="53"/>
      <c r="O116" s="53"/>
      <c r="P116" s="53"/>
      <c r="Q116" s="53"/>
    </row>
    <row r="117" spans="2:19" ht="13.2">
      <c r="B117" s="77" t="s">
        <v>2601</v>
      </c>
      <c r="C117" s="75" t="s">
        <v>1625</v>
      </c>
      <c r="D117" s="54" t="s">
        <v>2735</v>
      </c>
      <c r="E117" s="69">
        <v>46588</v>
      </c>
      <c r="F117" s="127">
        <v>6.7500000000000004E-2</v>
      </c>
      <c r="G117" s="432">
        <v>30000</v>
      </c>
      <c r="H117" s="432">
        <v>5581.23</v>
      </c>
      <c r="I117" s="428">
        <v>-5165.1400000000003</v>
      </c>
      <c r="J117" s="428"/>
      <c r="K117" s="428">
        <v>243.41800000000001</v>
      </c>
      <c r="L117" s="428">
        <f t="shared" ref="L117:L120" si="74">+G117+H117+I117+J117+K117</f>
        <v>30659.507999999998</v>
      </c>
      <c r="M117" s="428">
        <v>7831.26</v>
      </c>
      <c r="N117" s="54">
        <f t="shared" ref="N117" si="75">+L117*M117</f>
        <v>240102578.62007999</v>
      </c>
      <c r="Q117" s="1010">
        <f>+N117-J117</f>
        <v>240102578.62007999</v>
      </c>
      <c r="R117" s="1010">
        <f>+J117</f>
        <v>0</v>
      </c>
      <c r="S117" s="1010">
        <f t="shared" ref="S117:S120" si="76">+Q117-R117</f>
        <v>240102578.62007999</v>
      </c>
    </row>
    <row r="118" spans="2:19" ht="13.2">
      <c r="B118" s="77" t="s">
        <v>1515</v>
      </c>
      <c r="C118" s="75" t="s">
        <v>1625</v>
      </c>
      <c r="D118" s="54" t="s">
        <v>2326</v>
      </c>
      <c r="E118" s="69">
        <v>46504</v>
      </c>
      <c r="F118" s="127">
        <v>6.4299999999999996E-2</v>
      </c>
      <c r="G118" s="432">
        <v>50000</v>
      </c>
      <c r="H118" s="432">
        <v>8050.7150000000001</v>
      </c>
      <c r="I118" s="428">
        <v>-7460.56</v>
      </c>
      <c r="J118" s="428"/>
      <c r="K118" s="428">
        <v>172.15</v>
      </c>
      <c r="L118" s="428">
        <f t="shared" si="74"/>
        <v>50762.305</v>
      </c>
      <c r="M118" s="428">
        <v>7831.26</v>
      </c>
      <c r="N118" s="54">
        <f t="shared" ref="N118:N120" si="77">+L118*M118</f>
        <v>397532808.65430003</v>
      </c>
      <c r="Q118" s="54">
        <f t="shared" ref="Q118:Q120" si="78">+N118-J118</f>
        <v>397532808.65430003</v>
      </c>
      <c r="R118" s="54">
        <f t="shared" ref="R118:R120" si="79">+J118</f>
        <v>0</v>
      </c>
      <c r="S118" s="54">
        <f t="shared" si="76"/>
        <v>397532808.65430003</v>
      </c>
    </row>
    <row r="119" spans="2:19" ht="13.2">
      <c r="B119" s="77" t="s">
        <v>1515</v>
      </c>
      <c r="C119" s="75" t="s">
        <v>1625</v>
      </c>
      <c r="D119" s="54" t="s">
        <v>2328</v>
      </c>
      <c r="E119" s="69">
        <v>46504</v>
      </c>
      <c r="F119" s="127">
        <v>6.4299999999999996E-2</v>
      </c>
      <c r="G119" s="432">
        <v>50000</v>
      </c>
      <c r="H119" s="432">
        <v>8050.7150000000001</v>
      </c>
      <c r="I119" s="428">
        <v>-7460.5609999999997</v>
      </c>
      <c r="J119" s="428"/>
      <c r="K119" s="428">
        <v>172.15199999999999</v>
      </c>
      <c r="L119" s="428">
        <f t="shared" si="74"/>
        <v>50762.305999999997</v>
      </c>
      <c r="M119" s="428">
        <v>7831.26</v>
      </c>
      <c r="N119" s="54">
        <f t="shared" si="77"/>
        <v>397532816.48556</v>
      </c>
      <c r="Q119" s="54">
        <f t="shared" si="78"/>
        <v>397532816.48556</v>
      </c>
      <c r="R119" s="54">
        <f t="shared" si="79"/>
        <v>0</v>
      </c>
      <c r="S119" s="54">
        <f t="shared" si="76"/>
        <v>397532816.48556</v>
      </c>
    </row>
    <row r="120" spans="2:19" ht="13.2">
      <c r="B120" s="77" t="s">
        <v>1515</v>
      </c>
      <c r="C120" s="75" t="s">
        <v>1625</v>
      </c>
      <c r="D120" s="54" t="s">
        <v>2272</v>
      </c>
      <c r="E120" s="69">
        <v>46479</v>
      </c>
      <c r="F120" s="127">
        <v>6.4299999999999996E-2</v>
      </c>
      <c r="G120" s="432">
        <v>50000</v>
      </c>
      <c r="H120" s="432">
        <v>8041.9</v>
      </c>
      <c r="I120" s="428">
        <v>-7240.3590000000004</v>
      </c>
      <c r="J120" s="428"/>
      <c r="K120" s="428">
        <v>190.42</v>
      </c>
      <c r="L120" s="428">
        <f t="shared" si="74"/>
        <v>50991.960999999996</v>
      </c>
      <c r="M120" s="428">
        <v>7831.26</v>
      </c>
      <c r="N120" s="54">
        <f t="shared" si="77"/>
        <v>399331304.50085998</v>
      </c>
      <c r="Q120" s="54">
        <f t="shared" si="78"/>
        <v>399331304.50085998</v>
      </c>
      <c r="R120" s="54">
        <f t="shared" si="79"/>
        <v>0</v>
      </c>
      <c r="S120" s="54">
        <f t="shared" si="76"/>
        <v>399331304.50085998</v>
      </c>
    </row>
    <row r="121" spans="2:19" s="1020" customFormat="1" ht="12.75" customHeight="1" thickBot="1">
      <c r="B121" s="999"/>
      <c r="C121" s="1002"/>
      <c r="D121" s="850"/>
      <c r="E121" s="1003"/>
      <c r="F121" s="1009" t="s">
        <v>1509</v>
      </c>
      <c r="G121" s="851">
        <f t="shared" ref="G121:L121" si="80">SUM(G117:G120)</f>
        <v>180000</v>
      </c>
      <c r="H121" s="851">
        <f t="shared" si="80"/>
        <v>29724.559999999998</v>
      </c>
      <c r="I121" s="851">
        <f t="shared" si="80"/>
        <v>-27326.62</v>
      </c>
      <c r="J121" s="851">
        <f t="shared" si="80"/>
        <v>0</v>
      </c>
      <c r="K121" s="851">
        <f t="shared" si="80"/>
        <v>778.14</v>
      </c>
      <c r="L121" s="851">
        <f t="shared" si="80"/>
        <v>183176.08000000002</v>
      </c>
      <c r="M121" s="851"/>
      <c r="N121" s="851">
        <f>SUM(N117:N120)</f>
        <v>1434499508.2607999</v>
      </c>
      <c r="Q121" s="851">
        <f>SUM(Q117:Q120)</f>
        <v>1434499508.2607999</v>
      </c>
      <c r="R121" s="851">
        <f t="shared" ref="R121:S121" si="81">SUM(R117:R120)</f>
        <v>0</v>
      </c>
      <c r="S121" s="851">
        <f t="shared" si="81"/>
        <v>1434499508.2607999</v>
      </c>
    </row>
    <row r="122" spans="2:19" s="1020" customFormat="1" ht="12.75" customHeight="1" thickTop="1">
      <c r="B122" s="999"/>
      <c r="C122" s="1002"/>
      <c r="D122" s="850"/>
      <c r="E122" s="1003"/>
      <c r="F122" s="997"/>
      <c r="G122" s="1193"/>
      <c r="H122" s="1193"/>
      <c r="I122" s="1193"/>
      <c r="J122" s="1193"/>
      <c r="K122" s="1193"/>
      <c r="L122" s="1193"/>
      <c r="M122" s="1193"/>
      <c r="N122" s="1193"/>
      <c r="Q122" s="1193"/>
      <c r="R122" s="1193"/>
      <c r="S122" s="1193"/>
    </row>
    <row r="123" spans="2:19" s="1020" customFormat="1" ht="12.75" customHeight="1">
      <c r="B123" s="999"/>
      <c r="C123" s="1002"/>
      <c r="D123" s="850"/>
      <c r="E123" s="1003"/>
      <c r="F123" s="997"/>
      <c r="G123" s="1193"/>
      <c r="H123" s="1193"/>
      <c r="I123" s="1193"/>
      <c r="J123" s="1193"/>
      <c r="K123" s="1193"/>
      <c r="L123" s="1193"/>
      <c r="M123" s="1193"/>
      <c r="N123" s="1193"/>
      <c r="Q123" s="1193"/>
      <c r="R123" s="1193"/>
      <c r="S123" s="1193"/>
    </row>
    <row r="124" spans="2:19" ht="12.75" customHeight="1" thickBot="1">
      <c r="B124" s="80" t="s">
        <v>2936</v>
      </c>
      <c r="C124" s="67"/>
      <c r="D124" s="53"/>
      <c r="E124" s="67"/>
      <c r="F124" s="67"/>
      <c r="G124" s="53"/>
      <c r="H124" s="53"/>
      <c r="I124" s="53"/>
      <c r="J124" s="53"/>
      <c r="K124" s="53"/>
      <c r="L124" s="53"/>
      <c r="M124" s="427"/>
      <c r="N124" s="53"/>
      <c r="Q124" s="53"/>
      <c r="R124" s="53"/>
      <c r="S124" s="53"/>
    </row>
    <row r="125" spans="2:19" ht="13.2">
      <c r="B125" s="77" t="s">
        <v>1600</v>
      </c>
      <c r="C125" s="75" t="s">
        <v>1625</v>
      </c>
      <c r="D125" s="54" t="s">
        <v>2938</v>
      </c>
      <c r="E125" s="69">
        <v>46192</v>
      </c>
      <c r="F125" s="127">
        <v>5.2499999999999998E-2</v>
      </c>
      <c r="G125" s="432">
        <v>402000</v>
      </c>
      <c r="H125" s="432">
        <v>31628.59</v>
      </c>
      <c r="I125" s="432">
        <v>-30934.73</v>
      </c>
      <c r="J125" s="428"/>
      <c r="K125" s="428"/>
      <c r="L125" s="1194">
        <f>+G125+H125+I125+J125+K125</f>
        <v>402693.86000000004</v>
      </c>
      <c r="M125" s="428">
        <v>7831.26</v>
      </c>
      <c r="N125" s="1194">
        <f>+L125*M125</f>
        <v>3153600318.0636005</v>
      </c>
      <c r="Q125" s="1010">
        <f t="shared" ref="Q125" si="82">+N125-J125</f>
        <v>3153600318.0636005</v>
      </c>
      <c r="R125" s="1010">
        <f t="shared" ref="R125" si="83">+J125</f>
        <v>0</v>
      </c>
      <c r="S125" s="1010">
        <f t="shared" ref="S125:S127" si="84">+Q125+R125</f>
        <v>3153600318.0636005</v>
      </c>
    </row>
    <row r="126" spans="2:19" ht="13.2">
      <c r="B126" s="77" t="s">
        <v>1600</v>
      </c>
      <c r="C126" s="75" t="s">
        <v>1625</v>
      </c>
      <c r="D126" s="54" t="s">
        <v>2939</v>
      </c>
      <c r="E126" s="69">
        <v>46741</v>
      </c>
      <c r="F126" s="127">
        <v>5.3999999999999999E-2</v>
      </c>
      <c r="G126" s="432">
        <v>415000</v>
      </c>
      <c r="H126" s="432">
        <v>67291.399999999994</v>
      </c>
      <c r="I126" s="432">
        <v>-66554.63</v>
      </c>
      <c r="J126" s="428"/>
      <c r="K126" s="428"/>
      <c r="L126" s="1194">
        <f>+G126+H126+I126+J126+K126</f>
        <v>415736.77</v>
      </c>
      <c r="M126" s="428">
        <v>7831.26</v>
      </c>
      <c r="N126" s="1194">
        <f>+L126*M126</f>
        <v>3255742737.4302001</v>
      </c>
      <c r="Q126" s="54">
        <f>+N126-J126+1</f>
        <v>3255742738.4302001</v>
      </c>
      <c r="R126" s="54">
        <f t="shared" ref="R126" si="85">+J126</f>
        <v>0</v>
      </c>
      <c r="S126" s="54">
        <f t="shared" ref="S126" si="86">+Q126+R126</f>
        <v>3255742738.4302001</v>
      </c>
    </row>
    <row r="127" spans="2:19" ht="13.8" thickBot="1">
      <c r="B127" s="77" t="s">
        <v>1600</v>
      </c>
      <c r="C127" s="75" t="s">
        <v>1625</v>
      </c>
      <c r="D127" s="54" t="s">
        <v>2940</v>
      </c>
      <c r="E127" s="69">
        <v>47457</v>
      </c>
      <c r="F127" s="127">
        <v>5.5E-2</v>
      </c>
      <c r="G127" s="432">
        <v>65000</v>
      </c>
      <c r="H127" s="432">
        <v>17884.79</v>
      </c>
      <c r="I127" s="432">
        <v>-17630.13</v>
      </c>
      <c r="J127" s="428"/>
      <c r="K127" s="428"/>
      <c r="L127" s="1194">
        <f>+G127+H127+I127+J127+K127</f>
        <v>65254.66</v>
      </c>
      <c r="M127" s="428">
        <v>7831.26</v>
      </c>
      <c r="N127" s="1194">
        <f>+L127*M127</f>
        <v>511026208.67160004</v>
      </c>
      <c r="Q127" s="54">
        <f>+N127-(J127*M127)+0.8</f>
        <v>511026209.47160006</v>
      </c>
      <c r="R127" s="1271">
        <f>+(J127*M127)</f>
        <v>0</v>
      </c>
      <c r="S127" s="54">
        <f t="shared" si="84"/>
        <v>511026209.47160006</v>
      </c>
    </row>
    <row r="128" spans="2:19" ht="12.75" customHeight="1" thickTop="1" thickBot="1">
      <c r="B128" s="999"/>
      <c r="C128" s="1012"/>
      <c r="D128" s="86"/>
      <c r="E128" s="1013"/>
      <c r="F128" s="1009" t="s">
        <v>1509</v>
      </c>
      <c r="G128" s="851">
        <f t="shared" ref="G128:L128" si="87">SUM(G125:G127)</f>
        <v>882000</v>
      </c>
      <c r="H128" s="851">
        <f t="shared" si="87"/>
        <v>116804.78</v>
      </c>
      <c r="I128" s="851">
        <f t="shared" si="87"/>
        <v>-115119.49</v>
      </c>
      <c r="J128" s="851">
        <f t="shared" si="87"/>
        <v>0</v>
      </c>
      <c r="K128" s="851">
        <f t="shared" si="87"/>
        <v>0</v>
      </c>
      <c r="L128" s="851">
        <f t="shared" si="87"/>
        <v>883685.29000000015</v>
      </c>
      <c r="M128" s="851"/>
      <c r="N128" s="851">
        <f>SUM(N125:N127)</f>
        <v>6920369264.1654015</v>
      </c>
      <c r="O128" s="1195"/>
      <c r="P128" s="1195"/>
      <c r="Q128" s="851">
        <f>SUM(Q125:Q127)</f>
        <v>6920369265.9654007</v>
      </c>
      <c r="R128" s="851">
        <f t="shared" ref="R128:S128" si="88">SUM(R125:R127)</f>
        <v>0</v>
      </c>
      <c r="S128" s="851">
        <f t="shared" si="88"/>
        <v>6920369265.9654007</v>
      </c>
    </row>
    <row r="129" spans="2:19" s="1020" customFormat="1" ht="12.75" customHeight="1" thickTop="1">
      <c r="B129" s="999"/>
      <c r="C129" s="1002"/>
      <c r="D129" s="850"/>
      <c r="E129" s="1003"/>
      <c r="F129" s="997"/>
      <c r="G129" s="1193"/>
      <c r="H129" s="1193"/>
      <c r="I129" s="1193"/>
      <c r="J129" s="1193"/>
      <c r="K129" s="1193"/>
      <c r="L129" s="1193"/>
      <c r="M129" s="1193"/>
      <c r="N129" s="1193"/>
      <c r="Q129" s="1193"/>
      <c r="R129" s="1193"/>
      <c r="S129" s="1193"/>
    </row>
    <row r="130" spans="2:19" s="1020" customFormat="1" ht="12.75" customHeight="1">
      <c r="B130" s="999"/>
      <c r="C130" s="1002"/>
      <c r="D130" s="850"/>
      <c r="E130" s="1003"/>
      <c r="F130" s="997"/>
      <c r="G130" s="1193"/>
      <c r="H130" s="1193"/>
      <c r="I130" s="1193"/>
      <c r="J130" s="1193"/>
      <c r="K130" s="1193"/>
      <c r="L130" s="1193"/>
      <c r="M130" s="1193"/>
      <c r="N130" s="1193"/>
      <c r="Q130" s="1193"/>
      <c r="R130" s="1193"/>
      <c r="S130" s="1193"/>
    </row>
    <row r="131" spans="2:19" ht="12.75" customHeight="1" thickBot="1">
      <c r="B131" s="80" t="s">
        <v>2738</v>
      </c>
      <c r="C131" s="67"/>
      <c r="D131" s="53"/>
      <c r="E131" s="67"/>
      <c r="F131" s="67"/>
      <c r="G131" s="53"/>
      <c r="H131" s="53"/>
      <c r="I131" s="53"/>
      <c r="J131" s="53"/>
      <c r="K131" s="53"/>
      <c r="L131" s="53"/>
      <c r="M131" s="427"/>
      <c r="N131" s="53"/>
      <c r="Q131" s="53"/>
      <c r="R131" s="53"/>
      <c r="S131" s="53"/>
    </row>
    <row r="132" spans="2:19" ht="13.2">
      <c r="B132" s="77" t="s">
        <v>2926</v>
      </c>
      <c r="C132" s="75" t="s">
        <v>1625</v>
      </c>
      <c r="D132" s="54" t="s">
        <v>2937</v>
      </c>
      <c r="E132" s="69">
        <v>46721</v>
      </c>
      <c r="F132" s="127">
        <v>5.5E-2</v>
      </c>
      <c r="G132" s="432">
        <v>275000</v>
      </c>
      <c r="H132" s="432">
        <v>44546.23</v>
      </c>
      <c r="I132" s="432">
        <v>-44090.41</v>
      </c>
      <c r="J132" s="428"/>
      <c r="K132" s="428"/>
      <c r="L132" s="1194">
        <f>+G132+H132+I132+J132+K132</f>
        <v>275455.81999999995</v>
      </c>
      <c r="M132" s="428">
        <v>7831.26</v>
      </c>
      <c r="N132" s="1194">
        <f>+L132*M132</f>
        <v>2157166144.9331999</v>
      </c>
      <c r="Q132" s="1010">
        <f t="shared" ref="Q132" si="89">+N132-J132</f>
        <v>2157166144.9331999</v>
      </c>
      <c r="R132" s="1010">
        <f t="shared" ref="R132" si="90">+J132</f>
        <v>0</v>
      </c>
      <c r="S132" s="1010">
        <f t="shared" ref="S132" si="91">+Q132+R132</f>
        <v>2157166144.9331999</v>
      </c>
    </row>
    <row r="133" spans="2:19" ht="12.75" customHeight="1" thickBot="1">
      <c r="B133" s="999"/>
      <c r="C133" s="1012"/>
      <c r="D133" s="86"/>
      <c r="E133" s="1013"/>
      <c r="F133" s="1009" t="s">
        <v>1509</v>
      </c>
      <c r="G133" s="851">
        <f t="shared" ref="G133:N133" si="92">SUM(G132:G132)</f>
        <v>275000</v>
      </c>
      <c r="H133" s="851">
        <f t="shared" si="92"/>
        <v>44546.23</v>
      </c>
      <c r="I133" s="851">
        <f t="shared" si="92"/>
        <v>-44090.41</v>
      </c>
      <c r="J133" s="851">
        <f t="shared" si="92"/>
        <v>0</v>
      </c>
      <c r="K133" s="851">
        <f t="shared" si="92"/>
        <v>0</v>
      </c>
      <c r="L133" s="851">
        <f t="shared" si="92"/>
        <v>275455.81999999995</v>
      </c>
      <c r="M133" s="851"/>
      <c r="N133" s="851">
        <f t="shared" si="92"/>
        <v>2157166144.9331999</v>
      </c>
      <c r="O133" s="1195"/>
      <c r="P133" s="1195"/>
      <c r="Q133" s="851">
        <f>SUM(Q132:Q132)</f>
        <v>2157166144.9331999</v>
      </c>
      <c r="R133" s="851">
        <f>SUM(R132:R132)</f>
        <v>0</v>
      </c>
      <c r="S133" s="851">
        <f>SUM(S132:S132)</f>
        <v>2157166144.9331999</v>
      </c>
    </row>
    <row r="134" spans="2:19" s="1020" customFormat="1" ht="12.75" customHeight="1" thickTop="1">
      <c r="B134" s="999"/>
      <c r="C134" s="1002"/>
      <c r="D134" s="850"/>
      <c r="E134" s="1003"/>
      <c r="F134" s="997"/>
      <c r="G134" s="1193"/>
      <c r="H134" s="1193"/>
      <c r="I134" s="1193"/>
      <c r="J134" s="1193"/>
      <c r="K134" s="1193"/>
      <c r="L134" s="1193"/>
      <c r="M134" s="1193"/>
      <c r="N134" s="1193"/>
      <c r="Q134" s="1193"/>
      <c r="R134" s="1193"/>
      <c r="S134" s="1193"/>
    </row>
    <row r="135" spans="2:19" ht="12.75" customHeight="1" thickBot="1">
      <c r="B135" s="80" t="s">
        <v>2739</v>
      </c>
      <c r="C135" s="67"/>
      <c r="D135" s="53"/>
      <c r="E135" s="67"/>
      <c r="F135" s="67"/>
      <c r="G135" s="53"/>
      <c r="H135" s="53"/>
      <c r="I135" s="53"/>
      <c r="J135" s="53"/>
      <c r="K135" s="53"/>
      <c r="L135" s="53"/>
      <c r="M135" s="427"/>
      <c r="N135" s="53"/>
      <c r="Q135" s="53"/>
      <c r="R135" s="53"/>
      <c r="S135" s="53"/>
    </row>
    <row r="136" spans="2:19" ht="13.8" thickBot="1">
      <c r="B136" s="77" t="s">
        <v>2737</v>
      </c>
      <c r="C136" s="75" t="s">
        <v>1625</v>
      </c>
      <c r="D136" s="54" t="s">
        <v>2941</v>
      </c>
      <c r="E136" s="69">
        <v>47450</v>
      </c>
      <c r="F136" s="127">
        <v>6.5000000000000002E-2</v>
      </c>
      <c r="G136" s="432">
        <v>131000</v>
      </c>
      <c r="H136" s="432">
        <v>42598.33</v>
      </c>
      <c r="I136" s="432">
        <v>-41828.481</v>
      </c>
      <c r="J136" s="428"/>
      <c r="K136" s="428"/>
      <c r="L136" s="1194">
        <f>+G136+H136+I136+J136+K136</f>
        <v>131769.84900000002</v>
      </c>
      <c r="M136" s="428">
        <v>7831.26</v>
      </c>
      <c r="N136" s="1194">
        <f>+L136*M136</f>
        <v>1031923947.6797402</v>
      </c>
      <c r="Q136" s="1010">
        <f>+N136-(J136*M136)</f>
        <v>1031923947.6797402</v>
      </c>
      <c r="R136" s="1010">
        <f t="shared" ref="R136" si="93">+J136</f>
        <v>0</v>
      </c>
      <c r="S136" s="1010">
        <f t="shared" ref="S136:S137" si="94">+Q136+R136</f>
        <v>1031923947.6797402</v>
      </c>
    </row>
    <row r="137" spans="2:19" ht="13.2">
      <c r="B137" s="77" t="s">
        <v>2737</v>
      </c>
      <c r="C137" s="75" t="s">
        <v>1625</v>
      </c>
      <c r="D137" s="54" t="s">
        <v>2942</v>
      </c>
      <c r="E137" s="69">
        <v>45719</v>
      </c>
      <c r="F137" s="127">
        <v>7.0000000000000007E-2</v>
      </c>
      <c r="G137" s="432">
        <v>15000</v>
      </c>
      <c r="H137" s="432">
        <v>618.49</v>
      </c>
      <c r="I137" s="432">
        <v>-178.35900000000001</v>
      </c>
      <c r="J137" s="428">
        <v>-40.08</v>
      </c>
      <c r="K137" s="428"/>
      <c r="L137" s="1194">
        <f>+G137+H137+I137+J137+K137</f>
        <v>15400.050999999999</v>
      </c>
      <c r="M137" s="428">
        <v>7831.26</v>
      </c>
      <c r="N137" s="1194">
        <f>+L137*M137</f>
        <v>120601803.39426</v>
      </c>
      <c r="Q137" s="1010">
        <f>+N137-(J137*M137)</f>
        <v>120915680.29506001</v>
      </c>
      <c r="R137" s="1194">
        <f>+J137*M137</f>
        <v>-313876.9008</v>
      </c>
      <c r="S137" s="54">
        <f t="shared" si="94"/>
        <v>120601803.39426</v>
      </c>
    </row>
    <row r="138" spans="2:19" ht="12.75" customHeight="1" thickBot="1">
      <c r="B138" s="999"/>
      <c r="C138" s="1012"/>
      <c r="D138" s="86"/>
      <c r="E138" s="1013"/>
      <c r="F138" s="1009" t="s">
        <v>1509</v>
      </c>
      <c r="G138" s="851">
        <f t="shared" ref="G138:L138" si="95">SUM(G136:G137)</f>
        <v>146000</v>
      </c>
      <c r="H138" s="851">
        <f t="shared" si="95"/>
        <v>43216.82</v>
      </c>
      <c r="I138" s="851">
        <f t="shared" si="95"/>
        <v>-42006.84</v>
      </c>
      <c r="J138" s="851">
        <f t="shared" si="95"/>
        <v>-40.08</v>
      </c>
      <c r="K138" s="851">
        <f t="shared" si="95"/>
        <v>0</v>
      </c>
      <c r="L138" s="851">
        <f t="shared" si="95"/>
        <v>147169.90000000002</v>
      </c>
      <c r="M138" s="851"/>
      <c r="N138" s="851">
        <f>SUM(N136:N137)</f>
        <v>1152525751.0740001</v>
      </c>
      <c r="O138" s="1195"/>
      <c r="P138" s="1195"/>
      <c r="Q138" s="851">
        <f>SUM(Q136:Q137)</f>
        <v>1152839627.9748001</v>
      </c>
      <c r="R138" s="851">
        <f>SUM(R136:R137)</f>
        <v>-313876.9008</v>
      </c>
      <c r="S138" s="851">
        <f>SUM(S136:S137)</f>
        <v>1152525751.0740001</v>
      </c>
    </row>
    <row r="139" spans="2:19" s="1020" customFormat="1" ht="12.75" customHeight="1" thickTop="1">
      <c r="B139" s="999"/>
      <c r="C139" s="1002"/>
      <c r="D139" s="850"/>
      <c r="E139" s="1003"/>
      <c r="F139" s="997"/>
      <c r="G139" s="1193"/>
      <c r="H139" s="1193"/>
      <c r="I139" s="1193"/>
      <c r="J139" s="1193"/>
      <c r="K139" s="1193"/>
      <c r="L139" s="1193"/>
      <c r="M139" s="1193"/>
      <c r="N139" s="1193"/>
      <c r="Q139" s="1193"/>
      <c r="R139" s="1193"/>
      <c r="S139" s="1193"/>
    </row>
    <row r="140" spans="2:19" s="1017" customFormat="1" ht="14.4">
      <c r="B140" s="1015" t="s">
        <v>1707</v>
      </c>
      <c r="C140" s="1016"/>
      <c r="D140" s="1016"/>
      <c r="E140" s="1016"/>
      <c r="F140" s="1016"/>
      <c r="G140" s="1015">
        <f>+G121+G128+G133+G138</f>
        <v>1483000</v>
      </c>
      <c r="H140" s="1015">
        <f t="shared" ref="H140:N140" si="96">+H121+H128+H133+H138</f>
        <v>234292.39</v>
      </c>
      <c r="I140" s="1015">
        <f t="shared" si="96"/>
        <v>-228543.36000000002</v>
      </c>
      <c r="J140" s="1015">
        <f t="shared" si="96"/>
        <v>-40.08</v>
      </c>
      <c r="K140" s="1015">
        <f t="shared" si="96"/>
        <v>778.14</v>
      </c>
      <c r="L140" s="1015">
        <f t="shared" si="96"/>
        <v>1489487.0899999999</v>
      </c>
      <c r="M140" s="1015">
        <f t="shared" si="96"/>
        <v>0</v>
      </c>
      <c r="N140" s="1015">
        <f t="shared" si="96"/>
        <v>11664560668.433401</v>
      </c>
      <c r="Q140" s="1015">
        <f>+Q121+Q128+Q133</f>
        <v>10512034919.159401</v>
      </c>
      <c r="R140" s="1015">
        <f>+R121+R128+R133</f>
        <v>0</v>
      </c>
      <c r="S140" s="1015">
        <f>+S121+S128+S133</f>
        <v>10512034919.159401</v>
      </c>
    </row>
    <row r="141" spans="2:19" ht="12.75" customHeight="1">
      <c r="J141" s="1398"/>
    </row>
    <row r="142" spans="2:19" customFormat="1" ht="15" thickBot="1">
      <c r="B142" s="80" t="s">
        <v>1708</v>
      </c>
      <c r="C142" s="67"/>
      <c r="D142" s="53"/>
      <c r="E142" s="67"/>
      <c r="F142" s="67"/>
      <c r="G142" s="67"/>
      <c r="H142" s="53"/>
      <c r="I142" s="53"/>
      <c r="J142" s="53"/>
      <c r="K142" s="53"/>
      <c r="L142" s="53"/>
      <c r="M142" s="53"/>
      <c r="N142" s="53"/>
      <c r="O142" s="53"/>
    </row>
    <row r="143" spans="2:19" customFormat="1" ht="33.75" customHeight="1" thickBot="1">
      <c r="B143" s="78" t="s">
        <v>1488</v>
      </c>
      <c r="C143" s="78" t="s">
        <v>631</v>
      </c>
      <c r="D143" s="78" t="s">
        <v>1489</v>
      </c>
      <c r="E143" s="78" t="s">
        <v>1709</v>
      </c>
      <c r="F143" s="78" t="s">
        <v>1490</v>
      </c>
      <c r="G143" s="78" t="s">
        <v>1491</v>
      </c>
      <c r="H143" s="78" t="s">
        <v>1492</v>
      </c>
      <c r="I143" s="78" t="s">
        <v>1493</v>
      </c>
      <c r="J143" s="78" t="s">
        <v>1653</v>
      </c>
      <c r="K143" s="78" t="s">
        <v>1495</v>
      </c>
      <c r="L143" s="78" t="s">
        <v>1496</v>
      </c>
      <c r="M143" s="78" t="s">
        <v>1497</v>
      </c>
      <c r="N143" s="70" t="s">
        <v>1498</v>
      </c>
      <c r="O143" s="78" t="s">
        <v>1499</v>
      </c>
      <c r="P143" s="996"/>
      <c r="Q143" s="1026" t="s">
        <v>1665</v>
      </c>
      <c r="R143" s="1026" t="s">
        <v>1666</v>
      </c>
      <c r="S143" s="1026" t="s">
        <v>1667</v>
      </c>
    </row>
    <row r="144" spans="2:19" customFormat="1" ht="14.4">
      <c r="B144" s="77" t="s">
        <v>1515</v>
      </c>
      <c r="C144" s="75" t="s">
        <v>1505</v>
      </c>
      <c r="D144" s="54" t="s">
        <v>1710</v>
      </c>
      <c r="E144" s="69">
        <v>45418</v>
      </c>
      <c r="F144" s="69">
        <v>46776</v>
      </c>
      <c r="G144" s="127">
        <v>7.4999999999999997E-2</v>
      </c>
      <c r="H144" s="54">
        <v>200000000</v>
      </c>
      <c r="I144" s="54">
        <v>56260274</v>
      </c>
      <c r="J144" s="54">
        <v>-45986301.369863003</v>
      </c>
      <c r="K144" s="54"/>
      <c r="L144" s="54"/>
      <c r="M144" s="54">
        <f>+H144+I144+J144+K144+L144</f>
        <v>210273972.630137</v>
      </c>
      <c r="N144" s="54">
        <v>0</v>
      </c>
      <c r="O144" s="54">
        <f>+M144</f>
        <v>210273972.630137</v>
      </c>
      <c r="P144" s="996"/>
      <c r="Q144" s="54">
        <f>+(O144-K144)-1</f>
        <v>210273971.630137</v>
      </c>
      <c r="R144" s="54">
        <f>+K144</f>
        <v>0</v>
      </c>
      <c r="S144" s="54">
        <f t="shared" ref="S144" si="97">+Q144-R144</f>
        <v>210273971.630137</v>
      </c>
    </row>
    <row r="145" spans="2:20" customFormat="1" ht="14.4">
      <c r="B145" s="77" t="s">
        <v>1515</v>
      </c>
      <c r="C145" s="75" t="s">
        <v>1505</v>
      </c>
      <c r="D145" s="54" t="s">
        <v>1711</v>
      </c>
      <c r="E145" s="69">
        <v>45418</v>
      </c>
      <c r="F145" s="69">
        <v>46776</v>
      </c>
      <c r="G145" s="127">
        <v>7.4999999999999997E-2</v>
      </c>
      <c r="H145" s="54">
        <v>500000000</v>
      </c>
      <c r="I145" s="54">
        <v>140650685</v>
      </c>
      <c r="J145" s="54">
        <v>-114965753.424658</v>
      </c>
      <c r="K145" s="54"/>
      <c r="L145" s="54"/>
      <c r="M145" s="54">
        <f>+H145+I145+J145+K145+L145</f>
        <v>525684931.575342</v>
      </c>
      <c r="N145" s="54">
        <v>0</v>
      </c>
      <c r="O145" s="54">
        <f>+M145</f>
        <v>525684931.575342</v>
      </c>
      <c r="P145" s="996"/>
      <c r="Q145" s="54">
        <f>+O145-K145</f>
        <v>525684931.575342</v>
      </c>
      <c r="R145" s="54">
        <f>+K145</f>
        <v>0</v>
      </c>
      <c r="S145" s="54">
        <f t="shared" ref="S145" si="98">+Q145-R145</f>
        <v>525684931.575342</v>
      </c>
    </row>
    <row r="146" spans="2:20" s="1039" customFormat="1" ht="13.8" thickBot="1">
      <c r="B146" s="87"/>
      <c r="C146" s="85"/>
      <c r="D146" s="86"/>
      <c r="E146" s="76"/>
      <c r="F146" s="76"/>
      <c r="G146" s="72" t="s">
        <v>1509</v>
      </c>
      <c r="H146" s="90">
        <f>+SUM(H144:H145)</f>
        <v>700000000</v>
      </c>
      <c r="I146" s="90">
        <f t="shared" ref="I146:O146" si="99">+SUM(I144:I145)</f>
        <v>196910959</v>
      </c>
      <c r="J146" s="1038">
        <f t="shared" si="99"/>
        <v>-160952054.794521</v>
      </c>
      <c r="K146" s="90">
        <f t="shared" si="99"/>
        <v>0</v>
      </c>
      <c r="L146" s="90">
        <f t="shared" si="99"/>
        <v>0</v>
      </c>
      <c r="M146" s="90">
        <f>+SUM(M144:M145)</f>
        <v>735958904.20547903</v>
      </c>
      <c r="N146" s="90">
        <f t="shared" si="99"/>
        <v>0</v>
      </c>
      <c r="O146" s="90">
        <f t="shared" si="99"/>
        <v>735958904.20547903</v>
      </c>
      <c r="Q146" s="90">
        <f>+SUM(Q144:Q145)</f>
        <v>735958903.20547903</v>
      </c>
      <c r="R146" s="90">
        <f>+SUM(R144:R145)</f>
        <v>0</v>
      </c>
      <c r="S146" s="90">
        <f>+SUM(S144:S145)</f>
        <v>735958903.20547903</v>
      </c>
    </row>
    <row r="147" spans="2:20" customFormat="1" ht="15" thickTop="1">
      <c r="B147" s="87"/>
      <c r="C147" s="68"/>
      <c r="D147" s="56"/>
      <c r="E147" s="64"/>
      <c r="F147" s="64"/>
      <c r="G147" s="79"/>
      <c r="H147" s="71"/>
      <c r="I147" s="71"/>
      <c r="J147" s="71"/>
      <c r="K147" s="71"/>
      <c r="L147" s="71"/>
      <c r="M147" s="71"/>
      <c r="N147" s="71"/>
      <c r="O147" s="71"/>
      <c r="P147" s="996"/>
      <c r="Q147" s="87"/>
    </row>
    <row r="148" spans="2:20" customFormat="1" ht="14.4">
      <c r="B148" s="89" t="s">
        <v>1712</v>
      </c>
      <c r="C148" s="74"/>
      <c r="D148" s="74"/>
      <c r="E148" s="74"/>
      <c r="F148" s="74"/>
      <c r="G148" s="74"/>
      <c r="H148" s="66">
        <f t="shared" ref="H148:M148" si="100">+H146</f>
        <v>700000000</v>
      </c>
      <c r="I148" s="66">
        <f t="shared" si="100"/>
        <v>196910959</v>
      </c>
      <c r="J148" s="66">
        <f t="shared" si="100"/>
        <v>-160952054.794521</v>
      </c>
      <c r="K148" s="66">
        <f t="shared" si="100"/>
        <v>0</v>
      </c>
      <c r="L148" s="66">
        <f t="shared" si="100"/>
        <v>0</v>
      </c>
      <c r="M148" s="66">
        <f t="shared" si="100"/>
        <v>735958904.20547903</v>
      </c>
      <c r="N148" s="66"/>
      <c r="O148" s="66">
        <f>+O146</f>
        <v>735958904.20547903</v>
      </c>
      <c r="P148" s="996"/>
      <c r="Q148" s="66">
        <f t="shared" ref="Q148:R148" si="101">+Q146</f>
        <v>735958903.20547903</v>
      </c>
      <c r="R148" s="66">
        <f t="shared" si="101"/>
        <v>0</v>
      </c>
      <c r="S148" s="66">
        <f>+S146</f>
        <v>735958903.20547903</v>
      </c>
    </row>
    <row r="150" spans="2:20" s="1039" customFormat="1" ht="13.8" thickBot="1">
      <c r="B150" s="87"/>
      <c r="C150" s="68"/>
      <c r="D150" s="56"/>
      <c r="E150" s="64"/>
      <c r="F150" s="64"/>
      <c r="G150" s="79"/>
      <c r="H150" s="71"/>
      <c r="I150" s="71"/>
      <c r="J150" s="1045"/>
      <c r="K150" s="71"/>
      <c r="L150" s="71"/>
      <c r="M150" s="71"/>
      <c r="N150" s="71"/>
      <c r="O150" s="71"/>
      <c r="P150" s="71"/>
      <c r="Q150" s="71"/>
      <c r="R150" s="71"/>
    </row>
    <row r="151" spans="2:20" customFormat="1" ht="34.5" customHeight="1" thickBot="1">
      <c r="B151" s="78" t="s">
        <v>1488</v>
      </c>
      <c r="C151" s="78" t="s">
        <v>631</v>
      </c>
      <c r="D151" s="78" t="s">
        <v>1489</v>
      </c>
      <c r="E151" s="78" t="s">
        <v>1709</v>
      </c>
      <c r="F151" s="78" t="s">
        <v>1490</v>
      </c>
      <c r="G151" s="78" t="s">
        <v>1491</v>
      </c>
      <c r="H151" s="78" t="s">
        <v>1492</v>
      </c>
      <c r="I151" s="78" t="s">
        <v>1652</v>
      </c>
      <c r="J151" s="78" t="s">
        <v>1653</v>
      </c>
      <c r="K151" s="78" t="s">
        <v>1495</v>
      </c>
      <c r="L151" s="78" t="s">
        <v>1713</v>
      </c>
      <c r="M151" s="78" t="s">
        <v>1497</v>
      </c>
      <c r="N151" s="70" t="s">
        <v>1498</v>
      </c>
      <c r="O151" s="78" t="s">
        <v>1499</v>
      </c>
      <c r="P151" s="996"/>
      <c r="Q151" s="1026" t="s">
        <v>1665</v>
      </c>
      <c r="R151" s="1026" t="s">
        <v>1666</v>
      </c>
      <c r="S151" s="1026" t="s">
        <v>1667</v>
      </c>
    </row>
    <row r="152" spans="2:20" customFormat="1" ht="8.25" customHeight="1">
      <c r="B152" s="1044"/>
      <c r="C152" s="1041"/>
      <c r="D152" s="1040"/>
      <c r="E152" s="1043"/>
      <c r="F152" s="1043"/>
      <c r="G152" s="1042"/>
      <c r="H152" s="1046"/>
      <c r="I152" s="1046"/>
      <c r="J152" s="1046"/>
      <c r="K152" s="1046"/>
      <c r="L152" s="1044"/>
      <c r="M152" s="1044"/>
      <c r="N152" s="1044"/>
      <c r="O152" s="1044"/>
      <c r="P152" s="996"/>
      <c r="Q152" s="1044"/>
      <c r="R152" s="1044"/>
      <c r="S152" s="1044"/>
    </row>
    <row r="153" spans="2:20" customFormat="1" ht="14.4">
      <c r="B153" s="1047" t="s">
        <v>1714</v>
      </c>
      <c r="C153" s="75" t="s">
        <v>1505</v>
      </c>
      <c r="D153" s="54" t="s">
        <v>1661</v>
      </c>
      <c r="E153" s="69">
        <v>44167</v>
      </c>
      <c r="F153" s="69" t="s">
        <v>1240</v>
      </c>
      <c r="G153" s="127" t="s">
        <v>1240</v>
      </c>
      <c r="H153" s="54">
        <v>262142322.40000001</v>
      </c>
      <c r="I153" s="54">
        <v>0</v>
      </c>
      <c r="J153" s="54">
        <v>0</v>
      </c>
      <c r="K153" s="54">
        <v>0</v>
      </c>
      <c r="L153" s="54">
        <v>740857678</v>
      </c>
      <c r="M153" s="54">
        <f>+H153+I153+J153+K153+L153</f>
        <v>1003000000.4</v>
      </c>
      <c r="N153" s="54">
        <v>0</v>
      </c>
      <c r="O153" s="54">
        <f>+M153</f>
        <v>1003000000.4</v>
      </c>
      <c r="P153" s="996"/>
      <c r="Q153" s="54">
        <f>+O153-K153</f>
        <v>1003000000.4</v>
      </c>
      <c r="R153" s="54">
        <f>+K153</f>
        <v>0</v>
      </c>
      <c r="S153" s="54">
        <f>+Q153-R153</f>
        <v>1003000000.4</v>
      </c>
    </row>
    <row r="154" spans="2:20" customFormat="1" ht="15" thickBot="1">
      <c r="B154" s="87"/>
      <c r="C154" s="85"/>
      <c r="D154" s="86"/>
      <c r="E154" s="76"/>
      <c r="F154" s="76"/>
      <c r="G154" s="72" t="s">
        <v>1509</v>
      </c>
      <c r="H154" s="90">
        <f t="shared" ref="H154:S154" si="102">+SUM(H153:H153)</f>
        <v>262142322.40000001</v>
      </c>
      <c r="I154" s="90">
        <f t="shared" si="102"/>
        <v>0</v>
      </c>
      <c r="J154" s="90">
        <f t="shared" si="102"/>
        <v>0</v>
      </c>
      <c r="K154" s="90">
        <f t="shared" si="102"/>
        <v>0</v>
      </c>
      <c r="L154" s="90">
        <f t="shared" si="102"/>
        <v>740857678</v>
      </c>
      <c r="M154" s="90">
        <f t="shared" si="102"/>
        <v>1003000000.4</v>
      </c>
      <c r="N154" s="90">
        <f t="shared" si="102"/>
        <v>0</v>
      </c>
      <c r="O154" s="90">
        <f t="shared" si="102"/>
        <v>1003000000.4</v>
      </c>
      <c r="P154" s="90">
        <f t="shared" si="102"/>
        <v>0</v>
      </c>
      <c r="Q154" s="90">
        <f t="shared" si="102"/>
        <v>1003000000.4</v>
      </c>
      <c r="R154" s="90">
        <f t="shared" si="102"/>
        <v>0</v>
      </c>
      <c r="S154" s="90">
        <f t="shared" si="102"/>
        <v>1003000000.4</v>
      </c>
    </row>
    <row r="155" spans="2:20" customFormat="1" ht="15" thickTop="1">
      <c r="B155" s="87"/>
      <c r="C155" s="68"/>
      <c r="D155" s="56"/>
      <c r="E155" s="64"/>
      <c r="F155" s="64"/>
      <c r="G155" s="79"/>
      <c r="H155" s="71"/>
      <c r="I155" s="71"/>
      <c r="J155" s="71"/>
      <c r="K155" s="71"/>
      <c r="L155" s="71"/>
      <c r="M155" s="71"/>
      <c r="N155" s="71"/>
      <c r="O155" s="71"/>
      <c r="P155" s="996"/>
    </row>
    <row r="156" spans="2:20" customFormat="1" ht="14.4">
      <c r="B156" s="87"/>
      <c r="C156" s="68"/>
      <c r="D156" s="55"/>
      <c r="E156" s="64"/>
      <c r="F156" s="64"/>
      <c r="G156" s="79"/>
      <c r="H156" s="71"/>
      <c r="I156" s="71"/>
      <c r="J156" s="71"/>
      <c r="K156" s="71"/>
      <c r="L156" s="71"/>
      <c r="M156" s="71"/>
      <c r="N156" s="71"/>
      <c r="O156" s="71"/>
      <c r="P156" s="996"/>
    </row>
    <row r="157" spans="2:20" customFormat="1" ht="14.4">
      <c r="B157" s="89" t="s">
        <v>1715</v>
      </c>
      <c r="C157" s="74"/>
      <c r="D157" s="74"/>
      <c r="E157" s="74"/>
      <c r="F157" s="74"/>
      <c r="G157" s="74"/>
      <c r="H157" s="66">
        <f t="shared" ref="H157:M157" si="103">+H154</f>
        <v>262142322.40000001</v>
      </c>
      <c r="I157" s="66">
        <f t="shared" si="103"/>
        <v>0</v>
      </c>
      <c r="J157" s="66">
        <f t="shared" si="103"/>
        <v>0</v>
      </c>
      <c r="K157" s="66">
        <f t="shared" si="103"/>
        <v>0</v>
      </c>
      <c r="L157" s="66">
        <f t="shared" si="103"/>
        <v>740857678</v>
      </c>
      <c r="M157" s="66">
        <f t="shared" si="103"/>
        <v>1003000000.4</v>
      </c>
      <c r="N157" s="66"/>
      <c r="O157" s="66">
        <f>+O154</f>
        <v>1003000000.4</v>
      </c>
      <c r="P157" s="996"/>
      <c r="Q157" s="66">
        <f t="shared" ref="Q157:R157" si="104">+Q154</f>
        <v>1003000000.4</v>
      </c>
      <c r="R157" s="66">
        <f t="shared" si="104"/>
        <v>0</v>
      </c>
      <c r="S157" s="66">
        <f>+S154</f>
        <v>1003000000.4</v>
      </c>
    </row>
    <row r="158" spans="2:20" s="1039" customFormat="1" ht="13.2">
      <c r="B158" s="87"/>
      <c r="C158" s="68"/>
      <c r="D158" s="56"/>
      <c r="E158" s="64"/>
      <c r="F158" s="64"/>
      <c r="G158" s="79"/>
      <c r="H158" s="71"/>
      <c r="I158" s="71"/>
      <c r="J158" s="1045"/>
      <c r="K158" s="71"/>
      <c r="L158" s="71"/>
      <c r="M158" s="71"/>
      <c r="N158" s="71"/>
      <c r="O158" s="71"/>
      <c r="P158" s="71"/>
      <c r="Q158" s="71"/>
      <c r="R158" s="71"/>
    </row>
    <row r="159" spans="2:20" ht="12.75" customHeight="1" thickBot="1">
      <c r="H159" s="1021"/>
      <c r="I159" s="1021"/>
      <c r="K159" s="1021"/>
    </row>
    <row r="160" spans="2:20" ht="33.75" customHeight="1" thickBot="1">
      <c r="B160" s="1000" t="s">
        <v>1488</v>
      </c>
      <c r="C160" s="1000" t="s">
        <v>631</v>
      </c>
      <c r="D160" s="1000" t="s">
        <v>1489</v>
      </c>
      <c r="E160" s="1000" t="s">
        <v>1716</v>
      </c>
      <c r="F160" s="1000" t="s">
        <v>1717</v>
      </c>
      <c r="G160" s="1000" t="s">
        <v>1718</v>
      </c>
      <c r="H160" s="1000" t="s">
        <v>1492</v>
      </c>
      <c r="I160" s="1000" t="s">
        <v>1493</v>
      </c>
      <c r="J160" s="1000" t="s">
        <v>1719</v>
      </c>
      <c r="K160" s="1000" t="s">
        <v>1643</v>
      </c>
      <c r="L160" s="1000" t="s">
        <v>1644</v>
      </c>
      <c r="M160" s="1001" t="s">
        <v>1645</v>
      </c>
      <c r="N160" s="1000" t="s">
        <v>1720</v>
      </c>
      <c r="O160" s="1000" t="s">
        <v>1647</v>
      </c>
      <c r="P160" s="1000" t="s">
        <v>1499</v>
      </c>
      <c r="Q160" s="1026" t="s">
        <v>1665</v>
      </c>
      <c r="R160" s="1026" t="s">
        <v>1666</v>
      </c>
      <c r="S160" s="1026" t="s">
        <v>1667</v>
      </c>
      <c r="T160" s="1000" t="s">
        <v>1721</v>
      </c>
    </row>
    <row r="161" spans="2:20" ht="12.75" customHeight="1">
      <c r="B161" s="87"/>
      <c r="C161" s="87"/>
      <c r="D161" s="87"/>
      <c r="E161" s="87"/>
      <c r="F161" s="87"/>
      <c r="G161" s="87"/>
      <c r="H161" s="82"/>
      <c r="I161" s="82"/>
      <c r="J161" s="82"/>
      <c r="K161" s="111"/>
      <c r="L161" s="1036"/>
      <c r="M161" s="82"/>
      <c r="N161" s="82"/>
      <c r="O161" s="82"/>
    </row>
    <row r="162" spans="2:20" ht="12.75" customHeight="1" thickBot="1">
      <c r="B162" s="80" t="s">
        <v>1636</v>
      </c>
      <c r="C162" s="67"/>
      <c r="D162" s="53"/>
      <c r="E162" s="67"/>
      <c r="F162" s="67"/>
      <c r="G162" s="67"/>
      <c r="H162" s="53"/>
      <c r="I162" s="53"/>
      <c r="J162" s="53"/>
      <c r="K162" s="53"/>
      <c r="L162" s="53"/>
      <c r="M162" s="53"/>
      <c r="N162" s="53"/>
      <c r="O162" s="53"/>
      <c r="P162" s="53"/>
      <c r="T162" s="1307"/>
    </row>
    <row r="163" spans="2:20" ht="12.75" customHeight="1">
      <c r="B163" s="77" t="s">
        <v>1637</v>
      </c>
      <c r="C163" s="75" t="s">
        <v>1625</v>
      </c>
      <c r="D163" s="54" t="s">
        <v>1638</v>
      </c>
      <c r="E163" s="627">
        <v>45520</v>
      </c>
      <c r="F163" s="627">
        <v>45700</v>
      </c>
      <c r="G163" s="127">
        <v>6.25E-2</v>
      </c>
      <c r="H163" s="1037">
        <v>340000</v>
      </c>
      <c r="I163" s="1037">
        <v>74220.141000000003</v>
      </c>
      <c r="J163" s="1306">
        <v>-71518.77</v>
      </c>
      <c r="K163" s="1037">
        <v>-0.13</v>
      </c>
      <c r="L163" s="1037"/>
      <c r="M163" s="1037">
        <v>326534.37</v>
      </c>
      <c r="N163" s="1037">
        <v>10443.2641</v>
      </c>
      <c r="O163" s="1037">
        <v>-2494.7794649923999</v>
      </c>
      <c r="P163" s="1037">
        <f>+SUM(H163:L163)*T163</f>
        <v>2683782520.5936599</v>
      </c>
      <c r="Q163" s="1037">
        <f>+P163-(K163*T163)</f>
        <v>2683783538.6574597</v>
      </c>
      <c r="R163" s="1037">
        <f>+(K163)*T163</f>
        <v>-1018.0638</v>
      </c>
      <c r="S163" s="1037">
        <f>+Q163-R163</f>
        <v>2683784556.7212596</v>
      </c>
      <c r="T163" s="428">
        <f>+[1]COMPOSICIONES!$J$4</f>
        <v>7831.26</v>
      </c>
    </row>
    <row r="164" spans="2:20" ht="12.75" customHeight="1">
      <c r="B164" s="77" t="s">
        <v>1637</v>
      </c>
      <c r="C164" s="75" t="s">
        <v>1625</v>
      </c>
      <c r="D164" s="54" t="s">
        <v>1640</v>
      </c>
      <c r="E164" s="627">
        <v>45520</v>
      </c>
      <c r="F164" s="627">
        <v>45700</v>
      </c>
      <c r="G164" s="127">
        <v>6.25E-2</v>
      </c>
      <c r="H164" s="1037">
        <v>161000</v>
      </c>
      <c r="I164" s="1037">
        <v>22663.511999999999</v>
      </c>
      <c r="J164" s="1306">
        <v>-22045.97</v>
      </c>
      <c r="K164" s="1037">
        <v>-0.05</v>
      </c>
      <c r="L164" s="1037"/>
      <c r="M164" s="1037">
        <v>156936.45000000001</v>
      </c>
      <c r="N164" s="1037">
        <v>4924.6279999999997</v>
      </c>
      <c r="O164" s="1037">
        <v>-1176.43899619481</v>
      </c>
      <c r="P164" s="1037">
        <f t="shared" ref="P164:P171" si="105">+SUM(H164:L164)*T164</f>
        <v>1265668600.39992</v>
      </c>
      <c r="Q164" s="1037">
        <f t="shared" ref="Q164:Q171" si="106">+P164-(K164*T164)</f>
        <v>1265668991.96292</v>
      </c>
      <c r="R164" s="1037">
        <f t="shared" ref="R164:R171" si="107">+(K164)*T164</f>
        <v>-391.56300000000005</v>
      </c>
      <c r="S164" s="1037">
        <f t="shared" ref="S164:S171" si="108">+Q164-R164</f>
        <v>1265669383.5259199</v>
      </c>
      <c r="T164" s="428">
        <f>+[1]COMPOSICIONES!$J$4</f>
        <v>7831.26</v>
      </c>
    </row>
    <row r="165" spans="2:20" ht="12.75" customHeight="1">
      <c r="B165" s="77" t="s">
        <v>1637</v>
      </c>
      <c r="C165" s="75" t="s">
        <v>1625</v>
      </c>
      <c r="D165" s="54" t="s">
        <v>1638</v>
      </c>
      <c r="E165" s="627">
        <v>45525</v>
      </c>
      <c r="F165" s="627">
        <v>45705</v>
      </c>
      <c r="G165" s="127">
        <v>6.2E-2</v>
      </c>
      <c r="H165" s="1037">
        <v>141000</v>
      </c>
      <c r="I165" s="1037">
        <v>30779.531999999999</v>
      </c>
      <c r="J165" s="1306">
        <v>-29659.25</v>
      </c>
      <c r="K165" s="1037">
        <v>-5.1999999999999998E-2</v>
      </c>
      <c r="L165" s="1037"/>
      <c r="M165" s="1037">
        <v>135552.95999999999</v>
      </c>
      <c r="N165" s="1037">
        <v>4300.4364999999998</v>
      </c>
      <c r="O165" s="1037">
        <v>-1146.7830867579901</v>
      </c>
      <c r="P165" s="1037">
        <f t="shared" si="105"/>
        <v>1112980472.3898001</v>
      </c>
      <c r="Q165" s="1037">
        <f t="shared" si="106"/>
        <v>1112980879.61532</v>
      </c>
      <c r="R165" s="1037">
        <f t="shared" si="107"/>
        <v>-407.22552000000002</v>
      </c>
      <c r="S165" s="1037">
        <f t="shared" si="108"/>
        <v>1112981286.8408399</v>
      </c>
      <c r="T165" s="428">
        <f>+[1]COMPOSICIONES!$J$4</f>
        <v>7831.26</v>
      </c>
    </row>
    <row r="166" spans="2:20" ht="12.75" customHeight="1">
      <c r="B166" s="77" t="s">
        <v>1637</v>
      </c>
      <c r="C166" s="75" t="s">
        <v>1625</v>
      </c>
      <c r="D166" s="54" t="s">
        <v>1640</v>
      </c>
      <c r="E166" s="627">
        <v>45256</v>
      </c>
      <c r="F166" s="627">
        <v>45712</v>
      </c>
      <c r="G166" s="127">
        <v>6.25E-2</v>
      </c>
      <c r="H166" s="1037">
        <v>53000</v>
      </c>
      <c r="I166" s="1306">
        <v>7460.6549999999997</v>
      </c>
      <c r="J166" s="1306">
        <v>-7257.37</v>
      </c>
      <c r="K166" s="1037">
        <v>-1.4E-2</v>
      </c>
      <c r="L166" s="1037"/>
      <c r="M166" s="1037">
        <v>51772.08</v>
      </c>
      <c r="N166" s="1037">
        <v>812.11500000000001</v>
      </c>
      <c r="O166" s="1037">
        <v>-496.294885844747</v>
      </c>
      <c r="P166" s="1037">
        <f t="shared" si="105"/>
        <v>416648648.05145997</v>
      </c>
      <c r="Q166" s="1037">
        <f t="shared" si="106"/>
        <v>416648757.68909997</v>
      </c>
      <c r="R166" s="1037">
        <f t="shared" si="107"/>
        <v>-109.63764</v>
      </c>
      <c r="S166" s="1037">
        <f t="shared" si="108"/>
        <v>416648867.32673997</v>
      </c>
      <c r="T166" s="428">
        <f>+[1]COMPOSICIONES!$J$4</f>
        <v>7831.26</v>
      </c>
    </row>
    <row r="167" spans="2:20" ht="12.75" customHeight="1">
      <c r="B167" s="77" t="s">
        <v>1637</v>
      </c>
      <c r="C167" s="75" t="s">
        <v>1625</v>
      </c>
      <c r="D167" s="54" t="s">
        <v>1639</v>
      </c>
      <c r="E167" s="627">
        <v>45594</v>
      </c>
      <c r="F167" s="627">
        <v>45685</v>
      </c>
      <c r="G167" s="127">
        <v>6.25E-2</v>
      </c>
      <c r="H167" s="1037">
        <v>321000</v>
      </c>
      <c r="I167" s="1037">
        <v>100785.21</v>
      </c>
      <c r="J167" s="1306">
        <v>-95310.62</v>
      </c>
      <c r="K167" s="1037"/>
      <c r="L167" s="1037">
        <v>1781.2850000000001</v>
      </c>
      <c r="M167" s="1037">
        <v>299756.84000000003</v>
      </c>
      <c r="N167" s="1037">
        <v>4670.8599999999997</v>
      </c>
      <c r="O167" s="1037">
        <v>-1437.1877766069399</v>
      </c>
      <c r="P167" s="1037">
        <f t="shared" si="105"/>
        <v>2570657103.6525002</v>
      </c>
      <c r="Q167" s="1037">
        <f t="shared" si="106"/>
        <v>2570657103.6525002</v>
      </c>
      <c r="R167" s="1037">
        <f t="shared" si="107"/>
        <v>0</v>
      </c>
      <c r="S167" s="1037">
        <f t="shared" si="108"/>
        <v>2570657103.6525002</v>
      </c>
      <c r="T167" s="428">
        <f>+[1]COMPOSICIONES!$J$4</f>
        <v>7831.26</v>
      </c>
    </row>
    <row r="168" spans="2:20" ht="12.75" customHeight="1">
      <c r="B168" s="77" t="s">
        <v>1637</v>
      </c>
      <c r="C168" s="75" t="s">
        <v>1625</v>
      </c>
      <c r="D168" s="54" t="s">
        <v>1638</v>
      </c>
      <c r="E168" s="627">
        <v>45622</v>
      </c>
      <c r="F168" s="627">
        <v>45712</v>
      </c>
      <c r="G168" s="127">
        <v>6.25E-2</v>
      </c>
      <c r="H168" s="1037">
        <v>9000</v>
      </c>
      <c r="I168" s="1037">
        <v>1964.65</v>
      </c>
      <c r="J168" s="1306">
        <v>-1893.14</v>
      </c>
      <c r="K168" s="1037"/>
      <c r="L168" s="1037"/>
      <c r="M168" s="1037">
        <v>8828.76</v>
      </c>
      <c r="N168" s="1037">
        <v>136.05840000000001</v>
      </c>
      <c r="O168" s="1037">
        <v>-83.146605783866207</v>
      </c>
      <c r="P168" s="1037">
        <f t="shared" si="105"/>
        <v>71041353.402600005</v>
      </c>
      <c r="Q168" s="1037">
        <f t="shared" si="106"/>
        <v>71041353.402600005</v>
      </c>
      <c r="R168" s="1037">
        <f t="shared" si="107"/>
        <v>0</v>
      </c>
      <c r="S168" s="1037">
        <f t="shared" si="108"/>
        <v>71041353.402600005</v>
      </c>
      <c r="T168" s="428">
        <f>+[1]COMPOSICIONES!$J$4</f>
        <v>7831.26</v>
      </c>
    </row>
    <row r="169" spans="2:20" ht="12.75" customHeight="1">
      <c r="B169" s="77" t="s">
        <v>1637</v>
      </c>
      <c r="C169" s="75" t="s">
        <v>1625</v>
      </c>
      <c r="D169" s="54" t="s">
        <v>1639</v>
      </c>
      <c r="E169" s="627">
        <v>45622</v>
      </c>
      <c r="F169" s="627">
        <v>45712</v>
      </c>
      <c r="G169" s="127">
        <v>6.25E-2</v>
      </c>
      <c r="H169" s="1037">
        <v>52000</v>
      </c>
      <c r="I169" s="1037">
        <v>16326.575000000001</v>
      </c>
      <c r="J169" s="1306">
        <v>-15439.73</v>
      </c>
      <c r="K169" s="1037"/>
      <c r="L169" s="1037">
        <v>288</v>
      </c>
      <c r="M169" s="1037">
        <v>51462.62</v>
      </c>
      <c r="N169" s="1037">
        <v>793.08799999999997</v>
      </c>
      <c r="O169" s="1037">
        <v>-484.66535768645201</v>
      </c>
      <c r="P169" s="1037">
        <f t="shared" si="105"/>
        <v>416426036.65470004</v>
      </c>
      <c r="Q169" s="1037">
        <f t="shared" si="106"/>
        <v>416426036.65470004</v>
      </c>
      <c r="R169" s="1037">
        <f t="shared" si="107"/>
        <v>0</v>
      </c>
      <c r="S169" s="1037">
        <f t="shared" si="108"/>
        <v>416426036.65470004</v>
      </c>
      <c r="T169" s="428">
        <f>+[1]COMPOSICIONES!$J$4</f>
        <v>7831.26</v>
      </c>
    </row>
    <row r="170" spans="2:20" ht="12.75" customHeight="1">
      <c r="B170" s="77" t="s">
        <v>1637</v>
      </c>
      <c r="C170" s="75" t="s">
        <v>1625</v>
      </c>
      <c r="D170" s="54" t="s">
        <v>1640</v>
      </c>
      <c r="E170" s="627">
        <v>45625</v>
      </c>
      <c r="F170" s="627">
        <v>45716</v>
      </c>
      <c r="G170" s="127">
        <v>6.25E-2</v>
      </c>
      <c r="H170" s="1037">
        <v>75000</v>
      </c>
      <c r="I170" s="1306">
        <v>10557.53</v>
      </c>
      <c r="J170" s="1306">
        <v>-10269.86</v>
      </c>
      <c r="K170" s="1037">
        <v>-2.4E-2</v>
      </c>
      <c r="L170" s="1037"/>
      <c r="M170" s="1037">
        <v>73304.680000000008</v>
      </c>
      <c r="N170" s="1037">
        <v>1162.6300000000001</v>
      </c>
      <c r="O170" s="1037">
        <v>-753.79574138190401</v>
      </c>
      <c r="P170" s="1037">
        <f t="shared" si="105"/>
        <v>589597130.61395991</v>
      </c>
      <c r="Q170" s="1037">
        <f t="shared" si="106"/>
        <v>589597318.56419992</v>
      </c>
      <c r="R170" s="1037">
        <f t="shared" si="107"/>
        <v>-187.95024000000001</v>
      </c>
      <c r="S170" s="1037">
        <f t="shared" si="108"/>
        <v>589597506.51443994</v>
      </c>
      <c r="T170" s="428">
        <f>+[1]COMPOSICIONES!$J$4</f>
        <v>7831.26</v>
      </c>
    </row>
    <row r="171" spans="2:20" ht="12.75" customHeight="1">
      <c r="B171" s="77" t="s">
        <v>1637</v>
      </c>
      <c r="C171" s="75" t="s">
        <v>1625</v>
      </c>
      <c r="D171" s="54" t="s">
        <v>1639</v>
      </c>
      <c r="E171" s="627">
        <v>45644</v>
      </c>
      <c r="F171" s="627">
        <v>45735</v>
      </c>
      <c r="G171" s="127">
        <v>7.4999999999999997E-2</v>
      </c>
      <c r="H171" s="1037">
        <v>161000</v>
      </c>
      <c r="I171" s="1037">
        <v>50549.584999999999</v>
      </c>
      <c r="J171" s="1306">
        <v>-47803.77</v>
      </c>
      <c r="K171" s="1037"/>
      <c r="L171" s="1037">
        <v>894.43499999999995</v>
      </c>
      <c r="M171" s="1037">
        <v>157239.66</v>
      </c>
      <c r="N171" s="1037">
        <v>2493.92</v>
      </c>
      <c r="O171" s="1037">
        <v>-2137.6480999999999</v>
      </c>
      <c r="P171" s="1037">
        <f t="shared" si="105"/>
        <v>1289340604.2150002</v>
      </c>
      <c r="Q171" s="1037">
        <f t="shared" si="106"/>
        <v>1289340604.2150002</v>
      </c>
      <c r="R171" s="1037">
        <f t="shared" si="107"/>
        <v>0</v>
      </c>
      <c r="S171" s="1037">
        <f t="shared" si="108"/>
        <v>1289340604.2150002</v>
      </c>
      <c r="T171" s="428">
        <f>+[1]COMPOSICIONES!$J$4</f>
        <v>7831.26</v>
      </c>
    </row>
    <row r="172" spans="2:20" ht="12.75" customHeight="1" thickBot="1">
      <c r="B172" s="107"/>
      <c r="C172" s="85"/>
      <c r="D172" s="86"/>
      <c r="E172" s="85"/>
      <c r="F172" s="76"/>
      <c r="G172" s="107" t="s">
        <v>1509</v>
      </c>
      <c r="H172" s="851">
        <f t="shared" ref="H172:P172" si="109">SUM(H163:H171)</f>
        <v>1313000</v>
      </c>
      <c r="I172" s="851">
        <f t="shared" si="109"/>
        <v>315307.39</v>
      </c>
      <c r="J172" s="851">
        <f t="shared" si="109"/>
        <v>-301198.48000000004</v>
      </c>
      <c r="K172" s="851">
        <f t="shared" si="109"/>
        <v>-0.27</v>
      </c>
      <c r="L172" s="851">
        <f t="shared" si="109"/>
        <v>2963.72</v>
      </c>
      <c r="M172" s="851">
        <f t="shared" si="109"/>
        <v>1261388.42</v>
      </c>
      <c r="N172" s="851">
        <f t="shared" si="109"/>
        <v>29737.000000000007</v>
      </c>
      <c r="O172" s="851">
        <f t="shared" si="109"/>
        <v>-10210.740015249108</v>
      </c>
      <c r="P172" s="851">
        <f t="shared" si="109"/>
        <v>10416142469.9736</v>
      </c>
      <c r="Q172" s="851">
        <f>SUM(Q163:Q171)</f>
        <v>10416144584.413801</v>
      </c>
      <c r="R172" s="851">
        <f t="shared" ref="R172:S172" si="110">SUM(R163:R171)</f>
        <v>-2114.4402</v>
      </c>
      <c r="S172" s="851">
        <f t="shared" si="110"/>
        <v>10416146698.854</v>
      </c>
    </row>
    <row r="173" spans="2:20" ht="12.75" customHeight="1" thickTop="1">
      <c r="H173" s="1021"/>
      <c r="I173" s="1021"/>
      <c r="K173" s="1021"/>
    </row>
    <row r="174" spans="2:20" customFormat="1" ht="14.4">
      <c r="B174" s="89" t="s">
        <v>2742</v>
      </c>
      <c r="C174" s="74"/>
      <c r="D174" s="74"/>
      <c r="E174" s="74"/>
      <c r="F174" s="74"/>
      <c r="G174" s="74"/>
      <c r="H174" s="1201">
        <f>+H172</f>
        <v>1313000</v>
      </c>
      <c r="I174" s="1201">
        <f t="shared" ref="I174:S174" si="111">+I172</f>
        <v>315307.39</v>
      </c>
      <c r="J174" s="1201">
        <f t="shared" si="111"/>
        <v>-301198.48000000004</v>
      </c>
      <c r="K174" s="1201">
        <f t="shared" si="111"/>
        <v>-0.27</v>
      </c>
      <c r="L174" s="1201">
        <f t="shared" si="111"/>
        <v>2963.72</v>
      </c>
      <c r="M174" s="1201">
        <f t="shared" si="111"/>
        <v>1261388.42</v>
      </c>
      <c r="N174" s="1201">
        <f t="shared" si="111"/>
        <v>29737.000000000007</v>
      </c>
      <c r="O174" s="1201">
        <f t="shared" si="111"/>
        <v>-10210.740015249108</v>
      </c>
      <c r="P174" s="1201">
        <f t="shared" si="111"/>
        <v>10416142469.9736</v>
      </c>
      <c r="Q174" s="1201">
        <f t="shared" si="111"/>
        <v>10416144584.413801</v>
      </c>
      <c r="R174" s="1201">
        <f t="shared" si="111"/>
        <v>-2114.4402</v>
      </c>
      <c r="S174" s="1201">
        <f t="shared" si="111"/>
        <v>10416146698.854</v>
      </c>
    </row>
    <row r="175" spans="2:20" ht="12.75" customHeight="1" thickBot="1">
      <c r="H175" s="1021"/>
      <c r="I175" s="1021"/>
      <c r="K175" s="1021"/>
      <c r="L175" s="1398"/>
    </row>
    <row r="176" spans="2:20" ht="33.75" customHeight="1" thickBot="1">
      <c r="B176" s="1000" t="s">
        <v>1488</v>
      </c>
      <c r="C176" s="1000" t="s">
        <v>631</v>
      </c>
      <c r="D176" s="1000" t="s">
        <v>1489</v>
      </c>
      <c r="E176" s="1000" t="s">
        <v>1716</v>
      </c>
      <c r="F176" s="1000" t="s">
        <v>1717</v>
      </c>
      <c r="G176" s="1000" t="s">
        <v>1718</v>
      </c>
      <c r="H176" s="1000" t="s">
        <v>1492</v>
      </c>
      <c r="I176" s="1000" t="s">
        <v>1493</v>
      </c>
      <c r="J176" s="1000" t="s">
        <v>1719</v>
      </c>
      <c r="K176" s="1000" t="s">
        <v>1643</v>
      </c>
      <c r="L176" s="1000" t="s">
        <v>1644</v>
      </c>
      <c r="M176" s="1001" t="s">
        <v>1645</v>
      </c>
      <c r="N176" s="1000" t="s">
        <v>1720</v>
      </c>
      <c r="O176" s="1000" t="s">
        <v>1647</v>
      </c>
      <c r="P176" s="1000" t="s">
        <v>1499</v>
      </c>
      <c r="Q176" s="1026"/>
      <c r="R176" s="1026"/>
      <c r="S176" s="1026"/>
    </row>
    <row r="177" spans="2:19" ht="12.75" customHeight="1" thickBot="1">
      <c r="B177" s="80" t="s">
        <v>2740</v>
      </c>
      <c r="C177" s="67"/>
      <c r="D177" s="53"/>
      <c r="E177" s="67"/>
      <c r="F177" s="67"/>
      <c r="G177" s="67"/>
      <c r="H177" s="53"/>
      <c r="I177" s="53"/>
      <c r="J177" s="53"/>
      <c r="K177" s="53"/>
      <c r="L177" s="53"/>
      <c r="M177" s="53"/>
      <c r="N177" s="53"/>
      <c r="O177" s="53"/>
      <c r="P177" s="53"/>
      <c r="Q177" s="53"/>
      <c r="R177" s="53"/>
      <c r="S177" s="53"/>
    </row>
    <row r="178" spans="2:19" ht="12.75" customHeight="1">
      <c r="B178" s="77" t="s">
        <v>2943</v>
      </c>
      <c r="C178" s="1031" t="s">
        <v>1505</v>
      </c>
      <c r="D178" s="54" t="s">
        <v>2944</v>
      </c>
      <c r="E178" s="627">
        <v>45616</v>
      </c>
      <c r="F178" s="627">
        <v>45706</v>
      </c>
      <c r="G178" s="127">
        <v>7.0000000000000007E-2</v>
      </c>
      <c r="H178" s="852">
        <v>1000000000</v>
      </c>
      <c r="I178" s="852">
        <v>206712329</v>
      </c>
      <c r="J178" s="852">
        <v>-215547945.205479</v>
      </c>
      <c r="K178" s="852"/>
      <c r="L178" s="852"/>
      <c r="M178" s="852">
        <v>982739727</v>
      </c>
      <c r="N178" s="852">
        <v>17281554.000000119</v>
      </c>
      <c r="O178" s="852">
        <v>-9408846</v>
      </c>
      <c r="P178" s="1199">
        <f>+SUM(H178:L178)</f>
        <v>991164383.79452097</v>
      </c>
      <c r="Q178" s="1199">
        <f>+P178-(K178*T178)</f>
        <v>991164383.79452097</v>
      </c>
      <c r="R178" s="1037">
        <f>+(K178)</f>
        <v>0</v>
      </c>
      <c r="S178" s="1199">
        <f>+Q178-R178</f>
        <v>991164383.79452097</v>
      </c>
    </row>
    <row r="179" spans="2:19" ht="12.75" customHeight="1" thickBot="1">
      <c r="B179" s="107"/>
      <c r="C179" s="85"/>
      <c r="D179" s="86"/>
      <c r="E179" s="85"/>
      <c r="F179" s="76"/>
      <c r="G179" s="107" t="s">
        <v>1509</v>
      </c>
      <c r="H179" s="429">
        <f t="shared" ref="H179:S179" si="112">+SUM(H178:H178)</f>
        <v>1000000000</v>
      </c>
      <c r="I179" s="429">
        <f t="shared" si="112"/>
        <v>206712329</v>
      </c>
      <c r="J179" s="429">
        <f t="shared" si="112"/>
        <v>-215547945.205479</v>
      </c>
      <c r="K179" s="429">
        <f t="shared" si="112"/>
        <v>0</v>
      </c>
      <c r="L179" s="429">
        <f t="shared" si="112"/>
        <v>0</v>
      </c>
      <c r="M179" s="429">
        <f t="shared" si="112"/>
        <v>982739727</v>
      </c>
      <c r="N179" s="429">
        <f t="shared" si="112"/>
        <v>17281554.000000119</v>
      </c>
      <c r="O179" s="429">
        <f t="shared" si="112"/>
        <v>-9408846</v>
      </c>
      <c r="P179" s="1200">
        <f t="shared" si="112"/>
        <v>991164383.79452097</v>
      </c>
      <c r="Q179" s="1200">
        <f t="shared" si="112"/>
        <v>991164383.79452097</v>
      </c>
      <c r="R179" s="429">
        <f t="shared" si="112"/>
        <v>0</v>
      </c>
      <c r="S179" s="429">
        <f t="shared" si="112"/>
        <v>991164383.79452097</v>
      </c>
    </row>
    <row r="180" spans="2:19" ht="12.75" customHeight="1" thickTop="1">
      <c r="B180" s="87"/>
      <c r="C180" s="68"/>
      <c r="D180" s="850"/>
      <c r="E180" s="64"/>
      <c r="F180" s="64"/>
      <c r="G180" s="79"/>
      <c r="H180" s="71"/>
      <c r="I180" s="1196"/>
      <c r="J180" s="1197"/>
      <c r="K180" s="1197"/>
      <c r="L180" s="1197"/>
      <c r="M180" s="1198"/>
      <c r="N180" s="1198"/>
      <c r="O180" s="1198"/>
    </row>
    <row r="181" spans="2:19" ht="12.75" customHeight="1" thickBot="1">
      <c r="B181" s="80" t="s">
        <v>2945</v>
      </c>
      <c r="C181" s="67"/>
      <c r="D181" s="53"/>
      <c r="E181" s="67"/>
      <c r="F181" s="67"/>
      <c r="G181" s="67"/>
      <c r="H181" s="53"/>
      <c r="I181" s="53"/>
      <c r="J181" s="53"/>
      <c r="K181" s="53"/>
      <c r="L181" s="53"/>
      <c r="M181" s="53"/>
      <c r="N181" s="53"/>
      <c r="O181" s="53"/>
      <c r="P181" s="53"/>
      <c r="Q181" s="53"/>
      <c r="R181" s="53"/>
      <c r="S181" s="53"/>
    </row>
    <row r="182" spans="2:19" ht="12.75" customHeight="1">
      <c r="B182" s="77" t="s">
        <v>2946</v>
      </c>
      <c r="C182" s="1031" t="s">
        <v>1505</v>
      </c>
      <c r="D182" s="54" t="s">
        <v>1693</v>
      </c>
      <c r="E182" s="627">
        <v>45630</v>
      </c>
      <c r="F182" s="627">
        <v>45720</v>
      </c>
      <c r="G182" s="127">
        <v>7.0000000000000007E-2</v>
      </c>
      <c r="H182" s="852">
        <v>153000000</v>
      </c>
      <c r="I182" s="852">
        <v>10299205.4794521</v>
      </c>
      <c r="J182" s="852">
        <v>-8526082.1917808205</v>
      </c>
      <c r="K182" s="852">
        <v>0</v>
      </c>
      <c r="L182" s="852">
        <v>876016.16290262598</v>
      </c>
      <c r="M182" s="852">
        <v>153754521</v>
      </c>
      <c r="N182" s="852">
        <v>2653844.4931506813</v>
      </c>
      <c r="O182" s="852">
        <v>-1857691.4</v>
      </c>
      <c r="P182" s="852">
        <f>+SUM(H182:L182)</f>
        <v>155649139.45057389</v>
      </c>
      <c r="Q182" s="852">
        <f>+P182-(K182*T182)</f>
        <v>155649139.45057389</v>
      </c>
      <c r="R182" s="852">
        <f>+(K182)</f>
        <v>0</v>
      </c>
      <c r="S182" s="852">
        <f>+Q182-R182</f>
        <v>155649139.45057389</v>
      </c>
    </row>
    <row r="183" spans="2:19" ht="12.75" customHeight="1">
      <c r="B183" s="77" t="s">
        <v>2946</v>
      </c>
      <c r="C183" s="1031" t="s">
        <v>1505</v>
      </c>
      <c r="D183" s="54" t="s">
        <v>1694</v>
      </c>
      <c r="E183" s="627">
        <v>45630</v>
      </c>
      <c r="F183" s="627">
        <v>45720</v>
      </c>
      <c r="G183" s="127">
        <v>7.0000000000000007E-2</v>
      </c>
      <c r="H183" s="852">
        <v>225000000</v>
      </c>
      <c r="I183" s="852">
        <v>78540411</v>
      </c>
      <c r="J183" s="852">
        <v>-78205993.150684893</v>
      </c>
      <c r="K183" s="852"/>
      <c r="L183" s="852">
        <v>1277293</v>
      </c>
      <c r="M183" s="852">
        <v>224044520.49315068</v>
      </c>
      <c r="N183" s="852">
        <v>3942107.5068493187</v>
      </c>
      <c r="O183" s="852">
        <v>-2759475.4</v>
      </c>
      <c r="P183" s="852">
        <f>+SUM(H183:L183)</f>
        <v>226611710.84931511</v>
      </c>
      <c r="Q183" s="852">
        <f>+P183-(K183*T183)</f>
        <v>226611710.84931511</v>
      </c>
      <c r="R183" s="852">
        <f>+(K183)</f>
        <v>0</v>
      </c>
      <c r="S183" s="852">
        <f>+Q183-R183</f>
        <v>226611710.84931511</v>
      </c>
    </row>
    <row r="184" spans="2:19" ht="12.75" customHeight="1" thickBot="1">
      <c r="B184" s="107"/>
      <c r="C184" s="85"/>
      <c r="D184" s="86"/>
      <c r="E184" s="85"/>
      <c r="F184" s="76"/>
      <c r="G184" s="107" t="s">
        <v>1509</v>
      </c>
      <c r="H184" s="429">
        <f>SUM(H182:H183)</f>
        <v>378000000</v>
      </c>
      <c r="I184" s="429">
        <f t="shared" ref="I184:R184" si="113">SUM(I182:I183)</f>
        <v>88839616.479452103</v>
      </c>
      <c r="J184" s="429">
        <f t="shared" si="113"/>
        <v>-86732075.342465714</v>
      </c>
      <c r="K184" s="429">
        <f t="shared" si="113"/>
        <v>0</v>
      </c>
      <c r="L184" s="429">
        <f t="shared" si="113"/>
        <v>2153309.1629026262</v>
      </c>
      <c r="M184" s="429">
        <f t="shared" si="113"/>
        <v>377799041.49315071</v>
      </c>
      <c r="N184" s="429">
        <f t="shared" si="113"/>
        <v>6595952</v>
      </c>
      <c r="O184" s="429">
        <f t="shared" si="113"/>
        <v>-4617166.8</v>
      </c>
      <c r="P184" s="429">
        <f t="shared" si="113"/>
        <v>382260850.29988897</v>
      </c>
      <c r="Q184" s="429">
        <f>SUM(Q182:Q183)</f>
        <v>382260850.29988897</v>
      </c>
      <c r="R184" s="429">
        <f t="shared" si="113"/>
        <v>0</v>
      </c>
      <c r="S184" s="429">
        <f>SUM(S182:S183)</f>
        <v>382260850.29988897</v>
      </c>
    </row>
    <row r="185" spans="2:19" ht="12.75" customHeight="1" thickTop="1">
      <c r="B185" s="87"/>
      <c r="C185" s="68"/>
      <c r="D185" s="850"/>
      <c r="E185" s="64"/>
      <c r="F185" s="64"/>
      <c r="G185" s="79"/>
      <c r="H185" s="71"/>
      <c r="I185" s="1196"/>
      <c r="J185" s="1197"/>
      <c r="K185" s="1197"/>
      <c r="L185" s="1197"/>
      <c r="M185" s="1198"/>
      <c r="N185" s="1198"/>
      <c r="O185" s="1198"/>
    </row>
    <row r="186" spans="2:19" ht="12.75" customHeight="1" thickBot="1">
      <c r="B186" s="80" t="s">
        <v>1608</v>
      </c>
      <c r="C186" s="67"/>
      <c r="D186" s="53"/>
      <c r="E186" s="67"/>
      <c r="F186" s="67"/>
      <c r="G186" s="67"/>
      <c r="H186" s="53"/>
      <c r="I186" s="53"/>
      <c r="J186" s="53"/>
      <c r="K186" s="53"/>
      <c r="L186" s="53"/>
      <c r="M186" s="53"/>
      <c r="N186" s="53"/>
      <c r="O186" s="944"/>
      <c r="P186" s="53"/>
      <c r="Q186" s="53"/>
      <c r="R186" s="53"/>
      <c r="S186" s="53"/>
    </row>
    <row r="187" spans="2:19" ht="12.75" customHeight="1">
      <c r="B187" s="77" t="s">
        <v>2741</v>
      </c>
      <c r="C187" s="1031" t="s">
        <v>1505</v>
      </c>
      <c r="D187" s="54" t="s">
        <v>2718</v>
      </c>
      <c r="E187" s="627">
        <v>45597</v>
      </c>
      <c r="F187" s="627">
        <v>45687</v>
      </c>
      <c r="G187" s="127">
        <v>7.2999999999999995E-2</v>
      </c>
      <c r="H187" s="852">
        <v>2000000000</v>
      </c>
      <c r="I187" s="852">
        <v>781000000</v>
      </c>
      <c r="J187" s="852">
        <v>-704823978.24280405</v>
      </c>
      <c r="K187" s="852">
        <v>-7612427.2871497199</v>
      </c>
      <c r="L187" s="852"/>
      <c r="M187" s="852">
        <v>2048885246</v>
      </c>
      <c r="N187" s="852">
        <v>36879933.999999762</v>
      </c>
      <c r="O187" s="852">
        <v>-12293311.4</v>
      </c>
      <c r="P187" s="852">
        <f>+SUM(H187:L187)</f>
        <v>2068563594.4700463</v>
      </c>
      <c r="Q187" s="852">
        <f>+P187-K187</f>
        <v>2076176021.7571959</v>
      </c>
      <c r="R187" s="852">
        <f>+(K187)</f>
        <v>-7612427.2871497199</v>
      </c>
      <c r="S187" s="852">
        <f>+Q187-R187</f>
        <v>2083788449.0443456</v>
      </c>
    </row>
    <row r="188" spans="2:19" ht="12.75" customHeight="1">
      <c r="B188" s="77" t="s">
        <v>2741</v>
      </c>
      <c r="C188" s="1031" t="s">
        <v>1505</v>
      </c>
      <c r="D188" s="54" t="s">
        <v>1728</v>
      </c>
      <c r="E188" s="627">
        <v>45630</v>
      </c>
      <c r="F188" s="627">
        <v>45660</v>
      </c>
      <c r="G188" s="127">
        <v>7.0000000000000007E-2</v>
      </c>
      <c r="H188" s="852">
        <v>71000000</v>
      </c>
      <c r="I188" s="852">
        <v>35262150</v>
      </c>
      <c r="J188" s="852">
        <v>-32849023.386342399</v>
      </c>
      <c r="K188" s="852">
        <v>0</v>
      </c>
      <c r="L188" s="852">
        <v>5004395</v>
      </c>
      <c r="M188" s="852">
        <v>72933843</v>
      </c>
      <c r="N188" s="852">
        <v>419620</v>
      </c>
      <c r="O188" s="852">
        <v>-41962.400000000001</v>
      </c>
      <c r="P188" s="852">
        <f>+SUM(H188:L188)</f>
        <v>78417521.613657594</v>
      </c>
      <c r="Q188" s="852">
        <f>+P188-(K188*T188)</f>
        <v>78417521.613657594</v>
      </c>
      <c r="R188" s="852">
        <f>+(K188)</f>
        <v>0</v>
      </c>
      <c r="S188" s="852">
        <f>+Q188-R188</f>
        <v>78417521.613657594</v>
      </c>
    </row>
    <row r="189" spans="2:19" ht="12.75" customHeight="1" thickBot="1">
      <c r="B189" s="107"/>
      <c r="C189" s="85"/>
      <c r="D189" s="86"/>
      <c r="E189" s="85"/>
      <c r="F189" s="76"/>
      <c r="G189" s="107" t="s">
        <v>1509</v>
      </c>
      <c r="H189" s="429">
        <f>SUM(H187:H188)</f>
        <v>2071000000</v>
      </c>
      <c r="I189" s="429">
        <f t="shared" ref="I189" si="114">SUM(I187:I188)</f>
        <v>816262150</v>
      </c>
      <c r="J189" s="429">
        <f t="shared" ref="J189" si="115">SUM(J187:J188)</f>
        <v>-737673001.62914646</v>
      </c>
      <c r="K189" s="429">
        <f t="shared" ref="K189" si="116">SUM(K187:K188)</f>
        <v>-7612427.2871497199</v>
      </c>
      <c r="L189" s="429">
        <f t="shared" ref="L189" si="117">SUM(L187:L188)</f>
        <v>5004395</v>
      </c>
      <c r="M189" s="429">
        <f t="shared" ref="M189" si="118">SUM(M187:M188)</f>
        <v>2121819089</v>
      </c>
      <c r="N189" s="429">
        <f t="shared" ref="N189" si="119">SUM(N187:N188)</f>
        <v>37299553.999999762</v>
      </c>
      <c r="O189" s="429">
        <f t="shared" ref="O189" si="120">SUM(O187:O188)</f>
        <v>-12335273.800000001</v>
      </c>
      <c r="P189" s="429">
        <f t="shared" ref="P189" si="121">SUM(P187:P188)</f>
        <v>2146981116.083704</v>
      </c>
      <c r="Q189" s="429">
        <f>SUM(Q187:Q188)</f>
        <v>2154593543.3708534</v>
      </c>
      <c r="R189" s="429">
        <f t="shared" ref="R189" si="122">SUM(R187:R188)</f>
        <v>-7612427.2871497199</v>
      </c>
      <c r="S189" s="429">
        <f t="shared" ref="S189" si="123">SUM(S187:S188)</f>
        <v>2162205970.6580033</v>
      </c>
    </row>
    <row r="190" spans="2:19" ht="12.75" customHeight="1" thickTop="1">
      <c r="B190" s="87"/>
      <c r="C190" s="68"/>
      <c r="D190" s="850"/>
      <c r="E190" s="64"/>
      <c r="F190" s="64"/>
      <c r="G190" s="79"/>
      <c r="H190" s="71"/>
      <c r="I190" s="1196"/>
      <c r="J190" s="1197"/>
      <c r="K190" s="1197"/>
      <c r="L190" s="1197"/>
      <c r="M190" s="1198"/>
      <c r="N190" s="1198"/>
      <c r="O190" s="1198"/>
    </row>
    <row r="191" spans="2:19" ht="12" customHeight="1">
      <c r="H191" s="1021"/>
      <c r="I191" s="1021"/>
      <c r="K191" s="1021"/>
    </row>
    <row r="192" spans="2:19" customFormat="1" ht="14.4">
      <c r="B192" s="89" t="s">
        <v>2743</v>
      </c>
      <c r="C192" s="74"/>
      <c r="D192" s="74"/>
      <c r="E192" s="74"/>
      <c r="F192" s="74"/>
      <c r="G192" s="74"/>
      <c r="H192" s="66">
        <f>+H179+H184+H189</f>
        <v>3449000000</v>
      </c>
      <c r="I192" s="66">
        <f t="shared" ref="I192:S192" si="124">+I179+I184+I189</f>
        <v>1111814095.4794521</v>
      </c>
      <c r="J192" s="66">
        <f t="shared" si="124"/>
        <v>-1039953022.1770911</v>
      </c>
      <c r="K192" s="66">
        <f t="shared" si="124"/>
        <v>-7612427.2871497199</v>
      </c>
      <c r="L192" s="66">
        <f t="shared" si="124"/>
        <v>7157704.1629026262</v>
      </c>
      <c r="M192" s="66">
        <f t="shared" si="124"/>
        <v>3482357857.4931507</v>
      </c>
      <c r="N192" s="66">
        <f t="shared" si="124"/>
        <v>61177059.999999881</v>
      </c>
      <c r="O192" s="66">
        <f t="shared" si="124"/>
        <v>-26361286.600000001</v>
      </c>
      <c r="P192" s="66">
        <f t="shared" si="124"/>
        <v>3520406350.1781139</v>
      </c>
      <c r="Q192" s="66">
        <f t="shared" si="124"/>
        <v>3528018777.4652634</v>
      </c>
      <c r="R192" s="66">
        <f t="shared" si="124"/>
        <v>-7612427.2871497199</v>
      </c>
      <c r="S192" s="66">
        <f t="shared" si="124"/>
        <v>3535631204.7524133</v>
      </c>
    </row>
    <row r="193" spans="2:19" ht="12" customHeight="1">
      <c r="H193" s="1021"/>
      <c r="I193" s="1021"/>
      <c r="K193" s="1021"/>
    </row>
    <row r="194" spans="2:19" ht="12.75" customHeight="1" thickBot="1">
      <c r="H194" s="1021"/>
      <c r="I194" s="1021"/>
      <c r="K194" s="1021"/>
    </row>
    <row r="195" spans="2:19" ht="33.75" hidden="1" customHeight="1" thickBot="1">
      <c r="B195" s="1000" t="s">
        <v>1488</v>
      </c>
      <c r="C195" s="1000" t="s">
        <v>631</v>
      </c>
      <c r="D195" s="1000" t="s">
        <v>1489</v>
      </c>
      <c r="E195" s="1000" t="s">
        <v>1716</v>
      </c>
      <c r="F195" s="1000" t="s">
        <v>1717</v>
      </c>
      <c r="G195" s="1000" t="s">
        <v>1491</v>
      </c>
      <c r="H195" s="1000" t="s">
        <v>1492</v>
      </c>
      <c r="I195" s="1000" t="s">
        <v>1652</v>
      </c>
      <c r="J195" s="1000" t="s">
        <v>1653</v>
      </c>
      <c r="K195" s="1000" t="s">
        <v>1645</v>
      </c>
      <c r="L195" s="1000" t="s">
        <v>2662</v>
      </c>
      <c r="M195" s="1001" t="s">
        <v>1647</v>
      </c>
      <c r="P195" s="1000" t="s">
        <v>1499</v>
      </c>
      <c r="Q195" s="1026"/>
      <c r="R195" s="1026"/>
      <c r="S195" s="1026"/>
    </row>
    <row r="196" spans="2:19" ht="12.75" hidden="1" customHeight="1" thickBot="1">
      <c r="B196" s="80" t="s">
        <v>2744</v>
      </c>
      <c r="C196" s="67"/>
      <c r="D196" s="53"/>
      <c r="E196" s="67"/>
      <c r="F196" s="67"/>
      <c r="G196" s="67"/>
      <c r="H196" s="53"/>
      <c r="I196" s="53"/>
      <c r="J196" s="53"/>
      <c r="K196" s="53"/>
      <c r="L196" s="53"/>
      <c r="M196" s="53"/>
      <c r="N196" s="53"/>
      <c r="O196" s="53"/>
      <c r="P196" s="53"/>
      <c r="Q196" s="53"/>
      <c r="R196" s="53"/>
      <c r="S196" s="53"/>
    </row>
    <row r="197" spans="2:19" ht="12.75" hidden="1" customHeight="1">
      <c r="B197" s="77"/>
      <c r="C197" s="1031"/>
      <c r="D197" s="54"/>
      <c r="E197" s="627"/>
      <c r="F197" s="627"/>
      <c r="G197" s="127"/>
      <c r="H197" s="852"/>
      <c r="I197" s="852"/>
      <c r="J197" s="852"/>
      <c r="K197" s="852"/>
      <c r="L197" s="852"/>
      <c r="M197" s="852"/>
      <c r="N197" s="852"/>
      <c r="O197" s="852"/>
      <c r="P197" s="1199">
        <f>+SUM(K197:M197)</f>
        <v>0</v>
      </c>
      <c r="Q197" s="852">
        <f>+P197-(K197*T197)</f>
        <v>0</v>
      </c>
      <c r="R197" s="1037">
        <v>0</v>
      </c>
      <c r="S197" s="1037">
        <f>+Q197-R197</f>
        <v>0</v>
      </c>
    </row>
    <row r="198" spans="2:19" ht="12.75" hidden="1" customHeight="1" thickBot="1">
      <c r="B198" s="87"/>
      <c r="C198" s="85"/>
      <c r="D198" s="86"/>
      <c r="E198" s="76"/>
      <c r="F198" s="76"/>
      <c r="G198" s="72"/>
      <c r="H198" s="851">
        <f>SUM(H197)</f>
        <v>0</v>
      </c>
      <c r="I198" s="851"/>
      <c r="J198" s="851"/>
      <c r="K198" s="429">
        <f>SUM(K197:K197)</f>
        <v>0</v>
      </c>
      <c r="L198" s="429">
        <f>SUM(L197:L197)</f>
        <v>0</v>
      </c>
      <c r="M198" s="429">
        <f>SUM(M197:M197)</f>
        <v>0</v>
      </c>
      <c r="N198" s="429">
        <f t="shared" ref="N198:O198" si="125">SUM(N197:N197)</f>
        <v>0</v>
      </c>
      <c r="O198" s="429">
        <f t="shared" si="125"/>
        <v>0</v>
      </c>
      <c r="P198" s="429">
        <f>SUM(P197:P197)</f>
        <v>0</v>
      </c>
      <c r="Q198" s="429">
        <f t="shared" ref="Q198" si="126">SUM(Q197:Q197)</f>
        <v>0</v>
      </c>
      <c r="R198" s="429">
        <f t="shared" ref="R198" si="127">SUM(R197:R197)</f>
        <v>0</v>
      </c>
      <c r="S198" s="429">
        <f t="shared" ref="S198" si="128">SUM(S197:S197)</f>
        <v>0</v>
      </c>
    </row>
    <row r="199" spans="2:19" ht="12.75" hidden="1" customHeight="1" thickTop="1">
      <c r="B199" s="87"/>
      <c r="C199" s="87"/>
      <c r="D199" s="87"/>
      <c r="E199" s="109"/>
      <c r="F199" s="87"/>
      <c r="G199" s="87"/>
      <c r="H199" s="1202"/>
      <c r="I199" s="1202"/>
      <c r="J199" s="1202"/>
      <c r="K199" s="1202"/>
      <c r="L199" s="1202"/>
      <c r="M199" s="1202"/>
    </row>
    <row r="200" spans="2:19" ht="12.75" hidden="1" customHeight="1">
      <c r="H200" s="1021"/>
      <c r="I200" s="1021"/>
      <c r="K200" s="1021"/>
    </row>
    <row r="201" spans="2:19" ht="12.75" hidden="1" customHeight="1" thickBot="1">
      <c r="B201" s="80" t="s">
        <v>1613</v>
      </c>
      <c r="C201" s="67"/>
      <c r="D201" s="53"/>
      <c r="E201" s="67"/>
      <c r="F201" s="53"/>
      <c r="G201" s="53"/>
      <c r="H201" s="53"/>
      <c r="I201" s="53"/>
      <c r="J201" s="53"/>
      <c r="K201" s="53"/>
      <c r="L201" s="53"/>
      <c r="M201" s="53"/>
      <c r="N201" s="53"/>
      <c r="O201" s="53"/>
      <c r="P201" s="53"/>
      <c r="Q201" s="53"/>
      <c r="R201" s="53"/>
      <c r="S201" s="53"/>
    </row>
    <row r="202" spans="2:19" ht="12.75" hidden="1" customHeight="1">
      <c r="B202" s="77"/>
      <c r="C202" s="1031"/>
      <c r="D202" s="54"/>
      <c r="E202" s="627"/>
      <c r="F202" s="627"/>
      <c r="G202" s="127"/>
      <c r="H202" s="1037"/>
      <c r="I202" s="1037"/>
      <c r="J202" s="1037"/>
      <c r="K202" s="852"/>
      <c r="L202" s="852"/>
      <c r="M202" s="852"/>
      <c r="N202" s="852"/>
      <c r="O202" s="852"/>
      <c r="P202" s="1199">
        <f t="shared" ref="P202:P204" si="129">+SUM(K202:M202)</f>
        <v>0</v>
      </c>
      <c r="Q202" s="852">
        <f>+P202-(K202*T202)</f>
        <v>0</v>
      </c>
      <c r="R202" s="1037">
        <v>0</v>
      </c>
      <c r="S202" s="1037">
        <f>+Q202-R202</f>
        <v>0</v>
      </c>
    </row>
    <row r="203" spans="2:19" ht="12.75" hidden="1" customHeight="1">
      <c r="B203" s="77"/>
      <c r="C203" s="1031"/>
      <c r="D203" s="54"/>
      <c r="E203" s="627"/>
      <c r="F203" s="627"/>
      <c r="G203" s="127"/>
      <c r="H203" s="1037"/>
      <c r="I203" s="1037"/>
      <c r="J203" s="1037"/>
      <c r="K203" s="852"/>
      <c r="L203" s="852"/>
      <c r="M203" s="852"/>
      <c r="N203" s="852"/>
      <c r="O203" s="852"/>
      <c r="P203" s="1199">
        <f t="shared" si="129"/>
        <v>0</v>
      </c>
      <c r="Q203" s="852">
        <f t="shared" ref="Q203:Q204" si="130">+P203-(K203*T203)</f>
        <v>0</v>
      </c>
      <c r="R203" s="1037">
        <v>0</v>
      </c>
      <c r="S203" s="1037">
        <f t="shared" ref="S203:S204" si="131">+Q203-R203</f>
        <v>0</v>
      </c>
    </row>
    <row r="204" spans="2:19" ht="12.75" hidden="1" customHeight="1">
      <c r="B204" s="77"/>
      <c r="C204" s="1031"/>
      <c r="D204" s="54"/>
      <c r="E204" s="627"/>
      <c r="F204" s="627"/>
      <c r="G204" s="127"/>
      <c r="H204" s="1037"/>
      <c r="I204" s="1037"/>
      <c r="J204" s="1037"/>
      <c r="K204" s="852"/>
      <c r="L204" s="852"/>
      <c r="M204" s="852"/>
      <c r="N204" s="852"/>
      <c r="O204" s="852"/>
      <c r="P204" s="1199">
        <f t="shared" si="129"/>
        <v>0</v>
      </c>
      <c r="Q204" s="852">
        <f t="shared" si="130"/>
        <v>0</v>
      </c>
      <c r="R204" s="1037">
        <v>0</v>
      </c>
      <c r="S204" s="1037">
        <f t="shared" si="131"/>
        <v>0</v>
      </c>
    </row>
    <row r="205" spans="2:19" ht="12.75" hidden="1" customHeight="1" thickBot="1">
      <c r="B205" s="87"/>
      <c r="C205" s="85"/>
      <c r="D205" s="86"/>
      <c r="E205" s="76"/>
      <c r="F205" s="76"/>
      <c r="G205" s="72"/>
      <c r="H205" s="851">
        <f>SUM(H202:H204)</f>
        <v>0</v>
      </c>
      <c r="I205" s="851">
        <f t="shared" ref="I205:K205" si="132">SUM(I202:I204)</f>
        <v>0</v>
      </c>
      <c r="J205" s="851">
        <f t="shared" si="132"/>
        <v>0</v>
      </c>
      <c r="K205" s="851">
        <f t="shared" si="132"/>
        <v>0</v>
      </c>
      <c r="L205" s="851">
        <f>SUM(L202:L204)</f>
        <v>0</v>
      </c>
      <c r="M205" s="851">
        <f>SUM(M202:M204)</f>
        <v>0</v>
      </c>
      <c r="N205" s="851">
        <f t="shared" ref="N205:S205" si="133">SUM(N202:N204)</f>
        <v>0</v>
      </c>
      <c r="O205" s="851">
        <f t="shared" si="133"/>
        <v>0</v>
      </c>
      <c r="P205" s="851">
        <f t="shared" si="133"/>
        <v>0</v>
      </c>
      <c r="Q205" s="851">
        <f t="shared" si="133"/>
        <v>0</v>
      </c>
      <c r="R205" s="851">
        <f t="shared" si="133"/>
        <v>0</v>
      </c>
      <c r="S205" s="851">
        <f t="shared" si="133"/>
        <v>0</v>
      </c>
    </row>
    <row r="206" spans="2:19" ht="12.75" hidden="1" customHeight="1" thickTop="1">
      <c r="H206" s="1021"/>
      <c r="I206" s="1021"/>
      <c r="K206" s="1021"/>
    </row>
    <row r="207" spans="2:19" customFormat="1" ht="14.4" hidden="1">
      <c r="B207" s="89" t="s">
        <v>2753</v>
      </c>
      <c r="C207" s="74"/>
      <c r="D207" s="74"/>
      <c r="E207" s="74"/>
      <c r="F207" s="74"/>
      <c r="G207" s="74"/>
      <c r="H207" s="66">
        <f>+H198+H205</f>
        <v>0</v>
      </c>
      <c r="I207" s="66">
        <f t="shared" ref="I207:S207" si="134">+I198+I205</f>
        <v>0</v>
      </c>
      <c r="J207" s="66">
        <f t="shared" si="134"/>
        <v>0</v>
      </c>
      <c r="K207" s="66">
        <f t="shared" si="134"/>
        <v>0</v>
      </c>
      <c r="L207" s="66">
        <f t="shared" si="134"/>
        <v>0</v>
      </c>
      <c r="M207" s="66">
        <f t="shared" si="134"/>
        <v>0</v>
      </c>
      <c r="N207" s="66">
        <f t="shared" si="134"/>
        <v>0</v>
      </c>
      <c r="O207" s="66">
        <f t="shared" si="134"/>
        <v>0</v>
      </c>
      <c r="P207" s="66">
        <f t="shared" si="134"/>
        <v>0</v>
      </c>
      <c r="Q207" s="66">
        <f t="shared" si="134"/>
        <v>0</v>
      </c>
      <c r="R207" s="66">
        <f t="shared" si="134"/>
        <v>0</v>
      </c>
      <c r="S207" s="66">
        <f t="shared" si="134"/>
        <v>0</v>
      </c>
    </row>
    <row r="208" spans="2:19" ht="12.75" hidden="1" customHeight="1" thickBot="1">
      <c r="H208" s="1021"/>
      <c r="I208" s="1021"/>
      <c r="K208" s="1021"/>
    </row>
    <row r="209" spans="2:19" customFormat="1" ht="27.6" customHeight="1" thickBot="1">
      <c r="B209" s="78" t="s">
        <v>1488</v>
      </c>
      <c r="C209" s="78" t="s">
        <v>631</v>
      </c>
      <c r="D209" s="78" t="s">
        <v>1489</v>
      </c>
      <c r="E209" s="78" t="s">
        <v>1722</v>
      </c>
      <c r="F209" s="78" t="s">
        <v>1723</v>
      </c>
      <c r="G209" s="78" t="s">
        <v>1724</v>
      </c>
      <c r="H209" s="78" t="s">
        <v>1490</v>
      </c>
      <c r="I209" s="78" t="s">
        <v>1491</v>
      </c>
      <c r="J209" s="78" t="s">
        <v>1492</v>
      </c>
      <c r="K209" s="78" t="s">
        <v>1497</v>
      </c>
      <c r="L209" s="70" t="s">
        <v>1498</v>
      </c>
      <c r="M209" s="1000" t="s">
        <v>1499</v>
      </c>
      <c r="N209" s="996"/>
      <c r="O209" s="996"/>
      <c r="P209" s="996"/>
      <c r="Q209" s="1026" t="s">
        <v>1665</v>
      </c>
      <c r="R209" s="1026" t="s">
        <v>1666</v>
      </c>
      <c r="S209" s="1026" t="s">
        <v>1667</v>
      </c>
    </row>
    <row r="210" spans="2:19" customFormat="1" ht="8.25" customHeight="1">
      <c r="B210" s="87"/>
      <c r="C210" s="68"/>
      <c r="D210" s="1029"/>
      <c r="E210" s="64"/>
      <c r="F210" s="64"/>
      <c r="G210" s="79"/>
      <c r="H210" s="71"/>
      <c r="I210" s="71"/>
      <c r="J210" s="71"/>
      <c r="K210" s="71"/>
      <c r="L210" s="87"/>
      <c r="M210" s="87"/>
      <c r="N210" s="996"/>
      <c r="O210" s="996"/>
      <c r="P210" s="996"/>
    </row>
    <row r="211" spans="2:19" customFormat="1" ht="15" thickBot="1">
      <c r="B211" s="80" t="s">
        <v>1725</v>
      </c>
      <c r="C211" s="67"/>
      <c r="D211" s="53"/>
      <c r="E211" s="67"/>
      <c r="F211" s="67"/>
      <c r="G211" s="67"/>
      <c r="H211" s="53"/>
      <c r="I211" s="53"/>
      <c r="J211" s="53"/>
      <c r="K211" s="53"/>
      <c r="L211" s="53"/>
      <c r="M211" s="53"/>
      <c r="N211" s="996"/>
      <c r="O211" s="996"/>
      <c r="P211" s="996"/>
      <c r="Q211" s="53"/>
      <c r="R211" s="53"/>
      <c r="S211" s="53"/>
    </row>
    <row r="212" spans="2:19" customFormat="1" ht="14.4">
      <c r="B212" s="1030" t="s">
        <v>1634</v>
      </c>
      <c r="C212" s="1031" t="s">
        <v>1505</v>
      </c>
      <c r="D212" s="1301" t="s">
        <v>2947</v>
      </c>
      <c r="E212" s="1032" t="s">
        <v>2948</v>
      </c>
      <c r="F212" s="1032" t="s">
        <v>1726</v>
      </c>
      <c r="G212" s="1033">
        <v>44799</v>
      </c>
      <c r="H212" s="1033" t="s">
        <v>1240</v>
      </c>
      <c r="I212" s="1034">
        <v>0.115</v>
      </c>
      <c r="J212" s="1035">
        <v>1249280000</v>
      </c>
      <c r="K212" s="1032">
        <f>+J212</f>
        <v>1249280000</v>
      </c>
      <c r="L212" s="1032">
        <v>0</v>
      </c>
      <c r="M212" s="1032">
        <f>+K212</f>
        <v>1249280000</v>
      </c>
      <c r="N212" s="996"/>
      <c r="O212" s="996"/>
      <c r="P212" s="996"/>
      <c r="Q212" s="1032">
        <f>+M212</f>
        <v>1249280000</v>
      </c>
      <c r="R212" s="1032">
        <v>0</v>
      </c>
      <c r="S212" s="1032">
        <f>+Q212-R212</f>
        <v>1249280000</v>
      </c>
    </row>
    <row r="213" spans="2:19" customFormat="1" ht="15" thickBot="1">
      <c r="B213" s="87"/>
      <c r="C213" s="85"/>
      <c r="D213" s="86"/>
      <c r="E213" s="86"/>
      <c r="F213" s="86"/>
      <c r="G213" s="76"/>
      <c r="H213" s="76"/>
      <c r="I213" s="72" t="s">
        <v>1509</v>
      </c>
      <c r="J213" s="90">
        <f>+SUM(J212)</f>
        <v>1249280000</v>
      </c>
      <c r="K213" s="90">
        <f>+SUM(K212:K212)</f>
        <v>1249280000</v>
      </c>
      <c r="L213" s="90"/>
      <c r="M213" s="90">
        <f>+SUM(M212:M212)</f>
        <v>1249280000</v>
      </c>
      <c r="N213" s="996"/>
      <c r="O213" s="996"/>
      <c r="P213" s="996"/>
      <c r="Q213" s="90">
        <f t="shared" ref="Q213:R213" si="135">+SUM(Q212:Q212)</f>
        <v>1249280000</v>
      </c>
      <c r="R213" s="90">
        <f t="shared" si="135"/>
        <v>0</v>
      </c>
      <c r="S213" s="90">
        <f>+SUM(S212:S212)</f>
        <v>1249280000</v>
      </c>
    </row>
    <row r="214" spans="2:19" customFormat="1" ht="15.6" customHeight="1" thickTop="1">
      <c r="B214" s="87"/>
      <c r="C214" s="68"/>
      <c r="D214" s="56"/>
      <c r="E214" s="850"/>
      <c r="F214" s="850"/>
      <c r="G214" s="64"/>
      <c r="H214" s="64"/>
      <c r="I214" s="79"/>
      <c r="J214" s="71"/>
      <c r="K214" s="71"/>
      <c r="L214" s="71"/>
      <c r="M214" s="71"/>
      <c r="N214" s="996"/>
      <c r="O214" s="996"/>
      <c r="P214" s="996"/>
      <c r="Q214" s="87"/>
    </row>
    <row r="215" spans="2:19" customFormat="1" ht="15.6" customHeight="1">
      <c r="B215" s="89" t="s">
        <v>1509</v>
      </c>
      <c r="C215" s="74"/>
      <c r="D215" s="74"/>
      <c r="E215" s="74"/>
      <c r="F215" s="74"/>
      <c r="G215" s="74"/>
      <c r="H215" s="66">
        <f>+H211</f>
        <v>0</v>
      </c>
      <c r="I215" s="66">
        <f>+I211</f>
        <v>0</v>
      </c>
      <c r="J215" s="66">
        <f>+J213</f>
        <v>1249280000</v>
      </c>
      <c r="K215" s="66">
        <f t="shared" ref="K215:M215" si="136">+K213</f>
        <v>1249280000</v>
      </c>
      <c r="L215" s="66">
        <f t="shared" si="136"/>
        <v>0</v>
      </c>
      <c r="M215" s="66">
        <f t="shared" si="136"/>
        <v>1249280000</v>
      </c>
      <c r="N215" s="66">
        <f>SUM(N213)</f>
        <v>0</v>
      </c>
      <c r="O215" s="66">
        <f>SUM(O213)</f>
        <v>0</v>
      </c>
      <c r="P215" s="66">
        <f>SUM(P213)</f>
        <v>0</v>
      </c>
      <c r="Q215" s="66">
        <f>+Q213+Q172</f>
        <v>11665424584.413801</v>
      </c>
      <c r="R215" s="66">
        <f>+R213+R172</f>
        <v>-2114.4402</v>
      </c>
      <c r="S215" s="66">
        <f>+S213+S172</f>
        <v>11665426698.854</v>
      </c>
    </row>
    <row r="216" spans="2:19" customFormat="1" ht="14.4">
      <c r="B216" s="87"/>
      <c r="C216" s="68"/>
      <c r="D216" s="56"/>
      <c r="E216" s="850"/>
      <c r="F216" s="850"/>
      <c r="G216" s="64"/>
      <c r="H216" s="64"/>
      <c r="I216" s="79"/>
      <c r="J216" s="71"/>
      <c r="K216" s="71"/>
      <c r="L216" s="71"/>
      <c r="M216" s="71"/>
      <c r="N216" s="996"/>
      <c r="O216" s="996"/>
      <c r="P216" s="996"/>
      <c r="Q216" s="87"/>
    </row>
    <row r="217" spans="2:19" customFormat="1" ht="14.4">
      <c r="B217" s="89" t="s">
        <v>2592</v>
      </c>
      <c r="C217" s="74"/>
      <c r="D217" s="74"/>
      <c r="E217" s="74"/>
      <c r="F217" s="74"/>
      <c r="G217" s="74"/>
      <c r="H217" s="66">
        <f t="shared" ref="H217" si="137">+H213</f>
        <v>0</v>
      </c>
      <c r="I217" s="66"/>
      <c r="J217" s="66"/>
      <c r="K217" s="66"/>
      <c r="L217" s="66"/>
      <c r="M217" s="66"/>
      <c r="N217" s="66">
        <f>+N213</f>
        <v>0</v>
      </c>
      <c r="O217" s="66">
        <f>+O213</f>
        <v>0</v>
      </c>
      <c r="P217" s="66">
        <f>+P213</f>
        <v>0</v>
      </c>
      <c r="Q217" s="66">
        <f>+Q215+Q207+Q192+Q174+Q157+Q148+Q140</f>
        <v>37860581769.057747</v>
      </c>
      <c r="R217" s="66">
        <f t="shared" ref="R217:S217" si="138">+R215+R207+R192+R174+R157+R148+R140</f>
        <v>-7616656.16754972</v>
      </c>
      <c r="S217" s="66">
        <f t="shared" si="138"/>
        <v>37868198425.225296</v>
      </c>
    </row>
    <row r="219" spans="2:19" ht="12.75" customHeight="1">
      <c r="S219" s="1052"/>
    </row>
    <row r="220" spans="2:19" ht="12.75" customHeight="1">
      <c r="R220" s="1022"/>
      <c r="S220" s="1022"/>
    </row>
    <row r="222" spans="2:19" ht="12.75" customHeight="1">
      <c r="S222" s="1067"/>
    </row>
    <row r="223" spans="2:19" ht="12.75" customHeight="1">
      <c r="S223" s="1067"/>
    </row>
  </sheetData>
  <sheetProtection algorithmName="SHA-512" hashValue="fmRqZfCLcPm8TpXKn9AxaNUetr4K3snQ9ybQz0B4q8HRz9kNU9rwmNO8+P1rg/JvITBeepFfVzWO4n6UIYUl8g==" saltValue="01Bfq/g5P+E77SoXsHZiYA==" spinCount="100000" sheet="1" objects="1" scenarios="1"/>
  <mergeCells count="4">
    <mergeCell ref="B5:N5"/>
    <mergeCell ref="B6:N6"/>
    <mergeCell ref="O6:Q6"/>
    <mergeCell ref="R6:S6"/>
  </mergeCells>
  <conditionalFormatting sqref="D17:D72">
    <cfRule type="duplicateValues" dxfId="4" priority="3"/>
  </conditionalFormatting>
  <conditionalFormatting sqref="D76:D77">
    <cfRule type="duplicateValues" dxfId="3" priority="1"/>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870FF-C818-4A79-92A5-1F0334319D95}">
  <sheetPr>
    <tabColor rgb="FFFF0000"/>
  </sheetPr>
  <dimension ref="A2:J28"/>
  <sheetViews>
    <sheetView showGridLines="0" workbookViewId="0">
      <selection activeCell="F22" sqref="F22"/>
    </sheetView>
  </sheetViews>
  <sheetFormatPr baseColWidth="10" defaultRowHeight="14.4"/>
  <cols>
    <col min="2" max="2" width="25" customWidth="1"/>
    <col min="3" max="3" width="23.6640625" customWidth="1"/>
    <col min="5" max="5" width="17.6640625" customWidth="1"/>
    <col min="8" max="8" width="19.33203125" bestFit="1" customWidth="1"/>
    <col min="9" max="9" width="12.21875" bestFit="1" customWidth="1"/>
    <col min="10" max="10" width="15" customWidth="1"/>
  </cols>
  <sheetData>
    <row r="2" spans="1:10">
      <c r="A2" s="1236" t="s">
        <v>2802</v>
      </c>
      <c r="B2" s="1237"/>
      <c r="C2" s="1237"/>
      <c r="D2" s="1238"/>
      <c r="E2" s="1239"/>
    </row>
    <row r="3" spans="1:10">
      <c r="A3" s="1236"/>
      <c r="B3" s="1240"/>
      <c r="C3" s="1241"/>
      <c r="D3" s="1242"/>
      <c r="E3" s="1243"/>
      <c r="H3" t="s">
        <v>634</v>
      </c>
      <c r="I3" t="s">
        <v>640</v>
      </c>
    </row>
    <row r="4" spans="1:10">
      <c r="A4" s="1236"/>
      <c r="B4" s="1237"/>
      <c r="C4" s="1237"/>
      <c r="D4" s="1244"/>
      <c r="E4" s="1243"/>
      <c r="G4" s="1237" t="s">
        <v>1281</v>
      </c>
      <c r="H4" s="1249">
        <f>E11</f>
        <v>934246.5</v>
      </c>
      <c r="I4">
        <v>0</v>
      </c>
    </row>
    <row r="5" spans="1:10">
      <c r="A5" s="1236"/>
      <c r="B5" s="1240"/>
      <c r="C5" s="1237"/>
      <c r="D5" s="1244"/>
      <c r="E5" s="1243"/>
      <c r="G5" s="1237" t="s">
        <v>2804</v>
      </c>
      <c r="H5" s="1249">
        <f>+E8</f>
        <v>18820848.5</v>
      </c>
      <c r="I5" s="1249">
        <f>+E22</f>
        <v>368147.53259999998</v>
      </c>
    </row>
    <row r="6" spans="1:10">
      <c r="A6" s="1236"/>
      <c r="B6" s="1237"/>
      <c r="C6" s="1237"/>
      <c r="D6" s="1244"/>
      <c r="E6" s="1243"/>
      <c r="G6" s="1237" t="s">
        <v>2806</v>
      </c>
      <c r="H6" s="1249"/>
    </row>
    <row r="7" spans="1:10">
      <c r="A7" s="1236"/>
      <c r="B7" s="1237" t="s">
        <v>2804</v>
      </c>
      <c r="C7" s="1237"/>
      <c r="D7" s="1244"/>
      <c r="E7" s="1243"/>
      <c r="G7" s="1237" t="s">
        <v>2807</v>
      </c>
      <c r="H7" s="1249">
        <f>+E15</f>
        <v>858025195</v>
      </c>
      <c r="I7" s="1249">
        <f>+D25</f>
        <v>80234.36</v>
      </c>
    </row>
    <row r="8" spans="1:10" ht="15" thickBot="1">
      <c r="A8" s="1236"/>
      <c r="B8" s="1240" t="s">
        <v>2803</v>
      </c>
      <c r="C8" s="1379" t="s">
        <v>3026</v>
      </c>
      <c r="D8" s="1244">
        <v>2403.2976174970568</v>
      </c>
      <c r="E8" s="1243">
        <v>18820848.5</v>
      </c>
      <c r="H8" s="1250">
        <f>SUM(H4:H7)</f>
        <v>877780290</v>
      </c>
      <c r="I8" s="1250">
        <f>SUM(I4:I7)</f>
        <v>448381.89259999996</v>
      </c>
      <c r="J8" s="1249">
        <f>+H8+I8</f>
        <v>878228671.89260006</v>
      </c>
    </row>
    <row r="9" spans="1:10" ht="15" thickTop="1">
      <c r="A9" s="1236"/>
      <c r="B9" s="1237"/>
      <c r="C9" s="1237"/>
      <c r="D9" s="1244"/>
      <c r="E9" s="1243"/>
      <c r="J9" s="1249">
        <f>+J8-E27</f>
        <v>-643166311.63999987</v>
      </c>
    </row>
    <row r="10" spans="1:10">
      <c r="A10" s="1236"/>
      <c r="B10" s="1237" t="s">
        <v>1281</v>
      </c>
      <c r="C10" s="1237"/>
      <c r="D10" s="1242"/>
      <c r="E10" s="1243"/>
    </row>
    <row r="11" spans="1:10">
      <c r="A11" s="1236"/>
      <c r="B11" s="1240" t="s">
        <v>2805</v>
      </c>
      <c r="C11" s="1379" t="s">
        <v>3026</v>
      </c>
      <c r="D11" s="1242">
        <v>119.29708629262724</v>
      </c>
      <c r="E11" s="1243">
        <v>934246.5</v>
      </c>
    </row>
    <row r="12" spans="1:10">
      <c r="A12" s="1236"/>
      <c r="B12" s="1240"/>
      <c r="C12" s="1240"/>
      <c r="D12" s="1242"/>
      <c r="E12" s="1243"/>
    </row>
    <row r="13" spans="1:10">
      <c r="A13" s="1236"/>
      <c r="B13" s="1237" t="s">
        <v>2807</v>
      </c>
      <c r="D13" s="1244"/>
      <c r="E13" s="1243"/>
    </row>
    <row r="14" spans="1:10">
      <c r="A14" s="1236"/>
      <c r="B14" t="s">
        <v>3153</v>
      </c>
      <c r="C14" s="1380" t="s">
        <v>3027</v>
      </c>
      <c r="D14" s="1244">
        <v>1903.9607930269203</v>
      </c>
      <c r="E14" s="1243">
        <v>14910412</v>
      </c>
    </row>
    <row r="15" spans="1:10">
      <c r="A15" s="1236"/>
      <c r="B15" t="s">
        <v>3151</v>
      </c>
      <c r="C15" s="1380" t="s">
        <v>3027</v>
      </c>
      <c r="D15" s="1244">
        <v>109564.13</v>
      </c>
      <c r="E15" s="1243">
        <v>858025195</v>
      </c>
    </row>
    <row r="16" spans="1:10">
      <c r="A16" s="1236"/>
      <c r="B16" s="1241"/>
      <c r="C16" s="1241"/>
      <c r="D16" s="1242"/>
      <c r="E16" s="1243"/>
    </row>
    <row r="17" spans="1:5">
      <c r="A17" s="1236"/>
      <c r="B17" s="1240"/>
      <c r="C17" s="1241"/>
      <c r="D17" s="1245"/>
      <c r="E17" s="1243"/>
    </row>
    <row r="18" spans="1:5">
      <c r="A18" s="1236" t="s">
        <v>2808</v>
      </c>
      <c r="B18" s="1237"/>
      <c r="C18" s="1237"/>
      <c r="D18" s="1238"/>
      <c r="E18" s="1239"/>
    </row>
    <row r="19" spans="1:5">
      <c r="A19" s="1236"/>
      <c r="B19" s="1237"/>
      <c r="C19" s="1237"/>
      <c r="D19" s="1238"/>
      <c r="E19" s="1239"/>
    </row>
    <row r="20" spans="1:5">
      <c r="A20" s="1236"/>
      <c r="B20" s="1237"/>
      <c r="C20" s="1237"/>
      <c r="D20" s="1246"/>
      <c r="E20" s="1243"/>
    </row>
    <row r="21" spans="1:5">
      <c r="A21" s="1236"/>
      <c r="B21" s="1237" t="s">
        <v>2804</v>
      </c>
      <c r="C21" s="1237"/>
      <c r="D21" s="1246"/>
      <c r="E21" s="1243"/>
    </row>
    <row r="22" spans="1:5">
      <c r="A22" s="1236"/>
      <c r="B22" s="1240" t="s">
        <v>2809</v>
      </c>
      <c r="C22" s="1379" t="s">
        <v>3026</v>
      </c>
      <c r="D22" s="1246">
        <v>47.01</v>
      </c>
      <c r="E22" s="1247">
        <v>368147.53259999998</v>
      </c>
    </row>
    <row r="23" spans="1:5">
      <c r="A23" s="1236"/>
      <c r="B23" s="1240"/>
      <c r="C23" s="1379"/>
      <c r="D23" s="1246"/>
      <c r="E23" s="1247"/>
    </row>
    <row r="24" spans="1:5">
      <c r="A24" s="1236"/>
      <c r="B24" s="1237" t="s">
        <v>2807</v>
      </c>
      <c r="C24" s="1237"/>
      <c r="D24" s="1246"/>
      <c r="E24" s="1243"/>
    </row>
    <row r="25" spans="1:5">
      <c r="A25" s="1236"/>
      <c r="B25" t="s">
        <v>3152</v>
      </c>
      <c r="C25" s="1379" t="s">
        <v>3026</v>
      </c>
      <c r="D25" s="1246">
        <v>80234.36</v>
      </c>
      <c r="E25" s="1247">
        <v>628336134</v>
      </c>
    </row>
    <row r="26" spans="1:5">
      <c r="A26" s="1236"/>
      <c r="B26" s="1240"/>
      <c r="C26" s="1248"/>
      <c r="D26" s="1238"/>
      <c r="E26" s="1243">
        <v>0</v>
      </c>
    </row>
    <row r="27" spans="1:5" ht="15" thickBot="1">
      <c r="E27" s="1250">
        <f>SUM(E4:E26)</f>
        <v>1521394983.5325999</v>
      </c>
    </row>
    <row r="28" spans="1:5" ht="15" thickTop="1"/>
  </sheetData>
  <sheetProtection algorithmName="SHA-512" hashValue="SFqYv1CvFzLGeN7qj38RL46xmqVE5TxLzHYy6nGnb0gMlBqheQH/bKWzWJpSeX7jBQUZn6W6VBFmcc/RMgWZkg==" saltValue="w6VOkjipmuSGEX6oDZgmh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515AE-0D4C-4B30-9EF6-17463BB3156C}">
  <sheetPr codeName="Hoja4">
    <tabColor theme="5" tint="0.59999389629810485"/>
  </sheetPr>
  <dimension ref="A1:I796"/>
  <sheetViews>
    <sheetView showGridLines="0" zoomScale="85" zoomScaleNormal="85" workbookViewId="0">
      <pane ySplit="1" topLeftCell="A2" activePane="bottomLeft" state="frozen"/>
      <selection activeCell="D1788" activeCellId="4" sqref="J1791 H1774 H1771 H1770 D1788"/>
      <selection pane="bottomLeft" activeCell="C1" sqref="C1"/>
    </sheetView>
  </sheetViews>
  <sheetFormatPr baseColWidth="10" defaultColWidth="11.5546875" defaultRowHeight="13.8"/>
  <cols>
    <col min="1" max="1" width="3.44140625" style="13" customWidth="1"/>
    <col min="2" max="2" width="11.33203125" style="32" customWidth="1"/>
    <col min="3" max="3" width="57.33203125" style="32" customWidth="1"/>
    <col min="4" max="5" width="16.109375" style="32" customWidth="1"/>
    <col min="6" max="6" width="18.109375" style="45" bestFit="1" customWidth="1"/>
    <col min="7" max="7" width="16.6640625" style="45" customWidth="1"/>
    <col min="8" max="8" width="21" style="13" customWidth="1"/>
    <col min="9" max="9" width="14" style="13" bestFit="1" customWidth="1"/>
    <col min="10" max="16384" width="11.5546875" style="13"/>
  </cols>
  <sheetData>
    <row r="1" spans="1:7" ht="19.5" customHeight="1">
      <c r="B1" s="34"/>
      <c r="C1" s="332" t="s">
        <v>0</v>
      </c>
      <c r="D1" s="1468" t="s">
        <v>1</v>
      </c>
      <c r="E1" s="1469"/>
    </row>
    <row r="2" spans="1:7" ht="20.85" customHeight="1">
      <c r="C2" s="333" t="s">
        <v>2</v>
      </c>
      <c r="D2" s="1470" t="s">
        <v>3</v>
      </c>
      <c r="E2" s="1471"/>
    </row>
    <row r="3" spans="1:7" ht="15.75" customHeight="1">
      <c r="C3" s="334" t="s">
        <v>4</v>
      </c>
    </row>
    <row r="4" spans="1:7" ht="14.25" customHeight="1">
      <c r="A4" s="336" t="s">
        <v>5</v>
      </c>
      <c r="B4" s="336" t="s">
        <v>6</v>
      </c>
      <c r="C4" s="336" t="s">
        <v>7</v>
      </c>
      <c r="D4" s="337" t="s">
        <v>8</v>
      </c>
      <c r="E4" s="338" t="s">
        <v>9</v>
      </c>
    </row>
    <row r="5" spans="1:7" ht="7.5" customHeight="1">
      <c r="B5" s="335"/>
      <c r="C5" s="335"/>
      <c r="D5" s="335"/>
      <c r="E5" s="335"/>
    </row>
    <row r="6" spans="1:7" s="31" customFormat="1" ht="16.5" customHeight="1">
      <c r="A6" s="31" t="str">
        <f>IF(LEN(B6)&gt;8,"I","NI")</f>
        <v>NI</v>
      </c>
      <c r="B6" s="339">
        <v>1</v>
      </c>
      <c r="C6" s="339" t="s">
        <v>10</v>
      </c>
      <c r="D6" s="340">
        <v>73116587840</v>
      </c>
      <c r="E6" s="341">
        <v>10070993.09</v>
      </c>
      <c r="F6" s="1048">
        <f>+D6-D228-D294</f>
        <v>0</v>
      </c>
      <c r="G6" s="1048">
        <f>+E6-E220-E296</f>
        <v>2469179.0499999998</v>
      </c>
    </row>
    <row r="7" spans="1:7" s="14" customFormat="1" ht="16.5" customHeight="1">
      <c r="A7" s="31" t="str">
        <f t="shared" ref="A7:A70" si="0">IF(LEN(B7)&gt;8,"I","NI")</f>
        <v>NI</v>
      </c>
      <c r="B7" s="342">
        <v>11</v>
      </c>
      <c r="C7" s="342" t="s">
        <v>11</v>
      </c>
      <c r="D7" s="340">
        <v>69368814612</v>
      </c>
      <c r="E7" s="341">
        <v>9550224.1959996223</v>
      </c>
      <c r="F7" s="1058">
        <f>+VLOOKUP(B7,Composición!$C$5:$D$1768,1,0)</f>
        <v>11</v>
      </c>
      <c r="G7" s="1049"/>
    </row>
    <row r="8" spans="1:7" s="14" customFormat="1" ht="16.5" customHeight="1">
      <c r="A8" s="31" t="str">
        <f t="shared" si="0"/>
        <v>NI</v>
      </c>
      <c r="B8" s="346">
        <v>111</v>
      </c>
      <c r="C8" s="346" t="s">
        <v>12</v>
      </c>
      <c r="D8" s="340">
        <v>4977928582</v>
      </c>
      <c r="E8" s="341">
        <v>685326.20900011063</v>
      </c>
      <c r="F8" s="1058">
        <f>+VLOOKUP(B8,Composición!$C$5:$D$1768,1,0)</f>
        <v>111</v>
      </c>
      <c r="G8" s="1049"/>
    </row>
    <row r="9" spans="1:7" s="14" customFormat="1" ht="16.5" customHeight="1">
      <c r="A9" s="31" t="str">
        <f t="shared" si="0"/>
        <v>NI</v>
      </c>
      <c r="B9" s="346">
        <v>11114</v>
      </c>
      <c r="C9" s="346" t="s">
        <v>13</v>
      </c>
      <c r="D9" s="340">
        <v>4977928582</v>
      </c>
      <c r="E9" s="341">
        <v>685326.20900011063</v>
      </c>
      <c r="F9" s="1058">
        <f>+VLOOKUP(B9,Composición!$C$5:$D$1768,1,0)</f>
        <v>11114</v>
      </c>
      <c r="G9" s="1049"/>
    </row>
    <row r="10" spans="1:7" s="14" customFormat="1" ht="16.5" customHeight="1">
      <c r="A10" s="31" t="str">
        <f t="shared" si="0"/>
        <v>NI</v>
      </c>
      <c r="B10" s="346">
        <v>111141</v>
      </c>
      <c r="C10" s="346" t="s">
        <v>14</v>
      </c>
      <c r="D10" s="340">
        <v>4849763917</v>
      </c>
      <c r="E10" s="341">
        <v>667681.39899969101</v>
      </c>
      <c r="F10" s="1058">
        <f>+VLOOKUP(B10,Composición!$C$5:$D$1768,1,0)</f>
        <v>111141</v>
      </c>
      <c r="G10" s="1049"/>
    </row>
    <row r="11" spans="1:7" s="14" customFormat="1" ht="16.5" customHeight="1">
      <c r="A11" s="31" t="str">
        <f t="shared" si="0"/>
        <v>NI</v>
      </c>
      <c r="B11" s="346">
        <v>1111411</v>
      </c>
      <c r="C11" s="346" t="s">
        <v>15</v>
      </c>
      <c r="D11" s="340">
        <v>2390461003</v>
      </c>
      <c r="E11" s="341">
        <v>329101.85899972916</v>
      </c>
      <c r="F11" s="1058">
        <f>+VLOOKUP(B11,Composición!$C$5:$D$1768,1,0)</f>
        <v>1111411</v>
      </c>
      <c r="G11" s="1049"/>
    </row>
    <row r="12" spans="1:7" s="14" customFormat="1" ht="16.5" customHeight="1">
      <c r="A12" s="31" t="str">
        <f t="shared" si="0"/>
        <v>NI</v>
      </c>
      <c r="B12" s="346">
        <v>11114112</v>
      </c>
      <c r="C12" s="346" t="s">
        <v>16</v>
      </c>
      <c r="D12" s="340">
        <v>2349438791</v>
      </c>
      <c r="E12" s="341">
        <v>323454.21000000089</v>
      </c>
      <c r="F12" s="1058">
        <f>+VLOOKUP(B12,Composición!$C$5:$D$1768,1,0)</f>
        <v>11114112</v>
      </c>
      <c r="G12" s="1049"/>
    </row>
    <row r="13" spans="1:7" s="14" customFormat="1" ht="16.5" customHeight="1">
      <c r="A13" s="14" t="str">
        <f t="shared" si="0"/>
        <v>I</v>
      </c>
      <c r="B13" s="343">
        <v>1111411201</v>
      </c>
      <c r="C13" s="343" t="s">
        <v>17</v>
      </c>
      <c r="D13" s="347">
        <v>638998663</v>
      </c>
      <c r="E13" s="348">
        <v>87972.839999999851</v>
      </c>
      <c r="F13" s="1058">
        <f>+VLOOKUP(B13,Composición!$C$5:$D$1768,1,0)</f>
        <v>1111411201</v>
      </c>
      <c r="G13" s="1049">
        <f>+D13-F13</f>
        <v>-472412538</v>
      </c>
    </row>
    <row r="14" spans="1:7" s="14" customFormat="1" ht="16.5" customHeight="1">
      <c r="A14" s="14" t="str">
        <f t="shared" si="0"/>
        <v>I</v>
      </c>
      <c r="B14" s="343">
        <v>1111411202</v>
      </c>
      <c r="C14" s="343" t="s">
        <v>18</v>
      </c>
      <c r="D14" s="347">
        <v>1710440128</v>
      </c>
      <c r="E14" s="348">
        <v>235481.37000000008</v>
      </c>
      <c r="F14" s="1058">
        <f>+VLOOKUP(B14,Composición!$C$5:$D$1768,1,0)</f>
        <v>1111411202</v>
      </c>
      <c r="G14" s="1049">
        <f>+D14-F14</f>
        <v>599028926</v>
      </c>
    </row>
    <row r="15" spans="1:7" s="14" customFormat="1" ht="16.5" customHeight="1">
      <c r="A15" s="31" t="str">
        <f t="shared" si="0"/>
        <v>NI</v>
      </c>
      <c r="B15" s="346">
        <v>11114113</v>
      </c>
      <c r="C15" s="346" t="s">
        <v>19</v>
      </c>
      <c r="D15" s="340">
        <v>41022212</v>
      </c>
      <c r="E15" s="341">
        <v>5647.6499998569489</v>
      </c>
      <c r="F15" s="1058">
        <f>+VLOOKUP(B15,Composición!$C$5:$D$1768,1,0)</f>
        <v>11114113</v>
      </c>
      <c r="G15" s="1049"/>
    </row>
    <row r="16" spans="1:7" s="14" customFormat="1" ht="16.5" customHeight="1">
      <c r="A16" s="14" t="str">
        <f t="shared" si="0"/>
        <v>I</v>
      </c>
      <c r="B16" s="343">
        <v>1111411302</v>
      </c>
      <c r="C16" s="343" t="s">
        <v>18</v>
      </c>
      <c r="D16" s="347">
        <v>41022212</v>
      </c>
      <c r="E16" s="348">
        <v>5647.6500000059605</v>
      </c>
      <c r="F16" s="1058">
        <f>+VLOOKUP(B16,Composición!$C$5:$D$1768,1,0)</f>
        <v>1111411302</v>
      </c>
      <c r="G16" s="1049">
        <f t="shared" ref="G16:G17" si="1">+D16-F16</f>
        <v>-1070389090</v>
      </c>
    </row>
    <row r="17" spans="1:7" s="14" customFormat="1" ht="16.5" customHeight="1">
      <c r="A17" s="14" t="str">
        <f t="shared" si="0"/>
        <v>NI</v>
      </c>
      <c r="B17" s="343">
        <v>1111412</v>
      </c>
      <c r="C17" s="343" t="s">
        <v>20</v>
      </c>
      <c r="D17" s="347">
        <v>2459302914</v>
      </c>
      <c r="E17" s="348">
        <v>338579.54000000656</v>
      </c>
      <c r="F17" s="1058">
        <f>+VLOOKUP(B17,Composición!$C$5:$D$1768,1,0)</f>
        <v>1111412</v>
      </c>
      <c r="G17" s="1049">
        <f t="shared" si="1"/>
        <v>2458191502</v>
      </c>
    </row>
    <row r="18" spans="1:7" s="14" customFormat="1" ht="16.5" customHeight="1">
      <c r="A18" s="31" t="str">
        <f t="shared" si="0"/>
        <v>NI</v>
      </c>
      <c r="B18" s="343">
        <v>11114122</v>
      </c>
      <c r="C18" s="343" t="s">
        <v>21</v>
      </c>
      <c r="D18" s="347">
        <v>43306581</v>
      </c>
      <c r="E18" s="348">
        <v>5962.1499999985099</v>
      </c>
      <c r="F18" s="1058">
        <f>+VLOOKUP(B18,Composición!$C$5:$D$1768,1,0)</f>
        <v>11114122</v>
      </c>
      <c r="G18" s="1049"/>
    </row>
    <row r="19" spans="1:7" s="14" customFormat="1" ht="16.5" customHeight="1">
      <c r="A19" s="14" t="str">
        <f t="shared" si="0"/>
        <v>I</v>
      </c>
      <c r="B19" s="343">
        <v>1111412201</v>
      </c>
      <c r="C19" s="343" t="s">
        <v>17</v>
      </c>
      <c r="D19" s="347">
        <v>6117000</v>
      </c>
      <c r="E19" s="348">
        <v>842.15000000223517</v>
      </c>
      <c r="F19" s="1058">
        <f>+VLOOKUP(B19,Composición!$C$5:$D$1768,1,0)</f>
        <v>1111412201</v>
      </c>
      <c r="G19" s="1049">
        <f>+D19-F19</f>
        <v>-1105295201</v>
      </c>
    </row>
    <row r="20" spans="1:7" s="14" customFormat="1" ht="16.5" customHeight="1">
      <c r="A20" s="31" t="str">
        <f t="shared" si="0"/>
        <v>I</v>
      </c>
      <c r="B20" s="343">
        <v>1111412202</v>
      </c>
      <c r="C20" s="343" t="s">
        <v>18</v>
      </c>
      <c r="D20" s="347">
        <v>37189581</v>
      </c>
      <c r="E20" s="348">
        <v>5120</v>
      </c>
      <c r="F20" s="1058">
        <f>+VLOOKUP(B20,Composición!$C$5:$D$1768,1,0)</f>
        <v>1111412202</v>
      </c>
      <c r="G20" s="1049"/>
    </row>
    <row r="21" spans="1:7" s="14" customFormat="1" ht="16.5" customHeight="1">
      <c r="A21" s="31" t="str">
        <f t="shared" si="0"/>
        <v>NI</v>
      </c>
      <c r="B21" s="343">
        <v>11114123</v>
      </c>
      <c r="C21" s="343" t="s">
        <v>22</v>
      </c>
      <c r="D21" s="347">
        <v>2415996333</v>
      </c>
      <c r="E21" s="348">
        <v>332617.3900000006</v>
      </c>
      <c r="F21" s="1058">
        <f>+VLOOKUP(B21,Composición!$C$5:$D$1768,1,0)</f>
        <v>11114123</v>
      </c>
      <c r="G21" s="1049"/>
    </row>
    <row r="22" spans="1:7" s="14" customFormat="1" ht="16.5" customHeight="1">
      <c r="A22" s="14" t="str">
        <f t="shared" si="0"/>
        <v>I</v>
      </c>
      <c r="B22" s="343">
        <v>1111412301</v>
      </c>
      <c r="C22" s="343" t="s">
        <v>17</v>
      </c>
      <c r="D22" s="347">
        <v>13911138</v>
      </c>
      <c r="E22" s="348">
        <v>1915.1899999976156</v>
      </c>
      <c r="F22" s="1058">
        <f>+VLOOKUP(B22,Composición!$C$5:$D$1768,1,0)</f>
        <v>1111412301</v>
      </c>
      <c r="G22" s="1049">
        <f t="shared" ref="G22:G23" si="2">+D22-F22</f>
        <v>-1097501163</v>
      </c>
    </row>
    <row r="23" spans="1:7" s="14" customFormat="1" ht="16.5" customHeight="1">
      <c r="A23" s="14" t="str">
        <f t="shared" si="0"/>
        <v>I</v>
      </c>
      <c r="B23" s="343">
        <v>1111412302</v>
      </c>
      <c r="C23" s="343" t="s">
        <v>18</v>
      </c>
      <c r="D23" s="347">
        <v>2402085195</v>
      </c>
      <c r="E23" s="348">
        <v>330702.19999999925</v>
      </c>
      <c r="F23" s="1058">
        <f>+VLOOKUP(B23,Composición!$C$5:$D$1768,1,0)</f>
        <v>1111412302</v>
      </c>
      <c r="G23" s="1049">
        <f t="shared" si="2"/>
        <v>1290672893</v>
      </c>
    </row>
    <row r="24" spans="1:7" s="14" customFormat="1" ht="16.5" customHeight="1">
      <c r="A24" s="31" t="str">
        <f t="shared" si="0"/>
        <v>NI</v>
      </c>
      <c r="B24" s="346">
        <v>111142</v>
      </c>
      <c r="C24" s="346" t="s">
        <v>23</v>
      </c>
      <c r="D24" s="340">
        <v>128164665</v>
      </c>
      <c r="E24" s="341">
        <v>17644.809999994934</v>
      </c>
      <c r="F24" s="1058">
        <f>+VLOOKUP(B24,Composición!$C$5:$D$1768,1,0)</f>
        <v>111142</v>
      </c>
      <c r="G24" s="1049"/>
    </row>
    <row r="25" spans="1:7" s="14" customFormat="1" ht="16.5" customHeight="1">
      <c r="A25" s="14" t="str">
        <f t="shared" si="0"/>
        <v>NI</v>
      </c>
      <c r="B25" s="343">
        <v>1111421</v>
      </c>
      <c r="C25" s="343" t="s">
        <v>24</v>
      </c>
      <c r="D25" s="347">
        <v>128164665</v>
      </c>
      <c r="E25" s="348">
        <v>17644.809999994934</v>
      </c>
      <c r="F25" s="1058">
        <f>+VLOOKUP(B25,Composición!$C$5:$D$1768,1,0)</f>
        <v>1111421</v>
      </c>
      <c r="G25" s="1049">
        <f t="shared" ref="G25:G26" si="3">+D25-F25</f>
        <v>127053244</v>
      </c>
    </row>
    <row r="26" spans="1:7" s="14" customFormat="1" ht="16.5" customHeight="1">
      <c r="A26" s="14" t="str">
        <f t="shared" si="0"/>
        <v>NI</v>
      </c>
      <c r="B26" s="343">
        <v>11114211</v>
      </c>
      <c r="C26" s="343" t="s">
        <v>25</v>
      </c>
      <c r="D26" s="347">
        <v>128164665</v>
      </c>
      <c r="E26" s="348">
        <v>17644.809999994934</v>
      </c>
      <c r="F26" s="1058">
        <f>+VLOOKUP(B26,Composición!$C$5:$D$1768,1,0)</f>
        <v>11114211</v>
      </c>
      <c r="G26" s="1049">
        <f t="shared" si="3"/>
        <v>117050454</v>
      </c>
    </row>
    <row r="27" spans="1:7" s="14" customFormat="1" ht="16.5" customHeight="1">
      <c r="A27" s="31" t="str">
        <f t="shared" si="0"/>
        <v>I</v>
      </c>
      <c r="B27" s="346">
        <v>1111421101</v>
      </c>
      <c r="C27" s="346" t="s">
        <v>18</v>
      </c>
      <c r="D27" s="340">
        <v>128164665</v>
      </c>
      <c r="E27" s="341">
        <v>17644.809999994934</v>
      </c>
      <c r="F27" s="1058">
        <f>+VLOOKUP(B27,Composición!$C$5:$D$1768,1,0)</f>
        <v>1111421101</v>
      </c>
      <c r="G27" s="1049"/>
    </row>
    <row r="28" spans="1:7" s="14" customFormat="1" ht="16.5" customHeight="1">
      <c r="A28" s="31" t="str">
        <f t="shared" si="0"/>
        <v>NI</v>
      </c>
      <c r="B28" s="346">
        <v>112</v>
      </c>
      <c r="C28" s="346" t="s">
        <v>26</v>
      </c>
      <c r="D28" s="340">
        <v>1953980292</v>
      </c>
      <c r="E28" s="341">
        <v>269010.84600001574</v>
      </c>
      <c r="F28" s="1058">
        <f>+VLOOKUP(B28,Composición!$C$5:$D$1768,1,0)</f>
        <v>112</v>
      </c>
      <c r="G28" s="1049"/>
    </row>
    <row r="29" spans="1:7" s="14" customFormat="1" ht="16.5" customHeight="1">
      <c r="A29" s="31" t="str">
        <f t="shared" si="0"/>
        <v>NI</v>
      </c>
      <c r="B29" s="346">
        <v>11201</v>
      </c>
      <c r="C29" s="346" t="s">
        <v>27</v>
      </c>
      <c r="D29" s="340">
        <v>339579535</v>
      </c>
      <c r="E29" s="341">
        <v>46750.979999989271</v>
      </c>
      <c r="F29" s="1058">
        <f>+VLOOKUP(B29,Composición!$C$5:$D$1768,1,0)</f>
        <v>11201</v>
      </c>
      <c r="G29" s="1049"/>
    </row>
    <row r="30" spans="1:7" s="14" customFormat="1" ht="16.5" customHeight="1">
      <c r="A30" s="14" t="str">
        <f t="shared" si="0"/>
        <v>NI</v>
      </c>
      <c r="B30" s="343">
        <v>112011</v>
      </c>
      <c r="C30" s="343" t="s">
        <v>28</v>
      </c>
      <c r="D30" s="347">
        <v>339579535</v>
      </c>
      <c r="E30" s="348">
        <v>46750.979999989271</v>
      </c>
      <c r="F30" s="1058">
        <f>+VLOOKUP(B30,Composición!$C$5:$D$1768,1,0)</f>
        <v>112011</v>
      </c>
      <c r="G30" s="1049">
        <f>+D30-F30</f>
        <v>339467524</v>
      </c>
    </row>
    <row r="31" spans="1:7" s="14" customFormat="1" ht="16.5" customHeight="1">
      <c r="A31" s="31" t="str">
        <f t="shared" si="0"/>
        <v>NI</v>
      </c>
      <c r="B31" s="343">
        <v>1120112</v>
      </c>
      <c r="C31" s="343" t="s">
        <v>29</v>
      </c>
      <c r="D31" s="347">
        <v>339579535</v>
      </c>
      <c r="E31" s="348">
        <v>46750.980000004172</v>
      </c>
      <c r="F31" s="1058">
        <f>+VLOOKUP(B31,Composición!$C$5:$D$1768,1,0)</f>
        <v>1120112</v>
      </c>
      <c r="G31" s="1049"/>
    </row>
    <row r="32" spans="1:7" s="14" customFormat="1" ht="16.5" customHeight="1">
      <c r="A32" s="31" t="str">
        <f t="shared" si="0"/>
        <v>NI</v>
      </c>
      <c r="B32" s="346">
        <v>11201121</v>
      </c>
      <c r="C32" s="346" t="s">
        <v>30</v>
      </c>
      <c r="D32" s="340">
        <v>339579535</v>
      </c>
      <c r="E32" s="341">
        <v>46750.980000004172</v>
      </c>
      <c r="F32" s="1058">
        <f>+VLOOKUP(B32,Composición!$C$5:$D$1768,1,0)</f>
        <v>11201121</v>
      </c>
      <c r="G32" s="1049"/>
    </row>
    <row r="33" spans="1:7" s="14" customFormat="1" ht="16.5" customHeight="1">
      <c r="A33" s="31" t="str">
        <f t="shared" si="0"/>
        <v>I</v>
      </c>
      <c r="B33" s="343">
        <v>1120112101</v>
      </c>
      <c r="C33" s="343" t="s">
        <v>31</v>
      </c>
      <c r="D33" s="347">
        <v>2622463</v>
      </c>
      <c r="E33" s="348">
        <v>361.10000000149012</v>
      </c>
      <c r="F33" s="1058">
        <f>+VLOOKUP(B33,Composición!$C$5:$D$1768,1,0)</f>
        <v>1120112101</v>
      </c>
      <c r="G33" s="1049"/>
    </row>
    <row r="34" spans="1:7" s="14" customFormat="1" ht="16.5" customHeight="1">
      <c r="A34" s="31" t="str">
        <f t="shared" si="0"/>
        <v>I</v>
      </c>
      <c r="B34" s="343">
        <v>1120112102</v>
      </c>
      <c r="C34" s="343" t="s">
        <v>32</v>
      </c>
      <c r="D34" s="347">
        <v>336957072</v>
      </c>
      <c r="E34" s="348">
        <v>46389.880000002682</v>
      </c>
      <c r="F34" s="1058">
        <f>+VLOOKUP(B34,Composición!$C$5:$D$1768,1,0)</f>
        <v>1120112102</v>
      </c>
      <c r="G34" s="1049"/>
    </row>
    <row r="35" spans="1:7" s="14" customFormat="1" ht="16.5" customHeight="1">
      <c r="A35" s="31" t="str">
        <f t="shared" si="0"/>
        <v>NI</v>
      </c>
      <c r="B35" s="346">
        <v>11203</v>
      </c>
      <c r="C35" s="346" t="s">
        <v>33</v>
      </c>
      <c r="D35" s="340">
        <v>1533468339</v>
      </c>
      <c r="E35" s="341">
        <v>211117.1400000006</v>
      </c>
      <c r="F35" s="1058">
        <f>+VLOOKUP(B35,Composición!$C$5:$D$1768,1,0)</f>
        <v>11203</v>
      </c>
      <c r="G35" s="1049"/>
    </row>
    <row r="36" spans="1:7" s="14" customFormat="1" ht="16.5" customHeight="1">
      <c r="A36" s="14" t="str">
        <f t="shared" si="0"/>
        <v>NI</v>
      </c>
      <c r="B36" s="343">
        <v>112031</v>
      </c>
      <c r="C36" s="343" t="s">
        <v>33</v>
      </c>
      <c r="D36" s="347">
        <v>1533468339</v>
      </c>
      <c r="E36" s="348">
        <v>211117.1400000006</v>
      </c>
      <c r="F36" s="1058">
        <f>+VLOOKUP(B36,Composición!$C$5:$D$1768,1,0)</f>
        <v>112031</v>
      </c>
      <c r="G36" s="1049">
        <f t="shared" ref="G36:G37" si="4">+D36-F36</f>
        <v>1533356308</v>
      </c>
    </row>
    <row r="37" spans="1:7" s="14" customFormat="1" ht="16.5" customHeight="1">
      <c r="A37" s="14" t="str">
        <f t="shared" si="0"/>
        <v>NI</v>
      </c>
      <c r="B37" s="343">
        <v>1120311</v>
      </c>
      <c r="C37" s="343" t="s">
        <v>34</v>
      </c>
      <c r="D37" s="347">
        <v>1533468339</v>
      </c>
      <c r="E37" s="348">
        <v>211117.1400000006</v>
      </c>
      <c r="F37" s="1058">
        <f>+VLOOKUP(B37,Composición!$C$5:$D$1768,1,0)</f>
        <v>1120311</v>
      </c>
      <c r="G37" s="1049">
        <f t="shared" si="4"/>
        <v>1532348028</v>
      </c>
    </row>
    <row r="38" spans="1:7" s="14" customFormat="1" ht="16.5" customHeight="1">
      <c r="A38" s="31" t="str">
        <f t="shared" si="0"/>
        <v>NI</v>
      </c>
      <c r="B38" s="346">
        <v>11203111</v>
      </c>
      <c r="C38" s="346" t="s">
        <v>35</v>
      </c>
      <c r="D38" s="340">
        <v>1533468339</v>
      </c>
      <c r="E38" s="341">
        <v>211117.1400000006</v>
      </c>
      <c r="F38" s="1058">
        <f>+VLOOKUP(B38,Composición!$C$5:$D$1768,1,0)</f>
        <v>11203111</v>
      </c>
      <c r="G38" s="1049"/>
    </row>
    <row r="39" spans="1:7" s="14" customFormat="1" ht="16.5" customHeight="1">
      <c r="A39" s="14" t="str">
        <f t="shared" si="0"/>
        <v>I</v>
      </c>
      <c r="B39" s="343">
        <v>1120311101</v>
      </c>
      <c r="C39" s="343" t="s">
        <v>35</v>
      </c>
      <c r="D39" s="347">
        <v>276467848</v>
      </c>
      <c r="E39" s="348">
        <v>38062.150000000373</v>
      </c>
      <c r="F39" s="1058">
        <f>+VLOOKUP(B39,Composición!$C$5:$D$1768,1,0)</f>
        <v>1120311101</v>
      </c>
      <c r="G39" s="1049">
        <f>+D39-F39</f>
        <v>-843843253</v>
      </c>
    </row>
    <row r="40" spans="1:7" s="14" customFormat="1" ht="16.5" customHeight="1">
      <c r="A40" s="31" t="str">
        <f t="shared" si="0"/>
        <v>I</v>
      </c>
      <c r="B40" s="346">
        <v>1120311102</v>
      </c>
      <c r="C40" s="346" t="s">
        <v>35</v>
      </c>
      <c r="D40" s="340">
        <v>407124</v>
      </c>
      <c r="E40" s="341">
        <v>56.050000000000068</v>
      </c>
      <c r="F40" s="1058">
        <f>+VLOOKUP(B40,Composición!$C$5:$D$1768,1,0)</f>
        <v>1120311102</v>
      </c>
      <c r="G40" s="1049"/>
    </row>
    <row r="41" spans="1:7" s="14" customFormat="1" ht="16.5" customHeight="1">
      <c r="A41" s="31" t="str">
        <f t="shared" si="0"/>
        <v>I</v>
      </c>
      <c r="B41" s="346">
        <v>1120311103</v>
      </c>
      <c r="C41" s="346" t="s">
        <v>36</v>
      </c>
      <c r="D41" s="340">
        <v>710328394</v>
      </c>
      <c r="E41" s="341">
        <v>97793.020000000019</v>
      </c>
      <c r="F41" s="1058">
        <f>+VLOOKUP(B41,Composición!$C$5:$D$1768,1,0)</f>
        <v>1120311103</v>
      </c>
      <c r="G41" s="1049"/>
    </row>
    <row r="42" spans="1:7" s="14" customFormat="1" ht="16.5" customHeight="1">
      <c r="A42" s="31" t="str">
        <f t="shared" si="0"/>
        <v>I</v>
      </c>
      <c r="B42" s="346">
        <v>1120311104</v>
      </c>
      <c r="C42" s="346" t="s">
        <v>37</v>
      </c>
      <c r="D42" s="340">
        <v>428136805</v>
      </c>
      <c r="E42" s="341">
        <v>58942.864999999991</v>
      </c>
      <c r="F42" s="1058">
        <f>+VLOOKUP(B42,Composición!$C$5:$D$1768,1,0)</f>
        <v>1120311104</v>
      </c>
      <c r="G42" s="1049"/>
    </row>
    <row r="43" spans="1:7" s="14" customFormat="1" ht="16.5" customHeight="1">
      <c r="A43" s="31" t="str">
        <f t="shared" si="0"/>
        <v>I</v>
      </c>
      <c r="B43" s="346">
        <v>1120311105</v>
      </c>
      <c r="C43" s="346" t="s">
        <v>38</v>
      </c>
      <c r="D43" s="340">
        <v>112449166</v>
      </c>
      <c r="E43" s="341">
        <v>15481.209999999961</v>
      </c>
      <c r="F43" s="1058">
        <f>+VLOOKUP(B43,Composición!$C$5:$D$1768,1,0)</f>
        <v>1120311105</v>
      </c>
      <c r="G43" s="1049"/>
    </row>
    <row r="44" spans="1:7" s="14" customFormat="1" ht="16.5" customHeight="1">
      <c r="A44" s="14" t="str">
        <f t="shared" si="0"/>
        <v>I</v>
      </c>
      <c r="B44" s="343">
        <v>1120311106</v>
      </c>
      <c r="C44" s="343" t="s">
        <v>39</v>
      </c>
      <c r="D44" s="347">
        <v>5679002</v>
      </c>
      <c r="E44" s="348">
        <v>781.84499999999753</v>
      </c>
      <c r="F44" s="1058">
        <f>+VLOOKUP(B44,Composición!$C$5:$D$1768,1,0)</f>
        <v>1120311106</v>
      </c>
      <c r="G44" s="1049">
        <f>+D44-F44</f>
        <v>-1114632104</v>
      </c>
    </row>
    <row r="45" spans="1:7" s="14" customFormat="1" ht="16.5" customHeight="1">
      <c r="A45" s="31" t="str">
        <f t="shared" si="0"/>
        <v>NI</v>
      </c>
      <c r="B45" s="343">
        <v>11211</v>
      </c>
      <c r="C45" s="343" t="s">
        <v>40</v>
      </c>
      <c r="D45" s="347">
        <v>57790706</v>
      </c>
      <c r="E45" s="348">
        <v>7956.2199999999875</v>
      </c>
      <c r="F45" s="1058">
        <f>+VLOOKUP(B45,Composición!$C$5:$D$1768,1,0)</f>
        <v>11211</v>
      </c>
      <c r="G45" s="1049"/>
    </row>
    <row r="46" spans="1:7" s="14" customFormat="1" ht="16.5" customHeight="1">
      <c r="A46" s="31" t="str">
        <f t="shared" si="0"/>
        <v>NI</v>
      </c>
      <c r="B46" s="343">
        <v>112111</v>
      </c>
      <c r="C46" s="343" t="s">
        <v>40</v>
      </c>
      <c r="D46" s="347">
        <v>57790706</v>
      </c>
      <c r="E46" s="348">
        <v>7956.2199999999875</v>
      </c>
      <c r="F46" s="1058">
        <f>+VLOOKUP(B46,Composición!$C$5:$D$1768,1,0)</f>
        <v>112111</v>
      </c>
      <c r="G46" s="1049"/>
    </row>
    <row r="47" spans="1:7" s="14" customFormat="1" ht="16.5" customHeight="1">
      <c r="A47" s="31" t="str">
        <f t="shared" si="0"/>
        <v>NI</v>
      </c>
      <c r="B47" s="343">
        <v>1121111</v>
      </c>
      <c r="C47" s="343" t="s">
        <v>40</v>
      </c>
      <c r="D47" s="347">
        <v>57790706</v>
      </c>
      <c r="E47" s="348">
        <v>7956.2199999999875</v>
      </c>
      <c r="F47" s="1058">
        <f>+VLOOKUP(B47,Composición!$C$5:$D$1768,1,0)</f>
        <v>1121111</v>
      </c>
      <c r="G47" s="1049"/>
    </row>
    <row r="48" spans="1:7" s="14" customFormat="1" ht="16.5" customHeight="1">
      <c r="A48" s="31" t="str">
        <f t="shared" si="0"/>
        <v>NI</v>
      </c>
      <c r="B48" s="343">
        <v>11211111</v>
      </c>
      <c r="C48" s="343" t="s">
        <v>40</v>
      </c>
      <c r="D48" s="347">
        <v>57790706</v>
      </c>
      <c r="E48" s="348">
        <v>7956.2199999999875</v>
      </c>
      <c r="F48" s="1058">
        <f>+VLOOKUP(B48,Composición!$C$5:$D$1768,1,0)</f>
        <v>11211111</v>
      </c>
      <c r="G48" s="1049"/>
    </row>
    <row r="49" spans="1:7" s="14" customFormat="1" ht="16.5" customHeight="1">
      <c r="A49" s="14" t="str">
        <f t="shared" si="0"/>
        <v>I</v>
      </c>
      <c r="B49" s="343">
        <v>1121111101</v>
      </c>
      <c r="C49" s="343" t="s">
        <v>41</v>
      </c>
      <c r="D49" s="347">
        <v>21303988</v>
      </c>
      <c r="E49" s="348">
        <v>2932.9799999999996</v>
      </c>
      <c r="F49" s="1058">
        <f>+VLOOKUP(B49,Composición!$C$5:$D$1768,1,0)</f>
        <v>1121111101</v>
      </c>
      <c r="G49" s="1049">
        <f t="shared" ref="G49:G54" si="5">+D49-F49</f>
        <v>-1099807113</v>
      </c>
    </row>
    <row r="50" spans="1:7" s="14" customFormat="1" ht="16.5" customHeight="1">
      <c r="A50" s="14" t="str">
        <f t="shared" si="0"/>
        <v>I</v>
      </c>
      <c r="B50" s="343">
        <v>1121111106</v>
      </c>
      <c r="C50" s="343" t="s">
        <v>42</v>
      </c>
      <c r="D50" s="347">
        <v>22831627</v>
      </c>
      <c r="E50" s="348">
        <v>3143.3</v>
      </c>
      <c r="F50" s="1058">
        <f>+VLOOKUP(B50,Composición!$C$5:$D$1768,1,0)</f>
        <v>1121111106</v>
      </c>
      <c r="G50" s="1049">
        <f t="shared" si="5"/>
        <v>-1098279479</v>
      </c>
    </row>
    <row r="51" spans="1:7" s="14" customFormat="1" ht="16.5" customHeight="1">
      <c r="A51" s="14" t="str">
        <f t="shared" si="0"/>
        <v>I</v>
      </c>
      <c r="B51" s="343">
        <v>1121111107</v>
      </c>
      <c r="C51" s="343" t="s">
        <v>43</v>
      </c>
      <c r="D51" s="347">
        <v>13655091</v>
      </c>
      <c r="E51" s="348">
        <v>1879.94</v>
      </c>
      <c r="F51" s="1058">
        <f>+VLOOKUP(B51,Composición!$C$5:$D$1768,1,0)</f>
        <v>1121111107</v>
      </c>
      <c r="G51" s="1049">
        <f t="shared" si="5"/>
        <v>-1107456016</v>
      </c>
    </row>
    <row r="52" spans="1:7" s="14" customFormat="1" ht="16.5" customHeight="1">
      <c r="A52" s="14" t="str">
        <f t="shared" si="0"/>
        <v>NI</v>
      </c>
      <c r="B52" s="343">
        <v>11212</v>
      </c>
      <c r="C52" s="343" t="s">
        <v>44</v>
      </c>
      <c r="D52" s="347">
        <v>23141712</v>
      </c>
      <c r="E52" s="348">
        <v>3186.5060000000231</v>
      </c>
      <c r="F52" s="1058">
        <f>+VLOOKUP(B52,Composición!$C$5:$D$1768,1,0)</f>
        <v>11212</v>
      </c>
      <c r="G52" s="1049">
        <f t="shared" si="5"/>
        <v>23130500</v>
      </c>
    </row>
    <row r="53" spans="1:7" s="14" customFormat="1" ht="16.5" customHeight="1">
      <c r="A53" s="14" t="str">
        <f t="shared" si="0"/>
        <v>NI</v>
      </c>
      <c r="B53" s="343">
        <v>112121</v>
      </c>
      <c r="C53" s="343" t="s">
        <v>44</v>
      </c>
      <c r="D53" s="347">
        <v>23141712</v>
      </c>
      <c r="E53" s="348">
        <v>3186.5060000000231</v>
      </c>
      <c r="F53" s="1058">
        <f>+VLOOKUP(B53,Composición!$C$5:$D$1768,1,0)</f>
        <v>112121</v>
      </c>
      <c r="G53" s="1049">
        <f t="shared" si="5"/>
        <v>23029591</v>
      </c>
    </row>
    <row r="54" spans="1:7" s="14" customFormat="1" ht="16.5" customHeight="1">
      <c r="A54" s="14" t="str">
        <f t="shared" si="0"/>
        <v>NI</v>
      </c>
      <c r="B54" s="343">
        <v>1121211</v>
      </c>
      <c r="C54" s="343" t="s">
        <v>44</v>
      </c>
      <c r="D54" s="347">
        <v>23141712</v>
      </c>
      <c r="E54" s="348">
        <v>3186.5060000000231</v>
      </c>
      <c r="F54" s="1058">
        <f>+VLOOKUP(B54,Composición!$C$5:$D$1768,1,0)</f>
        <v>1121211</v>
      </c>
      <c r="G54" s="1049">
        <f t="shared" si="5"/>
        <v>22020501</v>
      </c>
    </row>
    <row r="55" spans="1:7" s="14" customFormat="1" ht="16.5" customHeight="1">
      <c r="A55" s="31" t="str">
        <f t="shared" si="0"/>
        <v>NI</v>
      </c>
      <c r="B55" s="346">
        <v>11212111</v>
      </c>
      <c r="C55" s="346" t="s">
        <v>45</v>
      </c>
      <c r="D55" s="340">
        <v>23141712</v>
      </c>
      <c r="E55" s="341">
        <v>3186.5060000000231</v>
      </c>
      <c r="F55" s="1058">
        <f>+VLOOKUP(B55,Composición!$C$5:$D$1768,1,0)</f>
        <v>11212111</v>
      </c>
      <c r="G55" s="1049"/>
    </row>
    <row r="56" spans="1:7" s="14" customFormat="1" ht="16.5" customHeight="1">
      <c r="A56" s="31" t="str">
        <f t="shared" si="0"/>
        <v>I</v>
      </c>
      <c r="B56" s="346">
        <v>1121211101</v>
      </c>
      <c r="C56" s="346" t="s">
        <v>46</v>
      </c>
      <c r="D56" s="340">
        <v>20000</v>
      </c>
      <c r="E56" s="341">
        <v>2.7159999999857973</v>
      </c>
      <c r="F56" s="1058">
        <f>+VLOOKUP(B56,Composición!$C$5:$D$1768,1,0)</f>
        <v>1121211101</v>
      </c>
      <c r="G56" s="1049"/>
    </row>
    <row r="57" spans="1:7" s="14" customFormat="1" ht="16.5" customHeight="1">
      <c r="A57" s="31" t="str">
        <f t="shared" si="0"/>
        <v>I</v>
      </c>
      <c r="B57" s="346">
        <v>1121211102</v>
      </c>
      <c r="C57" s="346" t="s">
        <v>47</v>
      </c>
      <c r="D57" s="340">
        <v>23121712</v>
      </c>
      <c r="E57" s="341">
        <v>3183.7900000000004</v>
      </c>
      <c r="F57" s="1058">
        <f>+VLOOKUP(B57,Composición!$C$5:$D$1768,1,0)</f>
        <v>1121211102</v>
      </c>
      <c r="G57" s="1049"/>
    </row>
    <row r="58" spans="1:7" s="14" customFormat="1" ht="16.5" customHeight="1">
      <c r="A58" s="31" t="str">
        <f t="shared" si="0"/>
        <v>NI</v>
      </c>
      <c r="B58" s="346">
        <v>114</v>
      </c>
      <c r="C58" s="346" t="s">
        <v>48</v>
      </c>
      <c r="D58" s="340">
        <v>37078401104</v>
      </c>
      <c r="E58" s="341">
        <v>5104693.5759999752</v>
      </c>
      <c r="F58" s="1058">
        <f>+VLOOKUP(B58,Composición!$C$5:$D$1768,1,0)</f>
        <v>114</v>
      </c>
      <c r="G58" s="1049"/>
    </row>
    <row r="59" spans="1:7" s="14" customFormat="1" ht="16.5" customHeight="1">
      <c r="A59" s="14" t="str">
        <f t="shared" si="0"/>
        <v>NI</v>
      </c>
      <c r="B59" s="343">
        <v>11401</v>
      </c>
      <c r="C59" s="343" t="s">
        <v>49</v>
      </c>
      <c r="D59" s="347">
        <v>3298357000</v>
      </c>
      <c r="E59" s="348">
        <v>454094.60000000033</v>
      </c>
      <c r="F59" s="1058">
        <f>+VLOOKUP(B59,Composición!$C$5:$D$1768,1,0)</f>
        <v>11401</v>
      </c>
      <c r="G59" s="1049">
        <f>+D59-F59</f>
        <v>3298345599</v>
      </c>
    </row>
    <row r="60" spans="1:7" s="14" customFormat="1" ht="16.5" customHeight="1">
      <c r="A60" s="31" t="str">
        <f t="shared" si="0"/>
        <v>NI</v>
      </c>
      <c r="B60" s="343">
        <v>114011</v>
      </c>
      <c r="C60" s="343" t="s">
        <v>50</v>
      </c>
      <c r="D60" s="347">
        <v>3298357000</v>
      </c>
      <c r="E60" s="348">
        <v>454094.60000000033</v>
      </c>
      <c r="F60" s="1058">
        <f>+VLOOKUP(B60,Composición!$C$5:$D$1768,1,0)</f>
        <v>114011</v>
      </c>
      <c r="G60" s="1049"/>
    </row>
    <row r="61" spans="1:7" s="14" customFormat="1" ht="16.5" customHeight="1">
      <c r="A61" s="31" t="str">
        <f t="shared" si="0"/>
        <v>NI</v>
      </c>
      <c r="B61" s="346">
        <v>1140111</v>
      </c>
      <c r="C61" s="346" t="s">
        <v>51</v>
      </c>
      <c r="D61" s="340">
        <v>3298357000</v>
      </c>
      <c r="E61" s="341">
        <v>454094.60000000033</v>
      </c>
      <c r="F61" s="1058">
        <f>+VLOOKUP(B61,Composición!$C$5:$D$1768,1,0)</f>
        <v>1140111</v>
      </c>
      <c r="G61" s="1049"/>
    </row>
    <row r="62" spans="1:7" s="14" customFormat="1" ht="16.5" customHeight="1">
      <c r="A62" s="31" t="str">
        <f t="shared" si="0"/>
        <v>NI</v>
      </c>
      <c r="B62" s="346">
        <v>11401111</v>
      </c>
      <c r="C62" s="346" t="s">
        <v>52</v>
      </c>
      <c r="D62" s="340">
        <v>3298357000</v>
      </c>
      <c r="E62" s="341">
        <v>454094.60000000033</v>
      </c>
      <c r="F62" s="1058">
        <f>+VLOOKUP(B62,Composición!$C$5:$D$1768,1,0)</f>
        <v>11401111</v>
      </c>
      <c r="G62" s="1049"/>
    </row>
    <row r="63" spans="1:7" s="14" customFormat="1" ht="16.5" customHeight="1">
      <c r="A63" s="31" t="str">
        <f t="shared" si="0"/>
        <v>I</v>
      </c>
      <c r="B63" s="346">
        <v>1140111101</v>
      </c>
      <c r="C63" s="346" t="s">
        <v>53</v>
      </c>
      <c r="D63" s="340">
        <v>3298357000</v>
      </c>
      <c r="E63" s="341">
        <v>454094.60000000033</v>
      </c>
      <c r="F63" s="1058">
        <f>+VLOOKUP(B63,Composición!$C$5:$D$1768,1,0)</f>
        <v>1140111101</v>
      </c>
      <c r="G63" s="1049"/>
    </row>
    <row r="64" spans="1:7" s="14" customFormat="1" ht="16.5" customHeight="1">
      <c r="A64" s="14" t="str">
        <f t="shared" si="0"/>
        <v>NI</v>
      </c>
      <c r="B64" s="343">
        <v>11402</v>
      </c>
      <c r="C64" s="343" t="s">
        <v>54</v>
      </c>
      <c r="D64" s="347">
        <v>23832628126</v>
      </c>
      <c r="E64" s="348">
        <v>3281108.6860000044</v>
      </c>
      <c r="F64" s="1058">
        <f>+VLOOKUP(B64,Composición!$C$5:$D$1768,1,0)</f>
        <v>11402</v>
      </c>
      <c r="G64" s="1049">
        <f>+D64-F64</f>
        <v>23832616724</v>
      </c>
    </row>
    <row r="65" spans="1:7" s="14" customFormat="1" ht="16.5" customHeight="1">
      <c r="A65" s="31" t="str">
        <f t="shared" si="0"/>
        <v>NI</v>
      </c>
      <c r="B65" s="343">
        <v>114021</v>
      </c>
      <c r="C65" s="343" t="s">
        <v>55</v>
      </c>
      <c r="D65" s="347">
        <v>23832628126</v>
      </c>
      <c r="E65" s="348">
        <v>3281108.6860000044</v>
      </c>
      <c r="F65" s="1058">
        <f>+VLOOKUP(B65,Composición!$C$5:$D$1768,1,0)</f>
        <v>114021</v>
      </c>
      <c r="G65" s="1049"/>
    </row>
    <row r="66" spans="1:7" s="14" customFormat="1" ht="16.5" customHeight="1">
      <c r="A66" s="31" t="str">
        <f t="shared" si="0"/>
        <v>NI</v>
      </c>
      <c r="B66" s="346">
        <v>1140212</v>
      </c>
      <c r="C66" s="346" t="s">
        <v>51</v>
      </c>
      <c r="D66" s="340">
        <v>13942897500</v>
      </c>
      <c r="E66" s="341">
        <v>1919560.1000000015</v>
      </c>
      <c r="F66" s="1058">
        <f>+VLOOKUP(B66,Composición!$C$5:$D$1768,1,0)</f>
        <v>1140212</v>
      </c>
      <c r="G66" s="1049"/>
    </row>
    <row r="67" spans="1:7" s="14" customFormat="1" ht="16.5" customHeight="1">
      <c r="A67" s="31" t="str">
        <f t="shared" si="0"/>
        <v>NI</v>
      </c>
      <c r="B67" s="343">
        <v>11402121</v>
      </c>
      <c r="C67" s="343" t="s">
        <v>56</v>
      </c>
      <c r="D67" s="347">
        <v>3327000000</v>
      </c>
      <c r="E67" s="348">
        <v>458037.96999999974</v>
      </c>
      <c r="F67" s="1058">
        <f>+VLOOKUP(B67,Composición!$C$5:$D$1768,1,0)</f>
        <v>11402121</v>
      </c>
      <c r="G67" s="1049"/>
    </row>
    <row r="68" spans="1:7" s="14" customFormat="1" ht="16.5" customHeight="1">
      <c r="A68" s="31" t="str">
        <f t="shared" si="0"/>
        <v>I</v>
      </c>
      <c r="B68" s="346">
        <v>1140212101</v>
      </c>
      <c r="C68" s="346" t="s">
        <v>57</v>
      </c>
      <c r="D68" s="340">
        <v>3327000000</v>
      </c>
      <c r="E68" s="341">
        <v>458037.97</v>
      </c>
      <c r="F68" s="1058">
        <f>+VLOOKUP(B68,Composición!$C$5:$D$1768,1,0)</f>
        <v>1140212101</v>
      </c>
      <c r="G68" s="1049"/>
    </row>
    <row r="69" spans="1:7" s="14" customFormat="1" ht="16.5" customHeight="1">
      <c r="A69" s="31" t="str">
        <f t="shared" si="0"/>
        <v>NI</v>
      </c>
      <c r="B69" s="346">
        <v>11402123</v>
      </c>
      <c r="C69" s="346" t="s">
        <v>58</v>
      </c>
      <c r="D69" s="340">
        <v>10615897500</v>
      </c>
      <c r="E69" s="341">
        <v>1461522.1299999952</v>
      </c>
      <c r="F69" s="1058">
        <f>+VLOOKUP(B69,Composición!$C$5:$D$1768,1,0)</f>
        <v>11402123</v>
      </c>
      <c r="G69" s="1049"/>
    </row>
    <row r="70" spans="1:7" s="14" customFormat="1" ht="16.5" customHeight="1">
      <c r="A70" s="14" t="str">
        <f t="shared" si="0"/>
        <v>I</v>
      </c>
      <c r="B70" s="343">
        <v>1140212301</v>
      </c>
      <c r="C70" s="343" t="s">
        <v>59</v>
      </c>
      <c r="D70" s="347">
        <v>8800000000</v>
      </c>
      <c r="E70" s="348">
        <v>1211522.129999999</v>
      </c>
      <c r="F70" s="1058">
        <f>+VLOOKUP(B70,Composición!$C$5:$D$1768,1,0)</f>
        <v>1140212301</v>
      </c>
      <c r="G70" s="1049">
        <f>+D70-F70</f>
        <v>7659787699</v>
      </c>
    </row>
    <row r="71" spans="1:7" s="14" customFormat="1" ht="16.5" customHeight="1">
      <c r="A71" s="31" t="str">
        <f t="shared" ref="A71:A134" si="6">IF(LEN(B71)&gt;8,"I","NI")</f>
        <v>I</v>
      </c>
      <c r="B71" s="346">
        <v>1140212302</v>
      </c>
      <c r="C71" s="346" t="s">
        <v>60</v>
      </c>
      <c r="D71" s="340">
        <v>1815897500</v>
      </c>
      <c r="E71" s="341">
        <v>250000</v>
      </c>
      <c r="F71" s="1058">
        <f>+VLOOKUP(B71,Composición!$C$5:$D$1768,1,0)</f>
        <v>1140212302</v>
      </c>
      <c r="G71" s="1049"/>
    </row>
    <row r="72" spans="1:7" s="14" customFormat="1" ht="16.5" customHeight="1">
      <c r="A72" s="31" t="str">
        <f t="shared" si="6"/>
        <v>NI</v>
      </c>
      <c r="B72" s="343">
        <v>1140213</v>
      </c>
      <c r="C72" s="343" t="s">
        <v>61</v>
      </c>
      <c r="D72" s="347">
        <v>5451680060</v>
      </c>
      <c r="E72" s="348">
        <v>750548.98000000033</v>
      </c>
      <c r="F72" s="1058">
        <f>+VLOOKUP(B72,Composición!$C$5:$D$1768,1,0)</f>
        <v>1140213</v>
      </c>
      <c r="G72" s="1049"/>
    </row>
    <row r="73" spans="1:7" s="14" customFormat="1" ht="16.5" customHeight="1">
      <c r="A73" s="31" t="str">
        <f t="shared" si="6"/>
        <v>NI</v>
      </c>
      <c r="B73" s="346">
        <v>11402131</v>
      </c>
      <c r="C73" s="346" t="s">
        <v>62</v>
      </c>
      <c r="D73" s="340">
        <v>3893680060</v>
      </c>
      <c r="E73" s="341">
        <v>536054.48999999836</v>
      </c>
      <c r="F73" s="1058">
        <f>+VLOOKUP(B73,Composición!$C$5:$D$1768,1,0)</f>
        <v>11402131</v>
      </c>
      <c r="G73" s="1049"/>
    </row>
    <row r="74" spans="1:7" s="14" customFormat="1" ht="16.5" customHeight="1">
      <c r="A74" s="31" t="str">
        <f t="shared" si="6"/>
        <v>I</v>
      </c>
      <c r="B74" s="343">
        <v>1140213101</v>
      </c>
      <c r="C74" s="343" t="s">
        <v>63</v>
      </c>
      <c r="D74" s="347">
        <v>2194000000</v>
      </c>
      <c r="E74" s="348">
        <v>302054.49000000017</v>
      </c>
      <c r="F74" s="1058">
        <f>+VLOOKUP(B74,Composición!$C$5:$D$1768,1,0)</f>
        <v>1140213101</v>
      </c>
      <c r="G74" s="1049"/>
    </row>
    <row r="75" spans="1:7" s="14" customFormat="1" ht="16.5" customHeight="1">
      <c r="A75" s="14" t="str">
        <f t="shared" si="6"/>
        <v>I</v>
      </c>
      <c r="B75" s="343">
        <v>1140213102</v>
      </c>
      <c r="C75" s="343" t="s">
        <v>64</v>
      </c>
      <c r="D75" s="347">
        <v>1699680060</v>
      </c>
      <c r="E75" s="348">
        <v>234000</v>
      </c>
      <c r="F75" s="1058">
        <f>+VLOOKUP(B75,Composición!$C$5:$D$1768,1,0)</f>
        <v>1140213102</v>
      </c>
      <c r="G75" s="1049">
        <f>+D75-F75</f>
        <v>559466958</v>
      </c>
    </row>
    <row r="76" spans="1:7" s="14" customFormat="1" ht="16.5" customHeight="1">
      <c r="A76" s="31" t="str">
        <f t="shared" si="6"/>
        <v>NI</v>
      </c>
      <c r="B76" s="346">
        <v>11402132</v>
      </c>
      <c r="C76" s="346" t="s">
        <v>65</v>
      </c>
      <c r="D76" s="340">
        <v>1558000000</v>
      </c>
      <c r="E76" s="341">
        <v>214494.49000000008</v>
      </c>
      <c r="F76" s="1058">
        <f>+VLOOKUP(B76,Composición!$C$5:$D$1768,1,0)</f>
        <v>11402132</v>
      </c>
      <c r="G76" s="1049"/>
    </row>
    <row r="77" spans="1:7" s="14" customFormat="1" ht="16.5" customHeight="1">
      <c r="A77" s="31" t="str">
        <f t="shared" si="6"/>
        <v>I</v>
      </c>
      <c r="B77" s="346">
        <v>1140213201</v>
      </c>
      <c r="C77" s="346" t="s">
        <v>66</v>
      </c>
      <c r="D77" s="340">
        <v>1558000000</v>
      </c>
      <c r="E77" s="341">
        <v>214494.49000000008</v>
      </c>
      <c r="F77" s="1058">
        <f>+VLOOKUP(B77,Composición!$C$5:$D$1768,1,0)</f>
        <v>1140213201</v>
      </c>
      <c r="G77" s="1049"/>
    </row>
    <row r="78" spans="1:7" s="14" customFormat="1" ht="16.5" customHeight="1">
      <c r="A78" s="14" t="str">
        <f t="shared" si="6"/>
        <v>NI</v>
      </c>
      <c r="B78" s="343">
        <v>1140214</v>
      </c>
      <c r="C78" s="343" t="s">
        <v>67</v>
      </c>
      <c r="D78" s="347">
        <v>4653179500</v>
      </c>
      <c r="E78" s="348">
        <v>640617.03999999911</v>
      </c>
      <c r="F78" s="1058">
        <f>+VLOOKUP(B78,Composición!$C$5:$D$1768,1,0)</f>
        <v>1140214</v>
      </c>
      <c r="G78" s="1049">
        <f>+D78-F78</f>
        <v>4652039286</v>
      </c>
    </row>
    <row r="79" spans="1:7" s="14" customFormat="1" ht="16.5" customHeight="1">
      <c r="A79" s="31" t="str">
        <f t="shared" si="6"/>
        <v>NI</v>
      </c>
      <c r="B79" s="343">
        <v>11402141</v>
      </c>
      <c r="C79" s="343" t="s">
        <v>56</v>
      </c>
      <c r="D79" s="347">
        <v>3340000000</v>
      </c>
      <c r="E79" s="348">
        <v>459827.71999999881</v>
      </c>
      <c r="F79" s="1058">
        <f>+VLOOKUP(B79,Composición!$C$5:$D$1768,1,0)</f>
        <v>11402141</v>
      </c>
      <c r="G79" s="1049"/>
    </row>
    <row r="80" spans="1:7" s="14" customFormat="1" ht="16.5" customHeight="1">
      <c r="A80" s="14" t="str">
        <f t="shared" si="6"/>
        <v>I</v>
      </c>
      <c r="B80" s="343">
        <v>1140214101</v>
      </c>
      <c r="C80" s="343" t="s">
        <v>68</v>
      </c>
      <c r="D80" s="347">
        <v>3340000000</v>
      </c>
      <c r="E80" s="348">
        <v>459827.71999999881</v>
      </c>
      <c r="F80" s="1058">
        <f>+VLOOKUP(B80,Composición!$C$5:$D$1768,1,0)</f>
        <v>1140214101</v>
      </c>
      <c r="G80" s="1049">
        <f>+D80-F80</f>
        <v>2199785899</v>
      </c>
    </row>
    <row r="81" spans="1:7" s="14" customFormat="1" ht="16.5" customHeight="1">
      <c r="A81" s="31" t="str">
        <f t="shared" si="6"/>
        <v>NI</v>
      </c>
      <c r="B81" s="346">
        <v>11402143</v>
      </c>
      <c r="C81" s="346" t="s">
        <v>58</v>
      </c>
      <c r="D81" s="340">
        <v>1313179500</v>
      </c>
      <c r="E81" s="341">
        <v>180789.32</v>
      </c>
      <c r="F81" s="1058">
        <f>+VLOOKUP(B81,Composición!$C$5:$D$1768,1,0)</f>
        <v>11402143</v>
      </c>
      <c r="G81" s="1049"/>
    </row>
    <row r="82" spans="1:7" s="14" customFormat="1" ht="16.5" customHeight="1">
      <c r="A82" s="31" t="str">
        <f t="shared" si="6"/>
        <v>I</v>
      </c>
      <c r="B82" s="343">
        <v>1140214301</v>
      </c>
      <c r="C82" s="343" t="s">
        <v>69</v>
      </c>
      <c r="D82" s="347">
        <v>950000000</v>
      </c>
      <c r="E82" s="348">
        <v>130789.32</v>
      </c>
      <c r="F82" s="1058">
        <f>+VLOOKUP(B82,Composición!$C$5:$D$1768,1,0)</f>
        <v>1140214301</v>
      </c>
      <c r="G82" s="1049"/>
    </row>
    <row r="83" spans="1:7" s="14" customFormat="1" ht="16.5" customHeight="1">
      <c r="A83" s="14" t="str">
        <f t="shared" si="6"/>
        <v>I</v>
      </c>
      <c r="B83" s="343">
        <v>1140214302</v>
      </c>
      <c r="C83" s="343" t="s">
        <v>70</v>
      </c>
      <c r="D83" s="347">
        <v>363179500</v>
      </c>
      <c r="E83" s="348">
        <v>50000</v>
      </c>
      <c r="F83" s="1058">
        <f>+VLOOKUP(B83,Composición!$C$5:$D$1768,1,0)</f>
        <v>1140214302</v>
      </c>
      <c r="G83" s="1049">
        <f t="shared" ref="G83:G84" si="7">+D83-F83</f>
        <v>-777034802</v>
      </c>
    </row>
    <row r="84" spans="1:7" s="14" customFormat="1" ht="16.5" customHeight="1">
      <c r="A84" s="14" t="str">
        <f t="shared" si="6"/>
        <v>NI</v>
      </c>
      <c r="B84" s="343">
        <v>1140219</v>
      </c>
      <c r="C84" s="343" t="s">
        <v>71</v>
      </c>
      <c r="D84" s="347">
        <v>-48992731</v>
      </c>
      <c r="E84" s="348">
        <v>-6744.9799999999805</v>
      </c>
      <c r="F84" s="1058">
        <f>+VLOOKUP(B84,Composición!$C$5:$D$1768,1,0)</f>
        <v>1140219</v>
      </c>
      <c r="G84" s="1049">
        <f t="shared" si="7"/>
        <v>-50132950</v>
      </c>
    </row>
    <row r="85" spans="1:7" s="14" customFormat="1" ht="16.5" customHeight="1">
      <c r="A85" s="31" t="str">
        <f t="shared" si="6"/>
        <v>NI</v>
      </c>
      <c r="B85" s="346">
        <v>11402191</v>
      </c>
      <c r="C85" s="346" t="s">
        <v>72</v>
      </c>
      <c r="D85" s="340">
        <v>-105144100</v>
      </c>
      <c r="E85" s="341">
        <v>-14475.5</v>
      </c>
      <c r="F85" s="1058">
        <f>+VLOOKUP(B85,Composición!$C$5:$D$1768,1,0)</f>
        <v>11402191</v>
      </c>
      <c r="G85" s="1049"/>
    </row>
    <row r="86" spans="1:7" s="14" customFormat="1" ht="16.5" customHeight="1">
      <c r="A86" s="31" t="str">
        <f t="shared" si="6"/>
        <v>I</v>
      </c>
      <c r="B86" s="346">
        <v>1140219101</v>
      </c>
      <c r="C86" s="346" t="s">
        <v>73</v>
      </c>
      <c r="D86" s="340">
        <v>-32</v>
      </c>
      <c r="E86" s="341">
        <v>0</v>
      </c>
      <c r="F86" s="1058">
        <f>+VLOOKUP(B86,Composición!$C$5:$D$1768,1,0)</f>
        <v>1140219101</v>
      </c>
      <c r="G86" s="1049"/>
    </row>
    <row r="87" spans="1:7" s="14" customFormat="1" ht="16.5" customHeight="1">
      <c r="A87" s="14" t="str">
        <f t="shared" si="6"/>
        <v>I</v>
      </c>
      <c r="B87" s="343">
        <v>1140219105</v>
      </c>
      <c r="C87" s="343" t="s">
        <v>74</v>
      </c>
      <c r="D87" s="347">
        <v>-29227291</v>
      </c>
      <c r="E87" s="348">
        <v>-4023.8099999999972</v>
      </c>
      <c r="F87" s="1058">
        <f>+VLOOKUP(B87,Composición!$C$5:$D$1768,1,0)</f>
        <v>1140219105</v>
      </c>
      <c r="G87" s="1049">
        <f>+D87-F87</f>
        <v>-1169446396</v>
      </c>
    </row>
    <row r="88" spans="1:7" s="14" customFormat="1" ht="16.5" customHeight="1">
      <c r="A88" s="31" t="str">
        <f t="shared" si="6"/>
        <v>I</v>
      </c>
      <c r="B88" s="343">
        <v>1140219108</v>
      </c>
      <c r="C88" s="343" t="s">
        <v>75</v>
      </c>
      <c r="D88" s="347">
        <v>-291</v>
      </c>
      <c r="E88" s="348">
        <v>-4.0000000000000036E-2</v>
      </c>
      <c r="F88" s="1058">
        <f>+VLOOKUP(B88,Composición!$C$5:$D$1768,1,0)</f>
        <v>1140219108</v>
      </c>
      <c r="G88" s="1049"/>
    </row>
    <row r="89" spans="1:7" s="14" customFormat="1" ht="16.5" customHeight="1">
      <c r="A89" s="31" t="str">
        <f t="shared" si="6"/>
        <v>I</v>
      </c>
      <c r="B89" s="343">
        <v>1140219109</v>
      </c>
      <c r="C89" s="343" t="s">
        <v>76</v>
      </c>
      <c r="D89" s="347">
        <v>-40671392</v>
      </c>
      <c r="E89" s="348">
        <v>-5599.3500000000022</v>
      </c>
      <c r="F89" s="1058">
        <f>+VLOOKUP(B89,Composición!$C$5:$D$1768,1,0)</f>
        <v>1140219109</v>
      </c>
      <c r="G89" s="1049"/>
    </row>
    <row r="90" spans="1:7" s="14" customFormat="1" ht="16.5" customHeight="1">
      <c r="A90" s="14" t="str">
        <f t="shared" si="6"/>
        <v>I</v>
      </c>
      <c r="B90" s="343">
        <v>1140219113</v>
      </c>
      <c r="C90" s="343" t="s">
        <v>77</v>
      </c>
      <c r="D90" s="347">
        <v>-58</v>
      </c>
      <c r="E90" s="348">
        <v>-1.0000000000218279E-2</v>
      </c>
      <c r="F90" s="1058">
        <f>+VLOOKUP(B90,Composición!$C$5:$D$1768,1,0)</f>
        <v>1140219113</v>
      </c>
      <c r="G90" s="1049">
        <f t="shared" ref="G90:G93" si="8">+D90-F90</f>
        <v>-1140219171</v>
      </c>
    </row>
    <row r="91" spans="1:7" s="14" customFormat="1" ht="16.5" customHeight="1">
      <c r="A91" s="14" t="str">
        <f t="shared" si="6"/>
        <v>I</v>
      </c>
      <c r="B91" s="343">
        <v>1140219117</v>
      </c>
      <c r="C91" s="343" t="s">
        <v>78</v>
      </c>
      <c r="D91" s="347">
        <v>-30202434</v>
      </c>
      <c r="E91" s="348">
        <v>-4158.0599999999995</v>
      </c>
      <c r="F91" s="1058">
        <f>+VLOOKUP(B91,Composición!$C$5:$D$1768,1,0)</f>
        <v>1140219117</v>
      </c>
      <c r="G91" s="1049">
        <f t="shared" si="8"/>
        <v>-1170421551</v>
      </c>
    </row>
    <row r="92" spans="1:7" s="14" customFormat="1" ht="16.5" customHeight="1">
      <c r="A92" s="14" t="str">
        <f t="shared" si="6"/>
        <v>I</v>
      </c>
      <c r="B92" s="343">
        <v>1140219118</v>
      </c>
      <c r="C92" s="343" t="s">
        <v>79</v>
      </c>
      <c r="D92" s="347">
        <v>-5042602</v>
      </c>
      <c r="E92" s="348">
        <v>-694.23000000000013</v>
      </c>
      <c r="F92" s="1058">
        <f>+VLOOKUP(B92,Composición!$C$5:$D$1768,1,0)</f>
        <v>1140219118</v>
      </c>
      <c r="G92" s="1049">
        <f t="shared" si="8"/>
        <v>-1145261720</v>
      </c>
    </row>
    <row r="93" spans="1:7" s="14" customFormat="1" ht="16.5" customHeight="1">
      <c r="A93" s="14" t="str">
        <f t="shared" si="6"/>
        <v>NI</v>
      </c>
      <c r="B93" s="343">
        <v>11402192</v>
      </c>
      <c r="C93" s="343" t="s">
        <v>80</v>
      </c>
      <c r="D93" s="347">
        <v>56151369</v>
      </c>
      <c r="E93" s="348">
        <v>7730.5200000000195</v>
      </c>
      <c r="F93" s="1058">
        <f>+VLOOKUP(B93,Composición!$C$5:$D$1768,1,0)</f>
        <v>11402192</v>
      </c>
      <c r="G93" s="1049">
        <f t="shared" si="8"/>
        <v>44749177</v>
      </c>
    </row>
    <row r="94" spans="1:7" s="14" customFormat="1" ht="16.5" customHeight="1">
      <c r="A94" s="31" t="str">
        <f t="shared" si="6"/>
        <v>I</v>
      </c>
      <c r="B94" s="346">
        <v>1140219201</v>
      </c>
      <c r="C94" s="346" t="s">
        <v>81</v>
      </c>
      <c r="D94" s="340">
        <v>8415111</v>
      </c>
      <c r="E94" s="341">
        <v>1158.5299999999997</v>
      </c>
      <c r="F94" s="1058">
        <f>+VLOOKUP(B94,Composición!$C$5:$D$1768,1,0)</f>
        <v>1140219201</v>
      </c>
      <c r="G94" s="1049"/>
    </row>
    <row r="95" spans="1:7" s="14" customFormat="1" ht="16.5" customHeight="1">
      <c r="A95" s="14" t="str">
        <f t="shared" si="6"/>
        <v>I</v>
      </c>
      <c r="B95" s="343">
        <v>1140219205</v>
      </c>
      <c r="C95" s="343" t="s">
        <v>82</v>
      </c>
      <c r="D95" s="347">
        <v>15297971</v>
      </c>
      <c r="E95" s="348">
        <v>2106.1200000000008</v>
      </c>
      <c r="F95" s="1058">
        <f>+VLOOKUP(B95,Composición!$C$5:$D$1768,1,0)</f>
        <v>1140219205</v>
      </c>
      <c r="G95" s="1049">
        <f t="shared" ref="G95:G98" si="9">+D95-F95</f>
        <v>-1124921234</v>
      </c>
    </row>
    <row r="96" spans="1:7" s="14" customFormat="1" ht="16.5" customHeight="1">
      <c r="A96" s="14" t="str">
        <f t="shared" si="6"/>
        <v>I</v>
      </c>
      <c r="B96" s="343">
        <v>1140219206</v>
      </c>
      <c r="C96" s="343" t="s">
        <v>83</v>
      </c>
      <c r="D96" s="347">
        <v>3062693</v>
      </c>
      <c r="E96" s="348">
        <v>421.64999999999964</v>
      </c>
      <c r="F96" s="1058">
        <f>+VLOOKUP(B96,Composición!$C$5:$D$1768,1,0)</f>
        <v>1140219206</v>
      </c>
      <c r="G96" s="1049">
        <f t="shared" si="9"/>
        <v>-1137156513</v>
      </c>
    </row>
    <row r="97" spans="1:7" s="14" customFormat="1" ht="16.5" customHeight="1">
      <c r="A97" s="14" t="str">
        <f t="shared" si="6"/>
        <v>I</v>
      </c>
      <c r="B97" s="343">
        <v>1140219207</v>
      </c>
      <c r="C97" s="343" t="s">
        <v>84</v>
      </c>
      <c r="D97" s="347">
        <v>19195223</v>
      </c>
      <c r="E97" s="348">
        <v>2642.66</v>
      </c>
      <c r="F97" s="1058">
        <f>+VLOOKUP(B97,Composición!$C$5:$D$1768,1,0)</f>
        <v>1140219207</v>
      </c>
      <c r="G97" s="1049">
        <f t="shared" si="9"/>
        <v>-1121023984</v>
      </c>
    </row>
    <row r="98" spans="1:7" s="14" customFormat="1" ht="16.5" customHeight="1">
      <c r="A98" s="14" t="str">
        <f t="shared" si="6"/>
        <v>I</v>
      </c>
      <c r="B98" s="343">
        <v>1140219208</v>
      </c>
      <c r="C98" s="343" t="s">
        <v>85</v>
      </c>
      <c r="D98" s="347">
        <v>4736151</v>
      </c>
      <c r="E98" s="348">
        <v>652.04000000000087</v>
      </c>
      <c r="F98" s="1058">
        <f>+VLOOKUP(B98,Composición!$C$5:$D$1768,1,0)</f>
        <v>1140219208</v>
      </c>
      <c r="G98" s="1049">
        <f t="shared" si="9"/>
        <v>-1135483057</v>
      </c>
    </row>
    <row r="99" spans="1:7" s="14" customFormat="1" ht="16.5" customHeight="1">
      <c r="A99" s="31" t="str">
        <f t="shared" si="6"/>
        <v>I</v>
      </c>
      <c r="B99" s="343">
        <v>1140219213</v>
      </c>
      <c r="C99" s="343" t="s">
        <v>86</v>
      </c>
      <c r="D99" s="347">
        <v>5444220</v>
      </c>
      <c r="E99" s="348">
        <v>749.52</v>
      </c>
      <c r="F99" s="1058">
        <f>+VLOOKUP(B99,Composición!$C$5:$D$1768,1,0)</f>
        <v>1140219213</v>
      </c>
      <c r="G99" s="1049"/>
    </row>
    <row r="100" spans="1:7" s="14" customFormat="1" ht="16.5" customHeight="1">
      <c r="A100" s="31" t="str">
        <f t="shared" si="6"/>
        <v>NI</v>
      </c>
      <c r="B100" s="343">
        <v>1140224</v>
      </c>
      <c r="C100" s="343" t="s">
        <v>87</v>
      </c>
      <c r="D100" s="347">
        <v>263608071</v>
      </c>
      <c r="E100" s="348">
        <v>36291.716000001878</v>
      </c>
      <c r="F100" s="1058">
        <f>+VLOOKUP(B100,Composición!$C$5:$D$1768,1,0)</f>
        <v>1140224</v>
      </c>
      <c r="G100" s="1049"/>
    </row>
    <row r="101" spans="1:7" s="14" customFormat="1" ht="16.5" customHeight="1">
      <c r="A101" s="14" t="str">
        <f t="shared" si="6"/>
        <v>NI</v>
      </c>
      <c r="B101" s="343">
        <v>11402241</v>
      </c>
      <c r="C101" s="343" t="s">
        <v>88</v>
      </c>
      <c r="D101" s="347">
        <v>4398148011</v>
      </c>
      <c r="E101" s="348">
        <v>605506.09699999914</v>
      </c>
      <c r="F101" s="1058">
        <f>+VLOOKUP(B101,Composición!$C$5:$D$1768,1,0)</f>
        <v>11402241</v>
      </c>
      <c r="G101" s="1049">
        <f t="shared" ref="G101:G106" si="10">+D101-F101</f>
        <v>4386745770</v>
      </c>
    </row>
    <row r="102" spans="1:7" s="14" customFormat="1" ht="16.5" customHeight="1">
      <c r="A102" s="14" t="str">
        <f t="shared" si="6"/>
        <v>I</v>
      </c>
      <c r="B102" s="343">
        <v>1140224101</v>
      </c>
      <c r="C102" s="343" t="s">
        <v>89</v>
      </c>
      <c r="D102" s="347">
        <v>974369932</v>
      </c>
      <c r="E102" s="348">
        <v>134144.40000000002</v>
      </c>
      <c r="F102" s="1058">
        <f>+VLOOKUP(B102,Composición!$C$5:$D$1768,1,0)</f>
        <v>1140224101</v>
      </c>
      <c r="G102" s="1049">
        <f t="shared" si="10"/>
        <v>-165854169</v>
      </c>
    </row>
    <row r="103" spans="1:7" s="14" customFormat="1" ht="16.5" customHeight="1">
      <c r="A103" s="14" t="str">
        <f t="shared" si="6"/>
        <v>I</v>
      </c>
      <c r="B103" s="343">
        <v>1140224105</v>
      </c>
      <c r="C103" s="343" t="s">
        <v>90</v>
      </c>
      <c r="D103" s="347">
        <v>1624982891</v>
      </c>
      <c r="E103" s="348">
        <v>223716.21999999974</v>
      </c>
      <c r="F103" s="1058">
        <f>+VLOOKUP(B103,Composición!$C$5:$D$1768,1,0)</f>
        <v>1140224105</v>
      </c>
      <c r="G103" s="1049">
        <f t="shared" si="10"/>
        <v>484758786</v>
      </c>
    </row>
    <row r="104" spans="1:7" s="14" customFormat="1" ht="16.5" customHeight="1">
      <c r="A104" s="14" t="str">
        <f t="shared" si="6"/>
        <v>I</v>
      </c>
      <c r="B104" s="343">
        <v>1140224106</v>
      </c>
      <c r="C104" s="343" t="s">
        <v>91</v>
      </c>
      <c r="D104" s="347">
        <v>209720741</v>
      </c>
      <c r="E104" s="348">
        <v>28872.877000000095</v>
      </c>
      <c r="F104" s="1058">
        <f>+VLOOKUP(B104,Composición!$C$5:$D$1768,1,0)</f>
        <v>1140224106</v>
      </c>
      <c r="G104" s="1049">
        <f t="shared" si="10"/>
        <v>-930503365</v>
      </c>
    </row>
    <row r="105" spans="1:7" s="14" customFormat="1" ht="16.5" customHeight="1">
      <c r="A105" s="14" t="str">
        <f t="shared" si="6"/>
        <v>I</v>
      </c>
      <c r="B105" s="343">
        <v>1140224107</v>
      </c>
      <c r="C105" s="343" t="s">
        <v>92</v>
      </c>
      <c r="D105" s="347">
        <v>605676966</v>
      </c>
      <c r="E105" s="348">
        <v>83385.349999999977</v>
      </c>
      <c r="F105" s="1058">
        <f>+VLOOKUP(B105,Composición!$C$5:$D$1768,1,0)</f>
        <v>1140224107</v>
      </c>
      <c r="G105" s="1049">
        <f t="shared" si="10"/>
        <v>-534547141</v>
      </c>
    </row>
    <row r="106" spans="1:7" s="14" customFormat="1" ht="16.5" customHeight="1">
      <c r="A106" s="14" t="str">
        <f t="shared" si="6"/>
        <v>I</v>
      </c>
      <c r="B106" s="343">
        <v>1140224108</v>
      </c>
      <c r="C106" s="343" t="s">
        <v>93</v>
      </c>
      <c r="D106" s="347">
        <v>491200782</v>
      </c>
      <c r="E106" s="348">
        <v>67625.070000000298</v>
      </c>
      <c r="F106" s="1058">
        <f>+VLOOKUP(B106,Composición!$C$5:$D$1768,1,0)</f>
        <v>1140224108</v>
      </c>
      <c r="G106" s="1049">
        <f t="shared" si="10"/>
        <v>-649023326</v>
      </c>
    </row>
    <row r="107" spans="1:7" s="14" customFormat="1" ht="16.5" customHeight="1">
      <c r="A107" s="31" t="str">
        <f t="shared" si="6"/>
        <v>I</v>
      </c>
      <c r="B107" s="343">
        <v>1140224113</v>
      </c>
      <c r="C107" s="343" t="s">
        <v>94</v>
      </c>
      <c r="D107" s="347">
        <v>186824247</v>
      </c>
      <c r="E107" s="348">
        <v>25720.649999999907</v>
      </c>
      <c r="F107" s="1058">
        <f>+VLOOKUP(B107,Composición!$C$5:$D$1768,1,0)</f>
        <v>1140224113</v>
      </c>
      <c r="G107" s="1049"/>
    </row>
    <row r="108" spans="1:7" s="14" customFormat="1" ht="16.5" customHeight="1">
      <c r="A108" s="14" t="str">
        <f t="shared" si="6"/>
        <v>I</v>
      </c>
      <c r="B108" s="343">
        <v>1140224117</v>
      </c>
      <c r="C108" s="343" t="s">
        <v>95</v>
      </c>
      <c r="D108" s="347">
        <v>296735753</v>
      </c>
      <c r="E108" s="348">
        <v>40852.49</v>
      </c>
      <c r="F108" s="1058">
        <f>+VLOOKUP(B108,Composición!$C$5:$D$1768,1,0)</f>
        <v>1140224117</v>
      </c>
      <c r="G108" s="1049">
        <f t="shared" ref="G108:G113" si="11">+D108-F108</f>
        <v>-843488364</v>
      </c>
    </row>
    <row r="109" spans="1:7" s="14" customFormat="1" ht="16.5" customHeight="1">
      <c r="A109" s="14" t="str">
        <f t="shared" si="6"/>
        <v>I</v>
      </c>
      <c r="B109" s="343">
        <v>1140224118</v>
      </c>
      <c r="C109" s="343" t="s">
        <v>96</v>
      </c>
      <c r="D109" s="347">
        <v>8636699</v>
      </c>
      <c r="E109" s="348">
        <v>1189.0399999999972</v>
      </c>
      <c r="F109" s="1058">
        <f>+VLOOKUP(B109,Composición!$C$5:$D$1768,1,0)</f>
        <v>1140224118</v>
      </c>
      <c r="G109" s="1049">
        <f t="shared" si="11"/>
        <v>-1131587419</v>
      </c>
    </row>
    <row r="110" spans="1:7" s="14" customFormat="1" ht="16.5" customHeight="1">
      <c r="A110" s="14" t="str">
        <f t="shared" si="6"/>
        <v>NI</v>
      </c>
      <c r="B110" s="343">
        <v>11402242</v>
      </c>
      <c r="C110" s="343" t="s">
        <v>97</v>
      </c>
      <c r="D110" s="347">
        <v>-4134539940</v>
      </c>
      <c r="E110" s="348">
        <v>-569214.38099999912</v>
      </c>
      <c r="F110" s="1058">
        <f>+VLOOKUP(B110,Composición!$C$5:$D$1768,1,0)</f>
        <v>11402242</v>
      </c>
      <c r="G110" s="1049">
        <f t="shared" si="11"/>
        <v>-4145942182</v>
      </c>
    </row>
    <row r="111" spans="1:7" s="14" customFormat="1" ht="16.5" customHeight="1">
      <c r="A111" s="14" t="str">
        <f t="shared" si="6"/>
        <v>I</v>
      </c>
      <c r="B111" s="343">
        <v>1140224201</v>
      </c>
      <c r="C111" s="343" t="s">
        <v>98</v>
      </c>
      <c r="D111" s="347">
        <v>-934172412</v>
      </c>
      <c r="E111" s="348">
        <v>-128610.28999999998</v>
      </c>
      <c r="F111" s="1058">
        <f>+VLOOKUP(B111,Composición!$C$5:$D$1768,1,0)</f>
        <v>1140224201</v>
      </c>
      <c r="G111" s="1049">
        <f t="shared" si="11"/>
        <v>-2074396613</v>
      </c>
    </row>
    <row r="112" spans="1:7" s="14" customFormat="1" ht="16.5" customHeight="1">
      <c r="A112" s="14" t="str">
        <f t="shared" si="6"/>
        <v>I</v>
      </c>
      <c r="B112" s="343">
        <v>1140224205</v>
      </c>
      <c r="C112" s="343" t="s">
        <v>99</v>
      </c>
      <c r="D112" s="347">
        <v>-1503071658</v>
      </c>
      <c r="E112" s="348">
        <v>-206932.33999999985</v>
      </c>
      <c r="F112" s="1058">
        <f>+VLOOKUP(B112,Composición!$C$5:$D$1768,1,0)</f>
        <v>1140224205</v>
      </c>
      <c r="G112" s="1049">
        <f t="shared" si="11"/>
        <v>-2643295863</v>
      </c>
    </row>
    <row r="113" spans="1:7" s="14" customFormat="1" ht="16.5" customHeight="1">
      <c r="A113" s="14" t="str">
        <f t="shared" si="6"/>
        <v>I</v>
      </c>
      <c r="B113" s="343">
        <v>1140224206</v>
      </c>
      <c r="C113" s="343" t="s">
        <v>100</v>
      </c>
      <c r="D113" s="347">
        <v>-206221346</v>
      </c>
      <c r="E113" s="348">
        <v>-28391.104999999981</v>
      </c>
      <c r="F113" s="1058">
        <f>+VLOOKUP(B113,Composición!$C$5:$D$1768,1,0)</f>
        <v>1140224206</v>
      </c>
      <c r="G113" s="1049">
        <f t="shared" si="11"/>
        <v>-1346445552</v>
      </c>
    </row>
    <row r="114" spans="1:7" s="14" customFormat="1" ht="16.5" customHeight="1">
      <c r="A114" s="31" t="str">
        <f t="shared" si="6"/>
        <v>I</v>
      </c>
      <c r="B114" s="343">
        <v>1140224207</v>
      </c>
      <c r="C114" s="343" t="s">
        <v>101</v>
      </c>
      <c r="D114" s="347">
        <v>-589580116</v>
      </c>
      <c r="E114" s="348">
        <v>-81169.239999999991</v>
      </c>
      <c r="F114" s="1058">
        <f>+VLOOKUP(B114,Composición!$C$5:$D$1768,1,0)</f>
        <v>1140224207</v>
      </c>
      <c r="G114" s="1049"/>
    </row>
    <row r="115" spans="1:7" s="14" customFormat="1" ht="16.5" customHeight="1">
      <c r="A115" s="31" t="str">
        <f t="shared" si="6"/>
        <v>I</v>
      </c>
      <c r="B115" s="343">
        <v>1140224208</v>
      </c>
      <c r="C115" s="343" t="s">
        <v>102</v>
      </c>
      <c r="D115" s="347">
        <v>-475731297</v>
      </c>
      <c r="E115" s="348">
        <v>-65495.340000000317</v>
      </c>
      <c r="F115" s="1058">
        <f>+VLOOKUP(B115,Composición!$C$5:$D$1768,1,0)</f>
        <v>1140224208</v>
      </c>
      <c r="G115" s="1049"/>
    </row>
    <row r="116" spans="1:7" s="14" customFormat="1" ht="16.5" customHeight="1">
      <c r="A116" s="14" t="str">
        <f t="shared" si="6"/>
        <v>I</v>
      </c>
      <c r="B116" s="343">
        <v>1140224213</v>
      </c>
      <c r="C116" s="343" t="s">
        <v>103</v>
      </c>
      <c r="D116" s="347">
        <v>-125421507</v>
      </c>
      <c r="E116" s="348">
        <v>-17267.149999999907</v>
      </c>
      <c r="F116" s="1058">
        <f>+VLOOKUP(B116,Composición!$C$5:$D$1768,1,0)</f>
        <v>1140224213</v>
      </c>
      <c r="G116" s="1049">
        <f>+D116-F116</f>
        <v>-1265645720</v>
      </c>
    </row>
    <row r="117" spans="1:7" s="14" customFormat="1" ht="16.5" customHeight="1">
      <c r="A117" s="31" t="str">
        <f t="shared" si="6"/>
        <v>I</v>
      </c>
      <c r="B117" s="343">
        <v>1140224217</v>
      </c>
      <c r="C117" s="343" t="s">
        <v>104</v>
      </c>
      <c r="D117" s="347">
        <v>-292102877</v>
      </c>
      <c r="E117" s="348">
        <v>-40214.67</v>
      </c>
      <c r="F117" s="1058">
        <f>+VLOOKUP(B117,Composición!$C$5:$D$1768,1,0)</f>
        <v>1140224217</v>
      </c>
      <c r="G117" s="1049"/>
    </row>
    <row r="118" spans="1:7" s="14" customFormat="1" ht="16.5" customHeight="1">
      <c r="A118" s="14" t="str">
        <f t="shared" si="6"/>
        <v>I</v>
      </c>
      <c r="B118" s="343">
        <v>1140224218</v>
      </c>
      <c r="C118" s="343" t="s">
        <v>105</v>
      </c>
      <c r="D118" s="347">
        <v>-8238727</v>
      </c>
      <c r="E118" s="348">
        <v>-1134.25</v>
      </c>
      <c r="F118" s="1058">
        <f>+VLOOKUP(B118,Composición!$C$5:$D$1768,1,0)</f>
        <v>1140224218</v>
      </c>
      <c r="G118" s="1049">
        <f>+D118-F118</f>
        <v>-1148462945</v>
      </c>
    </row>
    <row r="119" spans="1:7" s="14" customFormat="1" ht="16.5" customHeight="1">
      <c r="A119" s="31" t="str">
        <f t="shared" si="6"/>
        <v>NI</v>
      </c>
      <c r="B119" s="343">
        <v>1140225</v>
      </c>
      <c r="C119" s="343" t="s">
        <v>106</v>
      </c>
      <c r="D119" s="347">
        <v>-429744274</v>
      </c>
      <c r="E119" s="348">
        <v>-59164.169999999984</v>
      </c>
      <c r="F119" s="1058">
        <f>+VLOOKUP(B119,Composición!$C$5:$D$1768,1,0)</f>
        <v>1140225</v>
      </c>
      <c r="G119" s="1049"/>
    </row>
    <row r="120" spans="1:7" s="14" customFormat="1" ht="16.5" customHeight="1">
      <c r="A120" s="31" t="str">
        <f t="shared" si="6"/>
        <v>NI</v>
      </c>
      <c r="B120" s="343">
        <v>11402251</v>
      </c>
      <c r="C120" s="343" t="s">
        <v>106</v>
      </c>
      <c r="D120" s="347">
        <v>-108757733</v>
      </c>
      <c r="E120" s="348">
        <v>-14973</v>
      </c>
      <c r="F120" s="1058">
        <f>+VLOOKUP(B120,Composición!$C$5:$D$1768,1,0)</f>
        <v>11402251</v>
      </c>
      <c r="G120" s="1049"/>
    </row>
    <row r="121" spans="1:7" s="14" customFormat="1" ht="16.5" customHeight="1">
      <c r="A121" s="31" t="str">
        <f t="shared" si="6"/>
        <v>I</v>
      </c>
      <c r="B121" s="343">
        <v>1140225108</v>
      </c>
      <c r="C121" s="343" t="s">
        <v>107</v>
      </c>
      <c r="D121" s="347">
        <v>-108757733</v>
      </c>
      <c r="E121" s="348">
        <v>-14973</v>
      </c>
      <c r="F121" s="1058">
        <f>+VLOOKUP(B121,Composición!$C$5:$D$1768,1,0)</f>
        <v>1140225108</v>
      </c>
      <c r="G121" s="1049"/>
    </row>
    <row r="122" spans="1:7" s="14" customFormat="1" ht="16.5" customHeight="1">
      <c r="A122" s="31" t="str">
        <f t="shared" si="6"/>
        <v>NI</v>
      </c>
      <c r="B122" s="346">
        <v>11402252</v>
      </c>
      <c r="C122" s="346" t="s">
        <v>108</v>
      </c>
      <c r="D122" s="340">
        <v>-320986541</v>
      </c>
      <c r="E122" s="341">
        <v>-44191.169999999984</v>
      </c>
      <c r="F122" s="1058">
        <f>+VLOOKUP(B122,Composición!$C$5:$D$1768,1,0)</f>
        <v>11402252</v>
      </c>
      <c r="G122" s="1049"/>
    </row>
    <row r="123" spans="1:7" s="14" customFormat="1" ht="16.5" customHeight="1">
      <c r="A123" s="14" t="str">
        <f t="shared" si="6"/>
        <v>I</v>
      </c>
      <c r="B123" s="343">
        <v>1140225202</v>
      </c>
      <c r="C123" s="343" t="s">
        <v>109</v>
      </c>
      <c r="D123" s="347">
        <v>-320986541</v>
      </c>
      <c r="E123" s="348">
        <v>-44191.169999999984</v>
      </c>
      <c r="F123" s="1058">
        <f>+VLOOKUP(B123,Composición!$C$5:$D$1768,1,0)</f>
        <v>1140225202</v>
      </c>
      <c r="G123" s="1049">
        <f t="shared" ref="G123:G124" si="12">+D123-F123</f>
        <v>-1461211743</v>
      </c>
    </row>
    <row r="124" spans="1:7" s="14" customFormat="1" ht="16.5" customHeight="1">
      <c r="A124" s="14" t="str">
        <f t="shared" si="6"/>
        <v>NI</v>
      </c>
      <c r="B124" s="343">
        <v>11403</v>
      </c>
      <c r="C124" s="343" t="s">
        <v>110</v>
      </c>
      <c r="D124" s="347">
        <v>9947415978</v>
      </c>
      <c r="E124" s="348">
        <v>1369490.2900000066</v>
      </c>
      <c r="F124" s="1058">
        <f>+VLOOKUP(B124,Composición!$C$5:$D$1768,1,0)</f>
        <v>11403</v>
      </c>
      <c r="G124" s="1049">
        <f t="shared" si="12"/>
        <v>9947404575</v>
      </c>
    </row>
    <row r="125" spans="1:7" s="14" customFormat="1" ht="16.5" customHeight="1">
      <c r="A125" s="31" t="str">
        <f t="shared" si="6"/>
        <v>NI</v>
      </c>
      <c r="B125" s="346">
        <v>114031</v>
      </c>
      <c r="C125" s="346" t="s">
        <v>111</v>
      </c>
      <c r="D125" s="340">
        <v>9947415978</v>
      </c>
      <c r="E125" s="341">
        <v>1369490.2900000066</v>
      </c>
      <c r="F125" s="1058">
        <f>+VLOOKUP(B125,Composición!$C$5:$D$1768,1,0)</f>
        <v>114031</v>
      </c>
      <c r="G125" s="1049"/>
    </row>
    <row r="126" spans="1:7" s="14" customFormat="1" ht="16.5" customHeight="1">
      <c r="A126" s="14" t="str">
        <f t="shared" si="6"/>
        <v>NI</v>
      </c>
      <c r="B126" s="343">
        <v>1140311</v>
      </c>
      <c r="C126" s="343" t="s">
        <v>112</v>
      </c>
      <c r="D126" s="347">
        <v>7942758328</v>
      </c>
      <c r="E126" s="348">
        <v>1093503.1200000048</v>
      </c>
      <c r="F126" s="1058">
        <f>+VLOOKUP(B126,Composición!$C$5:$D$1768,1,0)</f>
        <v>1140311</v>
      </c>
      <c r="G126" s="1049">
        <f>+D126-F126</f>
        <v>7941618017</v>
      </c>
    </row>
    <row r="127" spans="1:7" s="14" customFormat="1" ht="16.5" customHeight="1">
      <c r="A127" s="31" t="str">
        <f t="shared" si="6"/>
        <v>NI</v>
      </c>
      <c r="B127" s="346">
        <v>11403111</v>
      </c>
      <c r="C127" s="346" t="s">
        <v>113</v>
      </c>
      <c r="D127" s="340">
        <v>7837413610</v>
      </c>
      <c r="E127" s="341">
        <v>1079000</v>
      </c>
      <c r="F127" s="1058">
        <f>+VLOOKUP(B127,Composición!$C$5:$D$1768,1,0)</f>
        <v>11403111</v>
      </c>
      <c r="G127" s="1049"/>
    </row>
    <row r="128" spans="1:7" s="14" customFormat="1" ht="16.5" customHeight="1">
      <c r="A128" s="14" t="str">
        <f t="shared" si="6"/>
        <v>I</v>
      </c>
      <c r="B128" s="343">
        <v>1140311102</v>
      </c>
      <c r="C128" s="343" t="s">
        <v>114</v>
      </c>
      <c r="D128" s="347">
        <v>7837413610</v>
      </c>
      <c r="E128" s="348">
        <v>1079000</v>
      </c>
      <c r="F128" s="1058">
        <f>+VLOOKUP(B128,Composición!$C$5:$D$1768,1,0)</f>
        <v>1140311102</v>
      </c>
      <c r="G128" s="1049">
        <f>+D128-F128</f>
        <v>6697102508</v>
      </c>
    </row>
    <row r="129" spans="1:7" s="14" customFormat="1" ht="16.5" customHeight="1">
      <c r="A129" s="31" t="str">
        <f t="shared" si="6"/>
        <v>NI</v>
      </c>
      <c r="B129" s="346">
        <v>11403112</v>
      </c>
      <c r="C129" s="346" t="s">
        <v>115</v>
      </c>
      <c r="D129" s="340">
        <v>2493044516</v>
      </c>
      <c r="E129" s="341">
        <v>343224.83999999985</v>
      </c>
      <c r="F129" s="1058">
        <f>+VLOOKUP(B129,Composición!$C$5:$D$1768,1,0)</f>
        <v>11403112</v>
      </c>
      <c r="G129" s="1049"/>
    </row>
    <row r="130" spans="1:7" s="14" customFormat="1" ht="16.5" customHeight="1">
      <c r="A130" s="14" t="str">
        <f t="shared" si="6"/>
        <v>I</v>
      </c>
      <c r="B130" s="343">
        <v>1140311202</v>
      </c>
      <c r="C130" s="343" t="s">
        <v>116</v>
      </c>
      <c r="D130" s="347">
        <v>2493044516</v>
      </c>
      <c r="E130" s="348">
        <v>343224.83999999985</v>
      </c>
      <c r="F130" s="1058">
        <f>+VLOOKUP(B130,Composición!$C$5:$D$1768,1,0)</f>
        <v>1140311202</v>
      </c>
      <c r="G130" s="1049">
        <f>+D130-F130</f>
        <v>1352733314</v>
      </c>
    </row>
    <row r="131" spans="1:7" s="14" customFormat="1" ht="16.5" customHeight="1">
      <c r="A131" s="31" t="str">
        <f t="shared" si="6"/>
        <v>NI</v>
      </c>
      <c r="B131" s="343">
        <v>11403113</v>
      </c>
      <c r="C131" s="343" t="s">
        <v>117</v>
      </c>
      <c r="D131" s="347">
        <v>-2409845743</v>
      </c>
      <c r="E131" s="348">
        <v>-331770.61799999978</v>
      </c>
      <c r="F131" s="1058">
        <f>+VLOOKUP(B131,Composición!$C$5:$D$1768,1,0)</f>
        <v>11403113</v>
      </c>
      <c r="G131" s="1049"/>
    </row>
    <row r="132" spans="1:7" s="14" customFormat="1" ht="16.5" customHeight="1">
      <c r="A132" s="31" t="str">
        <f t="shared" si="6"/>
        <v>I</v>
      </c>
      <c r="B132" s="346">
        <v>1140311302</v>
      </c>
      <c r="C132" s="346" t="s">
        <v>118</v>
      </c>
      <c r="D132" s="340">
        <v>-2409845743</v>
      </c>
      <c r="E132" s="341">
        <v>-331770.61800000025</v>
      </c>
      <c r="F132" s="1058">
        <f>+VLOOKUP(B132,Composición!$C$5:$D$1768,1,0)</f>
        <v>1140311302</v>
      </c>
      <c r="G132" s="1049"/>
    </row>
    <row r="133" spans="1:7" s="14" customFormat="1" ht="16.5" customHeight="1">
      <c r="A133" s="31" t="str">
        <f t="shared" si="6"/>
        <v>NI</v>
      </c>
      <c r="B133" s="343">
        <v>11403114</v>
      </c>
      <c r="C133" s="343" t="s">
        <v>119</v>
      </c>
      <c r="D133" s="347">
        <v>22147761</v>
      </c>
      <c r="E133" s="348">
        <v>3049.1480000000015</v>
      </c>
      <c r="F133" s="1058">
        <f>+VLOOKUP(B133,Composición!$C$5:$D$1768,1,0)</f>
        <v>11403114</v>
      </c>
      <c r="G133" s="1049"/>
    </row>
    <row r="134" spans="1:7" s="14" customFormat="1" ht="16.5" customHeight="1">
      <c r="A134" s="31" t="str">
        <f t="shared" si="6"/>
        <v>I</v>
      </c>
      <c r="B134" s="346">
        <v>1140311402</v>
      </c>
      <c r="C134" s="346" t="s">
        <v>120</v>
      </c>
      <c r="D134" s="340">
        <v>22147761</v>
      </c>
      <c r="E134" s="341">
        <v>3049.1480000000015</v>
      </c>
      <c r="F134" s="1058">
        <f>+VLOOKUP(B134,Composición!$C$5:$D$1768,1,0)</f>
        <v>1140311402</v>
      </c>
      <c r="G134" s="1049"/>
    </row>
    <row r="135" spans="1:7" s="14" customFormat="1" ht="16.5" customHeight="1">
      <c r="A135" s="31" t="str">
        <f t="shared" ref="A135:A232" si="13">IF(LEN(B135)&gt;8,"I","NI")</f>
        <v>NI</v>
      </c>
      <c r="B135" s="343">
        <v>11403115</v>
      </c>
      <c r="C135" s="343" t="s">
        <v>121</v>
      </c>
      <c r="D135" s="347">
        <v>-1816</v>
      </c>
      <c r="E135" s="348">
        <v>-0.25</v>
      </c>
      <c r="F135" s="1058">
        <f>+VLOOKUP(B135,Composición!$C$5:$D$1768,1,0)</f>
        <v>11403115</v>
      </c>
      <c r="G135" s="1049"/>
    </row>
    <row r="136" spans="1:7" s="14" customFormat="1" ht="16.5" customHeight="1">
      <c r="A136" s="14" t="str">
        <f t="shared" si="13"/>
        <v>I</v>
      </c>
      <c r="B136" s="343">
        <v>1140311502</v>
      </c>
      <c r="C136" s="343" t="s">
        <v>122</v>
      </c>
      <c r="D136" s="347">
        <v>-1816</v>
      </c>
      <c r="E136" s="348">
        <v>-0.25</v>
      </c>
      <c r="F136" s="1058">
        <f>+VLOOKUP(B136,Composición!$C$5:$D$1768,1,0)</f>
        <v>1140311502</v>
      </c>
      <c r="G136" s="1049">
        <f t="shared" ref="G136:G138" si="14">+D136-F136</f>
        <v>-1140313318</v>
      </c>
    </row>
    <row r="137" spans="1:7" s="14" customFormat="1" ht="16.5" customHeight="1">
      <c r="A137" s="14" t="str">
        <f t="shared" si="13"/>
        <v>NI</v>
      </c>
      <c r="B137" s="343">
        <v>1140312</v>
      </c>
      <c r="C137" s="343" t="s">
        <v>123</v>
      </c>
      <c r="D137" s="347">
        <v>2004657650</v>
      </c>
      <c r="E137" s="348">
        <v>275987.16999999993</v>
      </c>
      <c r="F137" s="1058">
        <f>+VLOOKUP(B137,Composición!$C$5:$D$1768,1,0)</f>
        <v>1140312</v>
      </c>
      <c r="G137" s="1049">
        <f t="shared" si="14"/>
        <v>2003517338</v>
      </c>
    </row>
    <row r="138" spans="1:7" s="14" customFormat="1" ht="16.5" customHeight="1">
      <c r="A138" s="14" t="str">
        <f t="shared" si="13"/>
        <v>NI</v>
      </c>
      <c r="B138" s="343">
        <v>11403121</v>
      </c>
      <c r="C138" s="343" t="s">
        <v>123</v>
      </c>
      <c r="D138" s="347">
        <v>2002394670</v>
      </c>
      <c r="E138" s="348">
        <v>275675.62000000104</v>
      </c>
      <c r="F138" s="1058">
        <f>+VLOOKUP(B138,Composición!$C$5:$D$1768,1,0)</f>
        <v>11403121</v>
      </c>
      <c r="G138" s="1049">
        <f t="shared" si="14"/>
        <v>1990991549</v>
      </c>
    </row>
    <row r="139" spans="1:7" s="14" customFormat="1" ht="16.5" customHeight="1">
      <c r="A139" s="31" t="str">
        <f t="shared" si="13"/>
        <v>I</v>
      </c>
      <c r="B139" s="343">
        <v>1140312119</v>
      </c>
      <c r="C139" s="343" t="s">
        <v>63</v>
      </c>
      <c r="D139" s="347">
        <v>2002394670</v>
      </c>
      <c r="E139" s="348">
        <v>275675.62</v>
      </c>
      <c r="F139" s="1058">
        <f>+VLOOKUP(B139,Composición!$C$5:$D$1768,1,0)</f>
        <v>1140312119</v>
      </c>
      <c r="G139" s="1049"/>
    </row>
    <row r="140" spans="1:7" s="14" customFormat="1" ht="16.5" customHeight="1">
      <c r="A140" s="14" t="str">
        <f t="shared" si="13"/>
        <v>NI</v>
      </c>
      <c r="B140" s="343">
        <v>11403122</v>
      </c>
      <c r="C140" s="343" t="s">
        <v>124</v>
      </c>
      <c r="D140" s="347">
        <v>3168172</v>
      </c>
      <c r="E140" s="348">
        <v>436.17000000000189</v>
      </c>
      <c r="F140" s="1058">
        <f>+VLOOKUP(B140,Composición!$C$5:$D$1768,1,0)</f>
        <v>11403122</v>
      </c>
      <c r="G140" s="1049">
        <f>+D140-F140</f>
        <v>-8234950</v>
      </c>
    </row>
    <row r="141" spans="1:7" s="14" customFormat="1" ht="16.5" customHeight="1">
      <c r="A141" s="31" t="str">
        <f t="shared" si="13"/>
        <v>I</v>
      </c>
      <c r="B141" s="346">
        <v>1140312201</v>
      </c>
      <c r="C141" s="346" t="s">
        <v>124</v>
      </c>
      <c r="D141" s="340">
        <v>3168172</v>
      </c>
      <c r="E141" s="341">
        <v>436.16999999999825</v>
      </c>
      <c r="F141" s="1058">
        <f>+VLOOKUP(B141,Composición!$C$5:$D$1768,1,0)</f>
        <v>1140312201</v>
      </c>
      <c r="G141" s="1049"/>
    </row>
    <row r="142" spans="1:7" s="14" customFormat="1" ht="16.5" customHeight="1">
      <c r="A142" s="14" t="str">
        <f t="shared" si="13"/>
        <v>NI</v>
      </c>
      <c r="B142" s="343">
        <v>11403123</v>
      </c>
      <c r="C142" s="343" t="s">
        <v>125</v>
      </c>
      <c r="D142" s="347">
        <v>-905192</v>
      </c>
      <c r="E142" s="348">
        <v>-124.61999999999898</v>
      </c>
      <c r="F142" s="1058">
        <f>+VLOOKUP(B142,Composición!$C$5:$D$1768,1,0)</f>
        <v>11403123</v>
      </c>
      <c r="G142" s="1049">
        <f t="shared" ref="G142:G144" si="15">+D142-F142</f>
        <v>-12308315</v>
      </c>
    </row>
    <row r="143" spans="1:7" s="14" customFormat="1" ht="16.5" customHeight="1">
      <c r="A143" s="14" t="str">
        <f t="shared" si="13"/>
        <v>I</v>
      </c>
      <c r="B143" s="343">
        <v>1140312301</v>
      </c>
      <c r="C143" s="343" t="s">
        <v>125</v>
      </c>
      <c r="D143" s="347">
        <v>-905192</v>
      </c>
      <c r="E143" s="348">
        <v>-124.62000000000262</v>
      </c>
      <c r="F143" s="1058">
        <f>+VLOOKUP(B143,Composición!$C$5:$D$1768,1,0)</f>
        <v>1140312301</v>
      </c>
      <c r="G143" s="1049">
        <f t="shared" si="15"/>
        <v>-1141217493</v>
      </c>
    </row>
    <row r="144" spans="1:7" s="14" customFormat="1" ht="16.5" customHeight="1">
      <c r="A144" s="14" t="str">
        <f t="shared" si="13"/>
        <v>NI</v>
      </c>
      <c r="B144" s="343">
        <v>115</v>
      </c>
      <c r="C144" s="343" t="s">
        <v>126</v>
      </c>
      <c r="D144" s="347">
        <v>25339886537</v>
      </c>
      <c r="E144" s="348">
        <v>3488617.41</v>
      </c>
      <c r="F144" s="1058">
        <f>+VLOOKUP(B144,Composición!$C$5:$D$1768,1,0)</f>
        <v>115</v>
      </c>
      <c r="G144" s="1049">
        <f t="shared" si="15"/>
        <v>25339886422</v>
      </c>
    </row>
    <row r="145" spans="1:7" s="14" customFormat="1" ht="16.5" customHeight="1">
      <c r="A145" s="31" t="str">
        <f t="shared" si="13"/>
        <v>NI</v>
      </c>
      <c r="B145" s="346">
        <v>11502</v>
      </c>
      <c r="C145" s="346" t="s">
        <v>127</v>
      </c>
      <c r="D145" s="340">
        <v>25339886537</v>
      </c>
      <c r="E145" s="341">
        <v>3488617.41</v>
      </c>
      <c r="F145" s="1058">
        <f>+VLOOKUP(B145,Composición!$C$5:$D$1768,1,0)</f>
        <v>11502</v>
      </c>
      <c r="G145" s="1049"/>
    </row>
    <row r="146" spans="1:7" s="14" customFormat="1" ht="16.5" customHeight="1">
      <c r="A146" s="31" t="str">
        <f t="shared" si="13"/>
        <v>NI</v>
      </c>
      <c r="B146" s="343">
        <v>115021</v>
      </c>
      <c r="C146" s="343" t="s">
        <v>128</v>
      </c>
      <c r="D146" s="347">
        <v>25339886537</v>
      </c>
      <c r="E146" s="348">
        <v>3488617.41</v>
      </c>
      <c r="F146" s="1058">
        <f>+VLOOKUP(B146,Composición!$C$5:$D$1768,1,0)</f>
        <v>115021</v>
      </c>
      <c r="G146" s="1049"/>
    </row>
    <row r="147" spans="1:7" s="14" customFormat="1" ht="16.5" customHeight="1">
      <c r="A147" s="31" t="str">
        <f t="shared" si="13"/>
        <v>NI</v>
      </c>
      <c r="B147" s="346">
        <v>1150211</v>
      </c>
      <c r="C147" s="346" t="s">
        <v>129</v>
      </c>
      <c r="D147" s="340">
        <v>10850000000</v>
      </c>
      <c r="E147" s="341">
        <v>1493751.71</v>
      </c>
      <c r="F147" s="1058">
        <f>+VLOOKUP(B147,Composición!$C$5:$D$1768,1,0)</f>
        <v>1150211</v>
      </c>
      <c r="G147" s="1049"/>
    </row>
    <row r="148" spans="1:7" s="14" customFormat="1" ht="16.5" customHeight="1">
      <c r="A148" s="31" t="str">
        <f t="shared" si="13"/>
        <v>NI</v>
      </c>
      <c r="B148" s="346">
        <v>11502111</v>
      </c>
      <c r="C148" s="346" t="s">
        <v>130</v>
      </c>
      <c r="D148" s="340">
        <v>1350000000</v>
      </c>
      <c r="E148" s="341">
        <v>185858.51</v>
      </c>
      <c r="F148" s="1058">
        <f>+VLOOKUP(B148,Composición!$C$5:$D$1768,1,0)</f>
        <v>11502111</v>
      </c>
      <c r="G148" s="1049"/>
    </row>
    <row r="149" spans="1:7" s="14" customFormat="1" ht="16.5" customHeight="1">
      <c r="A149" s="31" t="str">
        <f t="shared" si="13"/>
        <v>I</v>
      </c>
      <c r="B149" s="346">
        <v>1150211101</v>
      </c>
      <c r="C149" s="346" t="s">
        <v>131</v>
      </c>
      <c r="D149" s="340">
        <v>1350000000</v>
      </c>
      <c r="E149" s="341">
        <v>185858.51</v>
      </c>
      <c r="F149" s="1058">
        <f>+VLOOKUP(B149,Composición!$C$5:$D$1768,1,0)</f>
        <v>1150211101</v>
      </c>
      <c r="G149" s="1049"/>
    </row>
    <row r="150" spans="1:7" s="14" customFormat="1" ht="16.5" customHeight="1">
      <c r="A150" s="31" t="str">
        <f t="shared" si="13"/>
        <v>NI</v>
      </c>
      <c r="B150" s="346">
        <v>11502112</v>
      </c>
      <c r="C150" s="346" t="s">
        <v>132</v>
      </c>
      <c r="D150" s="340">
        <v>9500000000</v>
      </c>
      <c r="E150" s="341">
        <v>1307893.2000000002</v>
      </c>
      <c r="F150" s="1058">
        <f>+VLOOKUP(B150,Composición!$C$5:$D$1768,1,0)</f>
        <v>11502112</v>
      </c>
      <c r="G150" s="1049"/>
    </row>
    <row r="151" spans="1:7" s="14" customFormat="1" ht="16.5" customHeight="1">
      <c r="A151" s="14" t="str">
        <f t="shared" si="13"/>
        <v>I</v>
      </c>
      <c r="B151" s="343">
        <v>1150211201</v>
      </c>
      <c r="C151" s="343" t="s">
        <v>132</v>
      </c>
      <c r="D151" s="347">
        <v>9500000000</v>
      </c>
      <c r="E151" s="348">
        <v>1307893.2000000002</v>
      </c>
      <c r="F151" s="1058">
        <f>+VLOOKUP(B151,Composición!$C$5:$D$1768,1,0)</f>
        <v>1150211201</v>
      </c>
      <c r="G151" s="1049">
        <f t="shared" ref="G151:G153" si="16">+D151-F151</f>
        <v>8349788799</v>
      </c>
    </row>
    <row r="152" spans="1:7" s="14" customFormat="1" ht="16.5" customHeight="1">
      <c r="A152" s="14" t="str">
        <f t="shared" si="13"/>
        <v>NI</v>
      </c>
      <c r="B152" s="343">
        <v>1150212</v>
      </c>
      <c r="C152" s="343" t="s">
        <v>133</v>
      </c>
      <c r="D152" s="347">
        <v>11277000000</v>
      </c>
      <c r="E152" s="348">
        <v>1552538.0699999996</v>
      </c>
      <c r="F152" s="1058">
        <f>+VLOOKUP(B152,Composición!$C$5:$D$1768,1,0)</f>
        <v>1150212</v>
      </c>
      <c r="G152" s="1049">
        <f t="shared" si="16"/>
        <v>11275849788</v>
      </c>
    </row>
    <row r="153" spans="1:7" s="14" customFormat="1" ht="16.5" customHeight="1">
      <c r="A153" s="14" t="str">
        <f t="shared" si="13"/>
        <v>NI</v>
      </c>
      <c r="B153" s="343">
        <v>11502123</v>
      </c>
      <c r="C153" s="343" t="s">
        <v>134</v>
      </c>
      <c r="D153" s="347">
        <v>11277000000</v>
      </c>
      <c r="E153" s="348">
        <v>1552538.0699999996</v>
      </c>
      <c r="F153" s="1058">
        <f>+VLOOKUP(B153,Composición!$C$5:$D$1768,1,0)</f>
        <v>11502123</v>
      </c>
      <c r="G153" s="1049">
        <f t="shared" si="16"/>
        <v>11265497877</v>
      </c>
    </row>
    <row r="154" spans="1:7" s="14" customFormat="1" ht="16.5" customHeight="1">
      <c r="A154" s="31" t="str">
        <f t="shared" si="13"/>
        <v>I</v>
      </c>
      <c r="B154" s="343">
        <v>1150212301</v>
      </c>
      <c r="C154" s="343" t="s">
        <v>135</v>
      </c>
      <c r="D154" s="347">
        <v>11277000000</v>
      </c>
      <c r="E154" s="348">
        <v>1552538.0699999996</v>
      </c>
      <c r="F154" s="1058">
        <f>+VLOOKUP(B154,Composición!$C$5:$D$1768,1,0)</f>
        <v>1150212301</v>
      </c>
      <c r="G154" s="1049"/>
    </row>
    <row r="155" spans="1:7" s="14" customFormat="1" ht="16.5" customHeight="1">
      <c r="A155" s="31" t="str">
        <f t="shared" si="13"/>
        <v>NI</v>
      </c>
      <c r="B155" s="346">
        <v>1150213</v>
      </c>
      <c r="C155" s="346" t="s">
        <v>136</v>
      </c>
      <c r="D155" s="340">
        <v>50000000</v>
      </c>
      <c r="E155" s="341">
        <v>6883.65</v>
      </c>
      <c r="F155" s="1058">
        <f>+VLOOKUP(B155,Composición!$C$5:$D$1768,1,0)</f>
        <v>1150213</v>
      </c>
      <c r="G155" s="1049"/>
    </row>
    <row r="156" spans="1:7" s="14" customFormat="1" ht="16.5" customHeight="1">
      <c r="A156" s="31" t="str">
        <f t="shared" si="13"/>
        <v>NI</v>
      </c>
      <c r="B156" s="343">
        <v>11502131</v>
      </c>
      <c r="C156" s="343" t="s">
        <v>137</v>
      </c>
      <c r="D156" s="347">
        <v>50000000</v>
      </c>
      <c r="E156" s="348">
        <v>6883.65</v>
      </c>
      <c r="F156" s="1058">
        <f>+VLOOKUP(B156,Composición!$C$5:$D$1768,1,0)</f>
        <v>11502131</v>
      </c>
      <c r="G156" s="1049"/>
    </row>
    <row r="157" spans="1:7" s="14" customFormat="1" ht="16.5" customHeight="1">
      <c r="A157" s="31" t="str">
        <f t="shared" si="13"/>
        <v>I</v>
      </c>
      <c r="B157" s="346">
        <v>1150213101</v>
      </c>
      <c r="C157" s="346" t="s">
        <v>138</v>
      </c>
      <c r="D157" s="340">
        <v>50000000</v>
      </c>
      <c r="E157" s="341">
        <v>6883.65</v>
      </c>
      <c r="F157" s="1058">
        <f>+VLOOKUP(B157,Composición!$C$5:$D$1768,1,0)</f>
        <v>1150213101</v>
      </c>
      <c r="G157" s="1049"/>
    </row>
    <row r="158" spans="1:7" s="14" customFormat="1" ht="16.5" customHeight="1">
      <c r="A158" s="14" t="str">
        <f t="shared" si="13"/>
        <v>NI</v>
      </c>
      <c r="B158" s="343">
        <v>1150214</v>
      </c>
      <c r="C158" s="343" t="s">
        <v>139</v>
      </c>
      <c r="D158" s="347">
        <v>3500000000</v>
      </c>
      <c r="E158" s="348">
        <v>481855.39</v>
      </c>
      <c r="F158" s="1058">
        <f>+VLOOKUP(B158,Composición!$C$5:$D$1768,1,0)</f>
        <v>1150214</v>
      </c>
      <c r="G158" s="1049">
        <f t="shared" ref="G158:G159" si="17">+D158-F158</f>
        <v>3498849786</v>
      </c>
    </row>
    <row r="159" spans="1:7" s="14" customFormat="1" ht="16.5" customHeight="1">
      <c r="A159" s="14" t="str">
        <f t="shared" si="13"/>
        <v>NI</v>
      </c>
      <c r="B159" s="344">
        <v>11502141</v>
      </c>
      <c r="C159" s="345" t="s">
        <v>140</v>
      </c>
      <c r="D159" s="347">
        <v>3500000000</v>
      </c>
      <c r="E159" s="348">
        <v>481855.39</v>
      </c>
      <c r="F159" s="1058">
        <f>+VLOOKUP(B159,Composición!$C$5:$D$1768,1,0)</f>
        <v>11502141</v>
      </c>
      <c r="G159" s="1049">
        <f t="shared" si="17"/>
        <v>3488497859</v>
      </c>
    </row>
    <row r="160" spans="1:7" s="14" customFormat="1" ht="16.5" customHeight="1">
      <c r="A160" s="31" t="str">
        <f t="shared" si="13"/>
        <v>I</v>
      </c>
      <c r="B160" s="344">
        <v>1150214101</v>
      </c>
      <c r="C160" s="345" t="s">
        <v>141</v>
      </c>
      <c r="D160" s="347">
        <v>3500000000</v>
      </c>
      <c r="E160" s="348">
        <v>481855.39</v>
      </c>
      <c r="F160" s="1058">
        <f>+VLOOKUP(B160,Composición!$C$5:$D$1768,1,0)</f>
        <v>1150214101</v>
      </c>
      <c r="G160" s="1049"/>
    </row>
    <row r="161" spans="1:7" s="14" customFormat="1" ht="16.5" customHeight="1">
      <c r="A161" s="31" t="str">
        <f t="shared" si="13"/>
        <v>NI</v>
      </c>
      <c r="B161" s="349">
        <v>1150219</v>
      </c>
      <c r="C161" s="350" t="s">
        <v>71</v>
      </c>
      <c r="D161" s="340">
        <v>-517837490</v>
      </c>
      <c r="E161" s="341">
        <v>-71292.22</v>
      </c>
      <c r="F161" s="1058">
        <f>+VLOOKUP(B161,Composición!$C$5:$D$1768,1,0)</f>
        <v>1150219</v>
      </c>
      <c r="G161" s="1049"/>
    </row>
    <row r="162" spans="1:7" s="14" customFormat="1" ht="16.5" customHeight="1">
      <c r="A162" s="31" t="str">
        <f t="shared" si="13"/>
        <v>NI</v>
      </c>
      <c r="B162" s="349">
        <v>11502191</v>
      </c>
      <c r="C162" s="350" t="s">
        <v>142</v>
      </c>
      <c r="D162" s="340">
        <v>-575596057</v>
      </c>
      <c r="E162" s="341">
        <v>-79244.02</v>
      </c>
      <c r="F162" s="1058">
        <f>+VLOOKUP(B162,Composición!$C$5:$D$1768,1,0)</f>
        <v>11502191</v>
      </c>
      <c r="G162" s="1049"/>
    </row>
    <row r="163" spans="1:7" s="14" customFormat="1" ht="16.5" customHeight="1">
      <c r="A163" s="31" t="str">
        <f t="shared" si="13"/>
        <v>I</v>
      </c>
      <c r="B163" s="349">
        <v>1150219105</v>
      </c>
      <c r="C163" s="350" t="s">
        <v>143</v>
      </c>
      <c r="D163" s="340">
        <v>-33711796</v>
      </c>
      <c r="E163" s="341">
        <v>-4641.2</v>
      </c>
      <c r="F163" s="1058">
        <f>+VLOOKUP(B163,Composición!$C$5:$D$1768,1,0)</f>
        <v>1150219105</v>
      </c>
      <c r="G163" s="1049"/>
    </row>
    <row r="164" spans="1:7" s="14" customFormat="1" ht="16.5" customHeight="1">
      <c r="A164" s="31" t="str">
        <f t="shared" si="13"/>
        <v>I</v>
      </c>
      <c r="B164" s="349">
        <v>1150219107</v>
      </c>
      <c r="C164" s="350" t="s">
        <v>144</v>
      </c>
      <c r="D164" s="340">
        <v>-5538932</v>
      </c>
      <c r="E164" s="341">
        <v>-762.56</v>
      </c>
      <c r="F164" s="1058">
        <f>+VLOOKUP(B164,Composición!$C$5:$D$1768,1,0)</f>
        <v>1150219107</v>
      </c>
      <c r="G164" s="1049"/>
    </row>
    <row r="165" spans="1:7" s="14" customFormat="1" ht="16.5" customHeight="1">
      <c r="A165" s="14" t="str">
        <f t="shared" si="13"/>
        <v>I</v>
      </c>
      <c r="B165" s="344">
        <v>1150219113</v>
      </c>
      <c r="C165" s="345" t="s">
        <v>145</v>
      </c>
      <c r="D165" s="347">
        <v>-74950851</v>
      </c>
      <c r="E165" s="348">
        <v>-10318.710000000001</v>
      </c>
      <c r="F165" s="1058">
        <f>+VLOOKUP(B165,Composición!$C$5:$D$1768,1,0)</f>
        <v>1150219113</v>
      </c>
      <c r="G165" s="1049">
        <f t="shared" ref="G165:G166" si="18">+D165-F165</f>
        <v>-1225169964</v>
      </c>
    </row>
    <row r="166" spans="1:7" s="14" customFormat="1" ht="16.5" customHeight="1">
      <c r="A166" s="14" t="str">
        <f t="shared" si="13"/>
        <v>I</v>
      </c>
      <c r="B166" s="344">
        <v>1150219131</v>
      </c>
      <c r="C166" s="345" t="s">
        <v>146</v>
      </c>
      <c r="D166" s="347">
        <v>-461394478</v>
      </c>
      <c r="E166" s="348">
        <v>-63521.55</v>
      </c>
      <c r="F166" s="1058">
        <f>+VLOOKUP(B166,Composición!$C$5:$D$1768,1,0)</f>
        <v>1150219131</v>
      </c>
      <c r="G166" s="1049">
        <f t="shared" si="18"/>
        <v>-1611613609</v>
      </c>
    </row>
    <row r="167" spans="1:7" s="14" customFormat="1" ht="16.5" customHeight="1">
      <c r="A167" s="31" t="str">
        <f t="shared" si="13"/>
        <v>NI</v>
      </c>
      <c r="B167" s="344">
        <v>11502192</v>
      </c>
      <c r="C167" s="345" t="s">
        <v>147</v>
      </c>
      <c r="D167" s="347">
        <v>57758567</v>
      </c>
      <c r="E167" s="348">
        <v>7951.7999999999984</v>
      </c>
      <c r="F167" s="1058">
        <f>+VLOOKUP(B167,Composición!$C$5:$D$1768,1,0)</f>
        <v>11502192</v>
      </c>
      <c r="G167" s="1049"/>
    </row>
    <row r="168" spans="1:7" s="14" customFormat="1" ht="16.5" customHeight="1">
      <c r="A168" s="14" t="str">
        <f t="shared" si="13"/>
        <v>I</v>
      </c>
      <c r="B168" s="344">
        <v>1150219205</v>
      </c>
      <c r="C168" s="345" t="s">
        <v>148</v>
      </c>
      <c r="D168" s="347">
        <v>45776005</v>
      </c>
      <c r="E168" s="348">
        <v>6302.12</v>
      </c>
      <c r="F168" s="1058">
        <f>+VLOOKUP(B168,Composición!$C$5:$D$1768,1,0)</f>
        <v>1150219205</v>
      </c>
      <c r="G168" s="1049">
        <f>+D168-F168</f>
        <v>-1104443200</v>
      </c>
    </row>
    <row r="169" spans="1:7" s="14" customFormat="1" ht="16.5" customHeight="1">
      <c r="A169" s="31" t="str">
        <f t="shared" si="13"/>
        <v>I</v>
      </c>
      <c r="B169" s="344">
        <v>1150219213</v>
      </c>
      <c r="C169" s="345" t="s">
        <v>149</v>
      </c>
      <c r="D169" s="347">
        <v>7396789</v>
      </c>
      <c r="E169" s="348">
        <v>1018.3399999999998</v>
      </c>
      <c r="F169" s="1058">
        <f>+VLOOKUP(B169,Composición!$C$5:$D$1768,1,0)</f>
        <v>1150219213</v>
      </c>
      <c r="G169" s="1049"/>
    </row>
    <row r="170" spans="1:7" s="14" customFormat="1" ht="16.5" customHeight="1">
      <c r="A170" s="14" t="str">
        <f t="shared" si="13"/>
        <v>I</v>
      </c>
      <c r="B170" s="344">
        <v>1150219229</v>
      </c>
      <c r="C170" s="345" t="s">
        <v>150</v>
      </c>
      <c r="D170" s="347">
        <v>4585773</v>
      </c>
      <c r="E170" s="348">
        <v>631.34</v>
      </c>
      <c r="F170" s="1058">
        <f>+VLOOKUP(B170,Composición!$C$5:$D$1768,1,0)</f>
        <v>1150219229</v>
      </c>
      <c r="G170" s="1049">
        <f t="shared" ref="G170:G171" si="19">+D170-F170</f>
        <v>-1145633456</v>
      </c>
    </row>
    <row r="171" spans="1:7" s="14" customFormat="1" ht="16.5" customHeight="1">
      <c r="A171" s="14" t="str">
        <f t="shared" si="13"/>
        <v>NI</v>
      </c>
      <c r="B171" s="344">
        <v>1150224</v>
      </c>
      <c r="C171" s="345" t="s">
        <v>151</v>
      </c>
      <c r="D171" s="347">
        <v>180724027</v>
      </c>
      <c r="E171" s="348">
        <v>24880.809999999998</v>
      </c>
      <c r="F171" s="1058">
        <f>+VLOOKUP(B171,Composición!$C$5:$D$1768,1,0)</f>
        <v>1150224</v>
      </c>
      <c r="G171" s="1049">
        <f t="shared" si="19"/>
        <v>179573803</v>
      </c>
    </row>
    <row r="172" spans="1:7" s="14" customFormat="1" ht="16.5" customHeight="1">
      <c r="A172" s="31" t="str">
        <f t="shared" si="13"/>
        <v>NI</v>
      </c>
      <c r="B172" s="349">
        <v>11502241</v>
      </c>
      <c r="C172" s="350" t="s">
        <v>152</v>
      </c>
      <c r="D172" s="340">
        <v>2077759533</v>
      </c>
      <c r="E172" s="341">
        <v>286051.32</v>
      </c>
      <c r="F172" s="1058">
        <f>+VLOOKUP(B172,Composición!$C$5:$D$1768,1,0)</f>
        <v>11502241</v>
      </c>
      <c r="G172" s="1049"/>
    </row>
    <row r="173" spans="1:7" s="14" customFormat="1" ht="16.5" customHeight="1">
      <c r="A173" s="31" t="str">
        <f t="shared" si="13"/>
        <v>I</v>
      </c>
      <c r="B173" s="349">
        <v>1150224105</v>
      </c>
      <c r="C173" s="350" t="s">
        <v>153</v>
      </c>
      <c r="D173" s="340">
        <v>1395814328</v>
      </c>
      <c r="E173" s="341">
        <v>192165.9</v>
      </c>
      <c r="F173" s="1058">
        <f>+VLOOKUP(B173,Composición!$C$5:$D$1768,1,0)</f>
        <v>1150224105</v>
      </c>
      <c r="G173" s="1049"/>
    </row>
    <row r="174" spans="1:7" s="14" customFormat="1" ht="16.5" customHeight="1">
      <c r="A174" s="14" t="str">
        <f t="shared" si="13"/>
        <v>I</v>
      </c>
      <c r="B174" s="344">
        <v>1150224107</v>
      </c>
      <c r="C174" s="345" t="s">
        <v>154</v>
      </c>
      <c r="D174" s="347">
        <v>29578082</v>
      </c>
      <c r="E174" s="348">
        <v>4072.1000000000008</v>
      </c>
      <c r="F174" s="1058">
        <f>+VLOOKUP(B174,Composición!$C$5:$D$1768,1,0)</f>
        <v>1150224107</v>
      </c>
      <c r="G174" s="1049">
        <f>+D174-F174</f>
        <v>-1120646025</v>
      </c>
    </row>
    <row r="175" spans="1:7" s="14" customFormat="1" ht="16.5" customHeight="1">
      <c r="A175" s="31" t="str">
        <f t="shared" si="13"/>
        <v>I</v>
      </c>
      <c r="B175" s="344">
        <v>1150224113</v>
      </c>
      <c r="C175" s="345" t="s">
        <v>155</v>
      </c>
      <c r="D175" s="347">
        <v>493469863</v>
      </c>
      <c r="E175" s="348">
        <v>67937.460000000006</v>
      </c>
      <c r="F175" s="1058">
        <f>+VLOOKUP(B175,Composición!$C$5:$D$1768,1,0)</f>
        <v>1150224113</v>
      </c>
      <c r="G175" s="1049"/>
    </row>
    <row r="176" spans="1:7" s="14" customFormat="1" ht="16.5" customHeight="1">
      <c r="A176" s="14" t="str">
        <f t="shared" si="13"/>
        <v>I</v>
      </c>
      <c r="B176" s="344">
        <v>1150224129</v>
      </c>
      <c r="C176" s="345" t="s">
        <v>156</v>
      </c>
      <c r="D176" s="347">
        <v>158897260</v>
      </c>
      <c r="E176" s="348">
        <v>21875.86</v>
      </c>
      <c r="F176" s="1058">
        <f>+VLOOKUP(B176,Composición!$C$5:$D$1768,1,0)</f>
        <v>1150224129</v>
      </c>
      <c r="G176" s="1049">
        <f>+D176-F176</f>
        <v>-991326869</v>
      </c>
    </row>
    <row r="177" spans="1:7" s="14" customFormat="1" ht="16.5" customHeight="1">
      <c r="A177" s="31" t="str">
        <f t="shared" si="13"/>
        <v>NI</v>
      </c>
      <c r="B177" s="349">
        <v>11502242</v>
      </c>
      <c r="C177" s="350" t="s">
        <v>157</v>
      </c>
      <c r="D177" s="340">
        <v>-1897035506</v>
      </c>
      <c r="E177" s="341">
        <v>-261170.51</v>
      </c>
      <c r="F177" s="1058">
        <f>+VLOOKUP(B177,Composición!$C$5:$D$1768,1,0)</f>
        <v>11502242</v>
      </c>
      <c r="G177" s="1049"/>
    </row>
    <row r="178" spans="1:7" s="14" customFormat="1" ht="16.5" customHeight="1">
      <c r="A178" s="31" t="str">
        <f t="shared" si="13"/>
        <v>I</v>
      </c>
      <c r="B178" s="349">
        <v>1150224205</v>
      </c>
      <c r="C178" s="350" t="s">
        <v>158</v>
      </c>
      <c r="D178" s="340">
        <v>-1277230400</v>
      </c>
      <c r="E178" s="341">
        <v>-175840.09999999998</v>
      </c>
      <c r="F178" s="1058">
        <f>+VLOOKUP(B178,Composición!$C$5:$D$1768,1,0)</f>
        <v>1150224205</v>
      </c>
      <c r="G178" s="1049"/>
    </row>
    <row r="179" spans="1:7" s="14" customFormat="1" ht="16.5" customHeight="1">
      <c r="A179" s="31" t="str">
        <f t="shared" si="13"/>
        <v>I</v>
      </c>
      <c r="B179" s="349">
        <v>1150224207</v>
      </c>
      <c r="C179" s="350" t="s">
        <v>159</v>
      </c>
      <c r="D179" s="340">
        <v>-28208219</v>
      </c>
      <c r="E179" s="341">
        <v>-3883.51</v>
      </c>
      <c r="F179" s="1058">
        <f>+VLOOKUP(B179,Composición!$C$5:$D$1768,1,0)</f>
        <v>1150224207</v>
      </c>
      <c r="G179" s="1049"/>
    </row>
    <row r="180" spans="1:7" s="14" customFormat="1" ht="16.5" customHeight="1">
      <c r="A180" s="31" t="str">
        <f t="shared" si="13"/>
        <v>I</v>
      </c>
      <c r="B180" s="349">
        <v>1150224213</v>
      </c>
      <c r="C180" s="350" t="s">
        <v>160</v>
      </c>
      <c r="D180" s="340">
        <v>-442682192</v>
      </c>
      <c r="E180" s="341">
        <v>-60945.37</v>
      </c>
      <c r="F180" s="1058">
        <f>+VLOOKUP(B180,Composición!$C$5:$D$1768,1,0)</f>
        <v>1150224213</v>
      </c>
      <c r="G180" s="1049"/>
    </row>
    <row r="181" spans="1:7" s="14" customFormat="1" ht="16.5" customHeight="1">
      <c r="A181" s="31" t="str">
        <f t="shared" si="13"/>
        <v>I</v>
      </c>
      <c r="B181" s="344">
        <v>1150224229</v>
      </c>
      <c r="C181" s="345" t="s">
        <v>161</v>
      </c>
      <c r="D181" s="347">
        <v>-148914695</v>
      </c>
      <c r="E181" s="348">
        <v>-20501.53</v>
      </c>
      <c r="F181" s="1058">
        <f>+VLOOKUP(B181,Composición!$C$5:$D$1768,1,0)</f>
        <v>1150224229</v>
      </c>
      <c r="G181" s="1049"/>
    </row>
    <row r="182" spans="1:7" s="14" customFormat="1" ht="16.5" customHeight="1">
      <c r="A182" s="14" t="str">
        <f t="shared" si="13"/>
        <v>NI</v>
      </c>
      <c r="B182" s="344">
        <v>119</v>
      </c>
      <c r="C182" s="345" t="s">
        <v>162</v>
      </c>
      <c r="D182" s="347">
        <v>18618097</v>
      </c>
      <c r="E182" s="348">
        <v>2576.1549999999988</v>
      </c>
      <c r="F182" s="1058">
        <f>+VLOOKUP(B182,Composición!$C$5:$D$1768,1,0)</f>
        <v>119</v>
      </c>
      <c r="G182" s="1049">
        <f>+D182-F182</f>
        <v>18617978</v>
      </c>
    </row>
    <row r="183" spans="1:7" s="14" customFormat="1" ht="16.5" customHeight="1">
      <c r="A183" s="31"/>
      <c r="B183" s="349">
        <v>11901</v>
      </c>
      <c r="C183" s="350" t="s">
        <v>163</v>
      </c>
      <c r="D183" s="340">
        <v>18618097</v>
      </c>
      <c r="E183" s="341">
        <v>2576.1549999999988</v>
      </c>
      <c r="F183" s="1058">
        <f>+VLOOKUP(B183,Composición!$C$5:$D$1768,1,0)</f>
        <v>11901</v>
      </c>
      <c r="G183" s="1049"/>
    </row>
    <row r="184" spans="1:7" s="14" customFormat="1" ht="16.5" customHeight="1">
      <c r="A184" s="31" t="str">
        <f t="shared" ref="A184:A219" si="20">IF(LEN(B184)&gt;8,"I","NI")</f>
        <v>NI</v>
      </c>
      <c r="B184" s="344">
        <v>119011</v>
      </c>
      <c r="C184" s="345" t="s">
        <v>163</v>
      </c>
      <c r="D184" s="347">
        <v>18618097</v>
      </c>
      <c r="E184" s="348">
        <v>2576.1549999999988</v>
      </c>
      <c r="F184" s="1058">
        <f>+VLOOKUP(B184,Composición!$C$5:$D$1768,1,0)</f>
        <v>119011</v>
      </c>
      <c r="G184" s="1049"/>
    </row>
    <row r="185" spans="1:7" s="14" customFormat="1" ht="16.5" customHeight="1">
      <c r="A185" s="31" t="str">
        <f t="shared" si="20"/>
        <v>NI</v>
      </c>
      <c r="B185" s="349">
        <v>1190111</v>
      </c>
      <c r="C185" s="350" t="s">
        <v>163</v>
      </c>
      <c r="D185" s="340">
        <v>3866217</v>
      </c>
      <c r="E185" s="341">
        <v>576.15499999999884</v>
      </c>
      <c r="F185" s="1058">
        <f>+VLOOKUP(B185,Composición!$C$5:$D$1768,1,0)</f>
        <v>1190111</v>
      </c>
      <c r="G185" s="1049"/>
    </row>
    <row r="186" spans="1:7" s="14" customFormat="1" ht="16.5" customHeight="1">
      <c r="A186" s="31" t="str">
        <f t="shared" si="20"/>
        <v>NI</v>
      </c>
      <c r="B186" s="344">
        <v>11901112</v>
      </c>
      <c r="C186" s="345" t="s">
        <v>164</v>
      </c>
      <c r="D186" s="347">
        <v>7317917</v>
      </c>
      <c r="E186" s="348">
        <v>1004.0600000000002</v>
      </c>
      <c r="F186" s="1058">
        <f>+VLOOKUP(B186,Composición!$C$5:$D$1768,1,0)</f>
        <v>11901112</v>
      </c>
      <c r="G186" s="1049"/>
    </row>
    <row r="187" spans="1:7" s="14" customFormat="1" ht="16.5" customHeight="1">
      <c r="A187" s="31" t="str">
        <f t="shared" ref="A187:A202" si="21">IF(LEN(B187)&gt;8,"I","NI")</f>
        <v>I</v>
      </c>
      <c r="B187" s="344">
        <v>1190111203</v>
      </c>
      <c r="C187" s="345" t="s">
        <v>165</v>
      </c>
      <c r="D187" s="347">
        <v>4430349</v>
      </c>
      <c r="E187" s="348">
        <v>608.3900000000001</v>
      </c>
      <c r="F187" s="1058">
        <f>+VLOOKUP(B187,Composición!$C$5:$D$1768,1,0)</f>
        <v>1190111203</v>
      </c>
      <c r="G187" s="1049"/>
    </row>
    <row r="188" spans="1:7" s="14" customFormat="1" ht="16.5" customHeight="1">
      <c r="A188" s="31" t="str">
        <f t="shared" si="21"/>
        <v>I</v>
      </c>
      <c r="B188" s="349">
        <v>1190111206</v>
      </c>
      <c r="C188" s="350" t="s">
        <v>166</v>
      </c>
      <c r="D188" s="340">
        <v>490130</v>
      </c>
      <c r="E188" s="341">
        <v>66.970000000000027</v>
      </c>
      <c r="F188" s="1058">
        <f>+VLOOKUP(B188,Composición!$C$5:$D$1768,1,0)</f>
        <v>1190111206</v>
      </c>
      <c r="G188" s="1049"/>
    </row>
    <row r="189" spans="1:7" s="14" customFormat="1" ht="16.5" customHeight="1">
      <c r="A189" s="31" t="str">
        <f t="shared" si="21"/>
        <v>I</v>
      </c>
      <c r="B189" s="344">
        <v>1190111207</v>
      </c>
      <c r="C189" s="345" t="s">
        <v>167</v>
      </c>
      <c r="D189" s="347">
        <v>2397438</v>
      </c>
      <c r="E189" s="348">
        <v>328.69999999999993</v>
      </c>
      <c r="F189" s="1058">
        <f>+VLOOKUP(B189,Composición!$C$5:$D$1768,1,0)</f>
        <v>1190111207</v>
      </c>
      <c r="G189" s="1049"/>
    </row>
    <row r="190" spans="1:7" s="14" customFormat="1" ht="16.5" customHeight="1">
      <c r="A190" s="31" t="str">
        <f t="shared" si="21"/>
        <v>NI</v>
      </c>
      <c r="B190" s="344">
        <v>11901114</v>
      </c>
      <c r="C190" s="345" t="s">
        <v>168</v>
      </c>
      <c r="D190" s="347">
        <v>11300180</v>
      </c>
      <c r="E190" s="348">
        <v>1572.0949999999975</v>
      </c>
      <c r="F190" s="1058">
        <f>+VLOOKUP(B190,Composición!$C$5:$D$1768,1,0)</f>
        <v>11901114</v>
      </c>
      <c r="G190" s="1049"/>
    </row>
    <row r="191" spans="1:7" s="14" customFormat="1" ht="16.5" customHeight="1">
      <c r="A191" s="14" t="str">
        <f t="shared" si="21"/>
        <v>I</v>
      </c>
      <c r="B191" s="344">
        <v>1190111406</v>
      </c>
      <c r="C191" s="345" t="s">
        <v>169</v>
      </c>
      <c r="D191" s="347">
        <v>10883676</v>
      </c>
      <c r="E191" s="348">
        <v>1513.9349999999993</v>
      </c>
      <c r="F191" s="1058">
        <f>+VLOOKUP(B191,Composición!$C$5:$D$1768,1,0)</f>
        <v>1190111406</v>
      </c>
      <c r="G191" s="1049">
        <f>+D191-F191</f>
        <v>-1179227730</v>
      </c>
    </row>
    <row r="192" spans="1:7" s="14" customFormat="1" ht="16.5" customHeight="1">
      <c r="A192" s="31" t="str">
        <f t="shared" si="21"/>
        <v>I</v>
      </c>
      <c r="B192" s="344">
        <v>1190111407</v>
      </c>
      <c r="C192" s="345" t="s">
        <v>170</v>
      </c>
      <c r="D192" s="347">
        <v>416504</v>
      </c>
      <c r="E192" s="348">
        <v>58.160000000000075</v>
      </c>
      <c r="F192" s="1058">
        <f>+VLOOKUP(B192,Composición!$C$5:$D$1768,1,0)</f>
        <v>1190111407</v>
      </c>
      <c r="G192" s="1049"/>
    </row>
    <row r="193" spans="1:7" s="14" customFormat="1" ht="16.5" customHeight="1">
      <c r="A193" s="31" t="str">
        <f t="shared" si="21"/>
        <v>NI</v>
      </c>
      <c r="B193" s="344">
        <v>12</v>
      </c>
      <c r="C193" s="345" t="s">
        <v>171</v>
      </c>
      <c r="D193" s="347">
        <v>3747773228</v>
      </c>
      <c r="E193" s="348">
        <v>520768.89</v>
      </c>
      <c r="F193" s="1058">
        <f>+VLOOKUP(B193,Composición!$C$5:$D$1768,1,0)</f>
        <v>12</v>
      </c>
      <c r="G193" s="1049"/>
    </row>
    <row r="194" spans="1:7" s="14" customFormat="1" ht="16.5" customHeight="1">
      <c r="A194" s="31" t="str">
        <f t="shared" si="21"/>
        <v>NI</v>
      </c>
      <c r="B194" s="349">
        <v>121</v>
      </c>
      <c r="C194" s="350" t="s">
        <v>172</v>
      </c>
      <c r="D194" s="340">
        <v>1668742466</v>
      </c>
      <c r="E194" s="341">
        <v>229740.72999999998</v>
      </c>
      <c r="F194" s="1058">
        <f>+VLOOKUP(B194,Composición!$C$5:$D$1768,1,0)</f>
        <v>121</v>
      </c>
      <c r="G194" s="1049"/>
    </row>
    <row r="195" spans="1:7" s="14" customFormat="1" ht="16.5" customHeight="1">
      <c r="A195" s="31" t="str">
        <f t="shared" si="21"/>
        <v>NI</v>
      </c>
      <c r="B195" s="344">
        <v>12102</v>
      </c>
      <c r="C195" s="345" t="s">
        <v>54</v>
      </c>
      <c r="D195" s="347">
        <v>665742466</v>
      </c>
      <c r="E195" s="348">
        <v>91654.74</v>
      </c>
      <c r="F195" s="1058">
        <f>+VLOOKUP(B195,Composición!$C$5:$D$1768,1,0)</f>
        <v>12102</v>
      </c>
      <c r="G195" s="1049"/>
    </row>
    <row r="196" spans="1:7" s="14" customFormat="1" ht="16.5" customHeight="1">
      <c r="A196" s="31" t="str">
        <f t="shared" si="21"/>
        <v>NI</v>
      </c>
      <c r="B196" s="344">
        <v>121021</v>
      </c>
      <c r="C196" s="345" t="s">
        <v>55</v>
      </c>
      <c r="D196" s="347">
        <v>665742466</v>
      </c>
      <c r="E196" s="348">
        <v>91654.74</v>
      </c>
      <c r="F196" s="1058">
        <f>+VLOOKUP(B196,Composición!$C$5:$D$1768,1,0)</f>
        <v>121021</v>
      </c>
      <c r="G196" s="1049"/>
    </row>
    <row r="197" spans="1:7" s="14" customFormat="1" ht="16.5" customHeight="1">
      <c r="A197" s="31" t="str">
        <f t="shared" si="21"/>
        <v>NI</v>
      </c>
      <c r="B197" s="349">
        <v>1210215</v>
      </c>
      <c r="C197" s="350" t="s">
        <v>173</v>
      </c>
      <c r="D197" s="340">
        <v>665742466</v>
      </c>
      <c r="E197" s="341">
        <v>91654.74</v>
      </c>
      <c r="F197" s="1058">
        <f>+VLOOKUP(B197,Composición!$C$5:$D$1768,1,0)</f>
        <v>1210215</v>
      </c>
      <c r="G197" s="1049"/>
    </row>
    <row r="198" spans="1:7" s="14" customFormat="1" ht="16.5" customHeight="1">
      <c r="A198" s="31" t="str">
        <f t="shared" si="21"/>
        <v>NI</v>
      </c>
      <c r="B198" s="344">
        <v>12102152</v>
      </c>
      <c r="C198" s="345" t="s">
        <v>174</v>
      </c>
      <c r="D198" s="347">
        <v>665742466</v>
      </c>
      <c r="E198" s="348">
        <v>91654.74</v>
      </c>
      <c r="F198" s="1058">
        <f>+VLOOKUP(B198,Composición!$C$5:$D$1768,1,0)</f>
        <v>12102152</v>
      </c>
      <c r="G198" s="1049"/>
    </row>
    <row r="199" spans="1:7" s="14" customFormat="1" ht="16.5" customHeight="1">
      <c r="A199" s="31" t="str">
        <f t="shared" si="21"/>
        <v>I</v>
      </c>
      <c r="B199" s="344">
        <v>1210215201</v>
      </c>
      <c r="C199" s="345" t="s">
        <v>175</v>
      </c>
      <c r="D199" s="347">
        <v>650000000</v>
      </c>
      <c r="E199" s="348">
        <v>89487.43</v>
      </c>
      <c r="F199" s="1058">
        <f>+VLOOKUP(B199,Composición!$C$5:$D$1768,1,0)</f>
        <v>1210215201</v>
      </c>
      <c r="G199" s="1049"/>
    </row>
    <row r="200" spans="1:7" s="14" customFormat="1" ht="16.5" customHeight="1">
      <c r="A200" s="14" t="str">
        <f t="shared" si="21"/>
        <v>I</v>
      </c>
      <c r="B200" s="344">
        <v>1210215202</v>
      </c>
      <c r="C200" s="345" t="s">
        <v>176</v>
      </c>
      <c r="D200" s="347">
        <v>337884247</v>
      </c>
      <c r="E200" s="348">
        <v>46517.53</v>
      </c>
      <c r="F200" s="1058">
        <f>+VLOOKUP(B200,Composición!$C$5:$D$1768,1,0)</f>
        <v>1210215202</v>
      </c>
      <c r="G200" s="1049">
        <f>+D200-F200</f>
        <v>-872330955</v>
      </c>
    </row>
    <row r="201" spans="1:7" s="14" customFormat="1" ht="16.5" customHeight="1">
      <c r="A201" s="31" t="str">
        <f t="shared" si="21"/>
        <v>I</v>
      </c>
      <c r="B201" s="344">
        <v>1210215203</v>
      </c>
      <c r="C201" s="345" t="s">
        <v>177</v>
      </c>
      <c r="D201" s="347">
        <v>-322141781</v>
      </c>
      <c r="E201" s="348">
        <v>-44350.22</v>
      </c>
      <c r="F201" s="1058">
        <f>+VLOOKUP(B201,Composición!$C$5:$D$1768,1,0)</f>
        <v>1210215203</v>
      </c>
      <c r="G201" s="1049"/>
    </row>
    <row r="202" spans="1:7" s="14" customFormat="1" ht="16.5" customHeight="1">
      <c r="A202" s="14" t="str">
        <f t="shared" si="21"/>
        <v>NI</v>
      </c>
      <c r="B202" s="349">
        <v>12103</v>
      </c>
      <c r="C202" s="350" t="s">
        <v>178</v>
      </c>
      <c r="D202" s="340">
        <v>1003000000</v>
      </c>
      <c r="E202" s="341">
        <v>138085.99</v>
      </c>
      <c r="F202" s="1058">
        <f>+VLOOKUP(B202,Composición!$C$5:$D$1768,1,0)</f>
        <v>12103</v>
      </c>
      <c r="G202" s="1049">
        <f>+D202-F202</f>
        <v>1002987897</v>
      </c>
    </row>
    <row r="203" spans="1:7" s="14" customFormat="1" ht="16.5" customHeight="1">
      <c r="A203" s="31" t="str">
        <f t="shared" si="20"/>
        <v>NI</v>
      </c>
      <c r="B203" s="344">
        <v>121031</v>
      </c>
      <c r="C203" s="345" t="s">
        <v>178</v>
      </c>
      <c r="D203" s="347">
        <v>1003000000</v>
      </c>
      <c r="E203" s="348">
        <v>138085.99</v>
      </c>
      <c r="F203" s="1058">
        <f>+VLOOKUP(B203,Composición!$C$5:$D$1768,1,0)</f>
        <v>121031</v>
      </c>
      <c r="G203" s="1049"/>
    </row>
    <row r="204" spans="1:7" s="14" customFormat="1" ht="16.5" customHeight="1">
      <c r="A204" s="31" t="str">
        <f t="shared" si="20"/>
        <v>NI</v>
      </c>
      <c r="B204" s="349">
        <v>1210311</v>
      </c>
      <c r="C204" s="350" t="s">
        <v>178</v>
      </c>
      <c r="D204" s="340">
        <v>1003000000</v>
      </c>
      <c r="E204" s="341">
        <v>138085.99</v>
      </c>
      <c r="F204" s="1058">
        <f>+VLOOKUP(B204,Composición!$C$5:$D$1768,1,0)</f>
        <v>1210311</v>
      </c>
      <c r="G204" s="1049"/>
    </row>
    <row r="205" spans="1:7" s="14" customFormat="1" ht="16.5" customHeight="1">
      <c r="A205" s="31" t="str">
        <f t="shared" si="20"/>
        <v>NI</v>
      </c>
      <c r="B205" s="344">
        <v>12103111</v>
      </c>
      <c r="C205" s="345" t="s">
        <v>178</v>
      </c>
      <c r="D205" s="347">
        <v>1003000000</v>
      </c>
      <c r="E205" s="348">
        <v>138085.99</v>
      </c>
      <c r="F205" s="1058">
        <f>+VLOOKUP(B205,Composición!$C$5:$D$1768,1,0)</f>
        <v>12103111</v>
      </c>
      <c r="G205" s="1049"/>
    </row>
    <row r="206" spans="1:7" s="14" customFormat="1" ht="16.5" customHeight="1">
      <c r="A206" s="31" t="str">
        <f t="shared" si="20"/>
        <v>I</v>
      </c>
      <c r="B206" s="344">
        <v>1210311101</v>
      </c>
      <c r="C206" s="345" t="s">
        <v>179</v>
      </c>
      <c r="D206" s="347">
        <v>262142322</v>
      </c>
      <c r="E206" s="348">
        <v>36089.909999999996</v>
      </c>
      <c r="F206" s="1058">
        <f>+VLOOKUP(B206,Composición!$C$5:$D$1768,1,0)</f>
        <v>1210311101</v>
      </c>
      <c r="G206" s="1049"/>
    </row>
    <row r="207" spans="1:7" s="14" customFormat="1" ht="16.5" customHeight="1">
      <c r="A207" s="14" t="str">
        <f t="shared" si="20"/>
        <v>I</v>
      </c>
      <c r="B207" s="344">
        <v>1210311102</v>
      </c>
      <c r="C207" s="345" t="s">
        <v>180</v>
      </c>
      <c r="D207" s="347">
        <v>740857678</v>
      </c>
      <c r="E207" s="348">
        <v>101996.07999999999</v>
      </c>
      <c r="F207" s="1058">
        <f>+VLOOKUP(B207,Composición!$C$5:$D$1768,1,0)</f>
        <v>1210311102</v>
      </c>
      <c r="G207" s="1049">
        <f>+D207-F207</f>
        <v>-469453424</v>
      </c>
    </row>
    <row r="208" spans="1:7" s="14" customFormat="1" ht="16.5" customHeight="1">
      <c r="A208" s="31" t="str">
        <f t="shared" ref="A208:A218" si="22">IF(LEN(B208)&gt;8,"I","NI")</f>
        <v>NI</v>
      </c>
      <c r="B208" s="344">
        <v>128</v>
      </c>
      <c r="C208" s="345" t="s">
        <v>181</v>
      </c>
      <c r="D208" s="347">
        <v>2033836042</v>
      </c>
      <c r="E208" s="348">
        <v>284731.33000000007</v>
      </c>
      <c r="F208" s="1058">
        <f>+VLOOKUP(B208,Composición!$C$5:$D$1768,1,0)</f>
        <v>128</v>
      </c>
      <c r="G208" s="1049"/>
    </row>
    <row r="209" spans="1:7" s="14" customFormat="1" ht="16.5" customHeight="1">
      <c r="A209" s="31" t="str">
        <f t="shared" si="22"/>
        <v>NI</v>
      </c>
      <c r="B209" s="344">
        <v>12801</v>
      </c>
      <c r="C209" s="345" t="s">
        <v>182</v>
      </c>
      <c r="D209" s="347">
        <v>2033836042</v>
      </c>
      <c r="E209" s="348">
        <v>284731.33000000007</v>
      </c>
      <c r="F209" s="1058">
        <f>+VLOOKUP(B209,Composición!$C$5:$D$1768,1,0)</f>
        <v>12801</v>
      </c>
      <c r="G209" s="1049"/>
    </row>
    <row r="210" spans="1:7" s="14" customFormat="1" ht="16.5" customHeight="1">
      <c r="A210" s="31" t="str">
        <f t="shared" si="22"/>
        <v>NI</v>
      </c>
      <c r="B210" s="349">
        <v>128011</v>
      </c>
      <c r="C210" s="350" t="s">
        <v>182</v>
      </c>
      <c r="D210" s="340">
        <v>2033836042</v>
      </c>
      <c r="E210" s="341">
        <v>284731.33000000007</v>
      </c>
      <c r="F210" s="1058">
        <f>+VLOOKUP(B210,Composición!$C$5:$D$1768,1,0)</f>
        <v>128011</v>
      </c>
      <c r="G210" s="1049"/>
    </row>
    <row r="211" spans="1:7" s="14" customFormat="1" ht="16.5" customHeight="1">
      <c r="A211" s="31" t="str">
        <f t="shared" si="22"/>
        <v>NI</v>
      </c>
      <c r="B211" s="344">
        <v>1280111</v>
      </c>
      <c r="C211" s="345" t="s">
        <v>183</v>
      </c>
      <c r="D211" s="347">
        <v>1700719834</v>
      </c>
      <c r="E211" s="348">
        <v>238898</v>
      </c>
      <c r="F211" s="1058">
        <f>+VLOOKUP(B211,Composición!$C$5:$D$1768,1,0)</f>
        <v>1280111</v>
      </c>
      <c r="G211" s="1049"/>
    </row>
    <row r="212" spans="1:7" s="14" customFormat="1" ht="16.5" customHeight="1">
      <c r="A212" s="31" t="str">
        <f t="shared" si="22"/>
        <v>NI</v>
      </c>
      <c r="B212" s="344">
        <v>12801111</v>
      </c>
      <c r="C212" s="345" t="s">
        <v>184</v>
      </c>
      <c r="D212" s="347">
        <v>1849633864</v>
      </c>
      <c r="E212" s="348">
        <v>259840</v>
      </c>
      <c r="F212" s="1058">
        <f>+VLOOKUP(B212,Composición!$C$5:$D$1768,1,0)</f>
        <v>12801111</v>
      </c>
      <c r="G212" s="1049"/>
    </row>
    <row r="213" spans="1:7" s="14" customFormat="1" ht="16.5" customHeight="1">
      <c r="A213" s="31" t="str">
        <f t="shared" si="22"/>
        <v>I</v>
      </c>
      <c r="B213" s="349">
        <v>1280111102</v>
      </c>
      <c r="C213" s="350" t="s">
        <v>185</v>
      </c>
      <c r="D213" s="340">
        <v>1849633864</v>
      </c>
      <c r="E213" s="341">
        <v>259840</v>
      </c>
      <c r="F213" s="1058">
        <f>+VLOOKUP(B213,Composición!$C$5:$D$1768,1,0)</f>
        <v>1280111102</v>
      </c>
      <c r="G213" s="1049"/>
    </row>
    <row r="214" spans="1:7" s="14" customFormat="1" ht="16.5" customHeight="1">
      <c r="A214" s="31" t="str">
        <f t="shared" si="22"/>
        <v>NI</v>
      </c>
      <c r="B214" s="344">
        <v>12801117</v>
      </c>
      <c r="C214" s="345" t="s">
        <v>186</v>
      </c>
      <c r="D214" s="347">
        <v>-148914030</v>
      </c>
      <c r="E214" s="348">
        <v>-20942</v>
      </c>
      <c r="F214" s="1058">
        <f>+VLOOKUP(B214,Composición!$C$5:$D$1768,1,0)</f>
        <v>12801117</v>
      </c>
      <c r="G214" s="1049"/>
    </row>
    <row r="215" spans="1:7" s="14" customFormat="1" ht="16.5" customHeight="1">
      <c r="A215" s="31" t="str">
        <f t="shared" si="22"/>
        <v>I</v>
      </c>
      <c r="B215" s="344">
        <v>1280111701</v>
      </c>
      <c r="C215" s="345" t="s">
        <v>184</v>
      </c>
      <c r="D215" s="347">
        <v>-148914030</v>
      </c>
      <c r="E215" s="348">
        <v>-20942</v>
      </c>
      <c r="F215" s="1058">
        <f>+VLOOKUP(B215,Composición!$C$5:$D$1768,1,0)</f>
        <v>1280111701</v>
      </c>
      <c r="G215" s="1049"/>
    </row>
    <row r="216" spans="1:7" s="14" customFormat="1" ht="16.5" customHeight="1">
      <c r="A216" s="14" t="str">
        <f t="shared" si="22"/>
        <v>NI</v>
      </c>
      <c r="B216" s="344">
        <v>1280112</v>
      </c>
      <c r="C216" s="345" t="s">
        <v>187</v>
      </c>
      <c r="D216" s="347">
        <v>333116208</v>
      </c>
      <c r="E216" s="348">
        <v>45833.330000000016</v>
      </c>
      <c r="F216" s="1058">
        <f>+VLOOKUP(B216,Composición!$C$5:$D$1768,1,0)</f>
        <v>1280112</v>
      </c>
      <c r="G216" s="1049">
        <f>+D216-F216</f>
        <v>331836096</v>
      </c>
    </row>
    <row r="217" spans="1:7" s="14" customFormat="1" ht="16.5" customHeight="1">
      <c r="A217" s="31" t="str">
        <f t="shared" si="22"/>
        <v>NI</v>
      </c>
      <c r="B217" s="344">
        <v>12801121</v>
      </c>
      <c r="C217" s="345" t="s">
        <v>188</v>
      </c>
      <c r="D217" s="347">
        <v>363399500</v>
      </c>
      <c r="E217" s="348">
        <v>50000</v>
      </c>
      <c r="F217" s="1058">
        <f>+VLOOKUP(B217,Composición!$C$5:$D$1768,1,0)</f>
        <v>12801121</v>
      </c>
      <c r="G217" s="1049"/>
    </row>
    <row r="218" spans="1:7" s="14" customFormat="1" ht="16.5" customHeight="1">
      <c r="A218" s="14" t="str">
        <f t="shared" si="22"/>
        <v>I</v>
      </c>
      <c r="B218" s="349">
        <v>1280112102</v>
      </c>
      <c r="C218" s="350" t="s">
        <v>189</v>
      </c>
      <c r="D218" s="340">
        <v>363399500</v>
      </c>
      <c r="E218" s="341">
        <v>50000</v>
      </c>
      <c r="F218" s="1058">
        <f>+VLOOKUP(B218,Composición!$C$5:$D$1768,1,0)</f>
        <v>1280112102</v>
      </c>
      <c r="G218" s="1049">
        <f>+D218-F218</f>
        <v>-916712602</v>
      </c>
    </row>
    <row r="219" spans="1:7" s="14" customFormat="1" ht="16.5" customHeight="1">
      <c r="A219" s="31" t="str">
        <f t="shared" si="20"/>
        <v>NI</v>
      </c>
      <c r="B219" s="344">
        <v>12801122</v>
      </c>
      <c r="C219" s="345" t="s">
        <v>186</v>
      </c>
      <c r="D219" s="347">
        <v>-30283292</v>
      </c>
      <c r="E219" s="348">
        <v>-4166.6700000000128</v>
      </c>
      <c r="F219" s="1058">
        <f>+VLOOKUP(B219,Composición!$C$5:$D$1768,1,0)</f>
        <v>12801122</v>
      </c>
      <c r="G219" s="1049"/>
    </row>
    <row r="220" spans="1:7" s="14" customFormat="1" ht="16.5" customHeight="1">
      <c r="A220" s="31" t="str">
        <f t="shared" si="13"/>
        <v>I</v>
      </c>
      <c r="B220" s="344">
        <v>1280112201</v>
      </c>
      <c r="C220" s="345" t="s">
        <v>190</v>
      </c>
      <c r="D220" s="347">
        <v>-30283292</v>
      </c>
      <c r="E220" s="348">
        <v>-4166.6700000000128</v>
      </c>
      <c r="F220" s="1058">
        <f>+VLOOKUP(B220,Composición!$C$5:$D$1768,1,0)</f>
        <v>1280112201</v>
      </c>
      <c r="G220" s="1049"/>
    </row>
    <row r="221" spans="1:7" s="14" customFormat="1" ht="16.5" customHeight="1">
      <c r="A221" s="31" t="str">
        <f t="shared" si="13"/>
        <v>NI</v>
      </c>
      <c r="B221" s="349">
        <v>129</v>
      </c>
      <c r="C221" s="350" t="s">
        <v>191</v>
      </c>
      <c r="D221" s="340">
        <v>45194720</v>
      </c>
      <c r="E221" s="341">
        <v>6296.83</v>
      </c>
      <c r="F221" s="1058">
        <f>+VLOOKUP(B221,Composición!$C$5:$D$1768,1,0)</f>
        <v>129</v>
      </c>
      <c r="G221" s="1049"/>
    </row>
    <row r="222" spans="1:7" s="14" customFormat="1" ht="16.5" customHeight="1">
      <c r="A222" s="31" t="str">
        <f t="shared" si="13"/>
        <v>NI</v>
      </c>
      <c r="B222" s="344">
        <v>12901</v>
      </c>
      <c r="C222" s="345" t="s">
        <v>163</v>
      </c>
      <c r="D222" s="347">
        <v>45194720</v>
      </c>
      <c r="E222" s="348">
        <v>6296.83</v>
      </c>
      <c r="F222" s="1058">
        <f>+VLOOKUP(B222,Composición!$C$5:$D$1768,1,0)</f>
        <v>12901</v>
      </c>
      <c r="G222" s="1049"/>
    </row>
    <row r="223" spans="1:7" s="14" customFormat="1" ht="16.5" customHeight="1">
      <c r="A223" s="31" t="str">
        <f t="shared" si="13"/>
        <v>NI</v>
      </c>
      <c r="B223" s="344">
        <v>129011</v>
      </c>
      <c r="C223" s="345" t="s">
        <v>163</v>
      </c>
      <c r="D223" s="347">
        <v>45194720</v>
      </c>
      <c r="E223" s="348">
        <v>6296.83</v>
      </c>
      <c r="F223" s="1058" t="e">
        <f>+VLOOKUP(B223,Composición!$C$5:$D$1768,1,0)</f>
        <v>#N/A</v>
      </c>
      <c r="G223" s="1049"/>
    </row>
    <row r="224" spans="1:7" s="14" customFormat="1" ht="16.5" customHeight="1">
      <c r="A224" s="31" t="str">
        <f t="shared" si="13"/>
        <v>NI</v>
      </c>
      <c r="B224" s="349">
        <v>1290111</v>
      </c>
      <c r="C224" s="350" t="s">
        <v>163</v>
      </c>
      <c r="D224" s="340">
        <v>45194720</v>
      </c>
      <c r="E224" s="341">
        <v>6296.83</v>
      </c>
      <c r="F224" s="1058">
        <f>+VLOOKUP(B224,Composición!$C$5:$D$1768,1,0)</f>
        <v>1290111</v>
      </c>
      <c r="G224" s="1049"/>
    </row>
    <row r="225" spans="1:7" s="14" customFormat="1" ht="16.5" customHeight="1">
      <c r="A225" s="31" t="str">
        <f t="shared" si="13"/>
        <v>NI</v>
      </c>
      <c r="B225" s="344">
        <v>12901111</v>
      </c>
      <c r="C225" s="345" t="s">
        <v>163</v>
      </c>
      <c r="D225" s="347">
        <v>45194720</v>
      </c>
      <c r="E225" s="348">
        <v>6296.83</v>
      </c>
      <c r="F225" s="1058" t="e">
        <f>+VLOOKUP(B225,Composición!$C$5:$D$1768,1,0)</f>
        <v>#N/A</v>
      </c>
      <c r="G225" s="1049"/>
    </row>
    <row r="226" spans="1:7" s="14" customFormat="1" ht="16.5" customHeight="1">
      <c r="A226" s="31" t="str">
        <f t="shared" si="13"/>
        <v>I</v>
      </c>
      <c r="B226" s="344">
        <v>1290111101</v>
      </c>
      <c r="C226" s="345" t="s">
        <v>192</v>
      </c>
      <c r="D226" s="347">
        <v>45194720</v>
      </c>
      <c r="E226" s="348">
        <v>6296.83</v>
      </c>
      <c r="F226" s="1058">
        <f>+VLOOKUP(B226,Composición!$C$5:$D$1768,1,0)</f>
        <v>1290111101</v>
      </c>
      <c r="G226" s="1049"/>
    </row>
    <row r="227" spans="1:7" s="14" customFormat="1" ht="16.5" customHeight="1">
      <c r="A227" s="31" t="str">
        <f t="shared" si="13"/>
        <v>NI</v>
      </c>
      <c r="B227" s="349"/>
      <c r="C227" s="350"/>
      <c r="D227" s="340"/>
      <c r="E227" s="341"/>
      <c r="F227" s="1058" t="e">
        <f>+VLOOKUP(B227,Composición!$C$5:$D$1768,1,0)</f>
        <v>#N/A</v>
      </c>
      <c r="G227" s="1049"/>
    </row>
    <row r="228" spans="1:7" s="14" customFormat="1" ht="16.5" customHeight="1">
      <c r="A228" s="31" t="str">
        <f t="shared" si="13"/>
        <v>NI</v>
      </c>
      <c r="B228" s="349">
        <v>2</v>
      </c>
      <c r="C228" s="350" t="s">
        <v>193</v>
      </c>
      <c r="D228" s="340">
        <v>20798114410</v>
      </c>
      <c r="E228" s="341">
        <v>2855463.66</v>
      </c>
      <c r="F228" s="1058">
        <f>+VLOOKUP(B228,Composición!$C$5:$D$1768,1,0)</f>
        <v>2</v>
      </c>
      <c r="G228" s="1049"/>
    </row>
    <row r="229" spans="1:7" s="14" customFormat="1" ht="16.5" customHeight="1">
      <c r="A229" s="31" t="str">
        <f t="shared" si="13"/>
        <v>NI</v>
      </c>
      <c r="B229" s="349">
        <v>21</v>
      </c>
      <c r="C229" s="350" t="s">
        <v>194</v>
      </c>
      <c r="D229" s="340">
        <v>20798114410</v>
      </c>
      <c r="E229" s="341">
        <v>2855463.66</v>
      </c>
      <c r="F229" s="1058">
        <f>+VLOOKUP(B229,Composición!$C$5:$D$1768,1,0)</f>
        <v>21</v>
      </c>
      <c r="G229" s="1049"/>
    </row>
    <row r="230" spans="1:7" s="14" customFormat="1" ht="16.5" customHeight="1">
      <c r="A230" s="14" t="str">
        <f t="shared" si="13"/>
        <v>NI</v>
      </c>
      <c r="B230" s="349">
        <v>211</v>
      </c>
      <c r="C230" s="350" t="s">
        <v>195</v>
      </c>
      <c r="D230" s="340">
        <v>575994812</v>
      </c>
      <c r="E230" s="341">
        <v>79080.559000015259</v>
      </c>
      <c r="F230" s="1058">
        <f>+VLOOKUP(B230,Composición!$C$5:$D$1768,1,0)</f>
        <v>211</v>
      </c>
      <c r="G230" s="1049">
        <f>+D230-F230</f>
        <v>575994601</v>
      </c>
    </row>
    <row r="231" spans="1:7" s="14" customFormat="1" ht="16.5" customHeight="1">
      <c r="A231" s="31" t="str">
        <f t="shared" si="13"/>
        <v>NI</v>
      </c>
      <c r="B231" s="349">
        <v>21101</v>
      </c>
      <c r="C231" s="350" t="s">
        <v>196</v>
      </c>
      <c r="D231" s="340">
        <v>575994812</v>
      </c>
      <c r="E231" s="341">
        <v>79080.559000015259</v>
      </c>
      <c r="F231" s="1058">
        <f>+VLOOKUP(B231,Composición!$C$5:$D$1768,1,0)</f>
        <v>21101</v>
      </c>
      <c r="G231" s="1049"/>
    </row>
    <row r="232" spans="1:7" s="14" customFormat="1" ht="16.5" customHeight="1">
      <c r="A232" s="31" t="str">
        <f t="shared" si="13"/>
        <v>NI</v>
      </c>
      <c r="B232" s="349">
        <v>211011</v>
      </c>
      <c r="C232" s="350" t="s">
        <v>196</v>
      </c>
      <c r="D232" s="340">
        <v>129323817</v>
      </c>
      <c r="E232" s="341">
        <v>17755.138999938965</v>
      </c>
      <c r="F232" s="1058">
        <f>+VLOOKUP(B232,Composición!$C$5:$D$1768,1,0)</f>
        <v>211011</v>
      </c>
      <c r="G232" s="1049"/>
    </row>
    <row r="233" spans="1:7" s="14" customFormat="1" ht="16.5" customHeight="1">
      <c r="A233" s="31" t="str">
        <f t="shared" ref="A233:A320" si="23">IF(LEN(B233)&gt;8,"I","NI")</f>
        <v>NI</v>
      </c>
      <c r="B233" s="349">
        <v>2110111</v>
      </c>
      <c r="C233" s="350" t="s">
        <v>197</v>
      </c>
      <c r="D233" s="340">
        <v>129323817</v>
      </c>
      <c r="E233" s="341">
        <v>17755.138999938965</v>
      </c>
      <c r="F233" s="1058">
        <f>+VLOOKUP(B233,Composición!$C$5:$D$1768,1,0)</f>
        <v>2110111</v>
      </c>
      <c r="G233" s="1049"/>
    </row>
    <row r="234" spans="1:7" s="14" customFormat="1" ht="16.5" customHeight="1">
      <c r="A234" s="14" t="str">
        <f t="shared" si="23"/>
        <v>NI</v>
      </c>
      <c r="B234" s="349">
        <v>21101112</v>
      </c>
      <c r="C234" s="350" t="s">
        <v>198</v>
      </c>
      <c r="D234" s="340">
        <v>805726</v>
      </c>
      <c r="E234" s="341">
        <v>110.32999999999991</v>
      </c>
      <c r="F234" s="1058">
        <f>+VLOOKUP(B234,Composición!$C$5:$D$1768,1,0)</f>
        <v>21101112</v>
      </c>
      <c r="G234" s="1049">
        <f t="shared" ref="G234:G235" si="24">+D234-F234</f>
        <v>-20295386</v>
      </c>
    </row>
    <row r="235" spans="1:7" s="14" customFormat="1" ht="16.5" customHeight="1">
      <c r="A235" s="14" t="str">
        <f t="shared" si="23"/>
        <v>I</v>
      </c>
      <c r="B235" s="344">
        <v>2110111202</v>
      </c>
      <c r="C235" s="345" t="s">
        <v>199</v>
      </c>
      <c r="D235" s="347">
        <v>805726</v>
      </c>
      <c r="E235" s="348">
        <v>110.32999999999991</v>
      </c>
      <c r="F235" s="1058">
        <f>+VLOOKUP(B235,Composición!$C$5:$D$1768,1,0)</f>
        <v>2110111202</v>
      </c>
      <c r="G235" s="1049">
        <f t="shared" si="24"/>
        <v>-2109305476</v>
      </c>
    </row>
    <row r="236" spans="1:7" s="14" customFormat="1" ht="16.5" customHeight="1">
      <c r="A236" s="31" t="str">
        <f t="shared" si="23"/>
        <v>NI</v>
      </c>
      <c r="B236" s="349">
        <v>21101114</v>
      </c>
      <c r="C236" s="350" t="s">
        <v>200</v>
      </c>
      <c r="D236" s="340">
        <v>128518091</v>
      </c>
      <c r="E236" s="341">
        <v>17644.805</v>
      </c>
      <c r="F236" s="1058">
        <f>+VLOOKUP(B236,Composición!$C$5:$D$1768,1,0)</f>
        <v>21101114</v>
      </c>
      <c r="G236" s="1049"/>
    </row>
    <row r="237" spans="1:7" s="14" customFormat="1" ht="16.5" customHeight="1">
      <c r="A237" s="31" t="str">
        <f t="shared" si="23"/>
        <v>I</v>
      </c>
      <c r="B237" s="344">
        <v>2110111402</v>
      </c>
      <c r="C237" s="345" t="s">
        <v>201</v>
      </c>
      <c r="D237" s="347">
        <v>128518091</v>
      </c>
      <c r="E237" s="348">
        <v>17644.805</v>
      </c>
      <c r="F237" s="1058">
        <f>+VLOOKUP(B237,Composición!$C$5:$D$1768,1,0)</f>
        <v>2110111402</v>
      </c>
      <c r="G237" s="1049"/>
    </row>
    <row r="238" spans="1:7" s="14" customFormat="1" ht="16.5" customHeight="1">
      <c r="A238" s="31" t="str">
        <f t="shared" si="23"/>
        <v>NI</v>
      </c>
      <c r="B238" s="349">
        <v>211012</v>
      </c>
      <c r="C238" s="350" t="s">
        <v>202</v>
      </c>
      <c r="D238" s="340">
        <v>1456210</v>
      </c>
      <c r="E238" s="341">
        <v>199.92999999970198</v>
      </c>
      <c r="F238" s="1058">
        <f>+VLOOKUP(B238,Composición!$C$5:$D$1768,1,0)</f>
        <v>211012</v>
      </c>
      <c r="G238" s="1049"/>
    </row>
    <row r="239" spans="1:7" s="14" customFormat="1" ht="16.5" customHeight="1">
      <c r="A239" s="14" t="str">
        <f t="shared" si="23"/>
        <v>NI</v>
      </c>
      <c r="B239" s="344">
        <v>2110121</v>
      </c>
      <c r="C239" s="345" t="s">
        <v>202</v>
      </c>
      <c r="D239" s="347">
        <v>1456210</v>
      </c>
      <c r="E239" s="348">
        <v>199.92999999970198</v>
      </c>
      <c r="F239" s="1058">
        <f>+VLOOKUP(B239,Composición!$C$5:$D$1768,1,0)</f>
        <v>2110121</v>
      </c>
      <c r="G239" s="1049">
        <f>+D239-F239</f>
        <v>-653911</v>
      </c>
    </row>
    <row r="240" spans="1:7" s="14" customFormat="1" ht="16.5" customHeight="1">
      <c r="A240" s="31" t="str">
        <f t="shared" si="23"/>
        <v>NI</v>
      </c>
      <c r="B240" s="349">
        <v>21101211</v>
      </c>
      <c r="C240" s="350" t="s">
        <v>202</v>
      </c>
      <c r="D240" s="340">
        <v>1456210</v>
      </c>
      <c r="E240" s="341">
        <v>199.92999999970198</v>
      </c>
      <c r="F240" s="1058">
        <f>+VLOOKUP(B240,Composición!$C$5:$D$1768,1,0)</f>
        <v>21101211</v>
      </c>
      <c r="G240" s="1049"/>
    </row>
    <row r="241" spans="1:7" s="14" customFormat="1" ht="16.5" customHeight="1">
      <c r="A241" s="31" t="str">
        <f t="shared" si="23"/>
        <v>I</v>
      </c>
      <c r="B241" s="344">
        <v>2110121103</v>
      </c>
      <c r="C241" s="345" t="s">
        <v>203</v>
      </c>
      <c r="D241" s="347">
        <v>1456210</v>
      </c>
      <c r="E241" s="348">
        <v>199.93000000000029</v>
      </c>
      <c r="F241" s="1058">
        <f>+VLOOKUP(B241,Composición!$C$5:$D$1768,1,0)</f>
        <v>2110121103</v>
      </c>
      <c r="G241" s="1049"/>
    </row>
    <row r="242" spans="1:7" s="14" customFormat="1" ht="16.5" customHeight="1">
      <c r="A242" s="31" t="str">
        <f t="shared" si="23"/>
        <v>NI</v>
      </c>
      <c r="B242" s="349">
        <v>211015</v>
      </c>
      <c r="C242" s="350" t="s">
        <v>204</v>
      </c>
      <c r="D242" s="340">
        <v>445214785</v>
      </c>
      <c r="E242" s="341">
        <v>61125.490000000216</v>
      </c>
      <c r="F242" s="1058">
        <f>+VLOOKUP(B242,Composición!$C$5:$D$1768,1,0)</f>
        <v>211015</v>
      </c>
      <c r="G242" s="1049"/>
    </row>
    <row r="243" spans="1:7" s="14" customFormat="1" ht="16.5" customHeight="1">
      <c r="A243" s="31" t="str">
        <f t="shared" si="23"/>
        <v>NI</v>
      </c>
      <c r="B243" s="344">
        <v>2110151</v>
      </c>
      <c r="C243" s="345" t="s">
        <v>204</v>
      </c>
      <c r="D243" s="347">
        <v>445214785</v>
      </c>
      <c r="E243" s="348">
        <v>61125.490000000216</v>
      </c>
      <c r="F243" s="1058">
        <f>+VLOOKUP(B243,Composición!$C$5:$D$1768,1,0)</f>
        <v>2110151</v>
      </c>
      <c r="G243" s="1049"/>
    </row>
    <row r="244" spans="1:7" s="14" customFormat="1" ht="16.5" customHeight="1">
      <c r="A244" s="31" t="str">
        <f t="shared" si="23"/>
        <v>NI</v>
      </c>
      <c r="B244" s="344">
        <v>21101511</v>
      </c>
      <c r="C244" s="345" t="s">
        <v>204</v>
      </c>
      <c r="D244" s="347">
        <v>445214785</v>
      </c>
      <c r="E244" s="348">
        <v>61125.490000000216</v>
      </c>
      <c r="F244" s="1058">
        <f>+VLOOKUP(B244,Composición!$C$5:$D$1768,1,0)</f>
        <v>21101511</v>
      </c>
      <c r="G244" s="1049"/>
    </row>
    <row r="245" spans="1:7" s="14" customFormat="1" ht="16.5" customHeight="1">
      <c r="A245" s="14" t="str">
        <f t="shared" si="23"/>
        <v>I</v>
      </c>
      <c r="B245" s="344">
        <v>2110151101</v>
      </c>
      <c r="C245" s="345" t="s">
        <v>205</v>
      </c>
      <c r="D245" s="347">
        <v>35682034</v>
      </c>
      <c r="E245" s="348">
        <v>4898.9500000001863</v>
      </c>
      <c r="F245" s="1058">
        <f>+VLOOKUP(B245,Composición!$C$5:$D$1768,1,0)</f>
        <v>2110151101</v>
      </c>
      <c r="G245" s="1049">
        <f>+D245-F245</f>
        <v>-2074469067</v>
      </c>
    </row>
    <row r="246" spans="1:7" s="14" customFormat="1" ht="16.5" customHeight="1">
      <c r="A246" s="31" t="str">
        <f t="shared" si="23"/>
        <v>I</v>
      </c>
      <c r="B246" s="344">
        <v>2110151102</v>
      </c>
      <c r="C246" s="345" t="s">
        <v>206</v>
      </c>
      <c r="D246" s="347">
        <v>12575461</v>
      </c>
      <c r="E246" s="348">
        <v>1726.540000000037</v>
      </c>
      <c r="F246" s="1058">
        <f>+VLOOKUP(B246,Composición!$C$5:$D$1768,1,0)</f>
        <v>2110151102</v>
      </c>
      <c r="G246" s="1049"/>
    </row>
    <row r="247" spans="1:7" s="14" customFormat="1" ht="16.5" customHeight="1">
      <c r="A247" s="31" t="str">
        <f t="shared" si="23"/>
        <v>I</v>
      </c>
      <c r="B247" s="349">
        <v>2110151103</v>
      </c>
      <c r="C247" s="350" t="s">
        <v>207</v>
      </c>
      <c r="D247" s="340">
        <v>396957290</v>
      </c>
      <c r="E247" s="341">
        <v>54500</v>
      </c>
      <c r="F247" s="1058">
        <f>+VLOOKUP(B247,Composición!$C$5:$D$1768,1,0)</f>
        <v>2110151103</v>
      </c>
      <c r="G247" s="1049"/>
    </row>
    <row r="248" spans="1:7" s="14" customFormat="1" ht="16.5" customHeight="1">
      <c r="A248" s="31" t="str">
        <f t="shared" si="23"/>
        <v>NI</v>
      </c>
      <c r="B248" s="349">
        <v>213</v>
      </c>
      <c r="C248" s="350" t="s">
        <v>208</v>
      </c>
      <c r="D248" s="340">
        <v>18122144341</v>
      </c>
      <c r="E248" s="341">
        <v>2488068.3430000246</v>
      </c>
      <c r="F248" s="1058">
        <f>+VLOOKUP(B248,Composición!$C$5:$D$1768,1,0)</f>
        <v>213</v>
      </c>
      <c r="G248" s="1049"/>
    </row>
    <row r="249" spans="1:7" s="14" customFormat="1" ht="16.5" customHeight="1">
      <c r="A249" s="31" t="str">
        <f t="shared" si="23"/>
        <v>NI</v>
      </c>
      <c r="B249" s="349">
        <v>21301</v>
      </c>
      <c r="C249" s="350" t="s">
        <v>209</v>
      </c>
      <c r="D249" s="340">
        <v>10373275742</v>
      </c>
      <c r="E249" s="341">
        <v>1424192.3299999833</v>
      </c>
      <c r="F249" s="1058">
        <f>+VLOOKUP(B249,Composición!$C$5:$D$1768,1,0)</f>
        <v>21301</v>
      </c>
      <c r="G249" s="1049"/>
    </row>
    <row r="250" spans="1:7" s="14" customFormat="1" ht="16.5" customHeight="1">
      <c r="A250" s="14" t="str">
        <f t="shared" si="23"/>
        <v>NI</v>
      </c>
      <c r="B250" s="344">
        <v>213011</v>
      </c>
      <c r="C250" s="345" t="s">
        <v>210</v>
      </c>
      <c r="D250" s="347">
        <v>10373275742</v>
      </c>
      <c r="E250" s="348">
        <v>1424192.3300000131</v>
      </c>
      <c r="F250" s="1058">
        <f>+VLOOKUP(B250,Composición!$C$5:$D$1768,1,0)</f>
        <v>213011</v>
      </c>
      <c r="G250" s="1049">
        <f t="shared" ref="G250:G254" si="25">+D250-F250</f>
        <v>10373062731</v>
      </c>
    </row>
    <row r="251" spans="1:7" s="14" customFormat="1" ht="16.5" customHeight="1">
      <c r="A251" s="14" t="str">
        <f t="shared" si="23"/>
        <v>NI</v>
      </c>
      <c r="B251" s="344">
        <v>2130111</v>
      </c>
      <c r="C251" s="345" t="s">
        <v>211</v>
      </c>
      <c r="D251" s="347">
        <v>10370861769</v>
      </c>
      <c r="E251" s="348">
        <v>1423860.9099999964</v>
      </c>
      <c r="F251" s="1058">
        <f>+VLOOKUP(B251,Composición!$C$5:$D$1768,1,0)</f>
        <v>2130111</v>
      </c>
      <c r="G251" s="1049">
        <f t="shared" si="25"/>
        <v>10368731658</v>
      </c>
    </row>
    <row r="252" spans="1:7" s="14" customFormat="1" ht="16.5" customHeight="1">
      <c r="A252" s="31" t="str">
        <f t="shared" si="23"/>
        <v>NI</v>
      </c>
      <c r="B252" s="344">
        <v>21301113</v>
      </c>
      <c r="C252" s="345" t="s">
        <v>212</v>
      </c>
      <c r="D252" s="347">
        <v>10370861769</v>
      </c>
      <c r="E252" s="348">
        <v>1423860.9099999964</v>
      </c>
      <c r="F252" s="1058">
        <f>+VLOOKUP(B252,Composición!$C$5:$D$1768,1,0)</f>
        <v>21301113</v>
      </c>
      <c r="G252" s="1049"/>
    </row>
    <row r="253" spans="1:7" s="14" customFormat="1" ht="16.5" customHeight="1">
      <c r="A253" s="14" t="str">
        <f t="shared" si="23"/>
        <v>I</v>
      </c>
      <c r="B253" s="349">
        <v>2130111301</v>
      </c>
      <c r="C253" s="350" t="s">
        <v>17</v>
      </c>
      <c r="D253" s="340">
        <v>10370861769</v>
      </c>
      <c r="E253" s="341">
        <v>1423860.9099999964</v>
      </c>
      <c r="F253" s="1058">
        <f>+VLOOKUP(B253,Composición!$C$5:$D$1768,1,0)</f>
        <v>2130111301</v>
      </c>
      <c r="G253" s="1049">
        <f t="shared" si="25"/>
        <v>8240750468</v>
      </c>
    </row>
    <row r="254" spans="1:7" s="14" customFormat="1" ht="16.5" customHeight="1">
      <c r="A254" s="14" t="str">
        <f t="shared" si="23"/>
        <v>NI</v>
      </c>
      <c r="B254" s="349">
        <v>2130112</v>
      </c>
      <c r="C254" s="350" t="s">
        <v>20</v>
      </c>
      <c r="D254" s="340">
        <v>2413973</v>
      </c>
      <c r="E254" s="341">
        <v>331.42000000004191</v>
      </c>
      <c r="F254" s="1058">
        <f>+VLOOKUP(B254,Composición!$C$5:$D$1768,1,0)</f>
        <v>2130112</v>
      </c>
      <c r="G254" s="1049">
        <f t="shared" si="25"/>
        <v>283861</v>
      </c>
    </row>
    <row r="255" spans="1:7" s="14" customFormat="1" ht="16.5" customHeight="1">
      <c r="A255" s="31" t="str">
        <f t="shared" si="23"/>
        <v>NI</v>
      </c>
      <c r="B255" s="349">
        <v>21301123</v>
      </c>
      <c r="C255" s="350" t="s">
        <v>19</v>
      </c>
      <c r="D255" s="340">
        <v>2413973</v>
      </c>
      <c r="E255" s="341">
        <v>331.42000000004191</v>
      </c>
      <c r="F255" s="1058">
        <f>+VLOOKUP(B255,Composición!$C$5:$D$1768,1,0)</f>
        <v>21301123</v>
      </c>
      <c r="G255" s="1049"/>
    </row>
    <row r="256" spans="1:7" s="14" customFormat="1" ht="16.5" customHeight="1">
      <c r="A256" s="14" t="str">
        <f t="shared" si="23"/>
        <v>I</v>
      </c>
      <c r="B256" s="344">
        <v>2130112301</v>
      </c>
      <c r="C256" s="345" t="s">
        <v>17</v>
      </c>
      <c r="D256" s="347">
        <v>2413973</v>
      </c>
      <c r="E256" s="348">
        <v>331.42000000004191</v>
      </c>
      <c r="F256" s="1058">
        <f>+VLOOKUP(B256,Composición!$C$5:$D$1768,1,0)</f>
        <v>2130112301</v>
      </c>
      <c r="G256" s="1049">
        <f t="shared" ref="G256:G257" si="26">+D256-F256</f>
        <v>-2127698328</v>
      </c>
    </row>
    <row r="257" spans="1:7" s="14" customFormat="1" ht="16.5" customHeight="1">
      <c r="A257" s="14" t="str">
        <f t="shared" si="23"/>
        <v>NI</v>
      </c>
      <c r="B257" s="344">
        <v>21303</v>
      </c>
      <c r="C257" s="345" t="s">
        <v>110</v>
      </c>
      <c r="D257" s="347">
        <v>7748868599</v>
      </c>
      <c r="E257" s="348">
        <v>1063876.0130000003</v>
      </c>
      <c r="F257" s="1058">
        <f>+VLOOKUP(B257,Composición!$C$5:$D$1768,1,0)</f>
        <v>21303</v>
      </c>
      <c r="G257" s="1049">
        <f t="shared" si="26"/>
        <v>7748847296</v>
      </c>
    </row>
    <row r="258" spans="1:7" s="14" customFormat="1" ht="16.5" customHeight="1">
      <c r="A258" s="31" t="str">
        <f t="shared" si="23"/>
        <v>NI</v>
      </c>
      <c r="B258" s="350">
        <v>213031</v>
      </c>
      <c r="C258" s="350" t="s">
        <v>213</v>
      </c>
      <c r="D258" s="340">
        <v>7748868599</v>
      </c>
      <c r="E258" s="341">
        <v>1063876.0130000003</v>
      </c>
      <c r="F258" s="1058">
        <f>+VLOOKUP(B258,Composición!$C$5:$D$1768,1,0)</f>
        <v>213031</v>
      </c>
      <c r="G258" s="1049"/>
    </row>
    <row r="259" spans="1:7" s="14" customFormat="1" ht="16.5" customHeight="1">
      <c r="A259" s="31" t="str">
        <f t="shared" si="23"/>
        <v>NI</v>
      </c>
      <c r="B259" s="345">
        <v>2130311</v>
      </c>
      <c r="C259" s="345" t="s">
        <v>214</v>
      </c>
      <c r="D259" s="347">
        <v>7748868599</v>
      </c>
      <c r="E259" s="348">
        <v>1063876.0130000003</v>
      </c>
      <c r="F259" s="1058">
        <f>+VLOOKUP(B259,Composición!$C$5:$D$1768,1,0)</f>
        <v>2130311</v>
      </c>
      <c r="G259" s="1049"/>
    </row>
    <row r="260" spans="1:7" s="14" customFormat="1" ht="16.5" customHeight="1">
      <c r="A260" s="31" t="str">
        <f t="shared" si="23"/>
        <v>NI</v>
      </c>
      <c r="B260" s="350">
        <v>21303111</v>
      </c>
      <c r="C260" s="350" t="s">
        <v>215</v>
      </c>
      <c r="D260" s="340">
        <v>197328124</v>
      </c>
      <c r="E260" s="341">
        <v>27092.039999999994</v>
      </c>
      <c r="F260" s="1058">
        <f>+VLOOKUP(B260,Composición!$C$5:$D$1768,1,0)</f>
        <v>21303111</v>
      </c>
      <c r="G260" s="1049"/>
    </row>
    <row r="261" spans="1:7" s="14" customFormat="1" ht="16.5" customHeight="1">
      <c r="A261" s="31" t="str">
        <f t="shared" si="23"/>
        <v>I</v>
      </c>
      <c r="B261" s="345">
        <v>2130311102</v>
      </c>
      <c r="C261" s="345" t="s">
        <v>216</v>
      </c>
      <c r="D261" s="347">
        <v>197328124</v>
      </c>
      <c r="E261" s="348">
        <v>27092.04</v>
      </c>
      <c r="F261" s="1058">
        <f>+VLOOKUP(B261,Composición!$C$5:$D$1768,1,0)</f>
        <v>2130311102</v>
      </c>
      <c r="G261" s="1049"/>
    </row>
    <row r="262" spans="1:7" s="14" customFormat="1" ht="16.5" customHeight="1">
      <c r="A262" s="31" t="str">
        <f t="shared" si="23"/>
        <v>NI</v>
      </c>
      <c r="B262" s="345">
        <v>21303112</v>
      </c>
      <c r="C262" s="345" t="s">
        <v>217</v>
      </c>
      <c r="D262" s="347">
        <v>-86466605</v>
      </c>
      <c r="E262" s="348">
        <v>-11871.377000000008</v>
      </c>
      <c r="F262" s="1058">
        <f>+VLOOKUP(B262,Composición!$C$5:$D$1768,1,0)</f>
        <v>21303112</v>
      </c>
      <c r="G262" s="1049"/>
    </row>
    <row r="263" spans="1:7" s="14" customFormat="1" ht="16.5" customHeight="1">
      <c r="A263" s="14" t="str">
        <f t="shared" si="23"/>
        <v>I</v>
      </c>
      <c r="B263" s="350">
        <v>2130311202</v>
      </c>
      <c r="C263" s="350" t="s">
        <v>218</v>
      </c>
      <c r="D263" s="340">
        <v>-86466605</v>
      </c>
      <c r="E263" s="341">
        <v>-11871.377</v>
      </c>
      <c r="F263" s="1058">
        <f>+VLOOKUP(B263,Composición!$C$5:$D$1768,1,0)</f>
        <v>2130311202</v>
      </c>
      <c r="G263" s="1049">
        <f t="shared" ref="G263:G267" si="27">+D263-F263</f>
        <v>-2216777807</v>
      </c>
    </row>
    <row r="264" spans="1:7" s="14" customFormat="1" ht="16.5" customHeight="1">
      <c r="A264" s="14" t="str">
        <f t="shared" si="23"/>
        <v>NI</v>
      </c>
      <c r="B264" s="345">
        <v>21303113</v>
      </c>
      <c r="C264" s="345" t="s">
        <v>219</v>
      </c>
      <c r="D264" s="347">
        <v>7638007080</v>
      </c>
      <c r="E264" s="348">
        <v>1048655.3499999978</v>
      </c>
      <c r="F264" s="1058">
        <f>+VLOOKUP(B264,Composición!$C$5:$D$1768,1,0)</f>
        <v>21303113</v>
      </c>
      <c r="G264" s="1049">
        <f t="shared" si="27"/>
        <v>7616703967</v>
      </c>
    </row>
    <row r="265" spans="1:7" s="14" customFormat="1" ht="16.5" customHeight="1">
      <c r="A265" s="14" t="str">
        <f t="shared" si="23"/>
        <v>I</v>
      </c>
      <c r="B265" s="345">
        <v>2130311302</v>
      </c>
      <c r="C265" s="345" t="s">
        <v>220</v>
      </c>
      <c r="D265" s="347">
        <v>7638007080</v>
      </c>
      <c r="E265" s="348">
        <v>1048655.3499999996</v>
      </c>
      <c r="F265" s="1058">
        <f>+VLOOKUP(B265,Composición!$C$5:$D$1768,1,0)</f>
        <v>2130311302</v>
      </c>
      <c r="G265" s="1049">
        <f t="shared" si="27"/>
        <v>5507695778</v>
      </c>
    </row>
    <row r="266" spans="1:7" s="14" customFormat="1" ht="16.5" customHeight="1">
      <c r="A266" s="14" t="str">
        <f t="shared" si="23"/>
        <v>NI</v>
      </c>
      <c r="B266" s="350">
        <v>214</v>
      </c>
      <c r="C266" s="350" t="s">
        <v>221</v>
      </c>
      <c r="D266" s="340">
        <v>2099975257</v>
      </c>
      <c r="E266" s="341">
        <v>288314.76</v>
      </c>
      <c r="F266" s="1058">
        <f>+VLOOKUP(B266,Composición!$C$5:$D$1768,1,0)</f>
        <v>214</v>
      </c>
      <c r="G266" s="1049">
        <f t="shared" si="27"/>
        <v>2099975043</v>
      </c>
    </row>
    <row r="267" spans="1:7" s="14" customFormat="1" ht="16.5" customHeight="1">
      <c r="A267" s="14" t="str">
        <f t="shared" si="23"/>
        <v>NI</v>
      </c>
      <c r="B267" s="345">
        <v>21401</v>
      </c>
      <c r="C267" s="345" t="s">
        <v>222</v>
      </c>
      <c r="D267" s="347">
        <v>1334461909</v>
      </c>
      <c r="E267" s="348">
        <v>183214.10000000003</v>
      </c>
      <c r="F267" s="1058">
        <f>+VLOOKUP(B267,Composición!$C$5:$D$1768,1,0)</f>
        <v>21401</v>
      </c>
      <c r="G267" s="1049">
        <f t="shared" si="27"/>
        <v>1334440508</v>
      </c>
    </row>
    <row r="268" spans="1:7" s="14" customFormat="1" ht="16.5" customHeight="1">
      <c r="A268" s="31" t="str">
        <f t="shared" si="23"/>
        <v>NI</v>
      </c>
      <c r="B268" s="345">
        <v>214011</v>
      </c>
      <c r="C268" s="345" t="s">
        <v>222</v>
      </c>
      <c r="D268" s="347">
        <v>1334461909</v>
      </c>
      <c r="E268" s="348">
        <v>183214.10000000003</v>
      </c>
      <c r="F268" s="1058">
        <f>+VLOOKUP(B268,Composición!$C$5:$D$1768,1,0)</f>
        <v>214011</v>
      </c>
      <c r="G268" s="1049"/>
    </row>
    <row r="269" spans="1:7" s="14" customFormat="1" ht="16.5" customHeight="1">
      <c r="A269" s="31" t="str">
        <f t="shared" si="23"/>
        <v>NI</v>
      </c>
      <c r="B269" s="345">
        <v>2140111</v>
      </c>
      <c r="C269" s="345" t="s">
        <v>222</v>
      </c>
      <c r="D269" s="347">
        <v>1334461909</v>
      </c>
      <c r="E269" s="348">
        <v>183214.10000000003</v>
      </c>
      <c r="F269" s="1058">
        <f>+VLOOKUP(B269,Composición!$C$5:$D$1768,1,0)</f>
        <v>2140111</v>
      </c>
      <c r="G269" s="1049"/>
    </row>
    <row r="270" spans="1:7" s="14" customFormat="1" ht="16.5" customHeight="1">
      <c r="A270" s="31" t="str">
        <f t="shared" si="23"/>
        <v>NI</v>
      </c>
      <c r="B270" s="345">
        <v>21401111</v>
      </c>
      <c r="C270" s="345" t="s">
        <v>223</v>
      </c>
      <c r="D270" s="347">
        <v>1334461909</v>
      </c>
      <c r="E270" s="348">
        <v>183214.10000000003</v>
      </c>
      <c r="F270" s="1058">
        <f>+VLOOKUP(B270,Composición!$C$5:$D$1768,1,0)</f>
        <v>21401111</v>
      </c>
      <c r="G270" s="1049"/>
    </row>
    <row r="271" spans="1:7" s="14" customFormat="1" ht="16.5" customHeight="1">
      <c r="A271" s="31" t="str">
        <f t="shared" si="23"/>
        <v>I</v>
      </c>
      <c r="B271" s="350">
        <v>2140111103</v>
      </c>
      <c r="C271" s="350" t="s">
        <v>224</v>
      </c>
      <c r="D271" s="340">
        <v>188609064</v>
      </c>
      <c r="E271" s="341">
        <v>25894.960000000021</v>
      </c>
      <c r="F271" s="1058">
        <f>+VLOOKUP(B271,Composición!$C$5:$D$1768,1,0)</f>
        <v>2140111103</v>
      </c>
      <c r="G271" s="1049"/>
    </row>
    <row r="272" spans="1:7" s="14" customFormat="1" ht="16.5" customHeight="1">
      <c r="A272" s="14" t="str">
        <f t="shared" si="23"/>
        <v>I</v>
      </c>
      <c r="B272" s="350">
        <v>2140111111</v>
      </c>
      <c r="C272" s="350" t="s">
        <v>225</v>
      </c>
      <c r="D272" s="340">
        <v>969740000</v>
      </c>
      <c r="E272" s="341">
        <v>133139.84</v>
      </c>
      <c r="F272" s="1058">
        <f>+VLOOKUP(B272,Composición!$C$5:$D$1768,1,0)</f>
        <v>2140111111</v>
      </c>
      <c r="G272" s="1049">
        <f t="shared" ref="G272:G273" si="28">+D272-F272</f>
        <v>-1170371111</v>
      </c>
    </row>
    <row r="273" spans="1:7" s="14" customFormat="1" ht="16.5" customHeight="1">
      <c r="A273" s="14" t="str">
        <f t="shared" si="23"/>
        <v>I</v>
      </c>
      <c r="B273" s="350">
        <v>2140111112</v>
      </c>
      <c r="C273" s="350" t="s">
        <v>226</v>
      </c>
      <c r="D273" s="340">
        <v>176112845</v>
      </c>
      <c r="E273" s="341">
        <v>24179.3</v>
      </c>
      <c r="F273" s="1058">
        <f>+VLOOKUP(B273,Composición!$C$5:$D$1768,1,0)</f>
        <v>2140111112</v>
      </c>
      <c r="G273" s="1049">
        <f t="shared" si="28"/>
        <v>-1963998267</v>
      </c>
    </row>
    <row r="274" spans="1:7" s="14" customFormat="1" ht="16.5" customHeight="1">
      <c r="A274" s="31" t="str">
        <f t="shared" si="23"/>
        <v>NI</v>
      </c>
      <c r="B274" s="345">
        <v>21402</v>
      </c>
      <c r="C274" s="345" t="s">
        <v>227</v>
      </c>
      <c r="D274" s="347">
        <v>698505102</v>
      </c>
      <c r="E274" s="348">
        <v>95900.81</v>
      </c>
      <c r="F274" s="1058">
        <f>+VLOOKUP(B274,Composición!$C$5:$D$1768,1,0)</f>
        <v>21402</v>
      </c>
      <c r="G274" s="1049"/>
    </row>
    <row r="275" spans="1:7" s="14" customFormat="1" ht="16.5" customHeight="1">
      <c r="A275" s="31" t="str">
        <f t="shared" si="23"/>
        <v>NI</v>
      </c>
      <c r="B275" s="345">
        <v>214021</v>
      </c>
      <c r="C275" s="345" t="s">
        <v>227</v>
      </c>
      <c r="D275" s="347">
        <v>698505102</v>
      </c>
      <c r="E275" s="348">
        <v>95900.81</v>
      </c>
      <c r="F275" s="1058">
        <f>+VLOOKUP(B275,Composición!$C$5:$D$1768,1,0)</f>
        <v>214021</v>
      </c>
      <c r="G275" s="1049"/>
    </row>
    <row r="276" spans="1:7" s="14" customFormat="1" ht="16.5" customHeight="1">
      <c r="A276" s="31" t="str">
        <f t="shared" si="23"/>
        <v>NI</v>
      </c>
      <c r="B276" s="345">
        <v>2140211</v>
      </c>
      <c r="C276" s="345" t="s">
        <v>227</v>
      </c>
      <c r="D276" s="347">
        <v>698505102</v>
      </c>
      <c r="E276" s="348">
        <v>95900.81</v>
      </c>
      <c r="F276" s="1058">
        <f>+VLOOKUP(B276,Composición!$C$5:$D$1768,1,0)</f>
        <v>2140211</v>
      </c>
      <c r="G276" s="1049"/>
    </row>
    <row r="277" spans="1:7" s="14" customFormat="1" ht="16.5" customHeight="1">
      <c r="A277" s="31" t="str">
        <f t="shared" si="23"/>
        <v>NI</v>
      </c>
      <c r="B277" s="345">
        <v>21402111</v>
      </c>
      <c r="C277" s="345" t="s">
        <v>227</v>
      </c>
      <c r="D277" s="347">
        <v>698505102</v>
      </c>
      <c r="E277" s="348">
        <v>95900.81</v>
      </c>
      <c r="F277" s="1058">
        <f>+VLOOKUP(B277,Composición!$C$5:$D$1768,1,0)</f>
        <v>21402111</v>
      </c>
      <c r="G277" s="1049"/>
    </row>
    <row r="278" spans="1:7" s="14" customFormat="1" ht="16.5" customHeight="1">
      <c r="A278" s="14" t="str">
        <f t="shared" si="23"/>
        <v>I</v>
      </c>
      <c r="B278" s="345">
        <v>2140211101</v>
      </c>
      <c r="C278" s="345" t="s">
        <v>228</v>
      </c>
      <c r="D278" s="347">
        <v>426755525</v>
      </c>
      <c r="E278" s="348">
        <v>58591.13</v>
      </c>
      <c r="F278" s="1058">
        <f>+VLOOKUP(B278,Composición!$C$5:$D$1768,1,0)</f>
        <v>2140211101</v>
      </c>
      <c r="G278" s="1049">
        <f>+D278-F278</f>
        <v>-1713455576</v>
      </c>
    </row>
    <row r="279" spans="1:7" s="14" customFormat="1" ht="16.5" customHeight="1">
      <c r="A279" s="31" t="str">
        <f t="shared" si="23"/>
        <v>I</v>
      </c>
      <c r="B279" s="350">
        <v>2140211104</v>
      </c>
      <c r="C279" s="350" t="s">
        <v>229</v>
      </c>
      <c r="D279" s="340">
        <v>262610286</v>
      </c>
      <c r="E279" s="341">
        <v>36054.910000000003</v>
      </c>
      <c r="F279" s="1058">
        <f>+VLOOKUP(B279,Composición!$C$5:$D$1768,1,0)</f>
        <v>2140211104</v>
      </c>
      <c r="G279" s="1049"/>
    </row>
    <row r="280" spans="1:7" s="14" customFormat="1" ht="16.5" customHeight="1">
      <c r="A280" s="31" t="str">
        <f t="shared" si="23"/>
        <v>I</v>
      </c>
      <c r="B280" s="350">
        <v>2140211105</v>
      </c>
      <c r="C280" s="350" t="s">
        <v>230</v>
      </c>
      <c r="D280" s="340">
        <v>3305700</v>
      </c>
      <c r="E280" s="341">
        <v>453.84999999999854</v>
      </c>
      <c r="F280" s="1058">
        <f>+VLOOKUP(B280,Composición!$C$5:$D$1768,1,0)</f>
        <v>2140211105</v>
      </c>
      <c r="G280" s="1049"/>
    </row>
    <row r="281" spans="1:7" s="14" customFormat="1" ht="16.5" customHeight="1">
      <c r="A281" s="31" t="str">
        <f t="shared" si="23"/>
        <v>I</v>
      </c>
      <c r="B281" s="350">
        <v>2140211106</v>
      </c>
      <c r="C281" s="350" t="s">
        <v>231</v>
      </c>
      <c r="D281" s="340">
        <v>5833591</v>
      </c>
      <c r="E281" s="341">
        <v>800.92000000000189</v>
      </c>
      <c r="F281" s="1058">
        <f>+VLOOKUP(B281,Composición!$C$5:$D$1768,1,0)</f>
        <v>2140211106</v>
      </c>
      <c r="G281" s="1049"/>
    </row>
    <row r="282" spans="1:7" s="14" customFormat="1" ht="16.5" customHeight="1">
      <c r="A282" s="31" t="str">
        <f t="shared" si="23"/>
        <v>NI</v>
      </c>
      <c r="B282" s="350">
        <v>21403</v>
      </c>
      <c r="C282" s="350" t="s">
        <v>232</v>
      </c>
      <c r="D282" s="340">
        <v>60089865</v>
      </c>
      <c r="E282" s="341">
        <v>8250</v>
      </c>
      <c r="F282" s="1058">
        <f>+VLOOKUP(B282,Composición!$C$5:$D$1768,1,0)</f>
        <v>21403</v>
      </c>
      <c r="G282" s="1049"/>
    </row>
    <row r="283" spans="1:7" s="14" customFormat="1" ht="16.5" customHeight="1">
      <c r="A283" s="14" t="str">
        <f t="shared" ref="A283:A287" si="29">IF(LEN(B283)&gt;8,"I","NI")</f>
        <v>NI</v>
      </c>
      <c r="B283" s="345">
        <v>214031</v>
      </c>
      <c r="C283" s="345" t="s">
        <v>233</v>
      </c>
      <c r="D283" s="347">
        <v>60089865</v>
      </c>
      <c r="E283" s="348">
        <v>8250</v>
      </c>
      <c r="F283" s="1058">
        <f>+VLOOKUP(B283,Composición!$C$5:$D$1768,1,0)</f>
        <v>214031</v>
      </c>
      <c r="G283" s="1049">
        <f>+D283-F283</f>
        <v>59875834</v>
      </c>
    </row>
    <row r="284" spans="1:7" s="14" customFormat="1" ht="16.5" customHeight="1">
      <c r="A284" s="31" t="str">
        <f t="shared" si="29"/>
        <v>NI</v>
      </c>
      <c r="B284" s="345">
        <v>2140311</v>
      </c>
      <c r="C284" s="345" t="s">
        <v>233</v>
      </c>
      <c r="D284" s="347">
        <v>60089865</v>
      </c>
      <c r="E284" s="348">
        <v>8250</v>
      </c>
      <c r="F284" s="1058">
        <f>+VLOOKUP(B284,Composición!$C$5:$D$1768,1,0)</f>
        <v>2140311</v>
      </c>
      <c r="G284" s="1049"/>
    </row>
    <row r="285" spans="1:7" s="14" customFormat="1" ht="16.5" customHeight="1">
      <c r="A285" s="31" t="str">
        <f t="shared" si="29"/>
        <v>NI</v>
      </c>
      <c r="B285" s="350">
        <v>21403111</v>
      </c>
      <c r="C285" s="350" t="s">
        <v>233</v>
      </c>
      <c r="D285" s="340">
        <v>60089865</v>
      </c>
      <c r="E285" s="341">
        <v>8250</v>
      </c>
      <c r="F285" s="1058">
        <f>+VLOOKUP(B285,Composición!$C$5:$D$1768,1,0)</f>
        <v>21403111</v>
      </c>
      <c r="G285" s="1049"/>
    </row>
    <row r="286" spans="1:7" s="14" customFormat="1" ht="16.5" customHeight="1">
      <c r="A286" s="31" t="str">
        <f t="shared" si="29"/>
        <v>I</v>
      </c>
      <c r="B286" s="350">
        <v>2140311101</v>
      </c>
      <c r="C286" s="350" t="s">
        <v>234</v>
      </c>
      <c r="D286" s="340">
        <v>60089865</v>
      </c>
      <c r="E286" s="341">
        <v>8250</v>
      </c>
      <c r="F286" s="1058">
        <f>+VLOOKUP(B286,Composición!$C$5:$D$1768,1,0)</f>
        <v>2140311101</v>
      </c>
      <c r="G286" s="1049"/>
    </row>
    <row r="287" spans="1:7" s="14" customFormat="1" ht="16.5" customHeight="1">
      <c r="A287" s="31" t="str">
        <f t="shared" si="29"/>
        <v>NI</v>
      </c>
      <c r="B287" s="350">
        <v>21405</v>
      </c>
      <c r="C287" s="350" t="s">
        <v>232</v>
      </c>
      <c r="D287" s="340">
        <v>6918381</v>
      </c>
      <c r="E287" s="341">
        <v>949.84999999999945</v>
      </c>
      <c r="F287" s="1058">
        <f>+VLOOKUP(B287,Composición!$C$5:$D$1768,1,0)</f>
        <v>21405</v>
      </c>
      <c r="G287" s="1049"/>
    </row>
    <row r="288" spans="1:7" s="14" customFormat="1" ht="16.5" customHeight="1">
      <c r="A288" s="14" t="str">
        <f t="shared" si="23"/>
        <v>NI</v>
      </c>
      <c r="B288" s="345">
        <v>214051</v>
      </c>
      <c r="C288" s="345" t="s">
        <v>232</v>
      </c>
      <c r="D288" s="347">
        <v>6918381</v>
      </c>
      <c r="E288" s="348">
        <v>949.84999999999945</v>
      </c>
      <c r="F288" s="1058">
        <f>+VLOOKUP(B288,Composición!$C$5:$D$1768,1,0)</f>
        <v>214051</v>
      </c>
      <c r="G288" s="1049">
        <f>+D288-F288</f>
        <v>6704330</v>
      </c>
    </row>
    <row r="289" spans="1:7" s="14" customFormat="1" ht="16.5" customHeight="1">
      <c r="A289" s="31" t="str">
        <f t="shared" si="23"/>
        <v>NI</v>
      </c>
      <c r="B289" s="345">
        <v>2140511</v>
      </c>
      <c r="C289" s="345" t="s">
        <v>232</v>
      </c>
      <c r="D289" s="347">
        <v>6918381</v>
      </c>
      <c r="E289" s="348">
        <v>949.84999999999945</v>
      </c>
      <c r="F289" s="1058">
        <f>+VLOOKUP(B289,Composición!$C$5:$D$1768,1,0)</f>
        <v>2140511</v>
      </c>
      <c r="G289" s="1049"/>
    </row>
    <row r="290" spans="1:7" s="14" customFormat="1" ht="16.5" customHeight="1">
      <c r="A290" s="31" t="str">
        <f t="shared" si="23"/>
        <v>NI</v>
      </c>
      <c r="B290" s="350">
        <v>21405111</v>
      </c>
      <c r="C290" s="350" t="s">
        <v>235</v>
      </c>
      <c r="D290" s="340">
        <v>6918381</v>
      </c>
      <c r="E290" s="341">
        <v>949.84999999999945</v>
      </c>
      <c r="F290" s="1058">
        <f>+VLOOKUP(B290,Composición!$C$5:$D$1768,1,0)</f>
        <v>21405111</v>
      </c>
      <c r="G290" s="1049"/>
    </row>
    <row r="291" spans="1:7" s="14" customFormat="1" ht="16.5" customHeight="1">
      <c r="A291" s="31" t="str">
        <f t="shared" si="23"/>
        <v>I</v>
      </c>
      <c r="B291" s="350">
        <v>2140511101</v>
      </c>
      <c r="C291" s="350" t="s">
        <v>236</v>
      </c>
      <c r="D291" s="340">
        <v>5740766</v>
      </c>
      <c r="E291" s="341">
        <v>788.16999999999905</v>
      </c>
      <c r="F291" s="1058">
        <f>+VLOOKUP(B291,Composición!$C$5:$D$1768,1,0)</f>
        <v>2140511101</v>
      </c>
      <c r="G291" s="1049"/>
    </row>
    <row r="292" spans="1:7" s="14" customFormat="1" ht="16.5" customHeight="1">
      <c r="A292" s="31" t="str">
        <f t="shared" si="23"/>
        <v>I</v>
      </c>
      <c r="B292" s="350">
        <v>2140511102</v>
      </c>
      <c r="C292" s="350" t="s">
        <v>237</v>
      </c>
      <c r="D292" s="340">
        <v>1177615</v>
      </c>
      <c r="E292" s="341">
        <v>161.68000000000006</v>
      </c>
      <c r="F292" s="1058">
        <f>+VLOOKUP(B292,Composición!$C$5:$D$1768,1,0)</f>
        <v>2140511102</v>
      </c>
      <c r="G292" s="1049"/>
    </row>
    <row r="293" spans="1:7" s="14" customFormat="1" ht="16.5" customHeight="1">
      <c r="A293" s="14" t="str">
        <f t="shared" si="23"/>
        <v>NI</v>
      </c>
      <c r="B293" s="350"/>
      <c r="C293" s="350"/>
      <c r="D293" s="340"/>
      <c r="E293" s="341"/>
      <c r="F293" s="1058"/>
      <c r="G293" s="1049">
        <f t="shared" ref="G293:G294" si="30">+D293-F293</f>
        <v>0</v>
      </c>
    </row>
    <row r="294" spans="1:7" s="14" customFormat="1" ht="16.5" customHeight="1">
      <c r="A294" s="14" t="str">
        <f t="shared" si="23"/>
        <v>NI</v>
      </c>
      <c r="B294" s="350">
        <v>3</v>
      </c>
      <c r="C294" s="350" t="s">
        <v>238</v>
      </c>
      <c r="D294" s="340">
        <v>52318473430</v>
      </c>
      <c r="E294" s="341">
        <v>7215529.4285999984</v>
      </c>
      <c r="F294" s="1058">
        <f>+VLOOKUP(B294,Composición!$C$5:$D$1768,1,0)</f>
        <v>3</v>
      </c>
      <c r="G294" s="1049">
        <f t="shared" si="30"/>
        <v>52318473427</v>
      </c>
    </row>
    <row r="295" spans="1:7" s="14" customFormat="1" ht="16.5" customHeight="1">
      <c r="A295" s="31"/>
      <c r="B295" s="350">
        <v>301</v>
      </c>
      <c r="C295" s="350" t="s">
        <v>239</v>
      </c>
      <c r="D295" s="340">
        <v>54350000000</v>
      </c>
      <c r="E295" s="341">
        <v>7605980.71</v>
      </c>
      <c r="F295" s="1058">
        <f>+VLOOKUP(B295,Composición!$C$5:$D$1768,1,0)</f>
        <v>301</v>
      </c>
      <c r="G295" s="1049"/>
    </row>
    <row r="296" spans="1:7" s="14" customFormat="1" ht="16.5" customHeight="1">
      <c r="A296" s="31" t="str">
        <f t="shared" si="23"/>
        <v>NI</v>
      </c>
      <c r="B296" s="350">
        <v>3011</v>
      </c>
      <c r="C296" s="350" t="s">
        <v>240</v>
      </c>
      <c r="D296" s="340">
        <v>54350000000</v>
      </c>
      <c r="E296" s="341">
        <v>7605980.71</v>
      </c>
      <c r="F296" s="1058">
        <f>+VLOOKUP(B296,Composición!$C$5:$D$1768,1,0)</f>
        <v>3011</v>
      </c>
      <c r="G296" s="1049"/>
    </row>
    <row r="297" spans="1:7" s="14" customFormat="1" ht="16.5" customHeight="1">
      <c r="A297" s="31" t="str">
        <f t="shared" si="23"/>
        <v>NI</v>
      </c>
      <c r="B297" s="350">
        <v>30111</v>
      </c>
      <c r="C297" s="350" t="s">
        <v>240</v>
      </c>
      <c r="D297" s="340">
        <v>54350000000</v>
      </c>
      <c r="E297" s="341">
        <v>7605980.71</v>
      </c>
      <c r="F297" s="1058">
        <f>+VLOOKUP(B297,Composición!$C$5:$D$1768,1,0)</f>
        <v>30111</v>
      </c>
      <c r="G297" s="1049"/>
    </row>
    <row r="298" spans="1:7" s="14" customFormat="1" ht="16.5" customHeight="1">
      <c r="A298" s="31" t="str">
        <f t="shared" si="23"/>
        <v>NI</v>
      </c>
      <c r="B298" s="350">
        <v>301112</v>
      </c>
      <c r="C298" s="350" t="s">
        <v>241</v>
      </c>
      <c r="D298" s="340">
        <v>54350000000</v>
      </c>
      <c r="E298" s="341">
        <v>7605980.71</v>
      </c>
      <c r="F298" s="1058">
        <f>+VLOOKUP(B298,Composición!$C$5:$D$1768,1,0)</f>
        <v>301112</v>
      </c>
      <c r="G298" s="1049"/>
    </row>
    <row r="299" spans="1:7" s="14" customFormat="1" ht="16.5" customHeight="1">
      <c r="A299" s="31" t="str">
        <f t="shared" si="23"/>
        <v>NI</v>
      </c>
      <c r="B299" s="350">
        <v>3011121</v>
      </c>
      <c r="C299" s="350" t="s">
        <v>241</v>
      </c>
      <c r="D299" s="340">
        <v>54350000000</v>
      </c>
      <c r="E299" s="341">
        <v>7605980.71</v>
      </c>
      <c r="F299" s="1058">
        <f>+VLOOKUP(B299,Composición!$C$5:$D$1768,1,0)</f>
        <v>3011121</v>
      </c>
      <c r="G299" s="1049"/>
    </row>
    <row r="300" spans="1:7" s="14" customFormat="1" ht="16.5" customHeight="1">
      <c r="A300" s="31" t="str">
        <f t="shared" si="23"/>
        <v>NI</v>
      </c>
      <c r="B300" s="350">
        <v>30111211</v>
      </c>
      <c r="C300" s="350" t="s">
        <v>241</v>
      </c>
      <c r="D300" s="340">
        <v>54350000000</v>
      </c>
      <c r="E300" s="341">
        <v>7605980.71</v>
      </c>
      <c r="F300" s="1058">
        <f>+VLOOKUP(B300,Composición!$C$5:$D$1768,1,0)</f>
        <v>30111211</v>
      </c>
      <c r="G300" s="1049"/>
    </row>
    <row r="301" spans="1:7" s="14" customFormat="1" ht="16.5" customHeight="1">
      <c r="A301" s="31" t="str">
        <f t="shared" si="23"/>
        <v>I</v>
      </c>
      <c r="B301" s="345">
        <v>3011121101</v>
      </c>
      <c r="C301" s="345" t="s">
        <v>242</v>
      </c>
      <c r="D301" s="347">
        <v>54350000000</v>
      </c>
      <c r="E301" s="348">
        <v>7605980.71</v>
      </c>
      <c r="F301" s="1058">
        <f>+VLOOKUP(B301,Composición!$C$5:$D$1768,1,0)</f>
        <v>3011121101</v>
      </c>
      <c r="G301" s="1049"/>
    </row>
    <row r="302" spans="1:7" s="14" customFormat="1" ht="16.5" customHeight="1">
      <c r="A302" s="31" t="str">
        <f t="shared" si="23"/>
        <v>NI</v>
      </c>
      <c r="B302" s="350">
        <v>302</v>
      </c>
      <c r="C302" s="350" t="s">
        <v>243</v>
      </c>
      <c r="D302" s="340">
        <v>740857678</v>
      </c>
      <c r="E302" s="341">
        <v>105720.42</v>
      </c>
      <c r="F302" s="1058">
        <f>+VLOOKUP(B302,Composición!$C$5:$D$1768,1,0)</f>
        <v>302</v>
      </c>
      <c r="G302" s="1049"/>
    </row>
    <row r="303" spans="1:7" s="14" customFormat="1" ht="16.5" customHeight="1">
      <c r="A303" s="14" t="str">
        <f t="shared" si="23"/>
        <v>NI</v>
      </c>
      <c r="B303" s="350">
        <v>3021</v>
      </c>
      <c r="C303" s="350" t="s">
        <v>244</v>
      </c>
      <c r="D303" s="340">
        <v>740857678</v>
      </c>
      <c r="E303" s="341">
        <v>105720.42</v>
      </c>
      <c r="F303" s="1058">
        <f>+VLOOKUP(B303,Composición!$C$5:$D$1768,1,0)</f>
        <v>3021</v>
      </c>
      <c r="G303" s="1049">
        <f>+D303-F303</f>
        <v>740854657</v>
      </c>
    </row>
    <row r="304" spans="1:7" s="14" customFormat="1" ht="16.5" customHeight="1">
      <c r="A304" s="31" t="str">
        <f t="shared" si="23"/>
        <v>NI</v>
      </c>
      <c r="B304" s="350">
        <v>30211</v>
      </c>
      <c r="C304" s="350" t="s">
        <v>244</v>
      </c>
      <c r="D304" s="340">
        <v>740857678</v>
      </c>
      <c r="E304" s="341">
        <v>105720.42</v>
      </c>
      <c r="F304" s="1058">
        <f>+VLOOKUP(B304,Composición!$C$5:$D$1768,1,0)</f>
        <v>30211</v>
      </c>
      <c r="G304" s="1049"/>
    </row>
    <row r="305" spans="1:7" s="14" customFormat="1" ht="16.5" customHeight="1">
      <c r="A305" s="31" t="str">
        <f t="shared" si="23"/>
        <v>NI</v>
      </c>
      <c r="B305" s="350">
        <v>302111</v>
      </c>
      <c r="C305" s="350" t="s">
        <v>244</v>
      </c>
      <c r="D305" s="340">
        <v>740857678</v>
      </c>
      <c r="E305" s="341">
        <v>105720.42</v>
      </c>
      <c r="F305" s="1058">
        <f>+VLOOKUP(B305,Composición!$C$5:$D$1768,1,0)</f>
        <v>302111</v>
      </c>
      <c r="G305" s="1049"/>
    </row>
    <row r="306" spans="1:7" s="14" customFormat="1" ht="16.5" customHeight="1">
      <c r="A306" s="31" t="str">
        <f t="shared" si="23"/>
        <v>NI</v>
      </c>
      <c r="B306" s="350">
        <v>3021111</v>
      </c>
      <c r="C306" s="350" t="s">
        <v>244</v>
      </c>
      <c r="D306" s="340">
        <v>740857678</v>
      </c>
      <c r="E306" s="341">
        <v>105720.42</v>
      </c>
      <c r="F306" s="1058">
        <f>+VLOOKUP(B306,Composición!$C$5:$D$1768,1,0)</f>
        <v>3021111</v>
      </c>
      <c r="G306" s="1049"/>
    </row>
    <row r="307" spans="1:7" s="14" customFormat="1" ht="16.5" customHeight="1">
      <c r="A307" s="31" t="str">
        <f t="shared" si="23"/>
        <v>NI</v>
      </c>
      <c r="B307" s="350">
        <v>30211111</v>
      </c>
      <c r="C307" s="350" t="s">
        <v>244</v>
      </c>
      <c r="D307" s="340">
        <v>740857678</v>
      </c>
      <c r="E307" s="341">
        <v>105720.42</v>
      </c>
      <c r="F307" s="1058">
        <f>+VLOOKUP(B307,Composición!$C$5:$D$1768,1,0)</f>
        <v>30211111</v>
      </c>
      <c r="G307" s="1049"/>
    </row>
    <row r="308" spans="1:7" s="14" customFormat="1" ht="16.5" customHeight="1">
      <c r="A308" s="31" t="str">
        <f t="shared" si="23"/>
        <v>I</v>
      </c>
      <c r="B308" s="345">
        <v>3021111101</v>
      </c>
      <c r="C308" s="345" t="s">
        <v>244</v>
      </c>
      <c r="D308" s="347">
        <v>740857678</v>
      </c>
      <c r="E308" s="348">
        <v>105720.42</v>
      </c>
      <c r="F308" s="1058">
        <f>+VLOOKUP(B308,Composición!$C$5:$D$1768,1,0)</f>
        <v>3021111101</v>
      </c>
      <c r="G308" s="1049"/>
    </row>
    <row r="309" spans="1:7" s="14" customFormat="1" ht="16.5" customHeight="1">
      <c r="A309" s="31" t="str">
        <f t="shared" si="23"/>
        <v>NI</v>
      </c>
      <c r="B309" s="350">
        <v>304</v>
      </c>
      <c r="C309" s="350" t="s">
        <v>245</v>
      </c>
      <c r="D309" s="340">
        <v>-2772384248</v>
      </c>
      <c r="E309" s="341">
        <v>-496171.70140000002</v>
      </c>
      <c r="F309" s="1058">
        <f>+VLOOKUP(B309,Composición!$C$5:$D$1768,1,0)</f>
        <v>304</v>
      </c>
      <c r="G309" s="1049"/>
    </row>
    <row r="310" spans="1:7" s="14" customFormat="1" ht="16.5" customHeight="1">
      <c r="A310" s="14" t="str">
        <f t="shared" si="23"/>
        <v>NI</v>
      </c>
      <c r="B310" s="350">
        <v>3041</v>
      </c>
      <c r="C310" s="350" t="s">
        <v>246</v>
      </c>
      <c r="D310" s="340">
        <v>-2772384248</v>
      </c>
      <c r="E310" s="341">
        <v>-496171.70140000002</v>
      </c>
      <c r="F310" s="1058">
        <f>+VLOOKUP(B310,Composición!$C$5:$D$1768,1,0)</f>
        <v>3041</v>
      </c>
      <c r="G310" s="1049">
        <f>+D310-F310</f>
        <v>-2772387289</v>
      </c>
    </row>
    <row r="311" spans="1:7" s="14" customFormat="1" ht="16.5" customHeight="1">
      <c r="A311" s="31" t="str">
        <f t="shared" si="23"/>
        <v>NI</v>
      </c>
      <c r="B311" s="350">
        <v>30411</v>
      </c>
      <c r="C311" s="350" t="s">
        <v>246</v>
      </c>
      <c r="D311" s="340">
        <v>-2772384248</v>
      </c>
      <c r="E311" s="341">
        <v>-496171.70140000002</v>
      </c>
      <c r="F311" s="1058">
        <f>+VLOOKUP(B311,Composición!$C$5:$D$1768,1,0)</f>
        <v>30411</v>
      </c>
      <c r="G311" s="1049"/>
    </row>
    <row r="312" spans="1:7" s="14" customFormat="1" ht="16.5" customHeight="1">
      <c r="A312" s="31" t="str">
        <f t="shared" si="23"/>
        <v>NI</v>
      </c>
      <c r="B312" s="350">
        <v>304111</v>
      </c>
      <c r="C312" s="350" t="s">
        <v>246</v>
      </c>
      <c r="D312" s="340">
        <v>-2772384248</v>
      </c>
      <c r="E312" s="341">
        <v>-496171.70140000002</v>
      </c>
      <c r="F312" s="1058">
        <f>+VLOOKUP(B312,Composición!$C$5:$D$1768,1,0)</f>
        <v>304111</v>
      </c>
      <c r="G312" s="1049"/>
    </row>
    <row r="313" spans="1:7" s="14" customFormat="1" ht="16.5" customHeight="1">
      <c r="A313" s="31" t="str">
        <f t="shared" si="23"/>
        <v>NI</v>
      </c>
      <c r="B313" s="350">
        <v>3041111</v>
      </c>
      <c r="C313" s="350" t="s">
        <v>246</v>
      </c>
      <c r="D313" s="340">
        <v>-2772384248</v>
      </c>
      <c r="E313" s="341">
        <v>-496171.70140000002</v>
      </c>
      <c r="F313" s="1058">
        <f>+VLOOKUP(B313,Composición!$C$5:$D$1768,1,0)</f>
        <v>3041111</v>
      </c>
      <c r="G313" s="1049"/>
    </row>
    <row r="314" spans="1:7" s="14" customFormat="1" ht="16.5" customHeight="1">
      <c r="A314" s="31" t="str">
        <f t="shared" si="23"/>
        <v>NI</v>
      </c>
      <c r="B314" s="350">
        <v>30411111</v>
      </c>
      <c r="C314" s="350" t="s">
        <v>246</v>
      </c>
      <c r="D314" s="340">
        <v>-2772384248</v>
      </c>
      <c r="E314" s="341">
        <v>-496171.70140000002</v>
      </c>
      <c r="F314" s="1058">
        <f>+VLOOKUP(B314,Composición!$C$5:$D$1768,1,0)</f>
        <v>30411111</v>
      </c>
      <c r="G314" s="1049"/>
    </row>
    <row r="315" spans="1:7" s="14" customFormat="1" ht="16.5" customHeight="1">
      <c r="A315" s="31" t="str">
        <f t="shared" si="23"/>
        <v>I</v>
      </c>
      <c r="B315" s="345">
        <v>3041111101</v>
      </c>
      <c r="C315" s="345" t="s">
        <v>247</v>
      </c>
      <c r="D315" s="347">
        <v>-5941551458</v>
      </c>
      <c r="E315" s="348">
        <v>-919539.65</v>
      </c>
      <c r="F315" s="1058">
        <f>+VLOOKUP(B315,Composición!$C$5:$D$1768,1,0)</f>
        <v>3041111101</v>
      </c>
      <c r="G315" s="1049"/>
    </row>
    <row r="316" spans="1:7" s="14" customFormat="1" ht="16.5" customHeight="1">
      <c r="A316" s="31" t="str">
        <f t="shared" si="23"/>
        <v>I</v>
      </c>
      <c r="B316" s="345">
        <v>3041111102</v>
      </c>
      <c r="C316" s="345" t="s">
        <v>248</v>
      </c>
      <c r="D316" s="347">
        <v>3169167210</v>
      </c>
      <c r="E316" s="348">
        <v>423367.9486</v>
      </c>
      <c r="F316" s="1058">
        <f>+VLOOKUP(B316,Composición!$C$5:$D$1768,1,0)</f>
        <v>3041111102</v>
      </c>
      <c r="G316" s="1049"/>
    </row>
    <row r="317" spans="1:7" s="14" customFormat="1" ht="16.5" customHeight="1">
      <c r="A317" s="14" t="str">
        <f t="shared" si="23"/>
        <v>NI</v>
      </c>
      <c r="B317" s="345"/>
      <c r="C317" s="345"/>
      <c r="D317" s="347"/>
      <c r="E317" s="348"/>
      <c r="F317" s="1058"/>
      <c r="G317" s="1049">
        <f t="shared" ref="G317:G318" si="31">+D317-F317</f>
        <v>0</v>
      </c>
    </row>
    <row r="318" spans="1:7" s="14" customFormat="1" ht="16.5" customHeight="1">
      <c r="A318" s="14" t="str">
        <f t="shared" si="23"/>
        <v>NI</v>
      </c>
      <c r="B318" s="350">
        <v>6</v>
      </c>
      <c r="C318" s="350" t="s">
        <v>249</v>
      </c>
      <c r="D318" s="340">
        <v>1854581611119</v>
      </c>
      <c r="E318" s="341">
        <v>254623609.02000004</v>
      </c>
      <c r="F318" s="1058">
        <f>+VLOOKUP(B318,Composición!$C$5:$D$1768,1,0)</f>
        <v>6</v>
      </c>
      <c r="G318" s="1049">
        <f t="shared" si="31"/>
        <v>1854581611113</v>
      </c>
    </row>
    <row r="319" spans="1:7" s="14" customFormat="1" ht="16.5" customHeight="1">
      <c r="A319" s="31"/>
      <c r="B319" s="350">
        <v>61</v>
      </c>
      <c r="C319" s="350" t="s">
        <v>250</v>
      </c>
      <c r="D319" s="340">
        <v>1854581611119</v>
      </c>
      <c r="E319" s="341">
        <v>254623609.02000004</v>
      </c>
      <c r="F319" s="1058">
        <f>+VLOOKUP(B319,Composición!$C$5:$D$1768,1,0)</f>
        <v>61</v>
      </c>
      <c r="G319" s="1049"/>
    </row>
    <row r="320" spans="1:7" s="14" customFormat="1" ht="16.5" customHeight="1">
      <c r="A320" s="31" t="str">
        <f t="shared" si="23"/>
        <v>NI</v>
      </c>
      <c r="B320" s="350">
        <v>611</v>
      </c>
      <c r="C320" s="350" t="s">
        <v>251</v>
      </c>
      <c r="D320" s="340">
        <v>1854581611119</v>
      </c>
      <c r="E320" s="341">
        <v>254623609.01999998</v>
      </c>
      <c r="F320" s="1058">
        <f>+VLOOKUP(B320,Composición!$C$5:$D$1768,1,0)</f>
        <v>611</v>
      </c>
      <c r="G320" s="1049"/>
    </row>
    <row r="321" spans="1:7" s="14" customFormat="1" ht="16.5" customHeight="1">
      <c r="A321" s="31" t="str">
        <f t="shared" ref="A321:A384" si="32">IF(LEN(B321)&gt;8,"I","NI")</f>
        <v>NI</v>
      </c>
      <c r="B321" s="350">
        <v>61101</v>
      </c>
      <c r="C321" s="350" t="s">
        <v>251</v>
      </c>
      <c r="D321" s="340">
        <v>1854581611119</v>
      </c>
      <c r="E321" s="341">
        <v>254623609.01999998</v>
      </c>
      <c r="F321" s="1058">
        <f>+VLOOKUP(B321,Composición!$C$5:$D$1768,1,0)</f>
        <v>61101</v>
      </c>
      <c r="G321" s="1049"/>
    </row>
    <row r="322" spans="1:7" s="14" customFormat="1" ht="16.5" customHeight="1">
      <c r="A322" s="31" t="str">
        <f t="shared" si="32"/>
        <v>NI</v>
      </c>
      <c r="B322" s="350">
        <v>611011</v>
      </c>
      <c r="C322" s="350" t="s">
        <v>251</v>
      </c>
      <c r="D322" s="340">
        <v>1854581611119</v>
      </c>
      <c r="E322" s="341">
        <v>254623609.01999998</v>
      </c>
      <c r="F322" s="1058">
        <f>+VLOOKUP(B322,Composición!$C$5:$D$1768,1,0)</f>
        <v>611011</v>
      </c>
      <c r="G322" s="1049"/>
    </row>
    <row r="323" spans="1:7" s="14" customFormat="1" ht="16.5" customHeight="1">
      <c r="A323" s="31" t="str">
        <f t="shared" si="32"/>
        <v>NI</v>
      </c>
      <c r="B323" s="350">
        <v>6110110</v>
      </c>
      <c r="C323" s="350" t="s">
        <v>252</v>
      </c>
      <c r="D323" s="340">
        <v>1485738850318</v>
      </c>
      <c r="E323" s="341">
        <v>203983575.51999998</v>
      </c>
      <c r="F323" s="1058">
        <f>+VLOOKUP(B323,Composición!$C$5:$D$1768,1,0)</f>
        <v>6110110</v>
      </c>
      <c r="G323" s="1049"/>
    </row>
    <row r="324" spans="1:7" s="14" customFormat="1" ht="16.5" customHeight="1">
      <c r="A324" s="31" t="str">
        <f t="shared" si="32"/>
        <v>NI</v>
      </c>
      <c r="B324" s="350">
        <v>61101101</v>
      </c>
      <c r="C324" s="350" t="s">
        <v>57</v>
      </c>
      <c r="D324" s="340">
        <v>13801001925</v>
      </c>
      <c r="E324" s="341">
        <v>1894799.83</v>
      </c>
      <c r="F324" s="1058">
        <f>+VLOOKUP(B324,Composición!$C$5:$D$1768,1,0)</f>
        <v>61101101</v>
      </c>
      <c r="G324" s="1049"/>
    </row>
    <row r="325" spans="1:7" s="14" customFormat="1" ht="16.5" customHeight="1">
      <c r="A325" s="31" t="str">
        <f t="shared" si="32"/>
        <v>I</v>
      </c>
      <c r="B325" s="345">
        <v>6110110101</v>
      </c>
      <c r="C325" s="345" t="s">
        <v>253</v>
      </c>
      <c r="D325" s="347">
        <v>13801001925</v>
      </c>
      <c r="E325" s="348">
        <v>1894799.83</v>
      </c>
      <c r="F325" s="1058">
        <f>+VLOOKUP(B325,Composición!$C$5:$D$1768,1,0)</f>
        <v>6110110101</v>
      </c>
      <c r="G325" s="1049"/>
    </row>
    <row r="326" spans="1:7" s="14" customFormat="1" ht="16.5" customHeight="1">
      <c r="A326" s="31" t="str">
        <f t="shared" si="32"/>
        <v>NI</v>
      </c>
      <c r="B326" s="350">
        <v>61101102</v>
      </c>
      <c r="C326" s="350" t="s">
        <v>254</v>
      </c>
      <c r="D326" s="340">
        <v>15131873288</v>
      </c>
      <c r="E326" s="341">
        <v>2077520.9699999997</v>
      </c>
      <c r="F326" s="1058">
        <f>+VLOOKUP(B326,Composición!$C$5:$D$1768,1,0)</f>
        <v>61101102</v>
      </c>
      <c r="G326" s="1049"/>
    </row>
    <row r="327" spans="1:7" s="14" customFormat="1" ht="16.5" customHeight="1">
      <c r="A327" s="14" t="str">
        <f t="shared" si="32"/>
        <v>I</v>
      </c>
      <c r="B327" s="345">
        <v>6110110201</v>
      </c>
      <c r="C327" s="345" t="s">
        <v>255</v>
      </c>
      <c r="D327" s="347">
        <v>15131873288</v>
      </c>
      <c r="E327" s="348">
        <v>2077520.9699999997</v>
      </c>
      <c r="F327" s="1058">
        <f>+VLOOKUP(B327,Composición!$C$5:$D$1768,1,0)</f>
        <v>6110110201</v>
      </c>
      <c r="G327" s="1049">
        <f>+D327-F327</f>
        <v>9021763087</v>
      </c>
    </row>
    <row r="328" spans="1:7" s="14" customFormat="1" ht="16.5" customHeight="1">
      <c r="A328" s="31" t="str">
        <f t="shared" si="32"/>
        <v>NI</v>
      </c>
      <c r="B328" s="350">
        <v>61101103</v>
      </c>
      <c r="C328" s="350" t="s">
        <v>256</v>
      </c>
      <c r="D328" s="340">
        <v>53744915</v>
      </c>
      <c r="E328" s="341">
        <v>7378.8699999999944</v>
      </c>
      <c r="F328" s="1058">
        <f>+VLOOKUP(B328,Composición!$C$5:$D$1768,1,0)</f>
        <v>61101103</v>
      </c>
      <c r="G328" s="1049"/>
    </row>
    <row r="329" spans="1:7" s="14" customFormat="1" ht="16.5" customHeight="1">
      <c r="A329" s="14" t="str">
        <f t="shared" si="32"/>
        <v>I</v>
      </c>
      <c r="B329" s="345">
        <v>6110110301</v>
      </c>
      <c r="C329" s="345" t="s">
        <v>257</v>
      </c>
      <c r="D329" s="347">
        <v>53744915</v>
      </c>
      <c r="E329" s="348">
        <v>7378.8699999999944</v>
      </c>
      <c r="F329" s="1058">
        <f>+VLOOKUP(B329,Composición!$C$5:$D$1768,1,0)</f>
        <v>6110110301</v>
      </c>
      <c r="G329" s="1049">
        <f>+D329-F329</f>
        <v>-6056365386</v>
      </c>
    </row>
    <row r="330" spans="1:7" s="14" customFormat="1" ht="16.5" customHeight="1">
      <c r="A330" s="31" t="str">
        <f t="shared" si="32"/>
        <v>NI</v>
      </c>
      <c r="B330" s="350">
        <v>61101104</v>
      </c>
      <c r="C330" s="350" t="s">
        <v>258</v>
      </c>
      <c r="D330" s="340">
        <v>43517650832</v>
      </c>
      <c r="E330" s="341">
        <v>5974728.3399999999</v>
      </c>
      <c r="F330" s="1058">
        <f>+VLOOKUP(B330,Composición!$C$5:$D$1768,1,0)</f>
        <v>61101104</v>
      </c>
      <c r="G330" s="1049"/>
    </row>
    <row r="331" spans="1:7" s="14" customFormat="1" ht="16.5" customHeight="1">
      <c r="A331" s="14" t="str">
        <f t="shared" si="32"/>
        <v>I</v>
      </c>
      <c r="B331" s="345">
        <v>6110110401</v>
      </c>
      <c r="C331" s="345" t="s">
        <v>259</v>
      </c>
      <c r="D331" s="347">
        <v>43517650832</v>
      </c>
      <c r="E331" s="348">
        <v>5974728.3399999999</v>
      </c>
      <c r="F331" s="1058">
        <f>+VLOOKUP(B331,Composición!$C$5:$D$1768,1,0)</f>
        <v>6110110401</v>
      </c>
      <c r="G331" s="1049">
        <f>+D331-F331</f>
        <v>37407540431</v>
      </c>
    </row>
    <row r="332" spans="1:7" s="14" customFormat="1" ht="16.5" customHeight="1">
      <c r="A332" s="31" t="str">
        <f t="shared" si="32"/>
        <v>NI</v>
      </c>
      <c r="B332" s="350">
        <v>61101105</v>
      </c>
      <c r="C332" s="350" t="s">
        <v>59</v>
      </c>
      <c r="D332" s="340">
        <v>107283831246</v>
      </c>
      <c r="E332" s="341">
        <v>14729465.730000002</v>
      </c>
      <c r="F332" s="1058">
        <f>+VLOOKUP(B332,Composición!$C$5:$D$1768,1,0)</f>
        <v>61101105</v>
      </c>
      <c r="G332" s="1049"/>
    </row>
    <row r="333" spans="1:7" s="14" customFormat="1" ht="16.5" customHeight="1">
      <c r="A333" s="14" t="str">
        <f t="shared" si="32"/>
        <v>I</v>
      </c>
      <c r="B333" s="345">
        <v>6110110501</v>
      </c>
      <c r="C333" s="345" t="s">
        <v>260</v>
      </c>
      <c r="D333" s="347">
        <v>93840000000</v>
      </c>
      <c r="E333" s="348">
        <v>12883703.43</v>
      </c>
      <c r="F333" s="1058">
        <f>+VLOOKUP(B333,Composición!$C$5:$D$1768,1,0)</f>
        <v>6110110501</v>
      </c>
      <c r="G333" s="1049">
        <f>+D333-F333</f>
        <v>87729889499</v>
      </c>
    </row>
    <row r="334" spans="1:7" s="14" customFormat="1" ht="16.5" customHeight="1">
      <c r="A334" s="31" t="str">
        <f t="shared" si="32"/>
        <v>I</v>
      </c>
      <c r="B334" s="345">
        <v>6110110502</v>
      </c>
      <c r="C334" s="345" t="s">
        <v>261</v>
      </c>
      <c r="D334" s="347">
        <v>13443831246</v>
      </c>
      <c r="E334" s="348">
        <v>1845762.3000000003</v>
      </c>
      <c r="F334" s="1058">
        <f>+VLOOKUP(B334,Composición!$C$5:$D$1768,1,0)</f>
        <v>6110110502</v>
      </c>
      <c r="G334" s="1049"/>
    </row>
    <row r="335" spans="1:7" s="14" customFormat="1" ht="16.5" customHeight="1">
      <c r="A335" s="14" t="str">
        <f t="shared" si="32"/>
        <v>NI</v>
      </c>
      <c r="B335" s="350">
        <v>61101106</v>
      </c>
      <c r="C335" s="350" t="s">
        <v>60</v>
      </c>
      <c r="D335" s="340">
        <v>47775986197</v>
      </c>
      <c r="E335" s="341">
        <v>6559373.7999999989</v>
      </c>
      <c r="F335" s="1058">
        <f>+VLOOKUP(B335,Composición!$C$5:$D$1768,1,0)</f>
        <v>61101106</v>
      </c>
      <c r="G335" s="1049">
        <f t="shared" ref="G335:G336" si="33">+D335-F335</f>
        <v>47714885091</v>
      </c>
    </row>
    <row r="336" spans="1:7" s="14" customFormat="1" ht="16.5" customHeight="1">
      <c r="A336" s="14" t="str">
        <f t="shared" si="32"/>
        <v>I</v>
      </c>
      <c r="B336" s="345">
        <v>6110110601</v>
      </c>
      <c r="C336" s="345" t="s">
        <v>262</v>
      </c>
      <c r="D336" s="347">
        <v>43687152760</v>
      </c>
      <c r="E336" s="348">
        <v>5998000</v>
      </c>
      <c r="F336" s="1058">
        <f>+VLOOKUP(B336,Composición!$C$5:$D$1768,1,0)</f>
        <v>6110110601</v>
      </c>
      <c r="G336" s="1049">
        <f t="shared" si="33"/>
        <v>37577042159</v>
      </c>
    </row>
    <row r="337" spans="1:7" s="14" customFormat="1" ht="16.5" customHeight="1">
      <c r="A337" s="31" t="str">
        <f t="shared" si="32"/>
        <v>I</v>
      </c>
      <c r="B337" s="345">
        <v>6110110602</v>
      </c>
      <c r="C337" s="345" t="s">
        <v>263</v>
      </c>
      <c r="D337" s="347">
        <v>4088833437</v>
      </c>
      <c r="E337" s="348">
        <v>561373.80000000005</v>
      </c>
      <c r="F337" s="1058">
        <f>+VLOOKUP(B337,Composición!$C$5:$D$1768,1,0)</f>
        <v>6110110602</v>
      </c>
      <c r="G337" s="1049"/>
    </row>
    <row r="338" spans="1:7" s="14" customFormat="1" ht="16.5" customHeight="1">
      <c r="A338" s="14" t="str">
        <f t="shared" si="32"/>
        <v>NI</v>
      </c>
      <c r="B338" s="350">
        <v>61101107</v>
      </c>
      <c r="C338" s="350" t="s">
        <v>63</v>
      </c>
      <c r="D338" s="340">
        <v>114842946000</v>
      </c>
      <c r="E338" s="341">
        <v>15767289.619999999</v>
      </c>
      <c r="F338" s="1058">
        <f>+VLOOKUP(B338,Composición!$C$5:$D$1768,1,0)</f>
        <v>61101107</v>
      </c>
      <c r="G338" s="1049">
        <f t="shared" ref="G338:G339" si="34">+D338-F338</f>
        <v>114781844893</v>
      </c>
    </row>
    <row r="339" spans="1:7" s="14" customFormat="1" ht="16.5" customHeight="1">
      <c r="A339" s="14" t="str">
        <f t="shared" si="32"/>
        <v>I</v>
      </c>
      <c r="B339" s="345">
        <v>6110110701</v>
      </c>
      <c r="C339" s="345" t="s">
        <v>264</v>
      </c>
      <c r="D339" s="347">
        <v>114842946000</v>
      </c>
      <c r="E339" s="348">
        <v>15767289.619999999</v>
      </c>
      <c r="F339" s="1058">
        <f>+VLOOKUP(B339,Composición!$C$5:$D$1768,1,0)</f>
        <v>6110110701</v>
      </c>
      <c r="G339" s="1049">
        <f t="shared" si="34"/>
        <v>108732835299</v>
      </c>
    </row>
    <row r="340" spans="1:7" s="14" customFormat="1" ht="16.5" customHeight="1">
      <c r="A340" s="31" t="str">
        <f t="shared" si="32"/>
        <v>NI</v>
      </c>
      <c r="B340" s="350">
        <v>61101108</v>
      </c>
      <c r="C340" s="350" t="s">
        <v>64</v>
      </c>
      <c r="D340" s="340">
        <v>69154292725</v>
      </c>
      <c r="E340" s="341">
        <v>9494494.870000001</v>
      </c>
      <c r="F340" s="1058">
        <f>+VLOOKUP(B340,Composición!$C$5:$D$1768,1,0)</f>
        <v>61101108</v>
      </c>
      <c r="G340" s="1049"/>
    </row>
    <row r="341" spans="1:7" s="14" customFormat="1" ht="16.5" customHeight="1">
      <c r="A341" s="14" t="str">
        <f t="shared" si="32"/>
        <v>I</v>
      </c>
      <c r="B341" s="345">
        <v>6110110801</v>
      </c>
      <c r="C341" s="345" t="s">
        <v>265</v>
      </c>
      <c r="D341" s="347">
        <v>69154292725</v>
      </c>
      <c r="E341" s="348">
        <v>9494494.870000001</v>
      </c>
      <c r="F341" s="1058">
        <f>+VLOOKUP(B341,Composición!$C$5:$D$1768,1,0)</f>
        <v>6110110801</v>
      </c>
      <c r="G341" s="1049">
        <f>+D341-F341</f>
        <v>63044181924</v>
      </c>
    </row>
    <row r="342" spans="1:7" s="14" customFormat="1" ht="16.5" customHeight="1">
      <c r="A342" s="31" t="str">
        <f t="shared" si="32"/>
        <v>NI</v>
      </c>
      <c r="B342" s="350">
        <v>61101109</v>
      </c>
      <c r="C342" s="350" t="s">
        <v>66</v>
      </c>
      <c r="D342" s="340">
        <v>2429762500</v>
      </c>
      <c r="E342" s="341">
        <v>333592.70999999996</v>
      </c>
      <c r="F342" s="1058">
        <f>+VLOOKUP(B342,Composición!$C$5:$D$1768,1,0)</f>
        <v>61101109</v>
      </c>
      <c r="G342" s="1049"/>
    </row>
    <row r="343" spans="1:7" s="14" customFormat="1" ht="16.5" customHeight="1">
      <c r="A343" s="14" t="str">
        <f t="shared" si="32"/>
        <v>I</v>
      </c>
      <c r="B343" s="345">
        <v>6110110901</v>
      </c>
      <c r="C343" s="345" t="s">
        <v>266</v>
      </c>
      <c r="D343" s="347">
        <v>2429762500</v>
      </c>
      <c r="E343" s="348">
        <v>333592.70999999996</v>
      </c>
      <c r="F343" s="1058">
        <f>+VLOOKUP(B343,Composición!$C$5:$D$1768,1,0)</f>
        <v>6110110901</v>
      </c>
      <c r="G343" s="1049">
        <f>+D343-F343</f>
        <v>-3680348401</v>
      </c>
    </row>
    <row r="344" spans="1:7" s="14" customFormat="1" ht="16.5" customHeight="1">
      <c r="A344" s="31" t="str">
        <f t="shared" si="32"/>
        <v>NI</v>
      </c>
      <c r="B344" s="350">
        <v>61101113</v>
      </c>
      <c r="C344" s="350" t="s">
        <v>267</v>
      </c>
      <c r="D344" s="340">
        <v>767167686046</v>
      </c>
      <c r="E344" s="341">
        <v>105327802.11999999</v>
      </c>
      <c r="F344" s="1058">
        <f>+VLOOKUP(B344,Composición!$C$5:$D$1768,1,0)</f>
        <v>61101113</v>
      </c>
      <c r="G344" s="1049"/>
    </row>
    <row r="345" spans="1:7" s="14" customFormat="1" ht="16.5" customHeight="1">
      <c r="A345" s="14" t="str">
        <f t="shared" si="32"/>
        <v>I</v>
      </c>
      <c r="B345" s="345">
        <v>6110111301</v>
      </c>
      <c r="C345" s="345" t="s">
        <v>268</v>
      </c>
      <c r="D345" s="347">
        <v>767167686046</v>
      </c>
      <c r="E345" s="348">
        <v>105327802.11999999</v>
      </c>
      <c r="F345" s="1058">
        <f>+VLOOKUP(B345,Composición!$C$5:$D$1768,1,0)</f>
        <v>6110111301</v>
      </c>
      <c r="G345" s="1049">
        <f>+D345-F345</f>
        <v>761057574745</v>
      </c>
    </row>
    <row r="346" spans="1:7" s="14" customFormat="1" ht="16.5" customHeight="1">
      <c r="A346" s="31" t="str">
        <f t="shared" si="32"/>
        <v>NI</v>
      </c>
      <c r="B346" s="350">
        <v>61101114</v>
      </c>
      <c r="C346" s="350" t="s">
        <v>269</v>
      </c>
      <c r="D346" s="340">
        <v>138433955852</v>
      </c>
      <c r="E346" s="341">
        <v>19006202.390000001</v>
      </c>
      <c r="F346" s="1058">
        <f>+VLOOKUP(B346,Composición!$C$5:$D$1768,1,0)</f>
        <v>61101114</v>
      </c>
      <c r="G346" s="1049"/>
    </row>
    <row r="347" spans="1:7" s="14" customFormat="1" ht="16.5" customHeight="1">
      <c r="A347" s="14" t="str">
        <f t="shared" si="32"/>
        <v>I</v>
      </c>
      <c r="B347" s="345">
        <v>6110111401</v>
      </c>
      <c r="C347" s="345" t="s">
        <v>270</v>
      </c>
      <c r="D347" s="347">
        <v>138433955852</v>
      </c>
      <c r="E347" s="348">
        <v>19006202.390000001</v>
      </c>
      <c r="F347" s="1058">
        <f>+VLOOKUP(B347,Composición!$C$5:$D$1768,1,0)</f>
        <v>6110111401</v>
      </c>
      <c r="G347" s="1049">
        <f>+D347-F347</f>
        <v>132323844451</v>
      </c>
    </row>
    <row r="348" spans="1:7" s="14" customFormat="1" ht="16.5" customHeight="1">
      <c r="A348" s="31" t="str">
        <f t="shared" si="32"/>
        <v>NI</v>
      </c>
      <c r="B348" s="345">
        <v>61101117</v>
      </c>
      <c r="C348" s="345" t="s">
        <v>271</v>
      </c>
      <c r="D348" s="347">
        <v>1246735668</v>
      </c>
      <c r="E348" s="348">
        <v>171169.78999999998</v>
      </c>
      <c r="F348" s="1058">
        <f>+VLOOKUP(B348,Composición!$C$5:$D$1768,1,0)</f>
        <v>61101117</v>
      </c>
      <c r="G348" s="1049"/>
    </row>
    <row r="349" spans="1:7" s="14" customFormat="1" ht="16.5" customHeight="1">
      <c r="A349" s="14" t="str">
        <f t="shared" si="32"/>
        <v>I</v>
      </c>
      <c r="B349" s="345">
        <v>6110111701</v>
      </c>
      <c r="C349" s="345" t="s">
        <v>272</v>
      </c>
      <c r="D349" s="347">
        <v>950000000</v>
      </c>
      <c r="E349" s="348">
        <v>130429.65000000001</v>
      </c>
      <c r="F349" s="1058">
        <f>+VLOOKUP(B349,Composición!$C$5:$D$1768,1,0)</f>
        <v>6110111701</v>
      </c>
      <c r="G349" s="1049">
        <f t="shared" ref="G349:G350" si="35">+D349-F349</f>
        <v>-5160111701</v>
      </c>
    </row>
    <row r="350" spans="1:7" s="14" customFormat="1" ht="16.5" customHeight="1">
      <c r="A350" s="14" t="str">
        <f t="shared" si="32"/>
        <v>I</v>
      </c>
      <c r="B350" s="345">
        <v>6110111702</v>
      </c>
      <c r="C350" s="345" t="s">
        <v>273</v>
      </c>
      <c r="D350" s="347">
        <v>296735668</v>
      </c>
      <c r="E350" s="348">
        <v>40740.14</v>
      </c>
      <c r="F350" s="1058">
        <f>+VLOOKUP(B350,Composición!$C$5:$D$1768,1,0)</f>
        <v>6110111702</v>
      </c>
      <c r="G350" s="1049">
        <f t="shared" si="35"/>
        <v>-5813376034</v>
      </c>
    </row>
    <row r="351" spans="1:7" s="14" customFormat="1" ht="16.5" customHeight="1">
      <c r="A351" s="31" t="str">
        <f t="shared" si="32"/>
        <v>NI</v>
      </c>
      <c r="B351" s="350">
        <v>61101118</v>
      </c>
      <c r="C351" s="350" t="s">
        <v>274</v>
      </c>
      <c r="D351" s="340">
        <v>41017361588</v>
      </c>
      <c r="E351" s="341">
        <v>5631452.7100000009</v>
      </c>
      <c r="F351" s="1058">
        <f>+VLOOKUP(B351,Composición!$C$5:$D$1768,1,0)</f>
        <v>61101118</v>
      </c>
      <c r="G351" s="1049"/>
    </row>
    <row r="352" spans="1:7" s="14" customFormat="1" ht="16.5" customHeight="1">
      <c r="A352" s="14" t="str">
        <f t="shared" si="32"/>
        <v>I</v>
      </c>
      <c r="B352" s="345">
        <v>6110111801</v>
      </c>
      <c r="C352" s="345" t="s">
        <v>275</v>
      </c>
      <c r="D352" s="347">
        <v>40737439616</v>
      </c>
      <c r="E352" s="348">
        <v>5593021</v>
      </c>
      <c r="F352" s="1058">
        <f>+VLOOKUP(B352,Composición!$C$5:$D$1768,1,0)</f>
        <v>6110111801</v>
      </c>
      <c r="G352" s="1049">
        <f>+D352-F352</f>
        <v>34627327815</v>
      </c>
    </row>
    <row r="353" spans="1:7" s="14" customFormat="1" ht="16.5" customHeight="1">
      <c r="A353" s="31" t="str">
        <f t="shared" si="32"/>
        <v>I</v>
      </c>
      <c r="B353" s="350">
        <v>6110111802</v>
      </c>
      <c r="C353" s="350" t="s">
        <v>276</v>
      </c>
      <c r="D353" s="340">
        <v>279921972</v>
      </c>
      <c r="E353" s="341">
        <v>38431.709999999992</v>
      </c>
      <c r="F353" s="1058">
        <f>+VLOOKUP(B353,Composición!$C$5:$D$1768,1,0)</f>
        <v>6110111802</v>
      </c>
      <c r="G353" s="1049"/>
    </row>
    <row r="354" spans="1:7" s="14" customFormat="1" ht="16.5" customHeight="1">
      <c r="A354" s="14" t="str">
        <f t="shared" si="32"/>
        <v>NI</v>
      </c>
      <c r="B354" s="345">
        <v>61101129</v>
      </c>
      <c r="C354" s="345" t="s">
        <v>277</v>
      </c>
      <c r="D354" s="347">
        <v>26589769792</v>
      </c>
      <c r="E354" s="348">
        <v>3650625.62</v>
      </c>
      <c r="F354" s="1058">
        <f>+VLOOKUP(B354,Composición!$C$5:$D$1768,1,0)</f>
        <v>61101129</v>
      </c>
      <c r="G354" s="1049">
        <f>+D354-F354</f>
        <v>26528668663</v>
      </c>
    </row>
    <row r="355" spans="1:7" s="14" customFormat="1" ht="16.5" customHeight="1">
      <c r="A355" s="31" t="str">
        <f t="shared" si="32"/>
        <v>I</v>
      </c>
      <c r="B355" s="345">
        <v>6110112901</v>
      </c>
      <c r="C355" s="345" t="s">
        <v>278</v>
      </c>
      <c r="D355" s="347">
        <v>26589769792</v>
      </c>
      <c r="E355" s="348">
        <v>3650625.62</v>
      </c>
      <c r="F355" s="1058">
        <f>+VLOOKUP(B355,Composición!$C$5:$D$1768,1,0)</f>
        <v>6110112901</v>
      </c>
      <c r="G355" s="1049"/>
    </row>
    <row r="356" spans="1:7" s="14" customFormat="1" ht="16.5" customHeight="1">
      <c r="A356" s="31" t="str">
        <f t="shared" si="32"/>
        <v>NI</v>
      </c>
      <c r="B356" s="350">
        <v>61101131</v>
      </c>
      <c r="C356" s="350" t="s">
        <v>279</v>
      </c>
      <c r="D356" s="340">
        <v>87792251744</v>
      </c>
      <c r="E356" s="341">
        <v>12053381.66</v>
      </c>
      <c r="F356" s="1058">
        <f>+VLOOKUP(B356,Composición!$C$5:$D$1768,1,0)</f>
        <v>61101131</v>
      </c>
      <c r="G356" s="1049"/>
    </row>
    <row r="357" spans="1:7" s="14" customFormat="1" ht="16.5" customHeight="1">
      <c r="A357" s="14" t="str">
        <f t="shared" si="32"/>
        <v>I</v>
      </c>
      <c r="B357" s="345">
        <v>6110113101</v>
      </c>
      <c r="C357" s="345" t="s">
        <v>280</v>
      </c>
      <c r="D357" s="347">
        <v>87792251744</v>
      </c>
      <c r="E357" s="348">
        <v>12053381.66</v>
      </c>
      <c r="F357" s="1058">
        <f>+VLOOKUP(B357,Composición!$C$5:$D$1768,1,0)</f>
        <v>6110113101</v>
      </c>
      <c r="G357" s="1049">
        <f>+D357-F357</f>
        <v>81682138643</v>
      </c>
    </row>
    <row r="358" spans="1:7" s="14" customFormat="1" ht="16.5" customHeight="1">
      <c r="A358" s="31" t="str">
        <f t="shared" si="32"/>
        <v>NI</v>
      </c>
      <c r="B358" s="350">
        <v>61101133</v>
      </c>
      <c r="C358" s="350" t="s">
        <v>132</v>
      </c>
      <c r="D358" s="340">
        <v>9500000000</v>
      </c>
      <c r="E358" s="341">
        <v>1304296.4900000002</v>
      </c>
      <c r="F358" s="1058">
        <f>+VLOOKUP(B358,Composición!$C$5:$D$1768,1,0)</f>
        <v>61101133</v>
      </c>
      <c r="G358" s="1049"/>
    </row>
    <row r="359" spans="1:7" s="14" customFormat="1" ht="16.5" customHeight="1">
      <c r="A359" s="31" t="str">
        <f t="shared" si="32"/>
        <v>I</v>
      </c>
      <c r="B359" s="350">
        <v>6110113301</v>
      </c>
      <c r="C359" s="350" t="s">
        <v>132</v>
      </c>
      <c r="D359" s="340">
        <v>9500000000</v>
      </c>
      <c r="E359" s="341">
        <v>1304296.4900000002</v>
      </c>
      <c r="F359" s="1058">
        <f>+VLOOKUP(B359,Composición!$C$5:$D$1768,1,0)</f>
        <v>6110113301</v>
      </c>
      <c r="G359" s="1049"/>
    </row>
    <row r="360" spans="1:7" s="14" customFormat="1" ht="16.5" customHeight="1">
      <c r="A360" s="31" t="str">
        <f t="shared" si="32"/>
        <v>NI</v>
      </c>
      <c r="B360" s="350">
        <v>6110120</v>
      </c>
      <c r="C360" s="350" t="s">
        <v>281</v>
      </c>
      <c r="D360" s="340">
        <v>368842760801</v>
      </c>
      <c r="E360" s="341">
        <v>50640033.5</v>
      </c>
      <c r="F360" s="1058">
        <f>+VLOOKUP(B360,Composición!$C$5:$D$1768,1,0)</f>
        <v>6110120</v>
      </c>
      <c r="G360" s="1049"/>
    </row>
    <row r="361" spans="1:7" s="14" customFormat="1" ht="16.5" customHeight="1">
      <c r="A361" s="31" t="str">
        <f t="shared" si="32"/>
        <v>NI</v>
      </c>
      <c r="B361" s="350">
        <v>61101201</v>
      </c>
      <c r="C361" s="350" t="s">
        <v>282</v>
      </c>
      <c r="D361" s="340">
        <v>368842760801</v>
      </c>
      <c r="E361" s="341">
        <v>50640033.5</v>
      </c>
      <c r="F361" s="1058">
        <f>+VLOOKUP(B361,Composición!$C$5:$D$1768,1,0)</f>
        <v>61101201</v>
      </c>
      <c r="G361" s="1049"/>
    </row>
    <row r="362" spans="1:7" s="14" customFormat="1" ht="16.5" customHeight="1">
      <c r="A362" s="31" t="str">
        <f t="shared" si="32"/>
        <v>I</v>
      </c>
      <c r="B362" s="345">
        <v>6110120101</v>
      </c>
      <c r="C362" s="345" t="s">
        <v>283</v>
      </c>
      <c r="D362" s="347">
        <v>368842760801</v>
      </c>
      <c r="E362" s="348">
        <v>50640033.5</v>
      </c>
      <c r="F362" s="1058">
        <f>+VLOOKUP(B362,Composición!$C$5:$D$1768,1,0)</f>
        <v>6110120101</v>
      </c>
      <c r="G362" s="1049"/>
    </row>
    <row r="363" spans="1:7" s="14" customFormat="1" ht="16.5" customHeight="1">
      <c r="A363" s="31" t="str">
        <f t="shared" si="32"/>
        <v>NI</v>
      </c>
      <c r="B363" s="350">
        <v>62</v>
      </c>
      <c r="C363" s="350" t="s">
        <v>284</v>
      </c>
      <c r="D363" s="340">
        <v>1854581611119</v>
      </c>
      <c r="E363" s="341">
        <v>254623609.014</v>
      </c>
      <c r="F363" s="1058">
        <f>+VLOOKUP(B363,Composición!$C$5:$D$1768,1,0)</f>
        <v>62</v>
      </c>
      <c r="G363" s="1049"/>
    </row>
    <row r="364" spans="1:7" s="14" customFormat="1" ht="16.5" customHeight="1">
      <c r="A364" s="14" t="str">
        <f t="shared" si="32"/>
        <v>NI</v>
      </c>
      <c r="B364" s="345">
        <v>621</v>
      </c>
      <c r="C364" s="345" t="s">
        <v>251</v>
      </c>
      <c r="D364" s="347">
        <v>1854581611119</v>
      </c>
      <c r="E364" s="348">
        <v>254623609.014</v>
      </c>
      <c r="F364" s="1058">
        <f>+VLOOKUP(B364,Composición!$C$5:$D$1768,1,0)</f>
        <v>621</v>
      </c>
      <c r="G364" s="1049">
        <f>+D364-F364</f>
        <v>1854581610498</v>
      </c>
    </row>
    <row r="365" spans="1:7" s="14" customFormat="1" ht="16.5" customHeight="1">
      <c r="A365" s="31" t="str">
        <f t="shared" si="32"/>
        <v>NI</v>
      </c>
      <c r="B365" s="350">
        <v>62101</v>
      </c>
      <c r="C365" s="350" t="s">
        <v>251</v>
      </c>
      <c r="D365" s="340">
        <v>1854581611119</v>
      </c>
      <c r="E365" s="341">
        <v>254623609.014</v>
      </c>
      <c r="F365" s="1058">
        <f>+VLOOKUP(B365,Composición!$C$5:$D$1768,1,0)</f>
        <v>62101</v>
      </c>
      <c r="G365" s="1049"/>
    </row>
    <row r="366" spans="1:7" s="14" customFormat="1" ht="16.5" customHeight="1">
      <c r="A366" s="14" t="str">
        <f t="shared" si="32"/>
        <v>NI</v>
      </c>
      <c r="B366" s="345">
        <v>621011</v>
      </c>
      <c r="C366" s="345" t="s">
        <v>251</v>
      </c>
      <c r="D366" s="347">
        <v>1854581611119</v>
      </c>
      <c r="E366" s="348">
        <v>254623609.014</v>
      </c>
      <c r="F366" s="1058">
        <f>+VLOOKUP(B366,Composición!$C$5:$D$1768,1,0)</f>
        <v>621011</v>
      </c>
      <c r="G366" s="1049">
        <f>+D366-F366</f>
        <v>1854580990108</v>
      </c>
    </row>
    <row r="367" spans="1:7" s="14" customFormat="1" ht="16.5" customHeight="1">
      <c r="A367" s="31" t="str">
        <f t="shared" si="32"/>
        <v>NI</v>
      </c>
      <c r="B367" s="350">
        <v>6210110</v>
      </c>
      <c r="C367" s="350" t="s">
        <v>252</v>
      </c>
      <c r="D367" s="340">
        <v>1485738850318</v>
      </c>
      <c r="E367" s="341">
        <v>203983575.51400003</v>
      </c>
      <c r="F367" s="1058">
        <f>+VLOOKUP(B367,Composición!$C$5:$D$1768,1,0)</f>
        <v>6210110</v>
      </c>
      <c r="G367" s="1049"/>
    </row>
    <row r="368" spans="1:7" s="14" customFormat="1" ht="16.5" customHeight="1">
      <c r="A368" s="14" t="str">
        <f t="shared" si="32"/>
        <v>NI</v>
      </c>
      <c r="B368" s="345">
        <v>62101101</v>
      </c>
      <c r="C368" s="345" t="s">
        <v>57</v>
      </c>
      <c r="D368" s="347">
        <v>13801001925</v>
      </c>
      <c r="E368" s="348">
        <v>1894799.83</v>
      </c>
      <c r="F368" s="1058">
        <f>+VLOOKUP(B368,Composición!$C$5:$D$1768,1,0)</f>
        <v>62101101</v>
      </c>
      <c r="G368" s="1049">
        <f>+D368-F368</f>
        <v>13738900824</v>
      </c>
    </row>
    <row r="369" spans="1:7" s="14" customFormat="1" ht="16.5" customHeight="1">
      <c r="A369" s="31" t="str">
        <f t="shared" si="32"/>
        <v>I</v>
      </c>
      <c r="B369" s="350">
        <v>6210110101</v>
      </c>
      <c r="C369" s="350" t="s">
        <v>253</v>
      </c>
      <c r="D369" s="340">
        <v>13801001925</v>
      </c>
      <c r="E369" s="341">
        <v>1894799.83</v>
      </c>
      <c r="F369" s="1058">
        <f>+VLOOKUP(B369,Composición!$C$5:$D$1768,1,0)</f>
        <v>6210110101</v>
      </c>
      <c r="G369" s="1049"/>
    </row>
    <row r="370" spans="1:7" s="14" customFormat="1" ht="16.5" customHeight="1">
      <c r="A370" s="14" t="str">
        <f t="shared" si="32"/>
        <v>NI</v>
      </c>
      <c r="B370" s="345">
        <v>62101102</v>
      </c>
      <c r="C370" s="345" t="s">
        <v>254</v>
      </c>
      <c r="D370" s="347">
        <v>15131873288</v>
      </c>
      <c r="E370" s="348">
        <v>2077520.9699999997</v>
      </c>
      <c r="F370" s="1058">
        <f>+VLOOKUP(B370,Composición!$C$5:$D$1768,1,0)</f>
        <v>62101102</v>
      </c>
      <c r="G370" s="1049">
        <f>+D370-F370</f>
        <v>15069772186</v>
      </c>
    </row>
    <row r="371" spans="1:7" s="14" customFormat="1" ht="16.5" customHeight="1">
      <c r="A371" s="31" t="str">
        <f t="shared" si="32"/>
        <v>I</v>
      </c>
      <c r="B371" s="345">
        <v>6210110201</v>
      </c>
      <c r="C371" s="345" t="s">
        <v>255</v>
      </c>
      <c r="D371" s="347">
        <v>15131873288</v>
      </c>
      <c r="E371" s="348">
        <v>2077520.9699999997</v>
      </c>
      <c r="F371" s="1058">
        <f>+VLOOKUP(B371,Composición!$C$5:$D$1768,1,0)</f>
        <v>6210110201</v>
      </c>
      <c r="G371" s="1049"/>
    </row>
    <row r="372" spans="1:7" s="14" customFormat="1" ht="16.5" customHeight="1">
      <c r="A372" s="14" t="str">
        <f t="shared" si="32"/>
        <v>NI</v>
      </c>
      <c r="B372" s="345">
        <v>62101103</v>
      </c>
      <c r="C372" s="345" t="s">
        <v>256</v>
      </c>
      <c r="D372" s="347">
        <v>53744915</v>
      </c>
      <c r="E372" s="348">
        <v>7378.8699999999944</v>
      </c>
      <c r="F372" s="1058">
        <f>+VLOOKUP(B372,Composición!$C$5:$D$1768,1,0)</f>
        <v>62101103</v>
      </c>
      <c r="G372" s="1049">
        <f t="shared" ref="G372:G373" si="36">+D372-F372</f>
        <v>-8356188</v>
      </c>
    </row>
    <row r="373" spans="1:7" s="14" customFormat="1" ht="16.5" customHeight="1">
      <c r="A373" s="14" t="str">
        <f t="shared" si="32"/>
        <v>I</v>
      </c>
      <c r="B373" s="345">
        <v>6210110301</v>
      </c>
      <c r="C373" s="345" t="s">
        <v>257</v>
      </c>
      <c r="D373" s="347">
        <v>53744915</v>
      </c>
      <c r="E373" s="348">
        <v>7378.8699999999944</v>
      </c>
      <c r="F373" s="1058">
        <f>+VLOOKUP(B373,Composición!$C$5:$D$1768,1,0)</f>
        <v>6210110301</v>
      </c>
      <c r="G373" s="1049">
        <f t="shared" si="36"/>
        <v>-6156365386</v>
      </c>
    </row>
    <row r="374" spans="1:7" s="14" customFormat="1" ht="16.5" customHeight="1">
      <c r="A374" s="31" t="str">
        <f t="shared" si="32"/>
        <v>NI</v>
      </c>
      <c r="B374" s="345">
        <v>62101104</v>
      </c>
      <c r="C374" s="345" t="s">
        <v>258</v>
      </c>
      <c r="D374" s="347">
        <v>43517650832</v>
      </c>
      <c r="E374" s="348">
        <v>5974728.3380000005</v>
      </c>
      <c r="F374" s="1058">
        <f>+VLOOKUP(B374,Composición!$C$5:$D$1768,1,0)</f>
        <v>62101104</v>
      </c>
      <c r="G374" s="1049"/>
    </row>
    <row r="375" spans="1:7" s="14" customFormat="1" ht="16.5" customHeight="1">
      <c r="A375" s="14" t="str">
        <f t="shared" si="32"/>
        <v>I</v>
      </c>
      <c r="B375" s="345">
        <v>6210110401</v>
      </c>
      <c r="C375" s="345" t="s">
        <v>259</v>
      </c>
      <c r="D375" s="347">
        <v>43517650832</v>
      </c>
      <c r="E375" s="348">
        <v>5974728.3380000005</v>
      </c>
      <c r="F375" s="1058">
        <f>+VLOOKUP(B375,Composición!$C$5:$D$1768,1,0)</f>
        <v>6210110401</v>
      </c>
      <c r="G375" s="1049">
        <f t="shared" ref="G375:G376" si="37">+D375-F375</f>
        <v>37307540431</v>
      </c>
    </row>
    <row r="376" spans="1:7" s="14" customFormat="1" ht="16.5" customHeight="1">
      <c r="A376" s="14" t="str">
        <f t="shared" si="32"/>
        <v>NI</v>
      </c>
      <c r="B376" s="345">
        <v>62101105</v>
      </c>
      <c r="C376" s="345" t="s">
        <v>59</v>
      </c>
      <c r="D376" s="347">
        <v>107283831246</v>
      </c>
      <c r="E376" s="348">
        <v>14729465.730000002</v>
      </c>
      <c r="F376" s="1058">
        <f>+VLOOKUP(B376,Composición!$C$5:$D$1768,1,0)</f>
        <v>62101105</v>
      </c>
      <c r="G376" s="1049">
        <f t="shared" si="37"/>
        <v>107221730141</v>
      </c>
    </row>
    <row r="377" spans="1:7" s="14" customFormat="1" ht="16.5" customHeight="1">
      <c r="A377" s="31" t="str">
        <f t="shared" si="32"/>
        <v>I</v>
      </c>
      <c r="B377" s="350">
        <v>6210110501</v>
      </c>
      <c r="C377" s="350" t="s">
        <v>260</v>
      </c>
      <c r="D377" s="340">
        <v>93840000000</v>
      </c>
      <c r="E377" s="341">
        <v>12883703.43</v>
      </c>
      <c r="F377" s="1058">
        <f>+VLOOKUP(B377,Composición!$C$5:$D$1768,1,0)</f>
        <v>6210110501</v>
      </c>
      <c r="G377" s="1049"/>
    </row>
    <row r="378" spans="1:7" s="14" customFormat="1" ht="16.5" customHeight="1">
      <c r="A378" s="14" t="str">
        <f t="shared" si="32"/>
        <v>I</v>
      </c>
      <c r="B378" s="345">
        <v>6210110502</v>
      </c>
      <c r="C378" s="345" t="s">
        <v>261</v>
      </c>
      <c r="D378" s="347">
        <v>13443831246</v>
      </c>
      <c r="E378" s="348">
        <v>1845762.3000000003</v>
      </c>
      <c r="F378" s="1058">
        <f>+VLOOKUP(B378,Composición!$C$5:$D$1768,1,0)</f>
        <v>6210110502</v>
      </c>
      <c r="G378" s="1049">
        <f>+D378-F378</f>
        <v>7233720744</v>
      </c>
    </row>
    <row r="379" spans="1:7" s="14" customFormat="1" ht="16.5" customHeight="1">
      <c r="A379" s="31" t="str">
        <f t="shared" si="32"/>
        <v>NI</v>
      </c>
      <c r="B379" s="350">
        <v>62101106</v>
      </c>
      <c r="C379" s="350" t="s">
        <v>60</v>
      </c>
      <c r="D379" s="340">
        <v>47775986197</v>
      </c>
      <c r="E379" s="341">
        <v>6559373.8000000017</v>
      </c>
      <c r="F379" s="1058">
        <f>+VLOOKUP(B379,Composición!$C$5:$D$1768,1,0)</f>
        <v>62101106</v>
      </c>
      <c r="G379" s="1049"/>
    </row>
    <row r="380" spans="1:7" s="14" customFormat="1" ht="16.5" customHeight="1">
      <c r="A380" s="14" t="str">
        <f t="shared" si="32"/>
        <v>I</v>
      </c>
      <c r="B380" s="345">
        <v>6210110601</v>
      </c>
      <c r="C380" s="345" t="s">
        <v>262</v>
      </c>
      <c r="D380" s="347">
        <v>43687152760</v>
      </c>
      <c r="E380" s="348">
        <v>5998000</v>
      </c>
      <c r="F380" s="1058">
        <f>+VLOOKUP(B380,Composición!$C$5:$D$1768,1,0)</f>
        <v>6210110601</v>
      </c>
      <c r="G380" s="1049">
        <f>+D380-F380</f>
        <v>37477042159</v>
      </c>
    </row>
    <row r="381" spans="1:7" s="14" customFormat="1" ht="16.5" customHeight="1">
      <c r="A381" s="31" t="str">
        <f t="shared" si="32"/>
        <v>I</v>
      </c>
      <c r="B381" s="350">
        <v>6210110602</v>
      </c>
      <c r="C381" s="350" t="s">
        <v>263</v>
      </c>
      <c r="D381" s="340">
        <v>4088833437</v>
      </c>
      <c r="E381" s="341">
        <v>561373.79999999993</v>
      </c>
      <c r="F381" s="1058">
        <f>+VLOOKUP(B381,Composición!$C$5:$D$1768,1,0)</f>
        <v>6210110602</v>
      </c>
      <c r="G381" s="1049"/>
    </row>
    <row r="382" spans="1:7" s="14" customFormat="1" ht="16.5" customHeight="1">
      <c r="A382" s="14" t="str">
        <f t="shared" si="32"/>
        <v>NI</v>
      </c>
      <c r="B382" s="345">
        <v>62101107</v>
      </c>
      <c r="C382" s="345" t="s">
        <v>63</v>
      </c>
      <c r="D382" s="347">
        <v>114842946000</v>
      </c>
      <c r="E382" s="348">
        <v>15767289.619999999</v>
      </c>
      <c r="F382" s="1058">
        <f>+VLOOKUP(B382,Composición!$C$5:$D$1768,1,0)</f>
        <v>62101107</v>
      </c>
      <c r="G382" s="1049">
        <f>+D382-F382</f>
        <v>114780844893</v>
      </c>
    </row>
    <row r="383" spans="1:7" s="14" customFormat="1" ht="16.5" customHeight="1">
      <c r="A383" s="31" t="str">
        <f t="shared" si="32"/>
        <v>I</v>
      </c>
      <c r="B383" s="350">
        <v>6210110701</v>
      </c>
      <c r="C383" s="350" t="s">
        <v>264</v>
      </c>
      <c r="D383" s="340">
        <v>114842946000</v>
      </c>
      <c r="E383" s="341">
        <v>15767289.619999999</v>
      </c>
      <c r="F383" s="1058">
        <f>+VLOOKUP(B383,Composición!$C$5:$D$1768,1,0)</f>
        <v>6210110701</v>
      </c>
      <c r="G383" s="1049"/>
    </row>
    <row r="384" spans="1:7" s="14" customFormat="1" ht="16.5" customHeight="1">
      <c r="A384" s="14" t="str">
        <f t="shared" si="32"/>
        <v>NI</v>
      </c>
      <c r="B384" s="345">
        <v>62101108</v>
      </c>
      <c r="C384" s="345" t="s">
        <v>64</v>
      </c>
      <c r="D384" s="347">
        <v>69154292725</v>
      </c>
      <c r="E384" s="348">
        <v>9494494.870000001</v>
      </c>
      <c r="F384" s="1058">
        <f>+VLOOKUP(B384,Composición!$C$5:$D$1768,1,0)</f>
        <v>62101108</v>
      </c>
      <c r="G384" s="1049">
        <f>+D384-F384</f>
        <v>69092191617</v>
      </c>
    </row>
    <row r="385" spans="1:9" s="14" customFormat="1" ht="16.5" customHeight="1">
      <c r="A385" s="31" t="str">
        <f t="shared" ref="A385:A456" si="38">IF(LEN(B385)&gt;8,"I","NI")</f>
        <v>I</v>
      </c>
      <c r="B385" s="345">
        <v>6210110801</v>
      </c>
      <c r="C385" s="345" t="s">
        <v>265</v>
      </c>
      <c r="D385" s="347">
        <v>69154292725</v>
      </c>
      <c r="E385" s="348">
        <v>9494494.870000001</v>
      </c>
      <c r="F385" s="1058">
        <f>+VLOOKUP(B385,Composición!$C$5:$D$1768,1,0)</f>
        <v>6210110801</v>
      </c>
      <c r="G385" s="1049"/>
      <c r="H385" s="1053">
        <v>767167686046</v>
      </c>
      <c r="I385" s="1053">
        <f>+D385-H385</f>
        <v>-698013393321</v>
      </c>
    </row>
    <row r="386" spans="1:9" s="14" customFormat="1" ht="16.5" customHeight="1">
      <c r="A386" s="14" t="str">
        <f t="shared" si="38"/>
        <v>NI</v>
      </c>
      <c r="B386" s="345">
        <v>62101109</v>
      </c>
      <c r="C386" s="345" t="s">
        <v>66</v>
      </c>
      <c r="D386" s="347">
        <v>2429762500</v>
      </c>
      <c r="E386" s="348">
        <v>333592.70999999996</v>
      </c>
      <c r="F386" s="1058">
        <f>+VLOOKUP(B386,Composición!$C$5:$D$1768,1,0)</f>
        <v>62101109</v>
      </c>
      <c r="G386" s="1049">
        <f t="shared" ref="G386:G387" si="39">+D386-F386</f>
        <v>2367661391</v>
      </c>
    </row>
    <row r="387" spans="1:9" s="14" customFormat="1" ht="16.5" customHeight="1">
      <c r="A387" s="14" t="str">
        <f t="shared" si="38"/>
        <v>I</v>
      </c>
      <c r="B387" s="345">
        <v>6210110901</v>
      </c>
      <c r="C387" s="345" t="s">
        <v>266</v>
      </c>
      <c r="D387" s="347">
        <v>2429762500</v>
      </c>
      <c r="E387" s="348">
        <v>333592.70999999996</v>
      </c>
      <c r="F387" s="1058">
        <f>+VLOOKUP(B387,Composición!$C$5:$D$1768,1,0)</f>
        <v>6210110901</v>
      </c>
      <c r="G387" s="1049">
        <f t="shared" si="39"/>
        <v>-3780348401</v>
      </c>
    </row>
    <row r="388" spans="1:9" s="14" customFormat="1" ht="16.5" customHeight="1">
      <c r="A388" s="31" t="str">
        <f t="shared" si="38"/>
        <v>NI</v>
      </c>
      <c r="B388" s="345">
        <v>62101113</v>
      </c>
      <c r="C388" s="345" t="s">
        <v>267</v>
      </c>
      <c r="D388" s="347">
        <v>767167686046</v>
      </c>
      <c r="E388" s="348">
        <v>105327802.11999999</v>
      </c>
      <c r="F388" s="1058">
        <f>+VLOOKUP(B388,Composición!$C$5:$D$1768,1,0)</f>
        <v>62101113</v>
      </c>
      <c r="G388" s="1049"/>
    </row>
    <row r="389" spans="1:9" s="14" customFormat="1" ht="16.5" customHeight="1">
      <c r="A389" s="14" t="str">
        <f t="shared" si="38"/>
        <v>I</v>
      </c>
      <c r="B389" s="345">
        <v>6210111301</v>
      </c>
      <c r="C389" s="345" t="s">
        <v>268</v>
      </c>
      <c r="D389" s="347">
        <v>767167686046</v>
      </c>
      <c r="E389" s="348">
        <v>105327802.11999999</v>
      </c>
      <c r="F389" s="1058">
        <f>+VLOOKUP(B389,Composición!$C$5:$D$1768,1,0)</f>
        <v>6210111301</v>
      </c>
      <c r="G389" s="1049">
        <f>+D389-F389</f>
        <v>760957574745</v>
      </c>
    </row>
    <row r="390" spans="1:9" s="14" customFormat="1" ht="16.5" customHeight="1">
      <c r="A390" s="31" t="str">
        <f t="shared" si="38"/>
        <v>NI</v>
      </c>
      <c r="B390" s="350">
        <v>62101114</v>
      </c>
      <c r="C390" s="350" t="s">
        <v>269</v>
      </c>
      <c r="D390" s="340">
        <v>138433955852</v>
      </c>
      <c r="E390" s="341">
        <v>19006202.386</v>
      </c>
      <c r="F390" s="1058">
        <f>+VLOOKUP(B390,Composición!$C$5:$D$1768,1,0)</f>
        <v>62101114</v>
      </c>
      <c r="G390" s="1049"/>
    </row>
    <row r="391" spans="1:9" s="14" customFormat="1" ht="16.5" customHeight="1">
      <c r="A391" s="14" t="str">
        <f t="shared" si="38"/>
        <v>I</v>
      </c>
      <c r="B391" s="345">
        <v>6210111401</v>
      </c>
      <c r="C391" s="345" t="s">
        <v>270</v>
      </c>
      <c r="D391" s="347">
        <v>138433955852</v>
      </c>
      <c r="E391" s="348">
        <v>19006202.386</v>
      </c>
      <c r="F391" s="1058">
        <f>+VLOOKUP(B391,Composición!$C$5:$D$1768,1,0)</f>
        <v>6210111401</v>
      </c>
      <c r="G391" s="1049">
        <f>+D391-F391</f>
        <v>132223844451</v>
      </c>
    </row>
    <row r="392" spans="1:9" s="14" customFormat="1" ht="16.5" customHeight="1">
      <c r="A392" s="31" t="str">
        <f t="shared" si="38"/>
        <v>NI</v>
      </c>
      <c r="B392" s="345">
        <v>62101117</v>
      </c>
      <c r="C392" s="345" t="s">
        <v>271</v>
      </c>
      <c r="D392" s="347">
        <v>1246735668</v>
      </c>
      <c r="E392" s="348">
        <v>171169.78999999998</v>
      </c>
      <c r="F392" s="1058">
        <f>+VLOOKUP(B392,Composición!$C$5:$D$1768,1,0)</f>
        <v>62101117</v>
      </c>
      <c r="G392" s="1049"/>
    </row>
    <row r="393" spans="1:9" s="14" customFormat="1" ht="16.5" customHeight="1">
      <c r="A393" s="31" t="str">
        <f t="shared" si="38"/>
        <v>I</v>
      </c>
      <c r="B393" s="345">
        <v>6210111701</v>
      </c>
      <c r="C393" s="345" t="s">
        <v>272</v>
      </c>
      <c r="D393" s="347">
        <v>950000000</v>
      </c>
      <c r="E393" s="348">
        <v>130429.65000000001</v>
      </c>
      <c r="F393" s="1058">
        <f>+VLOOKUP(B393,Composición!$C$5:$D$1768,1,0)</f>
        <v>6210111701</v>
      </c>
      <c r="G393" s="1049"/>
    </row>
    <row r="394" spans="1:9" s="14" customFormat="1" ht="16.5" customHeight="1">
      <c r="A394" s="14" t="str">
        <f t="shared" si="38"/>
        <v>I</v>
      </c>
      <c r="B394" s="345">
        <v>6210111702</v>
      </c>
      <c r="C394" s="345" t="s">
        <v>273</v>
      </c>
      <c r="D394" s="347">
        <v>296735668</v>
      </c>
      <c r="E394" s="348">
        <v>40740.14</v>
      </c>
      <c r="F394" s="1058">
        <f>+VLOOKUP(B394,Composición!$C$5:$D$1768,1,0)</f>
        <v>6210111702</v>
      </c>
      <c r="G394" s="1049">
        <f>+D394-F394</f>
        <v>-5913376034</v>
      </c>
    </row>
    <row r="395" spans="1:9" s="14" customFormat="1" ht="16.5" customHeight="1">
      <c r="A395" s="31"/>
      <c r="B395" s="345">
        <v>62101118</v>
      </c>
      <c r="C395" s="345" t="s">
        <v>274</v>
      </c>
      <c r="D395" s="347">
        <v>41017361588</v>
      </c>
      <c r="E395" s="348">
        <v>5631452.7100000009</v>
      </c>
      <c r="F395" s="1058">
        <f>+VLOOKUP(B395,Composición!$C$5:$D$1768,1,0)</f>
        <v>62101118</v>
      </c>
      <c r="G395" s="1049"/>
    </row>
    <row r="396" spans="1:9" s="14" customFormat="1" ht="16.5" customHeight="1">
      <c r="A396" s="31" t="str">
        <f t="shared" si="38"/>
        <v>I</v>
      </c>
      <c r="B396" s="345">
        <v>6210111801</v>
      </c>
      <c r="C396" s="345" t="s">
        <v>275</v>
      </c>
      <c r="D396" s="347">
        <v>40737439616</v>
      </c>
      <c r="E396" s="348">
        <v>5593021</v>
      </c>
      <c r="F396" s="1058">
        <f>+VLOOKUP(B396,Composición!$C$5:$D$1768,1,0)</f>
        <v>6210111801</v>
      </c>
      <c r="G396" s="1049"/>
    </row>
    <row r="397" spans="1:9" s="14" customFormat="1" ht="16.5" customHeight="1">
      <c r="A397" s="31" t="str">
        <f t="shared" si="38"/>
        <v>I</v>
      </c>
      <c r="B397" s="345">
        <v>6210111802</v>
      </c>
      <c r="C397" s="345" t="s">
        <v>276</v>
      </c>
      <c r="D397" s="347">
        <v>279921972</v>
      </c>
      <c r="E397" s="348">
        <v>38431.709999999992</v>
      </c>
      <c r="F397" s="1058">
        <f>+VLOOKUP(B397,Composición!$C$5:$D$1768,1,0)</f>
        <v>6210111802</v>
      </c>
      <c r="G397" s="1049"/>
    </row>
    <row r="398" spans="1:9" s="14" customFormat="1" ht="16.5" customHeight="1">
      <c r="A398" s="31" t="str">
        <f t="shared" si="38"/>
        <v>NI</v>
      </c>
      <c r="B398" s="345">
        <v>62101129</v>
      </c>
      <c r="C398" s="345" t="s">
        <v>277</v>
      </c>
      <c r="D398" s="347">
        <v>26589769792</v>
      </c>
      <c r="E398" s="348">
        <v>3650625.62</v>
      </c>
      <c r="F398" s="1058">
        <f>+VLOOKUP(B398,Composición!$C$5:$D$1768,1,0)</f>
        <v>62101129</v>
      </c>
      <c r="G398" s="1049"/>
    </row>
    <row r="399" spans="1:9" s="14" customFormat="1" ht="16.5" customHeight="1">
      <c r="A399" s="31" t="str">
        <f t="shared" ref="A399:A402" si="40">IF(LEN(B399)&gt;8,"I","NI")</f>
        <v>I</v>
      </c>
      <c r="B399" s="345">
        <v>6210112901</v>
      </c>
      <c r="C399" s="345" t="s">
        <v>278</v>
      </c>
      <c r="D399" s="347">
        <v>26589769792</v>
      </c>
      <c r="E399" s="348">
        <v>3650625.62</v>
      </c>
      <c r="F399" s="1058">
        <f>+VLOOKUP(B399,Composición!$C$5:$D$1768,1,0)</f>
        <v>6210112901</v>
      </c>
      <c r="G399" s="1049"/>
    </row>
    <row r="400" spans="1:9" s="14" customFormat="1" ht="16.5" customHeight="1">
      <c r="A400" s="31" t="str">
        <f t="shared" si="40"/>
        <v>NI</v>
      </c>
      <c r="B400" s="345">
        <v>62101131</v>
      </c>
      <c r="C400" s="345" t="s">
        <v>279</v>
      </c>
      <c r="D400" s="347">
        <v>87792251744</v>
      </c>
      <c r="E400" s="348">
        <v>12053381.66</v>
      </c>
      <c r="F400" s="1058">
        <f>+VLOOKUP(B400,Composición!$C$5:$D$1768,1,0)</f>
        <v>62101131</v>
      </c>
      <c r="G400" s="1049"/>
    </row>
    <row r="401" spans="1:9" s="14" customFormat="1" ht="16.5" customHeight="1">
      <c r="A401" s="31" t="str">
        <f t="shared" si="40"/>
        <v>I</v>
      </c>
      <c r="B401" s="345">
        <v>6210113101</v>
      </c>
      <c r="C401" s="345" t="s">
        <v>280</v>
      </c>
      <c r="D401" s="347">
        <v>87792251744</v>
      </c>
      <c r="E401" s="348">
        <v>12053381.66</v>
      </c>
      <c r="F401" s="1058">
        <f>+VLOOKUP(B401,Composición!$C$5:$D$1768,1,0)</f>
        <v>6210113101</v>
      </c>
      <c r="G401" s="1049"/>
    </row>
    <row r="402" spans="1:9" s="14" customFormat="1" ht="16.5" customHeight="1">
      <c r="A402" s="31" t="str">
        <f t="shared" si="40"/>
        <v>NI</v>
      </c>
      <c r="B402" s="345">
        <v>62101133</v>
      </c>
      <c r="C402" s="345" t="s">
        <v>132</v>
      </c>
      <c r="D402" s="347">
        <v>9500000000</v>
      </c>
      <c r="E402" s="348">
        <v>1304296.4900000002</v>
      </c>
      <c r="F402" s="1058">
        <f>+VLOOKUP(B402,Composición!$C$5:$D$1768,1,0)</f>
        <v>62101133</v>
      </c>
      <c r="G402" s="1049"/>
    </row>
    <row r="403" spans="1:9" s="14" customFormat="1" ht="16.5" customHeight="1">
      <c r="A403" s="31" t="str">
        <f t="shared" si="38"/>
        <v>I</v>
      </c>
      <c r="B403" s="345">
        <v>6210113301</v>
      </c>
      <c r="C403" s="345" t="s">
        <v>132</v>
      </c>
      <c r="D403" s="347">
        <v>9500000000</v>
      </c>
      <c r="E403" s="348">
        <v>1304296.4900000002</v>
      </c>
      <c r="F403" s="1058">
        <f>+VLOOKUP(B403,Composición!$C$5:$D$1768,1,0)</f>
        <v>6210113301</v>
      </c>
      <c r="G403" s="1049"/>
    </row>
    <row r="404" spans="1:9" s="14" customFormat="1" ht="16.5" customHeight="1">
      <c r="A404" s="31" t="str">
        <f t="shared" si="38"/>
        <v>NI</v>
      </c>
      <c r="B404" s="345">
        <v>6210120</v>
      </c>
      <c r="C404" s="345" t="s">
        <v>285</v>
      </c>
      <c r="D404" s="347">
        <v>368842760801</v>
      </c>
      <c r="E404" s="348">
        <v>50640033.5</v>
      </c>
      <c r="F404" s="1058">
        <f>+VLOOKUP(B404,Composición!$C$5:$D$1768,1,0)</f>
        <v>6210120</v>
      </c>
      <c r="G404" s="1049"/>
    </row>
    <row r="405" spans="1:9" s="14" customFormat="1" ht="16.5" customHeight="1">
      <c r="A405" s="31" t="str">
        <f t="shared" si="38"/>
        <v>NI</v>
      </c>
      <c r="B405" s="345">
        <v>62101201</v>
      </c>
      <c r="C405" s="345" t="s">
        <v>282</v>
      </c>
      <c r="D405" s="347">
        <v>368842760801</v>
      </c>
      <c r="E405" s="348">
        <v>50640033.5</v>
      </c>
      <c r="F405" s="1058">
        <f>+VLOOKUP(B405,Composición!$C$5:$D$1768,1,0)</f>
        <v>62101201</v>
      </c>
      <c r="G405" s="1049"/>
    </row>
    <row r="406" spans="1:9" s="14" customFormat="1" ht="16.5" customHeight="1">
      <c r="A406" s="31" t="str">
        <f t="shared" si="38"/>
        <v>I</v>
      </c>
      <c r="B406" s="345">
        <v>6210120101</v>
      </c>
      <c r="C406" s="345" t="s">
        <v>283</v>
      </c>
      <c r="D406" s="347">
        <v>368842760801</v>
      </c>
      <c r="E406" s="348">
        <v>50640033.5</v>
      </c>
      <c r="F406" s="1058">
        <f>+VLOOKUP(B406,Composición!$C$5:$D$1768,1,0)</f>
        <v>6210120101</v>
      </c>
      <c r="G406" s="1049"/>
    </row>
    <row r="407" spans="1:9" s="14" customFormat="1" ht="16.5" customHeight="1">
      <c r="A407" s="14" t="str">
        <f t="shared" si="38"/>
        <v>NI</v>
      </c>
      <c r="B407" s="350"/>
      <c r="C407" s="350"/>
      <c r="D407" s="340"/>
      <c r="E407" s="341"/>
      <c r="F407" s="1058"/>
      <c r="G407" s="1049">
        <f>+D407-F407</f>
        <v>0</v>
      </c>
      <c r="H407" s="1050">
        <v>5187312101</v>
      </c>
      <c r="I407" s="1050">
        <f>+H407-H527</f>
        <v>-1850703745</v>
      </c>
    </row>
    <row r="408" spans="1:9" s="14" customFormat="1" ht="16.5" customHeight="1">
      <c r="A408" s="31" t="str">
        <f t="shared" si="38"/>
        <v>NI</v>
      </c>
      <c r="B408" s="350">
        <v>4</v>
      </c>
      <c r="C408" s="350" t="s">
        <v>286</v>
      </c>
      <c r="D408" s="340">
        <v>28097411301</v>
      </c>
      <c r="E408" s="341">
        <v>4822081.5925000003</v>
      </c>
      <c r="F408" s="1058">
        <f>+VLOOKUP(B408,Composición!$C$5:$D$1768,1,0)</f>
        <v>4</v>
      </c>
      <c r="G408" s="1049"/>
    </row>
    <row r="409" spans="1:9" s="14" customFormat="1" ht="16.5" customHeight="1">
      <c r="A409" s="31" t="str">
        <f t="shared" si="38"/>
        <v>NI</v>
      </c>
      <c r="B409" s="350">
        <v>41</v>
      </c>
      <c r="C409" s="350" t="s">
        <v>287</v>
      </c>
      <c r="D409" s="340">
        <v>18304787977</v>
      </c>
      <c r="E409" s="341">
        <v>2446055.7539999997</v>
      </c>
      <c r="F409" s="1058">
        <f>+VLOOKUP(B409,Composición!$C$5:$D$1768,1,0)</f>
        <v>41</v>
      </c>
      <c r="G409" s="1049"/>
    </row>
    <row r="410" spans="1:9" s="14" customFormat="1" ht="16.5" customHeight="1">
      <c r="A410" s="14" t="str">
        <f t="shared" si="38"/>
        <v>NI</v>
      </c>
      <c r="B410" s="350">
        <v>411</v>
      </c>
      <c r="C410" s="350" t="s">
        <v>288</v>
      </c>
      <c r="D410" s="340">
        <v>1129294502</v>
      </c>
      <c r="E410" s="341">
        <v>154884.38</v>
      </c>
      <c r="F410" s="1058">
        <f>+VLOOKUP(B410,Composición!$C$5:$D$1768,1,0)</f>
        <v>411</v>
      </c>
      <c r="G410" s="1049">
        <f t="shared" ref="G410:G414" si="41">+D410-F410</f>
        <v>1129294091</v>
      </c>
    </row>
    <row r="411" spans="1:9" s="14" customFormat="1" ht="16.5" customHeight="1">
      <c r="A411" s="14" t="str">
        <f t="shared" si="38"/>
        <v>NI</v>
      </c>
      <c r="B411" s="350">
        <v>41101</v>
      </c>
      <c r="C411" s="350" t="s">
        <v>288</v>
      </c>
      <c r="D411" s="340">
        <v>476861006</v>
      </c>
      <c r="E411" s="341">
        <v>65432.44</v>
      </c>
      <c r="F411" s="1058">
        <f>+VLOOKUP(B411,Composición!$C$5:$D$1768,1,0)</f>
        <v>41101</v>
      </c>
      <c r="G411" s="1049">
        <f t="shared" si="41"/>
        <v>476819905</v>
      </c>
    </row>
    <row r="412" spans="1:9" s="14" customFormat="1" ht="16.5" customHeight="1">
      <c r="A412" s="14" t="str">
        <f t="shared" si="38"/>
        <v>NI</v>
      </c>
      <c r="B412" s="350">
        <v>411011</v>
      </c>
      <c r="C412" s="350" t="s">
        <v>289</v>
      </c>
      <c r="D412" s="340">
        <v>441920878</v>
      </c>
      <c r="E412" s="341">
        <v>60670.02</v>
      </c>
      <c r="F412" s="1058">
        <f>+VLOOKUP(B412,Composición!$C$5:$D$1768,1,0)</f>
        <v>411011</v>
      </c>
      <c r="G412" s="1049">
        <f t="shared" si="41"/>
        <v>441509867</v>
      </c>
    </row>
    <row r="413" spans="1:9" s="14" customFormat="1" ht="16.5" customHeight="1">
      <c r="A413" s="14" t="str">
        <f t="shared" si="38"/>
        <v>NI</v>
      </c>
      <c r="B413" s="350">
        <v>4110111</v>
      </c>
      <c r="C413" s="350" t="s">
        <v>290</v>
      </c>
      <c r="D413" s="340">
        <v>20632342</v>
      </c>
      <c r="E413" s="341">
        <v>2841.55</v>
      </c>
      <c r="F413" s="1058">
        <f>+VLOOKUP(B413,Composición!$C$5:$D$1768,1,0)</f>
        <v>4110111</v>
      </c>
      <c r="G413" s="1049">
        <f t="shared" si="41"/>
        <v>16522231</v>
      </c>
    </row>
    <row r="414" spans="1:9" s="14" customFormat="1" ht="16.5" customHeight="1">
      <c r="A414" s="14" t="str">
        <f t="shared" si="38"/>
        <v>NI</v>
      </c>
      <c r="B414" s="350">
        <v>41101111</v>
      </c>
      <c r="C414" s="350" t="s">
        <v>291</v>
      </c>
      <c r="D414" s="340">
        <v>20632342</v>
      </c>
      <c r="E414" s="341">
        <v>2841.55</v>
      </c>
      <c r="F414" s="1058">
        <f>+VLOOKUP(B414,Composición!$C$5:$D$1768,1,0)</f>
        <v>41101111</v>
      </c>
      <c r="G414" s="1049">
        <f t="shared" si="41"/>
        <v>-20468769</v>
      </c>
    </row>
    <row r="415" spans="1:9" s="14" customFormat="1" ht="16.5" customHeight="1">
      <c r="A415" s="31" t="str">
        <f t="shared" si="38"/>
        <v>I</v>
      </c>
      <c r="B415" s="345">
        <v>4110111101</v>
      </c>
      <c r="C415" s="345" t="s">
        <v>292</v>
      </c>
      <c r="D415" s="347">
        <v>18725754</v>
      </c>
      <c r="E415" s="348">
        <v>2580.96</v>
      </c>
      <c r="F415" s="1058">
        <f>+VLOOKUP(B415,Composición!$C$5:$D$1768,1,0)</f>
        <v>4110111101</v>
      </c>
      <c r="G415" s="1049"/>
    </row>
    <row r="416" spans="1:9" s="14" customFormat="1" ht="16.5" customHeight="1">
      <c r="A416" s="14" t="str">
        <f t="shared" si="38"/>
        <v>I</v>
      </c>
      <c r="B416" s="350">
        <v>4110111104</v>
      </c>
      <c r="C416" s="350" t="s">
        <v>293</v>
      </c>
      <c r="D416" s="340">
        <v>1906588</v>
      </c>
      <c r="E416" s="341">
        <v>260.58999999999997</v>
      </c>
      <c r="F416" s="1058">
        <f>+VLOOKUP(B416,Composición!$C$5:$D$1768,1,0)</f>
        <v>4110111104</v>
      </c>
      <c r="G416" s="1049">
        <f t="shared" ref="G416:G417" si="42">+D416-F416</f>
        <v>-4108204516</v>
      </c>
    </row>
    <row r="417" spans="1:7" s="14" customFormat="1" ht="16.5" customHeight="1">
      <c r="A417" s="14" t="str">
        <f t="shared" si="38"/>
        <v>NI</v>
      </c>
      <c r="B417" s="350">
        <v>4110112</v>
      </c>
      <c r="C417" s="350" t="s">
        <v>294</v>
      </c>
      <c r="D417" s="340">
        <v>421288536</v>
      </c>
      <c r="E417" s="341">
        <v>57828.47</v>
      </c>
      <c r="F417" s="1058">
        <f>+VLOOKUP(B417,Composición!$C$5:$D$1768,1,0)</f>
        <v>4110112</v>
      </c>
      <c r="G417" s="1049">
        <f t="shared" si="42"/>
        <v>417178424</v>
      </c>
    </row>
    <row r="418" spans="1:7" s="14" customFormat="1" ht="16.5" customHeight="1">
      <c r="A418" s="31" t="str">
        <f t="shared" si="38"/>
        <v>NI</v>
      </c>
      <c r="B418" s="345">
        <v>41101121</v>
      </c>
      <c r="C418" s="345" t="s">
        <v>295</v>
      </c>
      <c r="D418" s="347">
        <v>251048546</v>
      </c>
      <c r="E418" s="348">
        <v>34500.42</v>
      </c>
      <c r="F418" s="1058">
        <f>+VLOOKUP(B418,Composición!$C$5:$D$1768,1,0)</f>
        <v>41101121</v>
      </c>
      <c r="G418" s="1049"/>
    </row>
    <row r="419" spans="1:7" s="14" customFormat="1" ht="16.5" customHeight="1">
      <c r="A419" s="31" t="str">
        <f t="shared" si="38"/>
        <v>I</v>
      </c>
      <c r="B419" s="345">
        <v>4110112101</v>
      </c>
      <c r="C419" s="345" t="s">
        <v>296</v>
      </c>
      <c r="D419" s="347">
        <v>146051606</v>
      </c>
      <c r="E419" s="348">
        <v>20046.64</v>
      </c>
      <c r="F419" s="1058">
        <f>+VLOOKUP(B419,Composición!$C$5:$D$1768,1,0)</f>
        <v>4110112101</v>
      </c>
      <c r="G419" s="1049"/>
    </row>
    <row r="420" spans="1:7" s="14" customFormat="1" ht="16.5" customHeight="1">
      <c r="A420" s="31" t="str">
        <f t="shared" si="38"/>
        <v>I</v>
      </c>
      <c r="B420" s="345">
        <v>4110112102</v>
      </c>
      <c r="C420" s="345" t="s">
        <v>297</v>
      </c>
      <c r="D420" s="347">
        <v>29587084</v>
      </c>
      <c r="E420" s="348">
        <v>4096.66</v>
      </c>
      <c r="F420" s="1058">
        <f>+VLOOKUP(B420,Composición!$C$5:$D$1768,1,0)</f>
        <v>4110112102</v>
      </c>
      <c r="G420" s="1049"/>
    </row>
    <row r="421" spans="1:7" s="14" customFormat="1" ht="16.5" customHeight="1">
      <c r="A421" s="14" t="str">
        <f t="shared" si="38"/>
        <v>I</v>
      </c>
      <c r="B421" s="345">
        <v>4110112103</v>
      </c>
      <c r="C421" s="345" t="s">
        <v>298</v>
      </c>
      <c r="D421" s="347">
        <v>30167037</v>
      </c>
      <c r="E421" s="348">
        <v>4160.4900000000007</v>
      </c>
      <c r="F421" s="1058">
        <f>+VLOOKUP(B421,Composición!$C$5:$D$1768,1,0)</f>
        <v>4110112103</v>
      </c>
      <c r="G421" s="1049">
        <f>+D421-F421</f>
        <v>-4079945066</v>
      </c>
    </row>
    <row r="422" spans="1:7" s="14" customFormat="1" ht="16.5" customHeight="1">
      <c r="A422" s="31" t="str">
        <f t="shared" si="38"/>
        <v>I</v>
      </c>
      <c r="B422" s="345">
        <v>4110112104</v>
      </c>
      <c r="C422" s="345" t="s">
        <v>299</v>
      </c>
      <c r="D422" s="347">
        <v>7500000</v>
      </c>
      <c r="E422" s="348">
        <v>1017.91</v>
      </c>
      <c r="F422" s="1058">
        <f>+VLOOKUP(B422,Composición!$C$5:$D$1768,1,0)</f>
        <v>4110112104</v>
      </c>
      <c r="G422" s="1049"/>
    </row>
    <row r="423" spans="1:7" s="14" customFormat="1" ht="16.5" customHeight="1">
      <c r="A423" s="14" t="str">
        <f t="shared" si="38"/>
        <v>I</v>
      </c>
      <c r="B423" s="350">
        <v>4110112105</v>
      </c>
      <c r="C423" s="350" t="s">
        <v>300</v>
      </c>
      <c r="D423" s="340">
        <v>5100000</v>
      </c>
      <c r="E423" s="341">
        <v>710.15</v>
      </c>
      <c r="F423" s="1058">
        <f>+VLOOKUP(B423,Composición!$C$5:$D$1768,1,0)</f>
        <v>4110112105</v>
      </c>
      <c r="G423" s="1049">
        <f>+D423-F423</f>
        <v>-4105012105</v>
      </c>
    </row>
    <row r="424" spans="1:7" s="14" customFormat="1" ht="16.5" customHeight="1">
      <c r="A424" s="31" t="str">
        <f t="shared" si="38"/>
        <v>I</v>
      </c>
      <c r="B424" s="345">
        <v>4110112108</v>
      </c>
      <c r="C424" s="345" t="s">
        <v>301</v>
      </c>
      <c r="D424" s="347">
        <v>32642819</v>
      </c>
      <c r="E424" s="348">
        <v>4468.57</v>
      </c>
      <c r="F424" s="1058">
        <f>+VLOOKUP(B424,Composición!$C$5:$D$1768,1,0)</f>
        <v>4110112108</v>
      </c>
      <c r="G424" s="1049"/>
    </row>
    <row r="425" spans="1:7" s="14" customFormat="1" ht="16.5" customHeight="1">
      <c r="A425" s="31" t="str">
        <f t="shared" si="38"/>
        <v>NI</v>
      </c>
      <c r="B425" s="345">
        <v>41101122</v>
      </c>
      <c r="C425" s="345" t="s">
        <v>302</v>
      </c>
      <c r="D425" s="347">
        <v>170239990</v>
      </c>
      <c r="E425" s="348">
        <v>23328.05</v>
      </c>
      <c r="F425" s="1058">
        <f>+VLOOKUP(B425,Composición!$C$5:$D$1768,1,0)</f>
        <v>41101122</v>
      </c>
      <c r="G425" s="1049"/>
    </row>
    <row r="426" spans="1:7" s="14" customFormat="1" ht="16.5" customHeight="1">
      <c r="A426" s="31" t="str">
        <f t="shared" si="38"/>
        <v>I</v>
      </c>
      <c r="B426" s="350">
        <v>4110112201</v>
      </c>
      <c r="C426" s="350" t="s">
        <v>303</v>
      </c>
      <c r="D426" s="340">
        <v>132586513</v>
      </c>
      <c r="E426" s="341">
        <v>18194.829999999998</v>
      </c>
      <c r="F426" s="1058">
        <f>+VLOOKUP(B426,Composición!$C$5:$D$1768,1,0)</f>
        <v>4110112201</v>
      </c>
      <c r="G426" s="1049"/>
    </row>
    <row r="427" spans="1:7" s="14" customFormat="1" ht="16.5" customHeight="1">
      <c r="A427" s="14" t="str">
        <f t="shared" si="38"/>
        <v>I</v>
      </c>
      <c r="B427" s="350">
        <v>4110112202</v>
      </c>
      <c r="C427" s="350" t="s">
        <v>304</v>
      </c>
      <c r="D427" s="340">
        <v>37653477</v>
      </c>
      <c r="E427" s="341">
        <v>5133.22</v>
      </c>
      <c r="F427" s="1058">
        <f>+VLOOKUP(B427,Composición!$C$5:$D$1768,1,0)</f>
        <v>4110112202</v>
      </c>
      <c r="G427" s="1049">
        <f t="shared" ref="G427:G429" si="43">+D427-F427</f>
        <v>-4072458725</v>
      </c>
    </row>
    <row r="428" spans="1:7" s="14" customFormat="1" ht="16.5" customHeight="1">
      <c r="A428" s="14" t="str">
        <f t="shared" si="38"/>
        <v>NI</v>
      </c>
      <c r="B428" s="350">
        <v>411013</v>
      </c>
      <c r="C428" s="350" t="s">
        <v>305</v>
      </c>
      <c r="D428" s="340">
        <v>34940128</v>
      </c>
      <c r="E428" s="341">
        <v>4762.4199999999992</v>
      </c>
      <c r="F428" s="1058">
        <f>+VLOOKUP(B428,Composición!$C$5:$D$1768,1,0)</f>
        <v>411013</v>
      </c>
      <c r="G428" s="1049">
        <f t="shared" si="43"/>
        <v>34529115</v>
      </c>
    </row>
    <row r="429" spans="1:7" s="14" customFormat="1" ht="16.5" customHeight="1">
      <c r="A429" s="14" t="str">
        <f t="shared" si="38"/>
        <v>NI</v>
      </c>
      <c r="B429" s="345">
        <v>4110131</v>
      </c>
      <c r="C429" s="345" t="s">
        <v>306</v>
      </c>
      <c r="D429" s="347">
        <v>34940128</v>
      </c>
      <c r="E429" s="348">
        <v>4762.4199999999992</v>
      </c>
      <c r="F429" s="1058">
        <f>+VLOOKUP(B429,Composición!$C$5:$D$1768,1,0)</f>
        <v>4110131</v>
      </c>
      <c r="G429" s="1049">
        <f t="shared" si="43"/>
        <v>30829997</v>
      </c>
    </row>
    <row r="430" spans="1:7" s="14" customFormat="1" ht="16.5" customHeight="1">
      <c r="A430" s="31" t="str">
        <f t="shared" si="38"/>
        <v>NI</v>
      </c>
      <c r="B430" s="350">
        <v>41101311</v>
      </c>
      <c r="C430" s="350" t="s">
        <v>306</v>
      </c>
      <c r="D430" s="340">
        <v>31506532</v>
      </c>
      <c r="E430" s="341">
        <v>4294.9199999999992</v>
      </c>
      <c r="F430" s="1058">
        <f>+VLOOKUP(B430,Composición!$C$5:$D$1768,1,0)</f>
        <v>41101311</v>
      </c>
      <c r="G430" s="1049"/>
    </row>
    <row r="431" spans="1:7" s="14" customFormat="1" ht="16.5" customHeight="1">
      <c r="A431" s="14" t="str">
        <f t="shared" si="38"/>
        <v>I</v>
      </c>
      <c r="B431" s="345">
        <v>4110131102</v>
      </c>
      <c r="C431" s="345" t="s">
        <v>307</v>
      </c>
      <c r="D431" s="347">
        <v>31506532</v>
      </c>
      <c r="E431" s="348">
        <v>4294.92</v>
      </c>
      <c r="F431" s="1058">
        <f>+VLOOKUP(B431,Composición!$C$5:$D$1768,1,0)</f>
        <v>4110131102</v>
      </c>
      <c r="G431" s="1049">
        <f t="shared" ref="G431:G432" si="44">+D431-F431</f>
        <v>-4078624570</v>
      </c>
    </row>
    <row r="432" spans="1:7" s="14" customFormat="1" ht="16.5" customHeight="1">
      <c r="A432" s="14" t="str">
        <f t="shared" si="38"/>
        <v>NI</v>
      </c>
      <c r="B432" s="350">
        <v>41101312</v>
      </c>
      <c r="C432" s="350" t="s">
        <v>306</v>
      </c>
      <c r="D432" s="340">
        <v>3433596</v>
      </c>
      <c r="E432" s="341">
        <v>467.5</v>
      </c>
      <c r="F432" s="1058">
        <f>+VLOOKUP(B432,Composición!$C$5:$D$1768,1,0)</f>
        <v>41101312</v>
      </c>
      <c r="G432" s="1049">
        <f t="shared" si="44"/>
        <v>-37667716</v>
      </c>
    </row>
    <row r="433" spans="1:7" s="14" customFormat="1" ht="16.5" customHeight="1">
      <c r="A433" s="31" t="str">
        <f t="shared" si="38"/>
        <v>I</v>
      </c>
      <c r="B433" s="350">
        <v>4110131202</v>
      </c>
      <c r="C433" s="350" t="s">
        <v>307</v>
      </c>
      <c r="D433" s="340">
        <v>3433596</v>
      </c>
      <c r="E433" s="341">
        <v>467.5</v>
      </c>
      <c r="F433" s="1058">
        <f>+VLOOKUP(B433,Composición!$C$5:$D$1768,1,0)</f>
        <v>4110131202</v>
      </c>
      <c r="G433" s="1049"/>
    </row>
    <row r="434" spans="1:7" s="14" customFormat="1" ht="16.5" customHeight="1">
      <c r="A434" s="31" t="str">
        <f t="shared" si="38"/>
        <v>NI</v>
      </c>
      <c r="B434" s="350">
        <v>411014</v>
      </c>
      <c r="C434" s="350" t="s">
        <v>308</v>
      </c>
      <c r="D434" s="340">
        <v>652433496</v>
      </c>
      <c r="E434" s="341">
        <v>89451.94</v>
      </c>
      <c r="F434" s="1058">
        <f>+VLOOKUP(B434,Composición!$C$5:$D$1768,1,0)</f>
        <v>411014</v>
      </c>
      <c r="G434" s="1049"/>
    </row>
    <row r="435" spans="1:7" s="14" customFormat="1" ht="16.5" customHeight="1">
      <c r="A435" s="14" t="str">
        <f t="shared" si="38"/>
        <v>NI</v>
      </c>
      <c r="B435" s="345">
        <v>4110141</v>
      </c>
      <c r="C435" s="345" t="s">
        <v>309</v>
      </c>
      <c r="D435" s="347">
        <v>625927237</v>
      </c>
      <c r="E435" s="348">
        <v>85811.94</v>
      </c>
      <c r="F435" s="1058">
        <f>+VLOOKUP(B435,Composición!$C$5:$D$1768,1,0)</f>
        <v>4110141</v>
      </c>
      <c r="G435" s="1049">
        <f t="shared" ref="G435:G436" si="45">+D435-F435</f>
        <v>621817096</v>
      </c>
    </row>
    <row r="436" spans="1:7" s="14" customFormat="1" ht="16.5" customHeight="1">
      <c r="A436" s="14" t="str">
        <f t="shared" si="38"/>
        <v>NI</v>
      </c>
      <c r="B436" s="345">
        <v>41101411</v>
      </c>
      <c r="C436" s="345" t="s">
        <v>310</v>
      </c>
      <c r="D436" s="347">
        <v>241473020</v>
      </c>
      <c r="E436" s="348">
        <v>33159.339999999997</v>
      </c>
      <c r="F436" s="1058">
        <f>+VLOOKUP(B436,Composición!$C$5:$D$1768,1,0)</f>
        <v>41101411</v>
      </c>
      <c r="G436" s="1049">
        <f t="shared" si="45"/>
        <v>200371609</v>
      </c>
    </row>
    <row r="437" spans="1:7" s="14" customFormat="1" ht="16.5" customHeight="1">
      <c r="A437" s="31" t="str">
        <f t="shared" si="38"/>
        <v>I</v>
      </c>
      <c r="B437" s="345">
        <v>4110141101</v>
      </c>
      <c r="C437" s="345" t="s">
        <v>311</v>
      </c>
      <c r="D437" s="347">
        <v>106102436</v>
      </c>
      <c r="E437" s="348">
        <v>14483.02</v>
      </c>
      <c r="F437" s="1058">
        <f>+VLOOKUP(B437,Composición!$C$5:$D$1768,1,0)</f>
        <v>4110141101</v>
      </c>
      <c r="G437" s="1049"/>
    </row>
    <row r="438" spans="1:7" s="14" customFormat="1" ht="16.5" customHeight="1">
      <c r="A438" s="31" t="str">
        <f t="shared" si="38"/>
        <v>I</v>
      </c>
      <c r="B438" s="345">
        <v>4110141102</v>
      </c>
      <c r="C438" s="345" t="s">
        <v>312</v>
      </c>
      <c r="D438" s="347">
        <v>21949356</v>
      </c>
      <c r="E438" s="348">
        <v>3033.6600000000008</v>
      </c>
      <c r="F438" s="1058">
        <f>+VLOOKUP(B438,Composición!$C$5:$D$1768,1,0)</f>
        <v>4110141102</v>
      </c>
      <c r="G438" s="1049"/>
    </row>
    <row r="439" spans="1:7" s="14" customFormat="1" ht="16.5" customHeight="1">
      <c r="A439" s="31" t="str">
        <f t="shared" si="38"/>
        <v>I</v>
      </c>
      <c r="B439" s="345">
        <v>4110141105</v>
      </c>
      <c r="C439" s="345" t="s">
        <v>313</v>
      </c>
      <c r="D439" s="347">
        <v>4651064</v>
      </c>
      <c r="E439" s="348">
        <v>639.69000000000005</v>
      </c>
      <c r="F439" s="1058">
        <f>+VLOOKUP(B439,Composición!$C$5:$D$1768,1,0)</f>
        <v>4110141105</v>
      </c>
      <c r="G439" s="1049"/>
    </row>
    <row r="440" spans="1:7" s="14" customFormat="1" ht="16.5" customHeight="1">
      <c r="A440" s="31" t="str">
        <f t="shared" si="38"/>
        <v>I</v>
      </c>
      <c r="B440" s="345">
        <v>4110141106</v>
      </c>
      <c r="C440" s="345" t="s">
        <v>314</v>
      </c>
      <c r="D440" s="347">
        <v>108770164</v>
      </c>
      <c r="E440" s="348">
        <v>15002.97</v>
      </c>
      <c r="F440" s="1058">
        <f>+VLOOKUP(B440,Composición!$C$5:$D$1768,1,0)</f>
        <v>4110141106</v>
      </c>
      <c r="G440" s="1049"/>
    </row>
    <row r="441" spans="1:7" s="14" customFormat="1" ht="16.5" customHeight="1">
      <c r="A441" s="31" t="str">
        <f t="shared" si="38"/>
        <v>NI</v>
      </c>
      <c r="B441" s="345">
        <v>41101412</v>
      </c>
      <c r="C441" s="345" t="s">
        <v>315</v>
      </c>
      <c r="D441" s="347">
        <v>384454217</v>
      </c>
      <c r="E441" s="348">
        <v>52652.6</v>
      </c>
      <c r="F441" s="1058">
        <f>+VLOOKUP(B441,Composición!$C$5:$D$1768,1,0)</f>
        <v>41101412</v>
      </c>
      <c r="G441" s="1049"/>
    </row>
    <row r="442" spans="1:7" s="14" customFormat="1" ht="16.5" customHeight="1">
      <c r="A442" s="14" t="str">
        <f t="shared" si="38"/>
        <v>I</v>
      </c>
      <c r="B442" s="350">
        <v>4110141201</v>
      </c>
      <c r="C442" s="350" t="s">
        <v>316</v>
      </c>
      <c r="D442" s="340">
        <v>262368233</v>
      </c>
      <c r="E442" s="341">
        <v>35881.810000000005</v>
      </c>
      <c r="F442" s="1058">
        <f>+VLOOKUP(B442,Composición!$C$5:$D$1768,1,0)</f>
        <v>4110141201</v>
      </c>
      <c r="G442" s="1049">
        <f t="shared" ref="G442:G445" si="46">+D442-F442</f>
        <v>-3847772968</v>
      </c>
    </row>
    <row r="443" spans="1:7" s="14" customFormat="1" ht="16.5" customHeight="1">
      <c r="A443" s="14" t="str">
        <f t="shared" si="38"/>
        <v>I</v>
      </c>
      <c r="B443" s="345">
        <v>4110141202</v>
      </c>
      <c r="C443" s="345" t="s">
        <v>317</v>
      </c>
      <c r="D443" s="347">
        <v>122085984</v>
      </c>
      <c r="E443" s="348">
        <v>16770.79</v>
      </c>
      <c r="F443" s="1058">
        <f>+VLOOKUP(B443,Composición!$C$5:$D$1768,1,0)</f>
        <v>4110141202</v>
      </c>
      <c r="G443" s="1049">
        <f t="shared" si="46"/>
        <v>-3988055218</v>
      </c>
    </row>
    <row r="444" spans="1:7" s="14" customFormat="1" ht="16.5" customHeight="1">
      <c r="A444" s="14" t="str">
        <f t="shared" si="38"/>
        <v>NI</v>
      </c>
      <c r="B444" s="345">
        <v>4110142</v>
      </c>
      <c r="C444" s="345" t="s">
        <v>318</v>
      </c>
      <c r="D444" s="347">
        <v>26506259</v>
      </c>
      <c r="E444" s="348">
        <v>3640</v>
      </c>
      <c r="F444" s="1058">
        <f>+VLOOKUP(B444,Composición!$C$5:$D$1768,1,0)</f>
        <v>4110142</v>
      </c>
      <c r="G444" s="1049">
        <f t="shared" si="46"/>
        <v>22396117</v>
      </c>
    </row>
    <row r="445" spans="1:7" s="14" customFormat="1" ht="16.5" customHeight="1">
      <c r="A445" s="14" t="str">
        <f t="shared" si="38"/>
        <v>NI</v>
      </c>
      <c r="B445" s="345">
        <v>41101421</v>
      </c>
      <c r="C445" s="345" t="s">
        <v>319</v>
      </c>
      <c r="D445" s="347">
        <v>26506259</v>
      </c>
      <c r="E445" s="348">
        <v>3640</v>
      </c>
      <c r="F445" s="1058">
        <f>+VLOOKUP(B445,Composición!$C$5:$D$1768,1,0)</f>
        <v>41101421</v>
      </c>
      <c r="G445" s="1049">
        <f t="shared" si="46"/>
        <v>-14595162</v>
      </c>
    </row>
    <row r="446" spans="1:7" s="14" customFormat="1" ht="16.5" customHeight="1">
      <c r="A446" s="31" t="str">
        <f t="shared" si="38"/>
        <v>I</v>
      </c>
      <c r="B446" s="350">
        <v>4110142101</v>
      </c>
      <c r="C446" s="350" t="s">
        <v>320</v>
      </c>
      <c r="D446" s="340">
        <v>20610610</v>
      </c>
      <c r="E446" s="341">
        <v>2830</v>
      </c>
      <c r="F446" s="1058">
        <f>+VLOOKUP(B446,Composición!$C$5:$D$1768,1,0)</f>
        <v>4110142101</v>
      </c>
      <c r="G446" s="1049"/>
    </row>
    <row r="447" spans="1:7" s="14" customFormat="1" ht="16.5" customHeight="1">
      <c r="A447" s="14" t="str">
        <f t="shared" si="38"/>
        <v>I</v>
      </c>
      <c r="B447" s="350">
        <v>4110142102</v>
      </c>
      <c r="C447" s="350" t="s">
        <v>321</v>
      </c>
      <c r="D447" s="340">
        <v>5895649</v>
      </c>
      <c r="E447" s="341">
        <v>810</v>
      </c>
      <c r="F447" s="1058">
        <f>+VLOOKUP(B447,Composición!$C$5:$D$1768,1,0)</f>
        <v>4110142102</v>
      </c>
      <c r="G447" s="1049">
        <f t="shared" ref="G447:G449" si="47">+D447-F447</f>
        <v>-4104246453</v>
      </c>
    </row>
    <row r="448" spans="1:7" s="14" customFormat="1" ht="16.5" customHeight="1">
      <c r="A448" s="14" t="str">
        <f t="shared" si="38"/>
        <v>NI</v>
      </c>
      <c r="B448" s="350">
        <v>412</v>
      </c>
      <c r="C448" s="350" t="s">
        <v>322</v>
      </c>
      <c r="D448" s="340">
        <v>11950350921</v>
      </c>
      <c r="E448" s="341">
        <v>1640402.81</v>
      </c>
      <c r="F448" s="1058">
        <f>+VLOOKUP(B448,Composición!$C$5:$D$1768,1,0)</f>
        <v>412</v>
      </c>
      <c r="G448" s="1049">
        <f t="shared" si="47"/>
        <v>11950350509</v>
      </c>
    </row>
    <row r="449" spans="1:7" s="14" customFormat="1" ht="16.5" customHeight="1">
      <c r="A449" s="14" t="str">
        <f t="shared" si="38"/>
        <v>NI</v>
      </c>
      <c r="B449" s="350">
        <v>41201</v>
      </c>
      <c r="C449" s="350" t="s">
        <v>322</v>
      </c>
      <c r="D449" s="340">
        <v>11950350921</v>
      </c>
      <c r="E449" s="341">
        <v>1640402.81</v>
      </c>
      <c r="F449" s="1058">
        <f>+VLOOKUP(B449,Composición!$C$5:$D$1768,1,0)</f>
        <v>41201</v>
      </c>
      <c r="G449" s="1049">
        <f t="shared" si="47"/>
        <v>11950309720</v>
      </c>
    </row>
    <row r="450" spans="1:7" s="14" customFormat="1" ht="16.5" customHeight="1">
      <c r="A450" s="31" t="str">
        <f t="shared" si="38"/>
        <v>NI</v>
      </c>
      <c r="B450" s="345">
        <v>412011</v>
      </c>
      <c r="C450" s="345" t="s">
        <v>322</v>
      </c>
      <c r="D450" s="347">
        <v>11950350921</v>
      </c>
      <c r="E450" s="348">
        <v>1640402.81</v>
      </c>
      <c r="F450" s="1058">
        <f>+VLOOKUP(B450,Composición!$C$5:$D$1768,1,0)</f>
        <v>412011</v>
      </c>
      <c r="G450" s="1049"/>
    </row>
    <row r="451" spans="1:7" s="14" customFormat="1" ht="16.5" customHeight="1">
      <c r="A451" s="31" t="str">
        <f t="shared" si="38"/>
        <v>NI</v>
      </c>
      <c r="B451" s="345">
        <v>4120112</v>
      </c>
      <c r="C451" s="345" t="s">
        <v>323</v>
      </c>
      <c r="D451" s="347">
        <v>220840074</v>
      </c>
      <c r="E451" s="348">
        <v>30284.000000000007</v>
      </c>
      <c r="F451" s="1058">
        <f>+VLOOKUP(B451,Composición!$C$5:$D$1768,1,0)</f>
        <v>4120112</v>
      </c>
      <c r="G451" s="1049"/>
    </row>
    <row r="452" spans="1:7" s="14" customFormat="1" ht="16.5" customHeight="1">
      <c r="A452" s="14" t="str">
        <f t="shared" si="38"/>
        <v>NI</v>
      </c>
      <c r="B452" s="345">
        <v>41201121</v>
      </c>
      <c r="C452" s="345" t="s">
        <v>324</v>
      </c>
      <c r="D452" s="347">
        <v>58898832</v>
      </c>
      <c r="E452" s="348">
        <v>8063.0099999999984</v>
      </c>
      <c r="F452" s="1058">
        <f>+VLOOKUP(B452,Composición!$C$5:$D$1768,1,0)</f>
        <v>41201121</v>
      </c>
      <c r="G452" s="1049">
        <f t="shared" ref="G452:G456" si="48">+D452-F452</f>
        <v>17697711</v>
      </c>
    </row>
    <row r="453" spans="1:7" s="14" customFormat="1" ht="16.5" customHeight="1">
      <c r="A453" s="14" t="str">
        <f t="shared" si="38"/>
        <v>I</v>
      </c>
      <c r="B453" s="345">
        <v>4120112101</v>
      </c>
      <c r="C453" s="345" t="s">
        <v>325</v>
      </c>
      <c r="D453" s="347">
        <v>10354017</v>
      </c>
      <c r="E453" s="348">
        <v>1417.47</v>
      </c>
      <c r="F453" s="1058">
        <f>+VLOOKUP(B453,Composición!$C$5:$D$1768,1,0)</f>
        <v>4120112101</v>
      </c>
      <c r="G453" s="1049">
        <f t="shared" si="48"/>
        <v>-4109758084</v>
      </c>
    </row>
    <row r="454" spans="1:7" s="14" customFormat="1" ht="16.5" customHeight="1">
      <c r="A454" s="14" t="str">
        <f t="shared" si="38"/>
        <v>I</v>
      </c>
      <c r="B454" s="345">
        <v>4120112102</v>
      </c>
      <c r="C454" s="345" t="s">
        <v>326</v>
      </c>
      <c r="D454" s="347">
        <v>4753088</v>
      </c>
      <c r="E454" s="348">
        <v>650.76</v>
      </c>
      <c r="F454" s="1058">
        <f>+VLOOKUP(B454,Composición!$C$5:$D$1768,1,0)</f>
        <v>4120112102</v>
      </c>
      <c r="G454" s="1049">
        <f t="shared" si="48"/>
        <v>-4115359014</v>
      </c>
    </row>
    <row r="455" spans="1:7" s="14" customFormat="1" ht="16.5" customHeight="1">
      <c r="A455" s="14" t="str">
        <f t="shared" si="38"/>
        <v>I</v>
      </c>
      <c r="B455" s="345">
        <v>4120112104</v>
      </c>
      <c r="C455" s="345" t="s">
        <v>327</v>
      </c>
      <c r="D455" s="347">
        <v>25140659</v>
      </c>
      <c r="E455" s="348">
        <v>3452.8600000000006</v>
      </c>
      <c r="F455" s="1058">
        <f>+VLOOKUP(B455,Composición!$C$5:$D$1768,1,0)</f>
        <v>4120112104</v>
      </c>
      <c r="G455" s="1049">
        <f t="shared" si="48"/>
        <v>-4094971445</v>
      </c>
    </row>
    <row r="456" spans="1:7" s="14" customFormat="1" ht="16.5" customHeight="1">
      <c r="A456" s="14" t="str">
        <f t="shared" si="38"/>
        <v>I</v>
      </c>
      <c r="B456" s="345">
        <v>4120112107</v>
      </c>
      <c r="C456" s="345" t="s">
        <v>328</v>
      </c>
      <c r="D456" s="347">
        <v>18651068</v>
      </c>
      <c r="E456" s="348">
        <v>2541.92</v>
      </c>
      <c r="F456" s="1058">
        <f>+VLOOKUP(B456,Composición!$C$5:$D$1768,1,0)</f>
        <v>4120112107</v>
      </c>
      <c r="G456" s="1049">
        <f t="shared" si="48"/>
        <v>-4101461039</v>
      </c>
    </row>
    <row r="457" spans="1:7" s="14" customFormat="1" ht="16.5" customHeight="1">
      <c r="A457" s="31" t="str">
        <f t="shared" ref="A457:A520" si="49">IF(LEN(B457)&gt;8,"I","NI")</f>
        <v>NI</v>
      </c>
      <c r="B457" s="345">
        <v>41201122</v>
      </c>
      <c r="C457" s="345" t="s">
        <v>329</v>
      </c>
      <c r="D457" s="347">
        <v>161941242</v>
      </c>
      <c r="E457" s="348">
        <v>22220.989999999998</v>
      </c>
      <c r="F457" s="1058">
        <f>+VLOOKUP(B457,Composición!$C$5:$D$1768,1,0)</f>
        <v>41201122</v>
      </c>
      <c r="G457" s="1049"/>
    </row>
    <row r="458" spans="1:7" s="14" customFormat="1" ht="16.5" customHeight="1">
      <c r="A458" s="31" t="str">
        <f t="shared" si="49"/>
        <v>I</v>
      </c>
      <c r="B458" s="345">
        <v>4120112201</v>
      </c>
      <c r="C458" s="345" t="s">
        <v>325</v>
      </c>
      <c r="D458" s="347">
        <v>132311839</v>
      </c>
      <c r="E458" s="348">
        <v>18150.350000000002</v>
      </c>
      <c r="F458" s="1058">
        <f>+VLOOKUP(B458,Composición!$C$5:$D$1768,1,0)</f>
        <v>4120112201</v>
      </c>
      <c r="G458" s="1049"/>
    </row>
    <row r="459" spans="1:7" s="14" customFormat="1" ht="16.5" customHeight="1">
      <c r="A459" s="31" t="str">
        <f t="shared" si="49"/>
        <v>I</v>
      </c>
      <c r="B459" s="350">
        <v>4120112202</v>
      </c>
      <c r="C459" s="350" t="s">
        <v>326</v>
      </c>
      <c r="D459" s="340">
        <v>26867171</v>
      </c>
      <c r="E459" s="341">
        <v>3691.31</v>
      </c>
      <c r="F459" s="1058">
        <f>+VLOOKUP(B459,Composición!$C$5:$D$1768,1,0)</f>
        <v>4120112202</v>
      </c>
      <c r="G459" s="1049"/>
    </row>
    <row r="460" spans="1:7" s="14" customFormat="1" ht="16.5" customHeight="1">
      <c r="A460" s="31" t="str">
        <f t="shared" si="49"/>
        <v>I</v>
      </c>
      <c r="B460" s="345">
        <v>4120112204</v>
      </c>
      <c r="C460" s="345" t="s">
        <v>327</v>
      </c>
      <c r="D460" s="347">
        <v>2762232</v>
      </c>
      <c r="E460" s="348">
        <v>379.33</v>
      </c>
      <c r="F460" s="1058">
        <f>+VLOOKUP(B460,Composición!$C$5:$D$1768,1,0)</f>
        <v>4120112204</v>
      </c>
      <c r="G460" s="1049"/>
    </row>
    <row r="461" spans="1:7" s="14" customFormat="1" ht="16.5" customHeight="1">
      <c r="A461" s="31" t="str">
        <f t="shared" si="49"/>
        <v>NI</v>
      </c>
      <c r="B461" s="345">
        <v>4120113</v>
      </c>
      <c r="C461" s="345" t="s">
        <v>330</v>
      </c>
      <c r="D461" s="347">
        <v>11729510847</v>
      </c>
      <c r="E461" s="348">
        <v>1610118.8099999996</v>
      </c>
      <c r="F461" s="1058">
        <f>+VLOOKUP(B461,Composición!$C$5:$D$1768,1,0)</f>
        <v>4120113</v>
      </c>
      <c r="G461" s="1049"/>
    </row>
    <row r="462" spans="1:7" s="14" customFormat="1" ht="16.5" customHeight="1">
      <c r="A462" s="14" t="str">
        <f t="shared" si="49"/>
        <v>NI</v>
      </c>
      <c r="B462" s="345">
        <v>41201131</v>
      </c>
      <c r="C462" s="345" t="s">
        <v>330</v>
      </c>
      <c r="D462" s="347">
        <v>11729510847</v>
      </c>
      <c r="E462" s="348">
        <v>1610118.8099999996</v>
      </c>
      <c r="F462" s="1058">
        <f>+VLOOKUP(B462,Composición!$C$5:$D$1768,1,0)</f>
        <v>41201131</v>
      </c>
      <c r="G462" s="1049">
        <f t="shared" ref="G462:G471" si="50">+D462-F462</f>
        <v>11688309716</v>
      </c>
    </row>
    <row r="463" spans="1:7" s="14" customFormat="1" ht="16.5" customHeight="1">
      <c r="A463" s="14" t="str">
        <f t="shared" si="49"/>
        <v>I</v>
      </c>
      <c r="B463" s="345">
        <v>4120113101</v>
      </c>
      <c r="C463" s="345" t="s">
        <v>331</v>
      </c>
      <c r="D463" s="347">
        <v>1148101449</v>
      </c>
      <c r="E463" s="348">
        <v>156682.97000000003</v>
      </c>
      <c r="F463" s="1058">
        <f>+VLOOKUP(B463,Composición!$C$5:$D$1768,1,0)</f>
        <v>4120113101</v>
      </c>
      <c r="G463" s="1049">
        <f t="shared" si="50"/>
        <v>-2972011652</v>
      </c>
    </row>
    <row r="464" spans="1:7" s="14" customFormat="1" ht="16.5" customHeight="1">
      <c r="A464" s="14" t="str">
        <f t="shared" si="49"/>
        <v>I</v>
      </c>
      <c r="B464" s="345">
        <v>4120113103</v>
      </c>
      <c r="C464" s="345" t="s">
        <v>36</v>
      </c>
      <c r="D464" s="347">
        <v>6840214415</v>
      </c>
      <c r="E464" s="348">
        <v>940741.91999999993</v>
      </c>
      <c r="F464" s="1058">
        <f>+VLOOKUP(B464,Composición!$C$5:$D$1768,1,0)</f>
        <v>4120113103</v>
      </c>
      <c r="G464" s="1049">
        <f t="shared" si="50"/>
        <v>2720101312</v>
      </c>
    </row>
    <row r="465" spans="1:7" s="14" customFormat="1" ht="16.5" customHeight="1">
      <c r="A465" s="14" t="str">
        <f t="shared" si="49"/>
        <v>I</v>
      </c>
      <c r="B465" s="345">
        <v>4120113104</v>
      </c>
      <c r="C465" s="345" t="s">
        <v>37</v>
      </c>
      <c r="D465" s="347">
        <v>2377873594</v>
      </c>
      <c r="E465" s="348">
        <v>325616.19500000001</v>
      </c>
      <c r="F465" s="1058">
        <f>+VLOOKUP(B465,Composición!$C$5:$D$1768,1,0)</f>
        <v>4120113104</v>
      </c>
      <c r="G465" s="1049">
        <f t="shared" si="50"/>
        <v>-1742239510</v>
      </c>
    </row>
    <row r="466" spans="1:7" s="14" customFormat="1" ht="16.5" customHeight="1">
      <c r="A466" s="14" t="str">
        <f t="shared" si="49"/>
        <v>I</v>
      </c>
      <c r="B466" s="350">
        <v>4120113105</v>
      </c>
      <c r="C466" s="350" t="s">
        <v>38</v>
      </c>
      <c r="D466" s="340">
        <v>1286987332</v>
      </c>
      <c r="E466" s="341">
        <v>176695.14</v>
      </c>
      <c r="F466" s="1058">
        <f>+VLOOKUP(B466,Composición!$C$5:$D$1768,1,0)</f>
        <v>4120113105</v>
      </c>
      <c r="G466" s="1049">
        <f t="shared" si="50"/>
        <v>-2833125773</v>
      </c>
    </row>
    <row r="467" spans="1:7" s="14" customFormat="1" ht="16.5" customHeight="1">
      <c r="A467" s="14" t="str">
        <f t="shared" si="49"/>
        <v>I</v>
      </c>
      <c r="B467" s="350">
        <v>4120113106</v>
      </c>
      <c r="C467" s="350" t="s">
        <v>39</v>
      </c>
      <c r="D467" s="340">
        <v>76334057</v>
      </c>
      <c r="E467" s="341">
        <v>10382.584999999999</v>
      </c>
      <c r="F467" s="1058">
        <f>+VLOOKUP(B467,Composición!$C$5:$D$1768,1,0)</f>
        <v>4120113106</v>
      </c>
      <c r="G467" s="1049">
        <f t="shared" si="50"/>
        <v>-4043779049</v>
      </c>
    </row>
    <row r="468" spans="1:7" s="14" customFormat="1" ht="16.5" customHeight="1">
      <c r="A468" s="14" t="str">
        <f t="shared" si="49"/>
        <v>NI</v>
      </c>
      <c r="B468" s="350">
        <v>413</v>
      </c>
      <c r="C468" s="350" t="s">
        <v>332</v>
      </c>
      <c r="D468" s="340">
        <v>4130002218</v>
      </c>
      <c r="E468" s="341">
        <v>565783.58400000003</v>
      </c>
      <c r="F468" s="1058">
        <f>+VLOOKUP(B468,Composición!$C$5:$D$1768,1,0)</f>
        <v>413</v>
      </c>
      <c r="G468" s="1049">
        <f t="shared" si="50"/>
        <v>4130001805</v>
      </c>
    </row>
    <row r="469" spans="1:7" s="14" customFormat="1" ht="16.5" customHeight="1">
      <c r="A469" s="14" t="str">
        <f t="shared" si="49"/>
        <v>NI</v>
      </c>
      <c r="B469" s="350">
        <v>41301</v>
      </c>
      <c r="C469" s="350" t="s">
        <v>333</v>
      </c>
      <c r="D469" s="340">
        <v>4130002218</v>
      </c>
      <c r="E469" s="341">
        <v>565783.58400000003</v>
      </c>
      <c r="F469" s="1058">
        <f>+VLOOKUP(B469,Composición!$C$5:$D$1768,1,0)</f>
        <v>41301</v>
      </c>
      <c r="G469" s="1049">
        <f t="shared" si="50"/>
        <v>4129960917</v>
      </c>
    </row>
    <row r="470" spans="1:7" s="14" customFormat="1" ht="16.5" customHeight="1">
      <c r="A470" s="14" t="str">
        <f t="shared" si="49"/>
        <v>NI</v>
      </c>
      <c r="B470" s="345">
        <v>413011</v>
      </c>
      <c r="C470" s="345" t="s">
        <v>333</v>
      </c>
      <c r="D470" s="347">
        <v>4130002218</v>
      </c>
      <c r="E470" s="348">
        <v>565783.58400000003</v>
      </c>
      <c r="F470" s="1058">
        <f>+VLOOKUP(B470,Composición!$C$5:$D$1768,1,0)</f>
        <v>413011</v>
      </c>
      <c r="G470" s="1049">
        <f t="shared" si="50"/>
        <v>4129589207</v>
      </c>
    </row>
    <row r="471" spans="1:7" s="14" customFormat="1" ht="16.5" customHeight="1">
      <c r="A471" s="14" t="str">
        <f t="shared" si="49"/>
        <v>NI</v>
      </c>
      <c r="B471" s="345">
        <v>4130111</v>
      </c>
      <c r="C471" s="345" t="s">
        <v>333</v>
      </c>
      <c r="D471" s="347">
        <v>2390347885</v>
      </c>
      <c r="E471" s="348">
        <v>328004.614</v>
      </c>
      <c r="F471" s="1058">
        <f>+VLOOKUP(B471,Composición!$C$5:$D$1768,1,0)</f>
        <v>4130111</v>
      </c>
      <c r="G471" s="1049">
        <f t="shared" si="50"/>
        <v>2386217774</v>
      </c>
    </row>
    <row r="472" spans="1:7" s="14" customFormat="1" ht="16.5" customHeight="1">
      <c r="A472" s="31" t="str">
        <f t="shared" si="49"/>
        <v>NI</v>
      </c>
      <c r="B472" s="345">
        <v>41301111</v>
      </c>
      <c r="C472" s="345" t="s">
        <v>333</v>
      </c>
      <c r="D472" s="347">
        <v>2152802343</v>
      </c>
      <c r="E472" s="348">
        <v>295066.96399999998</v>
      </c>
      <c r="F472" s="1058">
        <f>+VLOOKUP(B472,Composición!$C$5:$D$1768,1,0)</f>
        <v>41301111</v>
      </c>
      <c r="G472" s="1049"/>
    </row>
    <row r="473" spans="1:7" s="14" customFormat="1" ht="16.5" customHeight="1">
      <c r="A473" s="14" t="str">
        <f t="shared" si="49"/>
        <v>I</v>
      </c>
      <c r="B473" s="345">
        <v>4130111101</v>
      </c>
      <c r="C473" s="345" t="s">
        <v>57</v>
      </c>
      <c r="D473" s="347">
        <v>140936015</v>
      </c>
      <c r="E473" s="348">
        <v>19190.86</v>
      </c>
      <c r="F473" s="1058">
        <f>+VLOOKUP(B473,Composición!$C$5:$D$1768,1,0)</f>
        <v>4130111101</v>
      </c>
      <c r="G473" s="1049">
        <f>+D473-F473</f>
        <v>-3989175086</v>
      </c>
    </row>
    <row r="474" spans="1:7" s="14" customFormat="1" ht="16.5" customHeight="1">
      <c r="A474" s="31" t="str">
        <f t="shared" si="49"/>
        <v>I</v>
      </c>
      <c r="B474" s="345">
        <v>4130111102</v>
      </c>
      <c r="C474" s="345" t="s">
        <v>254</v>
      </c>
      <c r="D474" s="347">
        <v>3103578</v>
      </c>
      <c r="E474" s="348">
        <v>424.66</v>
      </c>
      <c r="F474" s="1058">
        <f>+VLOOKUP(B474,Composición!$C$5:$D$1768,1,0)</f>
        <v>4130111102</v>
      </c>
      <c r="G474" s="1049"/>
    </row>
    <row r="475" spans="1:7" s="14" customFormat="1" ht="16.5" customHeight="1">
      <c r="A475" s="31" t="str">
        <f t="shared" si="49"/>
        <v>I</v>
      </c>
      <c r="B475" s="345">
        <v>4130111104</v>
      </c>
      <c r="C475" s="345" t="s">
        <v>258</v>
      </c>
      <c r="D475" s="347">
        <v>2814382</v>
      </c>
      <c r="E475" s="348">
        <v>382.26000000000005</v>
      </c>
      <c r="F475" s="1058">
        <f>+VLOOKUP(B475,Composición!$C$5:$D$1768,1,0)</f>
        <v>4130111104</v>
      </c>
      <c r="G475" s="1049"/>
    </row>
    <row r="476" spans="1:7" s="14" customFormat="1" ht="16.5" customHeight="1">
      <c r="A476" s="14" t="str">
        <f t="shared" si="49"/>
        <v>I</v>
      </c>
      <c r="B476" s="345">
        <v>4130111105</v>
      </c>
      <c r="C476" s="345" t="s">
        <v>59</v>
      </c>
      <c r="D476" s="347">
        <v>575181928</v>
      </c>
      <c r="E476" s="348">
        <v>78484.25</v>
      </c>
      <c r="F476" s="1058">
        <f>+VLOOKUP(B476,Composición!$C$5:$D$1768,1,0)</f>
        <v>4130111105</v>
      </c>
      <c r="G476" s="1049">
        <f t="shared" ref="G476:G484" si="51">+D476-F476</f>
        <v>-3554929177</v>
      </c>
    </row>
    <row r="477" spans="1:7" s="14" customFormat="1" ht="16.5" customHeight="1">
      <c r="A477" s="14" t="str">
        <f t="shared" si="49"/>
        <v>I</v>
      </c>
      <c r="B477" s="345">
        <v>4130111106</v>
      </c>
      <c r="C477" s="345" t="s">
        <v>60</v>
      </c>
      <c r="D477" s="347">
        <v>66448500</v>
      </c>
      <c r="E477" s="348">
        <v>9073.2800000000007</v>
      </c>
      <c r="F477" s="1058">
        <f>+VLOOKUP(B477,Composición!$C$5:$D$1768,1,0)</f>
        <v>4130111106</v>
      </c>
      <c r="G477" s="1049">
        <f t="shared" si="51"/>
        <v>-4063662606</v>
      </c>
    </row>
    <row r="478" spans="1:7" s="14" customFormat="1" ht="16.5" customHeight="1">
      <c r="A478" s="14" t="str">
        <f t="shared" si="49"/>
        <v>I</v>
      </c>
      <c r="B478" s="345">
        <v>4130111107</v>
      </c>
      <c r="C478" s="345" t="s">
        <v>63</v>
      </c>
      <c r="D478" s="347">
        <v>209306468</v>
      </c>
      <c r="E478" s="348">
        <v>28676.66</v>
      </c>
      <c r="F478" s="1058">
        <f>+VLOOKUP(B478,Composición!$C$5:$D$1768,1,0)</f>
        <v>4130111107</v>
      </c>
      <c r="G478" s="1049">
        <f t="shared" si="51"/>
        <v>-3920804639</v>
      </c>
    </row>
    <row r="479" spans="1:7" s="14" customFormat="1" ht="16.5" customHeight="1">
      <c r="A479" s="14" t="str">
        <f t="shared" si="49"/>
        <v>I</v>
      </c>
      <c r="B479" s="345">
        <v>4130111108</v>
      </c>
      <c r="C479" s="345" t="s">
        <v>64</v>
      </c>
      <c r="D479" s="347">
        <v>722064528</v>
      </c>
      <c r="E479" s="348">
        <v>99331.733999999997</v>
      </c>
      <c r="F479" s="1058">
        <f>+VLOOKUP(B479,Composición!$C$5:$D$1768,1,0)</f>
        <v>4130111108</v>
      </c>
      <c r="G479" s="1049">
        <f t="shared" si="51"/>
        <v>-3408046580</v>
      </c>
    </row>
    <row r="480" spans="1:7" s="14" customFormat="1" ht="16.5" customHeight="1">
      <c r="A480" s="14" t="str">
        <f t="shared" si="49"/>
        <v>I</v>
      </c>
      <c r="B480" s="345">
        <v>4130111113</v>
      </c>
      <c r="C480" s="345" t="s">
        <v>267</v>
      </c>
      <c r="D480" s="347">
        <v>390715507</v>
      </c>
      <c r="E480" s="348">
        <v>53758.91</v>
      </c>
      <c r="F480" s="1058">
        <f>+VLOOKUP(B480,Composición!$C$5:$D$1768,1,0)</f>
        <v>4130111113</v>
      </c>
      <c r="G480" s="1049">
        <f t="shared" si="51"/>
        <v>-3739395606</v>
      </c>
    </row>
    <row r="481" spans="1:7" s="14" customFormat="1" ht="16.5" customHeight="1">
      <c r="A481" s="14" t="str">
        <f t="shared" si="49"/>
        <v>I</v>
      </c>
      <c r="B481" s="345">
        <v>4130111114</v>
      </c>
      <c r="C481" s="345" t="s">
        <v>269</v>
      </c>
      <c r="D481" s="347">
        <v>780270</v>
      </c>
      <c r="E481" s="348">
        <v>106.92</v>
      </c>
      <c r="F481" s="1058">
        <f>+VLOOKUP(B481,Composición!$C$5:$D$1768,1,0)</f>
        <v>4130111114</v>
      </c>
      <c r="G481" s="1049">
        <f t="shared" si="51"/>
        <v>-4129330844</v>
      </c>
    </row>
    <row r="482" spans="1:7" s="14" customFormat="1" ht="16.5" customHeight="1">
      <c r="A482" s="14" t="str">
        <f t="shared" si="49"/>
        <v>I</v>
      </c>
      <c r="B482" s="350">
        <v>4130111117</v>
      </c>
      <c r="C482" s="350" t="s">
        <v>271</v>
      </c>
      <c r="D482" s="340">
        <v>23952445</v>
      </c>
      <c r="E482" s="341">
        <v>3252.78</v>
      </c>
      <c r="F482" s="1058">
        <f>+VLOOKUP(B482,Composición!$C$5:$D$1768,1,0)</f>
        <v>4130111117</v>
      </c>
      <c r="G482" s="1049">
        <f t="shared" si="51"/>
        <v>-4106158672</v>
      </c>
    </row>
    <row r="483" spans="1:7" s="14" customFormat="1" ht="16.5" customHeight="1">
      <c r="A483" s="14" t="str">
        <f t="shared" si="49"/>
        <v>I</v>
      </c>
      <c r="B483" s="345">
        <v>4130111118</v>
      </c>
      <c r="C483" s="345" t="s">
        <v>274</v>
      </c>
      <c r="D483" s="347">
        <v>464565</v>
      </c>
      <c r="E483" s="348">
        <v>63.43</v>
      </c>
      <c r="F483" s="1058">
        <f>+VLOOKUP(B483,Composición!$C$5:$D$1768,1,0)</f>
        <v>4130111118</v>
      </c>
      <c r="G483" s="1049">
        <f t="shared" si="51"/>
        <v>-4129646553</v>
      </c>
    </row>
    <row r="484" spans="1:7" s="136" customFormat="1" ht="16.5" customHeight="1">
      <c r="A484" s="14" t="str">
        <f t="shared" si="49"/>
        <v>I</v>
      </c>
      <c r="B484" s="345">
        <v>4130111129</v>
      </c>
      <c r="C484" s="345" t="s">
        <v>279</v>
      </c>
      <c r="D484" s="347">
        <v>17034157</v>
      </c>
      <c r="E484" s="348">
        <v>2321.2199999999998</v>
      </c>
      <c r="F484" s="1058">
        <f>+VLOOKUP(B484,Composición!$C$5:$D$1768,1,0)</f>
        <v>4130111129</v>
      </c>
      <c r="G484" s="1049">
        <f t="shared" si="51"/>
        <v>-4113076972</v>
      </c>
    </row>
    <row r="485" spans="1:7" s="136" customFormat="1" ht="16.5" customHeight="1">
      <c r="A485" s="31" t="str">
        <f t="shared" si="49"/>
        <v>NI</v>
      </c>
      <c r="B485" s="345">
        <v>41301112</v>
      </c>
      <c r="C485" s="345" t="s">
        <v>334</v>
      </c>
      <c r="D485" s="347">
        <v>237545542</v>
      </c>
      <c r="E485" s="348">
        <v>32937.65</v>
      </c>
      <c r="F485" s="1058">
        <f>+VLOOKUP(B485,Composición!$C$5:$D$1768,1,0)</f>
        <v>41301112</v>
      </c>
      <c r="G485" s="1049"/>
    </row>
    <row r="486" spans="1:7" s="14" customFormat="1" ht="16.5" customHeight="1">
      <c r="A486" s="14" t="str">
        <f t="shared" si="49"/>
        <v>I</v>
      </c>
      <c r="B486" s="345">
        <v>4130111201</v>
      </c>
      <c r="C486" s="345" t="s">
        <v>335</v>
      </c>
      <c r="D486" s="347">
        <v>237545542</v>
      </c>
      <c r="E486" s="348">
        <v>32937.65</v>
      </c>
      <c r="F486" s="1058">
        <f>+VLOOKUP(B486,Composición!$C$5:$D$1768,1,0)</f>
        <v>4130111201</v>
      </c>
      <c r="G486" s="1049">
        <f>+D486-F486</f>
        <v>-3892565659</v>
      </c>
    </row>
    <row r="487" spans="1:7" s="14" customFormat="1" ht="16.5" customHeight="1">
      <c r="A487" s="31" t="str">
        <f t="shared" si="49"/>
        <v>NI</v>
      </c>
      <c r="B487" s="345">
        <v>4130112</v>
      </c>
      <c r="C487" s="345" t="s">
        <v>336</v>
      </c>
      <c r="D487" s="347">
        <v>1739654333</v>
      </c>
      <c r="E487" s="348">
        <v>237778.97</v>
      </c>
      <c r="F487" s="1058">
        <f>+VLOOKUP(B487,Composición!$C$5:$D$1768,1,0)</f>
        <v>4130112</v>
      </c>
      <c r="G487" s="1049"/>
    </row>
    <row r="488" spans="1:7" s="14" customFormat="1" ht="16.5" customHeight="1">
      <c r="A488" s="14" t="str">
        <f t="shared" si="49"/>
        <v>NI</v>
      </c>
      <c r="B488" s="345">
        <v>41301121</v>
      </c>
      <c r="C488" s="345" t="s">
        <v>337</v>
      </c>
      <c r="D488" s="347">
        <v>289301619</v>
      </c>
      <c r="E488" s="348">
        <v>39098.94</v>
      </c>
      <c r="F488" s="1058">
        <f>+VLOOKUP(B488,Composición!$C$5:$D$1768,1,0)</f>
        <v>41301121</v>
      </c>
      <c r="G488" s="1049">
        <f t="shared" ref="G488:G498" si="52">+D488-F488</f>
        <v>248000498</v>
      </c>
    </row>
    <row r="489" spans="1:7" s="14" customFormat="1" ht="16.5" customHeight="1">
      <c r="A489" s="14" t="str">
        <f t="shared" si="49"/>
        <v>I</v>
      </c>
      <c r="B489" s="345">
        <v>4130112101</v>
      </c>
      <c r="C489" s="345" t="s">
        <v>57</v>
      </c>
      <c r="D489" s="347">
        <v>2102920</v>
      </c>
      <c r="E489" s="348">
        <v>285.77999999999997</v>
      </c>
      <c r="F489" s="1058">
        <f>+VLOOKUP(B489,Composición!$C$5:$D$1768,1,0)</f>
        <v>4130112101</v>
      </c>
      <c r="G489" s="1049">
        <f t="shared" si="52"/>
        <v>-4128009181</v>
      </c>
    </row>
    <row r="490" spans="1:7" s="14" customFormat="1" ht="16.5" customHeight="1">
      <c r="A490" s="14" t="str">
        <f t="shared" si="49"/>
        <v>I</v>
      </c>
      <c r="B490" s="345">
        <v>4130112102</v>
      </c>
      <c r="C490" s="345" t="s">
        <v>254</v>
      </c>
      <c r="D490" s="347">
        <v>186203</v>
      </c>
      <c r="E490" s="348">
        <v>26.110000000000003</v>
      </c>
      <c r="F490" s="1058">
        <f>+VLOOKUP(B490,Composición!$C$5:$D$1768,1,0)</f>
        <v>4130112102</v>
      </c>
      <c r="G490" s="1049">
        <f t="shared" si="52"/>
        <v>-4129925899</v>
      </c>
    </row>
    <row r="491" spans="1:7" s="14" customFormat="1" ht="16.5" customHeight="1">
      <c r="A491" s="14" t="str">
        <f t="shared" si="49"/>
        <v>I</v>
      </c>
      <c r="B491" s="345">
        <v>4130112104</v>
      </c>
      <c r="C491" s="345" t="s">
        <v>258</v>
      </c>
      <c r="D491" s="347">
        <v>110527</v>
      </c>
      <c r="E491" s="348">
        <v>14.950000000000003</v>
      </c>
      <c r="F491" s="1058">
        <f>+VLOOKUP(B491,Composición!$C$5:$D$1768,1,0)</f>
        <v>4130112104</v>
      </c>
      <c r="G491" s="1049">
        <f t="shared" si="52"/>
        <v>-4130001577</v>
      </c>
    </row>
    <row r="492" spans="1:7" s="136" customFormat="1" ht="16.5" customHeight="1">
      <c r="A492" s="14" t="str">
        <f t="shared" si="49"/>
        <v>I</v>
      </c>
      <c r="B492" s="345">
        <v>4130112105</v>
      </c>
      <c r="C492" s="345" t="s">
        <v>59</v>
      </c>
      <c r="D492" s="347">
        <v>17480068</v>
      </c>
      <c r="E492" s="348">
        <v>2378.2800000000002</v>
      </c>
      <c r="F492" s="1058">
        <f>+VLOOKUP(B492,Composición!$C$5:$D$1768,1,0)</f>
        <v>4130112105</v>
      </c>
      <c r="G492" s="1049">
        <f t="shared" si="52"/>
        <v>-4112632037</v>
      </c>
    </row>
    <row r="493" spans="1:7" s="136" customFormat="1" ht="16.5" customHeight="1">
      <c r="A493" s="14" t="str">
        <f t="shared" si="49"/>
        <v>I</v>
      </c>
      <c r="B493" s="345">
        <v>4130112106</v>
      </c>
      <c r="C493" s="345" t="s">
        <v>60</v>
      </c>
      <c r="D493" s="347">
        <v>1528795</v>
      </c>
      <c r="E493" s="348">
        <v>210.43</v>
      </c>
      <c r="F493" s="1058">
        <f>+VLOOKUP(B493,Composición!$C$5:$D$1768,1,0)</f>
        <v>4130112106</v>
      </c>
      <c r="G493" s="1049">
        <f t="shared" si="52"/>
        <v>-4128583311</v>
      </c>
    </row>
    <row r="494" spans="1:7" s="14" customFormat="1" ht="16.5" customHeight="1">
      <c r="A494" s="14" t="str">
        <f t="shared" si="49"/>
        <v>I</v>
      </c>
      <c r="B494" s="345">
        <v>4130112107</v>
      </c>
      <c r="C494" s="345" t="s">
        <v>63</v>
      </c>
      <c r="D494" s="347">
        <v>134707</v>
      </c>
      <c r="E494" s="348">
        <v>18.21</v>
      </c>
      <c r="F494" s="1058">
        <f>+VLOOKUP(B494,Composición!$C$5:$D$1768,1,0)</f>
        <v>4130112107</v>
      </c>
      <c r="G494" s="1049">
        <f t="shared" si="52"/>
        <v>-4129977400</v>
      </c>
    </row>
    <row r="495" spans="1:7" s="14" customFormat="1" ht="16.5" customHeight="1">
      <c r="A495" s="14" t="str">
        <f t="shared" si="49"/>
        <v>I</v>
      </c>
      <c r="B495" s="345">
        <v>4130112109</v>
      </c>
      <c r="C495" s="345" t="s">
        <v>66</v>
      </c>
      <c r="D495" s="347">
        <v>28950997</v>
      </c>
      <c r="E495" s="348">
        <v>3914.45</v>
      </c>
      <c r="F495" s="1058">
        <f>+VLOOKUP(B495,Composición!$C$5:$D$1768,1,0)</f>
        <v>4130112109</v>
      </c>
      <c r="G495" s="1049">
        <f t="shared" si="52"/>
        <v>-4101161112</v>
      </c>
    </row>
    <row r="496" spans="1:7" s="14" customFormat="1" ht="16.5" customHeight="1">
      <c r="A496" s="14" t="str">
        <f t="shared" si="49"/>
        <v>I</v>
      </c>
      <c r="B496" s="345">
        <v>4130112117</v>
      </c>
      <c r="C496" s="345" t="s">
        <v>271</v>
      </c>
      <c r="D496" s="347">
        <v>6993353</v>
      </c>
      <c r="E496" s="348">
        <v>950.26</v>
      </c>
      <c r="F496" s="1058">
        <f>+VLOOKUP(B496,Composición!$C$5:$D$1768,1,0)</f>
        <v>4130112117</v>
      </c>
      <c r="G496" s="1049">
        <f t="shared" si="52"/>
        <v>-4123118764</v>
      </c>
    </row>
    <row r="497" spans="1:7" s="14" customFormat="1" ht="16.5" customHeight="1">
      <c r="A497" s="14" t="str">
        <f t="shared" si="49"/>
        <v>I</v>
      </c>
      <c r="B497" s="345">
        <v>4130112118</v>
      </c>
      <c r="C497" s="345" t="s">
        <v>274</v>
      </c>
      <c r="D497" s="347">
        <v>772939</v>
      </c>
      <c r="E497" s="348">
        <v>107.09</v>
      </c>
      <c r="F497" s="1058">
        <f>+VLOOKUP(B497,Composición!$C$5:$D$1768,1,0)</f>
        <v>4130112118</v>
      </c>
      <c r="G497" s="1049">
        <f t="shared" si="52"/>
        <v>-4129339179</v>
      </c>
    </row>
    <row r="498" spans="1:7" s="14" customFormat="1" ht="16.5" customHeight="1">
      <c r="A498" s="14" t="str">
        <f t="shared" si="49"/>
        <v>I</v>
      </c>
      <c r="B498" s="345">
        <v>4130112129</v>
      </c>
      <c r="C498" s="345" t="s">
        <v>279</v>
      </c>
      <c r="D498" s="347">
        <v>213260</v>
      </c>
      <c r="E498" s="348">
        <v>29.09</v>
      </c>
      <c r="F498" s="1058">
        <f>+VLOOKUP(B498,Composición!$C$5:$D$1768,1,0)</f>
        <v>4130112129</v>
      </c>
      <c r="G498" s="1049">
        <f t="shared" si="52"/>
        <v>-4129898869</v>
      </c>
    </row>
    <row r="499" spans="1:7" s="14" customFormat="1" ht="16.5" customHeight="1">
      <c r="A499" s="31" t="str">
        <f t="shared" si="49"/>
        <v>I</v>
      </c>
      <c r="B499" s="345">
        <v>4130112134</v>
      </c>
      <c r="C499" s="345" t="s">
        <v>338</v>
      </c>
      <c r="D499" s="347">
        <v>230827850</v>
      </c>
      <c r="E499" s="348">
        <v>31164.29</v>
      </c>
      <c r="F499" s="1058">
        <f>+VLOOKUP(B499,Composición!$C$5:$D$1768,1,0)</f>
        <v>4130112134</v>
      </c>
      <c r="G499" s="1049"/>
    </row>
    <row r="500" spans="1:7" s="14" customFormat="1" ht="16.5" customHeight="1">
      <c r="A500" s="31" t="str">
        <f t="shared" si="49"/>
        <v>NI</v>
      </c>
      <c r="B500" s="345">
        <v>41301122</v>
      </c>
      <c r="C500" s="345" t="s">
        <v>339</v>
      </c>
      <c r="D500" s="347">
        <v>130101166</v>
      </c>
      <c r="E500" s="348">
        <v>17529.009999999998</v>
      </c>
      <c r="F500" s="1058">
        <f>+VLOOKUP(B500,Composición!$C$5:$D$1768,1,0)</f>
        <v>41301122</v>
      </c>
      <c r="G500" s="1049"/>
    </row>
    <row r="501" spans="1:7" s="14" customFormat="1" ht="16.5" customHeight="1">
      <c r="A501" s="31" t="str">
        <f t="shared" si="49"/>
        <v>I</v>
      </c>
      <c r="B501" s="345">
        <v>4130112201</v>
      </c>
      <c r="C501" s="345" t="s">
        <v>339</v>
      </c>
      <c r="D501" s="347">
        <v>126428292</v>
      </c>
      <c r="E501" s="348">
        <v>17026.740000000002</v>
      </c>
      <c r="F501" s="1058">
        <f>+VLOOKUP(B501,Composición!$C$5:$D$1768,1,0)</f>
        <v>4130112201</v>
      </c>
      <c r="G501" s="1049"/>
    </row>
    <row r="502" spans="1:7" s="14" customFormat="1" ht="16.5" customHeight="1">
      <c r="A502" s="31" t="str">
        <f t="shared" si="49"/>
        <v>I</v>
      </c>
      <c r="B502" s="345">
        <v>4130112202</v>
      </c>
      <c r="C502" s="345" t="s">
        <v>340</v>
      </c>
      <c r="D502" s="347">
        <v>2798548</v>
      </c>
      <c r="E502" s="348">
        <v>384.58</v>
      </c>
      <c r="F502" s="1058">
        <f>+VLOOKUP(B502,Composición!$C$5:$D$1768,1,0)</f>
        <v>4130112202</v>
      </c>
      <c r="G502" s="1049"/>
    </row>
    <row r="503" spans="1:7" s="14" customFormat="1" ht="16.5" customHeight="1">
      <c r="A503" s="31" t="str">
        <f t="shared" si="49"/>
        <v>I</v>
      </c>
      <c r="B503" s="345">
        <v>4130112203</v>
      </c>
      <c r="C503" s="345" t="s">
        <v>340</v>
      </c>
      <c r="D503" s="347">
        <v>874326</v>
      </c>
      <c r="E503" s="348">
        <v>117.69</v>
      </c>
      <c r="F503" s="1058">
        <f>+VLOOKUP(B503,Composición!$C$5:$D$1768,1,0)</f>
        <v>4130112203</v>
      </c>
      <c r="G503" s="1049"/>
    </row>
    <row r="504" spans="1:7" s="14" customFormat="1" ht="16.5" customHeight="1">
      <c r="A504" s="14" t="str">
        <f t="shared" si="49"/>
        <v>NI</v>
      </c>
      <c r="B504" s="345">
        <v>41301123</v>
      </c>
      <c r="C504" s="345" t="s">
        <v>341</v>
      </c>
      <c r="D504" s="347">
        <v>1320251548</v>
      </c>
      <c r="E504" s="348">
        <v>181151.02</v>
      </c>
      <c r="F504" s="1058">
        <f>+VLOOKUP(B504,Composición!$C$5:$D$1768,1,0)</f>
        <v>41301123</v>
      </c>
      <c r="G504" s="1049">
        <f t="shared" ref="G504:G509" si="53">+D504-F504</f>
        <v>1278950425</v>
      </c>
    </row>
    <row r="505" spans="1:7" s="14" customFormat="1" ht="16.5" customHeight="1">
      <c r="A505" s="14" t="str">
        <f t="shared" si="49"/>
        <v>I</v>
      </c>
      <c r="B505" s="345">
        <v>4130112301</v>
      </c>
      <c r="C505" s="345" t="s">
        <v>57</v>
      </c>
      <c r="D505" s="347">
        <v>81007922</v>
      </c>
      <c r="E505" s="348">
        <v>11105.599999999999</v>
      </c>
      <c r="F505" s="1058">
        <f>+VLOOKUP(B505,Composición!$C$5:$D$1768,1,0)</f>
        <v>4130112301</v>
      </c>
      <c r="G505" s="1049">
        <f t="shared" si="53"/>
        <v>-4049104379</v>
      </c>
    </row>
    <row r="506" spans="1:7" s="14" customFormat="1" ht="16.5" customHeight="1">
      <c r="A506" s="14" t="str">
        <f t="shared" si="49"/>
        <v>I</v>
      </c>
      <c r="B506" s="345">
        <v>4130112302</v>
      </c>
      <c r="C506" s="345" t="s">
        <v>254</v>
      </c>
      <c r="D506" s="347">
        <v>92955885</v>
      </c>
      <c r="E506" s="348">
        <v>12797.85</v>
      </c>
      <c r="F506" s="1058">
        <f>+VLOOKUP(B506,Composición!$C$5:$D$1768,1,0)</f>
        <v>4130112302</v>
      </c>
      <c r="G506" s="1049">
        <f t="shared" si="53"/>
        <v>-4037156417</v>
      </c>
    </row>
    <row r="507" spans="1:7" s="14" customFormat="1" ht="16.5" customHeight="1">
      <c r="A507" s="14" t="str">
        <f t="shared" si="49"/>
        <v>I</v>
      </c>
      <c r="B507" s="345">
        <v>4130112304</v>
      </c>
      <c r="C507" s="345" t="s">
        <v>258</v>
      </c>
      <c r="D507" s="347">
        <v>67419955</v>
      </c>
      <c r="E507" s="348">
        <v>9260.3399999999983</v>
      </c>
      <c r="F507" s="1058">
        <f>+VLOOKUP(B507,Composición!$C$5:$D$1768,1,0)</f>
        <v>4130112304</v>
      </c>
      <c r="G507" s="1049">
        <f t="shared" si="53"/>
        <v>-4062692349</v>
      </c>
    </row>
    <row r="508" spans="1:7" s="14" customFormat="1" ht="16.5" customHeight="1">
      <c r="A508" s="14" t="str">
        <f t="shared" si="49"/>
        <v>I</v>
      </c>
      <c r="B508" s="345">
        <v>4130112305</v>
      </c>
      <c r="C508" s="345" t="s">
        <v>59</v>
      </c>
      <c r="D508" s="347">
        <v>188510723</v>
      </c>
      <c r="E508" s="348">
        <v>25759.91</v>
      </c>
      <c r="F508" s="1058">
        <f>+VLOOKUP(B508,Composición!$C$5:$D$1768,1,0)</f>
        <v>4130112305</v>
      </c>
      <c r="G508" s="1049">
        <f t="shared" si="53"/>
        <v>-3941601582</v>
      </c>
    </row>
    <row r="509" spans="1:7" s="14" customFormat="1" ht="16.5" customHeight="1">
      <c r="A509" s="14" t="str">
        <f t="shared" si="49"/>
        <v>I</v>
      </c>
      <c r="B509" s="345">
        <v>4130112306</v>
      </c>
      <c r="C509" s="345" t="s">
        <v>60</v>
      </c>
      <c r="D509" s="347">
        <v>279390963</v>
      </c>
      <c r="E509" s="348">
        <v>38429.119999999995</v>
      </c>
      <c r="F509" s="1058">
        <f>+VLOOKUP(B509,Composición!$C$5:$D$1768,1,0)</f>
        <v>4130112306</v>
      </c>
      <c r="G509" s="1049">
        <f t="shared" si="53"/>
        <v>-3850721343</v>
      </c>
    </row>
    <row r="510" spans="1:7" s="14" customFormat="1" ht="16.5" customHeight="1">
      <c r="A510" s="31" t="str">
        <f t="shared" si="49"/>
        <v>I</v>
      </c>
      <c r="B510" s="345">
        <v>4130112307</v>
      </c>
      <c r="C510" s="345" t="s">
        <v>63</v>
      </c>
      <c r="D510" s="347">
        <v>62123602</v>
      </c>
      <c r="E510" s="348">
        <v>8520.3799999999992</v>
      </c>
      <c r="F510" s="1058">
        <f>+VLOOKUP(B510,Composición!$C$5:$D$1768,1,0)</f>
        <v>4130112307</v>
      </c>
      <c r="G510" s="1049"/>
    </row>
    <row r="511" spans="1:7" s="14" customFormat="1" ht="16.5" customHeight="1">
      <c r="A511" s="14" t="str">
        <f t="shared" si="49"/>
        <v>I</v>
      </c>
      <c r="B511" s="345">
        <v>4130112308</v>
      </c>
      <c r="C511" s="345" t="s">
        <v>64</v>
      </c>
      <c r="D511" s="347">
        <v>28966721</v>
      </c>
      <c r="E511" s="348">
        <v>3984.32</v>
      </c>
      <c r="F511" s="1058">
        <f>+VLOOKUP(B511,Composición!$C$5:$D$1768,1,0)</f>
        <v>4130112308</v>
      </c>
      <c r="G511" s="1049">
        <f t="shared" ref="G511:G512" si="54">+D511-F511</f>
        <v>-4101145587</v>
      </c>
    </row>
    <row r="512" spans="1:7" s="14" customFormat="1" ht="16.5" customHeight="1">
      <c r="A512" s="14" t="str">
        <f t="shared" si="49"/>
        <v>I</v>
      </c>
      <c r="B512" s="345">
        <v>4130112309</v>
      </c>
      <c r="C512" s="345" t="s">
        <v>66</v>
      </c>
      <c r="D512" s="347">
        <v>2570816</v>
      </c>
      <c r="E512" s="348">
        <v>345.68</v>
      </c>
      <c r="F512" s="1058">
        <f>+VLOOKUP(B512,Composición!$C$5:$D$1768,1,0)</f>
        <v>4130112309</v>
      </c>
      <c r="G512" s="1049">
        <f t="shared" si="54"/>
        <v>-4127541493</v>
      </c>
    </row>
    <row r="513" spans="1:9" s="14" customFormat="1" ht="16.5" customHeight="1">
      <c r="A513" s="31" t="str">
        <f t="shared" si="49"/>
        <v>I</v>
      </c>
      <c r="B513" s="345">
        <v>4130112313</v>
      </c>
      <c r="C513" s="345" t="s">
        <v>267</v>
      </c>
      <c r="D513" s="347">
        <v>7276471</v>
      </c>
      <c r="E513" s="348">
        <v>987.58</v>
      </c>
      <c r="F513" s="1058">
        <f>+VLOOKUP(B513,Composición!$C$5:$D$1768,1,0)</f>
        <v>4130112313</v>
      </c>
      <c r="G513" s="1049"/>
    </row>
    <row r="514" spans="1:9" s="14" customFormat="1" ht="16.5" customHeight="1">
      <c r="A514" s="14" t="str">
        <f t="shared" si="49"/>
        <v>I</v>
      </c>
      <c r="B514" s="345">
        <v>4130112317</v>
      </c>
      <c r="C514" s="345" t="s">
        <v>271</v>
      </c>
      <c r="D514" s="347">
        <v>33966151</v>
      </c>
      <c r="E514" s="348">
        <v>4637.37</v>
      </c>
      <c r="F514" s="1058">
        <f>+VLOOKUP(B514,Composición!$C$5:$D$1768,1,0)</f>
        <v>4130112317</v>
      </c>
      <c r="G514" s="1049">
        <f t="shared" ref="G514:G515" si="55">+D514-F514</f>
        <v>-4096146166</v>
      </c>
    </row>
    <row r="515" spans="1:9" s="14" customFormat="1" ht="16.5" customHeight="1">
      <c r="A515" s="14" t="str">
        <f t="shared" si="49"/>
        <v>I</v>
      </c>
      <c r="B515" s="345">
        <v>4130112329</v>
      </c>
      <c r="C515" s="345" t="s">
        <v>279</v>
      </c>
      <c r="D515" s="347">
        <v>21017373</v>
      </c>
      <c r="E515" s="348">
        <v>2867.65</v>
      </c>
      <c r="F515" s="1058">
        <f>+VLOOKUP(B515,Composición!$C$5:$D$1768,1,0)</f>
        <v>4130112329</v>
      </c>
      <c r="G515" s="1049">
        <f t="shared" si="55"/>
        <v>-4109094956</v>
      </c>
    </row>
    <row r="516" spans="1:9" s="14" customFormat="1" ht="16.5" customHeight="1">
      <c r="A516" s="31" t="str">
        <f t="shared" si="49"/>
        <v>I</v>
      </c>
      <c r="B516" s="345">
        <v>4130112331</v>
      </c>
      <c r="C516" s="345" t="s">
        <v>53</v>
      </c>
      <c r="D516" s="347">
        <v>315254224</v>
      </c>
      <c r="E516" s="348">
        <v>43374.53</v>
      </c>
      <c r="F516" s="1058">
        <f>+VLOOKUP(B516,Composición!$C$5:$D$1768,1,0)</f>
        <v>4130112331</v>
      </c>
      <c r="G516" s="1049"/>
    </row>
    <row r="517" spans="1:9" s="14" customFormat="1" ht="16.5" customHeight="1">
      <c r="A517" s="31" t="str">
        <f t="shared" si="49"/>
        <v>I</v>
      </c>
      <c r="B517" s="345">
        <v>4130112333</v>
      </c>
      <c r="C517" s="345" t="s">
        <v>342</v>
      </c>
      <c r="D517" s="347">
        <v>12789924</v>
      </c>
      <c r="E517" s="348">
        <v>1741.4</v>
      </c>
      <c r="F517" s="1058">
        <f>+VLOOKUP(B517,Composición!$C$5:$D$1768,1,0)</f>
        <v>4130112333</v>
      </c>
      <c r="G517" s="1049"/>
    </row>
    <row r="518" spans="1:9" s="14" customFormat="1" ht="16.5" customHeight="1">
      <c r="A518" s="14" t="str">
        <f t="shared" si="49"/>
        <v>I</v>
      </c>
      <c r="B518" s="350">
        <v>4130112343</v>
      </c>
      <c r="C518" s="350" t="s">
        <v>343</v>
      </c>
      <c r="D518" s="340">
        <v>4560000</v>
      </c>
      <c r="E518" s="341">
        <v>618.24</v>
      </c>
      <c r="F518" s="1058">
        <f>+VLOOKUP(B518,Composición!$C$5:$D$1768,1,0)</f>
        <v>4130112343</v>
      </c>
      <c r="G518" s="1049">
        <f t="shared" ref="G518:G523" si="56">+D518-F518</f>
        <v>-4125552343</v>
      </c>
    </row>
    <row r="519" spans="1:9" s="14" customFormat="1" ht="16.5" customHeight="1">
      <c r="A519" s="14" t="str">
        <f t="shared" si="49"/>
        <v>I</v>
      </c>
      <c r="B519" s="345">
        <v>4130112348</v>
      </c>
      <c r="C519" s="345" t="s">
        <v>344</v>
      </c>
      <c r="D519" s="347">
        <v>30539127</v>
      </c>
      <c r="E519" s="348">
        <v>4217.9400000000005</v>
      </c>
      <c r="F519" s="1058">
        <f>+VLOOKUP(B519,Composición!$C$5:$D$1768,1,0)</f>
        <v>4130112348</v>
      </c>
      <c r="G519" s="1049">
        <f t="shared" si="56"/>
        <v>-4099573221</v>
      </c>
    </row>
    <row r="520" spans="1:9" s="14" customFormat="1" ht="16.5" customHeight="1">
      <c r="A520" s="14" t="str">
        <f t="shared" si="49"/>
        <v>I</v>
      </c>
      <c r="B520" s="345">
        <v>4130112350</v>
      </c>
      <c r="C520" s="345" t="s">
        <v>345</v>
      </c>
      <c r="D520" s="347">
        <v>13492735</v>
      </c>
      <c r="E520" s="348">
        <v>1858.64</v>
      </c>
      <c r="F520" s="1058">
        <f>+VLOOKUP(B520,Composición!$C$5:$D$1768,1,0)</f>
        <v>4130112350</v>
      </c>
      <c r="G520" s="1049">
        <f t="shared" si="56"/>
        <v>-4116619615</v>
      </c>
    </row>
    <row r="521" spans="1:9" s="14" customFormat="1" ht="16.5" customHeight="1">
      <c r="A521" s="14" t="str">
        <f t="shared" ref="A521:A598" si="57">IF(LEN(B521)&gt;8,"I","NI")</f>
        <v>I</v>
      </c>
      <c r="B521" s="345">
        <v>4130112352</v>
      </c>
      <c r="C521" s="345" t="s">
        <v>346</v>
      </c>
      <c r="D521" s="347">
        <v>6994785</v>
      </c>
      <c r="E521" s="348">
        <v>963.73</v>
      </c>
      <c r="F521" s="1058">
        <f>+VLOOKUP(B521,Composición!$C$5:$D$1768,1,0)</f>
        <v>4130112352</v>
      </c>
      <c r="G521" s="1049">
        <f t="shared" si="56"/>
        <v>-4123117567</v>
      </c>
    </row>
    <row r="522" spans="1:9" s="14" customFormat="1" ht="16.5" customHeight="1">
      <c r="A522" s="14" t="str">
        <f t="shared" si="57"/>
        <v>I</v>
      </c>
      <c r="B522" s="345">
        <v>4130112353</v>
      </c>
      <c r="C522" s="345" t="s">
        <v>347</v>
      </c>
      <c r="D522" s="347">
        <v>36972141</v>
      </c>
      <c r="E522" s="348">
        <v>5051.75</v>
      </c>
      <c r="F522" s="1058">
        <f>+VLOOKUP(B522,Composición!$C$5:$D$1768,1,0)</f>
        <v>4130112353</v>
      </c>
      <c r="G522" s="1049">
        <f t="shared" si="56"/>
        <v>-4093140212</v>
      </c>
    </row>
    <row r="523" spans="1:9" s="14" customFormat="1" ht="16.5" customHeight="1">
      <c r="A523" s="14" t="str">
        <f t="shared" si="57"/>
        <v>I</v>
      </c>
      <c r="B523" s="345">
        <v>4130112354</v>
      </c>
      <c r="C523" s="345" t="s">
        <v>348</v>
      </c>
      <c r="D523" s="347">
        <v>3718437</v>
      </c>
      <c r="E523" s="348">
        <v>511.72</v>
      </c>
      <c r="F523" s="1058">
        <f>+VLOOKUP(B523,Composición!$C$5:$D$1768,1,0)</f>
        <v>4130112354</v>
      </c>
      <c r="G523" s="1049">
        <f t="shared" si="56"/>
        <v>-4126393917</v>
      </c>
    </row>
    <row r="524" spans="1:9" s="14" customFormat="1" ht="16.5" customHeight="1">
      <c r="A524" s="31" t="str">
        <f t="shared" si="57"/>
        <v>I</v>
      </c>
      <c r="B524" s="345">
        <v>4130112356</v>
      </c>
      <c r="C524" s="345" t="s">
        <v>132</v>
      </c>
      <c r="D524" s="347">
        <v>3390612</v>
      </c>
      <c r="E524" s="348">
        <v>454.53</v>
      </c>
      <c r="F524" s="1058">
        <f>+VLOOKUP(B524,Composición!$C$5:$D$1768,1,0)</f>
        <v>4130112356</v>
      </c>
      <c r="G524" s="1049"/>
    </row>
    <row r="525" spans="1:9" s="14" customFormat="1" ht="16.5" customHeight="1">
      <c r="A525" s="14" t="str">
        <f t="shared" si="57"/>
        <v>I</v>
      </c>
      <c r="B525" s="345">
        <v>4130112357</v>
      </c>
      <c r="C525" s="345" t="s">
        <v>338</v>
      </c>
      <c r="D525" s="347">
        <v>27332981</v>
      </c>
      <c r="E525" s="348">
        <v>3662.74</v>
      </c>
      <c r="F525" s="1058">
        <f>+VLOOKUP(B525,Composición!$C$5:$D$1768,1,0)</f>
        <v>4130112357</v>
      </c>
      <c r="G525" s="1049">
        <f t="shared" ref="G525:G526" si="58">+D525-F525</f>
        <v>-4102779376</v>
      </c>
    </row>
    <row r="526" spans="1:9" s="14" customFormat="1" ht="16.5" customHeight="1">
      <c r="A526" s="14" t="str">
        <f t="shared" si="57"/>
        <v>NI</v>
      </c>
      <c r="B526" s="345">
        <v>416</v>
      </c>
      <c r="C526" s="345" t="s">
        <v>349</v>
      </c>
      <c r="D526" s="347">
        <v>1095140336</v>
      </c>
      <c r="E526" s="348">
        <v>84984.98</v>
      </c>
      <c r="F526" s="1058">
        <f>+VLOOKUP(B526,Composición!$C$5:$D$1768,1,0)</f>
        <v>416</v>
      </c>
      <c r="G526" s="1049">
        <f t="shared" si="58"/>
        <v>1095139920</v>
      </c>
    </row>
    <row r="527" spans="1:9" s="14" customFormat="1" ht="16.5" customHeight="1">
      <c r="A527" s="31" t="str">
        <f t="shared" si="57"/>
        <v>NI</v>
      </c>
      <c r="B527" s="345">
        <v>41601</v>
      </c>
      <c r="C527" s="345" t="s">
        <v>350</v>
      </c>
      <c r="D527" s="347">
        <v>1095140336</v>
      </c>
      <c r="E527" s="348">
        <v>84984.98</v>
      </c>
      <c r="F527" s="1058">
        <f>+VLOOKUP(B527,Composición!$C$5:$D$1768,1,0)</f>
        <v>41601</v>
      </c>
      <c r="G527" s="1049"/>
      <c r="H527" s="1050">
        <v>7038015846</v>
      </c>
      <c r="I527" s="1051">
        <v>38487971</v>
      </c>
    </row>
    <row r="528" spans="1:9" s="14" customFormat="1" ht="16.5" customHeight="1">
      <c r="A528" s="31" t="str">
        <f t="shared" si="57"/>
        <v>NI</v>
      </c>
      <c r="B528" s="345">
        <v>416011</v>
      </c>
      <c r="C528" s="345" t="s">
        <v>350</v>
      </c>
      <c r="D528" s="347">
        <v>1095140336</v>
      </c>
      <c r="E528" s="348">
        <v>84984.98</v>
      </c>
      <c r="F528" s="1058">
        <f>+VLOOKUP(B528,Composición!$C$5:$D$1768,1,0)</f>
        <v>416011</v>
      </c>
      <c r="G528" s="1049"/>
      <c r="I528" s="1051">
        <v>52850285</v>
      </c>
    </row>
    <row r="529" spans="1:9" s="14" customFormat="1" ht="16.5" customHeight="1">
      <c r="A529" s="31" t="str">
        <f t="shared" si="57"/>
        <v>NI</v>
      </c>
      <c r="B529" s="345">
        <v>4160115</v>
      </c>
      <c r="C529" s="345" t="s">
        <v>351</v>
      </c>
      <c r="D529" s="347">
        <v>475156214</v>
      </c>
      <c r="E529" s="348">
        <v>65413.32</v>
      </c>
      <c r="F529" s="1058">
        <f>+VLOOKUP(B529,Composición!$C$5:$D$1768,1,0)</f>
        <v>4160115</v>
      </c>
      <c r="G529" s="1049"/>
      <c r="I529" s="1051">
        <v>14425364</v>
      </c>
    </row>
    <row r="530" spans="1:9" s="14" customFormat="1" ht="16.5" customHeight="1">
      <c r="A530" s="31" t="str">
        <f t="shared" si="57"/>
        <v>NI</v>
      </c>
      <c r="B530" s="345">
        <v>41601151</v>
      </c>
      <c r="C530" s="345" t="s">
        <v>352</v>
      </c>
      <c r="D530" s="347">
        <v>311305565</v>
      </c>
      <c r="E530" s="348">
        <v>42855.55999999999</v>
      </c>
      <c r="F530" s="1058">
        <f>+VLOOKUP(B530,Composición!$C$5:$D$1768,1,0)</f>
        <v>41601151</v>
      </c>
      <c r="G530" s="1049"/>
      <c r="I530" s="1051">
        <v>1294682</v>
      </c>
    </row>
    <row r="531" spans="1:9" s="14" customFormat="1" ht="16.5" customHeight="1">
      <c r="A531" s="31" t="str">
        <f t="shared" si="57"/>
        <v>I</v>
      </c>
      <c r="B531" s="345">
        <v>4160115101</v>
      </c>
      <c r="C531" s="345" t="s">
        <v>353</v>
      </c>
      <c r="D531" s="347">
        <v>8634801</v>
      </c>
      <c r="E531" s="348">
        <v>1185.42</v>
      </c>
      <c r="F531" s="1058">
        <f>+VLOOKUP(B531,Composición!$C$5:$D$1768,1,0)</f>
        <v>4160115101</v>
      </c>
      <c r="G531" s="1049"/>
      <c r="I531" s="1051">
        <v>117499125</v>
      </c>
    </row>
    <row r="532" spans="1:9" s="14" customFormat="1" ht="16.5" customHeight="1">
      <c r="A532" s="31" t="str">
        <f t="shared" si="57"/>
        <v>I</v>
      </c>
      <c r="B532" s="345">
        <v>4160115102</v>
      </c>
      <c r="C532" s="345" t="s">
        <v>354</v>
      </c>
      <c r="D532" s="347">
        <v>6002584</v>
      </c>
      <c r="E532" s="348">
        <v>826.69</v>
      </c>
      <c r="F532" s="1058">
        <f>+VLOOKUP(B532,Composición!$C$5:$D$1768,1,0)</f>
        <v>4160115102</v>
      </c>
      <c r="G532" s="1049"/>
      <c r="I532" s="1051">
        <v>86567302</v>
      </c>
    </row>
    <row r="533" spans="1:9" s="14" customFormat="1" ht="16.5" customHeight="1">
      <c r="A533" s="14" t="str">
        <f t="shared" si="57"/>
        <v>I</v>
      </c>
      <c r="B533" s="345">
        <v>4160115103</v>
      </c>
      <c r="C533" s="345" t="s">
        <v>355</v>
      </c>
      <c r="D533" s="347">
        <v>277588848</v>
      </c>
      <c r="E533" s="348">
        <v>38213.149999999994</v>
      </c>
      <c r="F533" s="1058">
        <f>+VLOOKUP(B533,Composición!$C$5:$D$1768,1,0)</f>
        <v>4160115103</v>
      </c>
      <c r="G533" s="1049">
        <f>+D533-F533</f>
        <v>-3882526255</v>
      </c>
      <c r="I533" s="1051">
        <v>1404238</v>
      </c>
    </row>
    <row r="534" spans="1:9" s="14" customFormat="1" ht="16.5" customHeight="1">
      <c r="A534" s="31" t="str">
        <f t="shared" si="57"/>
        <v>I</v>
      </c>
      <c r="B534" s="345">
        <v>4160115104</v>
      </c>
      <c r="C534" s="345" t="s">
        <v>356</v>
      </c>
      <c r="D534" s="347">
        <v>1531841</v>
      </c>
      <c r="E534" s="348">
        <v>209.67</v>
      </c>
      <c r="F534" s="1058">
        <f>+VLOOKUP(B534,Composición!$C$5:$D$1768,1,0)</f>
        <v>4160115104</v>
      </c>
      <c r="G534" s="1049"/>
      <c r="I534" s="1051">
        <v>279</v>
      </c>
    </row>
    <row r="535" spans="1:9" s="14" customFormat="1" ht="16.5" customHeight="1">
      <c r="A535" s="31" t="str">
        <f t="shared" si="57"/>
        <v>I</v>
      </c>
      <c r="B535" s="345">
        <v>4160115105</v>
      </c>
      <c r="C535" s="345" t="s">
        <v>357</v>
      </c>
      <c r="D535" s="347">
        <v>14647680</v>
      </c>
      <c r="E535" s="348">
        <v>2023.87</v>
      </c>
      <c r="F535" s="1058">
        <f>+VLOOKUP(B535,Composición!$C$5:$D$1768,1,0)</f>
        <v>4160115105</v>
      </c>
      <c r="G535" s="1049"/>
      <c r="I535" s="1051">
        <v>84432</v>
      </c>
    </row>
    <row r="536" spans="1:9" s="14" customFormat="1" ht="16.5" customHeight="1">
      <c r="A536" s="31" t="str">
        <f t="shared" si="57"/>
        <v>I</v>
      </c>
      <c r="B536" s="345">
        <v>4160115109</v>
      </c>
      <c r="C536" s="345" t="s">
        <v>358</v>
      </c>
      <c r="D536" s="347">
        <v>2899811</v>
      </c>
      <c r="E536" s="348">
        <v>396.76</v>
      </c>
      <c r="F536" s="1058">
        <f>+VLOOKUP(B536,Composición!$C$5:$D$1768,1,0)</f>
        <v>4160115109</v>
      </c>
      <c r="G536" s="1049"/>
      <c r="I536" s="1051">
        <v>10680</v>
      </c>
    </row>
    <row r="537" spans="1:9" s="14" customFormat="1" ht="16.5" customHeight="1">
      <c r="A537" s="31" t="str">
        <f t="shared" si="57"/>
        <v>NI</v>
      </c>
      <c r="B537" s="345">
        <v>41601152</v>
      </c>
      <c r="C537" s="345" t="s">
        <v>359</v>
      </c>
      <c r="D537" s="347">
        <v>13641939</v>
      </c>
      <c r="E537" s="348">
        <v>1868.59</v>
      </c>
      <c r="F537" s="1058">
        <f>+VLOOKUP(B537,Composición!$C$5:$D$1768,1,0)</f>
        <v>41601152</v>
      </c>
      <c r="G537" s="1049"/>
      <c r="I537" s="1051">
        <v>2361883</v>
      </c>
    </row>
    <row r="538" spans="1:9" s="14" customFormat="1" ht="16.5" customHeight="1">
      <c r="A538" s="31" t="str">
        <f t="shared" si="57"/>
        <v>I</v>
      </c>
      <c r="B538" s="345">
        <v>4160115201</v>
      </c>
      <c r="C538" s="345" t="s">
        <v>360</v>
      </c>
      <c r="D538" s="347">
        <v>6888452</v>
      </c>
      <c r="E538" s="348">
        <v>944.56</v>
      </c>
      <c r="F538" s="1058">
        <f>+VLOOKUP(B538,Composición!$C$5:$D$1768,1,0)</f>
        <v>4160115201</v>
      </c>
      <c r="G538" s="1049"/>
      <c r="I538" s="1051">
        <v>220716000</v>
      </c>
    </row>
    <row r="539" spans="1:9" s="14" customFormat="1" ht="16.5" customHeight="1">
      <c r="A539" s="14" t="str">
        <f t="shared" si="57"/>
        <v>I</v>
      </c>
      <c r="B539" s="345">
        <v>4160115202</v>
      </c>
      <c r="C539" s="345" t="s">
        <v>361</v>
      </c>
      <c r="D539" s="347">
        <v>6752001</v>
      </c>
      <c r="E539" s="348">
        <v>923.82999999999993</v>
      </c>
      <c r="F539" s="1058">
        <f>+VLOOKUP(B539,Composición!$C$5:$D$1768,1,0)</f>
        <v>4160115202</v>
      </c>
      <c r="G539" s="1049">
        <f t="shared" ref="G539:G608" si="59">+D539-F539</f>
        <v>-4153363201</v>
      </c>
      <c r="I539" s="1051">
        <v>2855575</v>
      </c>
    </row>
    <row r="540" spans="1:9" s="14" customFormat="1" ht="16.5" customHeight="1">
      <c r="A540" s="14" t="str">
        <f t="shared" si="57"/>
        <v>I</v>
      </c>
      <c r="B540" s="345">
        <v>4160115203</v>
      </c>
      <c r="C540" s="345" t="s">
        <v>362</v>
      </c>
      <c r="D540" s="347">
        <v>1486</v>
      </c>
      <c r="E540" s="348">
        <v>0.2</v>
      </c>
      <c r="F540" s="1058">
        <f>+VLOOKUP(B540,Composición!$C$5:$D$1768,1,0)</f>
        <v>4160115203</v>
      </c>
      <c r="G540" s="1049">
        <f t="shared" si="59"/>
        <v>-4160113717</v>
      </c>
      <c r="I540" s="1051">
        <v>961952</v>
      </c>
    </row>
    <row r="541" spans="1:9" s="14" customFormat="1" ht="16.5" customHeight="1">
      <c r="A541" s="31" t="str">
        <f t="shared" si="57"/>
        <v>NI</v>
      </c>
      <c r="B541" s="345">
        <v>41601153</v>
      </c>
      <c r="C541" s="345" t="s">
        <v>363</v>
      </c>
      <c r="D541" s="347">
        <v>150208710</v>
      </c>
      <c r="E541" s="348">
        <v>20689.169999999998</v>
      </c>
      <c r="F541" s="1058">
        <f>+VLOOKUP(B541,Composición!$C$5:$D$1768,1,0)</f>
        <v>41601153</v>
      </c>
      <c r="G541" s="1049"/>
      <c r="I541" s="1051">
        <v>535037</v>
      </c>
    </row>
    <row r="542" spans="1:9" s="14" customFormat="1" ht="16.5" customHeight="1">
      <c r="A542" s="31" t="str">
        <f t="shared" si="57"/>
        <v>I</v>
      </c>
      <c r="B542" s="345">
        <v>4160115301</v>
      </c>
      <c r="C542" s="345" t="s">
        <v>364</v>
      </c>
      <c r="D542" s="347">
        <v>94007166</v>
      </c>
      <c r="E542" s="348">
        <v>12929.17</v>
      </c>
      <c r="F542" s="1058">
        <f>+VLOOKUP(B542,Composición!$C$5:$D$1768,1,0)</f>
        <v>4160115301</v>
      </c>
      <c r="G542" s="1049"/>
      <c r="I542" s="1051">
        <v>59433596</v>
      </c>
    </row>
    <row r="543" spans="1:9" s="14" customFormat="1" ht="16.5" customHeight="1">
      <c r="A543" s="31" t="str">
        <f t="shared" si="57"/>
        <v>I</v>
      </c>
      <c r="B543" s="345">
        <v>4160115302</v>
      </c>
      <c r="C543" s="345" t="s">
        <v>365</v>
      </c>
      <c r="D543" s="347">
        <v>56201544</v>
      </c>
      <c r="E543" s="348">
        <v>7760</v>
      </c>
      <c r="F543" s="1058">
        <f>+VLOOKUP(B543,Composición!$C$5:$D$1768,1,0)</f>
        <v>4160115302</v>
      </c>
      <c r="G543" s="1049"/>
      <c r="I543" s="1051">
        <v>7568495</v>
      </c>
    </row>
    <row r="544" spans="1:9" s="14" customFormat="1" ht="16.5" customHeight="1">
      <c r="A544" s="31" t="str">
        <f t="shared" si="57"/>
        <v>NI</v>
      </c>
      <c r="B544" s="350">
        <v>4160116</v>
      </c>
      <c r="C544" s="350" t="s">
        <v>366</v>
      </c>
      <c r="D544" s="340">
        <v>85922522</v>
      </c>
      <c r="E544" s="341">
        <v>11828.980000000001</v>
      </c>
      <c r="F544" s="1058">
        <f>+VLOOKUP(B544,Composición!$C$5:$D$1768,1,0)</f>
        <v>4160116</v>
      </c>
      <c r="G544" s="1049"/>
      <c r="I544" s="1051">
        <v>435141579</v>
      </c>
    </row>
    <row r="545" spans="1:9" s="14" customFormat="1" ht="16.5" customHeight="1">
      <c r="A545" s="31" t="str">
        <f t="shared" si="57"/>
        <v>NI</v>
      </c>
      <c r="B545" s="350">
        <v>41601161</v>
      </c>
      <c r="C545" s="350" t="s">
        <v>367</v>
      </c>
      <c r="D545" s="340">
        <v>83030564</v>
      </c>
      <c r="E545" s="341">
        <v>11432.660000000002</v>
      </c>
      <c r="F545" s="1058">
        <f>+VLOOKUP(B545,Composición!$C$5:$D$1768,1,0)</f>
        <v>41601161</v>
      </c>
      <c r="G545" s="1049"/>
      <c r="I545" s="1051">
        <v>22356827</v>
      </c>
    </row>
    <row r="546" spans="1:9" s="14" customFormat="1" ht="16.5" customHeight="1">
      <c r="A546" s="31" t="str">
        <f t="shared" si="57"/>
        <v>I</v>
      </c>
      <c r="B546" s="777">
        <v>4160116101</v>
      </c>
      <c r="C546" s="777" t="s">
        <v>368</v>
      </c>
      <c r="D546" s="778">
        <v>2220142</v>
      </c>
      <c r="E546" s="779">
        <v>305.08999999999997</v>
      </c>
      <c r="F546" s="1058">
        <f>+VLOOKUP(B546,Composición!$C$5:$D$1768,1,0)</f>
        <v>4160116101</v>
      </c>
      <c r="G546" s="1049"/>
      <c r="I546" s="1051">
        <v>2698045</v>
      </c>
    </row>
    <row r="547" spans="1:9" s="14" customFormat="1" ht="16.5" customHeight="1">
      <c r="A547" s="14" t="str">
        <f t="shared" si="57"/>
        <v>I</v>
      </c>
      <c r="B547" s="345">
        <v>4160116102</v>
      </c>
      <c r="C547" s="345" t="s">
        <v>369</v>
      </c>
      <c r="D547" s="347">
        <v>1500645</v>
      </c>
      <c r="E547" s="348">
        <v>206.70000000000005</v>
      </c>
      <c r="F547" s="1058">
        <f>+VLOOKUP(B547,Composición!$C$5:$D$1768,1,0)</f>
        <v>4160116102</v>
      </c>
      <c r="G547" s="1049">
        <f t="shared" si="59"/>
        <v>-4158615457</v>
      </c>
      <c r="I547" s="1051">
        <v>418182</v>
      </c>
    </row>
    <row r="548" spans="1:9" s="14" customFormat="1" ht="16.5" customHeight="1">
      <c r="A548" s="14" t="str">
        <f t="shared" si="57"/>
        <v>I</v>
      </c>
      <c r="B548" s="345">
        <v>4160116103</v>
      </c>
      <c r="C548" s="345" t="s">
        <v>370</v>
      </c>
      <c r="D548" s="347">
        <v>74656840</v>
      </c>
      <c r="E548" s="348">
        <v>10279.149999999998</v>
      </c>
      <c r="F548" s="1058">
        <f>+VLOOKUP(B548,Composición!$C$5:$D$1768,1,0)</f>
        <v>4160116103</v>
      </c>
      <c r="G548" s="1049">
        <f t="shared" si="59"/>
        <v>-4085459263</v>
      </c>
      <c r="I548" s="1051">
        <v>661794516</v>
      </c>
    </row>
    <row r="549" spans="1:9" s="14" customFormat="1" ht="16.5" customHeight="1">
      <c r="A549" s="14" t="str">
        <f t="shared" si="57"/>
        <v>I</v>
      </c>
      <c r="B549" s="350">
        <v>4160116104</v>
      </c>
      <c r="C549" s="350" t="s">
        <v>371</v>
      </c>
      <c r="D549" s="340">
        <v>382960</v>
      </c>
      <c r="E549" s="341">
        <v>52.42</v>
      </c>
      <c r="F549" s="1058">
        <f>+VLOOKUP(B549,Composición!$C$5:$D$1768,1,0)</f>
        <v>4160116104</v>
      </c>
      <c r="G549" s="1049">
        <f t="shared" si="59"/>
        <v>-4159733144</v>
      </c>
      <c r="I549" s="1051">
        <v>24145023</v>
      </c>
    </row>
    <row r="550" spans="1:9" s="14" customFormat="1" ht="16.5" customHeight="1">
      <c r="A550" s="14" t="str">
        <f t="shared" si="57"/>
        <v>I</v>
      </c>
      <c r="B550" s="345">
        <v>4160116105</v>
      </c>
      <c r="C550" s="345" t="s">
        <v>372</v>
      </c>
      <c r="D550" s="347">
        <v>3661920</v>
      </c>
      <c r="E550" s="348">
        <v>505.97</v>
      </c>
      <c r="F550" s="1058">
        <f>+VLOOKUP(B550,Composición!$C$5:$D$1768,1,0)</f>
        <v>4160116105</v>
      </c>
      <c r="G550" s="1049">
        <f t="shared" si="59"/>
        <v>-4156454185</v>
      </c>
      <c r="I550" s="1051">
        <v>96714332</v>
      </c>
    </row>
    <row r="551" spans="1:9" s="14" customFormat="1" ht="16.5" customHeight="1">
      <c r="A551" s="14" t="str">
        <f t="shared" si="57"/>
        <v>I</v>
      </c>
      <c r="B551" s="350">
        <v>4160116109</v>
      </c>
      <c r="C551" s="350" t="s">
        <v>373</v>
      </c>
      <c r="D551" s="340">
        <v>608057</v>
      </c>
      <c r="E551" s="341">
        <v>83.33</v>
      </c>
      <c r="F551" s="1058">
        <f>+VLOOKUP(B551,Composición!$C$5:$D$1768,1,0)</f>
        <v>4160116109</v>
      </c>
      <c r="G551" s="1049">
        <f t="shared" si="59"/>
        <v>-4159508052</v>
      </c>
      <c r="I551" s="1051">
        <v>37091705</v>
      </c>
    </row>
    <row r="552" spans="1:9" s="14" customFormat="1" ht="16.5" customHeight="1">
      <c r="A552" s="14" t="str">
        <f t="shared" si="57"/>
        <v>NI</v>
      </c>
      <c r="B552" s="350">
        <v>41601162</v>
      </c>
      <c r="C552" s="350" t="s">
        <v>374</v>
      </c>
      <c r="D552" s="340">
        <v>2891958</v>
      </c>
      <c r="E552" s="341">
        <v>396.32</v>
      </c>
      <c r="F552" s="1058">
        <f>+VLOOKUP(B552,Composición!$C$5:$D$1768,1,0)</f>
        <v>41601162</v>
      </c>
      <c r="G552" s="1049">
        <f t="shared" si="59"/>
        <v>-38709204</v>
      </c>
      <c r="I552" s="1051"/>
    </row>
    <row r="553" spans="1:9" s="14" customFormat="1" ht="16.5" customHeight="1">
      <c r="A553" s="31"/>
      <c r="B553" s="350">
        <v>4160116201</v>
      </c>
      <c r="C553" s="350" t="s">
        <v>375</v>
      </c>
      <c r="D553" s="340">
        <v>1570925</v>
      </c>
      <c r="E553" s="341">
        <v>215.38</v>
      </c>
      <c r="F553" s="1058">
        <f>+VLOOKUP(B553,Composición!$C$5:$D$1768,1,0)</f>
        <v>4160116201</v>
      </c>
      <c r="G553" s="1049"/>
      <c r="I553" s="1051"/>
    </row>
    <row r="554" spans="1:9" s="14" customFormat="1" ht="16.5" customHeight="1">
      <c r="A554" s="31" t="str">
        <f t="shared" si="57"/>
        <v>I</v>
      </c>
      <c r="B554" s="350">
        <v>4160116202</v>
      </c>
      <c r="C554" s="350" t="s">
        <v>376</v>
      </c>
      <c r="D554" s="340">
        <v>1320660</v>
      </c>
      <c r="E554" s="341">
        <v>180.89</v>
      </c>
      <c r="F554" s="1058">
        <f>+VLOOKUP(B554,Composición!$C$5:$D$1768,1,0)</f>
        <v>4160116202</v>
      </c>
      <c r="G554" s="1049"/>
      <c r="I554" s="1051">
        <v>2078334</v>
      </c>
    </row>
    <row r="555" spans="1:9" s="14" customFormat="1" ht="16.5" customHeight="1">
      <c r="A555" s="31" t="str">
        <f t="shared" si="57"/>
        <v>I</v>
      </c>
      <c r="B555" s="345">
        <v>4160116203</v>
      </c>
      <c r="C555" s="345" t="s">
        <v>377</v>
      </c>
      <c r="D555" s="347">
        <v>373</v>
      </c>
      <c r="E555" s="348">
        <v>0.05</v>
      </c>
      <c r="F555" s="1058">
        <f>+VLOOKUP(B555,Composición!$C$5:$D$1768,1,0)</f>
        <v>4160116203</v>
      </c>
      <c r="G555" s="1049"/>
      <c r="I555" s="1051">
        <v>218070859</v>
      </c>
    </row>
    <row r="556" spans="1:9" s="14" customFormat="1" ht="16.5" customHeight="1">
      <c r="A556" s="31" t="str">
        <f t="shared" si="57"/>
        <v>NI</v>
      </c>
      <c r="B556" s="345">
        <v>4160117</v>
      </c>
      <c r="C556" s="345" t="s">
        <v>378</v>
      </c>
      <c r="D556" s="347">
        <v>534061600</v>
      </c>
      <c r="E556" s="348">
        <v>7742.68</v>
      </c>
      <c r="F556" s="1058">
        <f>+VLOOKUP(B556,Composición!$C$5:$D$1768,1,0)</f>
        <v>4160117</v>
      </c>
      <c r="G556" s="1049"/>
      <c r="I556" s="1051">
        <v>155000000</v>
      </c>
    </row>
    <row r="557" spans="1:9" s="14" customFormat="1" ht="16.5" customHeight="1">
      <c r="A557" s="31" t="str">
        <f t="shared" ref="A557:A572" si="60">IF(LEN(B557)&gt;8,"I","NI")</f>
        <v>NI</v>
      </c>
      <c r="B557" s="345">
        <v>41601171</v>
      </c>
      <c r="C557" s="345" t="s">
        <v>378</v>
      </c>
      <c r="D557" s="347">
        <v>534061600</v>
      </c>
      <c r="E557" s="348">
        <v>7742.68</v>
      </c>
      <c r="F557" s="1058">
        <f>+VLOOKUP(B557,Composición!$C$5:$D$1768,1,0)</f>
        <v>41601171</v>
      </c>
      <c r="G557" s="1049"/>
      <c r="I557" s="1051">
        <v>37636364</v>
      </c>
    </row>
    <row r="558" spans="1:9" s="14" customFormat="1" ht="16.5" customHeight="1">
      <c r="A558" s="31" t="str">
        <f t="shared" si="60"/>
        <v>I</v>
      </c>
      <c r="B558" s="345">
        <v>4160117101</v>
      </c>
      <c r="C558" s="345" t="s">
        <v>379</v>
      </c>
      <c r="D558" s="347">
        <v>86982290</v>
      </c>
      <c r="E558" s="348">
        <v>1355.98</v>
      </c>
      <c r="F558" s="1058">
        <f>+VLOOKUP(B558,Composición!$C$5:$D$1768,1,0)</f>
        <v>4160117101</v>
      </c>
      <c r="G558" s="1049"/>
      <c r="I558" s="1051">
        <v>2763636</v>
      </c>
    </row>
    <row r="559" spans="1:9" s="14" customFormat="1" ht="16.5" customHeight="1">
      <c r="A559" s="31" t="str">
        <f t="shared" si="60"/>
        <v>I</v>
      </c>
      <c r="B559" s="345">
        <v>4160117102</v>
      </c>
      <c r="C559" s="345" t="s">
        <v>380</v>
      </c>
      <c r="D559" s="347">
        <v>447079310</v>
      </c>
      <c r="E559" s="348">
        <v>6386.7000000000016</v>
      </c>
      <c r="F559" s="1058">
        <f>+VLOOKUP(B559,Composición!$C$5:$D$1768,1,0)</f>
        <v>4160117102</v>
      </c>
      <c r="G559" s="1049"/>
      <c r="I559" s="1051">
        <v>212336</v>
      </c>
    </row>
    <row r="560" spans="1:9" s="14" customFormat="1" ht="16.5" customHeight="1">
      <c r="A560" s="31" t="str">
        <f t="shared" si="60"/>
        <v>NI</v>
      </c>
      <c r="B560" s="345">
        <v>42</v>
      </c>
      <c r="C560" s="345" t="s">
        <v>381</v>
      </c>
      <c r="D560" s="347">
        <v>9431070608</v>
      </c>
      <c r="E560" s="348">
        <v>2326153.8084999998</v>
      </c>
      <c r="F560" s="1058">
        <f>+VLOOKUP(B560,Composición!$C$5:$D$1768,1,0)</f>
        <v>42</v>
      </c>
      <c r="G560" s="1049"/>
      <c r="I560" s="1051">
        <v>44240000</v>
      </c>
    </row>
    <row r="561" spans="1:9" s="14" customFormat="1" ht="16.5" customHeight="1">
      <c r="A561" s="14" t="str">
        <f t="shared" si="60"/>
        <v>NI</v>
      </c>
      <c r="B561" s="350">
        <v>421</v>
      </c>
      <c r="C561" s="350" t="s">
        <v>382</v>
      </c>
      <c r="D561" s="340">
        <v>38139644</v>
      </c>
      <c r="E561" s="341">
        <v>5164.97</v>
      </c>
      <c r="F561" s="1058">
        <f>+VLOOKUP(B561,Composición!$C$5:$D$1768,1,0)</f>
        <v>421</v>
      </c>
      <c r="G561" s="1049">
        <f>+D561-F561</f>
        <v>38139223</v>
      </c>
      <c r="I561" s="1051">
        <v>92314696</v>
      </c>
    </row>
    <row r="562" spans="1:9" s="14" customFormat="1" ht="16.5" customHeight="1">
      <c r="A562" s="31" t="str">
        <f t="shared" si="60"/>
        <v>NI</v>
      </c>
      <c r="B562" s="350">
        <v>42101</v>
      </c>
      <c r="C562" s="350" t="s">
        <v>382</v>
      </c>
      <c r="D562" s="340">
        <v>38139644</v>
      </c>
      <c r="E562" s="341">
        <v>5164.97</v>
      </c>
      <c r="F562" s="1058">
        <f>+VLOOKUP(B562,Composición!$C$5:$D$1768,1,0)</f>
        <v>42101</v>
      </c>
      <c r="G562" s="1049"/>
      <c r="I562" s="1051">
        <v>180000000</v>
      </c>
    </row>
    <row r="563" spans="1:9" s="14" customFormat="1" ht="16.5" customHeight="1">
      <c r="A563" s="31" t="str">
        <f t="shared" si="60"/>
        <v>NI</v>
      </c>
      <c r="B563" s="350">
        <v>421011</v>
      </c>
      <c r="C563" s="350" t="s">
        <v>382</v>
      </c>
      <c r="D563" s="340">
        <v>38139644</v>
      </c>
      <c r="E563" s="341">
        <v>5164.97</v>
      </c>
      <c r="F563" s="1058">
        <f>+VLOOKUP(B563,Composición!$C$5:$D$1768,1,0)</f>
        <v>421011</v>
      </c>
      <c r="G563" s="1049"/>
      <c r="I563" s="1051">
        <v>15000000</v>
      </c>
    </row>
    <row r="564" spans="1:9" s="14" customFormat="1" ht="16.5" customHeight="1">
      <c r="A564" s="31" t="str">
        <f t="shared" si="60"/>
        <v>NI</v>
      </c>
      <c r="B564" s="345">
        <v>4210111</v>
      </c>
      <c r="C564" s="345" t="s">
        <v>382</v>
      </c>
      <c r="D564" s="347">
        <v>38139644</v>
      </c>
      <c r="E564" s="348">
        <v>5164.97</v>
      </c>
      <c r="F564" s="1058">
        <f>+VLOOKUP(B564,Composición!$C$5:$D$1768,1,0)</f>
        <v>4210111</v>
      </c>
      <c r="G564" s="1049"/>
      <c r="I564" s="1051">
        <v>71023933</v>
      </c>
    </row>
    <row r="565" spans="1:9" s="14" customFormat="1" ht="16.5" customHeight="1">
      <c r="A565" s="31" t="str">
        <f t="shared" si="60"/>
        <v>NI</v>
      </c>
      <c r="B565" s="345">
        <v>42101111</v>
      </c>
      <c r="C565" s="345" t="s">
        <v>383</v>
      </c>
      <c r="D565" s="347">
        <v>38139644</v>
      </c>
      <c r="E565" s="348">
        <v>5164.97</v>
      </c>
      <c r="F565" s="1058">
        <f>+VLOOKUP(B565,Composición!$C$5:$D$1768,1,0)</f>
        <v>42101111</v>
      </c>
      <c r="G565" s="1049"/>
      <c r="I565" s="1051">
        <v>40652316</v>
      </c>
    </row>
    <row r="566" spans="1:9" s="14" customFormat="1" ht="16.5" customHeight="1">
      <c r="A566" s="14" t="str">
        <f t="shared" si="60"/>
        <v>I</v>
      </c>
      <c r="B566" s="345">
        <v>4210111101</v>
      </c>
      <c r="C566" s="345" t="s">
        <v>383</v>
      </c>
      <c r="D566" s="347">
        <v>38139644</v>
      </c>
      <c r="E566" s="348">
        <v>5164.97</v>
      </c>
      <c r="F566" s="1058">
        <f>+VLOOKUP(B566,Composición!$C$5:$D$1768,1,0)</f>
        <v>4210111101</v>
      </c>
      <c r="G566" s="1049">
        <f t="shared" ref="G566:G567" si="61">+D566-F566</f>
        <v>-4171971457</v>
      </c>
      <c r="I566" s="1051">
        <v>43628180</v>
      </c>
    </row>
    <row r="567" spans="1:9" s="14" customFormat="1" ht="16.5" customHeight="1">
      <c r="A567" s="14" t="str">
        <f t="shared" si="60"/>
        <v>NI</v>
      </c>
      <c r="B567" s="345">
        <v>422</v>
      </c>
      <c r="C567" s="345" t="s">
        <v>384</v>
      </c>
      <c r="D567" s="347">
        <v>9392930964</v>
      </c>
      <c r="E567" s="348">
        <v>2320988.8385000001</v>
      </c>
      <c r="F567" s="1058">
        <f>+VLOOKUP(B567,Composición!$C$5:$D$1768,1,0)</f>
        <v>422</v>
      </c>
      <c r="G567" s="1049">
        <f t="shared" si="61"/>
        <v>9392930542</v>
      </c>
      <c r="I567" s="1051">
        <v>84790644</v>
      </c>
    </row>
    <row r="568" spans="1:9" s="14" customFormat="1" ht="16.5" customHeight="1">
      <c r="A568" s="31" t="str">
        <f t="shared" si="60"/>
        <v>NI</v>
      </c>
      <c r="B568" s="345">
        <v>42201</v>
      </c>
      <c r="C568" s="345" t="s">
        <v>384</v>
      </c>
      <c r="D568" s="347">
        <v>9392930964</v>
      </c>
      <c r="E568" s="348">
        <v>2320988.8385000001</v>
      </c>
      <c r="F568" s="1058">
        <f>+VLOOKUP(B568,Composición!$C$5:$D$1768,1,0)</f>
        <v>42201</v>
      </c>
      <c r="G568" s="1049"/>
      <c r="I568" s="1051">
        <v>344292270</v>
      </c>
    </row>
    <row r="569" spans="1:9" s="14" customFormat="1" ht="16.5" customHeight="1">
      <c r="A569" s="14" t="str">
        <f t="shared" si="60"/>
        <v>NI</v>
      </c>
      <c r="B569" s="345">
        <v>422011</v>
      </c>
      <c r="C569" s="345" t="s">
        <v>384</v>
      </c>
      <c r="D569" s="347">
        <v>9392930964</v>
      </c>
      <c r="E569" s="348">
        <v>2320988.8385000001</v>
      </c>
      <c r="F569" s="1058">
        <f>+VLOOKUP(B569,Composición!$C$5:$D$1768,1,0)</f>
        <v>422011</v>
      </c>
      <c r="G569" s="1049">
        <f t="shared" ref="G569:G570" si="62">+D569-F569</f>
        <v>9392508953</v>
      </c>
      <c r="I569" s="1051">
        <v>90393126</v>
      </c>
    </row>
    <row r="570" spans="1:9" s="14" customFormat="1" ht="16.5" customHeight="1">
      <c r="A570" s="14" t="str">
        <f t="shared" si="60"/>
        <v>NI</v>
      </c>
      <c r="B570" s="345">
        <v>4220111</v>
      </c>
      <c r="C570" s="345" t="s">
        <v>384</v>
      </c>
      <c r="D570" s="347">
        <v>9392930964</v>
      </c>
      <c r="E570" s="348">
        <v>2320988.8385000001</v>
      </c>
      <c r="F570" s="1058">
        <f>+VLOOKUP(B570,Composición!$C$5:$D$1768,1,0)</f>
        <v>4220111</v>
      </c>
      <c r="G570" s="1049">
        <f t="shared" si="62"/>
        <v>9388710853</v>
      </c>
      <c r="I570" s="1051">
        <v>138334698</v>
      </c>
    </row>
    <row r="571" spans="1:9" s="14" customFormat="1" ht="16.5" customHeight="1">
      <c r="A571" s="31" t="str">
        <f t="shared" si="60"/>
        <v>NI</v>
      </c>
      <c r="B571" s="345">
        <v>42201111</v>
      </c>
      <c r="C571" s="345" t="s">
        <v>384</v>
      </c>
      <c r="D571" s="347">
        <v>9392930964</v>
      </c>
      <c r="E571" s="348">
        <v>2320988.8385000001</v>
      </c>
      <c r="F571" s="1058">
        <f>+VLOOKUP(B571,Composición!$C$5:$D$1768,1,0)</f>
        <v>42201111</v>
      </c>
      <c r="G571" s="1049"/>
      <c r="I571" s="1051">
        <v>185057499</v>
      </c>
    </row>
    <row r="572" spans="1:9" s="14" customFormat="1" ht="16.5" customHeight="1">
      <c r="A572" s="31" t="str">
        <f t="shared" si="60"/>
        <v>I</v>
      </c>
      <c r="B572" s="345">
        <v>4220111101</v>
      </c>
      <c r="C572" s="345" t="s">
        <v>385</v>
      </c>
      <c r="D572" s="347">
        <v>6135016088</v>
      </c>
      <c r="E572" s="348">
        <v>1641790.6109</v>
      </c>
      <c r="F572" s="1058">
        <f>+VLOOKUP(B572,Composición!$C$5:$D$1768,1,0)</f>
        <v>4220111101</v>
      </c>
      <c r="G572" s="1049"/>
      <c r="I572" s="1051">
        <v>1848190</v>
      </c>
    </row>
    <row r="573" spans="1:9" s="14" customFormat="1" ht="16.5" customHeight="1">
      <c r="A573" s="31" t="str">
        <f t="shared" si="57"/>
        <v>I</v>
      </c>
      <c r="B573" s="345">
        <v>4220111102</v>
      </c>
      <c r="C573" s="345" t="s">
        <v>386</v>
      </c>
      <c r="D573" s="347">
        <v>3257914876</v>
      </c>
      <c r="E573" s="348">
        <v>679198.22759999998</v>
      </c>
      <c r="F573" s="1058">
        <f>+VLOOKUP(B573,Composición!$C$5:$D$1768,1,0)</f>
        <v>4220111102</v>
      </c>
      <c r="G573" s="1049"/>
      <c r="I573" s="1051">
        <v>37636364</v>
      </c>
    </row>
    <row r="574" spans="1:9" s="14" customFormat="1" ht="16.5" customHeight="1">
      <c r="A574" s="31" t="str">
        <f t="shared" si="57"/>
        <v>NI</v>
      </c>
      <c r="B574" s="345">
        <v>48</v>
      </c>
      <c r="C574" s="345" t="s">
        <v>387</v>
      </c>
      <c r="D574" s="347">
        <v>361552716</v>
      </c>
      <c r="E574" s="348">
        <v>49872.03</v>
      </c>
      <c r="F574" s="1058">
        <f>+VLOOKUP(B574,Composición!$C$5:$D$1768,1,0)</f>
        <v>48</v>
      </c>
      <c r="G574" s="1049"/>
      <c r="I574" s="1051">
        <v>2763636</v>
      </c>
    </row>
    <row r="575" spans="1:9" s="14" customFormat="1" ht="16.5" customHeight="1">
      <c r="A575" s="31" t="str">
        <f t="shared" si="57"/>
        <v>NI</v>
      </c>
      <c r="B575" s="345">
        <v>481</v>
      </c>
      <c r="C575" s="345" t="s">
        <v>388</v>
      </c>
      <c r="D575" s="347">
        <v>361552716</v>
      </c>
      <c r="E575" s="348">
        <v>49872.03</v>
      </c>
      <c r="F575" s="1058">
        <f>+VLOOKUP(B575,Composición!$C$5:$D$1768,1,0)</f>
        <v>481</v>
      </c>
      <c r="G575" s="1049"/>
      <c r="I575" s="1051">
        <v>212336</v>
      </c>
    </row>
    <row r="576" spans="1:9" s="14" customFormat="1" ht="16.5" customHeight="1">
      <c r="A576" s="31" t="str">
        <f t="shared" si="57"/>
        <v>NI</v>
      </c>
      <c r="B576" s="345">
        <v>48101</v>
      </c>
      <c r="C576" s="345" t="s">
        <v>388</v>
      </c>
      <c r="D576" s="347">
        <v>361552716</v>
      </c>
      <c r="E576" s="348">
        <v>49872.03</v>
      </c>
      <c r="F576" s="1058">
        <f>+VLOOKUP(B576,Composición!$C$5:$D$1768,1,0)</f>
        <v>48101</v>
      </c>
      <c r="G576" s="1049"/>
      <c r="I576" s="1051">
        <v>44240000</v>
      </c>
    </row>
    <row r="577" spans="1:9" s="14" customFormat="1" ht="16.5" customHeight="1">
      <c r="A577" s="14" t="str">
        <f t="shared" si="57"/>
        <v>NI</v>
      </c>
      <c r="B577" s="350">
        <v>481011</v>
      </c>
      <c r="C577" s="350" t="s">
        <v>388</v>
      </c>
      <c r="D577" s="340">
        <v>361552716</v>
      </c>
      <c r="E577" s="341">
        <v>49872.03</v>
      </c>
      <c r="F577" s="1058">
        <f>+VLOOKUP(B577,Composición!$C$5:$D$1768,1,0)</f>
        <v>481011</v>
      </c>
      <c r="G577" s="1049">
        <f>+D577-F577</f>
        <v>361071705</v>
      </c>
      <c r="I577" s="1051">
        <v>92314696</v>
      </c>
    </row>
    <row r="578" spans="1:9" s="14" customFormat="1" ht="16.5" customHeight="1">
      <c r="A578" s="31" t="str">
        <f t="shared" si="57"/>
        <v>NI</v>
      </c>
      <c r="B578" s="350">
        <v>4810111</v>
      </c>
      <c r="C578" s="350" t="s">
        <v>388</v>
      </c>
      <c r="D578" s="340">
        <v>361552716</v>
      </c>
      <c r="E578" s="341">
        <v>49872.03</v>
      </c>
      <c r="F578" s="1058">
        <f>+VLOOKUP(B578,Composición!$C$5:$D$1768,1,0)</f>
        <v>4810111</v>
      </c>
      <c r="G578" s="1049"/>
      <c r="I578" s="1051">
        <v>180000000</v>
      </c>
    </row>
    <row r="579" spans="1:9" s="14" customFormat="1" ht="16.5" customHeight="1">
      <c r="A579" s="31" t="str">
        <f t="shared" si="57"/>
        <v>NI</v>
      </c>
      <c r="B579" s="350">
        <v>48101111</v>
      </c>
      <c r="C579" s="350" t="s">
        <v>388</v>
      </c>
      <c r="D579" s="340">
        <v>361552716</v>
      </c>
      <c r="E579" s="341">
        <v>49872.03</v>
      </c>
      <c r="F579" s="1058">
        <f>+VLOOKUP(B579,Composición!$C$5:$D$1768,1,0)</f>
        <v>48101111</v>
      </c>
      <c r="G579" s="1049"/>
      <c r="I579" s="1051">
        <v>15000000</v>
      </c>
    </row>
    <row r="580" spans="1:9" s="14" customFormat="1" ht="16.5" customHeight="1">
      <c r="A580" s="31" t="str">
        <f t="shared" si="57"/>
        <v>I</v>
      </c>
      <c r="B580" s="345">
        <v>4810111101</v>
      </c>
      <c r="C580" s="345" t="s">
        <v>389</v>
      </c>
      <c r="D580" s="347">
        <v>101400</v>
      </c>
      <c r="E580" s="348">
        <v>13.73</v>
      </c>
      <c r="F580" s="1058">
        <f>+VLOOKUP(B580,Composición!$C$5:$D$1768,1,0)</f>
        <v>4810111101</v>
      </c>
      <c r="G580" s="1049"/>
      <c r="I580" s="1051">
        <v>71023933</v>
      </c>
    </row>
    <row r="581" spans="1:9" s="14" customFormat="1" ht="16.5" customHeight="1">
      <c r="A581" s="31" t="str">
        <f t="shared" si="57"/>
        <v>I</v>
      </c>
      <c r="B581" s="345">
        <v>4810111102</v>
      </c>
      <c r="C581" s="345" t="s">
        <v>390</v>
      </c>
      <c r="D581" s="347">
        <v>878379</v>
      </c>
      <c r="E581" s="348">
        <v>126.3</v>
      </c>
      <c r="F581" s="1058">
        <f>+VLOOKUP(B581,Composición!$C$5:$D$1768,1,0)</f>
        <v>4810111102</v>
      </c>
      <c r="G581" s="1049"/>
      <c r="I581" s="1051">
        <v>40652316</v>
      </c>
    </row>
    <row r="582" spans="1:9" s="14" customFormat="1" ht="16.5" customHeight="1">
      <c r="A582" s="14" t="str">
        <f t="shared" si="57"/>
        <v>I</v>
      </c>
      <c r="B582" s="345">
        <v>4810111103</v>
      </c>
      <c r="C582" s="345" t="s">
        <v>391</v>
      </c>
      <c r="D582" s="347">
        <v>56695647</v>
      </c>
      <c r="E582" s="348">
        <v>7823.130000000001</v>
      </c>
      <c r="F582" s="1058">
        <f>+VLOOKUP(B582,Composición!$C$5:$D$1768,1,0)</f>
        <v>4810111103</v>
      </c>
      <c r="G582" s="1049">
        <f t="shared" si="59"/>
        <v>-4753415456</v>
      </c>
      <c r="I582" s="1051">
        <v>43628180</v>
      </c>
    </row>
    <row r="583" spans="1:9" s="14" customFormat="1" ht="16.5" customHeight="1">
      <c r="A583" s="14" t="str">
        <f t="shared" si="57"/>
        <v>I</v>
      </c>
      <c r="B583" s="345">
        <v>4810111105</v>
      </c>
      <c r="C583" s="345" t="s">
        <v>392</v>
      </c>
      <c r="D583" s="347">
        <v>5400000</v>
      </c>
      <c r="E583" s="348">
        <v>743.67000000000007</v>
      </c>
      <c r="F583" s="1058">
        <f>+VLOOKUP(B583,Composición!$C$5:$D$1768,1,0)</f>
        <v>4810111105</v>
      </c>
      <c r="G583" s="1049">
        <f t="shared" si="59"/>
        <v>-4804711105</v>
      </c>
      <c r="I583" s="1051">
        <v>84790644</v>
      </c>
    </row>
    <row r="584" spans="1:9" s="14" customFormat="1" ht="16.5" customHeight="1">
      <c r="A584" s="31" t="str">
        <f t="shared" si="57"/>
        <v>I</v>
      </c>
      <c r="B584" s="345">
        <v>4810111106</v>
      </c>
      <c r="C584" s="345" t="s">
        <v>393</v>
      </c>
      <c r="D584" s="347">
        <v>149304120</v>
      </c>
      <c r="E584" s="348">
        <v>20555.730000000003</v>
      </c>
      <c r="F584" s="1058">
        <f>+VLOOKUP(B584,Composición!$C$5:$D$1768,1,0)</f>
        <v>4810111106</v>
      </c>
      <c r="G584" s="1049"/>
      <c r="I584" s="1051">
        <v>344292270</v>
      </c>
    </row>
    <row r="585" spans="1:9" s="14" customFormat="1" ht="16.5" customHeight="1">
      <c r="A585" s="14" t="str">
        <f t="shared" si="57"/>
        <v>I</v>
      </c>
      <c r="B585" s="345">
        <v>4810111107</v>
      </c>
      <c r="C585" s="345" t="s">
        <v>394</v>
      </c>
      <c r="D585" s="347">
        <v>149173170</v>
      </c>
      <c r="E585" s="348">
        <v>20609.47</v>
      </c>
      <c r="F585" s="1058">
        <f>+VLOOKUP(B585,Composición!$C$5:$D$1768,1,0)</f>
        <v>4810111107</v>
      </c>
      <c r="G585" s="1049">
        <f t="shared" si="59"/>
        <v>-4660937937</v>
      </c>
      <c r="I585" s="1051">
        <v>90393126</v>
      </c>
    </row>
    <row r="586" spans="1:9" s="14" customFormat="1" ht="16.5" customHeight="1">
      <c r="A586" s="31" t="str">
        <f t="shared" si="57"/>
        <v>NI</v>
      </c>
      <c r="B586" s="345"/>
      <c r="C586" s="345"/>
      <c r="D586" s="347"/>
      <c r="E586" s="348"/>
      <c r="F586" s="1058"/>
      <c r="G586" s="1049"/>
      <c r="I586" s="1051">
        <v>87075420</v>
      </c>
    </row>
    <row r="587" spans="1:9" s="14" customFormat="1" ht="16.5" customHeight="1">
      <c r="A587" s="31" t="str">
        <f t="shared" si="57"/>
        <v>NI</v>
      </c>
      <c r="B587" s="350">
        <v>5</v>
      </c>
      <c r="C587" s="350" t="s">
        <v>395</v>
      </c>
      <c r="D587" s="340">
        <v>24928244091</v>
      </c>
      <c r="E587" s="341">
        <v>4398713.6439000005</v>
      </c>
      <c r="F587" s="1058">
        <f>+VLOOKUP(B587,Composición!$C$5:$D$1768,1,0)</f>
        <v>5</v>
      </c>
      <c r="G587" s="1049"/>
      <c r="I587" s="1051">
        <v>112472055</v>
      </c>
    </row>
    <row r="588" spans="1:9" s="14" customFormat="1" ht="16.5" customHeight="1">
      <c r="A588" s="14" t="str">
        <f t="shared" si="57"/>
        <v>NI</v>
      </c>
      <c r="B588" s="350">
        <v>51</v>
      </c>
      <c r="C588" s="350" t="s">
        <v>396</v>
      </c>
      <c r="D588" s="340">
        <v>24852195755</v>
      </c>
      <c r="E588" s="341">
        <v>4388271.3539000005</v>
      </c>
      <c r="F588" s="1058">
        <f>+VLOOKUP(B588,Composición!$C$5:$D$1768,1,0)</f>
        <v>51</v>
      </c>
      <c r="G588" s="1049">
        <f t="shared" si="59"/>
        <v>24852195704</v>
      </c>
      <c r="I588" s="1051">
        <v>985773</v>
      </c>
    </row>
    <row r="589" spans="1:9" s="14" customFormat="1" ht="16.5" customHeight="1">
      <c r="A589" s="14" t="str">
        <f t="shared" si="57"/>
        <v>NI</v>
      </c>
      <c r="B589" s="350">
        <v>511</v>
      </c>
      <c r="C589" s="350" t="s">
        <v>397</v>
      </c>
      <c r="D589" s="340">
        <v>2172964847</v>
      </c>
      <c r="E589" s="341">
        <v>257587.61</v>
      </c>
      <c r="F589" s="1058">
        <f>+VLOOKUP(B589,Composición!$C$5:$D$1768,1,0)</f>
        <v>511</v>
      </c>
      <c r="G589" s="1049">
        <f t="shared" si="59"/>
        <v>2172964336</v>
      </c>
      <c r="I589" s="1051">
        <v>17367800</v>
      </c>
    </row>
    <row r="590" spans="1:9" s="14" customFormat="1" ht="16.5" customHeight="1">
      <c r="A590" s="14" t="str">
        <f t="shared" si="57"/>
        <v>NI</v>
      </c>
      <c r="B590" s="350">
        <v>51101</v>
      </c>
      <c r="C590" s="350" t="s">
        <v>398</v>
      </c>
      <c r="D590" s="340">
        <v>214127705</v>
      </c>
      <c r="E590" s="341">
        <v>29214.09</v>
      </c>
      <c r="F590" s="1058">
        <f>+VLOOKUP(B590,Composición!$C$5:$D$1768,1,0)</f>
        <v>51101</v>
      </c>
      <c r="G590" s="1049">
        <f t="shared" si="59"/>
        <v>214076604</v>
      </c>
      <c r="I590" s="1051">
        <v>4150330</v>
      </c>
    </row>
    <row r="591" spans="1:9" s="14" customFormat="1" ht="16.5" customHeight="1">
      <c r="A591" s="31" t="str">
        <f t="shared" si="57"/>
        <v>NI</v>
      </c>
      <c r="B591" s="350">
        <v>511011</v>
      </c>
      <c r="C591" s="350" t="s">
        <v>398</v>
      </c>
      <c r="D591" s="340">
        <v>214127705</v>
      </c>
      <c r="E591" s="341">
        <v>29214.09</v>
      </c>
      <c r="F591" s="1058">
        <f>+VLOOKUP(B591,Composición!$C$5:$D$1768,1,0)</f>
        <v>511011</v>
      </c>
      <c r="G591" s="1049"/>
      <c r="I591" s="1051">
        <v>4909080</v>
      </c>
    </row>
    <row r="592" spans="1:9" s="14" customFormat="1" ht="16.5" customHeight="1">
      <c r="A592" s="14" t="str">
        <f t="shared" si="57"/>
        <v>NI</v>
      </c>
      <c r="B592" s="350">
        <v>5110111</v>
      </c>
      <c r="C592" s="350" t="s">
        <v>398</v>
      </c>
      <c r="D592" s="340">
        <v>214127705</v>
      </c>
      <c r="E592" s="341">
        <v>29214.09</v>
      </c>
      <c r="F592" s="1058">
        <f>+VLOOKUP(B592,Composición!$C$5:$D$1768,1,0)</f>
        <v>5110111</v>
      </c>
      <c r="G592" s="1049">
        <f t="shared" si="59"/>
        <v>209017594</v>
      </c>
      <c r="I592" s="1051">
        <v>15834707</v>
      </c>
    </row>
    <row r="593" spans="1:9" s="14" customFormat="1" ht="16.5" customHeight="1">
      <c r="A593" s="14" t="str">
        <f t="shared" si="57"/>
        <v>NI</v>
      </c>
      <c r="B593" s="350">
        <v>51101111</v>
      </c>
      <c r="C593" s="350" t="s">
        <v>399</v>
      </c>
      <c r="D593" s="340">
        <v>7272727</v>
      </c>
      <c r="E593" s="341">
        <v>977.46</v>
      </c>
      <c r="F593" s="1058">
        <f>+VLOOKUP(B593,Composición!$C$5:$D$1768,1,0)</f>
        <v>51101111</v>
      </c>
      <c r="G593" s="1049">
        <f t="shared" si="59"/>
        <v>-43828384</v>
      </c>
      <c r="I593" s="1051">
        <v>50000</v>
      </c>
    </row>
    <row r="594" spans="1:9" s="14" customFormat="1" ht="16.5" customHeight="1">
      <c r="A594" s="14" t="str">
        <f t="shared" si="57"/>
        <v>I</v>
      </c>
      <c r="B594" s="345">
        <v>5110111102</v>
      </c>
      <c r="C594" s="345" t="s">
        <v>400</v>
      </c>
      <c r="D594" s="347">
        <v>7272727</v>
      </c>
      <c r="E594" s="348">
        <v>977.46</v>
      </c>
      <c r="F594" s="1058">
        <f>+VLOOKUP(B594,Composición!$C$5:$D$1768,1,0)</f>
        <v>5110111102</v>
      </c>
      <c r="G594" s="1049">
        <f t="shared" si="59"/>
        <v>-5102838375</v>
      </c>
      <c r="I594" s="1051">
        <v>199727</v>
      </c>
    </row>
    <row r="595" spans="1:9" s="14" customFormat="1" ht="16.5" customHeight="1">
      <c r="A595" s="14" t="str">
        <f t="shared" si="57"/>
        <v>NI</v>
      </c>
      <c r="B595" s="350">
        <v>51101112</v>
      </c>
      <c r="C595" s="350" t="s">
        <v>401</v>
      </c>
      <c r="D595" s="340">
        <v>7500000</v>
      </c>
      <c r="E595" s="341">
        <v>1021.93</v>
      </c>
      <c r="F595" s="1058">
        <f>+VLOOKUP(B595,Composición!$C$5:$D$1768,1,0)</f>
        <v>51101112</v>
      </c>
      <c r="G595" s="1049">
        <f t="shared" si="59"/>
        <v>-43601112</v>
      </c>
      <c r="I595" s="1051">
        <v>531034</v>
      </c>
    </row>
    <row r="596" spans="1:9" s="14" customFormat="1" ht="16.5" customHeight="1">
      <c r="A596" s="14" t="str">
        <f t="shared" si="57"/>
        <v>I</v>
      </c>
      <c r="B596" s="350">
        <v>5110111201</v>
      </c>
      <c r="C596" s="350" t="s">
        <v>402</v>
      </c>
      <c r="D596" s="340">
        <v>7500000</v>
      </c>
      <c r="E596" s="341">
        <v>1021.93</v>
      </c>
      <c r="F596" s="1058">
        <f>+VLOOKUP(B596,Composición!$C$5:$D$1768,1,0)</f>
        <v>5110111201</v>
      </c>
      <c r="G596" s="1049">
        <f t="shared" si="59"/>
        <v>-5102611201</v>
      </c>
      <c r="I596" s="1051">
        <v>4126220</v>
      </c>
    </row>
    <row r="597" spans="1:9" s="14" customFormat="1" ht="16.5" customHeight="1">
      <c r="A597" s="14" t="str">
        <f t="shared" si="57"/>
        <v>NI</v>
      </c>
      <c r="B597" s="350">
        <v>51101113</v>
      </c>
      <c r="C597" s="350" t="s">
        <v>403</v>
      </c>
      <c r="D597" s="340">
        <v>199354978</v>
      </c>
      <c r="E597" s="341">
        <v>27214.7</v>
      </c>
      <c r="F597" s="1058">
        <f>+VLOOKUP(B597,Composición!$C$5:$D$1768,1,0)</f>
        <v>51101113</v>
      </c>
      <c r="G597" s="1049">
        <f t="shared" si="59"/>
        <v>148253865</v>
      </c>
      <c r="I597" s="1051">
        <v>118534631</v>
      </c>
    </row>
    <row r="598" spans="1:9" s="14" customFormat="1" ht="16.5" customHeight="1">
      <c r="A598" s="14" t="str">
        <f t="shared" si="57"/>
        <v>I</v>
      </c>
      <c r="B598" s="350">
        <v>5110111301</v>
      </c>
      <c r="C598" s="350" t="s">
        <v>404</v>
      </c>
      <c r="D598" s="340">
        <v>199354978</v>
      </c>
      <c r="E598" s="341">
        <v>27214.7</v>
      </c>
      <c r="F598" s="1058">
        <f>+VLOOKUP(B598,Composición!$C$5:$D$1768,1,0)</f>
        <v>5110111301</v>
      </c>
      <c r="G598" s="1049">
        <f t="shared" si="59"/>
        <v>-4910756323</v>
      </c>
      <c r="I598" s="1051">
        <v>1659600</v>
      </c>
    </row>
    <row r="599" spans="1:9" s="14" customFormat="1" ht="16.5" customHeight="1">
      <c r="A599" s="14" t="str">
        <f t="shared" ref="A599:A667" si="63">IF(LEN(B599)&gt;8,"I","NI")</f>
        <v>NI</v>
      </c>
      <c r="B599" s="345">
        <v>51102</v>
      </c>
      <c r="C599" s="345" t="s">
        <v>405</v>
      </c>
      <c r="D599" s="347">
        <v>279795358</v>
      </c>
      <c r="E599" s="348">
        <v>38259.210000000006</v>
      </c>
      <c r="F599" s="1058">
        <f>+VLOOKUP(B599,Composición!$C$5:$D$1768,1,0)</f>
        <v>51102</v>
      </c>
      <c r="G599" s="1049">
        <f t="shared" si="59"/>
        <v>279744256</v>
      </c>
      <c r="I599" s="1051">
        <v>1423909</v>
      </c>
    </row>
    <row r="600" spans="1:9" s="14" customFormat="1" ht="16.5" customHeight="1">
      <c r="A600" s="14" t="str">
        <f t="shared" si="63"/>
        <v>NI</v>
      </c>
      <c r="B600" s="345">
        <v>511021</v>
      </c>
      <c r="C600" s="345" t="s">
        <v>405</v>
      </c>
      <c r="D600" s="347">
        <v>279795358</v>
      </c>
      <c r="E600" s="348">
        <v>38259.210000000006</v>
      </c>
      <c r="F600" s="1058">
        <f>+VLOOKUP(B600,Composición!$C$5:$D$1768,1,0)</f>
        <v>511021</v>
      </c>
      <c r="G600" s="1049">
        <f t="shared" si="59"/>
        <v>279284337</v>
      </c>
      <c r="I600" s="1051">
        <v>13156610</v>
      </c>
    </row>
    <row r="601" spans="1:9" s="14" customFormat="1" ht="16.5" customHeight="1">
      <c r="A601" s="14" t="str">
        <f t="shared" si="63"/>
        <v>NI</v>
      </c>
      <c r="B601" s="350">
        <v>5110211</v>
      </c>
      <c r="C601" s="350" t="s">
        <v>405</v>
      </c>
      <c r="D601" s="340">
        <v>279795358</v>
      </c>
      <c r="E601" s="341">
        <v>38259.210000000006</v>
      </c>
      <c r="F601" s="1058">
        <f>+VLOOKUP(B601,Composición!$C$5:$D$1768,1,0)</f>
        <v>5110211</v>
      </c>
      <c r="G601" s="1049">
        <f t="shared" si="59"/>
        <v>274685147</v>
      </c>
      <c r="I601" s="1051">
        <v>147660</v>
      </c>
    </row>
    <row r="602" spans="1:9" s="14" customFormat="1" ht="16.5" customHeight="1">
      <c r="A602" s="31" t="str">
        <f t="shared" si="63"/>
        <v>NI</v>
      </c>
      <c r="B602" s="345">
        <v>51102111</v>
      </c>
      <c r="C602" s="345" t="s">
        <v>405</v>
      </c>
      <c r="D602" s="347">
        <v>224520476</v>
      </c>
      <c r="E602" s="348">
        <v>30664.679999999993</v>
      </c>
      <c r="F602" s="1058">
        <f>+VLOOKUP(B602,Composición!$C$5:$D$1768,1,0)</f>
        <v>51102111</v>
      </c>
      <c r="G602" s="1049"/>
      <c r="I602" s="1051">
        <v>12820718</v>
      </c>
    </row>
    <row r="603" spans="1:9" s="14" customFormat="1" ht="16.5" customHeight="1">
      <c r="A603" s="14" t="str">
        <f t="shared" si="63"/>
        <v>I</v>
      </c>
      <c r="B603" s="345">
        <v>5110211101</v>
      </c>
      <c r="C603" s="345" t="s">
        <v>406</v>
      </c>
      <c r="D603" s="347">
        <v>103576889</v>
      </c>
      <c r="E603" s="348">
        <v>14237.05</v>
      </c>
      <c r="F603" s="1058">
        <f>+VLOOKUP(B603,Composición!$C$5:$D$1768,1,0)</f>
        <v>5110211101</v>
      </c>
      <c r="G603" s="1049">
        <f t="shared" si="59"/>
        <v>-5006634212</v>
      </c>
      <c r="I603" s="1051">
        <v>2410287</v>
      </c>
    </row>
    <row r="604" spans="1:9" s="14" customFormat="1" ht="16.5" customHeight="1">
      <c r="A604" s="14" t="str">
        <f t="shared" si="63"/>
        <v>I</v>
      </c>
      <c r="B604" s="350">
        <v>5110211102</v>
      </c>
      <c r="C604" s="350" t="s">
        <v>407</v>
      </c>
      <c r="D604" s="340">
        <v>120943587</v>
      </c>
      <c r="E604" s="341">
        <v>16427.63</v>
      </c>
      <c r="F604" s="1058">
        <f>+VLOOKUP(B604,Composición!$C$5:$D$1768,1,0)</f>
        <v>5110211102</v>
      </c>
      <c r="G604" s="1049">
        <f t="shared" si="59"/>
        <v>-4989267515</v>
      </c>
      <c r="I604" s="1051">
        <v>8616363</v>
      </c>
    </row>
    <row r="605" spans="1:9" s="14" customFormat="1" ht="16.5" customHeight="1">
      <c r="A605" s="14" t="str">
        <f t="shared" si="63"/>
        <v>NI</v>
      </c>
      <c r="B605" s="350">
        <v>51102112</v>
      </c>
      <c r="C605" s="350" t="s">
        <v>366</v>
      </c>
      <c r="D605" s="340">
        <v>55274882</v>
      </c>
      <c r="E605" s="341">
        <v>7594.53</v>
      </c>
      <c r="F605" s="1058">
        <f>+VLOOKUP(B605,Composición!$C$5:$D$1768,1,0)</f>
        <v>51102112</v>
      </c>
      <c r="G605" s="1049">
        <f t="shared" si="59"/>
        <v>4172770</v>
      </c>
      <c r="I605" s="1051">
        <v>53101502</v>
      </c>
    </row>
    <row r="606" spans="1:9" s="14" customFormat="1" ht="16.5" customHeight="1">
      <c r="A606" s="14" t="str">
        <f t="shared" si="63"/>
        <v>I</v>
      </c>
      <c r="B606" s="350">
        <v>5110211201</v>
      </c>
      <c r="C606" s="350" t="s">
        <v>408</v>
      </c>
      <c r="D606" s="340">
        <v>47793592</v>
      </c>
      <c r="E606" s="341">
        <v>6568.5</v>
      </c>
      <c r="F606" s="1058">
        <f>+VLOOKUP(B606,Composición!$C$5:$D$1768,1,0)</f>
        <v>5110211201</v>
      </c>
      <c r="G606" s="1049">
        <f t="shared" si="59"/>
        <v>-5062417609</v>
      </c>
      <c r="I606" s="1051">
        <v>4455831</v>
      </c>
    </row>
    <row r="607" spans="1:9" s="14" customFormat="1" ht="16.5" customHeight="1">
      <c r="A607" s="14" t="str">
        <f t="shared" si="63"/>
        <v>I</v>
      </c>
      <c r="B607" s="350">
        <v>5110211202</v>
      </c>
      <c r="C607" s="350" t="s">
        <v>409</v>
      </c>
      <c r="D607" s="340">
        <v>7481290</v>
      </c>
      <c r="E607" s="341">
        <v>1026.03</v>
      </c>
      <c r="F607" s="1058">
        <f>+VLOOKUP(B607,Composición!$C$5:$D$1768,1,0)</f>
        <v>5110211202</v>
      </c>
      <c r="G607" s="1049">
        <f t="shared" si="59"/>
        <v>-5102729912</v>
      </c>
      <c r="I607" s="1051">
        <v>52000</v>
      </c>
    </row>
    <row r="608" spans="1:9" s="14" customFormat="1" ht="16.5" customHeight="1">
      <c r="A608" s="14" t="str">
        <f t="shared" si="63"/>
        <v>NI</v>
      </c>
      <c r="B608" s="345">
        <v>51103</v>
      </c>
      <c r="C608" s="345" t="s">
        <v>410</v>
      </c>
      <c r="D608" s="347">
        <v>1327178314</v>
      </c>
      <c r="E608" s="348">
        <v>183392.06</v>
      </c>
      <c r="F608" s="1058">
        <f>+VLOOKUP(B608,Composición!$C$5:$D$1768,1,0)</f>
        <v>51103</v>
      </c>
      <c r="G608" s="1049">
        <f t="shared" si="59"/>
        <v>1327127211</v>
      </c>
      <c r="I608" s="1051">
        <v>4464346</v>
      </c>
    </row>
    <row r="609" spans="1:9" s="14" customFormat="1" ht="16.5" customHeight="1">
      <c r="A609" s="31" t="str">
        <f t="shared" si="63"/>
        <v>NI</v>
      </c>
      <c r="B609" s="345">
        <v>511031</v>
      </c>
      <c r="C609" s="345" t="s">
        <v>336</v>
      </c>
      <c r="D609" s="347">
        <v>904753321</v>
      </c>
      <c r="E609" s="348">
        <v>124227.89</v>
      </c>
      <c r="F609" s="1058">
        <f>+VLOOKUP(B609,Composición!$C$5:$D$1768,1,0)</f>
        <v>511031</v>
      </c>
      <c r="G609" s="1049"/>
      <c r="I609" s="1051">
        <v>1703837691</v>
      </c>
    </row>
    <row r="610" spans="1:9" s="14" customFormat="1" ht="16.5" customHeight="1">
      <c r="A610" s="14" t="str">
        <f t="shared" si="63"/>
        <v>NI</v>
      </c>
      <c r="B610" s="345">
        <v>5110311</v>
      </c>
      <c r="C610" s="345" t="s">
        <v>336</v>
      </c>
      <c r="D610" s="347">
        <v>904753321</v>
      </c>
      <c r="E610" s="348">
        <v>124227.89</v>
      </c>
      <c r="F610" s="1058">
        <f>+VLOOKUP(B610,Composición!$C$5:$D$1768,1,0)</f>
        <v>5110311</v>
      </c>
      <c r="G610" s="1049">
        <f>+D610-F610</f>
        <v>899643010</v>
      </c>
      <c r="I610" s="1051">
        <v>902106966</v>
      </c>
    </row>
    <row r="611" spans="1:9" s="14" customFormat="1" ht="16.5" customHeight="1">
      <c r="A611" s="31" t="str">
        <f t="shared" si="63"/>
        <v>NI</v>
      </c>
      <c r="B611" s="350">
        <v>51103111</v>
      </c>
      <c r="C611" s="350" t="s">
        <v>339</v>
      </c>
      <c r="D611" s="340">
        <v>571494830</v>
      </c>
      <c r="E611" s="341">
        <v>78289.83</v>
      </c>
      <c r="F611" s="1058">
        <f>+VLOOKUP(B611,Composición!$C$5:$D$1768,1,0)</f>
        <v>51103111</v>
      </c>
      <c r="G611" s="1049"/>
      <c r="I611" s="1051">
        <v>59630276</v>
      </c>
    </row>
    <row r="612" spans="1:9" s="14" customFormat="1" ht="16.5" customHeight="1">
      <c r="A612" s="31" t="str">
        <f t="shared" si="63"/>
        <v>I</v>
      </c>
      <c r="B612" s="345">
        <v>5110311101</v>
      </c>
      <c r="C612" s="345" t="s">
        <v>267</v>
      </c>
      <c r="D612" s="347">
        <v>142117320</v>
      </c>
      <c r="E612" s="348">
        <v>19335.96</v>
      </c>
      <c r="F612" s="1058">
        <f>+VLOOKUP(B612,Composición!$C$5:$D$1768,1,0)</f>
        <v>5110311101</v>
      </c>
      <c r="G612" s="1049"/>
      <c r="I612" s="1051">
        <v>57619855</v>
      </c>
    </row>
    <row r="613" spans="1:9" s="14" customFormat="1" ht="16.5" customHeight="1">
      <c r="A613" s="31" t="str">
        <f t="shared" si="63"/>
        <v>I</v>
      </c>
      <c r="B613" s="345">
        <v>5110311102</v>
      </c>
      <c r="C613" s="345" t="s">
        <v>63</v>
      </c>
      <c r="D613" s="347">
        <v>7613917</v>
      </c>
      <c r="E613" s="348">
        <v>1031.9000000000001</v>
      </c>
      <c r="F613" s="1058">
        <f>+VLOOKUP(B613,Composición!$C$5:$D$1768,1,0)</f>
        <v>5110311102</v>
      </c>
      <c r="G613" s="1049"/>
      <c r="I613" s="1051">
        <v>300000</v>
      </c>
    </row>
    <row r="614" spans="1:9" s="14" customFormat="1" ht="16.5" customHeight="1">
      <c r="A614" s="14" t="str">
        <f t="shared" si="63"/>
        <v>I</v>
      </c>
      <c r="B614" s="345">
        <v>5110311103</v>
      </c>
      <c r="C614" s="345" t="s">
        <v>64</v>
      </c>
      <c r="D614" s="347">
        <v>318600358</v>
      </c>
      <c r="E614" s="348">
        <v>43714.21</v>
      </c>
      <c r="F614" s="1058">
        <f>+VLOOKUP(B614,Composición!$C$5:$D$1768,1,0)</f>
        <v>5110311103</v>
      </c>
      <c r="G614" s="1049">
        <f>+D614-F614</f>
        <v>-4791710745</v>
      </c>
      <c r="I614" s="1051">
        <v>6844314</v>
      </c>
    </row>
    <row r="615" spans="1:9" s="14" customFormat="1" ht="16.5" customHeight="1">
      <c r="A615" s="31" t="str">
        <f t="shared" si="63"/>
        <v>I</v>
      </c>
      <c r="B615" s="345">
        <v>5110311104</v>
      </c>
      <c r="C615" s="345" t="s">
        <v>335</v>
      </c>
      <c r="D615" s="347">
        <v>99656407</v>
      </c>
      <c r="E615" s="348">
        <v>13736.87</v>
      </c>
      <c r="F615" s="1058">
        <f>+VLOOKUP(B615,Composición!$C$5:$D$1768,1,0)</f>
        <v>5110311104</v>
      </c>
      <c r="G615" s="1049"/>
      <c r="I615" s="1051">
        <v>52563</v>
      </c>
    </row>
    <row r="616" spans="1:9" s="14" customFormat="1" ht="16.5" customHeight="1">
      <c r="A616" s="31" t="str">
        <f t="shared" si="63"/>
        <v>I</v>
      </c>
      <c r="B616" s="345">
        <v>5110311105</v>
      </c>
      <c r="C616" s="345" t="s">
        <v>411</v>
      </c>
      <c r="D616" s="347">
        <v>3506828</v>
      </c>
      <c r="E616" s="348">
        <v>470.89</v>
      </c>
      <c r="F616" s="1058">
        <f>+VLOOKUP(B616,Composición!$C$5:$D$1768,1,0)</f>
        <v>5110311105</v>
      </c>
      <c r="G616" s="1049"/>
      <c r="I616" s="1051">
        <v>907070</v>
      </c>
    </row>
    <row r="617" spans="1:9" s="14" customFormat="1" ht="16.5" customHeight="1">
      <c r="A617" s="31" t="str">
        <f t="shared" si="63"/>
        <v>NI</v>
      </c>
      <c r="B617" s="345">
        <v>51103112</v>
      </c>
      <c r="C617" s="345" t="s">
        <v>412</v>
      </c>
      <c r="D617" s="347">
        <v>239007233</v>
      </c>
      <c r="E617" s="348">
        <v>32835.020000000004</v>
      </c>
      <c r="F617" s="1058">
        <f>+VLOOKUP(B617,Composición!$C$5:$D$1768,1,0)</f>
        <v>51103112</v>
      </c>
      <c r="G617" s="1049"/>
      <c r="I617" s="1051">
        <v>11403535</v>
      </c>
    </row>
    <row r="618" spans="1:9" s="14" customFormat="1" ht="16.5" customHeight="1">
      <c r="A618" s="31" t="str">
        <f t="shared" si="63"/>
        <v>I</v>
      </c>
      <c r="B618" s="345">
        <v>5110311201</v>
      </c>
      <c r="C618" s="345" t="s">
        <v>57</v>
      </c>
      <c r="D618" s="347">
        <v>4487029</v>
      </c>
      <c r="E618" s="348">
        <v>599.51</v>
      </c>
      <c r="F618" s="1058">
        <f>+VLOOKUP(B618,Composición!$C$5:$D$1768,1,0)</f>
        <v>5110311201</v>
      </c>
      <c r="G618" s="1049"/>
    </row>
    <row r="619" spans="1:9" s="14" customFormat="1" ht="16.5" customHeight="1">
      <c r="A619" s="31" t="str">
        <f t="shared" si="63"/>
        <v>I</v>
      </c>
      <c r="B619" s="345">
        <v>5110311202</v>
      </c>
      <c r="C619" s="345" t="s">
        <v>254</v>
      </c>
      <c r="D619" s="347">
        <v>56774</v>
      </c>
      <c r="E619" s="348">
        <v>7.82</v>
      </c>
      <c r="F619" s="1058">
        <f>+VLOOKUP(B619,Composición!$C$5:$D$1768,1,0)</f>
        <v>5110311202</v>
      </c>
      <c r="G619" s="1049"/>
    </row>
    <row r="620" spans="1:9" s="14" customFormat="1" ht="16.5" customHeight="1">
      <c r="A620" s="14" t="str">
        <f t="shared" si="63"/>
        <v>I</v>
      </c>
      <c r="B620" s="345">
        <v>5110311204</v>
      </c>
      <c r="C620" s="345" t="s">
        <v>258</v>
      </c>
      <c r="D620" s="347">
        <v>104412</v>
      </c>
      <c r="E620" s="348">
        <v>14.63</v>
      </c>
      <c r="F620" s="1058">
        <f>+VLOOKUP(B620,Composición!$C$5:$D$1768,1,0)</f>
        <v>5110311204</v>
      </c>
      <c r="G620" s="1049">
        <f t="shared" ref="G620:G657" si="64">+D620-F620</f>
        <v>-5110206792</v>
      </c>
    </row>
    <row r="621" spans="1:9" s="14" customFormat="1" ht="16.5" customHeight="1">
      <c r="A621" s="14" t="str">
        <f t="shared" si="63"/>
        <v>I</v>
      </c>
      <c r="B621" s="345">
        <v>5110311205</v>
      </c>
      <c r="C621" s="345" t="s">
        <v>59</v>
      </c>
      <c r="D621" s="347">
        <v>3173989</v>
      </c>
      <c r="E621" s="348">
        <v>433.09</v>
      </c>
      <c r="F621" s="1058">
        <f>+VLOOKUP(B621,Composición!$C$5:$D$1768,1,0)</f>
        <v>5110311205</v>
      </c>
      <c r="G621" s="1049">
        <f t="shared" si="64"/>
        <v>-5107137216</v>
      </c>
    </row>
    <row r="622" spans="1:9" s="14" customFormat="1" ht="16.5" customHeight="1">
      <c r="A622" s="14" t="str">
        <f t="shared" si="63"/>
        <v>I</v>
      </c>
      <c r="B622" s="345">
        <v>5110311206</v>
      </c>
      <c r="C622" s="345" t="s">
        <v>60</v>
      </c>
      <c r="D622" s="347">
        <v>45793</v>
      </c>
      <c r="E622" s="348">
        <v>6.3</v>
      </c>
      <c r="F622" s="1058">
        <f>+VLOOKUP(B622,Composición!$C$5:$D$1768,1,0)</f>
        <v>5110311206</v>
      </c>
      <c r="G622" s="1049">
        <f t="shared" si="64"/>
        <v>-5110265413</v>
      </c>
    </row>
    <row r="623" spans="1:9" s="14" customFormat="1" ht="16.5" customHeight="1">
      <c r="A623" s="31" t="str">
        <f t="shared" si="63"/>
        <v>I</v>
      </c>
      <c r="B623" s="345">
        <v>5110311207</v>
      </c>
      <c r="C623" s="345" t="s">
        <v>63</v>
      </c>
      <c r="D623" s="347">
        <v>3151438</v>
      </c>
      <c r="E623" s="348">
        <v>430.33</v>
      </c>
      <c r="F623" s="1058">
        <f>+VLOOKUP(B623,Composición!$C$5:$D$1768,1,0)</f>
        <v>5110311207</v>
      </c>
      <c r="G623" s="1049"/>
    </row>
    <row r="624" spans="1:9" s="14" customFormat="1" ht="16.5" customHeight="1">
      <c r="A624" s="31" t="str">
        <f t="shared" si="63"/>
        <v>I</v>
      </c>
      <c r="B624" s="345">
        <v>5110311208</v>
      </c>
      <c r="C624" s="345" t="s">
        <v>64</v>
      </c>
      <c r="D624" s="347">
        <v>6098071</v>
      </c>
      <c r="E624" s="348">
        <v>839.28000000000009</v>
      </c>
      <c r="F624" s="1058">
        <f>+VLOOKUP(B624,Composición!$C$5:$D$1768,1,0)</f>
        <v>5110311208</v>
      </c>
      <c r="G624" s="1049"/>
    </row>
    <row r="625" spans="1:7" s="14" customFormat="1" ht="16.5" customHeight="1">
      <c r="A625" s="31" t="str">
        <f t="shared" si="63"/>
        <v>I</v>
      </c>
      <c r="B625" s="345">
        <v>5110311217</v>
      </c>
      <c r="C625" s="345" t="s">
        <v>271</v>
      </c>
      <c r="D625" s="347">
        <v>619711</v>
      </c>
      <c r="E625" s="348">
        <v>85.07</v>
      </c>
      <c r="F625" s="1058">
        <f>+VLOOKUP(B625,Composición!$C$5:$D$1768,1,0)</f>
        <v>5110311217</v>
      </c>
      <c r="G625" s="1049"/>
    </row>
    <row r="626" spans="1:7" s="14" customFormat="1" ht="16.5" customHeight="1">
      <c r="A626" s="31" t="str">
        <f t="shared" si="63"/>
        <v>I</v>
      </c>
      <c r="B626" s="345">
        <v>5110311218</v>
      </c>
      <c r="C626" s="345" t="s">
        <v>274</v>
      </c>
      <c r="D626" s="347">
        <v>2312</v>
      </c>
      <c r="E626" s="348">
        <v>0.31000000000000005</v>
      </c>
      <c r="F626" s="1058">
        <f>+VLOOKUP(B626,Composición!$C$5:$D$1768,1,0)</f>
        <v>5110311218</v>
      </c>
      <c r="G626" s="1049"/>
    </row>
    <row r="627" spans="1:7" s="14" customFormat="1" ht="16.5" customHeight="1">
      <c r="A627" s="31" t="str">
        <f t="shared" si="63"/>
        <v>I</v>
      </c>
      <c r="B627" s="345">
        <v>5110311219</v>
      </c>
      <c r="C627" s="345" t="s">
        <v>413</v>
      </c>
      <c r="D627" s="347">
        <v>10208</v>
      </c>
      <c r="E627" s="348">
        <v>1.41</v>
      </c>
      <c r="F627" s="1058">
        <f>+VLOOKUP(B627,Composición!$C$5:$D$1768,1,0)</f>
        <v>5110311219</v>
      </c>
      <c r="G627" s="1049"/>
    </row>
    <row r="628" spans="1:7" s="14" customFormat="1" ht="16.5" customHeight="1">
      <c r="A628" s="14" t="str">
        <f t="shared" si="63"/>
        <v>I</v>
      </c>
      <c r="B628" s="345">
        <v>5110311229</v>
      </c>
      <c r="C628" s="345" t="s">
        <v>414</v>
      </c>
      <c r="D628" s="347">
        <v>541496</v>
      </c>
      <c r="E628" s="348">
        <v>73.760000000000005</v>
      </c>
      <c r="F628" s="1058">
        <f>+VLOOKUP(B628,Composición!$C$5:$D$1768,1,0)</f>
        <v>5110311229</v>
      </c>
      <c r="G628" s="1049">
        <f t="shared" si="64"/>
        <v>-5109769733</v>
      </c>
    </row>
    <row r="629" spans="1:7" s="14" customFormat="1" ht="16.5" customHeight="1">
      <c r="A629" s="14" t="str">
        <f t="shared" si="63"/>
        <v>I</v>
      </c>
      <c r="B629" s="345">
        <v>5110311231</v>
      </c>
      <c r="C629" s="345" t="s">
        <v>415</v>
      </c>
      <c r="D629" s="347">
        <v>220716000</v>
      </c>
      <c r="E629" s="348">
        <v>30343.51</v>
      </c>
      <c r="F629" s="1058">
        <f>+VLOOKUP(B629,Composición!$C$5:$D$1768,1,0)</f>
        <v>5110311231</v>
      </c>
      <c r="G629" s="1049">
        <f t="shared" si="64"/>
        <v>-4889595231</v>
      </c>
    </row>
    <row r="630" spans="1:7" s="14" customFormat="1" ht="16.5" customHeight="1">
      <c r="A630" s="14" t="str">
        <f t="shared" si="63"/>
        <v>NI</v>
      </c>
      <c r="B630" s="345">
        <v>51103113</v>
      </c>
      <c r="C630" s="345" t="s">
        <v>416</v>
      </c>
      <c r="D630" s="347">
        <v>86682763</v>
      </c>
      <c r="E630" s="348">
        <v>12067.59</v>
      </c>
      <c r="F630" s="1058">
        <f>+VLOOKUP(B630,Composición!$C$5:$D$1768,1,0)</f>
        <v>51103113</v>
      </c>
      <c r="G630" s="1049">
        <f t="shared" si="64"/>
        <v>35579650</v>
      </c>
    </row>
    <row r="631" spans="1:7" s="14" customFormat="1" ht="16.5" customHeight="1">
      <c r="A631" s="14" t="str">
        <f t="shared" si="63"/>
        <v>I</v>
      </c>
      <c r="B631" s="345">
        <v>5110311301</v>
      </c>
      <c r="C631" s="345" t="s">
        <v>57</v>
      </c>
      <c r="D631" s="347">
        <v>2855607</v>
      </c>
      <c r="E631" s="348">
        <v>388.75</v>
      </c>
      <c r="F631" s="1058">
        <f>+VLOOKUP(B631,Composición!$C$5:$D$1768,1,0)</f>
        <v>5110311301</v>
      </c>
      <c r="G631" s="1049">
        <f t="shared" si="64"/>
        <v>-5107455694</v>
      </c>
    </row>
    <row r="632" spans="1:7" s="14" customFormat="1" ht="16.5" customHeight="1">
      <c r="A632" s="14" t="str">
        <f t="shared" si="63"/>
        <v>I</v>
      </c>
      <c r="B632" s="350">
        <v>5110311302</v>
      </c>
      <c r="C632" s="350" t="s">
        <v>254</v>
      </c>
      <c r="D632" s="340">
        <v>1487418</v>
      </c>
      <c r="E632" s="341">
        <v>206.28</v>
      </c>
      <c r="F632" s="1058">
        <f>+VLOOKUP(B632,Composición!$C$5:$D$1768,1,0)</f>
        <v>5110311302</v>
      </c>
      <c r="G632" s="1049">
        <f t="shared" si="64"/>
        <v>-5108823884</v>
      </c>
    </row>
    <row r="633" spans="1:7" s="14" customFormat="1" ht="16.5" customHeight="1">
      <c r="A633" s="14" t="str">
        <f t="shared" si="63"/>
        <v>I</v>
      </c>
      <c r="B633" s="345">
        <v>5110311304</v>
      </c>
      <c r="C633" s="345" t="s">
        <v>258</v>
      </c>
      <c r="D633" s="347">
        <v>642682</v>
      </c>
      <c r="E633" s="348">
        <v>89.4</v>
      </c>
      <c r="F633" s="1058">
        <f>+VLOOKUP(B633,Composición!$C$5:$D$1768,1,0)</f>
        <v>5110311304</v>
      </c>
      <c r="G633" s="1049">
        <f t="shared" si="64"/>
        <v>-5109668622</v>
      </c>
    </row>
    <row r="634" spans="1:7" s="14" customFormat="1" ht="16.5" customHeight="1">
      <c r="A634" s="31" t="str">
        <f t="shared" si="63"/>
        <v>I</v>
      </c>
      <c r="B634" s="345">
        <v>5110311305</v>
      </c>
      <c r="C634" s="345" t="s">
        <v>59</v>
      </c>
      <c r="D634" s="347">
        <v>2167951</v>
      </c>
      <c r="E634" s="348">
        <v>298.45</v>
      </c>
      <c r="F634" s="1058">
        <f>+VLOOKUP(B634,Composición!$C$5:$D$1768,1,0)</f>
        <v>5110311305</v>
      </c>
      <c r="G634" s="1049"/>
    </row>
    <row r="635" spans="1:7" s="14" customFormat="1" ht="16.5" customHeight="1">
      <c r="A635" s="31" t="str">
        <f t="shared" si="63"/>
        <v>I</v>
      </c>
      <c r="B635" s="350">
        <v>5110311306</v>
      </c>
      <c r="C635" s="350" t="s">
        <v>60</v>
      </c>
      <c r="D635" s="340">
        <v>141672</v>
      </c>
      <c r="E635" s="341">
        <v>19.41</v>
      </c>
      <c r="F635" s="1058">
        <f>+VLOOKUP(B635,Composición!$C$5:$D$1768,1,0)</f>
        <v>5110311306</v>
      </c>
      <c r="G635" s="1049"/>
    </row>
    <row r="636" spans="1:7" s="14" customFormat="1" ht="16.5" customHeight="1">
      <c r="A636" s="31" t="str">
        <f t="shared" si="63"/>
        <v>I</v>
      </c>
      <c r="B636" s="350">
        <v>5110311307</v>
      </c>
      <c r="C636" s="350" t="s">
        <v>63</v>
      </c>
      <c r="D636" s="340">
        <v>662437</v>
      </c>
      <c r="E636" s="341">
        <v>88.84</v>
      </c>
      <c r="F636" s="1058">
        <f>+VLOOKUP(B636,Composición!$C$5:$D$1768,1,0)</f>
        <v>5110311307</v>
      </c>
      <c r="G636" s="1049"/>
    </row>
    <row r="637" spans="1:7" s="14" customFormat="1" ht="16.5" customHeight="1">
      <c r="A637" s="31" t="str">
        <f t="shared" si="63"/>
        <v>I</v>
      </c>
      <c r="B637" s="345">
        <v>5110311308</v>
      </c>
      <c r="C637" s="345" t="s">
        <v>64</v>
      </c>
      <c r="D637" s="347">
        <v>77830904</v>
      </c>
      <c r="E637" s="348">
        <v>10853.36</v>
      </c>
      <c r="F637" s="1058">
        <f>+VLOOKUP(B637,Composición!$C$5:$D$1768,1,0)</f>
        <v>5110311308</v>
      </c>
      <c r="G637" s="1049"/>
    </row>
    <row r="638" spans="1:7" s="14" customFormat="1" ht="16.5" customHeight="1">
      <c r="A638" s="14" t="str">
        <f t="shared" si="63"/>
        <v>I</v>
      </c>
      <c r="B638" s="350">
        <v>5110311321</v>
      </c>
      <c r="C638" s="350" t="s">
        <v>417</v>
      </c>
      <c r="D638" s="340">
        <v>26033</v>
      </c>
      <c r="E638" s="341">
        <v>3.51</v>
      </c>
      <c r="F638" s="1058">
        <f>+VLOOKUP(B638,Composición!$C$5:$D$1768,1,0)</f>
        <v>5110311321</v>
      </c>
      <c r="G638" s="1049">
        <f t="shared" si="64"/>
        <v>-5110285288</v>
      </c>
    </row>
    <row r="639" spans="1:7" s="14" customFormat="1" ht="16.5" customHeight="1">
      <c r="A639" s="14" t="str">
        <f t="shared" ref="A639:A643" si="65">IF(LEN(B639)&gt;8,"I","NI")</f>
        <v>I</v>
      </c>
      <c r="B639" s="350">
        <v>5110311335</v>
      </c>
      <c r="C639" s="350" t="s">
        <v>418</v>
      </c>
      <c r="D639" s="340">
        <v>868059</v>
      </c>
      <c r="E639" s="341">
        <v>119.59</v>
      </c>
      <c r="F639" s="1058">
        <f>+VLOOKUP(B639,Composición!$C$5:$D$1768,1,0)</f>
        <v>5110311335</v>
      </c>
      <c r="G639" s="1049">
        <f t="shared" ref="G639:G643" si="66">+D639-F639</f>
        <v>-5109443276</v>
      </c>
    </row>
    <row r="640" spans="1:7" s="14" customFormat="1" ht="16.5" customHeight="1">
      <c r="A640" s="14" t="str">
        <f t="shared" si="65"/>
        <v>NI</v>
      </c>
      <c r="B640" s="345">
        <v>51103115</v>
      </c>
      <c r="C640" s="345" t="s">
        <v>419</v>
      </c>
      <c r="D640" s="347">
        <v>7568495</v>
      </c>
      <c r="E640" s="348">
        <v>1035.45</v>
      </c>
      <c r="F640" s="1058">
        <f>+VLOOKUP(B640,Composición!$C$5:$D$1768,1,0)</f>
        <v>51103115</v>
      </c>
      <c r="G640" s="1049">
        <f t="shared" si="66"/>
        <v>-43534620</v>
      </c>
    </row>
    <row r="641" spans="1:7" s="14" customFormat="1" ht="16.5" customHeight="1">
      <c r="A641" s="14" t="str">
        <f t="shared" si="65"/>
        <v>I</v>
      </c>
      <c r="B641" s="345">
        <v>5110311501</v>
      </c>
      <c r="C641" s="345" t="s">
        <v>420</v>
      </c>
      <c r="D641" s="347">
        <v>7568495</v>
      </c>
      <c r="E641" s="348">
        <v>1035.45</v>
      </c>
      <c r="F641" s="1058">
        <f>+VLOOKUP(B641,Composición!$C$5:$D$1768,1,0)</f>
        <v>5110311501</v>
      </c>
      <c r="G641" s="1049">
        <f t="shared" si="66"/>
        <v>-5102743006</v>
      </c>
    </row>
    <row r="642" spans="1:7" s="14" customFormat="1" ht="16.5" customHeight="1">
      <c r="A642" s="14" t="str">
        <f t="shared" si="65"/>
        <v>NI</v>
      </c>
      <c r="B642" s="345">
        <v>511032</v>
      </c>
      <c r="C642" s="345" t="s">
        <v>106</v>
      </c>
      <c r="D642" s="347">
        <v>422424993</v>
      </c>
      <c r="E642" s="348">
        <v>59164.17</v>
      </c>
      <c r="F642" s="1058">
        <f>+VLOOKUP(B642,Composición!$C$5:$D$1768,1,0)</f>
        <v>511032</v>
      </c>
      <c r="G642" s="1049">
        <f t="shared" si="66"/>
        <v>421913961</v>
      </c>
    </row>
    <row r="643" spans="1:7" s="14" customFormat="1" ht="16.5" customHeight="1">
      <c r="A643" s="14" t="str">
        <f t="shared" si="65"/>
        <v>NI</v>
      </c>
      <c r="B643" s="350">
        <v>5110321</v>
      </c>
      <c r="C643" s="350" t="s">
        <v>106</v>
      </c>
      <c r="D643" s="340">
        <v>422424993</v>
      </c>
      <c r="E643" s="341">
        <v>59164.17</v>
      </c>
      <c r="F643" s="1058">
        <f>+VLOOKUP(B643,Composición!$C$5:$D$1768,1,0)</f>
        <v>5110321</v>
      </c>
      <c r="G643" s="1049">
        <f t="shared" si="66"/>
        <v>417314672</v>
      </c>
    </row>
    <row r="644" spans="1:7" s="14" customFormat="1" ht="16.5" customHeight="1">
      <c r="A644" s="14" t="str">
        <f t="shared" si="63"/>
        <v>NI</v>
      </c>
      <c r="B644" s="350">
        <v>51103211</v>
      </c>
      <c r="C644" s="350" t="s">
        <v>106</v>
      </c>
      <c r="D644" s="340">
        <v>422424993</v>
      </c>
      <c r="E644" s="341">
        <v>59164.17</v>
      </c>
      <c r="F644" s="1058">
        <f>+VLOOKUP(B644,Composición!$C$5:$D$1768,1,0)</f>
        <v>51103211</v>
      </c>
      <c r="G644" s="1049">
        <f t="shared" si="64"/>
        <v>371321782</v>
      </c>
    </row>
    <row r="645" spans="1:7" s="14" customFormat="1" ht="16.5" customHeight="1">
      <c r="A645" s="14" t="str">
        <f t="shared" si="63"/>
        <v>I</v>
      </c>
      <c r="B645" s="345">
        <v>5110321102</v>
      </c>
      <c r="C645" s="345" t="s">
        <v>421</v>
      </c>
      <c r="D645" s="347">
        <v>422424993</v>
      </c>
      <c r="E645" s="348">
        <v>59164.17</v>
      </c>
      <c r="F645" s="1058">
        <f>+VLOOKUP(B645,Composición!$C$5:$D$1768,1,0)</f>
        <v>5110321102</v>
      </c>
      <c r="G645" s="1049">
        <f t="shared" si="64"/>
        <v>-4687896109</v>
      </c>
    </row>
    <row r="646" spans="1:7" s="14" customFormat="1" ht="16.5" customHeight="1">
      <c r="A646" s="14" t="str">
        <f t="shared" si="63"/>
        <v>NI</v>
      </c>
      <c r="B646" s="345">
        <v>51104</v>
      </c>
      <c r="C646" s="345" t="s">
        <v>422</v>
      </c>
      <c r="D646" s="347">
        <v>2942670</v>
      </c>
      <c r="E646" s="348">
        <v>404.9</v>
      </c>
      <c r="F646" s="1058">
        <f>+VLOOKUP(B646,Composición!$C$5:$D$1768,1,0)</f>
        <v>51104</v>
      </c>
      <c r="G646" s="1049">
        <f t="shared" si="64"/>
        <v>2891566</v>
      </c>
    </row>
    <row r="647" spans="1:7" s="14" customFormat="1" ht="16.5" customHeight="1">
      <c r="A647" s="14" t="str">
        <f t="shared" si="63"/>
        <v>NI</v>
      </c>
      <c r="B647" s="345">
        <v>511041</v>
      </c>
      <c r="C647" s="345" t="s">
        <v>422</v>
      </c>
      <c r="D647" s="347">
        <v>2942670</v>
      </c>
      <c r="E647" s="348">
        <v>404.9</v>
      </c>
      <c r="F647" s="1058">
        <f>+VLOOKUP(B647,Composición!$C$5:$D$1768,1,0)</f>
        <v>511041</v>
      </c>
      <c r="G647" s="1049">
        <f t="shared" si="64"/>
        <v>2431629</v>
      </c>
    </row>
    <row r="648" spans="1:7" s="14" customFormat="1" ht="16.5" customHeight="1">
      <c r="A648" s="14" t="str">
        <f t="shared" si="63"/>
        <v>NI</v>
      </c>
      <c r="B648" s="350">
        <v>5110411</v>
      </c>
      <c r="C648" s="350" t="s">
        <v>422</v>
      </c>
      <c r="D648" s="340">
        <v>2942670</v>
      </c>
      <c r="E648" s="341">
        <v>404.9</v>
      </c>
      <c r="F648" s="1058">
        <f>+VLOOKUP(B648,Composición!$C$5:$D$1768,1,0)</f>
        <v>5110411</v>
      </c>
      <c r="G648" s="1049">
        <f t="shared" si="64"/>
        <v>-2167741</v>
      </c>
    </row>
    <row r="649" spans="1:7" s="14" customFormat="1" ht="16.5" customHeight="1">
      <c r="A649" s="14" t="str">
        <f t="shared" si="63"/>
        <v>NI</v>
      </c>
      <c r="B649" s="350">
        <v>51104111</v>
      </c>
      <c r="C649" s="350" t="s">
        <v>422</v>
      </c>
      <c r="D649" s="340">
        <v>2942670</v>
      </c>
      <c r="E649" s="341">
        <v>404.9</v>
      </c>
      <c r="F649" s="1058">
        <f>+VLOOKUP(B649,Composición!$C$5:$D$1768,1,0)</f>
        <v>51104111</v>
      </c>
      <c r="G649" s="1049">
        <f t="shared" si="64"/>
        <v>-48161441</v>
      </c>
    </row>
    <row r="650" spans="1:7" s="14" customFormat="1" ht="16.5" customHeight="1">
      <c r="A650" s="14" t="str">
        <f t="shared" si="63"/>
        <v>I</v>
      </c>
      <c r="B650" s="350">
        <v>5110411101</v>
      </c>
      <c r="C650" s="350" t="s">
        <v>423</v>
      </c>
      <c r="D650" s="340">
        <v>2942670</v>
      </c>
      <c r="E650" s="341">
        <v>404.9</v>
      </c>
      <c r="F650" s="1058">
        <f>+VLOOKUP(B650,Composición!$C$5:$D$1768,1,0)</f>
        <v>5110411101</v>
      </c>
      <c r="G650" s="1049">
        <f t="shared" si="64"/>
        <v>-5107468431</v>
      </c>
    </row>
    <row r="651" spans="1:7" s="14" customFormat="1" ht="16.5" customHeight="1">
      <c r="A651" s="31" t="str">
        <f t="shared" si="63"/>
        <v>NI</v>
      </c>
      <c r="B651" s="350">
        <v>51105</v>
      </c>
      <c r="C651" s="350" t="s">
        <v>424</v>
      </c>
      <c r="D651" s="340">
        <v>348920800</v>
      </c>
      <c r="E651" s="341">
        <v>6317.35</v>
      </c>
      <c r="F651" s="1058">
        <f>+VLOOKUP(B651,Composición!$C$5:$D$1768,1,0)</f>
        <v>51105</v>
      </c>
      <c r="G651" s="1049"/>
    </row>
    <row r="652" spans="1:7" s="14" customFormat="1" ht="16.5" customHeight="1">
      <c r="A652" s="31" t="str">
        <f t="shared" si="63"/>
        <v>NI</v>
      </c>
      <c r="B652" s="777">
        <v>511051</v>
      </c>
      <c r="C652" s="777" t="s">
        <v>424</v>
      </c>
      <c r="D652" s="778">
        <v>348920800</v>
      </c>
      <c r="E652" s="779">
        <v>6317.35</v>
      </c>
      <c r="F652" s="1058">
        <f>+VLOOKUP(B652,Composición!$C$5:$D$1768,1,0)</f>
        <v>511051</v>
      </c>
      <c r="G652" s="1049"/>
    </row>
    <row r="653" spans="1:7" s="14" customFormat="1" ht="16.5" customHeight="1">
      <c r="A653" s="31" t="str">
        <f t="shared" si="63"/>
        <v>NI</v>
      </c>
      <c r="B653" s="781">
        <v>5110511</v>
      </c>
      <c r="C653" s="781" t="s">
        <v>424</v>
      </c>
      <c r="D653" s="782">
        <v>348920800</v>
      </c>
      <c r="E653" s="783">
        <v>6317.35</v>
      </c>
      <c r="F653" s="1058">
        <f>+VLOOKUP(B653,Composición!$C$5:$D$1768,1,0)</f>
        <v>5110511</v>
      </c>
      <c r="G653" s="1049"/>
    </row>
    <row r="654" spans="1:7" s="14" customFormat="1" ht="16.5" customHeight="1">
      <c r="A654" s="31" t="str">
        <f t="shared" si="63"/>
        <v>NI</v>
      </c>
      <c r="B654" s="345">
        <v>51105111</v>
      </c>
      <c r="C654" s="345" t="s">
        <v>424</v>
      </c>
      <c r="D654" s="347">
        <v>348920800</v>
      </c>
      <c r="E654" s="348">
        <v>6317.35</v>
      </c>
      <c r="F654" s="1058">
        <f>+VLOOKUP(B654,Composición!$C$5:$D$1768,1,0)</f>
        <v>51105111</v>
      </c>
      <c r="G654" s="1049"/>
    </row>
    <row r="655" spans="1:7" s="14" customFormat="1" ht="16.5" customHeight="1">
      <c r="A655" s="14" t="str">
        <f t="shared" si="63"/>
        <v>I</v>
      </c>
      <c r="B655" s="345">
        <v>5110511101</v>
      </c>
      <c r="C655" s="345" t="s">
        <v>379</v>
      </c>
      <c r="D655" s="347">
        <v>45992420</v>
      </c>
      <c r="E655" s="348">
        <v>480.84</v>
      </c>
      <c r="F655" s="1058">
        <f>+VLOOKUP(B655,Composición!$C$5:$D$1768,1,0)</f>
        <v>5110511101</v>
      </c>
      <c r="G655" s="1049">
        <f t="shared" si="64"/>
        <v>-5064518681</v>
      </c>
    </row>
    <row r="656" spans="1:7" s="14" customFormat="1" ht="16.5" customHeight="1">
      <c r="A656" s="14" t="str">
        <f t="shared" si="63"/>
        <v>I</v>
      </c>
      <c r="B656" s="345">
        <v>5110511102</v>
      </c>
      <c r="C656" s="345" t="s">
        <v>380</v>
      </c>
      <c r="D656" s="347">
        <v>302928380</v>
      </c>
      <c r="E656" s="348">
        <v>5836.51</v>
      </c>
      <c r="F656" s="1058">
        <f>+VLOOKUP(B656,Composición!$C$5:$D$1768,1,0)</f>
        <v>5110511102</v>
      </c>
      <c r="G656" s="1049">
        <f t="shared" si="64"/>
        <v>-4807582722</v>
      </c>
    </row>
    <row r="657" spans="1:7" s="14" customFormat="1" ht="16.5" customHeight="1">
      <c r="A657" s="14" t="str">
        <f t="shared" si="63"/>
        <v>NI</v>
      </c>
      <c r="B657" s="345">
        <v>512</v>
      </c>
      <c r="C657" s="345" t="s">
        <v>425</v>
      </c>
      <c r="D657" s="347">
        <v>74680707</v>
      </c>
      <c r="E657" s="348">
        <v>10234.66</v>
      </c>
      <c r="F657" s="1058">
        <f>+VLOOKUP(B657,Composición!$C$5:$D$1768,1,0)</f>
        <v>512</v>
      </c>
      <c r="G657" s="1049">
        <f t="shared" si="64"/>
        <v>74680195</v>
      </c>
    </row>
    <row r="658" spans="1:7" s="14" customFormat="1" ht="16.5" customHeight="1">
      <c r="A658" s="31" t="str">
        <f t="shared" si="63"/>
        <v>NI</v>
      </c>
      <c r="B658" s="345">
        <v>51201</v>
      </c>
      <c r="C658" s="345" t="s">
        <v>426</v>
      </c>
      <c r="D658" s="347">
        <v>74680707</v>
      </c>
      <c r="E658" s="348">
        <v>10234.66</v>
      </c>
      <c r="F658" s="1058">
        <f>+VLOOKUP(B658,Composición!$C$5:$D$1768,1,0)</f>
        <v>51201</v>
      </c>
      <c r="G658" s="1049"/>
    </row>
    <row r="659" spans="1:7" s="14" customFormat="1" ht="16.5" customHeight="1">
      <c r="A659" s="31" t="str">
        <f t="shared" si="63"/>
        <v>NI</v>
      </c>
      <c r="B659" s="350">
        <v>512011</v>
      </c>
      <c r="C659" s="350" t="s">
        <v>426</v>
      </c>
      <c r="D659" s="340">
        <v>74680707</v>
      </c>
      <c r="E659" s="341">
        <v>10234.66</v>
      </c>
      <c r="F659" s="1058">
        <f>+VLOOKUP(B659,Composición!$C$5:$D$1768,1,0)</f>
        <v>512011</v>
      </c>
      <c r="G659" s="1049"/>
    </row>
    <row r="660" spans="1:7" s="14" customFormat="1" ht="16.5" customHeight="1">
      <c r="A660" s="31" t="str">
        <f t="shared" si="63"/>
        <v>NI</v>
      </c>
      <c r="B660" s="350">
        <v>5120111</v>
      </c>
      <c r="C660" s="350" t="s">
        <v>426</v>
      </c>
      <c r="D660" s="340">
        <v>74680707</v>
      </c>
      <c r="E660" s="341">
        <v>10234.66</v>
      </c>
      <c r="F660" s="1058">
        <f>+VLOOKUP(B660,Composición!$C$5:$D$1768,1,0)</f>
        <v>5120111</v>
      </c>
      <c r="G660" s="1049"/>
    </row>
    <row r="661" spans="1:7" s="14" customFormat="1" ht="16.5" customHeight="1">
      <c r="A661" s="31" t="str">
        <f t="shared" si="63"/>
        <v>NI</v>
      </c>
      <c r="B661" s="345">
        <v>51201111</v>
      </c>
      <c r="C661" s="345" t="s">
        <v>426</v>
      </c>
      <c r="D661" s="347">
        <v>74680707</v>
      </c>
      <c r="E661" s="348">
        <v>10234.66</v>
      </c>
      <c r="F661" s="1058">
        <f>+VLOOKUP(B661,Composición!$C$5:$D$1768,1,0)</f>
        <v>51201111</v>
      </c>
      <c r="G661" s="1049"/>
    </row>
    <row r="662" spans="1:7" s="14" customFormat="1" ht="16.5" customHeight="1">
      <c r="A662" s="14" t="str">
        <f t="shared" si="63"/>
        <v>I</v>
      </c>
      <c r="B662" s="345">
        <v>5120111101</v>
      </c>
      <c r="C662" s="345" t="s">
        <v>427</v>
      </c>
      <c r="D662" s="347">
        <v>35932972</v>
      </c>
      <c r="E662" s="348">
        <v>4941.42</v>
      </c>
      <c r="F662" s="1058">
        <f>+VLOOKUP(B662,Composición!$C$5:$D$1768,1,0)</f>
        <v>5120111101</v>
      </c>
      <c r="G662" s="1049">
        <f t="shared" ref="G662:G673" si="67">+D662-F662</f>
        <v>-5084178129</v>
      </c>
    </row>
    <row r="663" spans="1:7" s="14" customFormat="1" ht="16.5" customHeight="1">
      <c r="A663" s="14" t="str">
        <f t="shared" si="63"/>
        <v>I</v>
      </c>
      <c r="B663" s="345">
        <v>5120111103</v>
      </c>
      <c r="C663" s="345" t="s">
        <v>428</v>
      </c>
      <c r="D663" s="347">
        <v>32502657</v>
      </c>
      <c r="E663" s="348">
        <v>4435.9599999999991</v>
      </c>
      <c r="F663" s="1058">
        <f>+VLOOKUP(B663,Composición!$C$5:$D$1768,1,0)</f>
        <v>5120111103</v>
      </c>
      <c r="G663" s="1049">
        <f t="shared" si="67"/>
        <v>-5087608446</v>
      </c>
    </row>
    <row r="664" spans="1:7" s="14" customFormat="1" ht="16.5" customHeight="1">
      <c r="A664" s="14" t="str">
        <f t="shared" si="63"/>
        <v>I</v>
      </c>
      <c r="B664" s="345">
        <v>5120111104</v>
      </c>
      <c r="C664" s="345" t="s">
        <v>429</v>
      </c>
      <c r="D664" s="347">
        <v>418182</v>
      </c>
      <c r="E664" s="348">
        <v>57.28</v>
      </c>
      <c r="F664" s="1058">
        <f>+VLOOKUP(B664,Composición!$C$5:$D$1768,1,0)</f>
        <v>5120111104</v>
      </c>
      <c r="G664" s="1049">
        <f t="shared" si="67"/>
        <v>-5119692922</v>
      </c>
    </row>
    <row r="665" spans="1:7" s="14" customFormat="1" ht="16.5" customHeight="1">
      <c r="A665" s="14" t="str">
        <f t="shared" si="63"/>
        <v>I</v>
      </c>
      <c r="B665" s="345">
        <v>5120111105</v>
      </c>
      <c r="C665" s="345" t="s">
        <v>430</v>
      </c>
      <c r="D665" s="347">
        <v>5826896</v>
      </c>
      <c r="E665" s="348">
        <v>800</v>
      </c>
      <c r="F665" s="1058">
        <f>+VLOOKUP(B665,Composición!$C$5:$D$1768,1,0)</f>
        <v>5120111105</v>
      </c>
      <c r="G665" s="1049">
        <f t="shared" si="67"/>
        <v>-5114284209</v>
      </c>
    </row>
    <row r="666" spans="1:7" s="14" customFormat="1" ht="16.5" customHeight="1">
      <c r="A666" s="14" t="str">
        <f t="shared" si="63"/>
        <v>NI</v>
      </c>
      <c r="B666" s="345">
        <v>513</v>
      </c>
      <c r="C666" s="345" t="s">
        <v>431</v>
      </c>
      <c r="D666" s="347">
        <v>11687345989</v>
      </c>
      <c r="E666" s="348">
        <v>1609909.8870000001</v>
      </c>
      <c r="F666" s="1058">
        <f>+VLOOKUP(B666,Composición!$C$5:$D$1768,1,0)</f>
        <v>513</v>
      </c>
      <c r="G666" s="1049">
        <f t="shared" si="67"/>
        <v>11687345476</v>
      </c>
    </row>
    <row r="667" spans="1:7" s="14" customFormat="1" ht="16.5" customHeight="1">
      <c r="A667" s="31" t="str">
        <f t="shared" si="63"/>
        <v>NI</v>
      </c>
      <c r="B667" s="345">
        <v>51301</v>
      </c>
      <c r="C667" s="345" t="s">
        <v>432</v>
      </c>
      <c r="D667" s="347">
        <v>3642061750</v>
      </c>
      <c r="E667" s="348">
        <v>499856.38</v>
      </c>
      <c r="F667" s="1058">
        <f>+VLOOKUP(B667,Composición!$C$5:$D$1768,1,0)</f>
        <v>51301</v>
      </c>
      <c r="G667" s="1049"/>
    </row>
    <row r="668" spans="1:7" s="14" customFormat="1" ht="16.5" customHeight="1">
      <c r="A668" s="31" t="str">
        <f t="shared" ref="A668:A731" si="68">IF(LEN(B668)&gt;8,"I","NI")</f>
        <v>NI</v>
      </c>
      <c r="B668" s="345">
        <v>513011</v>
      </c>
      <c r="C668" s="345" t="s">
        <v>432</v>
      </c>
      <c r="D668" s="347">
        <v>3642061750</v>
      </c>
      <c r="E668" s="348">
        <v>499856.38</v>
      </c>
      <c r="F668" s="1058">
        <f>+VLOOKUP(B668,Composición!$C$5:$D$1768,1,0)</f>
        <v>513011</v>
      </c>
      <c r="G668" s="1049"/>
    </row>
    <row r="669" spans="1:7" s="14" customFormat="1" ht="16.5" customHeight="1">
      <c r="A669" s="31" t="str">
        <f t="shared" si="68"/>
        <v>NI</v>
      </c>
      <c r="B669" s="345">
        <v>5130111</v>
      </c>
      <c r="C669" s="345" t="s">
        <v>432</v>
      </c>
      <c r="D669" s="347">
        <v>3642061750</v>
      </c>
      <c r="E669" s="348">
        <v>499856.38</v>
      </c>
      <c r="F669" s="1058">
        <f>+VLOOKUP(B669,Composición!$C$5:$D$1768,1,0)</f>
        <v>5130111</v>
      </c>
      <c r="G669" s="1049"/>
    </row>
    <row r="670" spans="1:7" s="14" customFormat="1" ht="16.5" customHeight="1">
      <c r="A670" s="31" t="str">
        <f t="shared" si="68"/>
        <v>NI</v>
      </c>
      <c r="B670" s="345">
        <v>51301111</v>
      </c>
      <c r="C670" s="345" t="s">
        <v>432</v>
      </c>
      <c r="D670" s="347">
        <v>3642061750</v>
      </c>
      <c r="E670" s="348">
        <v>499856.38</v>
      </c>
      <c r="F670" s="1058">
        <f>+VLOOKUP(B670,Composición!$C$5:$D$1768,1,0)</f>
        <v>51301111</v>
      </c>
      <c r="G670" s="1049"/>
    </row>
    <row r="671" spans="1:7" s="14" customFormat="1" ht="16.5" customHeight="1">
      <c r="A671" s="14" t="str">
        <f t="shared" si="68"/>
        <v>I</v>
      </c>
      <c r="B671" s="345">
        <v>5130111101</v>
      </c>
      <c r="C671" s="345" t="s">
        <v>433</v>
      </c>
      <c r="D671" s="347">
        <v>3032294448</v>
      </c>
      <c r="E671" s="348">
        <v>416204.11</v>
      </c>
      <c r="F671" s="1058">
        <f>+VLOOKUP(B671,Composición!$C$5:$D$1768,1,0)</f>
        <v>5130111101</v>
      </c>
      <c r="G671" s="1049">
        <f t="shared" si="67"/>
        <v>-2097816653</v>
      </c>
    </row>
    <row r="672" spans="1:7" s="14" customFormat="1" ht="16.5" customHeight="1">
      <c r="A672" s="14" t="str">
        <f t="shared" si="68"/>
        <v>I</v>
      </c>
      <c r="B672" s="345">
        <v>5130111102</v>
      </c>
      <c r="C672" s="345" t="s">
        <v>434</v>
      </c>
      <c r="D672" s="347">
        <v>37365531</v>
      </c>
      <c r="E672" s="348">
        <v>5165.66</v>
      </c>
      <c r="F672" s="1058">
        <f>+VLOOKUP(B672,Composición!$C$5:$D$1768,1,0)</f>
        <v>5130111102</v>
      </c>
      <c r="G672" s="1049">
        <f t="shared" si="67"/>
        <v>-5092745571</v>
      </c>
    </row>
    <row r="673" spans="1:7" s="14" customFormat="1" ht="16.5" customHeight="1">
      <c r="A673" s="14" t="str">
        <f t="shared" si="68"/>
        <v>I</v>
      </c>
      <c r="B673" s="345">
        <v>5130111104</v>
      </c>
      <c r="C673" s="345" t="s">
        <v>435</v>
      </c>
      <c r="D673" s="347">
        <v>346255473</v>
      </c>
      <c r="E673" s="348">
        <v>47530.29</v>
      </c>
      <c r="F673" s="1058">
        <f>+VLOOKUP(B673,Composición!$C$5:$D$1768,1,0)</f>
        <v>5130111104</v>
      </c>
      <c r="G673" s="1049">
        <f t="shared" si="67"/>
        <v>-4783855631</v>
      </c>
    </row>
    <row r="674" spans="1:7" s="14" customFormat="1" ht="16.5" customHeight="1">
      <c r="A674" s="31" t="str">
        <f t="shared" si="68"/>
        <v>I</v>
      </c>
      <c r="B674" s="345">
        <v>5130111105</v>
      </c>
      <c r="C674" s="345" t="s">
        <v>436</v>
      </c>
      <c r="D674" s="347">
        <v>166491296</v>
      </c>
      <c r="E674" s="348">
        <v>22832.42</v>
      </c>
      <c r="F674" s="1058">
        <f>+VLOOKUP(B674,Composición!$C$5:$D$1768,1,0)</f>
        <v>5130111105</v>
      </c>
      <c r="G674" s="1049"/>
    </row>
    <row r="675" spans="1:7" s="14" customFormat="1" ht="16.5" customHeight="1">
      <c r="A675" s="31" t="str">
        <f t="shared" si="68"/>
        <v>I</v>
      </c>
      <c r="B675" s="345">
        <v>5130111106</v>
      </c>
      <c r="C675" s="345" t="s">
        <v>437</v>
      </c>
      <c r="D675" s="347">
        <v>15329269</v>
      </c>
      <c r="E675" s="348">
        <v>2100.0700000000002</v>
      </c>
      <c r="F675" s="1058">
        <f>+VLOOKUP(B675,Composición!$C$5:$D$1768,1,0)</f>
        <v>5130111106</v>
      </c>
      <c r="G675" s="1049"/>
    </row>
    <row r="676" spans="1:7" s="14" customFormat="1" ht="16.5" customHeight="1">
      <c r="A676" s="31" t="str">
        <f t="shared" si="68"/>
        <v>I</v>
      </c>
      <c r="B676" s="345">
        <v>5130111107</v>
      </c>
      <c r="C676" s="345" t="s">
        <v>438</v>
      </c>
      <c r="D676" s="347">
        <v>44325733</v>
      </c>
      <c r="E676" s="348">
        <v>6023.83</v>
      </c>
      <c r="F676" s="1058">
        <f>+VLOOKUP(B676,Composición!$C$5:$D$1768,1,0)</f>
        <v>5130111107</v>
      </c>
      <c r="G676" s="1049"/>
    </row>
    <row r="677" spans="1:7" s="14" customFormat="1" ht="16.5" customHeight="1">
      <c r="A677" s="31" t="str">
        <f t="shared" si="68"/>
        <v>NI</v>
      </c>
      <c r="B677" s="345">
        <v>51302</v>
      </c>
      <c r="C677" s="345" t="s">
        <v>224</v>
      </c>
      <c r="D677" s="347">
        <v>1751034954</v>
      </c>
      <c r="E677" s="348">
        <v>240636.432</v>
      </c>
      <c r="F677" s="1058">
        <f>+VLOOKUP(B677,Composición!$C$5:$D$1768,1,0)</f>
        <v>51302</v>
      </c>
      <c r="G677" s="1049"/>
    </row>
    <row r="678" spans="1:7" s="14" customFormat="1" ht="16.5" customHeight="1">
      <c r="A678" s="14" t="str">
        <f t="shared" si="68"/>
        <v>NI</v>
      </c>
      <c r="B678" s="345">
        <v>513021</v>
      </c>
      <c r="C678" s="345" t="s">
        <v>224</v>
      </c>
      <c r="D678" s="347">
        <v>1751034954</v>
      </c>
      <c r="E678" s="348">
        <v>240636.432</v>
      </c>
      <c r="F678" s="1058">
        <f>+VLOOKUP(B678,Composición!$C$5:$D$1768,1,0)</f>
        <v>513021</v>
      </c>
      <c r="G678" s="1049">
        <f>+D678-F678</f>
        <v>1750521933</v>
      </c>
    </row>
    <row r="679" spans="1:7" s="14" customFormat="1" ht="16.5" customHeight="1">
      <c r="A679" s="31" t="str">
        <f t="shared" si="68"/>
        <v>NI</v>
      </c>
      <c r="B679" s="350">
        <v>5130211</v>
      </c>
      <c r="C679" s="350" t="s">
        <v>224</v>
      </c>
      <c r="D679" s="340">
        <v>1751034954</v>
      </c>
      <c r="E679" s="341">
        <v>240636.432</v>
      </c>
      <c r="F679" s="1058">
        <f>+VLOOKUP(B679,Composición!$C$5:$D$1768,1,0)</f>
        <v>5130211</v>
      </c>
      <c r="G679" s="1049"/>
    </row>
    <row r="680" spans="1:7" s="14" customFormat="1" ht="16.5" customHeight="1">
      <c r="A680" s="31" t="str">
        <f t="shared" si="68"/>
        <v>NI</v>
      </c>
      <c r="B680" s="350">
        <v>51302111</v>
      </c>
      <c r="C680" s="350" t="s">
        <v>224</v>
      </c>
      <c r="D680" s="340">
        <v>1751034954</v>
      </c>
      <c r="E680" s="341">
        <v>240636.432</v>
      </c>
      <c r="F680" s="1058">
        <f>+VLOOKUP(B680,Composición!$C$5:$D$1768,1,0)</f>
        <v>51302111</v>
      </c>
      <c r="G680" s="1049"/>
    </row>
    <row r="681" spans="1:7" s="14" customFormat="1" ht="16.5" customHeight="1">
      <c r="A681" s="31" t="str">
        <f t="shared" si="68"/>
        <v>I</v>
      </c>
      <c r="B681" s="350">
        <v>5130211101</v>
      </c>
      <c r="C681" s="350" t="s">
        <v>439</v>
      </c>
      <c r="D681" s="340">
        <v>823325839</v>
      </c>
      <c r="E681" s="341">
        <v>113137.2</v>
      </c>
      <c r="F681" s="1058">
        <f>+VLOOKUP(B681,Composición!$C$5:$D$1768,1,0)</f>
        <v>5130211101</v>
      </c>
      <c r="G681" s="1049"/>
    </row>
    <row r="682" spans="1:7" s="14" customFormat="1" ht="16.5" customHeight="1">
      <c r="A682" s="31" t="str">
        <f t="shared" si="68"/>
        <v>I</v>
      </c>
      <c r="B682" s="345">
        <v>5130211102</v>
      </c>
      <c r="C682" s="345" t="s">
        <v>440</v>
      </c>
      <c r="D682" s="347">
        <v>40111794</v>
      </c>
      <c r="E682" s="348">
        <v>5417.9</v>
      </c>
      <c r="F682" s="1058">
        <f>+VLOOKUP(B682,Composición!$C$5:$D$1768,1,0)</f>
        <v>5130211102</v>
      </c>
      <c r="G682" s="1049"/>
    </row>
    <row r="683" spans="1:7" s="14" customFormat="1" ht="16.5" customHeight="1">
      <c r="A683" s="14" t="str">
        <f t="shared" si="68"/>
        <v>I</v>
      </c>
      <c r="B683" s="345">
        <v>5130211103</v>
      </c>
      <c r="C683" s="345" t="s">
        <v>441</v>
      </c>
      <c r="D683" s="347">
        <v>155000000</v>
      </c>
      <c r="E683" s="348">
        <v>21622.52</v>
      </c>
      <c r="F683" s="1058">
        <f>+VLOOKUP(B683,Composición!$C$5:$D$1768,1,0)</f>
        <v>5130211103</v>
      </c>
      <c r="G683" s="1049">
        <f t="shared" ref="G683:G710" si="69">+D683-F683</f>
        <v>-4975211103</v>
      </c>
    </row>
    <row r="684" spans="1:7" s="14" customFormat="1" ht="16.5" customHeight="1">
      <c r="A684" s="14" t="str">
        <f t="shared" si="68"/>
        <v>I</v>
      </c>
      <c r="B684" s="345">
        <v>5130211104</v>
      </c>
      <c r="C684" s="345" t="s">
        <v>442</v>
      </c>
      <c r="D684" s="347">
        <v>65810726</v>
      </c>
      <c r="E684" s="348">
        <v>9064.8700000000008</v>
      </c>
      <c r="F684" s="1058">
        <f>+VLOOKUP(B684,Composición!$C$5:$D$1768,1,0)</f>
        <v>5130211104</v>
      </c>
      <c r="G684" s="1049">
        <f t="shared" si="69"/>
        <v>-5064400378</v>
      </c>
    </row>
    <row r="685" spans="1:7" s="14" customFormat="1" ht="16.5" customHeight="1">
      <c r="A685" s="14" t="str">
        <f t="shared" si="68"/>
        <v>I</v>
      </c>
      <c r="B685" s="781">
        <v>5130211105</v>
      </c>
      <c r="C685" s="781" t="s">
        <v>443</v>
      </c>
      <c r="D685" s="782">
        <v>2763636</v>
      </c>
      <c r="E685" s="783">
        <v>383.32</v>
      </c>
      <c r="F685" s="1058">
        <f>+VLOOKUP(B685,Composición!$C$5:$D$1768,1,0)</f>
        <v>5130211105</v>
      </c>
      <c r="G685" s="1049">
        <f t="shared" si="69"/>
        <v>-5127447469</v>
      </c>
    </row>
    <row r="686" spans="1:7" s="14" customFormat="1" ht="16.5" customHeight="1">
      <c r="A686" s="31" t="str">
        <f t="shared" si="68"/>
        <v>I</v>
      </c>
      <c r="B686" s="345">
        <v>5130211106</v>
      </c>
      <c r="C686" s="345" t="s">
        <v>444</v>
      </c>
      <c r="D686" s="347">
        <v>74304086</v>
      </c>
      <c r="E686" s="348">
        <v>10176.4</v>
      </c>
      <c r="F686" s="1058">
        <f>+VLOOKUP(B686,Composición!$C$5:$D$1768,1,0)</f>
        <v>5130211106</v>
      </c>
      <c r="G686" s="1049"/>
    </row>
    <row r="687" spans="1:7" s="14" customFormat="1" ht="16.5" customHeight="1">
      <c r="A687" s="31" t="str">
        <f t="shared" si="68"/>
        <v>I</v>
      </c>
      <c r="B687" s="350">
        <v>5130211107</v>
      </c>
      <c r="C687" s="350" t="s">
        <v>445</v>
      </c>
      <c r="D687" s="340">
        <v>194945168</v>
      </c>
      <c r="E687" s="341">
        <v>26707.3</v>
      </c>
      <c r="F687" s="1058">
        <f>+VLOOKUP(B687,Composición!$C$5:$D$1768,1,0)</f>
        <v>5130211107</v>
      </c>
      <c r="G687" s="1049"/>
    </row>
    <row r="688" spans="1:7" s="14" customFormat="1" ht="16.5" customHeight="1">
      <c r="A688" s="31" t="str">
        <f t="shared" si="68"/>
        <v>I</v>
      </c>
      <c r="B688" s="350">
        <v>5130211108</v>
      </c>
      <c r="C688" s="350" t="s">
        <v>446</v>
      </c>
      <c r="D688" s="340">
        <v>384978312</v>
      </c>
      <c r="E688" s="341">
        <v>52797.752</v>
      </c>
      <c r="F688" s="1058">
        <f>+VLOOKUP(B688,Composición!$C$5:$D$1768,1,0)</f>
        <v>5130211108</v>
      </c>
      <c r="G688" s="1049"/>
    </row>
    <row r="689" spans="1:7" s="14" customFormat="1" ht="16.5" customHeight="1">
      <c r="A689" s="31" t="str">
        <f t="shared" si="68"/>
        <v>I</v>
      </c>
      <c r="B689" s="350">
        <v>5130211109</v>
      </c>
      <c r="C689" s="350" t="s">
        <v>447</v>
      </c>
      <c r="D689" s="340">
        <v>445393</v>
      </c>
      <c r="E689" s="341">
        <v>60.39</v>
      </c>
      <c r="F689" s="1058">
        <f>+VLOOKUP(B689,Composición!$C$5:$D$1768,1,0)</f>
        <v>5130211109</v>
      </c>
      <c r="G689" s="1049"/>
    </row>
    <row r="690" spans="1:7" s="14" customFormat="1" ht="16.5" customHeight="1">
      <c r="A690" s="14" t="str">
        <f t="shared" si="68"/>
        <v>I</v>
      </c>
      <c r="B690" s="345">
        <v>5130211111</v>
      </c>
      <c r="C690" s="345" t="s">
        <v>448</v>
      </c>
      <c r="D690" s="347">
        <v>9350000</v>
      </c>
      <c r="E690" s="348">
        <v>1268.78</v>
      </c>
      <c r="F690" s="1058">
        <f>+VLOOKUP(B690,Composición!$C$5:$D$1768,1,0)</f>
        <v>5130211111</v>
      </c>
      <c r="G690" s="1049">
        <f t="shared" si="69"/>
        <v>-5120861111</v>
      </c>
    </row>
    <row r="691" spans="1:7" s="14" customFormat="1" ht="16.5" customHeight="1">
      <c r="A691" s="14" t="str">
        <f t="shared" si="68"/>
        <v>NI</v>
      </c>
      <c r="B691" s="345">
        <v>51303</v>
      </c>
      <c r="C691" s="345" t="s">
        <v>438</v>
      </c>
      <c r="D691" s="347">
        <v>1749740001</v>
      </c>
      <c r="E691" s="348">
        <v>239669.59000000003</v>
      </c>
      <c r="F691" s="1058">
        <f>+VLOOKUP(B691,Composición!$C$5:$D$1768,1,0)</f>
        <v>51303</v>
      </c>
      <c r="G691" s="1049">
        <f t="shared" si="69"/>
        <v>1749688698</v>
      </c>
    </row>
    <row r="692" spans="1:7" s="14" customFormat="1" ht="16.5" customHeight="1">
      <c r="A692" s="31" t="str">
        <f t="shared" si="68"/>
        <v>NI</v>
      </c>
      <c r="B692" s="345">
        <v>513031</v>
      </c>
      <c r="C692" s="345" t="s">
        <v>438</v>
      </c>
      <c r="D692" s="347">
        <v>1749740001</v>
      </c>
      <c r="E692" s="348">
        <v>239669.59000000003</v>
      </c>
      <c r="F692" s="1058">
        <f>+VLOOKUP(B692,Composición!$C$5:$D$1768,1,0)</f>
        <v>513031</v>
      </c>
      <c r="G692" s="1049"/>
    </row>
    <row r="693" spans="1:7" s="14" customFormat="1" ht="16.5" customHeight="1">
      <c r="A693" s="31" t="str">
        <f t="shared" si="68"/>
        <v>NI</v>
      </c>
      <c r="B693" s="345">
        <v>5130311</v>
      </c>
      <c r="C693" s="345" t="s">
        <v>438</v>
      </c>
      <c r="D693" s="347">
        <v>1749740001</v>
      </c>
      <c r="E693" s="348">
        <v>239669.59000000003</v>
      </c>
      <c r="F693" s="1058">
        <f>+VLOOKUP(B693,Composición!$C$5:$D$1768,1,0)</f>
        <v>5130311</v>
      </c>
      <c r="G693" s="1049"/>
    </row>
    <row r="694" spans="1:7" s="14" customFormat="1" ht="16.5" customHeight="1">
      <c r="A694" s="31" t="str">
        <f t="shared" si="68"/>
        <v>NI</v>
      </c>
      <c r="B694" s="345">
        <v>51303111</v>
      </c>
      <c r="C694" s="345" t="s">
        <v>438</v>
      </c>
      <c r="D694" s="347">
        <v>1749740001</v>
      </c>
      <c r="E694" s="348">
        <v>239669.59000000003</v>
      </c>
      <c r="F694" s="1058">
        <f>+VLOOKUP(B694,Composición!$C$5:$D$1768,1,0)</f>
        <v>51303111</v>
      </c>
      <c r="G694" s="1049"/>
    </row>
    <row r="695" spans="1:7" s="14" customFormat="1" ht="16.5" customHeight="1">
      <c r="A695" s="14" t="str">
        <f t="shared" si="68"/>
        <v>I</v>
      </c>
      <c r="B695" s="345">
        <v>5130311102</v>
      </c>
      <c r="C695" s="345" t="s">
        <v>449</v>
      </c>
      <c r="D695" s="347">
        <v>720000000</v>
      </c>
      <c r="E695" s="348">
        <v>98705.79</v>
      </c>
      <c r="F695" s="1058">
        <f>+VLOOKUP(B695,Composición!$C$5:$D$1768,1,0)</f>
        <v>5130311102</v>
      </c>
      <c r="G695" s="1049">
        <f t="shared" si="69"/>
        <v>-4410311102</v>
      </c>
    </row>
    <row r="696" spans="1:7" s="14" customFormat="1" ht="16.5" customHeight="1">
      <c r="A696" s="14" t="str">
        <f t="shared" si="68"/>
        <v>I</v>
      </c>
      <c r="B696" s="345">
        <v>5130311103</v>
      </c>
      <c r="C696" s="345" t="s">
        <v>450</v>
      </c>
      <c r="D696" s="347">
        <v>60000000</v>
      </c>
      <c r="E696" s="348">
        <v>8244.94</v>
      </c>
      <c r="F696" s="1058">
        <f>+VLOOKUP(B696,Composición!$C$5:$D$1768,1,0)</f>
        <v>5130311103</v>
      </c>
      <c r="G696" s="1049">
        <f t="shared" si="69"/>
        <v>-5070311103</v>
      </c>
    </row>
    <row r="697" spans="1:7" s="14" customFormat="1" ht="16.5" customHeight="1">
      <c r="A697" s="14" t="str">
        <f t="shared" si="68"/>
        <v>I</v>
      </c>
      <c r="B697" s="350">
        <v>5130311104</v>
      </c>
      <c r="C697" s="350" t="s">
        <v>451</v>
      </c>
      <c r="D697" s="340">
        <v>969740001</v>
      </c>
      <c r="E697" s="341">
        <v>132718.85999999999</v>
      </c>
      <c r="F697" s="1058">
        <f>+VLOOKUP(B697,Composición!$C$5:$D$1768,1,0)</f>
        <v>5130311104</v>
      </c>
      <c r="G697" s="1049">
        <f t="shared" si="69"/>
        <v>-4160571103</v>
      </c>
    </row>
    <row r="698" spans="1:7" s="14" customFormat="1" ht="16.5" customHeight="1">
      <c r="A698" s="14" t="str">
        <f t="shared" si="68"/>
        <v>NI</v>
      </c>
      <c r="B698" s="345">
        <v>51304</v>
      </c>
      <c r="C698" s="345" t="s">
        <v>452</v>
      </c>
      <c r="D698" s="347">
        <v>1768541677</v>
      </c>
      <c r="E698" s="348">
        <v>242823.93</v>
      </c>
      <c r="F698" s="1058">
        <f>+VLOOKUP(B698,Composición!$C$5:$D$1768,1,0)</f>
        <v>51304</v>
      </c>
      <c r="G698" s="1049">
        <f t="shared" si="69"/>
        <v>1768490373</v>
      </c>
    </row>
    <row r="699" spans="1:7" s="14" customFormat="1" ht="16.5" customHeight="1">
      <c r="A699" s="14" t="str">
        <f t="shared" si="68"/>
        <v>NI</v>
      </c>
      <c r="B699" s="350">
        <v>513041</v>
      </c>
      <c r="C699" s="350" t="s">
        <v>452</v>
      </c>
      <c r="D699" s="340">
        <v>1768541677</v>
      </c>
      <c r="E699" s="341">
        <v>242823.93</v>
      </c>
      <c r="F699" s="1058">
        <f>+VLOOKUP(B699,Composición!$C$5:$D$1768,1,0)</f>
        <v>513041</v>
      </c>
      <c r="G699" s="1049">
        <f t="shared" si="69"/>
        <v>1768028636</v>
      </c>
    </row>
    <row r="700" spans="1:7" s="14" customFormat="1" ht="16.5" customHeight="1">
      <c r="A700" s="14" t="str">
        <f t="shared" si="68"/>
        <v>NI</v>
      </c>
      <c r="B700" s="350">
        <v>5130411</v>
      </c>
      <c r="C700" s="350" t="s">
        <v>452</v>
      </c>
      <c r="D700" s="340">
        <v>1768541677</v>
      </c>
      <c r="E700" s="341">
        <v>242823.93</v>
      </c>
      <c r="F700" s="1058">
        <f>+VLOOKUP(B700,Composición!$C$5:$D$1768,1,0)</f>
        <v>5130411</v>
      </c>
      <c r="G700" s="1049">
        <f t="shared" si="69"/>
        <v>1763411266</v>
      </c>
    </row>
    <row r="701" spans="1:7" s="14" customFormat="1" ht="16.5" customHeight="1">
      <c r="A701" s="14" t="str">
        <f t="shared" si="68"/>
        <v>NI</v>
      </c>
      <c r="B701" s="345">
        <v>51304111</v>
      </c>
      <c r="C701" s="345" t="s">
        <v>452</v>
      </c>
      <c r="D701" s="347">
        <v>1768541677</v>
      </c>
      <c r="E701" s="348">
        <v>242823.93</v>
      </c>
      <c r="F701" s="1058">
        <f>+VLOOKUP(B701,Composición!$C$5:$D$1768,1,0)</f>
        <v>51304111</v>
      </c>
      <c r="G701" s="1049">
        <f t="shared" si="69"/>
        <v>1717237566</v>
      </c>
    </row>
    <row r="702" spans="1:7" s="14" customFormat="1" ht="16.5" customHeight="1">
      <c r="A702" s="14" t="str">
        <f t="shared" si="68"/>
        <v>I</v>
      </c>
      <c r="B702" s="345">
        <v>5130411101</v>
      </c>
      <c r="C702" s="345" t="s">
        <v>453</v>
      </c>
      <c r="D702" s="347">
        <v>200415731</v>
      </c>
      <c r="E702" s="348">
        <v>27499.999999999996</v>
      </c>
      <c r="F702" s="1058">
        <f>+VLOOKUP(B702,Composición!$C$5:$D$1768,1,0)</f>
        <v>5130411101</v>
      </c>
      <c r="G702" s="1049">
        <f t="shared" si="69"/>
        <v>-4929995370</v>
      </c>
    </row>
    <row r="703" spans="1:7" s="14" customFormat="1" ht="16.5" customHeight="1">
      <c r="A703" s="14" t="str">
        <f t="shared" si="68"/>
        <v>I</v>
      </c>
      <c r="B703" s="345">
        <v>5130411103</v>
      </c>
      <c r="C703" s="345" t="s">
        <v>454</v>
      </c>
      <c r="D703" s="347">
        <v>36711026</v>
      </c>
      <c r="E703" s="348">
        <v>5050.91</v>
      </c>
      <c r="F703" s="1058">
        <f>+VLOOKUP(B703,Composición!$C$5:$D$1768,1,0)</f>
        <v>5130411103</v>
      </c>
      <c r="G703" s="1049">
        <f t="shared" si="69"/>
        <v>-5093700077</v>
      </c>
    </row>
    <row r="704" spans="1:7" s="14" customFormat="1" ht="16.5" customHeight="1">
      <c r="A704" s="14" t="str">
        <f t="shared" si="68"/>
        <v>I</v>
      </c>
      <c r="B704" s="345">
        <v>5130411104</v>
      </c>
      <c r="C704" s="345" t="s">
        <v>455</v>
      </c>
      <c r="D704" s="347">
        <v>19603456</v>
      </c>
      <c r="E704" s="348">
        <v>2636.88</v>
      </c>
      <c r="F704" s="1058">
        <f>+VLOOKUP(B704,Composición!$C$5:$D$1768,1,0)</f>
        <v>5130411104</v>
      </c>
      <c r="G704" s="1049">
        <f t="shared" si="69"/>
        <v>-5110807648</v>
      </c>
    </row>
    <row r="705" spans="1:7" s="14" customFormat="1" ht="16.5" customHeight="1">
      <c r="A705" s="14" t="str">
        <f t="shared" si="68"/>
        <v>I</v>
      </c>
      <c r="B705" s="345">
        <v>5130411105</v>
      </c>
      <c r="C705" s="345" t="s">
        <v>456</v>
      </c>
      <c r="D705" s="347">
        <v>186655252</v>
      </c>
      <c r="E705" s="348">
        <v>25636.36</v>
      </c>
      <c r="F705" s="1058">
        <f>+VLOOKUP(B705,Composición!$C$5:$D$1768,1,0)</f>
        <v>5130411105</v>
      </c>
      <c r="G705" s="1049">
        <f t="shared" si="69"/>
        <v>-4943755853</v>
      </c>
    </row>
    <row r="706" spans="1:7" s="14" customFormat="1" ht="16.5" customHeight="1">
      <c r="A706" s="14" t="str">
        <f t="shared" si="68"/>
        <v>I</v>
      </c>
      <c r="B706" s="350">
        <v>5130411106</v>
      </c>
      <c r="C706" s="350" t="s">
        <v>457</v>
      </c>
      <c r="D706" s="340">
        <v>327038116</v>
      </c>
      <c r="E706" s="341">
        <v>44871.4</v>
      </c>
      <c r="F706" s="1058">
        <f>+VLOOKUP(B706,Composición!$C$5:$D$1768,1,0)</f>
        <v>5130411106</v>
      </c>
      <c r="G706" s="1049">
        <f t="shared" si="69"/>
        <v>-4803372990</v>
      </c>
    </row>
    <row r="707" spans="1:7" s="14" customFormat="1" ht="16.5" customHeight="1">
      <c r="A707" s="14" t="str">
        <f t="shared" si="68"/>
        <v>I</v>
      </c>
      <c r="B707" s="350">
        <v>5130411107</v>
      </c>
      <c r="C707" s="350" t="s">
        <v>458</v>
      </c>
      <c r="D707" s="340">
        <v>982095870</v>
      </c>
      <c r="E707" s="341">
        <v>134929.47999999998</v>
      </c>
      <c r="F707" s="1058">
        <f>+VLOOKUP(B707,Composición!$C$5:$D$1768,1,0)</f>
        <v>5130411107</v>
      </c>
      <c r="G707" s="1049">
        <f t="shared" si="69"/>
        <v>-4148315237</v>
      </c>
    </row>
    <row r="708" spans="1:7" s="14" customFormat="1" ht="16.5" customHeight="1">
      <c r="A708" s="14" t="str">
        <f t="shared" si="68"/>
        <v>I</v>
      </c>
      <c r="B708" s="345">
        <v>5130411109</v>
      </c>
      <c r="C708" s="345" t="s">
        <v>459</v>
      </c>
      <c r="D708" s="347">
        <v>9598830</v>
      </c>
      <c r="E708" s="348">
        <v>1313.49</v>
      </c>
      <c r="F708" s="1058">
        <f>+VLOOKUP(B708,Composición!$C$5:$D$1768,1,0)</f>
        <v>5130411109</v>
      </c>
      <c r="G708" s="1049">
        <f t="shared" si="69"/>
        <v>-5120812279</v>
      </c>
    </row>
    <row r="709" spans="1:7" s="14" customFormat="1" ht="16.5" customHeight="1">
      <c r="A709" s="14" t="str">
        <f t="shared" si="68"/>
        <v>I</v>
      </c>
      <c r="B709" s="350">
        <v>5130411110</v>
      </c>
      <c r="C709" s="350" t="s">
        <v>460</v>
      </c>
      <c r="D709" s="340">
        <v>6423396</v>
      </c>
      <c r="E709" s="341">
        <v>885.41</v>
      </c>
      <c r="F709" s="1058">
        <f>+VLOOKUP(B709,Composición!$C$5:$D$1768,1,0)</f>
        <v>5130411110</v>
      </c>
      <c r="G709" s="1049">
        <f t="shared" si="69"/>
        <v>-5123987714</v>
      </c>
    </row>
    <row r="710" spans="1:7" s="14" customFormat="1" ht="16.5" customHeight="1">
      <c r="A710" s="14" t="str">
        <f t="shared" si="68"/>
        <v>NI</v>
      </c>
      <c r="B710" s="345">
        <v>51305</v>
      </c>
      <c r="C710" s="345" t="s">
        <v>461</v>
      </c>
      <c r="D710" s="347">
        <v>1157423177</v>
      </c>
      <c r="E710" s="348">
        <v>164850.39000000001</v>
      </c>
      <c r="F710" s="1058">
        <f>+VLOOKUP(B710,Composición!$C$5:$D$1768,1,0)</f>
        <v>51305</v>
      </c>
      <c r="G710" s="1049">
        <f t="shared" si="69"/>
        <v>1157371872</v>
      </c>
    </row>
    <row r="711" spans="1:7" s="14" customFormat="1" ht="16.5" customHeight="1">
      <c r="A711" s="31" t="str">
        <f t="shared" si="68"/>
        <v>NI</v>
      </c>
      <c r="B711" s="345">
        <v>513052</v>
      </c>
      <c r="C711" s="345" t="s">
        <v>462</v>
      </c>
      <c r="D711" s="347">
        <v>1157423177</v>
      </c>
      <c r="E711" s="348">
        <v>164850.39000000001</v>
      </c>
      <c r="F711" s="1058">
        <f>+VLOOKUP(B711,Composición!$C$5:$D$1768,1,0)</f>
        <v>513052</v>
      </c>
      <c r="G711" s="1049"/>
    </row>
    <row r="712" spans="1:7" s="14" customFormat="1" ht="16.5" customHeight="1">
      <c r="A712" s="31" t="str">
        <f t="shared" si="68"/>
        <v>NI</v>
      </c>
      <c r="B712" s="350">
        <v>5130521</v>
      </c>
      <c r="C712" s="350" t="s">
        <v>462</v>
      </c>
      <c r="D712" s="340">
        <v>1157423177</v>
      </c>
      <c r="E712" s="341">
        <v>164850.39000000001</v>
      </c>
      <c r="F712" s="1058">
        <f>+VLOOKUP(B712,Composición!$C$5:$D$1768,1,0)</f>
        <v>5130521</v>
      </c>
      <c r="G712" s="1049"/>
    </row>
    <row r="713" spans="1:7" s="14" customFormat="1" ht="16.5" customHeight="1">
      <c r="A713" s="31" t="str">
        <f t="shared" si="68"/>
        <v>NI</v>
      </c>
      <c r="B713" s="345">
        <v>51305211</v>
      </c>
      <c r="C713" s="345" t="s">
        <v>462</v>
      </c>
      <c r="D713" s="347">
        <v>1157423177</v>
      </c>
      <c r="E713" s="348">
        <v>164850.39000000001</v>
      </c>
      <c r="F713" s="1058">
        <f>+VLOOKUP(B713,Composición!$C$5:$D$1768,1,0)</f>
        <v>51305211</v>
      </c>
      <c r="G713" s="1049"/>
    </row>
    <row r="714" spans="1:7" s="14" customFormat="1" ht="16.5" customHeight="1">
      <c r="A714" s="31" t="str">
        <f t="shared" si="68"/>
        <v>I</v>
      </c>
      <c r="B714" s="345">
        <v>5130521102</v>
      </c>
      <c r="C714" s="345" t="s">
        <v>463</v>
      </c>
      <c r="D714" s="347">
        <v>361724754</v>
      </c>
      <c r="E714" s="348">
        <v>50000.04</v>
      </c>
      <c r="F714" s="1058">
        <f>+VLOOKUP(B714,Composición!$C$5:$D$1768,1,0)</f>
        <v>5130521102</v>
      </c>
      <c r="G714" s="1049"/>
    </row>
    <row r="715" spans="1:7" s="14" customFormat="1" ht="16.5" customHeight="1">
      <c r="A715" s="31" t="str">
        <f t="shared" si="68"/>
        <v>I</v>
      </c>
      <c r="B715" s="345">
        <v>5130521104</v>
      </c>
      <c r="C715" s="345" t="s">
        <v>464</v>
      </c>
      <c r="D715" s="347">
        <v>425583425</v>
      </c>
      <c r="E715" s="348">
        <v>61112.37</v>
      </c>
      <c r="F715" s="1058">
        <f>+VLOOKUP(B715,Composición!$C$5:$D$1768,1,0)</f>
        <v>5130521104</v>
      </c>
      <c r="G715" s="1049"/>
    </row>
    <row r="716" spans="1:7" s="14" customFormat="1" ht="16.5" customHeight="1">
      <c r="A716" s="14" t="str">
        <f t="shared" si="68"/>
        <v>I</v>
      </c>
      <c r="B716" s="345">
        <v>5130521105</v>
      </c>
      <c r="C716" s="345" t="s">
        <v>465</v>
      </c>
      <c r="D716" s="347">
        <v>370114998</v>
      </c>
      <c r="E716" s="348">
        <v>53737.979999999996</v>
      </c>
      <c r="F716" s="1058">
        <f>+VLOOKUP(B716,Composición!$C$5:$D$1768,1,0)</f>
        <v>5130521105</v>
      </c>
      <c r="G716" s="1049">
        <f>+D716-F716</f>
        <v>-4760406107</v>
      </c>
    </row>
    <row r="717" spans="1:7" s="14" customFormat="1" ht="16.5" customHeight="1">
      <c r="A717" s="31" t="str">
        <f t="shared" si="68"/>
        <v>NI</v>
      </c>
      <c r="B717" s="345">
        <v>51306</v>
      </c>
      <c r="C717" s="345" t="s">
        <v>466</v>
      </c>
      <c r="D717" s="347">
        <v>7655860</v>
      </c>
      <c r="E717" s="348">
        <v>1046.32</v>
      </c>
      <c r="F717" s="1058">
        <f>+VLOOKUP(B717,Composición!$C$5:$D$1768,1,0)</f>
        <v>51306</v>
      </c>
      <c r="G717" s="1049"/>
    </row>
    <row r="718" spans="1:7" s="14" customFormat="1" ht="16.5" customHeight="1">
      <c r="A718" s="14" t="str">
        <f t="shared" si="68"/>
        <v>NI</v>
      </c>
      <c r="B718" s="345">
        <v>513061</v>
      </c>
      <c r="C718" s="345" t="s">
        <v>466</v>
      </c>
      <c r="D718" s="347">
        <v>7655860</v>
      </c>
      <c r="E718" s="348">
        <v>1046.32</v>
      </c>
      <c r="F718" s="1058">
        <f>+VLOOKUP(B718,Composición!$C$5:$D$1768,1,0)</f>
        <v>513061</v>
      </c>
      <c r="G718" s="1049">
        <f t="shared" ref="G718:G720" si="70">+D718-F718</f>
        <v>7142799</v>
      </c>
    </row>
    <row r="719" spans="1:7" s="14" customFormat="1" ht="16.5" customHeight="1">
      <c r="A719" s="14" t="str">
        <f t="shared" si="68"/>
        <v>NI</v>
      </c>
      <c r="B719" s="345">
        <v>5130611</v>
      </c>
      <c r="C719" s="345" t="s">
        <v>466</v>
      </c>
      <c r="D719" s="347">
        <v>7655860</v>
      </c>
      <c r="E719" s="348">
        <v>1046.32</v>
      </c>
      <c r="F719" s="1058">
        <f>+VLOOKUP(B719,Composición!$C$5:$D$1768,1,0)</f>
        <v>5130611</v>
      </c>
      <c r="G719" s="1049">
        <f t="shared" si="70"/>
        <v>2525249</v>
      </c>
    </row>
    <row r="720" spans="1:7" s="14" customFormat="1" ht="16.5" customHeight="1">
      <c r="A720" s="14" t="str">
        <f t="shared" si="68"/>
        <v>NI</v>
      </c>
      <c r="B720" s="345">
        <v>51306111</v>
      </c>
      <c r="C720" s="345" t="s">
        <v>466</v>
      </c>
      <c r="D720" s="347">
        <v>7655860</v>
      </c>
      <c r="E720" s="348">
        <v>1046.32</v>
      </c>
      <c r="F720" s="1058">
        <f>+VLOOKUP(B720,Composición!$C$5:$D$1768,1,0)</f>
        <v>51306111</v>
      </c>
      <c r="G720" s="1049">
        <f t="shared" si="70"/>
        <v>-43650251</v>
      </c>
    </row>
    <row r="721" spans="1:7" s="14" customFormat="1" ht="16.5" customHeight="1">
      <c r="A721" s="31" t="str">
        <f t="shared" si="68"/>
        <v>I</v>
      </c>
      <c r="B721" s="345">
        <v>5130611105</v>
      </c>
      <c r="C721" s="345" t="s">
        <v>467</v>
      </c>
      <c r="D721" s="347">
        <v>7655860</v>
      </c>
      <c r="E721" s="348">
        <v>1046.32</v>
      </c>
      <c r="F721" s="1058">
        <f>+VLOOKUP(B721,Composición!$C$5:$D$1768,1,0)</f>
        <v>5130611105</v>
      </c>
      <c r="G721" s="1049"/>
    </row>
    <row r="722" spans="1:7" s="14" customFormat="1" ht="16.5" customHeight="1">
      <c r="A722" s="14" t="str">
        <f t="shared" si="68"/>
        <v>NI</v>
      </c>
      <c r="B722" s="345">
        <v>51307</v>
      </c>
      <c r="C722" s="345" t="s">
        <v>468</v>
      </c>
      <c r="D722" s="347">
        <v>826940358</v>
      </c>
      <c r="E722" s="348">
        <v>113886.37</v>
      </c>
      <c r="F722" s="1058">
        <f>+VLOOKUP(B722,Composición!$C$5:$D$1768,1,0)</f>
        <v>51307</v>
      </c>
      <c r="G722" s="1049">
        <f t="shared" ref="G722:G723" si="71">+D722-F722</f>
        <v>826889051</v>
      </c>
    </row>
    <row r="723" spans="1:7" s="14" customFormat="1" ht="16.5" customHeight="1">
      <c r="A723" s="14" t="str">
        <f t="shared" si="68"/>
        <v>NI</v>
      </c>
      <c r="B723" s="345">
        <v>513071</v>
      </c>
      <c r="C723" s="345" t="s">
        <v>468</v>
      </c>
      <c r="D723" s="347">
        <v>826940358</v>
      </c>
      <c r="E723" s="348">
        <v>113886.37</v>
      </c>
      <c r="F723" s="1058">
        <f>+VLOOKUP(B723,Composición!$C$5:$D$1768,1,0)</f>
        <v>513071</v>
      </c>
      <c r="G723" s="1049">
        <f t="shared" si="71"/>
        <v>826427287</v>
      </c>
    </row>
    <row r="724" spans="1:7" s="14" customFormat="1" ht="16.5" customHeight="1">
      <c r="A724" s="31" t="str">
        <f t="shared" si="68"/>
        <v>NI</v>
      </c>
      <c r="B724" s="345">
        <v>5130711</v>
      </c>
      <c r="C724" s="345" t="s">
        <v>468</v>
      </c>
      <c r="D724" s="347">
        <v>826940358</v>
      </c>
      <c r="E724" s="348">
        <v>113886.37</v>
      </c>
      <c r="F724" s="1058">
        <f>+VLOOKUP(B724,Composición!$C$5:$D$1768,1,0)</f>
        <v>5130711</v>
      </c>
      <c r="G724" s="1049"/>
    </row>
    <row r="725" spans="1:7" s="14" customFormat="1" ht="16.5" customHeight="1">
      <c r="A725" s="31" t="str">
        <f t="shared" si="68"/>
        <v>NI</v>
      </c>
      <c r="B725" s="345">
        <v>51307111</v>
      </c>
      <c r="C725" s="345" t="s">
        <v>469</v>
      </c>
      <c r="D725" s="347">
        <v>826940358</v>
      </c>
      <c r="E725" s="348">
        <v>113886.37</v>
      </c>
      <c r="F725" s="1058">
        <f>+VLOOKUP(B725,Composición!$C$5:$D$1768,1,0)</f>
        <v>51307111</v>
      </c>
      <c r="G725" s="1049"/>
    </row>
    <row r="726" spans="1:7" s="14" customFormat="1" ht="16.5" customHeight="1">
      <c r="A726" s="31" t="str">
        <f t="shared" si="68"/>
        <v>I</v>
      </c>
      <c r="B726" s="345">
        <v>5130711101</v>
      </c>
      <c r="C726" s="345" t="s">
        <v>470</v>
      </c>
      <c r="D726" s="347">
        <v>349116460</v>
      </c>
      <c r="E726" s="348">
        <v>47722.73</v>
      </c>
      <c r="F726" s="1058">
        <f>+VLOOKUP(B726,Composición!$C$5:$D$1768,1,0)</f>
        <v>5130711101</v>
      </c>
      <c r="G726" s="1049"/>
    </row>
    <row r="727" spans="1:7" s="14" customFormat="1" ht="16.5" customHeight="1">
      <c r="A727" s="31" t="str">
        <f t="shared" si="68"/>
        <v>I</v>
      </c>
      <c r="B727" s="345">
        <v>5130711102</v>
      </c>
      <c r="C727" s="345" t="s">
        <v>471</v>
      </c>
      <c r="D727" s="347">
        <v>97080430</v>
      </c>
      <c r="E727" s="348">
        <v>13257.65</v>
      </c>
      <c r="F727" s="1058">
        <f>+VLOOKUP(B727,Composición!$C$5:$D$1768,1,0)</f>
        <v>5130711102</v>
      </c>
      <c r="G727" s="1049"/>
    </row>
    <row r="728" spans="1:7" s="14" customFormat="1" ht="16.5" customHeight="1">
      <c r="A728" s="31" t="str">
        <f t="shared" si="68"/>
        <v>I</v>
      </c>
      <c r="B728" s="345">
        <v>5130711103</v>
      </c>
      <c r="C728" s="345" t="s">
        <v>472</v>
      </c>
      <c r="D728" s="347">
        <v>380743468</v>
      </c>
      <c r="E728" s="348">
        <v>52905.99</v>
      </c>
      <c r="F728" s="1058">
        <f>+VLOOKUP(B728,Composición!$C$5:$D$1768,1,0)</f>
        <v>5130711103</v>
      </c>
      <c r="G728" s="1049"/>
    </row>
    <row r="729" spans="1:7" s="14" customFormat="1" ht="16.5" customHeight="1">
      <c r="A729" s="14" t="str">
        <f t="shared" si="68"/>
        <v>NI</v>
      </c>
      <c r="B729" s="345">
        <v>51309</v>
      </c>
      <c r="C729" s="345" t="s">
        <v>473</v>
      </c>
      <c r="D729" s="347">
        <v>21304489</v>
      </c>
      <c r="E729" s="348">
        <v>2930.94</v>
      </c>
      <c r="F729" s="1058">
        <f>+VLOOKUP(B729,Composición!$C$5:$D$1768,1,0)</f>
        <v>51309</v>
      </c>
      <c r="G729" s="1049">
        <f t="shared" ref="G729:G731" si="72">+D729-F729</f>
        <v>21253180</v>
      </c>
    </row>
    <row r="730" spans="1:7" s="14" customFormat="1" ht="16.5" customHeight="1">
      <c r="A730" s="14" t="str">
        <f t="shared" si="68"/>
        <v>NI</v>
      </c>
      <c r="B730" s="345">
        <v>513091</v>
      </c>
      <c r="C730" s="345" t="s">
        <v>473</v>
      </c>
      <c r="D730" s="347">
        <v>21304489</v>
      </c>
      <c r="E730" s="348">
        <v>2930.94</v>
      </c>
      <c r="F730" s="1058">
        <f>+VLOOKUP(B730,Composición!$C$5:$D$1768,1,0)</f>
        <v>513091</v>
      </c>
      <c r="G730" s="1049">
        <f t="shared" si="72"/>
        <v>20791398</v>
      </c>
    </row>
    <row r="731" spans="1:7" s="14" customFormat="1" ht="16.5" customHeight="1">
      <c r="A731" s="14" t="str">
        <f t="shared" si="68"/>
        <v>NI</v>
      </c>
      <c r="B731" s="345">
        <v>5130911</v>
      </c>
      <c r="C731" s="345" t="s">
        <v>473</v>
      </c>
      <c r="D731" s="347">
        <v>21304489</v>
      </c>
      <c r="E731" s="348">
        <v>2930.94</v>
      </c>
      <c r="F731" s="1058">
        <f>+VLOOKUP(B731,Composición!$C$5:$D$1768,1,0)</f>
        <v>5130911</v>
      </c>
      <c r="G731" s="1049">
        <f t="shared" si="72"/>
        <v>16173578</v>
      </c>
    </row>
    <row r="732" spans="1:7" s="14" customFormat="1" ht="16.5" customHeight="1">
      <c r="A732" s="31" t="str">
        <f t="shared" ref="A732:A744" si="73">IF(LEN(B732)&gt;8,"I","NI")</f>
        <v>NI</v>
      </c>
      <c r="B732" s="345">
        <v>51309111</v>
      </c>
      <c r="C732" s="345" t="s">
        <v>473</v>
      </c>
      <c r="D732" s="347">
        <v>21304489</v>
      </c>
      <c r="E732" s="348">
        <v>2930.94</v>
      </c>
      <c r="F732" s="1058">
        <f>+VLOOKUP(B732,Composición!$C$5:$D$1768,1,0)</f>
        <v>51309111</v>
      </c>
      <c r="G732" s="1049"/>
    </row>
    <row r="733" spans="1:7" s="14" customFormat="1" ht="16.5" customHeight="1">
      <c r="A733" s="14" t="str">
        <f t="shared" si="73"/>
        <v>I</v>
      </c>
      <c r="B733" s="345">
        <v>5130911102</v>
      </c>
      <c r="C733" s="345" t="s">
        <v>474</v>
      </c>
      <c r="D733" s="347">
        <v>17367800</v>
      </c>
      <c r="E733" s="348">
        <v>2383.9299999999998</v>
      </c>
      <c r="F733" s="1058">
        <f>+VLOOKUP(B733,Composición!$C$5:$D$1768,1,0)</f>
        <v>5130911102</v>
      </c>
      <c r="G733" s="1049">
        <f t="shared" ref="G733:G734" si="74">+D733-F733</f>
        <v>-5113543302</v>
      </c>
    </row>
    <row r="734" spans="1:7" s="14" customFormat="1" ht="16.5" customHeight="1">
      <c r="A734" s="14" t="str">
        <f t="shared" si="73"/>
        <v>I</v>
      </c>
      <c r="B734" s="345">
        <v>5130911105</v>
      </c>
      <c r="C734" s="345" t="s">
        <v>475</v>
      </c>
      <c r="D734" s="347">
        <v>3936689</v>
      </c>
      <c r="E734" s="348">
        <v>547.01</v>
      </c>
      <c r="F734" s="1058">
        <f>+VLOOKUP(B734,Composición!$C$5:$D$1768,1,0)</f>
        <v>5130911105</v>
      </c>
      <c r="G734" s="1049">
        <f t="shared" si="74"/>
        <v>-5126974416</v>
      </c>
    </row>
    <row r="735" spans="1:7" s="14" customFormat="1" ht="16.5" customHeight="1">
      <c r="A735" s="31" t="str">
        <f t="shared" si="73"/>
        <v>NI</v>
      </c>
      <c r="B735" s="345">
        <v>513101</v>
      </c>
      <c r="C735" s="345" t="s">
        <v>476</v>
      </c>
      <c r="D735" s="347">
        <v>762643723</v>
      </c>
      <c r="E735" s="348">
        <v>104209.535</v>
      </c>
      <c r="F735" s="1058">
        <f>+VLOOKUP(B735,Composición!$C$5:$D$1768,1,0)</f>
        <v>513101</v>
      </c>
      <c r="G735" s="1049"/>
    </row>
    <row r="736" spans="1:7" s="14" customFormat="1" ht="16.5" customHeight="1">
      <c r="A736" s="14" t="str">
        <f t="shared" si="73"/>
        <v>NI</v>
      </c>
      <c r="B736" s="345">
        <v>5131011</v>
      </c>
      <c r="C736" s="345" t="s">
        <v>476</v>
      </c>
      <c r="D736" s="347">
        <v>762643723</v>
      </c>
      <c r="E736" s="348">
        <v>104209.535</v>
      </c>
      <c r="F736" s="1058">
        <f>+VLOOKUP(B736,Composición!$C$5:$D$1768,1,0)</f>
        <v>5131011</v>
      </c>
      <c r="G736" s="1049">
        <f>+D736-F736</f>
        <v>757512712</v>
      </c>
    </row>
    <row r="737" spans="1:7" s="14" customFormat="1" ht="16.5" customHeight="1">
      <c r="A737" s="31" t="str">
        <f t="shared" si="73"/>
        <v>NI</v>
      </c>
      <c r="B737" s="345">
        <v>51310111</v>
      </c>
      <c r="C737" s="345" t="s">
        <v>476</v>
      </c>
      <c r="D737" s="347">
        <v>762643723</v>
      </c>
      <c r="E737" s="348">
        <v>104209.535</v>
      </c>
      <c r="F737" s="1058">
        <f>+VLOOKUP(B737,Composición!$C$5:$D$1768,1,0)</f>
        <v>51310111</v>
      </c>
      <c r="G737" s="1049"/>
    </row>
    <row r="738" spans="1:7" s="14" customFormat="1" ht="16.5" customHeight="1">
      <c r="A738" s="31" t="str">
        <f t="shared" si="73"/>
        <v>I</v>
      </c>
      <c r="B738" s="345">
        <v>5131011101</v>
      </c>
      <c r="C738" s="345" t="s">
        <v>477</v>
      </c>
      <c r="D738" s="347">
        <v>13985740</v>
      </c>
      <c r="E738" s="348">
        <v>1914.63</v>
      </c>
      <c r="F738" s="1058">
        <f>+VLOOKUP(B738,Composición!$C$5:$D$1768,1,0)</f>
        <v>5131011101</v>
      </c>
      <c r="G738" s="1049"/>
    </row>
    <row r="739" spans="1:7" s="14" customFormat="1" ht="16.5" customHeight="1">
      <c r="A739" s="31" t="str">
        <f t="shared" si="73"/>
        <v>I</v>
      </c>
      <c r="B739" s="345">
        <v>5131011102</v>
      </c>
      <c r="C739" s="345" t="s">
        <v>478</v>
      </c>
      <c r="D739" s="347">
        <v>23372151</v>
      </c>
      <c r="E739" s="348">
        <v>3173.1699999999992</v>
      </c>
      <c r="F739" s="1058">
        <f>+VLOOKUP(B739,Composición!$C$5:$D$1768,1,0)</f>
        <v>5131011102</v>
      </c>
      <c r="G739" s="1049"/>
    </row>
    <row r="740" spans="1:7" s="14" customFormat="1" ht="16.5" customHeight="1">
      <c r="A740" s="31" t="str">
        <f t="shared" si="73"/>
        <v>I</v>
      </c>
      <c r="B740" s="345">
        <v>5131011104</v>
      </c>
      <c r="C740" s="345" t="s">
        <v>479</v>
      </c>
      <c r="D740" s="347">
        <v>79157362</v>
      </c>
      <c r="E740" s="348">
        <v>10825.02</v>
      </c>
      <c r="F740" s="1058">
        <f>+VLOOKUP(B740,Composición!$C$5:$D$1768,1,0)</f>
        <v>5131011104</v>
      </c>
      <c r="G740" s="1049"/>
    </row>
    <row r="741" spans="1:7" s="14" customFormat="1" ht="16.5" customHeight="1">
      <c r="A741" s="31" t="str">
        <f t="shared" si="73"/>
        <v>I</v>
      </c>
      <c r="B741" s="345">
        <v>5131011105</v>
      </c>
      <c r="C741" s="345" t="s">
        <v>480</v>
      </c>
      <c r="D741" s="347">
        <v>1039894</v>
      </c>
      <c r="E741" s="348">
        <v>140.44</v>
      </c>
      <c r="F741" s="1058">
        <f>+VLOOKUP(B741,Composición!$C$5:$D$1768,1,0)</f>
        <v>5131011105</v>
      </c>
      <c r="G741" s="1049"/>
    </row>
    <row r="742" spans="1:7" s="14" customFormat="1" ht="16.5" customHeight="1">
      <c r="A742" s="31" t="str">
        <f t="shared" si="73"/>
        <v>I</v>
      </c>
      <c r="B742" s="345">
        <v>5131011106</v>
      </c>
      <c r="C742" s="345" t="s">
        <v>481</v>
      </c>
      <c r="D742" s="347">
        <v>2989272</v>
      </c>
      <c r="E742" s="348">
        <v>410.96</v>
      </c>
      <c r="F742" s="1058">
        <f>+VLOOKUP(B742,Composición!$C$5:$D$1768,1,0)</f>
        <v>5131011106</v>
      </c>
      <c r="G742" s="1049"/>
    </row>
    <row r="743" spans="1:7" s="14" customFormat="1" ht="16.5" customHeight="1">
      <c r="A743" s="14" t="str">
        <f t="shared" si="73"/>
        <v>I</v>
      </c>
      <c r="B743" s="345">
        <v>5131011107</v>
      </c>
      <c r="C743" s="345" t="s">
        <v>482</v>
      </c>
      <c r="D743" s="347">
        <v>531034</v>
      </c>
      <c r="E743" s="348">
        <v>72.73</v>
      </c>
      <c r="F743" s="1058">
        <f>+VLOOKUP(B743,Composición!$C$5:$D$1768,1,0)</f>
        <v>5131011107</v>
      </c>
      <c r="G743" s="1049">
        <f t="shared" ref="G743:G744" si="75">+D743-F743</f>
        <v>-5130480073</v>
      </c>
    </row>
    <row r="744" spans="1:7" s="14" customFormat="1" ht="16.5" customHeight="1">
      <c r="A744" s="14" t="str">
        <f t="shared" si="73"/>
        <v>I</v>
      </c>
      <c r="B744" s="350">
        <v>5131011108</v>
      </c>
      <c r="C744" s="350" t="s">
        <v>483</v>
      </c>
      <c r="D744" s="340">
        <v>23591740</v>
      </c>
      <c r="E744" s="341">
        <v>3226.95</v>
      </c>
      <c r="F744" s="1058">
        <f>+VLOOKUP(B744,Composición!$C$5:$D$1768,1,0)</f>
        <v>5131011108</v>
      </c>
      <c r="G744" s="1049">
        <f t="shared" si="75"/>
        <v>-5107419368</v>
      </c>
    </row>
    <row r="745" spans="1:7" s="14" customFormat="1" ht="16.5" customHeight="1">
      <c r="A745" s="31"/>
      <c r="B745" s="350">
        <v>5131011110</v>
      </c>
      <c r="C745" s="350" t="s">
        <v>484</v>
      </c>
      <c r="D745" s="340">
        <v>106857261</v>
      </c>
      <c r="E745" s="341">
        <v>14598.45</v>
      </c>
      <c r="F745" s="1058">
        <f>+VLOOKUP(B745,Composición!$C$5:$D$1768,1,0)</f>
        <v>5131011110</v>
      </c>
      <c r="G745" s="1049"/>
    </row>
    <row r="746" spans="1:7" s="14" customFormat="1" ht="16.5" customHeight="1">
      <c r="B746" s="350">
        <v>5131011112</v>
      </c>
      <c r="C746" s="350" t="s">
        <v>485</v>
      </c>
      <c r="D746" s="340">
        <v>2590000</v>
      </c>
      <c r="E746" s="341">
        <v>352.45</v>
      </c>
      <c r="F746" s="1058">
        <f>+VLOOKUP(B746,Composición!$C$5:$D$1768,1,0)</f>
        <v>5131011112</v>
      </c>
      <c r="G746" s="1049"/>
    </row>
    <row r="747" spans="1:7" ht="13.2">
      <c r="B747" s="345">
        <v>5131011113</v>
      </c>
      <c r="C747" s="345" t="s">
        <v>486</v>
      </c>
      <c r="D747" s="347">
        <v>7449718</v>
      </c>
      <c r="E747" s="348">
        <v>1024.01</v>
      </c>
      <c r="F747" s="1058">
        <f>+VLOOKUP(B747,Composición!$C$5:$D$1768,1,0)</f>
        <v>5131011113</v>
      </c>
    </row>
    <row r="748" spans="1:7" ht="13.2">
      <c r="B748" s="350">
        <v>5131011114</v>
      </c>
      <c r="C748" s="350" t="s">
        <v>487</v>
      </c>
      <c r="D748" s="340">
        <v>7186257</v>
      </c>
      <c r="E748" s="341">
        <v>989.31</v>
      </c>
      <c r="F748" s="1058">
        <f>+VLOOKUP(B748,Composición!$C$5:$D$1768,1,0)</f>
        <v>5131011114</v>
      </c>
    </row>
    <row r="749" spans="1:7" ht="13.2">
      <c r="B749" s="345">
        <v>5131011115</v>
      </c>
      <c r="C749" s="345" t="s">
        <v>488</v>
      </c>
      <c r="D749" s="347">
        <v>53079020</v>
      </c>
      <c r="E749" s="348">
        <v>7258.71</v>
      </c>
      <c r="F749" s="1058">
        <f>+VLOOKUP(B749,Composición!$C$5:$D$1768,1,0)</f>
        <v>5131011115</v>
      </c>
    </row>
    <row r="750" spans="1:7" ht="13.2">
      <c r="B750" s="345">
        <v>5131011116</v>
      </c>
      <c r="C750" s="345" t="s">
        <v>489</v>
      </c>
      <c r="D750" s="347">
        <v>24112030</v>
      </c>
      <c r="E750" s="348">
        <v>3281.71</v>
      </c>
      <c r="F750" s="1058">
        <f>+VLOOKUP(B750,Composición!$C$5:$D$1768,1,0)</f>
        <v>5131011116</v>
      </c>
    </row>
    <row r="751" spans="1:7" ht="13.2">
      <c r="B751" s="345">
        <v>5131011119</v>
      </c>
      <c r="C751" s="345" t="s">
        <v>490</v>
      </c>
      <c r="D751" s="347">
        <v>296663805</v>
      </c>
      <c r="E751" s="348">
        <v>40500</v>
      </c>
      <c r="F751" s="1058">
        <f>+VLOOKUP(B751,Composición!$C$5:$D$1768,1,0)</f>
        <v>5131011119</v>
      </c>
    </row>
    <row r="752" spans="1:7" ht="13.2">
      <c r="B752" s="350">
        <v>5131011122</v>
      </c>
      <c r="C752" s="350" t="s">
        <v>169</v>
      </c>
      <c r="D752" s="340">
        <v>47077754</v>
      </c>
      <c r="E752" s="341">
        <v>6540.5550000000003</v>
      </c>
      <c r="F752" s="1058">
        <f>+VLOOKUP(B752,Composición!$C$5:$D$1768,1,0)</f>
        <v>5131011122</v>
      </c>
    </row>
    <row r="753" spans="2:6" ht="13.2">
      <c r="B753" s="345">
        <v>5131011123</v>
      </c>
      <c r="C753" s="345" t="s">
        <v>170</v>
      </c>
      <c r="D753" s="347">
        <v>10445205</v>
      </c>
      <c r="E753" s="348">
        <v>1445.82</v>
      </c>
      <c r="F753" s="1058">
        <f>+VLOOKUP(B753,Composición!$C$5:$D$1768,1,0)</f>
        <v>5131011123</v>
      </c>
    </row>
    <row r="754" spans="2:6" ht="13.2">
      <c r="B754" s="345">
        <v>5131011124</v>
      </c>
      <c r="C754" s="345" t="s">
        <v>491</v>
      </c>
      <c r="D754" s="347">
        <v>45854541</v>
      </c>
      <c r="E754" s="348">
        <v>6160.05</v>
      </c>
      <c r="F754" s="1058">
        <f>+VLOOKUP(B754,Composición!$C$5:$D$1768,1,0)</f>
        <v>5131011124</v>
      </c>
    </row>
    <row r="755" spans="2:6" ht="13.2">
      <c r="B755" s="350">
        <v>5131011199</v>
      </c>
      <c r="C755" s="350" t="s">
        <v>492</v>
      </c>
      <c r="D755" s="340">
        <v>16660939</v>
      </c>
      <c r="E755" s="341">
        <v>2294.5699999999997</v>
      </c>
      <c r="F755" s="1058">
        <f>+VLOOKUP(B755,Composición!$C$5:$D$1768,1,0)</f>
        <v>5131011199</v>
      </c>
    </row>
    <row r="756" spans="2:6" ht="13.2">
      <c r="B756" s="345">
        <v>514</v>
      </c>
      <c r="C756" s="345" t="s">
        <v>493</v>
      </c>
      <c r="D756" s="347">
        <v>10053844466</v>
      </c>
      <c r="E756" s="348">
        <v>2392349.7568999999</v>
      </c>
      <c r="F756" s="1058">
        <f>+VLOOKUP(B756,Composición!$C$5:$D$1768,1,0)</f>
        <v>514</v>
      </c>
    </row>
    <row r="757" spans="2:6" ht="13.2">
      <c r="B757" s="350">
        <v>51401</v>
      </c>
      <c r="C757" s="350" t="s">
        <v>494</v>
      </c>
      <c r="D757" s="340">
        <v>10053844466</v>
      </c>
      <c r="E757" s="341">
        <v>2392349.7568999999</v>
      </c>
      <c r="F757" s="1058">
        <f>+VLOOKUP(B757,Composición!$C$5:$D$1768,1,0)</f>
        <v>51401</v>
      </c>
    </row>
    <row r="758" spans="2:6" ht="13.2">
      <c r="B758" s="350">
        <v>514011</v>
      </c>
      <c r="C758" s="350" t="s">
        <v>494</v>
      </c>
      <c r="D758" s="340">
        <v>10053844466</v>
      </c>
      <c r="E758" s="341">
        <v>2392349.7568999999</v>
      </c>
      <c r="F758" s="1058">
        <f>+VLOOKUP(B758,Composición!$C$5:$D$1768,1,0)</f>
        <v>514011</v>
      </c>
    </row>
    <row r="759" spans="2:6" ht="13.2">
      <c r="B759" s="350">
        <v>5140111</v>
      </c>
      <c r="C759" s="350" t="s">
        <v>494</v>
      </c>
      <c r="D759" s="340">
        <v>10053844466</v>
      </c>
      <c r="E759" s="341">
        <v>2392349.7568999999</v>
      </c>
      <c r="F759" s="1058">
        <f>+VLOOKUP(B759,Composición!$C$5:$D$1768,1,0)</f>
        <v>5140111</v>
      </c>
    </row>
    <row r="760" spans="2:6" ht="13.2">
      <c r="B760" s="350">
        <v>51401111</v>
      </c>
      <c r="C760" s="350" t="s">
        <v>495</v>
      </c>
      <c r="D760" s="340">
        <v>493269424</v>
      </c>
      <c r="E760" s="341">
        <v>67698.039999999994</v>
      </c>
      <c r="F760" s="1058">
        <f>+VLOOKUP(B760,Composición!$C$5:$D$1768,1,0)</f>
        <v>51401111</v>
      </c>
    </row>
    <row r="761" spans="2:6" ht="13.2">
      <c r="B761" s="350">
        <v>5140111101</v>
      </c>
      <c r="C761" s="350" t="s">
        <v>495</v>
      </c>
      <c r="D761" s="340">
        <v>2194521</v>
      </c>
      <c r="E761" s="341">
        <v>301.3</v>
      </c>
      <c r="F761" s="1058">
        <f>+VLOOKUP(B761,Composición!$C$5:$D$1768,1,0)</f>
        <v>5140111101</v>
      </c>
    </row>
    <row r="762" spans="2:6" ht="13.2">
      <c r="B762" s="345">
        <v>5140111102</v>
      </c>
      <c r="C762" s="345" t="s">
        <v>496</v>
      </c>
      <c r="D762" s="347">
        <v>491074903</v>
      </c>
      <c r="E762" s="348">
        <v>67396.740000000005</v>
      </c>
      <c r="F762" s="1058">
        <f>+VLOOKUP(B762,Composición!$C$5:$D$1768,1,0)</f>
        <v>5140111102</v>
      </c>
    </row>
    <row r="763" spans="2:6" ht="13.2">
      <c r="B763" s="345">
        <v>51401112</v>
      </c>
      <c r="C763" s="345" t="s">
        <v>497</v>
      </c>
      <c r="D763" s="347">
        <v>43830271</v>
      </c>
      <c r="E763" s="348">
        <v>6039.06</v>
      </c>
      <c r="F763" s="1058">
        <f>+VLOOKUP(B763,Composición!$C$5:$D$1768,1,0)</f>
        <v>51401112</v>
      </c>
    </row>
    <row r="764" spans="2:6" ht="13.2">
      <c r="B764" s="345">
        <v>5140111201</v>
      </c>
      <c r="C764" s="345" t="s">
        <v>498</v>
      </c>
      <c r="D764" s="347">
        <v>25064159</v>
      </c>
      <c r="E764" s="348">
        <v>3464.66</v>
      </c>
      <c r="F764" s="1058">
        <f>+VLOOKUP(B764,Composición!$C$5:$D$1768,1,0)</f>
        <v>5140111201</v>
      </c>
    </row>
    <row r="765" spans="2:6" ht="13.2">
      <c r="B765" s="350">
        <v>5140111203</v>
      </c>
      <c r="C765" s="350" t="s">
        <v>499</v>
      </c>
      <c r="D765" s="340">
        <v>6074427</v>
      </c>
      <c r="E765" s="341">
        <v>827.52</v>
      </c>
      <c r="F765" s="1058">
        <f>+VLOOKUP(B765,Composición!$C$5:$D$1768,1,0)</f>
        <v>5140111203</v>
      </c>
    </row>
    <row r="766" spans="2:6" ht="13.2">
      <c r="B766" s="345">
        <v>5140111204</v>
      </c>
      <c r="C766" s="345" t="s">
        <v>500</v>
      </c>
      <c r="D766" s="347">
        <v>12691685</v>
      </c>
      <c r="E766" s="348">
        <v>1746.88</v>
      </c>
      <c r="F766" s="1058">
        <f>+VLOOKUP(B766,Composición!$C$5:$D$1768,1,0)</f>
        <v>5140111204</v>
      </c>
    </row>
    <row r="767" spans="2:6" ht="13.2">
      <c r="B767" s="345">
        <v>51401113</v>
      </c>
      <c r="C767" s="345" t="s">
        <v>501</v>
      </c>
      <c r="D767" s="347">
        <v>9225344771</v>
      </c>
      <c r="E767" s="348">
        <v>2278598.2669000002</v>
      </c>
      <c r="F767" s="1058">
        <f>+VLOOKUP(B767,Composición!$C$5:$D$1768,1,0)</f>
        <v>51401113</v>
      </c>
    </row>
    <row r="768" spans="2:6" ht="13.2">
      <c r="B768" s="345">
        <v>5140111301</v>
      </c>
      <c r="C768" s="345" t="s">
        <v>385</v>
      </c>
      <c r="D768" s="347">
        <v>5865971373</v>
      </c>
      <c r="E768" s="348">
        <v>1562057.7163</v>
      </c>
      <c r="F768" s="1058">
        <f>+VLOOKUP(B768,Composición!$C$5:$D$1768,1,0)</f>
        <v>5140111301</v>
      </c>
    </row>
    <row r="769" spans="2:6" ht="13.2">
      <c r="B769" s="345">
        <v>5140111302</v>
      </c>
      <c r="C769" s="345" t="s">
        <v>386</v>
      </c>
      <c r="D769" s="347">
        <v>3359373398</v>
      </c>
      <c r="E769" s="348">
        <v>716540.55059999996</v>
      </c>
      <c r="F769" s="1058">
        <f>+VLOOKUP(B769,Composición!$C$5:$D$1768,1,0)</f>
        <v>5140111302</v>
      </c>
    </row>
    <row r="770" spans="2:6" ht="13.2">
      <c r="B770" s="345">
        <v>51401114</v>
      </c>
      <c r="C770" s="345" t="s">
        <v>502</v>
      </c>
      <c r="D770" s="347">
        <v>291400000</v>
      </c>
      <c r="E770" s="348">
        <v>40014.39</v>
      </c>
      <c r="F770" s="1058">
        <f>+VLOOKUP(B770,Composición!$C$5:$D$1768,1,0)</f>
        <v>51401114</v>
      </c>
    </row>
    <row r="771" spans="2:6" ht="13.2">
      <c r="B771" s="345">
        <v>5140111401</v>
      </c>
      <c r="C771" s="345" t="s">
        <v>502</v>
      </c>
      <c r="D771" s="347">
        <v>291400000</v>
      </c>
      <c r="E771" s="348">
        <v>40014.39</v>
      </c>
      <c r="F771" s="1058">
        <f>+VLOOKUP(B771,Composición!$C$5:$D$1768,1,0)</f>
        <v>5140111401</v>
      </c>
    </row>
    <row r="772" spans="2:6" ht="13.2">
      <c r="B772" s="345">
        <v>515</v>
      </c>
      <c r="C772" s="345" t="s">
        <v>503</v>
      </c>
      <c r="D772" s="347">
        <v>863359746</v>
      </c>
      <c r="E772" s="348">
        <v>118189.44</v>
      </c>
      <c r="F772" s="1058">
        <f>+VLOOKUP(B772,Composición!$C$5:$D$1768,1,0)</f>
        <v>515</v>
      </c>
    </row>
    <row r="773" spans="2:6" ht="13.2">
      <c r="B773" s="350">
        <v>51501</v>
      </c>
      <c r="C773" s="350" t="s">
        <v>504</v>
      </c>
      <c r="D773" s="340">
        <v>863359746</v>
      </c>
      <c r="E773" s="341">
        <v>118189.44</v>
      </c>
      <c r="F773" s="1058">
        <f>+VLOOKUP(B773,Composición!$C$5:$D$1768,1,0)</f>
        <v>51501</v>
      </c>
    </row>
    <row r="774" spans="2:6" ht="13.2">
      <c r="B774" s="345">
        <v>515011</v>
      </c>
      <c r="C774" s="345" t="s">
        <v>504</v>
      </c>
      <c r="D774" s="347">
        <v>863359746</v>
      </c>
      <c r="E774" s="348">
        <v>118189.44</v>
      </c>
      <c r="F774" s="1058">
        <f>+VLOOKUP(B774,Composición!$C$5:$D$1768,1,0)</f>
        <v>515011</v>
      </c>
    </row>
    <row r="775" spans="2:6" ht="13.2">
      <c r="B775" s="350">
        <v>5150111</v>
      </c>
      <c r="C775" s="350" t="s">
        <v>504</v>
      </c>
      <c r="D775" s="340">
        <v>863359746</v>
      </c>
      <c r="E775" s="341">
        <v>118189.44</v>
      </c>
      <c r="F775" s="1058">
        <f>+VLOOKUP(B775,Composición!$C$5:$D$1768,1,0)</f>
        <v>5150111</v>
      </c>
    </row>
    <row r="776" spans="2:6" ht="13.2">
      <c r="B776" s="350">
        <v>51501111</v>
      </c>
      <c r="C776" s="350" t="s">
        <v>505</v>
      </c>
      <c r="D776" s="340">
        <v>829100550</v>
      </c>
      <c r="E776" s="341">
        <v>113484.15999999999</v>
      </c>
      <c r="F776" s="1058">
        <f>+VLOOKUP(B776,Composición!$C$5:$D$1768,1,0)</f>
        <v>51501111</v>
      </c>
    </row>
    <row r="777" spans="2:6" ht="13.2">
      <c r="B777" s="345">
        <v>5150111101</v>
      </c>
      <c r="C777" s="345" t="s">
        <v>506</v>
      </c>
      <c r="D777" s="347">
        <v>426755525</v>
      </c>
      <c r="E777" s="348">
        <v>58198.1</v>
      </c>
      <c r="F777" s="1058">
        <f>+VLOOKUP(B777,Composición!$C$5:$D$1768,1,0)</f>
        <v>5150111101</v>
      </c>
    </row>
    <row r="778" spans="2:6" ht="13.2">
      <c r="B778" s="345">
        <v>5150111102</v>
      </c>
      <c r="C778" s="345" t="s">
        <v>507</v>
      </c>
      <c r="D778" s="347">
        <v>199512474</v>
      </c>
      <c r="E778" s="348">
        <v>27461.48</v>
      </c>
      <c r="F778" s="1058">
        <f>+VLOOKUP(B778,Composición!$C$5:$D$1768,1,0)</f>
        <v>5150111102</v>
      </c>
    </row>
    <row r="779" spans="2:6" ht="13.2">
      <c r="B779" s="345">
        <v>5150111103</v>
      </c>
      <c r="C779" s="345" t="s">
        <v>508</v>
      </c>
      <c r="D779" s="347">
        <v>202832551</v>
      </c>
      <c r="E779" s="348">
        <v>27824.579999999998</v>
      </c>
      <c r="F779" s="1058">
        <f>+VLOOKUP(B779,Composición!$C$5:$D$1768,1,0)</f>
        <v>5150111103</v>
      </c>
    </row>
    <row r="780" spans="2:6" ht="13.2">
      <c r="B780" s="350">
        <v>51501112</v>
      </c>
      <c r="C780" s="350" t="s">
        <v>509</v>
      </c>
      <c r="D780" s="340">
        <v>27233386</v>
      </c>
      <c r="E780" s="341">
        <v>3736.7299999999996</v>
      </c>
      <c r="F780" s="1058">
        <f>+VLOOKUP(B780,Composición!$C$5:$D$1768,1,0)</f>
        <v>51501112</v>
      </c>
    </row>
    <row r="781" spans="2:6" ht="13.2">
      <c r="B781" s="350">
        <v>5150111201</v>
      </c>
      <c r="C781" s="350" t="s">
        <v>510</v>
      </c>
      <c r="D781" s="340">
        <v>364000</v>
      </c>
      <c r="E781" s="341">
        <v>50.420000000000073</v>
      </c>
      <c r="F781" s="1058">
        <f>+VLOOKUP(B781,Composición!$C$5:$D$1768,1,0)</f>
        <v>5150111201</v>
      </c>
    </row>
    <row r="782" spans="2:6" ht="13.2">
      <c r="B782" s="345">
        <v>5150111203</v>
      </c>
      <c r="C782" s="345" t="s">
        <v>511</v>
      </c>
      <c r="D782" s="347">
        <v>26707386</v>
      </c>
      <c r="E782" s="348">
        <v>3664.43</v>
      </c>
      <c r="F782" s="1058">
        <f>+VLOOKUP(B782,Composición!$C$5:$D$1768,1,0)</f>
        <v>5150111203</v>
      </c>
    </row>
    <row r="783" spans="2:6" ht="13.2">
      <c r="B783" s="350">
        <v>5150111204</v>
      </c>
      <c r="C783" s="350" t="s">
        <v>512</v>
      </c>
      <c r="D783" s="340">
        <v>162000</v>
      </c>
      <c r="E783" s="341">
        <v>21.88</v>
      </c>
      <c r="F783" s="1058">
        <f>+VLOOKUP(B783,Composición!$C$5:$D$1768,1,0)</f>
        <v>5150111204</v>
      </c>
    </row>
    <row r="784" spans="2:6" ht="13.2">
      <c r="B784" s="350">
        <v>51501113</v>
      </c>
      <c r="C784" s="350" t="s">
        <v>513</v>
      </c>
      <c r="D784" s="340">
        <v>7025810</v>
      </c>
      <c r="E784" s="341">
        <v>968.55</v>
      </c>
      <c r="F784" s="1058">
        <f>+VLOOKUP(B784,Composición!$C$5:$D$1768,1,0)</f>
        <v>51501113</v>
      </c>
    </row>
    <row r="785" spans="2:6" ht="13.2">
      <c r="B785" s="350">
        <v>5150411102</v>
      </c>
      <c r="C785" s="350" t="s">
        <v>514</v>
      </c>
      <c r="D785" s="340">
        <v>285940</v>
      </c>
      <c r="E785" s="341">
        <v>39.340000000000003</v>
      </c>
      <c r="F785" s="1058">
        <f>+VLOOKUP(B785,Composición!$C$5:$D$1768,1,0)</f>
        <v>5150411102</v>
      </c>
    </row>
    <row r="786" spans="2:6" ht="13.2">
      <c r="B786" s="345">
        <v>5150411103</v>
      </c>
      <c r="C786" s="345" t="s">
        <v>515</v>
      </c>
      <c r="D786" s="347">
        <v>6739870</v>
      </c>
      <c r="E786" s="348">
        <v>929.21</v>
      </c>
      <c r="F786" s="1058">
        <f>+VLOOKUP(B786,Composición!$C$5:$D$1768,1,0)</f>
        <v>5150411103</v>
      </c>
    </row>
    <row r="787" spans="2:6" ht="13.2">
      <c r="B787" s="345">
        <v>52</v>
      </c>
      <c r="C787" s="345" t="s">
        <v>516</v>
      </c>
      <c r="D787" s="347">
        <v>76048336</v>
      </c>
      <c r="E787" s="348">
        <v>10442.289999999999</v>
      </c>
      <c r="F787" s="1058">
        <f>+VLOOKUP(B787,Composición!$C$5:$D$1768,1,0)</f>
        <v>52</v>
      </c>
    </row>
    <row r="788" spans="2:6" ht="13.2">
      <c r="B788" s="345">
        <v>521</v>
      </c>
      <c r="C788" s="345" t="s">
        <v>516</v>
      </c>
      <c r="D788" s="347">
        <v>76048336</v>
      </c>
      <c r="E788" s="348">
        <v>10442.289999999999</v>
      </c>
      <c r="F788" s="1058">
        <f>+VLOOKUP(B788,Composición!$C$5:$D$1768,1,0)</f>
        <v>521</v>
      </c>
    </row>
    <row r="789" spans="2:6" ht="13.2">
      <c r="B789" s="350">
        <v>52101</v>
      </c>
      <c r="C789" s="350" t="s">
        <v>516</v>
      </c>
      <c r="D789" s="340">
        <v>76048336</v>
      </c>
      <c r="E789" s="341">
        <v>10442.289999999999</v>
      </c>
      <c r="F789" s="1058">
        <f>+VLOOKUP(B789,Composición!$C$5:$D$1768,1,0)</f>
        <v>52101</v>
      </c>
    </row>
    <row r="790" spans="2:6" ht="13.2">
      <c r="B790" s="345">
        <v>521011</v>
      </c>
      <c r="C790" s="345" t="s">
        <v>516</v>
      </c>
      <c r="D790" s="347">
        <v>76048336</v>
      </c>
      <c r="E790" s="348">
        <v>10442.289999999999</v>
      </c>
      <c r="F790" s="1058">
        <f>+VLOOKUP(B790,Composición!$C$5:$D$1768,1,0)</f>
        <v>521011</v>
      </c>
    </row>
    <row r="791" spans="2:6" ht="13.2">
      <c r="B791" s="350">
        <v>5210111</v>
      </c>
      <c r="C791" s="350" t="s">
        <v>516</v>
      </c>
      <c r="D791" s="340">
        <v>76048336</v>
      </c>
      <c r="E791" s="341">
        <v>10442.289999999999</v>
      </c>
      <c r="F791" s="1058">
        <f>+VLOOKUP(B791,Composición!$C$5:$D$1768,1,0)</f>
        <v>5210111</v>
      </c>
    </row>
    <row r="792" spans="2:6" ht="13.2">
      <c r="B792" s="350">
        <v>52101111</v>
      </c>
      <c r="C792" s="350" t="s">
        <v>516</v>
      </c>
      <c r="D792" s="340">
        <v>76048336</v>
      </c>
      <c r="E792" s="341">
        <v>10442.289999999999</v>
      </c>
      <c r="F792" s="1058">
        <f>+VLOOKUP(B792,Composición!$C$5:$D$1768,1,0)</f>
        <v>52101111</v>
      </c>
    </row>
    <row r="793" spans="2:6" ht="13.2">
      <c r="B793" s="345">
        <v>5210111101</v>
      </c>
      <c r="C793" s="345" t="s">
        <v>517</v>
      </c>
      <c r="D793" s="347">
        <v>7589</v>
      </c>
      <c r="E793" s="348">
        <v>7.2800000000000011</v>
      </c>
      <c r="F793" s="1058">
        <f>+VLOOKUP(B793,Composición!$C$5:$D$1768,1,0)</f>
        <v>5210111101</v>
      </c>
    </row>
    <row r="794" spans="2:6" ht="13.2">
      <c r="B794" s="345">
        <v>5210111102</v>
      </c>
      <c r="C794" s="345" t="s">
        <v>518</v>
      </c>
      <c r="D794" s="347">
        <v>76040747</v>
      </c>
      <c r="E794" s="348">
        <v>10435.01</v>
      </c>
      <c r="F794" s="1058">
        <f>+VLOOKUP(B794,Composición!$C$5:$D$1768,1,0)</f>
        <v>5210111102</v>
      </c>
    </row>
    <row r="795" spans="2:6" ht="13.2">
      <c r="B795" s="345"/>
      <c r="C795" s="345"/>
      <c r="D795" s="340"/>
      <c r="E795" s="341"/>
    </row>
    <row r="796" spans="2:6" ht="15.6">
      <c r="B796" s="35"/>
      <c r="C796" s="60" t="s">
        <v>549</v>
      </c>
      <c r="D796" s="61">
        <v>3169167210</v>
      </c>
      <c r="E796" s="62">
        <v>423367.95</v>
      </c>
    </row>
  </sheetData>
  <sheetProtection algorithmName="SHA-512" hashValue="cxD+E7PQQSzIebanTBAZkJAQJecVJk9CKsvxstXfPIEMLFSK5Uf8PpZLmkI5EsTSCtaDhmLd8j7ogZvQcDga6g==" saltValue="pVxLduEaGa7fnS1VzOiL3A==" spinCount="100000" sheet="1" objects="1" scenarios="1"/>
  <mergeCells count="2">
    <mergeCell ref="D1:E1"/>
    <mergeCell ref="D2:E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7EDD3-5170-4689-8EB1-DC56939A3598}">
  <sheetPr codeName="Hoja21">
    <tabColor rgb="FFFF0000"/>
  </sheetPr>
  <dimension ref="A1:O334"/>
  <sheetViews>
    <sheetView workbookViewId="0">
      <selection activeCell="C21" sqref="C21"/>
    </sheetView>
  </sheetViews>
  <sheetFormatPr baseColWidth="10" defaultRowHeight="12.75" customHeight="1"/>
  <cols>
    <col min="1" max="1" width="2.109375" customWidth="1"/>
    <col min="2" max="2" width="32.44140625" customWidth="1"/>
    <col min="3" max="3" width="9.44140625" bestFit="1" customWidth="1"/>
    <col min="4" max="4" width="15.109375" bestFit="1" customWidth="1"/>
    <col min="5" max="5" width="13.88671875" customWidth="1"/>
    <col min="6" max="6" width="10.44140625" bestFit="1" customWidth="1"/>
    <col min="7" max="7" width="18.33203125" bestFit="1" customWidth="1"/>
    <col min="8" max="11" width="17.44140625" customWidth="1"/>
    <col min="12" max="12" width="18.33203125" bestFit="1" customWidth="1"/>
    <col min="13" max="13" width="11.6640625" bestFit="1" customWidth="1"/>
    <col min="14" max="14" width="18.6640625" customWidth="1"/>
  </cols>
  <sheetData>
    <row r="1" spans="1:15" ht="14.4">
      <c r="A1" s="1099"/>
      <c r="B1" s="1099"/>
      <c r="C1" s="1099"/>
      <c r="D1" s="1099"/>
      <c r="E1" s="1099"/>
      <c r="F1" s="1099"/>
      <c r="G1" s="1100"/>
      <c r="H1" s="1100"/>
      <c r="I1" s="1100"/>
      <c r="J1" s="1099"/>
      <c r="K1" s="1099"/>
      <c r="L1" s="1099"/>
      <c r="M1" s="1099"/>
      <c r="N1" s="1099"/>
    </row>
    <row r="2" spans="1:15" ht="14.4">
      <c r="A2" s="1099"/>
      <c r="B2" s="1099"/>
      <c r="C2" s="1099"/>
      <c r="D2" s="1099"/>
      <c r="E2" s="1099"/>
      <c r="F2" s="1099"/>
      <c r="G2" s="1099"/>
      <c r="H2" s="1099"/>
      <c r="I2" s="1101"/>
      <c r="J2" s="1101"/>
      <c r="K2" s="1101"/>
      <c r="L2" s="1099"/>
      <c r="M2" s="1099"/>
      <c r="N2" s="1099"/>
    </row>
    <row r="3" spans="1:15" ht="14.4">
      <c r="A3" s="1099"/>
      <c r="B3" s="1099"/>
      <c r="C3" s="1099"/>
      <c r="D3" s="1099"/>
      <c r="E3" s="1101"/>
      <c r="F3" s="1099"/>
      <c r="G3" s="1099"/>
      <c r="H3" s="1101"/>
      <c r="I3" s="1101"/>
      <c r="J3" s="1101"/>
      <c r="K3" s="1101"/>
      <c r="L3" s="1099"/>
      <c r="M3" s="1099"/>
      <c r="N3" s="1099"/>
    </row>
    <row r="4" spans="1:15" ht="14.4">
      <c r="A4" s="1099"/>
      <c r="B4" s="1099"/>
      <c r="C4" s="1099"/>
      <c r="D4" s="1099"/>
      <c r="E4" s="1099"/>
      <c r="F4" s="1099"/>
      <c r="G4" s="1099"/>
      <c r="H4" s="1099"/>
      <c r="I4" s="1099"/>
      <c r="J4" s="1101"/>
      <c r="K4" s="1099"/>
      <c r="L4" s="1099"/>
      <c r="M4" s="1099"/>
      <c r="N4" s="1099"/>
    </row>
    <row r="5" spans="1:15" ht="15.6" customHeight="1">
      <c r="A5" s="93"/>
      <c r="B5" s="1472" t="s">
        <v>1727</v>
      </c>
      <c r="C5" s="1472"/>
      <c r="D5" s="1472"/>
      <c r="E5" s="1472"/>
      <c r="F5" s="1472"/>
      <c r="G5" s="1472"/>
      <c r="H5" s="1472"/>
      <c r="I5" s="1472"/>
      <c r="J5" s="1472"/>
      <c r="K5" s="1472"/>
      <c r="L5" s="1472"/>
      <c r="M5" s="1472"/>
      <c r="N5" s="1472"/>
    </row>
    <row r="6" spans="1:15" ht="16.2" customHeight="1" thickBot="1">
      <c r="A6" s="93"/>
      <c r="B6" s="1578" t="s">
        <v>2610</v>
      </c>
      <c r="C6" s="1578"/>
      <c r="D6" s="1578"/>
      <c r="E6" s="1578"/>
      <c r="F6" s="1578"/>
      <c r="G6" s="1578"/>
      <c r="H6" s="1578"/>
      <c r="I6" s="1578"/>
      <c r="J6" s="1578"/>
      <c r="K6" s="1578"/>
      <c r="L6" s="1578"/>
      <c r="M6" s="1578"/>
      <c r="N6" s="1578"/>
    </row>
    <row r="7" spans="1:15" ht="15.6" thickTop="1" thickBot="1">
      <c r="A7" s="1102"/>
      <c r="B7" s="1103"/>
      <c r="C7" s="1103"/>
      <c r="D7" s="1103"/>
      <c r="E7" s="1103"/>
      <c r="F7" s="1103"/>
      <c r="G7" s="1104"/>
      <c r="H7" s="1099"/>
      <c r="I7" s="1099"/>
      <c r="J7" s="1099"/>
      <c r="K7" s="1099"/>
      <c r="L7" s="1099"/>
      <c r="M7" s="1099"/>
      <c r="N7" s="1099"/>
    </row>
    <row r="8" spans="1:15" ht="24.6" thickBot="1">
      <c r="A8" s="1105"/>
      <c r="B8" s="1106" t="s">
        <v>1488</v>
      </c>
      <c r="C8" s="1106" t="s">
        <v>631</v>
      </c>
      <c r="D8" s="1106" t="s">
        <v>1489</v>
      </c>
      <c r="E8" s="1106" t="s">
        <v>1490</v>
      </c>
      <c r="F8" s="1106" t="s">
        <v>1491</v>
      </c>
      <c r="G8" s="1106" t="s">
        <v>1492</v>
      </c>
      <c r="H8" s="1106" t="s">
        <v>1493</v>
      </c>
      <c r="I8" s="1106" t="s">
        <v>1494</v>
      </c>
      <c r="J8" s="1106" t="s">
        <v>1495</v>
      </c>
      <c r="K8" s="1106" t="s">
        <v>1496</v>
      </c>
      <c r="L8" s="1106" t="s">
        <v>1497</v>
      </c>
      <c r="M8" s="1107" t="s">
        <v>1664</v>
      </c>
      <c r="N8" s="1106" t="s">
        <v>1499</v>
      </c>
    </row>
    <row r="9" spans="1:15" ht="14.4">
      <c r="A9" s="1099"/>
      <c r="B9" s="1099"/>
      <c r="C9" s="1108"/>
      <c r="D9" s="1109"/>
      <c r="E9" s="1110"/>
      <c r="F9" s="1103"/>
      <c r="G9" s="1137"/>
      <c r="H9" s="1137"/>
      <c r="I9" s="1137"/>
      <c r="J9" s="1137"/>
      <c r="K9" s="1137"/>
      <c r="L9" s="1137"/>
      <c r="M9" s="1137"/>
      <c r="N9" s="1137"/>
    </row>
    <row r="10" spans="1:15" ht="15" thickBot="1">
      <c r="A10" s="1099"/>
      <c r="B10" s="1113" t="s">
        <v>1668</v>
      </c>
      <c r="C10" s="1114"/>
      <c r="D10" s="1115"/>
      <c r="E10" s="1114"/>
      <c r="F10" s="1114"/>
      <c r="G10" s="1115"/>
      <c r="H10" s="1115"/>
      <c r="I10" s="1115"/>
      <c r="J10" s="1115"/>
      <c r="K10" s="1115"/>
      <c r="L10" s="1115"/>
      <c r="M10" s="1116"/>
      <c r="N10" s="1115"/>
    </row>
    <row r="11" spans="1:15" ht="14.4">
      <c r="A11" s="1099"/>
      <c r="B11" s="1117" t="s">
        <v>1504</v>
      </c>
      <c r="C11" s="1118" t="s">
        <v>1505</v>
      </c>
      <c r="D11" s="1119" t="s">
        <v>1506</v>
      </c>
      <c r="E11" s="1120">
        <v>45744</v>
      </c>
      <c r="F11" s="1121">
        <v>7.3300000000000004E-2</v>
      </c>
      <c r="G11" s="1119">
        <v>3500000000</v>
      </c>
      <c r="H11" s="1122">
        <v>0</v>
      </c>
      <c r="I11" s="1119">
        <v>0</v>
      </c>
      <c r="J11" s="1119">
        <v>-288611916.67120701</v>
      </c>
      <c r="K11" s="1119">
        <v>0</v>
      </c>
      <c r="L11" s="1119">
        <f>+G11+H11+I11+J11+K11</f>
        <v>3211388083.328793</v>
      </c>
      <c r="M11" s="1123"/>
      <c r="N11" s="1119">
        <f>+L11</f>
        <v>3211388083.328793</v>
      </c>
      <c r="O11" s="1164" t="s">
        <v>2611</v>
      </c>
    </row>
    <row r="12" spans="1:15" ht="14.4">
      <c r="A12" s="1099"/>
      <c r="B12" s="1117" t="s">
        <v>1504</v>
      </c>
      <c r="C12" s="1118" t="s">
        <v>1505</v>
      </c>
      <c r="D12" s="1119" t="s">
        <v>1507</v>
      </c>
      <c r="E12" s="1120">
        <v>45317</v>
      </c>
      <c r="F12" s="1121">
        <v>7.6700000000000004E-2</v>
      </c>
      <c r="G12" s="1119">
        <v>2000000000</v>
      </c>
      <c r="H12" s="1122">
        <v>0</v>
      </c>
      <c r="I12" s="1119">
        <v>0</v>
      </c>
      <c r="J12" s="1119">
        <v>-10748686.329113901</v>
      </c>
      <c r="K12" s="1119">
        <v>0</v>
      </c>
      <c r="L12" s="1119">
        <f>+G12+H12+I12+J12+K12</f>
        <v>1989251313.670886</v>
      </c>
      <c r="M12" s="1123"/>
      <c r="N12" s="1119">
        <f>+L12</f>
        <v>1989251313.670886</v>
      </c>
      <c r="O12" s="1164" t="s">
        <v>2611</v>
      </c>
    </row>
    <row r="13" spans="1:15" ht="14.4">
      <c r="A13" s="1099"/>
      <c r="B13" s="1117" t="s">
        <v>1504</v>
      </c>
      <c r="C13" s="1118" t="s">
        <v>1505</v>
      </c>
      <c r="D13" s="1119" t="s">
        <v>1508</v>
      </c>
      <c r="E13" s="1120">
        <v>45562</v>
      </c>
      <c r="F13" s="1121">
        <v>7.51E-2</v>
      </c>
      <c r="G13" s="1119">
        <v>3000000000</v>
      </c>
      <c r="H13" s="1122">
        <v>0</v>
      </c>
      <c r="I13" s="1119">
        <v>0</v>
      </c>
      <c r="J13" s="1119">
        <v>-156671959.01823699</v>
      </c>
      <c r="K13" s="1119">
        <v>0</v>
      </c>
      <c r="L13" s="1119">
        <f>+G13+H13+I13+J13+K13</f>
        <v>2843328040.9817629</v>
      </c>
      <c r="M13" s="1123"/>
      <c r="N13" s="1119">
        <f>+L13</f>
        <v>2843328040.9817629</v>
      </c>
      <c r="O13" s="1164" t="s">
        <v>2611</v>
      </c>
    </row>
    <row r="14" spans="1:15" ht="14.4">
      <c r="A14" s="1099"/>
      <c r="B14" s="1117" t="s">
        <v>1504</v>
      </c>
      <c r="C14" s="1118" t="s">
        <v>1505</v>
      </c>
      <c r="D14" s="1119" t="s">
        <v>1507</v>
      </c>
      <c r="E14" s="1120">
        <v>45317</v>
      </c>
      <c r="F14" s="1121">
        <v>7.6600000000000001E-2</v>
      </c>
      <c r="G14" s="1119">
        <v>1000000000</v>
      </c>
      <c r="H14" s="1122">
        <v>0</v>
      </c>
      <c r="I14" s="1119">
        <v>0</v>
      </c>
      <c r="J14" s="1119">
        <v>-5361915.9285714598</v>
      </c>
      <c r="K14" s="1119">
        <v>0</v>
      </c>
      <c r="L14" s="1119">
        <f>+G14+H14+I14+J14+K14</f>
        <v>994638084.07142854</v>
      </c>
      <c r="M14" s="1123"/>
      <c r="N14" s="1119">
        <f>+L14</f>
        <v>994638084.07142854</v>
      </c>
      <c r="O14" s="1164" t="s">
        <v>2611</v>
      </c>
    </row>
    <row r="15" spans="1:15" ht="15" thickBot="1">
      <c r="A15" s="1099"/>
      <c r="B15" s="1099"/>
      <c r="C15" s="1108"/>
      <c r="D15" s="1109"/>
      <c r="E15" s="1110"/>
      <c r="F15" s="1127" t="s">
        <v>1509</v>
      </c>
      <c r="G15" s="1128">
        <f t="shared" ref="G15:N15" si="0">+SUM(G11:G14)</f>
        <v>9500000000</v>
      </c>
      <c r="H15" s="1128">
        <f t="shared" si="0"/>
        <v>0</v>
      </c>
      <c r="I15" s="1128">
        <f t="shared" si="0"/>
        <v>0</v>
      </c>
      <c r="J15" s="1128">
        <f t="shared" si="0"/>
        <v>-461394477.94712937</v>
      </c>
      <c r="K15" s="1128">
        <f t="shared" si="0"/>
        <v>0</v>
      </c>
      <c r="L15" s="1128">
        <f t="shared" si="0"/>
        <v>9038605522.0528717</v>
      </c>
      <c r="M15" s="1128">
        <f t="shared" si="0"/>
        <v>0</v>
      </c>
      <c r="N15" s="1128">
        <f t="shared" si="0"/>
        <v>9038605522.0528717</v>
      </c>
    </row>
    <row r="16" spans="1:15" ht="15" thickTop="1">
      <c r="A16" s="1099"/>
      <c r="B16" s="1099"/>
      <c r="C16" s="1108"/>
      <c r="D16" s="1109"/>
      <c r="E16" s="1110"/>
      <c r="F16" s="1103"/>
      <c r="G16" s="1111"/>
      <c r="H16" s="1111"/>
      <c r="I16" s="1111"/>
      <c r="J16" s="1111"/>
      <c r="K16" s="1111"/>
      <c r="L16" s="1111"/>
      <c r="M16" s="1111"/>
      <c r="N16" s="1111"/>
    </row>
    <row r="17" spans="1:15" ht="15" thickBot="1">
      <c r="A17" s="1099"/>
      <c r="B17" s="1113" t="s">
        <v>1671</v>
      </c>
      <c r="C17" s="1114"/>
      <c r="D17" s="1115"/>
      <c r="E17" s="1114"/>
      <c r="F17" s="1114"/>
      <c r="G17" s="1115"/>
      <c r="H17" s="1115"/>
      <c r="I17" s="1115"/>
      <c r="J17" s="1115"/>
      <c r="K17" s="1115"/>
      <c r="L17" s="1115"/>
      <c r="M17" s="1116"/>
      <c r="N17" s="1115"/>
    </row>
    <row r="18" spans="1:15" ht="14.4">
      <c r="A18" s="1099"/>
      <c r="B18" s="1117" t="s">
        <v>1611</v>
      </c>
      <c r="C18" s="1118" t="s">
        <v>1505</v>
      </c>
      <c r="D18" s="1119" t="s">
        <v>2664</v>
      </c>
      <c r="E18" s="1120">
        <v>45828</v>
      </c>
      <c r="F18" s="1121">
        <v>7.7499999999999999E-2</v>
      </c>
      <c r="G18" s="1119">
        <v>1100000000</v>
      </c>
      <c r="H18" s="1122">
        <v>127875000</v>
      </c>
      <c r="I18" s="1119">
        <v>-125294831.981297</v>
      </c>
      <c r="J18" s="1119">
        <v>0</v>
      </c>
      <c r="K18" s="1119">
        <v>3552779.91944111</v>
      </c>
      <c r="L18" s="1119">
        <f>+G18+H18+I18+J18+K18</f>
        <v>1106132947.9381442</v>
      </c>
      <c r="M18" s="1123"/>
      <c r="N18" s="1119">
        <f>+L18</f>
        <v>1106132947.9381442</v>
      </c>
      <c r="O18" s="1112"/>
    </row>
    <row r="19" spans="1:15" ht="14.4">
      <c r="A19" s="1099"/>
      <c r="B19" s="1117" t="s">
        <v>1609</v>
      </c>
      <c r="C19" s="1118" t="s">
        <v>1505</v>
      </c>
      <c r="D19" s="1119" t="s">
        <v>1729</v>
      </c>
      <c r="E19" s="1120">
        <v>45709</v>
      </c>
      <c r="F19" s="1121">
        <v>8.2500000000000004E-2</v>
      </c>
      <c r="G19" s="1119">
        <v>250000000</v>
      </c>
      <c r="H19" s="1122">
        <v>31022260</v>
      </c>
      <c r="I19" s="1119">
        <v>-23619863.0136986</v>
      </c>
      <c r="J19" s="1119">
        <v>0</v>
      </c>
      <c r="K19" s="1119">
        <v>1032993.07213775</v>
      </c>
      <c r="L19" s="1119">
        <f>+G19+H19+I19+J19+K19</f>
        <v>258435390.05843914</v>
      </c>
      <c r="M19" s="1123"/>
      <c r="N19" s="1119">
        <f>+L19</f>
        <v>258435390.05843914</v>
      </c>
      <c r="O19" s="1112"/>
    </row>
    <row r="20" spans="1:15" ht="15" thickBot="1">
      <c r="A20" s="1099"/>
      <c r="B20" s="1099"/>
      <c r="C20" s="1108"/>
      <c r="D20" s="1109"/>
      <c r="E20" s="1110"/>
      <c r="F20" s="1127" t="s">
        <v>1509</v>
      </c>
      <c r="G20" s="1128">
        <f t="shared" ref="G20:N20" si="1">+SUM(G18:G19)</f>
        <v>1350000000</v>
      </c>
      <c r="H20" s="1128">
        <f t="shared" si="1"/>
        <v>158897260</v>
      </c>
      <c r="I20" s="1128">
        <f t="shared" si="1"/>
        <v>-148914694.99499559</v>
      </c>
      <c r="J20" s="1128">
        <f t="shared" si="1"/>
        <v>0</v>
      </c>
      <c r="K20" s="1128">
        <f t="shared" si="1"/>
        <v>4585772.9915788602</v>
      </c>
      <c r="L20" s="1128">
        <f t="shared" si="1"/>
        <v>1364568337.9965835</v>
      </c>
      <c r="M20" s="1128">
        <f t="shared" si="1"/>
        <v>0</v>
      </c>
      <c r="N20" s="1128">
        <f t="shared" si="1"/>
        <v>1364568337.9965835</v>
      </c>
    </row>
    <row r="21" spans="1:15" ht="15" thickTop="1">
      <c r="A21" s="1099"/>
      <c r="B21" s="1099"/>
      <c r="C21" s="1108"/>
      <c r="D21" s="1109"/>
      <c r="E21" s="1110"/>
      <c r="F21" s="1103"/>
      <c r="G21" s="1111"/>
      <c r="H21" s="1111"/>
      <c r="I21" s="1111"/>
      <c r="J21" s="1111"/>
      <c r="K21" s="1111"/>
      <c r="L21" s="1111"/>
      <c r="M21" s="1111"/>
      <c r="N21" s="1111"/>
    </row>
    <row r="22" spans="1:15" ht="15" thickBot="1">
      <c r="A22" s="1099"/>
      <c r="B22" s="1113" t="s">
        <v>1673</v>
      </c>
      <c r="C22" s="1114"/>
      <c r="D22" s="1115"/>
      <c r="E22" s="1114"/>
      <c r="F22" s="1114"/>
      <c r="G22" s="1115"/>
      <c r="H22" s="1115"/>
      <c r="I22" s="1115"/>
      <c r="J22" s="1115"/>
      <c r="K22" s="1115"/>
      <c r="L22" s="1115"/>
      <c r="M22" s="1116"/>
      <c r="N22" s="1115"/>
    </row>
    <row r="23" spans="1:15" ht="14.4">
      <c r="A23" s="1099"/>
      <c r="B23" s="1117" t="s">
        <v>1515</v>
      </c>
      <c r="C23" s="1118" t="s">
        <v>1505</v>
      </c>
      <c r="D23" s="1119" t="s">
        <v>2187</v>
      </c>
      <c r="E23" s="1120">
        <v>45569</v>
      </c>
      <c r="F23" s="1121">
        <v>7.5999999999999998E-2</v>
      </c>
      <c r="G23" s="1119">
        <v>501000000</v>
      </c>
      <c r="H23" s="1122">
        <v>38076000</v>
      </c>
      <c r="I23" s="1122">
        <v>-29000350.68493152</v>
      </c>
      <c r="J23" s="1119">
        <v>-2198390.5405020295</v>
      </c>
      <c r="K23" s="1119">
        <v>0</v>
      </c>
      <c r="L23" s="1119">
        <f t="shared" ref="L23:L58" si="2">+G23+H23+I23+J23+K23</f>
        <v>507877258.77456647</v>
      </c>
      <c r="M23" s="1123"/>
      <c r="N23" s="1119">
        <f t="shared" ref="N23:N58" si="3">+L23</f>
        <v>507877258.77456647</v>
      </c>
      <c r="O23" s="1164" t="s">
        <v>2611</v>
      </c>
    </row>
    <row r="24" spans="1:15" ht="14.4">
      <c r="A24" s="1099"/>
      <c r="B24" s="1117" t="s">
        <v>1515</v>
      </c>
      <c r="C24" s="1118" t="s">
        <v>1505</v>
      </c>
      <c r="D24" s="1119" t="s">
        <v>2188</v>
      </c>
      <c r="E24" s="1120">
        <v>45569</v>
      </c>
      <c r="F24" s="1121">
        <v>7.5999999999999998E-2</v>
      </c>
      <c r="G24" s="1119">
        <v>501000000</v>
      </c>
      <c r="H24" s="1122">
        <v>38076000</v>
      </c>
      <c r="I24" s="1122">
        <v>-29000350.68493152</v>
      </c>
      <c r="J24" s="1119">
        <v>-2198390.5405020295</v>
      </c>
      <c r="K24" s="1119">
        <v>0</v>
      </c>
      <c r="L24" s="1119">
        <f t="shared" si="2"/>
        <v>507877258.77456647</v>
      </c>
      <c r="M24" s="1123"/>
      <c r="N24" s="1119">
        <f t="shared" si="3"/>
        <v>507877258.77456647</v>
      </c>
      <c r="O24" s="1164" t="s">
        <v>2611</v>
      </c>
    </row>
    <row r="25" spans="1:15" ht="14.4">
      <c r="A25" s="1099"/>
      <c r="B25" s="1117" t="s">
        <v>1515</v>
      </c>
      <c r="C25" s="1118" t="s">
        <v>1505</v>
      </c>
      <c r="D25" s="1119" t="s">
        <v>2189</v>
      </c>
      <c r="E25" s="1120">
        <v>45569</v>
      </c>
      <c r="F25" s="1121">
        <v>7.5999999999999998E-2</v>
      </c>
      <c r="G25" s="1119">
        <v>501000000</v>
      </c>
      <c r="H25" s="1122">
        <v>38076000</v>
      </c>
      <c r="I25" s="1122">
        <v>-29000350.68493152</v>
      </c>
      <c r="J25" s="1119">
        <v>-2198390.5405020295</v>
      </c>
      <c r="K25" s="1119">
        <v>0</v>
      </c>
      <c r="L25" s="1119">
        <f t="shared" si="2"/>
        <v>507877258.77456647</v>
      </c>
      <c r="M25" s="1123"/>
      <c r="N25" s="1119">
        <f t="shared" si="3"/>
        <v>507877258.77456647</v>
      </c>
      <c r="O25" s="1164" t="s">
        <v>2611</v>
      </c>
    </row>
    <row r="26" spans="1:15" ht="14.4">
      <c r="A26" s="1099"/>
      <c r="B26" s="1117" t="s">
        <v>1515</v>
      </c>
      <c r="C26" s="1118" t="s">
        <v>1505</v>
      </c>
      <c r="D26" s="1119" t="s">
        <v>2190</v>
      </c>
      <c r="E26" s="1120">
        <v>45569</v>
      </c>
      <c r="F26" s="1121">
        <v>7.5999999999999998E-2</v>
      </c>
      <c r="G26" s="1119">
        <v>501000000</v>
      </c>
      <c r="H26" s="1122">
        <v>38076000</v>
      </c>
      <c r="I26" s="1122">
        <v>-29000350.68493152</v>
      </c>
      <c r="J26" s="1119">
        <v>-2198390.5405020295</v>
      </c>
      <c r="K26" s="1119">
        <v>0</v>
      </c>
      <c r="L26" s="1119">
        <f t="shared" si="2"/>
        <v>507877258.77456647</v>
      </c>
      <c r="M26" s="1123"/>
      <c r="N26" s="1119">
        <f t="shared" si="3"/>
        <v>507877258.77456647</v>
      </c>
      <c r="O26" s="1164" t="s">
        <v>2611</v>
      </c>
    </row>
    <row r="27" spans="1:15" ht="14.4">
      <c r="A27" s="1099"/>
      <c r="B27" s="1117" t="s">
        <v>2665</v>
      </c>
      <c r="C27" s="1118" t="s">
        <v>1505</v>
      </c>
      <c r="D27" s="1119" t="s">
        <v>2666</v>
      </c>
      <c r="E27" s="1120">
        <v>45531</v>
      </c>
      <c r="F27" s="1121">
        <v>7.4999999999999997E-2</v>
      </c>
      <c r="G27" s="1119">
        <v>100000000</v>
      </c>
      <c r="H27" s="1122">
        <v>7828767.1232876712</v>
      </c>
      <c r="I27" s="1122">
        <v>-4931506.8493150696</v>
      </c>
      <c r="J27" s="1119">
        <v>-335865.49622589222</v>
      </c>
      <c r="K27" s="1119">
        <v>0</v>
      </c>
      <c r="L27" s="1119">
        <f t="shared" si="2"/>
        <v>102561394.77774671</v>
      </c>
      <c r="M27" s="1123"/>
      <c r="N27" s="1119">
        <f t="shared" si="3"/>
        <v>102561394.77774671</v>
      </c>
      <c r="O27" s="1164" t="s">
        <v>2611</v>
      </c>
    </row>
    <row r="28" spans="1:15" ht="14.4">
      <c r="A28" s="1099"/>
      <c r="B28" s="1117" t="s">
        <v>2665</v>
      </c>
      <c r="C28" s="1118" t="s">
        <v>1505</v>
      </c>
      <c r="D28" s="1119" t="s">
        <v>2667</v>
      </c>
      <c r="E28" s="1120">
        <v>45492</v>
      </c>
      <c r="F28" s="1121">
        <v>7.2499999999999995E-2</v>
      </c>
      <c r="G28" s="1119">
        <v>60000000</v>
      </c>
      <c r="H28" s="1122">
        <v>3313150.6849315069</v>
      </c>
      <c r="I28" s="1122">
        <v>-2395479.4520547949</v>
      </c>
      <c r="J28" s="1119">
        <v>-242668.07697853667</v>
      </c>
      <c r="K28" s="1119"/>
      <c r="L28" s="1119">
        <f t="shared" si="2"/>
        <v>60675003.155898184</v>
      </c>
      <c r="M28" s="1123"/>
      <c r="N28" s="1119">
        <f t="shared" si="3"/>
        <v>60675003.155898184</v>
      </c>
      <c r="O28" s="1164" t="s">
        <v>2611</v>
      </c>
    </row>
    <row r="29" spans="1:15" ht="14.4">
      <c r="A29" s="1099"/>
      <c r="B29" s="1117" t="s">
        <v>2665</v>
      </c>
      <c r="C29" s="1118" t="s">
        <v>1505</v>
      </c>
      <c r="D29" s="1119" t="s">
        <v>2668</v>
      </c>
      <c r="E29" s="1120">
        <v>45432</v>
      </c>
      <c r="F29" s="1121">
        <v>0.08</v>
      </c>
      <c r="G29" s="1119">
        <v>50000000</v>
      </c>
      <c r="H29" s="1122">
        <v>1621918</v>
      </c>
      <c r="I29" s="1122">
        <v>-1545205.4794520545</v>
      </c>
      <c r="J29" s="1119">
        <v>-484.67394330201154</v>
      </c>
      <c r="K29" s="1119"/>
      <c r="L29" s="1119">
        <f t="shared" si="2"/>
        <v>50076227.846604645</v>
      </c>
      <c r="M29" s="1123"/>
      <c r="N29" s="1119">
        <f t="shared" si="3"/>
        <v>50076227.846604645</v>
      </c>
      <c r="O29" s="1164" t="s">
        <v>2611</v>
      </c>
    </row>
    <row r="30" spans="1:15" ht="14.4">
      <c r="A30" s="1099"/>
      <c r="B30" s="1117" t="s">
        <v>1515</v>
      </c>
      <c r="C30" s="1118" t="s">
        <v>1505</v>
      </c>
      <c r="D30" s="1119" t="s">
        <v>2191</v>
      </c>
      <c r="E30" s="1120">
        <v>46286</v>
      </c>
      <c r="F30" s="1121">
        <v>8.2500000000000004E-2</v>
      </c>
      <c r="G30" s="1119">
        <v>100000000</v>
      </c>
      <c r="H30" s="1122">
        <v>24817808.219178084</v>
      </c>
      <c r="I30" s="1122">
        <v>-22489726.02739726</v>
      </c>
      <c r="J30" s="1119"/>
      <c r="K30" s="1119">
        <v>341037.38584475475</v>
      </c>
      <c r="L30" s="1119">
        <f t="shared" si="2"/>
        <v>102669119.57762557</v>
      </c>
      <c r="M30" s="1123"/>
      <c r="N30" s="1119">
        <f t="shared" si="3"/>
        <v>102669119.57762557</v>
      </c>
      <c r="O30" s="1164" t="s">
        <v>2611</v>
      </c>
    </row>
    <row r="31" spans="1:15" ht="14.4">
      <c r="A31" s="1099"/>
      <c r="B31" s="1117" t="s">
        <v>1515</v>
      </c>
      <c r="C31" s="1118" t="s">
        <v>1505</v>
      </c>
      <c r="D31" s="1119" t="s">
        <v>2192</v>
      </c>
      <c r="E31" s="1120">
        <v>46286</v>
      </c>
      <c r="F31" s="1121">
        <v>8.2500000000000004E-2</v>
      </c>
      <c r="G31" s="1119">
        <v>100000000</v>
      </c>
      <c r="H31" s="1122">
        <v>24817808.219178084</v>
      </c>
      <c r="I31" s="1122">
        <v>-22489726.02739726</v>
      </c>
      <c r="J31" s="1119"/>
      <c r="K31" s="1119">
        <v>341037.38584475475</v>
      </c>
      <c r="L31" s="1119">
        <f t="shared" si="2"/>
        <v>102669119.57762557</v>
      </c>
      <c r="M31" s="1123"/>
      <c r="N31" s="1119">
        <f t="shared" si="3"/>
        <v>102669119.57762557</v>
      </c>
      <c r="O31" s="1164" t="s">
        <v>2611</v>
      </c>
    </row>
    <row r="32" spans="1:15" ht="14.4">
      <c r="A32" s="1099"/>
      <c r="B32" s="1117" t="s">
        <v>1515</v>
      </c>
      <c r="C32" s="1118" t="s">
        <v>1505</v>
      </c>
      <c r="D32" s="1119" t="s">
        <v>2193</v>
      </c>
      <c r="E32" s="1120">
        <v>46286</v>
      </c>
      <c r="F32" s="1121">
        <v>8.2500000000000004E-2</v>
      </c>
      <c r="G32" s="1119">
        <v>100000000</v>
      </c>
      <c r="H32" s="1122">
        <v>24817808.219178084</v>
      </c>
      <c r="I32" s="1122">
        <v>-22489726.02739726</v>
      </c>
      <c r="J32" s="1119"/>
      <c r="K32" s="1119">
        <v>341037.38584475475</v>
      </c>
      <c r="L32" s="1119">
        <f t="shared" si="2"/>
        <v>102669119.57762557</v>
      </c>
      <c r="M32" s="1123"/>
      <c r="N32" s="1119">
        <f t="shared" si="3"/>
        <v>102669119.57762557</v>
      </c>
      <c r="O32" s="1164" t="s">
        <v>2611</v>
      </c>
    </row>
    <row r="33" spans="1:15" ht="14.4">
      <c r="A33" s="1099"/>
      <c r="B33" s="1117" t="s">
        <v>1515</v>
      </c>
      <c r="C33" s="1118" t="s">
        <v>1505</v>
      </c>
      <c r="D33" s="1119" t="s">
        <v>2194</v>
      </c>
      <c r="E33" s="1120">
        <v>46286</v>
      </c>
      <c r="F33" s="1121">
        <v>8.2500000000000004E-2</v>
      </c>
      <c r="G33" s="1119">
        <v>100000000</v>
      </c>
      <c r="H33" s="1122">
        <v>24817808.219178084</v>
      </c>
      <c r="I33" s="1122">
        <v>-22489726.02739726</v>
      </c>
      <c r="J33" s="1119"/>
      <c r="K33" s="1119">
        <v>341037.38584475475</v>
      </c>
      <c r="L33" s="1119">
        <f t="shared" si="2"/>
        <v>102669119.57762557</v>
      </c>
      <c r="M33" s="1123"/>
      <c r="N33" s="1119">
        <f t="shared" si="3"/>
        <v>102669119.57762557</v>
      </c>
      <c r="O33" s="1164" t="s">
        <v>2611</v>
      </c>
    </row>
    <row r="34" spans="1:15" ht="14.4">
      <c r="A34" s="1099"/>
      <c r="B34" s="1117" t="s">
        <v>1515</v>
      </c>
      <c r="C34" s="1118" t="s">
        <v>1505</v>
      </c>
      <c r="D34" s="1119" t="s">
        <v>2195</v>
      </c>
      <c r="E34" s="1120">
        <v>46286</v>
      </c>
      <c r="F34" s="1121">
        <v>8.2500000000000004E-2</v>
      </c>
      <c r="G34" s="1119">
        <v>100000000</v>
      </c>
      <c r="H34" s="1122">
        <v>24817808.219178084</v>
      </c>
      <c r="I34" s="1122">
        <v>-22489726.02739726</v>
      </c>
      <c r="J34" s="1119"/>
      <c r="K34" s="1119">
        <v>341037.38584475475</v>
      </c>
      <c r="L34" s="1119">
        <f t="shared" si="2"/>
        <v>102669119.57762557</v>
      </c>
      <c r="M34" s="1123"/>
      <c r="N34" s="1119">
        <f t="shared" si="3"/>
        <v>102669119.57762557</v>
      </c>
      <c r="O34" s="1164" t="s">
        <v>2611</v>
      </c>
    </row>
    <row r="35" spans="1:15" ht="14.4">
      <c r="A35" s="1099"/>
      <c r="B35" s="1117" t="s">
        <v>1828</v>
      </c>
      <c r="C35" s="1118" t="s">
        <v>1505</v>
      </c>
      <c r="D35" s="1119" t="s">
        <v>1775</v>
      </c>
      <c r="E35" s="1120">
        <v>46434</v>
      </c>
      <c r="F35" s="1121">
        <v>9.5000000000000001E-2</v>
      </c>
      <c r="G35" s="1119">
        <v>1010000000</v>
      </c>
      <c r="H35" s="1122">
        <v>307565753.42465752</v>
      </c>
      <c r="I35" s="1122">
        <v>-300468082.19178081</v>
      </c>
      <c r="J35" s="1119">
        <v>-3875665.2638771217</v>
      </c>
      <c r="K35" s="1119"/>
      <c r="L35" s="1119">
        <f t="shared" si="2"/>
        <v>1013222005.9689996</v>
      </c>
      <c r="M35" s="1123"/>
      <c r="N35" s="1119">
        <f t="shared" si="3"/>
        <v>1013222005.9689996</v>
      </c>
      <c r="O35" s="1164" t="s">
        <v>2611</v>
      </c>
    </row>
    <row r="36" spans="1:15" ht="14.4">
      <c r="A36" s="1099"/>
      <c r="B36" s="1117" t="s">
        <v>1828</v>
      </c>
      <c r="C36" s="1118" t="s">
        <v>1505</v>
      </c>
      <c r="D36" s="1119" t="s">
        <v>2669</v>
      </c>
      <c r="E36" s="1120">
        <v>45483</v>
      </c>
      <c r="F36" s="1121">
        <v>8.7499999999999994E-2</v>
      </c>
      <c r="G36" s="1119">
        <v>200000000</v>
      </c>
      <c r="H36" s="1122">
        <v>10356164.383561643</v>
      </c>
      <c r="I36" s="1122">
        <v>-9205479.4520547912</v>
      </c>
      <c r="J36" s="1119"/>
      <c r="K36" s="1119">
        <v>557402.64001410804</v>
      </c>
      <c r="L36" s="1119">
        <f t="shared" si="2"/>
        <v>201708087.57152095</v>
      </c>
      <c r="M36" s="1123"/>
      <c r="N36" s="1119">
        <f t="shared" si="3"/>
        <v>201708087.57152095</v>
      </c>
      <c r="O36" s="1164" t="s">
        <v>2611</v>
      </c>
    </row>
    <row r="37" spans="1:15" ht="14.4">
      <c r="A37" s="1099"/>
      <c r="B37" s="1117" t="s">
        <v>1827</v>
      </c>
      <c r="C37" s="1118" t="s">
        <v>1505</v>
      </c>
      <c r="D37" s="1119" t="s">
        <v>2670</v>
      </c>
      <c r="E37" s="1120">
        <v>45446</v>
      </c>
      <c r="F37" s="1121">
        <v>5.2999999999999999E-2</v>
      </c>
      <c r="G37" s="1119">
        <v>500000000</v>
      </c>
      <c r="H37" s="1122">
        <v>13721917.808219176</v>
      </c>
      <c r="I37" s="1122">
        <v>-11253424.657534244</v>
      </c>
      <c r="J37" s="1119">
        <v>-4719391.0105221448</v>
      </c>
      <c r="K37" s="1119"/>
      <c r="L37" s="1119">
        <f t="shared" si="2"/>
        <v>497749102.14016283</v>
      </c>
      <c r="M37" s="1123"/>
      <c r="N37" s="1119">
        <f t="shared" si="3"/>
        <v>497749102.14016283</v>
      </c>
      <c r="O37" s="1164" t="s">
        <v>2611</v>
      </c>
    </row>
    <row r="38" spans="1:15" ht="14.4">
      <c r="A38" s="1099"/>
      <c r="B38" s="1117" t="s">
        <v>1827</v>
      </c>
      <c r="C38" s="1118" t="s">
        <v>1505</v>
      </c>
      <c r="D38" s="1119" t="s">
        <v>2671</v>
      </c>
      <c r="E38" s="1120">
        <v>45446</v>
      </c>
      <c r="F38" s="1121">
        <v>5.2999999999999999E-2</v>
      </c>
      <c r="G38" s="1119">
        <v>500000000</v>
      </c>
      <c r="H38" s="1122">
        <v>13721917.698630136</v>
      </c>
      <c r="I38" s="1122">
        <v>-11253424.657534244</v>
      </c>
      <c r="J38" s="1119">
        <v>-4719391.0105221448</v>
      </c>
      <c r="K38" s="1119"/>
      <c r="L38" s="1119">
        <f t="shared" si="2"/>
        <v>497749102.03057379</v>
      </c>
      <c r="M38" s="1123"/>
      <c r="N38" s="1119">
        <f t="shared" si="3"/>
        <v>497749102.03057379</v>
      </c>
      <c r="O38" s="1164" t="s">
        <v>2611</v>
      </c>
    </row>
    <row r="39" spans="1:15" ht="14.4">
      <c r="A39" s="1099"/>
      <c r="B39" s="1117" t="s">
        <v>1827</v>
      </c>
      <c r="C39" s="1118" t="s">
        <v>1505</v>
      </c>
      <c r="D39" s="1119" t="s">
        <v>2672</v>
      </c>
      <c r="E39" s="1120">
        <v>45446</v>
      </c>
      <c r="F39" s="1121">
        <v>5.2999999999999999E-2</v>
      </c>
      <c r="G39" s="1119">
        <v>500000000</v>
      </c>
      <c r="H39" s="1122">
        <v>13721917.698630136</v>
      </c>
      <c r="I39" s="1122">
        <v>-11253424.657534244</v>
      </c>
      <c r="J39" s="1119">
        <v>-4719391.0105221448</v>
      </c>
      <c r="K39" s="1119"/>
      <c r="L39" s="1119">
        <f t="shared" si="2"/>
        <v>497749102.03057379</v>
      </c>
      <c r="M39" s="1123"/>
      <c r="N39" s="1119">
        <f t="shared" si="3"/>
        <v>497749102.03057379</v>
      </c>
      <c r="O39" s="1164" t="s">
        <v>2611</v>
      </c>
    </row>
    <row r="40" spans="1:15" ht="14.4">
      <c r="A40" s="1099"/>
      <c r="B40" s="1117" t="s">
        <v>1827</v>
      </c>
      <c r="C40" s="1118" t="s">
        <v>1505</v>
      </c>
      <c r="D40" s="1119" t="s">
        <v>2673</v>
      </c>
      <c r="E40" s="1120">
        <v>45446</v>
      </c>
      <c r="F40" s="1121">
        <v>5.2999999999999999E-2</v>
      </c>
      <c r="G40" s="1119">
        <v>500000000</v>
      </c>
      <c r="H40" s="1122">
        <v>13721917.698630136</v>
      </c>
      <c r="I40" s="1122">
        <v>-11253424.657534244</v>
      </c>
      <c r="J40" s="1119">
        <v>-4719391.0105221448</v>
      </c>
      <c r="K40" s="1119"/>
      <c r="L40" s="1119">
        <f t="shared" si="2"/>
        <v>497749102.03057379</v>
      </c>
      <c r="M40" s="1123"/>
      <c r="N40" s="1119">
        <f t="shared" si="3"/>
        <v>497749102.03057379</v>
      </c>
      <c r="O40" s="1164" t="s">
        <v>2611</v>
      </c>
    </row>
    <row r="41" spans="1:15" ht="14.4">
      <c r="A41" s="1099"/>
      <c r="B41" s="1117" t="s">
        <v>1515</v>
      </c>
      <c r="C41" s="1118" t="s">
        <v>1505</v>
      </c>
      <c r="D41" s="1119" t="s">
        <v>2196</v>
      </c>
      <c r="E41" s="1120">
        <v>45569</v>
      </c>
      <c r="F41" s="1121">
        <v>7.5999999999999998E-2</v>
      </c>
      <c r="G41" s="1119">
        <v>501000000</v>
      </c>
      <c r="H41" s="1122">
        <v>38076000</v>
      </c>
      <c r="I41" s="1122">
        <v>-29000350.684931505</v>
      </c>
      <c r="J41" s="1119">
        <v>-528662.03030029545</v>
      </c>
      <c r="K41" s="1119"/>
      <c r="L41" s="1119">
        <f t="shared" si="2"/>
        <v>509546987.28476816</v>
      </c>
      <c r="M41" s="1123"/>
      <c r="N41" s="1119">
        <f t="shared" si="3"/>
        <v>509546987.28476816</v>
      </c>
      <c r="O41" s="1164" t="s">
        <v>2611</v>
      </c>
    </row>
    <row r="42" spans="1:15" ht="14.4">
      <c r="A42" s="1099"/>
      <c r="B42" s="1117" t="s">
        <v>1515</v>
      </c>
      <c r="C42" s="1118" t="s">
        <v>1505</v>
      </c>
      <c r="D42" s="1119" t="s">
        <v>2197</v>
      </c>
      <c r="E42" s="1120">
        <v>45569</v>
      </c>
      <c r="F42" s="1121">
        <v>7.5999999999999998E-2</v>
      </c>
      <c r="G42" s="1119">
        <v>501000000</v>
      </c>
      <c r="H42" s="1122">
        <v>38076000</v>
      </c>
      <c r="I42" s="1122">
        <v>-29000350.684931505</v>
      </c>
      <c r="J42" s="1119">
        <v>-528662.03030029545</v>
      </c>
      <c r="K42" s="1119"/>
      <c r="L42" s="1119">
        <f t="shared" si="2"/>
        <v>509546987.28476816</v>
      </c>
      <c r="M42" s="1123"/>
      <c r="N42" s="1119">
        <f t="shared" si="3"/>
        <v>509546987.28476816</v>
      </c>
      <c r="O42" t="s">
        <v>2611</v>
      </c>
    </row>
    <row r="43" spans="1:15" ht="14.4">
      <c r="A43" s="1099"/>
      <c r="B43" s="1117" t="s">
        <v>1515</v>
      </c>
      <c r="C43" s="1118" t="s">
        <v>1505</v>
      </c>
      <c r="D43" s="1119" t="s">
        <v>2198</v>
      </c>
      <c r="E43" s="1120">
        <v>45569</v>
      </c>
      <c r="F43" s="1121">
        <v>7.5999999999999998E-2</v>
      </c>
      <c r="G43" s="1119">
        <v>501000000</v>
      </c>
      <c r="H43" s="1122">
        <v>38076000</v>
      </c>
      <c r="I43" s="1122">
        <v>-29000350.684931505</v>
      </c>
      <c r="J43" s="1119">
        <v>-528662.03030029545</v>
      </c>
      <c r="K43" s="1119"/>
      <c r="L43" s="1119">
        <f t="shared" si="2"/>
        <v>509546987.28476816</v>
      </c>
      <c r="M43" s="1123"/>
      <c r="N43" s="1119">
        <f t="shared" si="3"/>
        <v>509546987.28476816</v>
      </c>
      <c r="O43" t="s">
        <v>2611</v>
      </c>
    </row>
    <row r="44" spans="1:15" ht="14.4">
      <c r="A44" s="1099"/>
      <c r="B44" s="1117" t="s">
        <v>2665</v>
      </c>
      <c r="C44" s="1118" t="s">
        <v>1505</v>
      </c>
      <c r="D44" s="1119" t="s">
        <v>1685</v>
      </c>
      <c r="E44" s="1120">
        <v>46265</v>
      </c>
      <c r="F44" s="1121">
        <v>9.2499999999999999E-2</v>
      </c>
      <c r="G44" s="1119">
        <v>100000000</v>
      </c>
      <c r="H44" s="1122">
        <v>25595890.410958905</v>
      </c>
      <c r="I44" s="1122">
        <v>-24683561.643835615</v>
      </c>
      <c r="J44" s="1119"/>
      <c r="K44" s="1119">
        <v>2719218.7734690774</v>
      </c>
      <c r="L44" s="1119">
        <f t="shared" si="2"/>
        <v>103631547.54059236</v>
      </c>
      <c r="M44" s="1123"/>
      <c r="N44" s="1119">
        <f t="shared" si="3"/>
        <v>103631547.54059236</v>
      </c>
      <c r="O44" t="s">
        <v>2611</v>
      </c>
    </row>
    <row r="45" spans="1:15" ht="14.4">
      <c r="A45" s="1099"/>
      <c r="B45" s="1117" t="s">
        <v>1827</v>
      </c>
      <c r="C45" s="1118" t="s">
        <v>1505</v>
      </c>
      <c r="D45" s="1119" t="s">
        <v>2674</v>
      </c>
      <c r="E45" s="1120">
        <v>45645</v>
      </c>
      <c r="F45" s="1121">
        <v>7.85E-2</v>
      </c>
      <c r="G45" s="1119">
        <v>200000000</v>
      </c>
      <c r="H45" s="1122">
        <v>15915068.493150685</v>
      </c>
      <c r="I45" s="1122">
        <v>-15226849.315068493</v>
      </c>
      <c r="J45" s="1119"/>
      <c r="K45" s="1119"/>
      <c r="L45" s="1119">
        <f t="shared" si="2"/>
        <v>200688219.1780822</v>
      </c>
      <c r="M45" s="1123"/>
      <c r="N45" s="1119">
        <f t="shared" si="3"/>
        <v>200688219.1780822</v>
      </c>
      <c r="O45" t="s">
        <v>2611</v>
      </c>
    </row>
    <row r="46" spans="1:15" ht="14.4">
      <c r="A46" s="1099"/>
      <c r="B46" s="1117" t="s">
        <v>1827</v>
      </c>
      <c r="C46" s="1118" t="s">
        <v>1505</v>
      </c>
      <c r="D46" s="1119" t="s">
        <v>2675</v>
      </c>
      <c r="E46" s="1120">
        <v>45645</v>
      </c>
      <c r="F46" s="1121">
        <v>7.85E-2</v>
      </c>
      <c r="G46" s="1119">
        <v>150000000</v>
      </c>
      <c r="H46" s="1122">
        <v>11936301.369863013</v>
      </c>
      <c r="I46" s="1122">
        <v>-11420136.98630137</v>
      </c>
      <c r="J46" s="1119"/>
      <c r="K46" s="1119"/>
      <c r="L46" s="1119">
        <f t="shared" si="2"/>
        <v>150516164.38356164</v>
      </c>
      <c r="M46" s="1123"/>
      <c r="N46" s="1119">
        <f t="shared" si="3"/>
        <v>150516164.38356164</v>
      </c>
      <c r="O46" t="s">
        <v>2611</v>
      </c>
    </row>
    <row r="47" spans="1:15" ht="14.4">
      <c r="A47" s="1099"/>
      <c r="B47" s="1117" t="s">
        <v>1827</v>
      </c>
      <c r="C47" s="1118" t="s">
        <v>1505</v>
      </c>
      <c r="D47" s="1119" t="s">
        <v>2676</v>
      </c>
      <c r="E47" s="1120">
        <v>45645</v>
      </c>
      <c r="F47" s="1121">
        <v>7.85E-2</v>
      </c>
      <c r="G47" s="1119">
        <v>200000000</v>
      </c>
      <c r="H47" s="1122">
        <v>15915068.493150685</v>
      </c>
      <c r="I47" s="1122">
        <v>-15226849.315068493</v>
      </c>
      <c r="J47" s="1119"/>
      <c r="K47" s="1119"/>
      <c r="L47" s="1119">
        <f t="shared" si="2"/>
        <v>200688219.1780822</v>
      </c>
      <c r="M47" s="1123"/>
      <c r="N47" s="1119">
        <f t="shared" si="3"/>
        <v>200688219.1780822</v>
      </c>
      <c r="O47" t="s">
        <v>2611</v>
      </c>
    </row>
    <row r="48" spans="1:15" ht="14.4">
      <c r="A48" s="1099"/>
      <c r="B48" s="1117" t="s">
        <v>1827</v>
      </c>
      <c r="C48" s="1118" t="s">
        <v>1505</v>
      </c>
      <c r="D48" s="1119" t="s">
        <v>2677</v>
      </c>
      <c r="E48" s="1120">
        <v>45645</v>
      </c>
      <c r="F48" s="1121">
        <v>7.85E-2</v>
      </c>
      <c r="G48" s="1119">
        <v>200000000</v>
      </c>
      <c r="H48" s="1122">
        <v>15915068.493150685</v>
      </c>
      <c r="I48" s="1122">
        <v>-15226849.315068493</v>
      </c>
      <c r="J48" s="1119"/>
      <c r="K48" s="1119"/>
      <c r="L48" s="1119">
        <f t="shared" si="2"/>
        <v>200688219.1780822</v>
      </c>
      <c r="M48" s="1123"/>
      <c r="N48" s="1119">
        <f t="shared" si="3"/>
        <v>200688219.1780822</v>
      </c>
      <c r="O48" t="s">
        <v>2611</v>
      </c>
    </row>
    <row r="49" spans="1:15" ht="14.4">
      <c r="A49" s="1099"/>
      <c r="B49" s="1117" t="s">
        <v>1827</v>
      </c>
      <c r="C49" s="1118" t="s">
        <v>1505</v>
      </c>
      <c r="D49" s="1119" t="s">
        <v>2678</v>
      </c>
      <c r="E49" s="1120">
        <v>45645</v>
      </c>
      <c r="F49" s="1121">
        <v>7.85E-2</v>
      </c>
      <c r="G49" s="1119">
        <v>200000000</v>
      </c>
      <c r="H49" s="1122">
        <v>15915068.493150685</v>
      </c>
      <c r="I49" s="1122">
        <v>-15226849.315068493</v>
      </c>
      <c r="J49" s="1119"/>
      <c r="K49" s="1119"/>
      <c r="L49" s="1119">
        <f t="shared" si="2"/>
        <v>200688219.1780822</v>
      </c>
      <c r="M49" s="1123"/>
      <c r="N49" s="1119">
        <f t="shared" si="3"/>
        <v>200688219.1780822</v>
      </c>
      <c r="O49" t="s">
        <v>2611</v>
      </c>
    </row>
    <row r="50" spans="1:15" ht="14.4">
      <c r="A50" s="1099"/>
      <c r="B50" s="1117" t="s">
        <v>1827</v>
      </c>
      <c r="C50" s="1118" t="s">
        <v>1505</v>
      </c>
      <c r="D50" s="1119" t="s">
        <v>2679</v>
      </c>
      <c r="E50" s="1120">
        <v>45645</v>
      </c>
      <c r="F50" s="1121">
        <v>7.85E-2</v>
      </c>
      <c r="G50" s="1119">
        <v>200000000</v>
      </c>
      <c r="H50" s="1122">
        <v>15915068.493150685</v>
      </c>
      <c r="I50" s="1122">
        <v>-15226849.315068493</v>
      </c>
      <c r="J50" s="1119"/>
      <c r="K50" s="1119"/>
      <c r="L50" s="1119">
        <f t="shared" si="2"/>
        <v>200688219.1780822</v>
      </c>
      <c r="M50" s="1123"/>
      <c r="N50" s="1119">
        <f t="shared" si="3"/>
        <v>200688219.1780822</v>
      </c>
      <c r="O50" t="s">
        <v>2611</v>
      </c>
    </row>
    <row r="51" spans="1:15" ht="14.4">
      <c r="A51" s="1099"/>
      <c r="B51" s="1117" t="s">
        <v>1827</v>
      </c>
      <c r="C51" s="1118" t="s">
        <v>1505</v>
      </c>
      <c r="D51" s="1119" t="s">
        <v>2680</v>
      </c>
      <c r="E51" s="1120">
        <v>45645</v>
      </c>
      <c r="F51" s="1121">
        <v>7.85E-2</v>
      </c>
      <c r="G51" s="1119">
        <v>150000000</v>
      </c>
      <c r="H51" s="1122">
        <v>11936301.369863013</v>
      </c>
      <c r="I51" s="1122">
        <v>-11420136.98630137</v>
      </c>
      <c r="J51" s="1119"/>
      <c r="K51" s="1119"/>
      <c r="L51" s="1119">
        <f t="shared" si="2"/>
        <v>150516164.38356164</v>
      </c>
      <c r="M51" s="1123"/>
      <c r="N51" s="1119">
        <f t="shared" si="3"/>
        <v>150516164.38356164</v>
      </c>
      <c r="O51" t="s">
        <v>2611</v>
      </c>
    </row>
    <row r="52" spans="1:15" ht="14.4">
      <c r="A52" s="1099"/>
      <c r="B52" s="1117" t="s">
        <v>1827</v>
      </c>
      <c r="C52" s="1118" t="s">
        <v>1505</v>
      </c>
      <c r="D52" s="1119" t="s">
        <v>2681</v>
      </c>
      <c r="E52" s="1120">
        <v>45645</v>
      </c>
      <c r="F52" s="1121">
        <v>7.85E-2</v>
      </c>
      <c r="G52" s="1119">
        <v>150000000</v>
      </c>
      <c r="H52" s="1122">
        <v>11936301.369863013</v>
      </c>
      <c r="I52" s="1122">
        <v>-11420136.98630137</v>
      </c>
      <c r="J52" s="1119"/>
      <c r="K52" s="1119"/>
      <c r="L52" s="1119">
        <f t="shared" si="2"/>
        <v>150516164.38356164</v>
      </c>
      <c r="M52" s="1123"/>
      <c r="N52" s="1119">
        <f t="shared" si="3"/>
        <v>150516164.38356164</v>
      </c>
      <c r="O52" t="s">
        <v>2611</v>
      </c>
    </row>
    <row r="53" spans="1:15" ht="14.4">
      <c r="A53" s="1099"/>
      <c r="B53" s="1117" t="s">
        <v>1827</v>
      </c>
      <c r="C53" s="1118" t="s">
        <v>1505</v>
      </c>
      <c r="D53" s="1119" t="s">
        <v>2682</v>
      </c>
      <c r="E53" s="1120">
        <v>45645</v>
      </c>
      <c r="F53" s="1121">
        <v>7.85E-2</v>
      </c>
      <c r="G53" s="1119">
        <v>150000000</v>
      </c>
      <c r="H53" s="1122">
        <v>11936301</v>
      </c>
      <c r="I53" s="1122">
        <v>-11420136.98630137</v>
      </c>
      <c r="J53" s="1119"/>
      <c r="K53" s="1119"/>
      <c r="L53" s="1119">
        <f t="shared" si="2"/>
        <v>150516164.01369864</v>
      </c>
      <c r="M53" s="1123"/>
      <c r="N53" s="1119">
        <f t="shared" si="3"/>
        <v>150516164.01369864</v>
      </c>
      <c r="O53" t="s">
        <v>2611</v>
      </c>
    </row>
    <row r="54" spans="1:15" ht="14.4">
      <c r="A54" s="1099"/>
      <c r="B54" s="1117" t="s">
        <v>1827</v>
      </c>
      <c r="C54" s="1118" t="s">
        <v>1505</v>
      </c>
      <c r="D54" s="1119" t="s">
        <v>2683</v>
      </c>
      <c r="E54" s="1120">
        <v>45645</v>
      </c>
      <c r="F54" s="1121">
        <v>7.85E-2</v>
      </c>
      <c r="G54" s="1119">
        <v>150000000</v>
      </c>
      <c r="H54" s="1122">
        <v>11936301.369863013</v>
      </c>
      <c r="I54" s="1122">
        <v>-11420136.98630137</v>
      </c>
      <c r="J54" s="1119"/>
      <c r="K54" s="1119"/>
      <c r="L54" s="1119">
        <f t="shared" si="2"/>
        <v>150516164.38356164</v>
      </c>
      <c r="M54" s="1123"/>
      <c r="N54" s="1119">
        <f t="shared" si="3"/>
        <v>150516164.38356164</v>
      </c>
      <c r="O54" t="s">
        <v>2611</v>
      </c>
    </row>
    <row r="55" spans="1:15" ht="14.4">
      <c r="A55" s="1099"/>
      <c r="B55" s="1117" t="s">
        <v>1527</v>
      </c>
      <c r="C55" s="1118" t="s">
        <v>1505</v>
      </c>
      <c r="D55" s="1119" t="s">
        <v>2684</v>
      </c>
      <c r="E55" s="1120">
        <v>46265</v>
      </c>
      <c r="F55" s="1121">
        <v>8.2500000000000004E-2</v>
      </c>
      <c r="G55" s="1119">
        <v>500000000</v>
      </c>
      <c r="H55" s="1122">
        <v>113691780.7</v>
      </c>
      <c r="I55" s="1122">
        <v>-110075342.46575342</v>
      </c>
      <c r="J55" s="1119"/>
      <c r="K55" s="1119">
        <v>10198549.188380664</v>
      </c>
      <c r="L55" s="1119">
        <f t="shared" si="2"/>
        <v>513814987.42262727</v>
      </c>
      <c r="M55" s="1123"/>
      <c r="N55" s="1119">
        <f t="shared" si="3"/>
        <v>513814987.42262727</v>
      </c>
    </row>
    <row r="56" spans="1:15" ht="14.4">
      <c r="A56" s="1099"/>
      <c r="B56" s="1117" t="s">
        <v>1527</v>
      </c>
      <c r="C56" s="1118" t="s">
        <v>1505</v>
      </c>
      <c r="D56" s="1119" t="s">
        <v>2685</v>
      </c>
      <c r="E56" s="1120">
        <v>46265</v>
      </c>
      <c r="F56" s="1121">
        <v>8.2500000000000004E-2</v>
      </c>
      <c r="G56" s="1119">
        <v>500000000</v>
      </c>
      <c r="H56" s="1122">
        <v>113691780.7</v>
      </c>
      <c r="I56" s="1122">
        <v>-110075342.46575342</v>
      </c>
      <c r="J56" s="1119"/>
      <c r="K56" s="1119">
        <v>10198549.188380664</v>
      </c>
      <c r="L56" s="1119">
        <f t="shared" si="2"/>
        <v>513814987.42262727</v>
      </c>
      <c r="M56" s="1123"/>
      <c r="N56" s="1119">
        <f t="shared" si="3"/>
        <v>513814987.42262727</v>
      </c>
    </row>
    <row r="57" spans="1:15" ht="14.4">
      <c r="A57" s="1099"/>
      <c r="B57" s="1117" t="s">
        <v>1527</v>
      </c>
      <c r="C57" s="1118" t="s">
        <v>1505</v>
      </c>
      <c r="D57" s="1119" t="s">
        <v>2686</v>
      </c>
      <c r="E57" s="1120">
        <v>46265</v>
      </c>
      <c r="F57" s="1121">
        <v>8.2500000000000004E-2</v>
      </c>
      <c r="G57" s="1119">
        <v>500000000</v>
      </c>
      <c r="H57" s="1122">
        <v>113691780.7</v>
      </c>
      <c r="I57" s="1122">
        <v>-110075342.46575342</v>
      </c>
      <c r="J57" s="1119"/>
      <c r="K57" s="1119">
        <v>10198549.188380664</v>
      </c>
      <c r="L57" s="1119">
        <f t="shared" si="2"/>
        <v>513814987.42262727</v>
      </c>
      <c r="M57" s="1123"/>
      <c r="N57" s="1119">
        <f t="shared" si="3"/>
        <v>513814987.42262727</v>
      </c>
    </row>
    <row r="58" spans="1:15" ht="14.4">
      <c r="A58" s="1099"/>
      <c r="B58" s="1117" t="s">
        <v>1527</v>
      </c>
      <c r="C58" s="1118" t="s">
        <v>1505</v>
      </c>
      <c r="D58" s="1119" t="s">
        <v>2687</v>
      </c>
      <c r="E58" s="1120">
        <v>46265</v>
      </c>
      <c r="F58" s="1121">
        <v>8.2500000000000004E-2</v>
      </c>
      <c r="G58" s="1119">
        <v>500000000</v>
      </c>
      <c r="H58" s="1122">
        <v>113691780.7</v>
      </c>
      <c r="I58" s="1122">
        <v>-110075342.46575342</v>
      </c>
      <c r="J58" s="1119"/>
      <c r="K58" s="1119">
        <v>10198549.188380664</v>
      </c>
      <c r="L58" s="1119">
        <f t="shared" si="2"/>
        <v>513814987.42262727</v>
      </c>
      <c r="M58" s="1123"/>
      <c r="N58" s="1119">
        <f t="shared" si="3"/>
        <v>513814987.42262727</v>
      </c>
    </row>
    <row r="59" spans="1:15" ht="15" thickBot="1">
      <c r="A59" s="1099"/>
      <c r="B59" s="1099"/>
      <c r="C59" s="1124"/>
      <c r="D59" s="1125"/>
      <c r="E59" s="1126"/>
      <c r="F59" s="1127" t="s">
        <v>1509</v>
      </c>
      <c r="G59" s="1128">
        <f t="shared" ref="G59:L59" si="4">+SUM(G23:G58)</f>
        <v>11277000000</v>
      </c>
      <c r="H59" s="1128">
        <f t="shared" si="4"/>
        <v>1395814327.7726028</v>
      </c>
      <c r="I59" s="1128">
        <f t="shared" si="4"/>
        <v>-1277230400.0000002</v>
      </c>
      <c r="J59" s="1128">
        <f t="shared" si="4"/>
        <v>-33711795.806022443</v>
      </c>
      <c r="K59" s="1128">
        <f t="shared" si="4"/>
        <v>45776005.09622962</v>
      </c>
      <c r="L59" s="1128">
        <f t="shared" si="4"/>
        <v>11407648137.062811</v>
      </c>
      <c r="M59" s="1128"/>
      <c r="N59" s="1128">
        <f>+SUM(N23:N58)</f>
        <v>11407648137.062811</v>
      </c>
    </row>
    <row r="60" spans="1:15" ht="15" thickTop="1">
      <c r="A60" s="1099"/>
      <c r="B60" s="1099"/>
      <c r="C60" s="1108"/>
      <c r="D60" s="1109"/>
      <c r="E60" s="1110"/>
      <c r="F60" s="1103"/>
      <c r="G60" s="1111"/>
      <c r="H60" s="1111"/>
      <c r="I60" s="1111"/>
      <c r="J60" s="1111"/>
      <c r="K60" s="1111"/>
      <c r="L60" s="1111"/>
      <c r="M60" s="1111"/>
      <c r="N60" s="1111"/>
    </row>
    <row r="61" spans="1:15" ht="15" thickBot="1">
      <c r="A61" s="1099"/>
      <c r="B61" s="1113" t="s">
        <v>1698</v>
      </c>
      <c r="C61" s="1114"/>
      <c r="D61" s="1115"/>
      <c r="E61" s="1114"/>
      <c r="F61" s="1114"/>
      <c r="G61" s="1115"/>
      <c r="H61" s="1115"/>
      <c r="I61" s="1115"/>
      <c r="J61" s="1115"/>
      <c r="K61" s="1115"/>
      <c r="L61" s="1115"/>
      <c r="M61" s="1116"/>
      <c r="N61" s="1115"/>
    </row>
    <row r="62" spans="1:15" ht="14.4">
      <c r="A62" s="1099"/>
      <c r="B62" s="1117" t="s">
        <v>1785</v>
      </c>
      <c r="C62" s="1118" t="s">
        <v>1505</v>
      </c>
      <c r="D62" s="1119" t="s">
        <v>1786</v>
      </c>
      <c r="E62" s="1120">
        <v>47865</v>
      </c>
      <c r="F62" s="1121">
        <v>0.08</v>
      </c>
      <c r="G62" s="1119">
        <v>50000000</v>
      </c>
      <c r="H62" s="1122">
        <v>29578082</v>
      </c>
      <c r="I62" s="1119">
        <v>-28208219.178082202</v>
      </c>
      <c r="J62" s="1119">
        <v>-5538931.7636331301</v>
      </c>
      <c r="K62" s="1119">
        <v>0</v>
      </c>
      <c r="L62" s="1119">
        <f>+G62+H62+I62+J62+K62</f>
        <v>45830931.05828467</v>
      </c>
      <c r="M62" s="1123"/>
      <c r="N62" s="1119">
        <f>+L62</f>
        <v>45830931.05828467</v>
      </c>
      <c r="O62" s="1112"/>
    </row>
    <row r="63" spans="1:15" ht="15" thickBot="1">
      <c r="A63" s="1099"/>
      <c r="B63" s="1099"/>
      <c r="C63" s="1108"/>
      <c r="D63" s="1109"/>
      <c r="E63" s="1110"/>
      <c r="F63" s="1127" t="s">
        <v>1509</v>
      </c>
      <c r="G63" s="1128">
        <f t="shared" ref="G63:L63" si="5">+SUM(G62:G62)</f>
        <v>50000000</v>
      </c>
      <c r="H63" s="1128">
        <f t="shared" si="5"/>
        <v>29578082</v>
      </c>
      <c r="I63" s="1128">
        <f t="shared" si="5"/>
        <v>-28208219.178082202</v>
      </c>
      <c r="J63" s="1128">
        <f t="shared" si="5"/>
        <v>-5538931.7636331301</v>
      </c>
      <c r="K63" s="1128">
        <f t="shared" si="5"/>
        <v>0</v>
      </c>
      <c r="L63" s="1128">
        <f t="shared" si="5"/>
        <v>45830931.05828467</v>
      </c>
      <c r="M63" s="1111"/>
      <c r="N63" s="1128">
        <f>+SUM(N62:N62)</f>
        <v>45830931.05828467</v>
      </c>
    </row>
    <row r="64" spans="1:15" ht="15" thickTop="1">
      <c r="A64" s="1099"/>
      <c r="B64" s="1099"/>
      <c r="C64" s="1108"/>
      <c r="D64" s="1109"/>
      <c r="E64" s="1110"/>
      <c r="F64" s="1103"/>
      <c r="G64" s="1111"/>
      <c r="H64" s="1111"/>
      <c r="I64" s="1111"/>
      <c r="J64" s="1111"/>
      <c r="K64" s="1111"/>
      <c r="L64" s="1111"/>
      <c r="M64" s="1111"/>
      <c r="N64" s="1111"/>
    </row>
    <row r="65" spans="1:15" ht="15" thickBot="1">
      <c r="A65" s="1099"/>
      <c r="B65" s="1113" t="s">
        <v>2688</v>
      </c>
      <c r="C65" s="1114"/>
      <c r="D65" s="1115"/>
      <c r="E65" s="1114"/>
      <c r="F65" s="1114"/>
      <c r="G65" s="1115"/>
      <c r="H65" s="1115"/>
      <c r="I65" s="1115"/>
      <c r="J65" s="1115"/>
      <c r="K65" s="1115"/>
      <c r="L65" s="1115"/>
      <c r="M65" s="1116"/>
      <c r="N65" s="1115"/>
    </row>
    <row r="66" spans="1:15" ht="14.4">
      <c r="A66" s="1099"/>
      <c r="B66" s="1117" t="s">
        <v>1600</v>
      </c>
      <c r="C66" s="1118" t="s">
        <v>1505</v>
      </c>
      <c r="D66" s="1119" t="s">
        <v>1697</v>
      </c>
      <c r="E66" s="1120">
        <v>46937</v>
      </c>
      <c r="F66" s="1121">
        <v>6.1499999999999999E-2</v>
      </c>
      <c r="G66" s="1119">
        <v>1000000000</v>
      </c>
      <c r="H66" s="1122">
        <v>281552054.39999998</v>
      </c>
      <c r="I66" s="1119">
        <v>-277339726.02739698</v>
      </c>
      <c r="J66" s="1119">
        <v>-74950851</v>
      </c>
      <c r="K66" s="1119">
        <v>0</v>
      </c>
      <c r="L66" s="1119">
        <f>+G66+H66+I66+J66+K66</f>
        <v>929261477.37260318</v>
      </c>
      <c r="M66" s="1123"/>
      <c r="N66" s="1119">
        <f>+L66</f>
        <v>929261477.37260318</v>
      </c>
      <c r="O66" s="1112"/>
    </row>
    <row r="67" spans="1:15" ht="14.4">
      <c r="A67" s="1099"/>
      <c r="B67" s="1117" t="s">
        <v>1600</v>
      </c>
      <c r="C67" s="1118" t="s">
        <v>1505</v>
      </c>
      <c r="D67" s="1119" t="s">
        <v>2643</v>
      </c>
      <c r="E67" s="1120">
        <v>45575</v>
      </c>
      <c r="F67" s="1121">
        <v>8.5000000000000006E-2</v>
      </c>
      <c r="G67" s="1119">
        <v>2500000000</v>
      </c>
      <c r="H67" s="1122">
        <v>211917808.40000001</v>
      </c>
      <c r="I67" s="1119">
        <v>-165342465.753425</v>
      </c>
      <c r="J67" s="1119">
        <v>0</v>
      </c>
      <c r="K67" s="1119">
        <v>7396788.5681669498</v>
      </c>
      <c r="L67" s="1119">
        <f>+G67+H67+I67+J67+K67</f>
        <v>2553972131.2147417</v>
      </c>
      <c r="M67" s="1123"/>
      <c r="N67" s="1119">
        <f>+L67</f>
        <v>2553972131.2147417</v>
      </c>
      <c r="O67" s="1112"/>
    </row>
    <row r="68" spans="1:15" ht="15" thickBot="1">
      <c r="A68" s="1099"/>
      <c r="B68" s="1099"/>
      <c r="C68" s="1108"/>
      <c r="D68" s="1109"/>
      <c r="E68" s="1110"/>
      <c r="F68" s="1127" t="s">
        <v>1509</v>
      </c>
      <c r="G68" s="1128">
        <f t="shared" ref="G68:N68" si="6">+SUM(G66:G67)</f>
        <v>3500000000</v>
      </c>
      <c r="H68" s="1128">
        <f t="shared" si="6"/>
        <v>493469862.79999995</v>
      </c>
      <c r="I68" s="1128">
        <f t="shared" si="6"/>
        <v>-442682191.78082198</v>
      </c>
      <c r="J68" s="1128">
        <f t="shared" si="6"/>
        <v>-74950851</v>
      </c>
      <c r="K68" s="1128">
        <f t="shared" si="6"/>
        <v>7396788.5681669498</v>
      </c>
      <c r="L68" s="1128">
        <f t="shared" si="6"/>
        <v>3483233608.5873451</v>
      </c>
      <c r="M68" s="1128">
        <f t="shared" si="6"/>
        <v>0</v>
      </c>
      <c r="N68" s="1128">
        <f t="shared" si="6"/>
        <v>3483233608.5873451</v>
      </c>
    </row>
    <row r="69" spans="1:15" ht="15" thickTop="1">
      <c r="A69" s="1099"/>
      <c r="B69" s="1099"/>
      <c r="C69" s="1108"/>
      <c r="D69" s="1109"/>
      <c r="E69" s="1110"/>
      <c r="F69" s="1103"/>
      <c r="G69" s="1111"/>
      <c r="H69" s="1111"/>
      <c r="I69" s="1111"/>
      <c r="J69" s="1111"/>
      <c r="K69" s="1111"/>
      <c r="L69" s="1111"/>
      <c r="M69" s="1111"/>
      <c r="N69" s="1111"/>
    </row>
    <row r="70" spans="1:15" ht="14.4">
      <c r="A70" s="1099"/>
      <c r="B70" s="1099"/>
      <c r="C70" s="1108"/>
      <c r="D70" s="1109"/>
      <c r="E70" s="1110"/>
      <c r="F70" s="1103"/>
      <c r="G70" s="1111"/>
      <c r="H70" s="1111"/>
      <c r="I70" s="1111"/>
      <c r="J70" s="1111"/>
      <c r="K70" s="1111"/>
      <c r="L70" s="1111"/>
      <c r="M70" s="1111"/>
      <c r="N70" s="1111"/>
    </row>
    <row r="71" spans="1:15" ht="14.4">
      <c r="A71" s="1099"/>
      <c r="B71" s="1133" t="s">
        <v>1623</v>
      </c>
      <c r="C71" s="1134"/>
      <c r="D71" s="1134"/>
      <c r="E71" s="1134"/>
      <c r="F71" s="1134"/>
      <c r="G71" s="1135">
        <f t="shared" ref="G71:L71" si="7">+G15+G20+G59+G68</f>
        <v>25627000000</v>
      </c>
      <c r="H71" s="1135">
        <f t="shared" si="7"/>
        <v>2048181450.5726027</v>
      </c>
      <c r="I71" s="1135">
        <f t="shared" si="7"/>
        <v>-1868827286.7758179</v>
      </c>
      <c r="J71" s="1135">
        <f t="shared" si="7"/>
        <v>-570057124.75315189</v>
      </c>
      <c r="K71" s="1135">
        <f t="shared" si="7"/>
        <v>57758566.655975431</v>
      </c>
      <c r="L71" s="1135">
        <f t="shared" si="7"/>
        <v>25294055605.699612</v>
      </c>
      <c r="M71" s="1135"/>
      <c r="N71" s="1135">
        <f>+N15+N20+N59+N68</f>
        <v>25294055605.699612</v>
      </c>
    </row>
    <row r="72" spans="1:15" ht="14.4">
      <c r="A72" s="1099"/>
      <c r="B72" s="1099"/>
      <c r="C72" s="1108"/>
      <c r="D72" s="1109"/>
      <c r="E72" s="1110"/>
      <c r="F72" s="1103"/>
      <c r="G72" s="1103"/>
      <c r="H72" s="1137"/>
      <c r="I72" s="1138"/>
      <c r="J72" s="1099"/>
      <c r="K72" s="1138"/>
      <c r="L72" s="1138"/>
      <c r="M72" s="1137"/>
      <c r="N72" s="1111"/>
    </row>
    <row r="73" spans="1:15" ht="14.4">
      <c r="A73" s="1099"/>
      <c r="B73" s="1099"/>
      <c r="C73" s="1099"/>
      <c r="D73" s="1099"/>
      <c r="E73" s="1099"/>
      <c r="F73" s="1099"/>
      <c r="G73" s="1099"/>
      <c r="H73" s="1099"/>
      <c r="I73" s="1101"/>
      <c r="J73" s="1099"/>
      <c r="K73" s="1099"/>
      <c r="L73" s="1099"/>
      <c r="M73" s="1099"/>
      <c r="N73" s="1099"/>
    </row>
    <row r="74" spans="1:15" ht="14.4">
      <c r="A74" s="1099"/>
      <c r="B74" s="1099"/>
      <c r="C74" s="1099"/>
      <c r="D74" s="1099"/>
      <c r="E74" s="1099"/>
      <c r="F74" s="1099"/>
      <c r="G74" s="1099"/>
      <c r="H74" s="1099"/>
      <c r="I74" s="1099"/>
      <c r="J74" s="1099"/>
      <c r="K74" s="1099"/>
      <c r="L74" s="1099"/>
      <c r="M74" s="1099"/>
      <c r="N74" s="1099"/>
    </row>
    <row r="75" spans="1:15" ht="14.4">
      <c r="A75" s="1099"/>
      <c r="B75" s="1099"/>
      <c r="C75" s="1099"/>
      <c r="D75" s="1099"/>
      <c r="E75" s="1099"/>
      <c r="F75" s="1099"/>
      <c r="G75" s="1099"/>
      <c r="H75" s="1099"/>
      <c r="I75" s="1099"/>
      <c r="J75" s="1099"/>
      <c r="K75" s="1099"/>
      <c r="L75" s="1099"/>
      <c r="M75" s="1099"/>
      <c r="N75" s="1099"/>
    </row>
    <row r="76" spans="1:15" ht="14.4">
      <c r="A76" s="1099"/>
      <c r="B76" s="1099"/>
      <c r="C76" s="1099"/>
      <c r="D76" s="1099"/>
      <c r="E76" s="1099"/>
      <c r="F76" s="1099"/>
      <c r="G76" s="1099"/>
      <c r="H76" s="1099"/>
      <c r="I76" s="1099"/>
      <c r="J76" s="1099"/>
      <c r="K76" s="1099"/>
      <c r="L76" s="1099"/>
      <c r="M76" s="1099"/>
      <c r="N76" s="1099"/>
    </row>
    <row r="77" spans="1:15" ht="14.4">
      <c r="A77" s="1099"/>
      <c r="B77" s="1099"/>
      <c r="C77" s="1099"/>
      <c r="D77" s="1099"/>
      <c r="E77" s="1099"/>
      <c r="F77" s="1099"/>
      <c r="G77" s="1099"/>
      <c r="H77" s="1099"/>
      <c r="I77" s="1099"/>
      <c r="J77" s="1099"/>
      <c r="K77" s="1099"/>
      <c r="L77" s="1099"/>
      <c r="M77" s="1099"/>
      <c r="N77" s="1099"/>
    </row>
    <row r="78" spans="1:15" ht="14.4">
      <c r="A78" s="1099"/>
      <c r="B78" s="1099"/>
      <c r="C78" s="1099"/>
      <c r="D78" s="1099"/>
      <c r="E78" s="1099"/>
      <c r="F78" s="1099"/>
      <c r="G78" s="1099"/>
      <c r="H78" s="1099"/>
      <c r="I78" s="1099"/>
      <c r="J78" s="1099"/>
      <c r="K78" s="1099"/>
      <c r="L78" s="1099"/>
      <c r="M78" s="1099"/>
      <c r="N78" s="1099"/>
    </row>
    <row r="79" spans="1:15" ht="14.4">
      <c r="A79" s="1099"/>
      <c r="B79" s="1099"/>
      <c r="C79" s="1099"/>
      <c r="D79" s="1099"/>
      <c r="E79" s="1099"/>
      <c r="F79" s="1099"/>
      <c r="G79" s="1099"/>
      <c r="H79" s="1099"/>
      <c r="I79" s="1099"/>
      <c r="J79" s="1099"/>
      <c r="K79" s="1099"/>
      <c r="L79" s="1099"/>
      <c r="M79" s="1099"/>
      <c r="N79" s="1099"/>
    </row>
    <row r="80" spans="1:15" ht="14.4">
      <c r="A80" s="1099"/>
      <c r="B80" s="1099"/>
      <c r="C80" s="1099"/>
      <c r="D80" s="1099"/>
      <c r="E80" s="1099"/>
      <c r="F80" s="1099"/>
      <c r="G80" s="1099"/>
      <c r="H80" s="1099"/>
      <c r="I80" s="1099"/>
      <c r="J80" s="1099"/>
      <c r="K80" s="1099"/>
      <c r="L80" s="1099"/>
      <c r="M80" s="1099"/>
      <c r="N80" s="1099"/>
    </row>
    <row r="81" spans="1:14" ht="14.4">
      <c r="A81" s="1099"/>
      <c r="B81" s="1099"/>
      <c r="C81" s="1099"/>
      <c r="D81" s="1099"/>
      <c r="E81" s="1099"/>
      <c r="F81" s="1099"/>
      <c r="G81" s="1099"/>
      <c r="H81" s="1099"/>
      <c r="I81" s="1099"/>
      <c r="J81" s="1099"/>
      <c r="K81" s="1099"/>
      <c r="L81" s="1099"/>
      <c r="M81" s="1099"/>
      <c r="N81" s="1099"/>
    </row>
    <row r="82" spans="1:14" ht="14.4">
      <c r="A82" s="1099"/>
      <c r="B82" s="1099"/>
      <c r="C82" s="1099"/>
      <c r="D82" s="1099"/>
      <c r="E82" s="1099"/>
      <c r="F82" s="1099"/>
      <c r="G82" s="1099"/>
      <c r="H82" s="1099"/>
      <c r="I82" s="1099"/>
      <c r="J82" s="1099"/>
      <c r="K82" s="1099"/>
      <c r="L82" s="1099"/>
      <c r="M82" s="1099"/>
      <c r="N82" s="1099"/>
    </row>
    <row r="83" spans="1:14" ht="14.4">
      <c r="A83" s="1099"/>
      <c r="B83" s="1099"/>
      <c r="C83" s="1099"/>
      <c r="D83" s="1099"/>
      <c r="E83" s="1099"/>
      <c r="F83" s="1099"/>
      <c r="G83" s="1099"/>
      <c r="H83" s="1099"/>
      <c r="I83" s="1099"/>
      <c r="J83" s="1099"/>
      <c r="K83" s="1099"/>
      <c r="L83" s="1099"/>
      <c r="M83" s="1099"/>
      <c r="N83" s="1099"/>
    </row>
    <row r="84" spans="1:14" ht="14.4">
      <c r="A84" s="1099"/>
      <c r="B84" s="1099"/>
      <c r="C84" s="1099"/>
      <c r="D84" s="1099"/>
      <c r="E84" s="1099"/>
      <c r="F84" s="1099"/>
      <c r="G84" s="1099"/>
      <c r="H84" s="1099"/>
      <c r="I84" s="1099"/>
      <c r="J84" s="1099"/>
      <c r="K84" s="1099"/>
      <c r="L84" s="1099"/>
      <c r="M84" s="1099"/>
      <c r="N84" s="1099"/>
    </row>
    <row r="85" spans="1:14" ht="14.4">
      <c r="A85" s="1099"/>
      <c r="B85" s="1099"/>
      <c r="C85" s="1099"/>
      <c r="D85" s="1099"/>
      <c r="E85" s="1099"/>
      <c r="F85" s="1099"/>
      <c r="G85" s="1099"/>
      <c r="H85" s="1099"/>
      <c r="I85" s="1099"/>
      <c r="J85" s="1099"/>
      <c r="K85" s="1099"/>
      <c r="L85" s="1099"/>
      <c r="M85" s="1099"/>
      <c r="N85" s="1099"/>
    </row>
    <row r="86" spans="1:14" ht="14.4">
      <c r="A86" s="1099"/>
      <c r="B86" s="1099"/>
      <c r="C86" s="1099"/>
      <c r="D86" s="1099"/>
      <c r="E86" s="1099"/>
      <c r="F86" s="1099"/>
      <c r="G86" s="1099"/>
      <c r="H86" s="1099"/>
      <c r="I86" s="1099"/>
      <c r="J86" s="1099"/>
      <c r="K86" s="1099"/>
      <c r="L86" s="1099"/>
      <c r="M86" s="1099"/>
      <c r="N86" s="1099"/>
    </row>
    <row r="87" spans="1:14" ht="14.4">
      <c r="A87" s="1099"/>
      <c r="B87" s="1099"/>
      <c r="C87" s="1099"/>
      <c r="D87" s="1099"/>
      <c r="E87" s="1099"/>
      <c r="F87" s="1099"/>
      <c r="G87" s="1099"/>
      <c r="H87" s="1099"/>
      <c r="I87" s="1099"/>
      <c r="J87" s="1099"/>
      <c r="K87" s="1099"/>
      <c r="L87" s="1099"/>
      <c r="M87" s="1099"/>
      <c r="N87" s="1099"/>
    </row>
    <row r="88" spans="1:14" ht="14.4">
      <c r="A88" s="1099"/>
      <c r="B88" s="1099"/>
      <c r="C88" s="1099"/>
      <c r="D88" s="1099"/>
      <c r="E88" s="1099"/>
      <c r="F88" s="1099"/>
      <c r="G88" s="1099"/>
      <c r="H88" s="1099"/>
      <c r="I88" s="1099"/>
      <c r="J88" s="1099"/>
      <c r="K88" s="1099"/>
      <c r="L88" s="1099"/>
      <c r="M88" s="1099"/>
      <c r="N88" s="1099"/>
    </row>
    <row r="89" spans="1:14" ht="14.4">
      <c r="A89" s="1099"/>
      <c r="B89" s="1099"/>
      <c r="C89" s="1099"/>
      <c r="D89" s="1099"/>
      <c r="E89" s="1099"/>
      <c r="F89" s="1099"/>
      <c r="G89" s="1099"/>
      <c r="H89" s="1099"/>
      <c r="I89" s="1099"/>
      <c r="J89" s="1099"/>
      <c r="K89" s="1099"/>
      <c r="L89" s="1099"/>
      <c r="M89" s="1099"/>
      <c r="N89" s="1099"/>
    </row>
    <row r="90" spans="1:14" ht="14.4">
      <c r="A90" s="1099"/>
      <c r="B90" s="1099"/>
      <c r="C90" s="1099"/>
      <c r="D90" s="1099"/>
      <c r="E90" s="1099"/>
      <c r="F90" s="1099"/>
      <c r="G90" s="1099"/>
      <c r="H90" s="1099"/>
      <c r="I90" s="1099"/>
      <c r="J90" s="1099"/>
      <c r="K90" s="1099"/>
      <c r="L90" s="1099"/>
      <c r="M90" s="1099"/>
      <c r="N90" s="1099"/>
    </row>
    <row r="91" spans="1:14" ht="14.4">
      <c r="A91" s="1099"/>
      <c r="B91" s="1099"/>
      <c r="C91" s="1099"/>
      <c r="D91" s="1099"/>
      <c r="E91" s="1099"/>
      <c r="F91" s="1099"/>
      <c r="G91" s="1099"/>
      <c r="H91" s="1099"/>
      <c r="I91" s="1099"/>
      <c r="J91" s="1099"/>
      <c r="K91" s="1099"/>
      <c r="L91" s="1099"/>
      <c r="M91" s="1099"/>
      <c r="N91" s="1099"/>
    </row>
    <row r="92" spans="1:14" ht="14.4">
      <c r="A92" s="1099"/>
      <c r="B92" s="1099"/>
      <c r="C92" s="1099"/>
      <c r="D92" s="1099"/>
      <c r="E92" s="1099"/>
      <c r="F92" s="1099"/>
      <c r="G92" s="1099"/>
      <c r="H92" s="1099"/>
      <c r="I92" s="1099"/>
      <c r="J92" s="1099"/>
      <c r="K92" s="1099"/>
      <c r="L92" s="1099"/>
      <c r="M92" s="1099"/>
      <c r="N92" s="1099"/>
    </row>
    <row r="93" spans="1:14" ht="14.4">
      <c r="A93" s="1099"/>
      <c r="B93" s="1099"/>
      <c r="C93" s="1099"/>
      <c r="D93" s="1099"/>
      <c r="E93" s="1099"/>
      <c r="F93" s="1099"/>
      <c r="G93" s="1099"/>
      <c r="H93" s="1099"/>
      <c r="I93" s="1099"/>
      <c r="J93" s="1099"/>
      <c r="K93" s="1099"/>
      <c r="L93" s="1099"/>
      <c r="M93" s="1099"/>
      <c r="N93" s="1099"/>
    </row>
    <row r="94" spans="1:14" ht="14.4">
      <c r="A94" s="1099"/>
      <c r="B94" s="1099"/>
      <c r="C94" s="1099"/>
      <c r="D94" s="1099"/>
      <c r="E94" s="1099"/>
      <c r="F94" s="1099"/>
      <c r="G94" s="1099"/>
      <c r="H94" s="1099"/>
      <c r="I94" s="1099"/>
      <c r="J94" s="1099"/>
      <c r="K94" s="1099"/>
      <c r="L94" s="1099"/>
      <c r="M94" s="1099"/>
      <c r="N94" s="1099"/>
    </row>
    <row r="95" spans="1:14" ht="14.4">
      <c r="A95" s="1099"/>
      <c r="B95" s="1099"/>
      <c r="C95" s="1099"/>
      <c r="D95" s="1099"/>
      <c r="E95" s="1099"/>
      <c r="F95" s="1099"/>
      <c r="G95" s="1099"/>
      <c r="H95" s="1099"/>
      <c r="I95" s="1099"/>
      <c r="J95" s="1099"/>
      <c r="K95" s="1099"/>
      <c r="L95" s="1099"/>
      <c r="M95" s="1099"/>
      <c r="N95" s="1099"/>
    </row>
    <row r="96" spans="1:14" ht="14.4">
      <c r="A96" s="1099"/>
      <c r="B96" s="1099"/>
      <c r="C96" s="1099"/>
      <c r="D96" s="1099"/>
      <c r="E96" s="1099"/>
      <c r="F96" s="1099"/>
      <c r="G96" s="1099"/>
      <c r="H96" s="1099"/>
      <c r="I96" s="1099"/>
      <c r="J96" s="1099"/>
      <c r="K96" s="1099"/>
      <c r="L96" s="1099"/>
      <c r="M96" s="1099"/>
      <c r="N96" s="1099"/>
    </row>
    <row r="97" spans="1:14" ht="14.4">
      <c r="A97" s="1099"/>
      <c r="B97" s="1099"/>
      <c r="C97" s="1099"/>
      <c r="D97" s="1099"/>
      <c r="E97" s="1099"/>
      <c r="F97" s="1099"/>
      <c r="G97" s="1099"/>
      <c r="H97" s="1099"/>
      <c r="I97" s="1099"/>
      <c r="J97" s="1099"/>
      <c r="K97" s="1099"/>
      <c r="L97" s="1099"/>
      <c r="M97" s="1099"/>
      <c r="N97" s="1099"/>
    </row>
    <row r="98" spans="1:14" ht="14.4">
      <c r="A98" s="1099"/>
      <c r="B98" s="1099"/>
      <c r="C98" s="1099"/>
      <c r="D98" s="1099"/>
      <c r="E98" s="1099"/>
      <c r="F98" s="1099"/>
      <c r="G98" s="1099"/>
      <c r="H98" s="1099"/>
      <c r="I98" s="1099"/>
      <c r="J98" s="1099"/>
      <c r="K98" s="1099"/>
      <c r="L98" s="1099"/>
      <c r="M98" s="1099"/>
      <c r="N98" s="1099"/>
    </row>
    <row r="99" spans="1:14" ht="14.4">
      <c r="A99" s="1099"/>
      <c r="B99" s="1099"/>
      <c r="C99" s="1099"/>
      <c r="D99" s="1099"/>
      <c r="E99" s="1099"/>
      <c r="F99" s="1099"/>
      <c r="G99" s="1099"/>
      <c r="H99" s="1099"/>
      <c r="I99" s="1099"/>
      <c r="J99" s="1099"/>
      <c r="K99" s="1099"/>
      <c r="L99" s="1099"/>
      <c r="M99" s="1099"/>
      <c r="N99" s="1099"/>
    </row>
    <row r="100" spans="1:14" ht="14.4">
      <c r="A100" s="1099"/>
      <c r="B100" s="1099"/>
      <c r="C100" s="1099"/>
      <c r="D100" s="1099"/>
      <c r="E100" s="1099"/>
      <c r="F100" s="1099"/>
      <c r="G100" s="1099"/>
      <c r="H100" s="1099"/>
      <c r="I100" s="1099"/>
      <c r="J100" s="1099"/>
      <c r="K100" s="1099"/>
      <c r="L100" s="1099"/>
      <c r="M100" s="1099"/>
      <c r="N100" s="1099"/>
    </row>
    <row r="101" spans="1:14" ht="14.4">
      <c r="A101" s="1099"/>
      <c r="B101" s="1099"/>
      <c r="C101" s="1099"/>
      <c r="D101" s="1099"/>
      <c r="E101" s="1099"/>
      <c r="F101" s="1099"/>
      <c r="G101" s="1099"/>
      <c r="H101" s="1099"/>
      <c r="I101" s="1099"/>
      <c r="J101" s="1099"/>
      <c r="K101" s="1099"/>
      <c r="L101" s="1099"/>
      <c r="M101" s="1099"/>
      <c r="N101" s="1099"/>
    </row>
    <row r="102" spans="1:14" ht="14.4">
      <c r="A102" s="1099"/>
      <c r="B102" s="1099"/>
      <c r="C102" s="1099"/>
      <c r="D102" s="1099"/>
      <c r="E102" s="1099"/>
      <c r="F102" s="1099"/>
      <c r="G102" s="1099"/>
      <c r="H102" s="1099"/>
      <c r="I102" s="1099"/>
      <c r="J102" s="1099"/>
      <c r="K102" s="1099"/>
      <c r="L102" s="1099"/>
      <c r="M102" s="1099"/>
      <c r="N102" s="1099"/>
    </row>
    <row r="103" spans="1:14" ht="14.4">
      <c r="A103" s="1099"/>
      <c r="B103" s="1099"/>
      <c r="C103" s="1099"/>
      <c r="D103" s="1099"/>
      <c r="E103" s="1099"/>
      <c r="F103" s="1099"/>
      <c r="G103" s="1099"/>
      <c r="H103" s="1099"/>
      <c r="I103" s="1099"/>
      <c r="J103" s="1099"/>
      <c r="K103" s="1099"/>
      <c r="L103" s="1099"/>
      <c r="M103" s="1099"/>
      <c r="N103" s="1099"/>
    </row>
    <row r="104" spans="1:14" ht="14.4">
      <c r="A104" s="1099"/>
      <c r="B104" s="1099"/>
      <c r="C104" s="1099"/>
      <c r="D104" s="1099"/>
      <c r="E104" s="1099"/>
      <c r="F104" s="1099"/>
      <c r="G104" s="1099"/>
      <c r="H104" s="1099"/>
      <c r="I104" s="1099"/>
      <c r="J104" s="1099"/>
      <c r="K104" s="1099"/>
      <c r="L104" s="1099"/>
      <c r="M104" s="1099"/>
      <c r="N104" s="1099"/>
    </row>
    <row r="105" spans="1:14" ht="14.4">
      <c r="A105" s="1099"/>
      <c r="B105" s="1099"/>
      <c r="C105" s="1099"/>
      <c r="D105" s="1099"/>
      <c r="E105" s="1099"/>
      <c r="F105" s="1099"/>
      <c r="G105" s="1099"/>
      <c r="H105" s="1099"/>
      <c r="I105" s="1099"/>
      <c r="J105" s="1099"/>
      <c r="K105" s="1099"/>
      <c r="L105" s="1099"/>
      <c r="M105" s="1099"/>
      <c r="N105" s="1099"/>
    </row>
    <row r="106" spans="1:14" ht="14.4">
      <c r="A106" s="1099"/>
      <c r="B106" s="1099"/>
      <c r="C106" s="1099"/>
      <c r="D106" s="1099"/>
      <c r="E106" s="1099"/>
      <c r="F106" s="1099"/>
      <c r="G106" s="1099"/>
      <c r="H106" s="1099"/>
      <c r="I106" s="1099"/>
      <c r="J106" s="1099"/>
      <c r="K106" s="1099"/>
      <c r="L106" s="1099"/>
      <c r="M106" s="1099"/>
      <c r="N106" s="1099"/>
    </row>
    <row r="107" spans="1:14" ht="14.4">
      <c r="A107" s="1099"/>
      <c r="B107" s="1099"/>
      <c r="C107" s="1099"/>
      <c r="D107" s="1099"/>
      <c r="E107" s="1099"/>
      <c r="F107" s="1099"/>
      <c r="G107" s="1099"/>
      <c r="H107" s="1099"/>
      <c r="I107" s="1099"/>
      <c r="J107" s="1099"/>
      <c r="K107" s="1099"/>
      <c r="L107" s="1099"/>
      <c r="M107" s="1099"/>
      <c r="N107" s="1099"/>
    </row>
    <row r="108" spans="1:14" ht="14.4">
      <c r="A108" s="1099"/>
      <c r="B108" s="1099"/>
      <c r="C108" s="1099"/>
      <c r="D108" s="1099"/>
      <c r="E108" s="1099"/>
      <c r="F108" s="1099"/>
      <c r="G108" s="1099"/>
      <c r="H108" s="1099"/>
      <c r="I108" s="1099"/>
      <c r="J108" s="1099"/>
      <c r="K108" s="1099"/>
      <c r="L108" s="1099"/>
      <c r="M108" s="1099"/>
      <c r="N108" s="1099"/>
    </row>
    <row r="109" spans="1:14" ht="14.4">
      <c r="A109" s="1099"/>
      <c r="B109" s="1099"/>
      <c r="C109" s="1099"/>
      <c r="D109" s="1099"/>
      <c r="E109" s="1099"/>
      <c r="F109" s="1099"/>
      <c r="G109" s="1099"/>
      <c r="H109" s="1099"/>
      <c r="I109" s="1099"/>
      <c r="J109" s="1099"/>
      <c r="K109" s="1099"/>
      <c r="L109" s="1099"/>
      <c r="M109" s="1099"/>
      <c r="N109" s="1099"/>
    </row>
    <row r="110" spans="1:14" ht="14.4">
      <c r="A110" s="1099"/>
      <c r="B110" s="1099"/>
      <c r="C110" s="1099"/>
      <c r="D110" s="1099"/>
      <c r="E110" s="1099"/>
      <c r="F110" s="1099"/>
      <c r="G110" s="1099"/>
      <c r="H110" s="1099"/>
      <c r="I110" s="1099"/>
      <c r="J110" s="1099"/>
      <c r="K110" s="1099"/>
      <c r="L110" s="1099"/>
      <c r="M110" s="1099"/>
      <c r="N110" s="1099"/>
    </row>
    <row r="111" spans="1:14" ht="14.4">
      <c r="A111" s="1099"/>
      <c r="B111" s="1099"/>
      <c r="C111" s="1099"/>
      <c r="D111" s="1099"/>
      <c r="E111" s="1099"/>
      <c r="F111" s="1099"/>
      <c r="G111" s="1099"/>
      <c r="H111" s="1099"/>
      <c r="I111" s="1099"/>
      <c r="J111" s="1099"/>
      <c r="K111" s="1099"/>
      <c r="L111" s="1099"/>
      <c r="M111" s="1099"/>
      <c r="N111" s="1099"/>
    </row>
    <row r="112" spans="1:14" ht="14.4">
      <c r="A112" s="1099"/>
      <c r="B112" s="1099"/>
      <c r="C112" s="1099"/>
      <c r="D112" s="1099"/>
      <c r="E112" s="1099"/>
      <c r="F112" s="1099"/>
      <c r="G112" s="1099"/>
      <c r="H112" s="1099"/>
      <c r="I112" s="1099"/>
      <c r="J112" s="1099"/>
      <c r="K112" s="1099"/>
      <c r="L112" s="1099"/>
      <c r="M112" s="1099"/>
      <c r="N112" s="1099"/>
    </row>
    <row r="113" spans="1:14" ht="14.4">
      <c r="A113" s="1099"/>
      <c r="B113" s="1099"/>
      <c r="C113" s="1099"/>
      <c r="D113" s="1099"/>
      <c r="E113" s="1099"/>
      <c r="F113" s="1099"/>
      <c r="G113" s="1099"/>
      <c r="H113" s="1099"/>
      <c r="I113" s="1099"/>
      <c r="J113" s="1099"/>
      <c r="K113" s="1099"/>
      <c r="L113" s="1099"/>
      <c r="M113" s="1099"/>
      <c r="N113" s="1099"/>
    </row>
    <row r="114" spans="1:14" ht="14.4">
      <c r="A114" s="1099"/>
      <c r="B114" s="1099"/>
      <c r="C114" s="1099"/>
      <c r="D114" s="1099"/>
      <c r="E114" s="1099"/>
      <c r="F114" s="1099"/>
      <c r="G114" s="1099"/>
      <c r="H114" s="1099"/>
      <c r="I114" s="1099"/>
      <c r="J114" s="1099"/>
      <c r="K114" s="1099"/>
      <c r="L114" s="1099"/>
      <c r="M114" s="1099"/>
      <c r="N114" s="1099"/>
    </row>
    <row r="115" spans="1:14" ht="14.4">
      <c r="A115" s="1099"/>
      <c r="B115" s="1099"/>
      <c r="C115" s="1099"/>
      <c r="D115" s="1099"/>
      <c r="E115" s="1099"/>
      <c r="F115" s="1099"/>
      <c r="G115" s="1099"/>
      <c r="H115" s="1099"/>
      <c r="I115" s="1099"/>
      <c r="J115" s="1099"/>
      <c r="K115" s="1099"/>
      <c r="L115" s="1099"/>
      <c r="M115" s="1099"/>
      <c r="N115" s="1099"/>
    </row>
    <row r="116" spans="1:14" ht="14.4">
      <c r="A116" s="1099"/>
      <c r="B116" s="1099"/>
      <c r="C116" s="1099"/>
      <c r="D116" s="1099"/>
      <c r="E116" s="1099"/>
      <c r="F116" s="1099"/>
      <c r="G116" s="1099"/>
      <c r="H116" s="1099"/>
      <c r="I116" s="1099"/>
      <c r="J116" s="1099"/>
      <c r="K116" s="1099"/>
      <c r="L116" s="1099"/>
      <c r="M116" s="1099"/>
      <c r="N116" s="1099"/>
    </row>
    <row r="117" spans="1:14" ht="14.4">
      <c r="A117" s="1099"/>
      <c r="B117" s="1099"/>
      <c r="C117" s="1099"/>
      <c r="D117" s="1099"/>
      <c r="E117" s="1099"/>
      <c r="F117" s="1099"/>
      <c r="G117" s="1099"/>
      <c r="H117" s="1099"/>
      <c r="I117" s="1099"/>
      <c r="J117" s="1099"/>
      <c r="K117" s="1099"/>
      <c r="L117" s="1099"/>
      <c r="M117" s="1099"/>
      <c r="N117" s="1099"/>
    </row>
    <row r="118" spans="1:14" ht="14.4">
      <c r="A118" s="1099"/>
      <c r="B118" s="1099"/>
      <c r="C118" s="1099"/>
      <c r="D118" s="1099"/>
      <c r="E118" s="1099"/>
      <c r="F118" s="1099"/>
      <c r="G118" s="1099"/>
      <c r="H118" s="1099"/>
      <c r="I118" s="1099"/>
      <c r="J118" s="1099"/>
      <c r="K118" s="1099"/>
      <c r="L118" s="1099"/>
      <c r="M118" s="1099"/>
      <c r="N118" s="1099"/>
    </row>
    <row r="119" spans="1:14" ht="14.4">
      <c r="A119" s="1099"/>
      <c r="B119" s="1099"/>
      <c r="C119" s="1099"/>
      <c r="D119" s="1099"/>
      <c r="E119" s="1099"/>
      <c r="F119" s="1099"/>
      <c r="G119" s="1099"/>
      <c r="H119" s="1099"/>
      <c r="I119" s="1099"/>
      <c r="J119" s="1099"/>
      <c r="K119" s="1099"/>
      <c r="L119" s="1099"/>
      <c r="M119" s="1099"/>
      <c r="N119" s="1099"/>
    </row>
    <row r="120" spans="1:14" ht="14.4">
      <c r="A120" s="1099"/>
      <c r="B120" s="1099"/>
      <c r="C120" s="1099"/>
      <c r="D120" s="1099"/>
      <c r="E120" s="1099"/>
      <c r="F120" s="1099"/>
      <c r="G120" s="1099"/>
      <c r="H120" s="1099"/>
      <c r="I120" s="1099"/>
      <c r="J120" s="1099"/>
      <c r="K120" s="1099"/>
      <c r="L120" s="1099"/>
      <c r="M120" s="1099"/>
      <c r="N120" s="1099"/>
    </row>
    <row r="121" spans="1:14" ht="14.4">
      <c r="A121" s="1099"/>
      <c r="B121" s="1099"/>
      <c r="C121" s="1099"/>
      <c r="D121" s="1099"/>
      <c r="E121" s="1099"/>
      <c r="F121" s="1099"/>
      <c r="G121" s="1099"/>
      <c r="H121" s="1099"/>
      <c r="I121" s="1099"/>
      <c r="J121" s="1099"/>
      <c r="K121" s="1099"/>
      <c r="L121" s="1099"/>
      <c r="M121" s="1099"/>
      <c r="N121" s="1099"/>
    </row>
    <row r="122" spans="1:14" ht="14.4">
      <c r="A122" s="1099"/>
      <c r="B122" s="1099"/>
      <c r="C122" s="1099"/>
      <c r="D122" s="1099"/>
      <c r="E122" s="1099"/>
      <c r="F122" s="1099"/>
      <c r="G122" s="1099"/>
      <c r="H122" s="1099"/>
      <c r="I122" s="1099"/>
      <c r="J122" s="1099"/>
      <c r="K122" s="1099"/>
      <c r="L122" s="1099"/>
      <c r="M122" s="1099"/>
      <c r="N122" s="1099"/>
    </row>
    <row r="123" spans="1:14" ht="14.4">
      <c r="A123" s="1099"/>
      <c r="B123" s="1099"/>
      <c r="C123" s="1099"/>
      <c r="D123" s="1099"/>
      <c r="E123" s="1099"/>
      <c r="F123" s="1099"/>
      <c r="G123" s="1099"/>
      <c r="H123" s="1099"/>
      <c r="I123" s="1099"/>
      <c r="J123" s="1099"/>
      <c r="K123" s="1099"/>
      <c r="L123" s="1099"/>
      <c r="M123" s="1099"/>
      <c r="N123" s="1099"/>
    </row>
    <row r="124" spans="1:14" ht="14.4">
      <c r="A124" s="1099"/>
      <c r="B124" s="1099"/>
      <c r="C124" s="1099"/>
      <c r="D124" s="1099"/>
      <c r="E124" s="1099"/>
      <c r="F124" s="1099"/>
      <c r="G124" s="1099"/>
      <c r="H124" s="1099"/>
      <c r="I124" s="1099"/>
      <c r="J124" s="1099"/>
      <c r="K124" s="1099"/>
      <c r="L124" s="1099"/>
      <c r="M124" s="1099"/>
      <c r="N124" s="1099"/>
    </row>
    <row r="125" spans="1:14" ht="14.4">
      <c r="A125" s="1099"/>
      <c r="B125" s="1099"/>
      <c r="C125" s="1099"/>
      <c r="D125" s="1099"/>
      <c r="E125" s="1099"/>
      <c r="F125" s="1099"/>
      <c r="G125" s="1099"/>
      <c r="H125" s="1099"/>
      <c r="I125" s="1099"/>
      <c r="J125" s="1099"/>
      <c r="K125" s="1099"/>
      <c r="L125" s="1099"/>
      <c r="M125" s="1099"/>
      <c r="N125" s="1099"/>
    </row>
    <row r="126" spans="1:14" ht="14.4">
      <c r="A126" s="1099"/>
      <c r="B126" s="1099"/>
      <c r="C126" s="1099"/>
      <c r="D126" s="1099"/>
      <c r="E126" s="1099"/>
      <c r="F126" s="1099"/>
      <c r="G126" s="1099"/>
      <c r="H126" s="1099"/>
      <c r="I126" s="1099"/>
      <c r="J126" s="1099"/>
      <c r="K126" s="1099"/>
      <c r="L126" s="1099"/>
      <c r="M126" s="1099"/>
      <c r="N126" s="1099"/>
    </row>
    <row r="127" spans="1:14" ht="14.4">
      <c r="A127" s="1099"/>
      <c r="B127" s="1099"/>
      <c r="C127" s="1099"/>
      <c r="D127" s="1099"/>
      <c r="E127" s="1099"/>
      <c r="F127" s="1099"/>
      <c r="G127" s="1099"/>
      <c r="H127" s="1099"/>
      <c r="I127" s="1099"/>
      <c r="J127" s="1099"/>
      <c r="K127" s="1099"/>
      <c r="L127" s="1099"/>
      <c r="M127" s="1099"/>
      <c r="N127" s="1099"/>
    </row>
    <row r="128" spans="1:14" ht="14.4">
      <c r="A128" s="1099"/>
      <c r="B128" s="1099"/>
      <c r="C128" s="1099"/>
      <c r="D128" s="1099"/>
      <c r="E128" s="1099"/>
      <c r="F128" s="1099"/>
      <c r="G128" s="1099"/>
      <c r="H128" s="1099"/>
      <c r="I128" s="1099"/>
      <c r="J128" s="1099"/>
      <c r="K128" s="1099"/>
      <c r="L128" s="1099"/>
      <c r="M128" s="1099"/>
      <c r="N128" s="1099"/>
    </row>
    <row r="129" spans="1:14" ht="14.4">
      <c r="A129" s="1099"/>
      <c r="B129" s="1099"/>
      <c r="C129" s="1099"/>
      <c r="D129" s="1099"/>
      <c r="E129" s="1099"/>
      <c r="F129" s="1099"/>
      <c r="G129" s="1099"/>
      <c r="H129" s="1099"/>
      <c r="I129" s="1099"/>
      <c r="J129" s="1099"/>
      <c r="K129" s="1099"/>
      <c r="L129" s="1099"/>
      <c r="M129" s="1099"/>
      <c r="N129" s="1099"/>
    </row>
    <row r="130" spans="1:14" ht="14.4">
      <c r="A130" s="1099"/>
      <c r="B130" s="1099"/>
      <c r="C130" s="1099"/>
      <c r="D130" s="1099"/>
      <c r="E130" s="1099"/>
      <c r="F130" s="1099"/>
      <c r="G130" s="1099"/>
      <c r="H130" s="1099"/>
      <c r="I130" s="1099"/>
      <c r="J130" s="1099"/>
      <c r="K130" s="1099"/>
      <c r="L130" s="1099"/>
      <c r="M130" s="1099"/>
      <c r="N130" s="1099"/>
    </row>
    <row r="131" spans="1:14" ht="14.4">
      <c r="A131" s="1099"/>
      <c r="B131" s="1099"/>
      <c r="C131" s="1099"/>
      <c r="D131" s="1099"/>
      <c r="E131" s="1099"/>
      <c r="F131" s="1099"/>
      <c r="G131" s="1099"/>
      <c r="H131" s="1099"/>
      <c r="I131" s="1099"/>
      <c r="J131" s="1099"/>
      <c r="K131" s="1099"/>
      <c r="L131" s="1099"/>
      <c r="M131" s="1099"/>
      <c r="N131" s="1099"/>
    </row>
    <row r="132" spans="1:14" ht="14.4">
      <c r="A132" s="1099"/>
      <c r="B132" s="1099"/>
      <c r="C132" s="1099"/>
      <c r="D132" s="1099"/>
      <c r="E132" s="1099"/>
      <c r="F132" s="1099"/>
      <c r="G132" s="1099"/>
      <c r="H132" s="1099"/>
      <c r="I132" s="1099"/>
      <c r="J132" s="1099"/>
      <c r="K132" s="1099"/>
      <c r="L132" s="1099"/>
      <c r="M132" s="1099"/>
      <c r="N132" s="1099"/>
    </row>
    <row r="133" spans="1:14" ht="14.4">
      <c r="A133" s="1099"/>
      <c r="B133" s="1099"/>
      <c r="C133" s="1099"/>
      <c r="D133" s="1099"/>
      <c r="E133" s="1099"/>
      <c r="F133" s="1099"/>
      <c r="G133" s="1099"/>
      <c r="H133" s="1099"/>
      <c r="I133" s="1099"/>
      <c r="J133" s="1099"/>
      <c r="K133" s="1099"/>
      <c r="L133" s="1099"/>
      <c r="M133" s="1099"/>
      <c r="N133" s="1099"/>
    </row>
    <row r="134" spans="1:14" ht="14.4">
      <c r="A134" s="1099"/>
      <c r="B134" s="1099"/>
      <c r="C134" s="1099"/>
      <c r="D134" s="1099"/>
      <c r="E134" s="1099"/>
      <c r="F134" s="1099"/>
      <c r="G134" s="1099"/>
      <c r="H134" s="1099"/>
      <c r="I134" s="1099"/>
      <c r="J134" s="1099"/>
      <c r="K134" s="1099"/>
      <c r="L134" s="1099"/>
      <c r="M134" s="1099"/>
      <c r="N134" s="1099"/>
    </row>
    <row r="135" spans="1:14" ht="14.4">
      <c r="A135" s="1099"/>
      <c r="B135" s="1099"/>
      <c r="C135" s="1099"/>
      <c r="D135" s="1099"/>
      <c r="E135" s="1099"/>
      <c r="F135" s="1099"/>
      <c r="G135" s="1099"/>
      <c r="H135" s="1099"/>
      <c r="I135" s="1099"/>
      <c r="J135" s="1099"/>
      <c r="K135" s="1099"/>
      <c r="L135" s="1099"/>
      <c r="M135" s="1099"/>
      <c r="N135" s="1099"/>
    </row>
    <row r="136" spans="1:14" ht="14.4">
      <c r="A136" s="1099"/>
      <c r="B136" s="1099"/>
      <c r="C136" s="1099"/>
      <c r="D136" s="1099"/>
      <c r="E136" s="1099"/>
      <c r="F136" s="1099"/>
      <c r="G136" s="1099"/>
      <c r="H136" s="1099"/>
      <c r="I136" s="1099"/>
      <c r="J136" s="1099"/>
      <c r="K136" s="1099"/>
      <c r="L136" s="1099"/>
      <c r="M136" s="1099"/>
      <c r="N136" s="1099"/>
    </row>
    <row r="137" spans="1:14" ht="14.4">
      <c r="A137" s="1099"/>
      <c r="B137" s="1099"/>
      <c r="C137" s="1099"/>
      <c r="D137" s="1099"/>
      <c r="E137" s="1099"/>
      <c r="F137" s="1099"/>
      <c r="G137" s="1099"/>
      <c r="H137" s="1099"/>
      <c r="I137" s="1099"/>
      <c r="J137" s="1099"/>
      <c r="K137" s="1099"/>
      <c r="L137" s="1099"/>
      <c r="M137" s="1099"/>
      <c r="N137" s="1099"/>
    </row>
    <row r="138" spans="1:14" ht="14.4">
      <c r="A138" s="1099"/>
      <c r="B138" s="1099"/>
      <c r="C138" s="1099"/>
      <c r="D138" s="1099"/>
      <c r="E138" s="1099"/>
      <c r="F138" s="1099"/>
      <c r="G138" s="1099"/>
      <c r="H138" s="1099"/>
      <c r="I138" s="1099"/>
      <c r="J138" s="1099"/>
      <c r="K138" s="1099"/>
      <c r="L138" s="1099"/>
      <c r="M138" s="1099"/>
      <c r="N138" s="1099"/>
    </row>
    <row r="139" spans="1:14" ht="14.4">
      <c r="A139" s="1099"/>
      <c r="B139" s="1099"/>
      <c r="C139" s="1099"/>
      <c r="D139" s="1099"/>
      <c r="E139" s="1099"/>
      <c r="F139" s="1099"/>
      <c r="G139" s="1099"/>
      <c r="H139" s="1099"/>
      <c r="I139" s="1099"/>
      <c r="J139" s="1099"/>
      <c r="K139" s="1099"/>
      <c r="L139" s="1099"/>
      <c r="M139" s="1099"/>
      <c r="N139" s="1099"/>
    </row>
    <row r="140" spans="1:14" ht="14.4">
      <c r="A140" s="1099"/>
      <c r="B140" s="1099"/>
      <c r="C140" s="1099"/>
      <c r="D140" s="1099"/>
      <c r="E140" s="1099"/>
      <c r="F140" s="1099"/>
      <c r="G140" s="1099"/>
      <c r="H140" s="1099"/>
      <c r="I140" s="1099"/>
      <c r="J140" s="1099"/>
      <c r="K140" s="1099"/>
      <c r="L140" s="1099"/>
      <c r="M140" s="1099"/>
      <c r="N140" s="1099"/>
    </row>
    <row r="141" spans="1:14" ht="14.4">
      <c r="A141" s="1099"/>
      <c r="B141" s="1099"/>
      <c r="C141" s="1099"/>
      <c r="D141" s="1099"/>
      <c r="E141" s="1099"/>
      <c r="F141" s="1099"/>
      <c r="G141" s="1099"/>
      <c r="H141" s="1099"/>
      <c r="I141" s="1099"/>
      <c r="J141" s="1099"/>
      <c r="K141" s="1099"/>
      <c r="L141" s="1099"/>
      <c r="M141" s="1099"/>
      <c r="N141" s="1099"/>
    </row>
    <row r="142" spans="1:14" ht="14.4">
      <c r="A142" s="1099"/>
      <c r="B142" s="1099"/>
      <c r="C142" s="1099"/>
      <c r="D142" s="1099"/>
      <c r="E142" s="1099"/>
      <c r="F142" s="1099"/>
      <c r="G142" s="1099"/>
      <c r="H142" s="1099"/>
      <c r="I142" s="1099"/>
      <c r="J142" s="1099"/>
      <c r="K142" s="1099"/>
      <c r="L142" s="1099"/>
      <c r="M142" s="1099"/>
      <c r="N142" s="1099"/>
    </row>
    <row r="143" spans="1:14" ht="14.4">
      <c r="A143" s="1099"/>
      <c r="B143" s="1099"/>
      <c r="C143" s="1099"/>
      <c r="D143" s="1099"/>
      <c r="E143" s="1099"/>
      <c r="F143" s="1099"/>
      <c r="G143" s="1099"/>
      <c r="H143" s="1099"/>
      <c r="I143" s="1099"/>
      <c r="J143" s="1099"/>
      <c r="K143" s="1099"/>
      <c r="L143" s="1099"/>
      <c r="M143" s="1099"/>
      <c r="N143" s="1099"/>
    </row>
    <row r="144" spans="1:14" ht="14.4">
      <c r="A144" s="1099"/>
      <c r="B144" s="1099"/>
      <c r="C144" s="1099"/>
      <c r="D144" s="1099"/>
      <c r="E144" s="1099"/>
      <c r="F144" s="1099"/>
      <c r="G144" s="1099"/>
      <c r="H144" s="1099"/>
      <c r="I144" s="1099"/>
      <c r="J144" s="1099"/>
      <c r="K144" s="1099"/>
      <c r="L144" s="1099"/>
      <c r="M144" s="1099"/>
      <c r="N144" s="1099"/>
    </row>
    <row r="145" spans="1:14" ht="14.4">
      <c r="A145" s="1099"/>
      <c r="B145" s="1099"/>
      <c r="C145" s="1099"/>
      <c r="D145" s="1099"/>
      <c r="E145" s="1099"/>
      <c r="F145" s="1099"/>
      <c r="G145" s="1099"/>
      <c r="H145" s="1099"/>
      <c r="I145" s="1099"/>
      <c r="J145" s="1099"/>
      <c r="K145" s="1099"/>
      <c r="L145" s="1099"/>
      <c r="M145" s="1099"/>
      <c r="N145" s="1099"/>
    </row>
    <row r="146" spans="1:14" ht="14.4">
      <c r="A146" s="1099"/>
      <c r="B146" s="1099"/>
      <c r="C146" s="1099"/>
      <c r="D146" s="1099"/>
      <c r="E146" s="1099"/>
      <c r="F146" s="1099"/>
      <c r="G146" s="1099"/>
      <c r="H146" s="1099"/>
      <c r="I146" s="1099"/>
      <c r="J146" s="1099"/>
      <c r="K146" s="1099"/>
      <c r="L146" s="1099"/>
      <c r="M146" s="1099"/>
      <c r="N146" s="1099"/>
    </row>
    <row r="147" spans="1:14" ht="14.4">
      <c r="A147" s="1099"/>
      <c r="B147" s="1099"/>
      <c r="C147" s="1099"/>
      <c r="D147" s="1099"/>
      <c r="E147" s="1099"/>
      <c r="F147" s="1099"/>
      <c r="G147" s="1099"/>
      <c r="H147" s="1099"/>
      <c r="I147" s="1099"/>
      <c r="J147" s="1099"/>
      <c r="K147" s="1099"/>
      <c r="L147" s="1099"/>
      <c r="M147" s="1099"/>
      <c r="N147" s="1099"/>
    </row>
    <row r="148" spans="1:14" ht="14.4">
      <c r="A148" s="1099"/>
      <c r="B148" s="1099"/>
      <c r="C148" s="1099"/>
      <c r="D148" s="1099"/>
      <c r="E148" s="1099"/>
      <c r="F148" s="1099"/>
      <c r="G148" s="1099"/>
      <c r="H148" s="1099"/>
      <c r="I148" s="1099"/>
      <c r="J148" s="1099"/>
      <c r="K148" s="1099"/>
      <c r="L148" s="1099"/>
      <c r="M148" s="1099"/>
      <c r="N148" s="1099"/>
    </row>
    <row r="149" spans="1:14" ht="14.4">
      <c r="A149" s="1099"/>
      <c r="B149" s="1099"/>
      <c r="C149" s="1099"/>
      <c r="D149" s="1099"/>
      <c r="E149" s="1099"/>
      <c r="F149" s="1099"/>
      <c r="G149" s="1099"/>
      <c r="H149" s="1099"/>
      <c r="I149" s="1099"/>
      <c r="J149" s="1099"/>
      <c r="K149" s="1099"/>
      <c r="L149" s="1099"/>
      <c r="M149" s="1099"/>
      <c r="N149" s="1099"/>
    </row>
    <row r="150" spans="1:14" ht="14.4">
      <c r="A150" s="1099"/>
      <c r="B150" s="1099"/>
      <c r="C150" s="1099"/>
      <c r="D150" s="1099"/>
      <c r="E150" s="1099"/>
      <c r="F150" s="1099"/>
      <c r="G150" s="1099"/>
      <c r="H150" s="1099"/>
      <c r="I150" s="1099"/>
      <c r="J150" s="1099"/>
      <c r="K150" s="1099"/>
      <c r="L150" s="1099"/>
      <c r="M150" s="1099"/>
      <c r="N150" s="1099"/>
    </row>
    <row r="151" spans="1:14" ht="14.4">
      <c r="A151" s="1099"/>
      <c r="B151" s="1099"/>
      <c r="C151" s="1099"/>
      <c r="D151" s="1099"/>
      <c r="E151" s="1099"/>
      <c r="F151" s="1099"/>
      <c r="G151" s="1099"/>
      <c r="H151" s="1099"/>
      <c r="I151" s="1099"/>
      <c r="J151" s="1099"/>
      <c r="K151" s="1099"/>
      <c r="L151" s="1099"/>
      <c r="M151" s="1099"/>
      <c r="N151" s="1099"/>
    </row>
    <row r="152" spans="1:14" ht="14.4">
      <c r="A152" s="1099"/>
      <c r="B152" s="1099"/>
      <c r="C152" s="1099"/>
      <c r="D152" s="1099"/>
      <c r="E152" s="1099"/>
      <c r="F152" s="1099"/>
      <c r="G152" s="1099"/>
      <c r="H152" s="1099"/>
      <c r="I152" s="1099"/>
      <c r="J152" s="1099"/>
      <c r="K152" s="1099"/>
      <c r="L152" s="1099"/>
      <c r="M152" s="1099"/>
      <c r="N152" s="1099"/>
    </row>
    <row r="153" spans="1:14" ht="14.4">
      <c r="A153" s="1099"/>
      <c r="B153" s="1099"/>
      <c r="C153" s="1099"/>
      <c r="D153" s="1099"/>
      <c r="E153" s="1099"/>
      <c r="F153" s="1099"/>
      <c r="G153" s="1099"/>
      <c r="H153" s="1099"/>
      <c r="I153" s="1099"/>
      <c r="J153" s="1099"/>
      <c r="K153" s="1099"/>
      <c r="L153" s="1099"/>
      <c r="M153" s="1099"/>
      <c r="N153" s="1099"/>
    </row>
    <row r="154" spans="1:14" ht="14.4">
      <c r="A154" s="1099"/>
      <c r="B154" s="1099"/>
      <c r="C154" s="1099"/>
      <c r="D154" s="1099"/>
      <c r="E154" s="1099"/>
      <c r="F154" s="1099"/>
      <c r="G154" s="1099"/>
      <c r="H154" s="1099"/>
      <c r="I154" s="1099"/>
      <c r="J154" s="1099"/>
      <c r="K154" s="1099"/>
      <c r="L154" s="1099"/>
      <c r="M154" s="1099"/>
      <c r="N154" s="1099"/>
    </row>
    <row r="155" spans="1:14" ht="14.4">
      <c r="A155" s="1099"/>
      <c r="B155" s="1099"/>
      <c r="C155" s="1099"/>
      <c r="D155" s="1099"/>
      <c r="E155" s="1099"/>
      <c r="F155" s="1099"/>
      <c r="G155" s="1099"/>
      <c r="H155" s="1099"/>
      <c r="I155" s="1099"/>
      <c r="J155" s="1099"/>
      <c r="K155" s="1099"/>
      <c r="L155" s="1099"/>
      <c r="M155" s="1099"/>
      <c r="N155" s="1099"/>
    </row>
    <row r="156" spans="1:14" ht="14.4">
      <c r="A156" s="1099"/>
      <c r="B156" s="1099"/>
      <c r="C156" s="1099"/>
      <c r="D156" s="1099"/>
      <c r="E156" s="1099"/>
      <c r="F156" s="1099"/>
      <c r="G156" s="1099"/>
      <c r="H156" s="1099"/>
      <c r="I156" s="1099"/>
      <c r="J156" s="1099"/>
      <c r="K156" s="1099"/>
      <c r="L156" s="1099"/>
      <c r="M156" s="1099"/>
      <c r="N156" s="1099"/>
    </row>
    <row r="157" spans="1:14" ht="14.4">
      <c r="A157" s="1099"/>
      <c r="B157" s="1099"/>
      <c r="C157" s="1099"/>
      <c r="D157" s="1099"/>
      <c r="E157" s="1099"/>
      <c r="F157" s="1099"/>
      <c r="G157" s="1099"/>
      <c r="H157" s="1099"/>
      <c r="I157" s="1099"/>
      <c r="J157" s="1099"/>
      <c r="K157" s="1099"/>
      <c r="L157" s="1099"/>
      <c r="M157" s="1099"/>
      <c r="N157" s="1099"/>
    </row>
    <row r="158" spans="1:14" ht="14.4">
      <c r="A158" s="1099"/>
      <c r="B158" s="1099"/>
      <c r="C158" s="1099"/>
      <c r="D158" s="1099"/>
      <c r="E158" s="1099"/>
      <c r="F158" s="1099"/>
      <c r="G158" s="1099"/>
      <c r="H158" s="1099"/>
      <c r="I158" s="1099"/>
      <c r="J158" s="1099"/>
      <c r="K158" s="1099"/>
      <c r="L158" s="1099"/>
      <c r="M158" s="1099"/>
      <c r="N158" s="1099"/>
    </row>
    <row r="159" spans="1:14" ht="14.4">
      <c r="A159" s="1099"/>
      <c r="B159" s="1099"/>
      <c r="C159" s="1099"/>
      <c r="D159" s="1099"/>
      <c r="E159" s="1099"/>
      <c r="F159" s="1099"/>
      <c r="G159" s="1099"/>
      <c r="H159" s="1099"/>
      <c r="I159" s="1099"/>
      <c r="J159" s="1099"/>
      <c r="K159" s="1099"/>
      <c r="L159" s="1099"/>
      <c r="M159" s="1099"/>
      <c r="N159" s="1099"/>
    </row>
    <row r="160" spans="1:14" ht="14.4">
      <c r="A160" s="1099"/>
      <c r="B160" s="1099"/>
      <c r="C160" s="1099"/>
      <c r="D160" s="1099"/>
      <c r="E160" s="1099"/>
      <c r="F160" s="1099"/>
      <c r="G160" s="1099"/>
      <c r="H160" s="1099"/>
      <c r="I160" s="1099"/>
      <c r="J160" s="1099"/>
      <c r="K160" s="1099"/>
      <c r="L160" s="1099"/>
      <c r="M160" s="1099"/>
      <c r="N160" s="1099"/>
    </row>
    <row r="161" spans="1:14" ht="14.4">
      <c r="A161" s="1099"/>
      <c r="B161" s="1099"/>
      <c r="C161" s="1099"/>
      <c r="D161" s="1099"/>
      <c r="E161" s="1099"/>
      <c r="F161" s="1099"/>
      <c r="G161" s="1099"/>
      <c r="H161" s="1099"/>
      <c r="I161" s="1099"/>
      <c r="J161" s="1099"/>
      <c r="K161" s="1099"/>
      <c r="L161" s="1099"/>
      <c r="M161" s="1099"/>
      <c r="N161" s="1099"/>
    </row>
    <row r="162" spans="1:14" ht="14.4">
      <c r="A162" s="1099"/>
      <c r="B162" s="1099"/>
      <c r="C162" s="1099"/>
      <c r="D162" s="1099"/>
      <c r="E162" s="1099"/>
      <c r="F162" s="1099"/>
      <c r="G162" s="1099"/>
      <c r="H162" s="1099"/>
      <c r="I162" s="1099"/>
      <c r="J162" s="1099"/>
      <c r="K162" s="1099"/>
      <c r="L162" s="1099"/>
      <c r="M162" s="1099"/>
      <c r="N162" s="1099"/>
    </row>
    <row r="163" spans="1:14" ht="14.4">
      <c r="A163" s="1099"/>
      <c r="B163" s="1099"/>
      <c r="C163" s="1099"/>
      <c r="D163" s="1099"/>
      <c r="E163" s="1099"/>
      <c r="F163" s="1099"/>
      <c r="G163" s="1099"/>
      <c r="H163" s="1099"/>
      <c r="I163" s="1099"/>
      <c r="J163" s="1099"/>
      <c r="K163" s="1099"/>
      <c r="L163" s="1099"/>
      <c r="M163" s="1099"/>
      <c r="N163" s="1099"/>
    </row>
    <row r="164" spans="1:14" ht="14.4">
      <c r="A164" s="1099"/>
      <c r="B164" s="1099"/>
      <c r="C164" s="1099"/>
      <c r="D164" s="1099"/>
      <c r="E164" s="1099"/>
      <c r="F164" s="1099"/>
      <c r="G164" s="1099"/>
      <c r="H164" s="1099"/>
      <c r="I164" s="1099"/>
      <c r="J164" s="1099"/>
      <c r="K164" s="1099"/>
      <c r="L164" s="1099"/>
      <c r="M164" s="1099"/>
      <c r="N164" s="1099"/>
    </row>
    <row r="165" spans="1:14" ht="14.4">
      <c r="A165" s="1099"/>
      <c r="B165" s="1099"/>
      <c r="C165" s="1099"/>
      <c r="D165" s="1099"/>
      <c r="E165" s="1099"/>
      <c r="F165" s="1099"/>
      <c r="G165" s="1099"/>
      <c r="H165" s="1099"/>
      <c r="I165" s="1099"/>
      <c r="J165" s="1099"/>
      <c r="K165" s="1099"/>
      <c r="L165" s="1099"/>
      <c r="M165" s="1099"/>
      <c r="N165" s="1099"/>
    </row>
    <row r="166" spans="1:14" ht="14.4">
      <c r="A166" s="1099"/>
      <c r="B166" s="1099"/>
      <c r="C166" s="1099"/>
      <c r="D166" s="1099"/>
      <c r="E166" s="1099"/>
      <c r="F166" s="1099"/>
      <c r="G166" s="1099"/>
      <c r="H166" s="1099"/>
      <c r="I166" s="1099"/>
      <c r="J166" s="1099"/>
      <c r="K166" s="1099"/>
      <c r="L166" s="1099"/>
      <c r="M166" s="1099"/>
      <c r="N166" s="1099"/>
    </row>
    <row r="167" spans="1:14" ht="14.4">
      <c r="A167" s="1099"/>
      <c r="B167" s="1099"/>
      <c r="C167" s="1099"/>
      <c r="D167" s="1099"/>
      <c r="E167" s="1099"/>
      <c r="F167" s="1099"/>
      <c r="G167" s="1099"/>
      <c r="H167" s="1099"/>
      <c r="I167" s="1099"/>
      <c r="J167" s="1099"/>
      <c r="K167" s="1099"/>
      <c r="L167" s="1099"/>
      <c r="M167" s="1099"/>
      <c r="N167" s="1099"/>
    </row>
    <row r="168" spans="1:14" ht="14.4">
      <c r="A168" s="1099"/>
      <c r="B168" s="1099"/>
      <c r="C168" s="1099"/>
      <c r="D168" s="1099"/>
      <c r="E168" s="1099"/>
      <c r="F168" s="1099"/>
      <c r="G168" s="1099"/>
      <c r="H168" s="1099"/>
      <c r="I168" s="1099"/>
      <c r="J168" s="1099"/>
      <c r="K168" s="1099"/>
      <c r="L168" s="1099"/>
      <c r="M168" s="1099"/>
      <c r="N168" s="1099"/>
    </row>
    <row r="169" spans="1:14" ht="14.4">
      <c r="A169" s="1099"/>
      <c r="B169" s="1099"/>
      <c r="C169" s="1099"/>
      <c r="D169" s="1099"/>
      <c r="E169" s="1099"/>
      <c r="F169" s="1099"/>
      <c r="G169" s="1099"/>
      <c r="H169" s="1099"/>
      <c r="I169" s="1099"/>
      <c r="J169" s="1099"/>
      <c r="K169" s="1099"/>
      <c r="L169" s="1099"/>
      <c r="M169" s="1099"/>
      <c r="N169" s="1099"/>
    </row>
    <row r="170" spans="1:14" ht="14.4">
      <c r="A170" s="1099"/>
      <c r="B170" s="1099"/>
      <c r="C170" s="1099"/>
      <c r="D170" s="1099"/>
      <c r="E170" s="1099"/>
      <c r="F170" s="1099"/>
      <c r="G170" s="1099"/>
      <c r="H170" s="1099"/>
      <c r="I170" s="1099"/>
      <c r="J170" s="1099"/>
      <c r="K170" s="1099"/>
      <c r="L170" s="1099"/>
      <c r="M170" s="1099"/>
      <c r="N170" s="1099"/>
    </row>
    <row r="171" spans="1:14" ht="14.4">
      <c r="A171" s="1099"/>
      <c r="B171" s="1099"/>
      <c r="C171" s="1099"/>
      <c r="D171" s="1099"/>
      <c r="E171" s="1099"/>
      <c r="F171" s="1099"/>
      <c r="G171" s="1099"/>
      <c r="H171" s="1099"/>
      <c r="I171" s="1099"/>
      <c r="J171" s="1099"/>
      <c r="K171" s="1099"/>
      <c r="L171" s="1099"/>
      <c r="M171" s="1099"/>
      <c r="N171" s="1099"/>
    </row>
    <row r="172" spans="1:14" ht="14.4">
      <c r="A172" s="1099"/>
      <c r="B172" s="1099"/>
      <c r="C172" s="1099"/>
      <c r="D172" s="1099"/>
      <c r="E172" s="1099"/>
      <c r="F172" s="1099"/>
      <c r="G172" s="1099"/>
      <c r="H172" s="1099"/>
      <c r="I172" s="1099"/>
      <c r="J172" s="1099"/>
      <c r="K172" s="1099"/>
      <c r="L172" s="1099"/>
      <c r="M172" s="1099"/>
      <c r="N172" s="1099"/>
    </row>
    <row r="173" spans="1:14" ht="14.4">
      <c r="A173" s="1099"/>
      <c r="B173" s="1099"/>
      <c r="C173" s="1099"/>
      <c r="D173" s="1099"/>
      <c r="E173" s="1099"/>
      <c r="F173" s="1099"/>
      <c r="G173" s="1099"/>
      <c r="H173" s="1099"/>
      <c r="I173" s="1099"/>
      <c r="J173" s="1099"/>
      <c r="K173" s="1099"/>
      <c r="L173" s="1099"/>
      <c r="M173" s="1099"/>
      <c r="N173" s="1099"/>
    </row>
    <row r="174" spans="1:14" ht="14.4">
      <c r="A174" s="1099"/>
      <c r="B174" s="1099"/>
      <c r="C174" s="1099"/>
      <c r="D174" s="1099"/>
      <c r="E174" s="1099"/>
      <c r="F174" s="1099"/>
      <c r="G174" s="1099"/>
      <c r="H174" s="1099"/>
      <c r="I174" s="1099"/>
      <c r="J174" s="1099"/>
      <c r="K174" s="1099"/>
      <c r="L174" s="1099"/>
      <c r="M174" s="1099"/>
      <c r="N174" s="1099"/>
    </row>
    <row r="175" spans="1:14" ht="14.4">
      <c r="A175" s="1099"/>
      <c r="B175" s="1099"/>
      <c r="C175" s="1099"/>
      <c r="D175" s="1099"/>
      <c r="E175" s="1099"/>
      <c r="F175" s="1099"/>
      <c r="G175" s="1099"/>
      <c r="H175" s="1099"/>
      <c r="I175" s="1099"/>
      <c r="J175" s="1099"/>
      <c r="K175" s="1099"/>
      <c r="L175" s="1099"/>
      <c r="M175" s="1099"/>
      <c r="N175" s="1099"/>
    </row>
    <row r="176" spans="1:14" ht="14.4">
      <c r="A176" s="1099"/>
      <c r="B176" s="1099"/>
      <c r="C176" s="1099"/>
      <c r="D176" s="1099"/>
      <c r="E176" s="1099"/>
      <c r="F176" s="1099"/>
      <c r="G176" s="1099"/>
      <c r="H176" s="1099"/>
      <c r="I176" s="1099"/>
      <c r="J176" s="1099"/>
      <c r="K176" s="1099"/>
      <c r="L176" s="1099"/>
      <c r="M176" s="1099"/>
      <c r="N176" s="1099"/>
    </row>
    <row r="177" spans="1:14" ht="14.4">
      <c r="A177" s="1099"/>
      <c r="B177" s="1099"/>
      <c r="C177" s="1099"/>
      <c r="D177" s="1099"/>
      <c r="E177" s="1099"/>
      <c r="F177" s="1099"/>
      <c r="G177" s="1099"/>
      <c r="H177" s="1099"/>
      <c r="I177" s="1099"/>
      <c r="J177" s="1099"/>
      <c r="K177" s="1099"/>
      <c r="L177" s="1099"/>
      <c r="M177" s="1099"/>
      <c r="N177" s="1099"/>
    </row>
    <row r="178" spans="1:14" ht="14.4">
      <c r="A178" s="1099"/>
      <c r="B178" s="1099"/>
      <c r="C178" s="1099"/>
      <c r="D178" s="1099"/>
      <c r="E178" s="1099"/>
      <c r="F178" s="1099"/>
      <c r="G178" s="1099"/>
      <c r="H178" s="1099"/>
      <c r="I178" s="1099"/>
      <c r="J178" s="1099"/>
      <c r="K178" s="1099"/>
      <c r="L178" s="1099"/>
      <c r="M178" s="1099"/>
      <c r="N178" s="1099"/>
    </row>
    <row r="179" spans="1:14" ht="14.4">
      <c r="A179" s="1099"/>
      <c r="B179" s="1099"/>
      <c r="C179" s="1099"/>
      <c r="D179" s="1099"/>
      <c r="E179" s="1099"/>
      <c r="F179" s="1099"/>
      <c r="G179" s="1099"/>
      <c r="H179" s="1099"/>
      <c r="I179" s="1099"/>
      <c r="J179" s="1099"/>
      <c r="K179" s="1099"/>
      <c r="L179" s="1099"/>
      <c r="M179" s="1099"/>
      <c r="N179" s="1099"/>
    </row>
    <row r="180" spans="1:14" ht="14.4">
      <c r="A180" s="1099"/>
      <c r="B180" s="1099"/>
      <c r="C180" s="1099"/>
      <c r="D180" s="1099"/>
      <c r="E180" s="1099"/>
      <c r="F180" s="1099"/>
      <c r="G180" s="1099"/>
      <c r="H180" s="1099"/>
      <c r="I180" s="1099"/>
      <c r="J180" s="1099"/>
      <c r="K180" s="1099"/>
      <c r="L180" s="1099"/>
      <c r="M180" s="1099"/>
      <c r="N180" s="1099"/>
    </row>
    <row r="181" spans="1:14" ht="14.4">
      <c r="A181" s="1099"/>
      <c r="B181" s="1099"/>
      <c r="C181" s="1099"/>
      <c r="D181" s="1099"/>
      <c r="E181" s="1099"/>
      <c r="F181" s="1099"/>
      <c r="G181" s="1099"/>
      <c r="H181" s="1099"/>
      <c r="I181" s="1099"/>
      <c r="J181" s="1099"/>
      <c r="K181" s="1099"/>
      <c r="L181" s="1099"/>
      <c r="M181" s="1099"/>
      <c r="N181" s="1099"/>
    </row>
    <row r="182" spans="1:14" ht="14.4">
      <c r="A182" s="1099"/>
      <c r="B182" s="1099"/>
      <c r="C182" s="1099"/>
      <c r="D182" s="1099"/>
      <c r="E182" s="1099"/>
      <c r="F182" s="1099"/>
      <c r="G182" s="1099"/>
      <c r="H182" s="1099"/>
      <c r="I182" s="1099"/>
      <c r="J182" s="1099"/>
      <c r="K182" s="1099"/>
      <c r="L182" s="1099"/>
      <c r="M182" s="1099"/>
      <c r="N182" s="1099"/>
    </row>
    <row r="183" spans="1:14" ht="14.4">
      <c r="A183" s="1099"/>
      <c r="B183" s="1099"/>
      <c r="C183" s="1099"/>
      <c r="D183" s="1099"/>
      <c r="E183" s="1099"/>
      <c r="F183" s="1099"/>
      <c r="G183" s="1099"/>
      <c r="H183" s="1099"/>
      <c r="I183" s="1099"/>
      <c r="J183" s="1099"/>
      <c r="K183" s="1099"/>
      <c r="L183" s="1099"/>
      <c r="M183" s="1099"/>
      <c r="N183" s="1099"/>
    </row>
    <row r="184" spans="1:14" ht="14.4">
      <c r="A184" s="1099"/>
      <c r="B184" s="1099"/>
      <c r="C184" s="1099"/>
      <c r="D184" s="1099"/>
      <c r="E184" s="1099"/>
      <c r="F184" s="1099"/>
      <c r="G184" s="1099"/>
      <c r="H184" s="1099"/>
      <c r="I184" s="1099"/>
      <c r="J184" s="1099"/>
      <c r="K184" s="1099"/>
      <c r="L184" s="1099"/>
      <c r="M184" s="1099"/>
      <c r="N184" s="1099"/>
    </row>
    <row r="185" spans="1:14" ht="14.4">
      <c r="A185" s="1099"/>
      <c r="B185" s="1099"/>
      <c r="C185" s="1099"/>
      <c r="D185" s="1099"/>
      <c r="E185" s="1099"/>
      <c r="F185" s="1099"/>
      <c r="G185" s="1099"/>
      <c r="H185" s="1099"/>
      <c r="I185" s="1099"/>
      <c r="J185" s="1099"/>
      <c r="K185" s="1099"/>
      <c r="L185" s="1099"/>
      <c r="M185" s="1099"/>
      <c r="N185" s="1099"/>
    </row>
    <row r="186" spans="1:14" ht="14.4">
      <c r="A186" s="1099"/>
      <c r="B186" s="1099"/>
      <c r="C186" s="1099"/>
      <c r="D186" s="1099"/>
      <c r="E186" s="1099"/>
      <c r="F186" s="1099"/>
      <c r="G186" s="1099"/>
      <c r="H186" s="1099"/>
      <c r="I186" s="1099"/>
      <c r="J186" s="1099"/>
      <c r="K186" s="1099"/>
      <c r="L186" s="1099"/>
      <c r="M186" s="1099"/>
      <c r="N186" s="1099"/>
    </row>
    <row r="187" spans="1:14" ht="14.4">
      <c r="A187" s="1099"/>
      <c r="B187" s="1099"/>
      <c r="C187" s="1099"/>
      <c r="D187" s="1099"/>
      <c r="E187" s="1099"/>
      <c r="F187" s="1099"/>
      <c r="G187" s="1099"/>
      <c r="H187" s="1099"/>
      <c r="I187" s="1099"/>
      <c r="J187" s="1099"/>
      <c r="K187" s="1099"/>
      <c r="L187" s="1099"/>
      <c r="M187" s="1099"/>
      <c r="N187" s="1099"/>
    </row>
    <row r="188" spans="1:14" ht="14.4">
      <c r="A188" s="1099"/>
      <c r="B188" s="1099"/>
      <c r="C188" s="1099"/>
      <c r="D188" s="1099"/>
      <c r="E188" s="1099"/>
      <c r="F188" s="1099"/>
      <c r="G188" s="1099"/>
      <c r="H188" s="1099"/>
      <c r="I188" s="1099"/>
      <c r="J188" s="1099"/>
      <c r="K188" s="1099"/>
      <c r="L188" s="1099"/>
      <c r="M188" s="1099"/>
      <c r="N188" s="1099"/>
    </row>
    <row r="189" spans="1:14" ht="14.4">
      <c r="A189" s="1099"/>
      <c r="B189" s="1099"/>
      <c r="C189" s="1099"/>
      <c r="D189" s="1099"/>
      <c r="E189" s="1099"/>
      <c r="F189" s="1099"/>
      <c r="G189" s="1099"/>
      <c r="H189" s="1099"/>
      <c r="I189" s="1099"/>
      <c r="J189" s="1099"/>
      <c r="K189" s="1099"/>
      <c r="L189" s="1099"/>
      <c r="M189" s="1099"/>
      <c r="N189" s="1099"/>
    </row>
    <row r="190" spans="1:14" ht="14.4">
      <c r="A190" s="1099"/>
      <c r="B190" s="1099"/>
      <c r="C190" s="1099"/>
      <c r="D190" s="1099"/>
      <c r="E190" s="1099"/>
      <c r="F190" s="1099"/>
      <c r="G190" s="1099"/>
      <c r="H190" s="1099"/>
      <c r="I190" s="1099"/>
      <c r="J190" s="1099"/>
      <c r="K190" s="1099"/>
      <c r="L190" s="1099"/>
      <c r="M190" s="1099"/>
      <c r="N190" s="1099"/>
    </row>
    <row r="191" spans="1:14" ht="14.4">
      <c r="A191" s="1099"/>
      <c r="B191" s="1099"/>
      <c r="C191" s="1099"/>
      <c r="D191" s="1099"/>
      <c r="E191" s="1099"/>
      <c r="F191" s="1099"/>
      <c r="G191" s="1099"/>
      <c r="H191" s="1099"/>
      <c r="I191" s="1099"/>
      <c r="J191" s="1099"/>
      <c r="K191" s="1099"/>
      <c r="L191" s="1099"/>
      <c r="M191" s="1099"/>
      <c r="N191" s="1099"/>
    </row>
    <row r="192" spans="1:14" ht="14.4">
      <c r="A192" s="1099"/>
      <c r="B192" s="1099"/>
      <c r="C192" s="1099"/>
      <c r="D192" s="1099"/>
      <c r="E192" s="1099"/>
      <c r="F192" s="1099"/>
      <c r="G192" s="1099"/>
      <c r="H192" s="1099"/>
      <c r="I192" s="1099"/>
      <c r="J192" s="1099"/>
      <c r="K192" s="1099"/>
      <c r="L192" s="1099"/>
      <c r="M192" s="1099"/>
      <c r="N192" s="1099"/>
    </row>
    <row r="193" spans="1:14" ht="14.4">
      <c r="A193" s="1099"/>
      <c r="B193" s="1099"/>
      <c r="C193" s="1099"/>
      <c r="D193" s="1099"/>
      <c r="E193" s="1099"/>
      <c r="F193" s="1099"/>
      <c r="G193" s="1099"/>
      <c r="H193" s="1099"/>
      <c r="I193" s="1099"/>
      <c r="J193" s="1099"/>
      <c r="K193" s="1099"/>
      <c r="L193" s="1099"/>
      <c r="M193" s="1099"/>
      <c r="N193" s="1099"/>
    </row>
    <row r="194" spans="1:14" ht="14.4">
      <c r="A194" s="1099"/>
      <c r="B194" s="1099"/>
      <c r="C194" s="1099"/>
      <c r="D194" s="1099"/>
      <c r="E194" s="1099"/>
      <c r="F194" s="1099"/>
      <c r="G194" s="1099"/>
      <c r="H194" s="1099"/>
      <c r="I194" s="1099"/>
      <c r="J194" s="1099"/>
      <c r="K194" s="1099"/>
      <c r="L194" s="1099"/>
      <c r="M194" s="1099"/>
      <c r="N194" s="1099"/>
    </row>
    <row r="195" spans="1:14" ht="14.4">
      <c r="A195" s="1099"/>
      <c r="B195" s="1099"/>
      <c r="C195" s="1099"/>
      <c r="D195" s="1099"/>
      <c r="E195" s="1099"/>
      <c r="F195" s="1099"/>
      <c r="G195" s="1099"/>
      <c r="H195" s="1099"/>
      <c r="I195" s="1099"/>
      <c r="J195" s="1099"/>
      <c r="K195" s="1099"/>
      <c r="L195" s="1099"/>
      <c r="M195" s="1099"/>
      <c r="N195" s="1099"/>
    </row>
    <row r="196" spans="1:14" ht="14.4">
      <c r="A196" s="1099"/>
      <c r="B196" s="1099"/>
      <c r="C196" s="1099"/>
      <c r="D196" s="1099"/>
      <c r="E196" s="1099"/>
      <c r="F196" s="1099"/>
      <c r="G196" s="1099"/>
      <c r="H196" s="1099"/>
      <c r="I196" s="1099"/>
      <c r="J196" s="1099"/>
      <c r="K196" s="1099"/>
      <c r="L196" s="1099"/>
      <c r="M196" s="1099"/>
      <c r="N196" s="1099"/>
    </row>
    <row r="197" spans="1:14" ht="14.4">
      <c r="A197" s="1099"/>
      <c r="B197" s="1099"/>
      <c r="C197" s="1099"/>
      <c r="D197" s="1099"/>
      <c r="E197" s="1099"/>
      <c r="F197" s="1099"/>
      <c r="G197" s="1099"/>
      <c r="H197" s="1099"/>
      <c r="I197" s="1099"/>
      <c r="J197" s="1099"/>
      <c r="K197" s="1099"/>
      <c r="L197" s="1099"/>
      <c r="M197" s="1099"/>
      <c r="N197" s="1099"/>
    </row>
    <row r="198" spans="1:14" ht="14.4">
      <c r="A198" s="1099"/>
      <c r="B198" s="1099"/>
      <c r="C198" s="1099"/>
      <c r="D198" s="1099"/>
      <c r="E198" s="1099"/>
      <c r="F198" s="1099"/>
      <c r="G198" s="1099"/>
      <c r="H198" s="1099"/>
      <c r="I198" s="1099"/>
      <c r="J198" s="1099"/>
      <c r="K198" s="1099"/>
      <c r="L198" s="1099"/>
      <c r="M198" s="1099"/>
      <c r="N198" s="1099"/>
    </row>
    <row r="199" spans="1:14" ht="14.4">
      <c r="A199" s="1099"/>
      <c r="B199" s="1099"/>
      <c r="C199" s="1099"/>
      <c r="D199" s="1099"/>
      <c r="E199" s="1099"/>
      <c r="F199" s="1099"/>
      <c r="G199" s="1099"/>
      <c r="H199" s="1099"/>
      <c r="I199" s="1099"/>
      <c r="J199" s="1099"/>
      <c r="K199" s="1099"/>
      <c r="L199" s="1099"/>
      <c r="M199" s="1099"/>
      <c r="N199" s="1099"/>
    </row>
    <row r="200" spans="1:14" ht="14.4">
      <c r="A200" s="1099"/>
      <c r="B200" s="1099"/>
      <c r="C200" s="1099"/>
      <c r="D200" s="1099"/>
      <c r="E200" s="1099"/>
      <c r="F200" s="1099"/>
      <c r="G200" s="1099"/>
      <c r="H200" s="1099"/>
      <c r="I200" s="1099"/>
      <c r="J200" s="1099"/>
      <c r="K200" s="1099"/>
      <c r="L200" s="1099"/>
      <c r="M200" s="1099"/>
      <c r="N200" s="1099"/>
    </row>
    <row r="201" spans="1:14" ht="14.4">
      <c r="A201" s="1099"/>
      <c r="B201" s="1099"/>
      <c r="C201" s="1099"/>
      <c r="D201" s="1099"/>
      <c r="E201" s="1099"/>
      <c r="F201" s="1099"/>
      <c r="G201" s="1099"/>
      <c r="H201" s="1099"/>
      <c r="I201" s="1099"/>
      <c r="J201" s="1099"/>
      <c r="K201" s="1099"/>
      <c r="L201" s="1099"/>
      <c r="M201" s="1099"/>
      <c r="N201" s="1099"/>
    </row>
    <row r="202" spans="1:14" ht="14.4">
      <c r="A202" s="1099"/>
      <c r="B202" s="1099"/>
      <c r="C202" s="1099"/>
      <c r="D202" s="1099"/>
      <c r="E202" s="1099"/>
      <c r="F202" s="1099"/>
      <c r="G202" s="1099"/>
      <c r="H202" s="1099"/>
      <c r="I202" s="1099"/>
      <c r="J202" s="1099"/>
      <c r="K202" s="1099"/>
      <c r="L202" s="1099"/>
      <c r="M202" s="1099"/>
      <c r="N202" s="1099"/>
    </row>
    <row r="203" spans="1:14" ht="14.4">
      <c r="A203" s="1099"/>
      <c r="B203" s="1099"/>
      <c r="C203" s="1099"/>
      <c r="D203" s="1099"/>
      <c r="E203" s="1099"/>
      <c r="F203" s="1099"/>
      <c r="G203" s="1099"/>
      <c r="H203" s="1099"/>
      <c r="I203" s="1099"/>
      <c r="J203" s="1099"/>
      <c r="K203" s="1099"/>
      <c r="L203" s="1099"/>
      <c r="M203" s="1099"/>
      <c r="N203" s="1099"/>
    </row>
    <row r="204" spans="1:14" ht="14.4">
      <c r="A204" s="1099"/>
      <c r="B204" s="1099"/>
      <c r="C204" s="1099"/>
      <c r="D204" s="1099"/>
      <c r="E204" s="1099"/>
      <c r="F204" s="1099"/>
      <c r="G204" s="1099"/>
      <c r="H204" s="1099"/>
      <c r="I204" s="1099"/>
      <c r="J204" s="1099"/>
      <c r="K204" s="1099"/>
      <c r="L204" s="1099"/>
      <c r="M204" s="1099"/>
      <c r="N204" s="1099"/>
    </row>
    <row r="205" spans="1:14" ht="14.4">
      <c r="A205" s="1099"/>
      <c r="B205" s="1099"/>
      <c r="C205" s="1099"/>
      <c r="D205" s="1099"/>
      <c r="E205" s="1099"/>
      <c r="F205" s="1099"/>
      <c r="G205" s="1099"/>
      <c r="H205" s="1099"/>
      <c r="I205" s="1099"/>
      <c r="J205" s="1099"/>
      <c r="K205" s="1099"/>
      <c r="L205" s="1099"/>
      <c r="M205" s="1099"/>
      <c r="N205" s="1099"/>
    </row>
    <row r="206" spans="1:14" ht="14.4">
      <c r="A206" s="1099"/>
      <c r="B206" s="1099"/>
      <c r="C206" s="1099"/>
      <c r="D206" s="1099"/>
      <c r="E206" s="1099"/>
      <c r="F206" s="1099"/>
      <c r="G206" s="1099"/>
      <c r="H206" s="1099"/>
      <c r="I206" s="1099"/>
      <c r="J206" s="1099"/>
      <c r="K206" s="1099"/>
      <c r="L206" s="1099"/>
      <c r="M206" s="1099"/>
      <c r="N206" s="1099"/>
    </row>
    <row r="207" spans="1:14" ht="14.4">
      <c r="A207" s="1099"/>
      <c r="B207" s="1099"/>
      <c r="C207" s="1099"/>
      <c r="D207" s="1099"/>
      <c r="E207" s="1099"/>
      <c r="F207" s="1099"/>
      <c r="G207" s="1099"/>
      <c r="H207" s="1099"/>
      <c r="I207" s="1099"/>
      <c r="J207" s="1099"/>
      <c r="K207" s="1099"/>
      <c r="L207" s="1099"/>
      <c r="M207" s="1099"/>
      <c r="N207" s="1099"/>
    </row>
    <row r="208" spans="1:14" ht="14.4">
      <c r="A208" s="1099"/>
      <c r="B208" s="1099"/>
      <c r="C208" s="1099"/>
      <c r="D208" s="1099"/>
      <c r="E208" s="1099"/>
      <c r="F208" s="1099"/>
      <c r="G208" s="1099"/>
      <c r="H208" s="1099"/>
      <c r="I208" s="1099"/>
      <c r="J208" s="1099"/>
      <c r="K208" s="1099"/>
      <c r="L208" s="1099"/>
      <c r="M208" s="1099"/>
      <c r="N208" s="1099"/>
    </row>
    <row r="209" spans="1:14" ht="14.4">
      <c r="A209" s="1099"/>
      <c r="B209" s="1099"/>
      <c r="C209" s="1099"/>
      <c r="D209" s="1099"/>
      <c r="E209" s="1099"/>
      <c r="F209" s="1099"/>
      <c r="G209" s="1099"/>
      <c r="H209" s="1099"/>
      <c r="I209" s="1099"/>
      <c r="J209" s="1099"/>
      <c r="K209" s="1099"/>
      <c r="L209" s="1099"/>
      <c r="M209" s="1099"/>
      <c r="N209" s="1099"/>
    </row>
    <row r="210" spans="1:14" ht="14.4">
      <c r="A210" s="1099"/>
      <c r="B210" s="1099"/>
      <c r="C210" s="1099"/>
      <c r="D210" s="1099"/>
      <c r="E210" s="1099"/>
      <c r="F210" s="1099"/>
      <c r="G210" s="1099"/>
      <c r="H210" s="1099"/>
      <c r="I210" s="1099"/>
      <c r="J210" s="1099"/>
      <c r="K210" s="1099"/>
      <c r="L210" s="1099"/>
      <c r="M210" s="1099"/>
      <c r="N210" s="1099"/>
    </row>
    <row r="211" spans="1:14" ht="14.4">
      <c r="A211" s="1099"/>
      <c r="B211" s="1099"/>
      <c r="C211" s="1099"/>
      <c r="D211" s="1099"/>
      <c r="E211" s="1099"/>
      <c r="F211" s="1099"/>
      <c r="G211" s="1099"/>
      <c r="H211" s="1099"/>
      <c r="I211" s="1099"/>
      <c r="J211" s="1099"/>
      <c r="K211" s="1099"/>
      <c r="L211" s="1099"/>
      <c r="M211" s="1099"/>
      <c r="N211" s="1099"/>
    </row>
    <row r="212" spans="1:14" ht="14.4">
      <c r="A212" s="1099"/>
      <c r="B212" s="1099"/>
      <c r="C212" s="1099"/>
      <c r="D212" s="1099"/>
      <c r="E212" s="1099"/>
      <c r="F212" s="1099"/>
      <c r="G212" s="1099"/>
      <c r="H212" s="1099"/>
      <c r="I212" s="1099"/>
      <c r="J212" s="1099"/>
      <c r="K212" s="1099"/>
      <c r="L212" s="1099"/>
      <c r="M212" s="1099"/>
      <c r="N212" s="1099"/>
    </row>
    <row r="213" spans="1:14" ht="14.4">
      <c r="A213" s="1099"/>
      <c r="B213" s="1099"/>
      <c r="C213" s="1099"/>
      <c r="D213" s="1099"/>
      <c r="E213" s="1099"/>
      <c r="F213" s="1099"/>
      <c r="G213" s="1099"/>
      <c r="H213" s="1099"/>
      <c r="I213" s="1099"/>
      <c r="J213" s="1099"/>
      <c r="K213" s="1099"/>
      <c r="L213" s="1099"/>
      <c r="M213" s="1099"/>
      <c r="N213" s="1099"/>
    </row>
    <row r="214" spans="1:14" ht="14.4">
      <c r="A214" s="1099"/>
      <c r="B214" s="1099"/>
      <c r="C214" s="1099"/>
      <c r="D214" s="1099"/>
      <c r="E214" s="1099"/>
      <c r="F214" s="1099"/>
      <c r="G214" s="1099"/>
      <c r="H214" s="1099"/>
      <c r="I214" s="1099"/>
      <c r="J214" s="1099"/>
      <c r="K214" s="1099"/>
      <c r="L214" s="1099"/>
      <c r="M214" s="1099"/>
      <c r="N214" s="1099"/>
    </row>
    <row r="215" spans="1:14" ht="14.4">
      <c r="A215" s="1099"/>
      <c r="B215" s="1099"/>
      <c r="C215" s="1099"/>
      <c r="D215" s="1099"/>
      <c r="E215" s="1099"/>
      <c r="F215" s="1099"/>
      <c r="G215" s="1099"/>
      <c r="H215" s="1099"/>
      <c r="I215" s="1099"/>
      <c r="J215" s="1099"/>
      <c r="K215" s="1099"/>
      <c r="L215" s="1099"/>
      <c r="M215" s="1099"/>
      <c r="N215" s="1099"/>
    </row>
    <row r="216" spans="1:14" ht="14.4">
      <c r="A216" s="1099"/>
      <c r="B216" s="1099"/>
      <c r="C216" s="1099"/>
      <c r="D216" s="1099"/>
      <c r="E216" s="1099"/>
      <c r="F216" s="1099"/>
      <c r="G216" s="1099"/>
      <c r="H216" s="1099"/>
      <c r="I216" s="1099"/>
      <c r="J216" s="1099"/>
      <c r="K216" s="1099"/>
      <c r="L216" s="1099"/>
      <c r="M216" s="1099"/>
      <c r="N216" s="1099"/>
    </row>
    <row r="217" spans="1:14" ht="14.4">
      <c r="A217" s="1099"/>
      <c r="B217" s="1099"/>
      <c r="C217" s="1099"/>
      <c r="D217" s="1099"/>
      <c r="E217" s="1099"/>
      <c r="F217" s="1099"/>
      <c r="G217" s="1099"/>
      <c r="H217" s="1099"/>
      <c r="I217" s="1099"/>
      <c r="J217" s="1099"/>
      <c r="K217" s="1099"/>
      <c r="L217" s="1099"/>
      <c r="M217" s="1099"/>
      <c r="N217" s="1099"/>
    </row>
    <row r="218" spans="1:14" ht="14.4">
      <c r="A218" s="1099"/>
      <c r="B218" s="1099"/>
      <c r="C218" s="1099"/>
      <c r="D218" s="1099"/>
      <c r="E218" s="1099"/>
      <c r="F218" s="1099"/>
      <c r="G218" s="1099"/>
      <c r="H218" s="1099"/>
      <c r="I218" s="1099"/>
      <c r="J218" s="1099"/>
      <c r="K218" s="1099"/>
      <c r="L218" s="1099"/>
      <c r="M218" s="1099"/>
      <c r="N218" s="1099"/>
    </row>
    <row r="219" spans="1:14" ht="14.4">
      <c r="A219" s="1099"/>
      <c r="B219" s="1099"/>
      <c r="C219" s="1099"/>
      <c r="D219" s="1099"/>
      <c r="E219" s="1099"/>
      <c r="F219" s="1099"/>
      <c r="G219" s="1099"/>
      <c r="H219" s="1099"/>
      <c r="I219" s="1099"/>
      <c r="J219" s="1099"/>
      <c r="K219" s="1099"/>
      <c r="L219" s="1099"/>
      <c r="M219" s="1099"/>
      <c r="N219" s="1099"/>
    </row>
    <row r="220" spans="1:14" ht="14.4">
      <c r="A220" s="1099"/>
      <c r="B220" s="1099"/>
      <c r="C220" s="1099"/>
      <c r="D220" s="1099"/>
      <c r="E220" s="1099"/>
      <c r="F220" s="1099"/>
      <c r="G220" s="1099"/>
      <c r="H220" s="1099"/>
      <c r="I220" s="1099"/>
      <c r="J220" s="1099"/>
      <c r="K220" s="1099"/>
      <c r="L220" s="1099"/>
      <c r="M220" s="1099"/>
      <c r="N220" s="1099"/>
    </row>
    <row r="221" spans="1:14" ht="14.4">
      <c r="A221" s="1099"/>
      <c r="B221" s="1099"/>
      <c r="C221" s="1099"/>
      <c r="D221" s="1099"/>
      <c r="E221" s="1099"/>
      <c r="F221" s="1099"/>
      <c r="G221" s="1099"/>
      <c r="H221" s="1099"/>
      <c r="I221" s="1099"/>
      <c r="J221" s="1099"/>
      <c r="K221" s="1099"/>
      <c r="L221" s="1099"/>
      <c r="M221" s="1099"/>
      <c r="N221" s="1099"/>
    </row>
    <row r="222" spans="1:14" ht="14.4">
      <c r="A222" s="1099"/>
      <c r="B222" s="1099"/>
      <c r="C222" s="1099"/>
      <c r="D222" s="1099"/>
      <c r="E222" s="1099"/>
      <c r="F222" s="1099"/>
      <c r="G222" s="1099"/>
      <c r="H222" s="1099"/>
      <c r="I222" s="1099"/>
      <c r="J222" s="1099"/>
      <c r="K222" s="1099"/>
      <c r="L222" s="1099"/>
      <c r="M222" s="1099"/>
      <c r="N222" s="1099"/>
    </row>
    <row r="223" spans="1:14" ht="14.4">
      <c r="A223" s="1099"/>
      <c r="B223" s="1099"/>
      <c r="C223" s="1099"/>
      <c r="D223" s="1099"/>
      <c r="E223" s="1099"/>
      <c r="F223" s="1099"/>
      <c r="G223" s="1099"/>
      <c r="H223" s="1099"/>
      <c r="I223" s="1099"/>
      <c r="J223" s="1099"/>
      <c r="K223" s="1099"/>
      <c r="L223" s="1099"/>
      <c r="M223" s="1099"/>
      <c r="N223" s="1099"/>
    </row>
    <row r="224" spans="1:14" ht="14.4">
      <c r="A224" s="1099"/>
      <c r="B224" s="1099"/>
      <c r="C224" s="1099"/>
      <c r="D224" s="1099"/>
      <c r="E224" s="1099"/>
      <c r="F224" s="1099"/>
      <c r="G224" s="1099"/>
      <c r="H224" s="1099"/>
      <c r="I224" s="1099"/>
      <c r="J224" s="1099"/>
      <c r="K224" s="1099"/>
      <c r="L224" s="1099"/>
      <c r="M224" s="1099"/>
      <c r="N224" s="1099"/>
    </row>
    <row r="225" spans="1:14" ht="14.4">
      <c r="A225" s="1099"/>
      <c r="B225" s="1099"/>
      <c r="C225" s="1099"/>
      <c r="D225" s="1099"/>
      <c r="E225" s="1099"/>
      <c r="F225" s="1099"/>
      <c r="G225" s="1099"/>
      <c r="H225" s="1099"/>
      <c r="I225" s="1099"/>
      <c r="J225" s="1099"/>
      <c r="K225" s="1099"/>
      <c r="L225" s="1099"/>
      <c r="M225" s="1099"/>
      <c r="N225" s="1099"/>
    </row>
    <row r="226" spans="1:14" ht="14.4">
      <c r="A226" s="1099"/>
      <c r="B226" s="1099"/>
      <c r="C226" s="1099"/>
      <c r="D226" s="1099"/>
      <c r="E226" s="1099"/>
      <c r="F226" s="1099"/>
      <c r="G226" s="1099"/>
      <c r="H226" s="1099"/>
      <c r="I226" s="1099"/>
      <c r="J226" s="1099"/>
      <c r="K226" s="1099"/>
      <c r="L226" s="1099"/>
      <c r="M226" s="1099"/>
      <c r="N226" s="1099"/>
    </row>
    <row r="227" spans="1:14" ht="14.4">
      <c r="A227" s="1099"/>
      <c r="B227" s="1099"/>
      <c r="C227" s="1099"/>
      <c r="D227" s="1099"/>
      <c r="E227" s="1099"/>
      <c r="F227" s="1099"/>
      <c r="G227" s="1099"/>
      <c r="H227" s="1099"/>
      <c r="I227" s="1099"/>
      <c r="J227" s="1099"/>
      <c r="K227" s="1099"/>
      <c r="L227" s="1099"/>
      <c r="M227" s="1099"/>
      <c r="N227" s="1099"/>
    </row>
    <row r="228" spans="1:14" ht="14.4">
      <c r="A228" s="1099"/>
      <c r="B228" s="1099"/>
      <c r="C228" s="1099"/>
      <c r="D228" s="1099"/>
      <c r="E228" s="1099"/>
      <c r="F228" s="1099"/>
      <c r="G228" s="1099"/>
      <c r="H228" s="1099"/>
      <c r="I228" s="1099"/>
      <c r="J228" s="1099"/>
      <c r="K228" s="1099"/>
      <c r="L228" s="1099"/>
      <c r="M228" s="1099"/>
      <c r="N228" s="1099"/>
    </row>
    <row r="229" spans="1:14" ht="14.4">
      <c r="A229" s="1099"/>
      <c r="B229" s="1099"/>
      <c r="C229" s="1099"/>
      <c r="D229" s="1099"/>
      <c r="E229" s="1099"/>
      <c r="F229" s="1099"/>
      <c r="G229" s="1099"/>
      <c r="H229" s="1099"/>
      <c r="I229" s="1099"/>
      <c r="J229" s="1099"/>
      <c r="K229" s="1099"/>
      <c r="L229" s="1099"/>
      <c r="M229" s="1099"/>
      <c r="N229" s="1099"/>
    </row>
    <row r="230" spans="1:14" ht="14.4">
      <c r="A230" s="1099"/>
      <c r="B230" s="1099"/>
      <c r="C230" s="1099"/>
      <c r="D230" s="1099"/>
      <c r="E230" s="1099"/>
      <c r="F230" s="1099"/>
      <c r="G230" s="1099"/>
      <c r="H230" s="1099"/>
      <c r="I230" s="1099"/>
      <c r="J230" s="1099"/>
      <c r="K230" s="1099"/>
      <c r="L230" s="1099"/>
      <c r="M230" s="1099"/>
      <c r="N230" s="1099"/>
    </row>
    <row r="231" spans="1:14" ht="14.4">
      <c r="A231" s="1099"/>
      <c r="B231" s="1099"/>
      <c r="C231" s="1099"/>
      <c r="D231" s="1099"/>
      <c r="E231" s="1099"/>
      <c r="F231" s="1099"/>
      <c r="G231" s="1099"/>
      <c r="H231" s="1099"/>
      <c r="I231" s="1099"/>
      <c r="J231" s="1099"/>
      <c r="K231" s="1099"/>
      <c r="L231" s="1099"/>
      <c r="M231" s="1099"/>
      <c r="N231" s="1099"/>
    </row>
    <row r="232" spans="1:14" ht="14.4">
      <c r="A232" s="1099"/>
      <c r="B232" s="1099"/>
      <c r="C232" s="1099"/>
      <c r="D232" s="1099"/>
      <c r="E232" s="1099"/>
      <c r="F232" s="1099"/>
      <c r="G232" s="1099"/>
      <c r="H232" s="1099"/>
      <c r="I232" s="1099"/>
      <c r="J232" s="1099"/>
      <c r="K232" s="1099"/>
      <c r="L232" s="1099"/>
      <c r="M232" s="1099"/>
      <c r="N232" s="1099"/>
    </row>
    <row r="233" spans="1:14" ht="14.4">
      <c r="A233" s="1099"/>
      <c r="B233" s="1099"/>
      <c r="C233" s="1099"/>
      <c r="D233" s="1099"/>
      <c r="E233" s="1099"/>
      <c r="F233" s="1099"/>
      <c r="G233" s="1099"/>
      <c r="H233" s="1099"/>
      <c r="I233" s="1099"/>
      <c r="J233" s="1099"/>
      <c r="K233" s="1099"/>
      <c r="L233" s="1099"/>
      <c r="M233" s="1099"/>
      <c r="N233" s="1099"/>
    </row>
    <row r="234" spans="1:14" ht="14.4">
      <c r="A234" s="1099"/>
      <c r="B234" s="1099"/>
      <c r="C234" s="1099"/>
      <c r="D234" s="1099"/>
      <c r="E234" s="1099"/>
      <c r="F234" s="1099"/>
      <c r="G234" s="1099"/>
      <c r="H234" s="1099"/>
      <c r="I234" s="1099"/>
      <c r="J234" s="1099"/>
      <c r="K234" s="1099"/>
      <c r="L234" s="1099"/>
      <c r="M234" s="1099"/>
      <c r="N234" s="1099"/>
    </row>
    <row r="235" spans="1:14" ht="14.4">
      <c r="A235" s="1099"/>
      <c r="B235" s="1099"/>
      <c r="C235" s="1099"/>
      <c r="D235" s="1099"/>
      <c r="E235" s="1099"/>
      <c r="F235" s="1099"/>
      <c r="G235" s="1099"/>
      <c r="H235" s="1099"/>
      <c r="I235" s="1099"/>
      <c r="J235" s="1099"/>
      <c r="K235" s="1099"/>
      <c r="L235" s="1099"/>
      <c r="M235" s="1099"/>
      <c r="N235" s="1099"/>
    </row>
    <row r="236" spans="1:14" ht="14.4">
      <c r="A236" s="1099"/>
      <c r="B236" s="1099"/>
      <c r="C236" s="1099"/>
      <c r="D236" s="1099"/>
      <c r="E236" s="1099"/>
      <c r="F236" s="1099"/>
      <c r="G236" s="1099"/>
      <c r="H236" s="1099"/>
      <c r="I236" s="1099"/>
      <c r="J236" s="1099"/>
      <c r="K236" s="1099"/>
      <c r="L236" s="1099"/>
      <c r="M236" s="1099"/>
      <c r="N236" s="1099"/>
    </row>
    <row r="237" spans="1:14" ht="14.4">
      <c r="A237" s="1099"/>
      <c r="B237" s="1099"/>
      <c r="C237" s="1099"/>
      <c r="D237" s="1099"/>
      <c r="E237" s="1099"/>
      <c r="F237" s="1099"/>
      <c r="G237" s="1099"/>
      <c r="H237" s="1099"/>
      <c r="I237" s="1099"/>
      <c r="J237" s="1099"/>
      <c r="K237" s="1099"/>
      <c r="L237" s="1099"/>
      <c r="M237" s="1099"/>
      <c r="N237" s="1099"/>
    </row>
    <row r="238" spans="1:14" ht="14.4">
      <c r="A238" s="1099"/>
      <c r="B238" s="1099"/>
      <c r="C238" s="1099"/>
      <c r="D238" s="1099"/>
      <c r="E238" s="1099"/>
      <c r="F238" s="1099"/>
      <c r="G238" s="1099"/>
      <c r="H238" s="1099"/>
      <c r="I238" s="1099"/>
      <c r="J238" s="1099"/>
      <c r="K238" s="1099"/>
      <c r="L238" s="1099"/>
      <c r="M238" s="1099"/>
      <c r="N238" s="1099"/>
    </row>
    <row r="239" spans="1:14" ht="14.4">
      <c r="A239" s="1099"/>
      <c r="B239" s="1099"/>
      <c r="C239" s="1099"/>
      <c r="D239" s="1099"/>
      <c r="E239" s="1099"/>
      <c r="F239" s="1099"/>
      <c r="G239" s="1099"/>
      <c r="H239" s="1099"/>
      <c r="I239" s="1099"/>
      <c r="J239" s="1099"/>
      <c r="K239" s="1099"/>
      <c r="L239" s="1099"/>
      <c r="M239" s="1099"/>
      <c r="N239" s="1099"/>
    </row>
    <row r="240" spans="1:14" ht="14.4">
      <c r="A240" s="1099"/>
      <c r="B240" s="1099"/>
      <c r="C240" s="1099"/>
      <c r="D240" s="1099"/>
      <c r="E240" s="1099"/>
      <c r="F240" s="1099"/>
      <c r="G240" s="1099"/>
      <c r="H240" s="1099"/>
      <c r="I240" s="1099"/>
      <c r="J240" s="1099"/>
      <c r="K240" s="1099"/>
      <c r="L240" s="1099"/>
      <c r="M240" s="1099"/>
      <c r="N240" s="1099"/>
    </row>
    <row r="241" spans="1:14" ht="14.4">
      <c r="A241" s="1099"/>
      <c r="B241" s="1099"/>
      <c r="C241" s="1099"/>
      <c r="D241" s="1099"/>
      <c r="E241" s="1099"/>
      <c r="F241" s="1099"/>
      <c r="G241" s="1099"/>
      <c r="H241" s="1099"/>
      <c r="I241" s="1099"/>
      <c r="J241" s="1099"/>
      <c r="K241" s="1099"/>
      <c r="L241" s="1099"/>
      <c r="M241" s="1099"/>
      <c r="N241" s="1099"/>
    </row>
    <row r="242" spans="1:14" ht="14.4">
      <c r="A242" s="1099"/>
      <c r="B242" s="1099"/>
      <c r="C242" s="1099"/>
      <c r="D242" s="1099"/>
      <c r="E242" s="1099"/>
      <c r="F242" s="1099"/>
      <c r="G242" s="1099"/>
      <c r="H242" s="1099"/>
      <c r="I242" s="1099"/>
      <c r="J242" s="1099"/>
      <c r="K242" s="1099"/>
      <c r="L242" s="1099"/>
      <c r="M242" s="1099"/>
      <c r="N242" s="1099"/>
    </row>
    <row r="243" spans="1:14" ht="14.4">
      <c r="A243" s="1099"/>
      <c r="B243" s="1099"/>
      <c r="C243" s="1099"/>
      <c r="D243" s="1099"/>
      <c r="E243" s="1099"/>
      <c r="F243" s="1099"/>
      <c r="G243" s="1099"/>
      <c r="H243" s="1099"/>
      <c r="I243" s="1099"/>
      <c r="J243" s="1099"/>
      <c r="K243" s="1099"/>
      <c r="L243" s="1099"/>
      <c r="M243" s="1099"/>
      <c r="N243" s="1099"/>
    </row>
    <row r="244" spans="1:14" ht="14.4">
      <c r="A244" s="1099"/>
      <c r="B244" s="1099"/>
      <c r="C244" s="1099"/>
      <c r="D244" s="1099"/>
      <c r="E244" s="1099"/>
      <c r="F244" s="1099"/>
      <c r="G244" s="1099"/>
      <c r="H244" s="1099"/>
      <c r="I244" s="1099"/>
      <c r="J244" s="1099"/>
      <c r="K244" s="1099"/>
      <c r="L244" s="1099"/>
      <c r="M244" s="1099"/>
      <c r="N244" s="1099"/>
    </row>
    <row r="245" spans="1:14" ht="14.4">
      <c r="A245" s="1099"/>
      <c r="B245" s="1099"/>
      <c r="C245" s="1099"/>
      <c r="D245" s="1099"/>
      <c r="E245" s="1099"/>
      <c r="F245" s="1099"/>
      <c r="G245" s="1099"/>
      <c r="H245" s="1099"/>
      <c r="I245" s="1099"/>
      <c r="J245" s="1099"/>
      <c r="K245" s="1099"/>
      <c r="L245" s="1099"/>
      <c r="M245" s="1099"/>
      <c r="N245" s="1099"/>
    </row>
    <row r="246" spans="1:14" ht="14.4">
      <c r="A246" s="1099"/>
      <c r="B246" s="1099"/>
      <c r="C246" s="1099"/>
      <c r="D246" s="1099"/>
      <c r="E246" s="1099"/>
      <c r="F246" s="1099"/>
      <c r="G246" s="1099"/>
      <c r="H246" s="1099"/>
      <c r="I246" s="1099"/>
      <c r="J246" s="1099"/>
      <c r="K246" s="1099"/>
      <c r="L246" s="1099"/>
      <c r="M246" s="1099"/>
      <c r="N246" s="1099"/>
    </row>
    <row r="247" spans="1:14" ht="14.4">
      <c r="A247" s="1099"/>
      <c r="B247" s="1099"/>
      <c r="C247" s="1099"/>
      <c r="D247" s="1099"/>
      <c r="E247" s="1099"/>
      <c r="F247" s="1099"/>
      <c r="G247" s="1099"/>
      <c r="H247" s="1099"/>
      <c r="I247" s="1099"/>
      <c r="J247" s="1099"/>
      <c r="K247" s="1099"/>
      <c r="L247" s="1099"/>
      <c r="M247" s="1099"/>
      <c r="N247" s="1099"/>
    </row>
    <row r="248" spans="1:14" ht="14.4">
      <c r="A248" s="1099"/>
      <c r="B248" s="1099"/>
      <c r="C248" s="1099"/>
      <c r="D248" s="1099"/>
      <c r="E248" s="1099"/>
      <c r="F248" s="1099"/>
      <c r="G248" s="1099"/>
      <c r="H248" s="1099"/>
      <c r="I248" s="1099"/>
      <c r="J248" s="1099"/>
      <c r="K248" s="1099"/>
      <c r="L248" s="1099"/>
      <c r="M248" s="1099"/>
      <c r="N248" s="1099"/>
    </row>
    <row r="249" spans="1:14" ht="14.4">
      <c r="A249" s="1099"/>
      <c r="B249" s="1099"/>
      <c r="C249" s="1099"/>
      <c r="D249" s="1099"/>
      <c r="E249" s="1099"/>
      <c r="F249" s="1099"/>
      <c r="G249" s="1099"/>
      <c r="H249" s="1099"/>
      <c r="I249" s="1099"/>
      <c r="J249" s="1099"/>
      <c r="K249" s="1099"/>
      <c r="L249" s="1099"/>
      <c r="M249" s="1099"/>
      <c r="N249" s="1099"/>
    </row>
    <row r="250" spans="1:14" ht="14.4">
      <c r="A250" s="1099"/>
      <c r="B250" s="1099"/>
      <c r="C250" s="1099"/>
      <c r="D250" s="1099"/>
      <c r="E250" s="1099"/>
      <c r="F250" s="1099"/>
      <c r="G250" s="1099"/>
      <c r="H250" s="1099"/>
      <c r="I250" s="1099"/>
      <c r="J250" s="1099"/>
      <c r="K250" s="1099"/>
      <c r="L250" s="1099"/>
      <c r="M250" s="1099"/>
      <c r="N250" s="1099"/>
    </row>
    <row r="251" spans="1:14" ht="14.4">
      <c r="A251" s="1099"/>
      <c r="B251" s="1099"/>
      <c r="C251" s="1099"/>
      <c r="D251" s="1099"/>
      <c r="E251" s="1099"/>
      <c r="F251" s="1099"/>
      <c r="G251" s="1099"/>
      <c r="H251" s="1099"/>
      <c r="I251" s="1099"/>
      <c r="J251" s="1099"/>
      <c r="K251" s="1099"/>
      <c r="L251" s="1099"/>
      <c r="M251" s="1099"/>
      <c r="N251" s="1099"/>
    </row>
    <row r="252" spans="1:14" ht="14.4">
      <c r="A252" s="1099"/>
      <c r="B252" s="1099"/>
      <c r="C252" s="1099"/>
      <c r="D252" s="1099"/>
      <c r="E252" s="1099"/>
      <c r="F252" s="1099"/>
      <c r="G252" s="1099"/>
      <c r="H252" s="1099"/>
      <c r="I252" s="1099"/>
      <c r="J252" s="1099"/>
      <c r="K252" s="1099"/>
      <c r="L252" s="1099"/>
      <c r="M252" s="1099"/>
      <c r="N252" s="1099"/>
    </row>
    <row r="253" spans="1:14" ht="14.4">
      <c r="A253" s="1099"/>
      <c r="B253" s="1099"/>
      <c r="C253" s="1099"/>
      <c r="D253" s="1099"/>
      <c r="E253" s="1099"/>
      <c r="F253" s="1099"/>
      <c r="G253" s="1099"/>
      <c r="H253" s="1099"/>
      <c r="I253" s="1099"/>
      <c r="J253" s="1099"/>
      <c r="K253" s="1099"/>
      <c r="L253" s="1099"/>
      <c r="M253" s="1099"/>
      <c r="N253" s="1099"/>
    </row>
    <row r="254" spans="1:14" ht="14.4">
      <c r="A254" s="1099"/>
      <c r="B254" s="1099"/>
      <c r="C254" s="1099"/>
      <c r="D254" s="1099"/>
      <c r="E254" s="1099"/>
      <c r="F254" s="1099"/>
      <c r="G254" s="1099"/>
      <c r="H254" s="1099"/>
      <c r="I254" s="1099"/>
      <c r="J254" s="1099"/>
      <c r="K254" s="1099"/>
      <c r="L254" s="1099"/>
      <c r="M254" s="1099"/>
      <c r="N254" s="1099"/>
    </row>
    <row r="255" spans="1:14" ht="14.4">
      <c r="A255" s="1099"/>
      <c r="B255" s="1099"/>
      <c r="C255" s="1099"/>
      <c r="D255" s="1099"/>
      <c r="E255" s="1099"/>
      <c r="F255" s="1099"/>
      <c r="G255" s="1099"/>
      <c r="H255" s="1099"/>
      <c r="I255" s="1099"/>
      <c r="J255" s="1099"/>
      <c r="K255" s="1099"/>
      <c r="L255" s="1099"/>
      <c r="M255" s="1099"/>
      <c r="N255" s="1099"/>
    </row>
    <row r="256" spans="1:14" ht="14.4">
      <c r="A256" s="1099"/>
      <c r="B256" s="1099"/>
      <c r="C256" s="1099"/>
      <c r="D256" s="1099"/>
      <c r="E256" s="1099"/>
      <c r="F256" s="1099"/>
      <c r="G256" s="1099"/>
      <c r="H256" s="1099"/>
      <c r="I256" s="1099"/>
      <c r="J256" s="1099"/>
      <c r="K256" s="1099"/>
      <c r="L256" s="1099"/>
      <c r="M256" s="1099"/>
      <c r="N256" s="1099"/>
    </row>
    <row r="257" spans="1:14" ht="14.4">
      <c r="A257" s="1099"/>
      <c r="B257" s="1099"/>
      <c r="C257" s="1099"/>
      <c r="D257" s="1099"/>
      <c r="E257" s="1099"/>
      <c r="F257" s="1099"/>
      <c r="G257" s="1099"/>
      <c r="H257" s="1099"/>
      <c r="I257" s="1099"/>
      <c r="J257" s="1099"/>
      <c r="K257" s="1099"/>
      <c r="L257" s="1099"/>
      <c r="M257" s="1099"/>
      <c r="N257" s="1099"/>
    </row>
    <row r="258" spans="1:14" ht="14.4">
      <c r="A258" s="1099"/>
      <c r="B258" s="1099"/>
      <c r="C258" s="1099"/>
      <c r="D258" s="1099"/>
      <c r="E258" s="1099"/>
      <c r="F258" s="1099"/>
      <c r="G258" s="1099"/>
      <c r="H258" s="1099"/>
      <c r="I258" s="1099"/>
      <c r="J258" s="1099"/>
      <c r="K258" s="1099"/>
      <c r="L258" s="1099"/>
      <c r="M258" s="1099"/>
      <c r="N258" s="1099"/>
    </row>
    <row r="259" spans="1:14" ht="14.4">
      <c r="A259" s="1099"/>
      <c r="B259" s="1099"/>
      <c r="C259" s="1099"/>
      <c r="D259" s="1099"/>
      <c r="E259" s="1099"/>
      <c r="F259" s="1099"/>
      <c r="G259" s="1099"/>
      <c r="H259" s="1099"/>
      <c r="I259" s="1099"/>
      <c r="J259" s="1099"/>
      <c r="K259" s="1099"/>
      <c r="L259" s="1099"/>
      <c r="M259" s="1099"/>
      <c r="N259" s="1099"/>
    </row>
    <row r="260" spans="1:14" ht="14.4">
      <c r="A260" s="1099"/>
      <c r="B260" s="1099"/>
      <c r="C260" s="1099"/>
      <c r="D260" s="1099"/>
      <c r="E260" s="1099"/>
      <c r="F260" s="1099"/>
      <c r="G260" s="1099"/>
      <c r="H260" s="1099"/>
      <c r="I260" s="1099"/>
      <c r="J260" s="1099"/>
      <c r="K260" s="1099"/>
      <c r="L260" s="1099"/>
      <c r="M260" s="1099"/>
      <c r="N260" s="1099"/>
    </row>
    <row r="261" spans="1:14" ht="14.4">
      <c r="A261" s="1099"/>
      <c r="B261" s="1099"/>
      <c r="C261" s="1099"/>
      <c r="D261" s="1099"/>
      <c r="E261" s="1099"/>
      <c r="F261" s="1099"/>
      <c r="G261" s="1099"/>
      <c r="H261" s="1099"/>
      <c r="I261" s="1099"/>
      <c r="J261" s="1099"/>
      <c r="K261" s="1099"/>
      <c r="L261" s="1099"/>
      <c r="M261" s="1099"/>
      <c r="N261" s="1099"/>
    </row>
    <row r="262" spans="1:14" ht="14.4">
      <c r="A262" s="1099"/>
      <c r="B262" s="1099"/>
      <c r="C262" s="1099"/>
      <c r="D262" s="1099"/>
      <c r="E262" s="1099"/>
      <c r="F262" s="1099"/>
      <c r="G262" s="1099"/>
      <c r="H262" s="1099"/>
      <c r="I262" s="1099"/>
      <c r="J262" s="1099"/>
      <c r="K262" s="1099"/>
      <c r="L262" s="1099"/>
      <c r="M262" s="1099"/>
      <c r="N262" s="1099"/>
    </row>
    <row r="263" spans="1:14" ht="14.4">
      <c r="A263" s="1099"/>
      <c r="B263" s="1099"/>
      <c r="C263" s="1099"/>
      <c r="D263" s="1099"/>
      <c r="E263" s="1099"/>
      <c r="F263" s="1099"/>
      <c r="G263" s="1099"/>
      <c r="H263" s="1099"/>
      <c r="I263" s="1099"/>
      <c r="J263" s="1099"/>
      <c r="K263" s="1099"/>
      <c r="L263" s="1099"/>
      <c r="M263" s="1099"/>
      <c r="N263" s="1099"/>
    </row>
    <row r="264" spans="1:14" ht="14.4">
      <c r="A264" s="1099"/>
      <c r="B264" s="1099"/>
      <c r="C264" s="1099"/>
      <c r="D264" s="1099"/>
      <c r="E264" s="1099"/>
      <c r="F264" s="1099"/>
      <c r="G264" s="1099"/>
      <c r="H264" s="1099"/>
      <c r="I264" s="1099"/>
      <c r="J264" s="1099"/>
      <c r="K264" s="1099"/>
      <c r="L264" s="1099"/>
      <c r="M264" s="1099"/>
      <c r="N264" s="1099"/>
    </row>
    <row r="265" spans="1:14" ht="14.4">
      <c r="A265" s="1099"/>
      <c r="B265" s="1099"/>
      <c r="C265" s="1099"/>
      <c r="D265" s="1099"/>
      <c r="E265" s="1099"/>
      <c r="F265" s="1099"/>
      <c r="G265" s="1099"/>
      <c r="H265" s="1099"/>
      <c r="I265" s="1099"/>
      <c r="J265" s="1099"/>
      <c r="K265" s="1099"/>
      <c r="L265" s="1099"/>
      <c r="M265" s="1099"/>
      <c r="N265" s="1099"/>
    </row>
    <row r="266" spans="1:14" ht="14.4">
      <c r="A266" s="1099"/>
      <c r="B266" s="1099"/>
      <c r="C266" s="1099"/>
      <c r="D266" s="1099"/>
      <c r="E266" s="1099"/>
      <c r="F266" s="1099"/>
      <c r="G266" s="1099"/>
      <c r="H266" s="1099"/>
      <c r="I266" s="1099"/>
      <c r="J266" s="1099"/>
      <c r="K266" s="1099"/>
      <c r="L266" s="1099"/>
      <c r="M266" s="1099"/>
      <c r="N266" s="1099"/>
    </row>
    <row r="267" spans="1:14" ht="14.4">
      <c r="A267" s="1099"/>
      <c r="B267" s="1099"/>
      <c r="C267" s="1099"/>
      <c r="D267" s="1099"/>
      <c r="E267" s="1099"/>
      <c r="F267" s="1099"/>
      <c r="G267" s="1099"/>
      <c r="H267" s="1099"/>
      <c r="I267" s="1099"/>
      <c r="J267" s="1099"/>
      <c r="K267" s="1099"/>
      <c r="L267" s="1099"/>
      <c r="M267" s="1099"/>
      <c r="N267" s="1099"/>
    </row>
    <row r="268" spans="1:14" ht="14.4">
      <c r="A268" s="1099"/>
      <c r="B268" s="1099"/>
      <c r="C268" s="1099"/>
      <c r="D268" s="1099"/>
      <c r="E268" s="1099"/>
      <c r="F268" s="1099"/>
      <c r="G268" s="1099"/>
      <c r="H268" s="1099"/>
      <c r="I268" s="1099"/>
      <c r="J268" s="1099"/>
      <c r="K268" s="1099"/>
      <c r="L268" s="1099"/>
      <c r="M268" s="1099"/>
      <c r="N268" s="1099"/>
    </row>
    <row r="269" spans="1:14" ht="14.4">
      <c r="A269" s="1099"/>
      <c r="B269" s="1099"/>
      <c r="C269" s="1099"/>
      <c r="D269" s="1099"/>
      <c r="E269" s="1099"/>
      <c r="F269" s="1099"/>
      <c r="G269" s="1099"/>
      <c r="H269" s="1099"/>
      <c r="I269" s="1099"/>
      <c r="J269" s="1099"/>
      <c r="K269" s="1099"/>
      <c r="L269" s="1099"/>
      <c r="M269" s="1099"/>
      <c r="N269" s="1099"/>
    </row>
    <row r="270" spans="1:14" ht="14.4">
      <c r="A270" s="1099"/>
      <c r="B270" s="1099"/>
      <c r="C270" s="1099"/>
      <c r="D270" s="1099"/>
      <c r="E270" s="1099"/>
      <c r="F270" s="1099"/>
      <c r="G270" s="1099"/>
      <c r="H270" s="1099"/>
      <c r="I270" s="1099"/>
      <c r="J270" s="1099"/>
      <c r="K270" s="1099"/>
      <c r="L270" s="1099"/>
      <c r="M270" s="1099"/>
      <c r="N270" s="1099"/>
    </row>
    <row r="271" spans="1:14" ht="14.4">
      <c r="A271" s="1099"/>
      <c r="B271" s="1099"/>
      <c r="C271" s="1099"/>
      <c r="D271" s="1099"/>
      <c r="E271" s="1099"/>
      <c r="F271" s="1099"/>
      <c r="G271" s="1099"/>
      <c r="H271" s="1099"/>
      <c r="I271" s="1099"/>
      <c r="J271" s="1099"/>
      <c r="K271" s="1099"/>
      <c r="L271" s="1099"/>
      <c r="M271" s="1099"/>
      <c r="N271" s="1099"/>
    </row>
    <row r="272" spans="1:14" ht="14.4">
      <c r="A272" s="1099"/>
      <c r="B272" s="1099"/>
      <c r="C272" s="1099"/>
      <c r="D272" s="1099"/>
      <c r="E272" s="1099"/>
      <c r="F272" s="1099"/>
      <c r="G272" s="1099"/>
      <c r="H272" s="1099"/>
      <c r="I272" s="1099"/>
      <c r="J272" s="1099"/>
      <c r="K272" s="1099"/>
      <c r="L272" s="1099"/>
      <c r="M272" s="1099"/>
      <c r="N272" s="1099"/>
    </row>
    <row r="273" spans="1:14" ht="14.4">
      <c r="A273" s="1099"/>
      <c r="B273" s="1099"/>
      <c r="C273" s="1099"/>
      <c r="D273" s="1099"/>
      <c r="E273" s="1099"/>
      <c r="F273" s="1099"/>
      <c r="G273" s="1099"/>
      <c r="H273" s="1099"/>
      <c r="I273" s="1099"/>
      <c r="J273" s="1099"/>
      <c r="K273" s="1099"/>
      <c r="L273" s="1099"/>
      <c r="M273" s="1099"/>
      <c r="N273" s="1099"/>
    </row>
    <row r="274" spans="1:14" ht="14.4">
      <c r="A274" s="1099"/>
      <c r="B274" s="1099"/>
      <c r="C274" s="1099"/>
      <c r="D274" s="1099"/>
      <c r="E274" s="1099"/>
      <c r="F274" s="1099"/>
      <c r="G274" s="1099"/>
      <c r="H274" s="1099"/>
      <c r="I274" s="1099"/>
      <c r="J274" s="1099"/>
      <c r="K274" s="1099"/>
      <c r="L274" s="1099"/>
      <c r="M274" s="1099"/>
      <c r="N274" s="1099"/>
    </row>
    <row r="275" spans="1:14" ht="14.4">
      <c r="A275" s="1099"/>
      <c r="B275" s="1099"/>
      <c r="C275" s="1099"/>
      <c r="D275" s="1099"/>
      <c r="E275" s="1099"/>
      <c r="F275" s="1099"/>
      <c r="G275" s="1099"/>
      <c r="H275" s="1099"/>
      <c r="I275" s="1099"/>
      <c r="J275" s="1099"/>
      <c r="K275" s="1099"/>
      <c r="L275" s="1099"/>
      <c r="M275" s="1099"/>
      <c r="N275" s="1099"/>
    </row>
    <row r="276" spans="1:14" ht="14.4">
      <c r="A276" s="1099"/>
      <c r="B276" s="1099"/>
      <c r="C276" s="1099"/>
      <c r="D276" s="1099"/>
      <c r="E276" s="1099"/>
      <c r="F276" s="1099"/>
      <c r="G276" s="1099"/>
      <c r="H276" s="1099"/>
      <c r="I276" s="1099"/>
      <c r="J276" s="1099"/>
      <c r="K276" s="1099"/>
      <c r="L276" s="1099"/>
      <c r="M276" s="1099"/>
      <c r="N276" s="1099"/>
    </row>
    <row r="277" spans="1:14" ht="14.4">
      <c r="A277" s="1099"/>
      <c r="B277" s="1099"/>
      <c r="C277" s="1099"/>
      <c r="D277" s="1099"/>
      <c r="E277" s="1099"/>
      <c r="F277" s="1099"/>
      <c r="G277" s="1099"/>
      <c r="H277" s="1099"/>
      <c r="I277" s="1099"/>
      <c r="J277" s="1099"/>
      <c r="K277" s="1099"/>
      <c r="L277" s="1099"/>
      <c r="M277" s="1099"/>
      <c r="N277" s="1099"/>
    </row>
    <row r="278" spans="1:14" ht="14.4">
      <c r="A278" s="1099"/>
      <c r="B278" s="1099"/>
      <c r="C278" s="1099"/>
      <c r="D278" s="1099"/>
      <c r="E278" s="1099"/>
      <c r="F278" s="1099"/>
      <c r="G278" s="1099"/>
      <c r="H278" s="1099"/>
      <c r="I278" s="1099"/>
      <c r="J278" s="1099"/>
      <c r="K278" s="1099"/>
      <c r="L278" s="1099"/>
      <c r="M278" s="1099"/>
      <c r="N278" s="1099"/>
    </row>
    <row r="279" spans="1:14" ht="14.4">
      <c r="A279" s="1099"/>
      <c r="B279" s="1099"/>
      <c r="C279" s="1099"/>
      <c r="D279" s="1099"/>
      <c r="E279" s="1099"/>
      <c r="F279" s="1099"/>
      <c r="G279" s="1099"/>
      <c r="H279" s="1099"/>
      <c r="I279" s="1099"/>
      <c r="J279" s="1099"/>
      <c r="K279" s="1099"/>
      <c r="L279" s="1099"/>
      <c r="M279" s="1099"/>
      <c r="N279" s="1099"/>
    </row>
    <row r="280" spans="1:14" ht="14.4">
      <c r="A280" s="1099"/>
      <c r="B280" s="1099"/>
      <c r="C280" s="1099"/>
      <c r="D280" s="1099"/>
      <c r="E280" s="1099"/>
      <c r="F280" s="1099"/>
      <c r="G280" s="1099"/>
      <c r="H280" s="1099"/>
      <c r="I280" s="1099"/>
      <c r="J280" s="1099"/>
      <c r="K280" s="1099"/>
      <c r="L280" s="1099"/>
      <c r="M280" s="1099"/>
      <c r="N280" s="1099"/>
    </row>
    <row r="281" spans="1:14" ht="14.4">
      <c r="A281" s="1099"/>
      <c r="B281" s="1099"/>
      <c r="C281" s="1099"/>
      <c r="D281" s="1099"/>
      <c r="E281" s="1099"/>
      <c r="F281" s="1099"/>
      <c r="G281" s="1099"/>
      <c r="H281" s="1099"/>
      <c r="I281" s="1099"/>
      <c r="J281" s="1099"/>
      <c r="K281" s="1099"/>
      <c r="L281" s="1099"/>
      <c r="M281" s="1099"/>
      <c r="N281" s="1099"/>
    </row>
    <row r="282" spans="1:14" ht="14.4">
      <c r="A282" s="1099"/>
      <c r="B282" s="1099"/>
      <c r="C282" s="1099"/>
      <c r="D282" s="1099"/>
      <c r="E282" s="1099"/>
      <c r="F282" s="1099"/>
      <c r="G282" s="1099"/>
      <c r="H282" s="1099"/>
      <c r="I282" s="1099"/>
      <c r="J282" s="1099"/>
      <c r="K282" s="1099"/>
      <c r="L282" s="1099"/>
      <c r="M282" s="1099"/>
      <c r="N282" s="1099"/>
    </row>
    <row r="283" spans="1:14" ht="14.4">
      <c r="A283" s="1099"/>
      <c r="B283" s="1099"/>
      <c r="C283" s="1099"/>
      <c r="D283" s="1099"/>
      <c r="E283" s="1099"/>
      <c r="F283" s="1099"/>
      <c r="G283" s="1099"/>
      <c r="H283" s="1099"/>
      <c r="I283" s="1099"/>
      <c r="J283" s="1099"/>
      <c r="K283" s="1099"/>
      <c r="L283" s="1099"/>
      <c r="M283" s="1099"/>
      <c r="N283" s="1099"/>
    </row>
    <row r="284" spans="1:14" ht="14.4">
      <c r="A284" s="1099"/>
      <c r="B284" s="1099"/>
      <c r="C284" s="1099"/>
      <c r="D284" s="1099"/>
      <c r="E284" s="1099"/>
      <c r="F284" s="1099"/>
      <c r="G284" s="1099"/>
      <c r="H284" s="1099"/>
      <c r="I284" s="1099"/>
      <c r="J284" s="1099"/>
      <c r="K284" s="1099"/>
      <c r="L284" s="1099"/>
      <c r="M284" s="1099"/>
      <c r="N284" s="1099"/>
    </row>
    <row r="285" spans="1:14" ht="14.4">
      <c r="A285" s="1099"/>
      <c r="B285" s="1099"/>
      <c r="C285" s="1099"/>
      <c r="D285" s="1099"/>
      <c r="E285" s="1099"/>
      <c r="F285" s="1099"/>
      <c r="G285" s="1099"/>
      <c r="H285" s="1099"/>
      <c r="I285" s="1099"/>
      <c r="J285" s="1099"/>
      <c r="K285" s="1099"/>
      <c r="L285" s="1099"/>
      <c r="M285" s="1099"/>
      <c r="N285" s="1099"/>
    </row>
    <row r="286" spans="1:14" ht="14.4">
      <c r="A286" s="1099"/>
      <c r="B286" s="1099"/>
      <c r="C286" s="1099"/>
      <c r="D286" s="1099"/>
      <c r="E286" s="1099"/>
      <c r="F286" s="1099"/>
      <c r="G286" s="1099"/>
      <c r="H286" s="1099"/>
      <c r="I286" s="1099"/>
      <c r="J286" s="1099"/>
      <c r="K286" s="1099"/>
      <c r="L286" s="1099"/>
      <c r="M286" s="1099"/>
      <c r="N286" s="1099"/>
    </row>
    <row r="287" spans="1:14" ht="14.4">
      <c r="A287" s="1099"/>
      <c r="B287" s="1099"/>
      <c r="C287" s="1099"/>
      <c r="D287" s="1099"/>
      <c r="E287" s="1099"/>
      <c r="F287" s="1099"/>
      <c r="G287" s="1099"/>
      <c r="H287" s="1099"/>
      <c r="I287" s="1099"/>
      <c r="J287" s="1099"/>
      <c r="K287" s="1099"/>
      <c r="L287" s="1099"/>
      <c r="M287" s="1099"/>
      <c r="N287" s="1099"/>
    </row>
    <row r="288" spans="1:14" ht="14.4">
      <c r="A288" s="1099"/>
      <c r="B288" s="1099"/>
      <c r="C288" s="1099"/>
      <c r="D288" s="1099"/>
      <c r="E288" s="1099"/>
      <c r="F288" s="1099"/>
      <c r="G288" s="1099"/>
      <c r="H288" s="1099"/>
      <c r="I288" s="1099"/>
      <c r="J288" s="1099"/>
      <c r="K288" s="1099"/>
      <c r="L288" s="1099"/>
      <c r="M288" s="1099"/>
      <c r="N288" s="1099"/>
    </row>
    <row r="289" spans="1:14" ht="14.4">
      <c r="A289" s="1099"/>
      <c r="B289" s="1099"/>
      <c r="C289" s="1099"/>
      <c r="D289" s="1099"/>
      <c r="E289" s="1099"/>
      <c r="F289" s="1099"/>
      <c r="G289" s="1099"/>
      <c r="H289" s="1099"/>
      <c r="I289" s="1099"/>
      <c r="J289" s="1099"/>
      <c r="K289" s="1099"/>
      <c r="L289" s="1099"/>
      <c r="M289" s="1099"/>
      <c r="N289" s="1099"/>
    </row>
    <row r="290" spans="1:14" ht="14.4">
      <c r="A290" s="1099"/>
      <c r="B290" s="1099"/>
      <c r="C290" s="1099"/>
      <c r="D290" s="1099"/>
      <c r="E290" s="1099"/>
      <c r="F290" s="1099"/>
      <c r="G290" s="1099"/>
      <c r="H290" s="1099"/>
      <c r="I290" s="1099"/>
      <c r="J290" s="1099"/>
      <c r="K290" s="1099"/>
      <c r="L290" s="1099"/>
      <c r="M290" s="1099"/>
      <c r="N290" s="1099"/>
    </row>
    <row r="291" spans="1:14" ht="14.4">
      <c r="A291" s="1099"/>
      <c r="B291" s="1099"/>
      <c r="C291" s="1099"/>
      <c r="D291" s="1099"/>
      <c r="E291" s="1099"/>
      <c r="F291" s="1099"/>
      <c r="G291" s="1099"/>
      <c r="H291" s="1099"/>
      <c r="I291" s="1099"/>
      <c r="J291" s="1099"/>
      <c r="K291" s="1099"/>
      <c r="L291" s="1099"/>
      <c r="M291" s="1099"/>
      <c r="N291" s="1099"/>
    </row>
    <row r="292" spans="1:14" ht="14.4">
      <c r="A292" s="1099"/>
      <c r="B292" s="1099"/>
      <c r="C292" s="1099"/>
      <c r="D292" s="1099"/>
      <c r="E292" s="1099"/>
      <c r="F292" s="1099"/>
      <c r="G292" s="1099"/>
      <c r="H292" s="1099"/>
      <c r="I292" s="1099"/>
      <c r="J292" s="1099"/>
      <c r="K292" s="1099"/>
      <c r="L292" s="1099"/>
      <c r="M292" s="1099"/>
      <c r="N292" s="1099"/>
    </row>
    <row r="293" spans="1:14" ht="14.4">
      <c r="A293" s="1099"/>
      <c r="B293" s="1099"/>
      <c r="C293" s="1099"/>
      <c r="D293" s="1099"/>
      <c r="E293" s="1099"/>
      <c r="F293" s="1099"/>
      <c r="G293" s="1099"/>
      <c r="H293" s="1099"/>
      <c r="I293" s="1099"/>
      <c r="J293" s="1099"/>
      <c r="K293" s="1099"/>
      <c r="L293" s="1099"/>
      <c r="M293" s="1099"/>
      <c r="N293" s="1099"/>
    </row>
    <row r="294" spans="1:14" ht="14.4">
      <c r="A294" s="1099"/>
      <c r="B294" s="1099"/>
      <c r="C294" s="1099"/>
      <c r="D294" s="1099"/>
      <c r="E294" s="1099"/>
      <c r="F294" s="1099"/>
      <c r="G294" s="1099"/>
      <c r="H294" s="1099"/>
      <c r="I294" s="1099"/>
      <c r="J294" s="1099"/>
      <c r="K294" s="1099"/>
      <c r="L294" s="1099"/>
      <c r="M294" s="1099"/>
      <c r="N294" s="1099"/>
    </row>
    <row r="295" spans="1:14" ht="14.4">
      <c r="A295" s="1099"/>
      <c r="B295" s="1099"/>
      <c r="C295" s="1099"/>
      <c r="D295" s="1099"/>
      <c r="E295" s="1099"/>
      <c r="F295" s="1099"/>
      <c r="G295" s="1099"/>
      <c r="H295" s="1099"/>
      <c r="I295" s="1099"/>
      <c r="J295" s="1099"/>
      <c r="K295" s="1099"/>
      <c r="L295" s="1099"/>
      <c r="M295" s="1099"/>
      <c r="N295" s="1099"/>
    </row>
    <row r="296" spans="1:14" ht="14.4">
      <c r="A296" s="1099"/>
      <c r="B296" s="1099"/>
      <c r="C296" s="1099"/>
      <c r="D296" s="1099"/>
      <c r="E296" s="1099"/>
      <c r="F296" s="1099"/>
      <c r="G296" s="1099"/>
      <c r="H296" s="1099"/>
      <c r="I296" s="1099"/>
      <c r="J296" s="1099"/>
      <c r="K296" s="1099"/>
      <c r="L296" s="1099"/>
      <c r="M296" s="1099"/>
      <c r="N296" s="1099"/>
    </row>
    <row r="297" spans="1:14" ht="14.4">
      <c r="A297" s="1099"/>
      <c r="B297" s="1099"/>
      <c r="C297" s="1099"/>
      <c r="D297" s="1099"/>
      <c r="E297" s="1099"/>
      <c r="F297" s="1099"/>
      <c r="G297" s="1099"/>
      <c r="H297" s="1099"/>
      <c r="I297" s="1099"/>
      <c r="J297" s="1099"/>
      <c r="K297" s="1099"/>
      <c r="L297" s="1099"/>
      <c r="M297" s="1099"/>
      <c r="N297" s="1099"/>
    </row>
    <row r="298" spans="1:14" ht="14.4">
      <c r="A298" s="1099"/>
      <c r="B298" s="1099"/>
      <c r="C298" s="1099"/>
      <c r="D298" s="1099"/>
      <c r="E298" s="1099"/>
      <c r="F298" s="1099"/>
      <c r="G298" s="1099"/>
      <c r="H298" s="1099"/>
      <c r="I298" s="1099"/>
      <c r="J298" s="1099"/>
      <c r="K298" s="1099"/>
      <c r="L298" s="1099"/>
      <c r="M298" s="1099"/>
      <c r="N298" s="1099"/>
    </row>
    <row r="299" spans="1:14" ht="14.4">
      <c r="A299" s="1099"/>
      <c r="B299" s="1099"/>
      <c r="C299" s="1099"/>
      <c r="D299" s="1099"/>
      <c r="E299" s="1099"/>
      <c r="F299" s="1099"/>
      <c r="G299" s="1099"/>
      <c r="H299" s="1099"/>
      <c r="I299" s="1099"/>
      <c r="J299" s="1099"/>
      <c r="K299" s="1099"/>
      <c r="L299" s="1099"/>
      <c r="M299" s="1099"/>
      <c r="N299" s="1099"/>
    </row>
    <row r="300" spans="1:14" ht="14.4">
      <c r="A300" s="1099"/>
      <c r="B300" s="1099"/>
      <c r="C300" s="1099"/>
      <c r="D300" s="1099"/>
      <c r="E300" s="1099"/>
      <c r="F300" s="1099"/>
      <c r="G300" s="1099"/>
      <c r="H300" s="1099"/>
      <c r="I300" s="1099"/>
      <c r="J300" s="1099"/>
      <c r="K300" s="1099"/>
      <c r="L300" s="1099"/>
      <c r="M300" s="1099"/>
      <c r="N300" s="1099"/>
    </row>
    <row r="301" spans="1:14" ht="14.4">
      <c r="A301" s="1099"/>
      <c r="B301" s="1099"/>
      <c r="C301" s="1099"/>
      <c r="D301" s="1099"/>
      <c r="E301" s="1099"/>
      <c r="F301" s="1099"/>
      <c r="G301" s="1099"/>
      <c r="H301" s="1099"/>
      <c r="I301" s="1099"/>
      <c r="J301" s="1099"/>
      <c r="K301" s="1099"/>
      <c r="L301" s="1099"/>
      <c r="M301" s="1099"/>
      <c r="N301" s="1099"/>
    </row>
    <row r="302" spans="1:14" ht="14.4">
      <c r="A302" s="1099"/>
      <c r="B302" s="1099"/>
      <c r="C302" s="1099"/>
      <c r="D302" s="1099"/>
      <c r="E302" s="1099"/>
      <c r="F302" s="1099"/>
      <c r="G302" s="1099"/>
      <c r="H302" s="1099"/>
      <c r="I302" s="1099"/>
      <c r="J302" s="1099"/>
      <c r="K302" s="1099"/>
      <c r="L302" s="1099"/>
      <c r="M302" s="1099"/>
      <c r="N302" s="1099"/>
    </row>
    <row r="303" spans="1:14" ht="14.4">
      <c r="A303" s="1099"/>
      <c r="B303" s="1099"/>
      <c r="C303" s="1099"/>
      <c r="D303" s="1099"/>
      <c r="E303" s="1099"/>
      <c r="F303" s="1099"/>
      <c r="G303" s="1099"/>
      <c r="H303" s="1099"/>
      <c r="I303" s="1099"/>
      <c r="J303" s="1099"/>
      <c r="K303" s="1099"/>
      <c r="L303" s="1099"/>
      <c r="M303" s="1099"/>
      <c r="N303" s="1099"/>
    </row>
    <row r="304" spans="1:14" ht="14.4">
      <c r="A304" s="1099"/>
      <c r="B304" s="1099"/>
      <c r="C304" s="1099"/>
      <c r="D304" s="1099"/>
      <c r="E304" s="1099"/>
      <c r="F304" s="1099"/>
      <c r="G304" s="1099"/>
      <c r="H304" s="1099"/>
      <c r="I304" s="1099"/>
      <c r="J304" s="1099"/>
      <c r="K304" s="1099"/>
      <c r="L304" s="1099"/>
      <c r="M304" s="1099"/>
      <c r="N304" s="1099"/>
    </row>
    <row r="305" spans="1:14" ht="14.4">
      <c r="A305" s="1099"/>
      <c r="B305" s="1099"/>
      <c r="C305" s="1099"/>
      <c r="D305" s="1099"/>
      <c r="E305" s="1099"/>
      <c r="F305" s="1099"/>
      <c r="G305" s="1099"/>
      <c r="H305" s="1099"/>
      <c r="I305" s="1099"/>
      <c r="J305" s="1099"/>
      <c r="K305" s="1099"/>
      <c r="L305" s="1099"/>
      <c r="M305" s="1099"/>
      <c r="N305" s="1099"/>
    </row>
    <row r="306" spans="1:14" ht="14.4">
      <c r="A306" s="1099"/>
      <c r="B306" s="1099"/>
      <c r="C306" s="1099"/>
      <c r="D306" s="1099"/>
      <c r="E306" s="1099"/>
      <c r="F306" s="1099"/>
      <c r="G306" s="1099"/>
      <c r="H306" s="1099"/>
      <c r="I306" s="1099"/>
      <c r="J306" s="1099"/>
      <c r="K306" s="1099"/>
      <c r="L306" s="1099"/>
      <c r="M306" s="1099"/>
      <c r="N306" s="1099"/>
    </row>
    <row r="307" spans="1:14" ht="14.4">
      <c r="A307" s="1099"/>
      <c r="B307" s="1099"/>
      <c r="C307" s="1099"/>
      <c r="D307" s="1099"/>
      <c r="E307" s="1099"/>
      <c r="F307" s="1099"/>
      <c r="G307" s="1099"/>
      <c r="H307" s="1099"/>
      <c r="I307" s="1099"/>
      <c r="J307" s="1099"/>
      <c r="K307" s="1099"/>
      <c r="L307" s="1099"/>
      <c r="M307" s="1099"/>
      <c r="N307" s="1099"/>
    </row>
    <row r="308" spans="1:14" ht="14.4">
      <c r="A308" s="1099"/>
      <c r="B308" s="1099"/>
      <c r="C308" s="1099"/>
      <c r="D308" s="1099"/>
      <c r="E308" s="1099"/>
      <c r="F308" s="1099"/>
      <c r="G308" s="1099"/>
      <c r="H308" s="1099"/>
      <c r="I308" s="1099"/>
      <c r="J308" s="1099"/>
      <c r="K308" s="1099"/>
      <c r="L308" s="1099"/>
      <c r="M308" s="1099"/>
      <c r="N308" s="1099"/>
    </row>
    <row r="309" spans="1:14" ht="14.4">
      <c r="A309" s="1099"/>
      <c r="B309" s="1099"/>
      <c r="C309" s="1099"/>
      <c r="D309" s="1099"/>
      <c r="E309" s="1099"/>
      <c r="F309" s="1099"/>
      <c r="G309" s="1099"/>
      <c r="H309" s="1099"/>
      <c r="I309" s="1099"/>
      <c r="J309" s="1099"/>
      <c r="K309" s="1099"/>
      <c r="L309" s="1099"/>
      <c r="M309" s="1099"/>
      <c r="N309" s="1099"/>
    </row>
    <row r="310" spans="1:14" ht="14.4">
      <c r="A310" s="1099"/>
      <c r="B310" s="1099"/>
      <c r="C310" s="1099"/>
      <c r="D310" s="1099"/>
      <c r="E310" s="1099"/>
      <c r="F310" s="1099"/>
      <c r="G310" s="1099"/>
      <c r="H310" s="1099"/>
      <c r="I310" s="1099"/>
      <c r="J310" s="1099"/>
      <c r="K310" s="1099"/>
      <c r="L310" s="1099"/>
      <c r="M310" s="1099"/>
      <c r="N310" s="1099"/>
    </row>
    <row r="311" spans="1:14" ht="14.4">
      <c r="A311" s="1099"/>
      <c r="B311" s="1099"/>
      <c r="C311" s="1099"/>
      <c r="D311" s="1099"/>
      <c r="E311" s="1099"/>
      <c r="F311" s="1099"/>
      <c r="G311" s="1099"/>
      <c r="H311" s="1099"/>
      <c r="I311" s="1099"/>
      <c r="J311" s="1099"/>
      <c r="K311" s="1099"/>
      <c r="L311" s="1099"/>
      <c r="M311" s="1099"/>
      <c r="N311" s="1099"/>
    </row>
    <row r="312" spans="1:14" ht="14.4">
      <c r="A312" s="1099"/>
      <c r="B312" s="1099"/>
      <c r="C312" s="1099"/>
      <c r="D312" s="1099"/>
      <c r="E312" s="1099"/>
      <c r="F312" s="1099"/>
      <c r="G312" s="1099"/>
      <c r="H312" s="1099"/>
      <c r="I312" s="1099"/>
      <c r="J312" s="1099"/>
      <c r="K312" s="1099"/>
      <c r="L312" s="1099"/>
      <c r="M312" s="1099"/>
      <c r="N312" s="1099"/>
    </row>
    <row r="313" spans="1:14" ht="14.4">
      <c r="A313" s="1099"/>
      <c r="B313" s="1099"/>
      <c r="C313" s="1099"/>
      <c r="D313" s="1099"/>
      <c r="E313" s="1099"/>
      <c r="F313" s="1099"/>
      <c r="G313" s="1099"/>
      <c r="H313" s="1099"/>
      <c r="I313" s="1099"/>
      <c r="J313" s="1099"/>
      <c r="K313" s="1099"/>
      <c r="L313" s="1099"/>
      <c r="M313" s="1099"/>
      <c r="N313" s="1099"/>
    </row>
    <row r="314" spans="1:14" ht="14.4">
      <c r="A314" s="1099"/>
      <c r="B314" s="1099"/>
      <c r="C314" s="1099"/>
      <c r="D314" s="1099"/>
      <c r="E314" s="1099"/>
      <c r="F314" s="1099"/>
      <c r="G314" s="1099"/>
      <c r="H314" s="1099"/>
      <c r="I314" s="1099"/>
      <c r="J314" s="1099"/>
      <c r="K314" s="1099"/>
      <c r="L314" s="1099"/>
      <c r="M314" s="1099"/>
      <c r="N314" s="1099"/>
    </row>
    <row r="315" spans="1:14" ht="14.4">
      <c r="A315" s="1099"/>
      <c r="B315" s="1099"/>
      <c r="C315" s="1099"/>
      <c r="D315" s="1099"/>
      <c r="E315" s="1099"/>
      <c r="F315" s="1099"/>
      <c r="G315" s="1099"/>
      <c r="H315" s="1099"/>
      <c r="I315" s="1099"/>
      <c r="J315" s="1099"/>
      <c r="K315" s="1099"/>
      <c r="L315" s="1099"/>
      <c r="M315" s="1099"/>
      <c r="N315" s="1099"/>
    </row>
    <row r="316" spans="1:14" ht="14.4">
      <c r="A316" s="1099"/>
      <c r="B316" s="1099"/>
      <c r="C316" s="1099"/>
      <c r="D316" s="1099"/>
      <c r="E316" s="1099"/>
      <c r="F316" s="1099"/>
      <c r="G316" s="1099"/>
      <c r="H316" s="1099"/>
      <c r="I316" s="1099"/>
      <c r="J316" s="1099"/>
      <c r="K316" s="1099"/>
      <c r="L316" s="1099"/>
      <c r="M316" s="1099"/>
      <c r="N316" s="1099"/>
    </row>
    <row r="317" spans="1:14" ht="14.4">
      <c r="A317" s="1099"/>
      <c r="B317" s="1099"/>
      <c r="C317" s="1099"/>
      <c r="D317" s="1099"/>
      <c r="E317" s="1099"/>
      <c r="F317" s="1099"/>
      <c r="G317" s="1099"/>
      <c r="H317" s="1099"/>
      <c r="I317" s="1099"/>
      <c r="J317" s="1099"/>
      <c r="K317" s="1099"/>
      <c r="L317" s="1099"/>
      <c r="M317" s="1099"/>
      <c r="N317" s="1099"/>
    </row>
    <row r="318" spans="1:14" ht="14.4">
      <c r="A318" s="1099"/>
      <c r="B318" s="1099"/>
      <c r="C318" s="1099"/>
      <c r="D318" s="1099"/>
      <c r="E318" s="1099"/>
      <c r="F318" s="1099"/>
      <c r="G318" s="1099"/>
      <c r="H318" s="1099"/>
      <c r="I318" s="1099"/>
      <c r="J318" s="1099"/>
      <c r="K318" s="1099"/>
      <c r="L318" s="1099"/>
      <c r="M318" s="1099"/>
      <c r="N318" s="1099"/>
    </row>
    <row r="319" spans="1:14" ht="14.4">
      <c r="A319" s="1099"/>
      <c r="B319" s="1099"/>
      <c r="C319" s="1099"/>
      <c r="D319" s="1099"/>
      <c r="E319" s="1099"/>
      <c r="F319" s="1099"/>
      <c r="G319" s="1099"/>
      <c r="H319" s="1099"/>
      <c r="I319" s="1099"/>
      <c r="J319" s="1099"/>
      <c r="K319" s="1099"/>
      <c r="L319" s="1099"/>
      <c r="M319" s="1099"/>
      <c r="N319" s="1099"/>
    </row>
    <row r="320" spans="1:14" ht="14.4">
      <c r="A320" s="1099"/>
      <c r="B320" s="1099"/>
      <c r="C320" s="1099"/>
      <c r="D320" s="1099"/>
      <c r="E320" s="1099"/>
      <c r="F320" s="1099"/>
      <c r="G320" s="1099"/>
      <c r="H320" s="1099"/>
      <c r="I320" s="1099"/>
      <c r="J320" s="1099"/>
      <c r="K320" s="1099"/>
      <c r="L320" s="1099"/>
      <c r="M320" s="1099"/>
      <c r="N320" s="1099"/>
    </row>
    <row r="321" spans="1:14" ht="14.4">
      <c r="A321" s="1099"/>
      <c r="B321" s="1099"/>
      <c r="C321" s="1099"/>
      <c r="D321" s="1099"/>
      <c r="E321" s="1099"/>
      <c r="F321" s="1099"/>
      <c r="G321" s="1099"/>
      <c r="H321" s="1099"/>
      <c r="I321" s="1099"/>
      <c r="J321" s="1099"/>
      <c r="K321" s="1099"/>
      <c r="L321" s="1099"/>
      <c r="M321" s="1099"/>
      <c r="N321" s="1099"/>
    </row>
    <row r="322" spans="1:14" ht="14.4">
      <c r="A322" s="1099"/>
      <c r="B322" s="1099"/>
      <c r="C322" s="1099"/>
      <c r="D322" s="1099"/>
      <c r="E322" s="1099"/>
      <c r="F322" s="1099"/>
      <c r="G322" s="1099"/>
      <c r="H322" s="1099"/>
      <c r="I322" s="1099"/>
      <c r="J322" s="1099"/>
      <c r="K322" s="1099"/>
      <c r="L322" s="1099"/>
      <c r="M322" s="1099"/>
      <c r="N322" s="1099"/>
    </row>
    <row r="323" spans="1:14" ht="14.4">
      <c r="A323" s="1099"/>
      <c r="B323" s="1099"/>
      <c r="C323" s="1099"/>
      <c r="D323" s="1099"/>
      <c r="E323" s="1099"/>
      <c r="F323" s="1099"/>
      <c r="G323" s="1099"/>
      <c r="H323" s="1099"/>
      <c r="I323" s="1099"/>
      <c r="J323" s="1099"/>
      <c r="K323" s="1099"/>
      <c r="L323" s="1099"/>
      <c r="M323" s="1099"/>
      <c r="N323" s="1099"/>
    </row>
    <row r="324" spans="1:14" ht="14.4">
      <c r="A324" s="1099"/>
      <c r="B324" s="1099"/>
      <c r="C324" s="1099"/>
      <c r="D324" s="1099"/>
      <c r="E324" s="1099"/>
      <c r="F324" s="1099"/>
      <c r="G324" s="1099"/>
      <c r="H324" s="1099"/>
      <c r="I324" s="1099"/>
      <c r="J324" s="1099"/>
      <c r="K324" s="1099"/>
      <c r="L324" s="1099"/>
      <c r="M324" s="1099"/>
      <c r="N324" s="1099"/>
    </row>
    <row r="325" spans="1:14" ht="14.4">
      <c r="A325" s="1099"/>
      <c r="B325" s="1099"/>
      <c r="C325" s="1099"/>
      <c r="D325" s="1099"/>
      <c r="E325" s="1099"/>
      <c r="F325" s="1099"/>
      <c r="G325" s="1099"/>
      <c r="H325" s="1099"/>
      <c r="I325" s="1099"/>
      <c r="J325" s="1099"/>
      <c r="K325" s="1099"/>
      <c r="L325" s="1099"/>
      <c r="M325" s="1099"/>
      <c r="N325" s="1099"/>
    </row>
    <row r="326" spans="1:14" ht="14.4">
      <c r="A326" s="1099"/>
      <c r="B326" s="1099"/>
      <c r="C326" s="1099"/>
      <c r="D326" s="1099"/>
      <c r="E326" s="1099"/>
      <c r="F326" s="1099"/>
      <c r="G326" s="1099"/>
      <c r="H326" s="1099"/>
      <c r="I326" s="1099"/>
      <c r="J326" s="1099"/>
      <c r="K326" s="1099"/>
      <c r="L326" s="1099"/>
      <c r="M326" s="1099"/>
      <c r="N326" s="1099"/>
    </row>
    <row r="327" spans="1:14" ht="14.4">
      <c r="A327" s="1099"/>
      <c r="B327" s="1099"/>
      <c r="C327" s="1099"/>
      <c r="D327" s="1099"/>
      <c r="E327" s="1099"/>
      <c r="F327" s="1099"/>
      <c r="G327" s="1099"/>
      <c r="H327" s="1099"/>
      <c r="I327" s="1099"/>
      <c r="J327" s="1099"/>
      <c r="K327" s="1099"/>
      <c r="L327" s="1099"/>
      <c r="M327" s="1099"/>
      <c r="N327" s="1099"/>
    </row>
    <row r="328" spans="1:14" ht="14.4">
      <c r="A328" s="1099"/>
      <c r="B328" s="1099"/>
      <c r="C328" s="1099"/>
      <c r="D328" s="1099"/>
      <c r="E328" s="1099"/>
      <c r="F328" s="1099"/>
      <c r="G328" s="1099"/>
      <c r="H328" s="1099"/>
      <c r="I328" s="1099"/>
      <c r="J328" s="1099"/>
      <c r="K328" s="1099"/>
      <c r="L328" s="1099"/>
      <c r="M328" s="1099"/>
      <c r="N328" s="1099"/>
    </row>
    <row r="329" spans="1:14" ht="14.4">
      <c r="A329" s="1099"/>
      <c r="B329" s="1099"/>
      <c r="C329" s="1099"/>
      <c r="D329" s="1099"/>
      <c r="E329" s="1099"/>
      <c r="F329" s="1099"/>
      <c r="G329" s="1099"/>
      <c r="H329" s="1099"/>
      <c r="I329" s="1099"/>
      <c r="J329" s="1099"/>
      <c r="K329" s="1099"/>
      <c r="L329" s="1099"/>
      <c r="M329" s="1099"/>
      <c r="N329" s="1099"/>
    </row>
    <row r="330" spans="1:14" ht="14.4">
      <c r="A330" s="1099"/>
      <c r="B330" s="1099"/>
      <c r="C330" s="1099"/>
      <c r="D330" s="1099">
        <v>2605980.71</v>
      </c>
      <c r="E330" s="1099"/>
      <c r="F330" s="1099"/>
      <c r="G330" s="1099"/>
      <c r="H330" s="1099"/>
      <c r="I330" s="1099"/>
      <c r="J330" s="1099"/>
      <c r="K330" s="1099"/>
      <c r="L330" s="1099"/>
      <c r="M330" s="1099"/>
      <c r="N330" s="1099"/>
    </row>
    <row r="331" spans="1:14" ht="14.4">
      <c r="A331" s="1099"/>
      <c r="B331" s="1099"/>
      <c r="C331" s="1099"/>
      <c r="D331" s="1099"/>
      <c r="E331" s="1099"/>
      <c r="F331" s="1099"/>
      <c r="G331" s="1099"/>
      <c r="H331" s="1099"/>
      <c r="I331" s="1099"/>
      <c r="J331" s="1099"/>
      <c r="K331" s="1099"/>
      <c r="L331" s="1099"/>
      <c r="M331" s="1099"/>
      <c r="N331" s="1099"/>
    </row>
    <row r="332" spans="1:14" ht="14.4">
      <c r="A332" s="1099"/>
      <c r="B332" s="1099"/>
      <c r="C332" s="1099"/>
      <c r="D332" s="1099"/>
      <c r="E332" s="1099"/>
      <c r="F332" s="1099"/>
      <c r="G332" s="1099"/>
      <c r="H332" s="1099"/>
      <c r="I332" s="1099"/>
      <c r="J332" s="1099"/>
      <c r="K332" s="1099"/>
      <c r="L332" s="1099"/>
      <c r="M332" s="1099"/>
      <c r="N332" s="1099"/>
    </row>
    <row r="333" spans="1:14" ht="14.4">
      <c r="A333" s="1099"/>
      <c r="B333" s="1099"/>
      <c r="C333" s="1099"/>
      <c r="D333" s="1099"/>
      <c r="E333" s="1099"/>
      <c r="F333" s="1099"/>
      <c r="G333" s="1099"/>
      <c r="H333" s="1099"/>
      <c r="I333" s="1099"/>
      <c r="J333" s="1099"/>
      <c r="K333" s="1099"/>
      <c r="L333" s="1099"/>
      <c r="M333" s="1099"/>
      <c r="N333" s="1099"/>
    </row>
    <row r="334" spans="1:14" ht="14.4">
      <c r="A334" s="1099"/>
      <c r="B334" s="1099"/>
      <c r="C334" s="1099"/>
      <c r="D334" s="1099">
        <v>105580.98</v>
      </c>
      <c r="E334" s="1099"/>
      <c r="F334" s="1099"/>
      <c r="G334" s="1099"/>
      <c r="H334" s="1099"/>
      <c r="I334" s="1099"/>
      <c r="J334" s="1099"/>
      <c r="K334" s="1099"/>
      <c r="L334" s="1099"/>
      <c r="M334" s="1099"/>
      <c r="N334" s="1099"/>
    </row>
  </sheetData>
  <sheetProtection algorithmName="SHA-512" hashValue="9I9MQnRe0K6cJFi1rc9MkVo/AP7uJnHEM+kdppDMJ5QH/gWAXRZxYN2Pkc93lj+7v8N6bdwPZPQrhF+rd8Zq4g==" saltValue="0St8JF0CxNTlIM/kzAVhHQ==" spinCount="100000" sheet="1" objects="1" scenarios="1"/>
  <autoFilter ref="A23:O59" xr:uid="{CDB7EDD3-5170-4689-8EB1-DC56939A3598}"/>
  <mergeCells count="2">
    <mergeCell ref="B5:N5"/>
    <mergeCell ref="B6:N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DCCD-F31E-4BCD-8222-84283A8F1A05}">
  <sheetPr codeName="Hoja22">
    <tabColor rgb="FFFFC000"/>
  </sheetPr>
  <dimension ref="A1:J201"/>
  <sheetViews>
    <sheetView showGridLines="0" workbookViewId="0"/>
  </sheetViews>
  <sheetFormatPr baseColWidth="10" defaultColWidth="11.44140625" defaultRowHeight="14.4"/>
  <cols>
    <col min="1" max="1" width="17.6640625" customWidth="1"/>
    <col min="2" max="2" width="18.88671875" customWidth="1"/>
    <col min="3" max="3" width="25.88671875" customWidth="1"/>
    <col min="5" max="5" width="23" customWidth="1"/>
    <col min="10" max="10" width="20.5546875" customWidth="1"/>
  </cols>
  <sheetData>
    <row r="1" spans="1:5" ht="28.8">
      <c r="A1" s="885" t="s">
        <v>1232</v>
      </c>
      <c r="B1" s="885" t="s">
        <v>1794</v>
      </c>
      <c r="C1" s="885" t="s">
        <v>2032</v>
      </c>
      <c r="D1" s="885" t="s">
        <v>2033</v>
      </c>
      <c r="E1" s="885" t="s">
        <v>2034</v>
      </c>
    </row>
    <row r="2" spans="1:5">
      <c r="A2" s="821" t="s">
        <v>1638</v>
      </c>
      <c r="B2" s="821">
        <v>490</v>
      </c>
      <c r="C2" s="886">
        <v>8856.9178082191793</v>
      </c>
      <c r="D2" s="821">
        <v>7263.59</v>
      </c>
      <c r="E2" s="887">
        <f>+D2*C2</f>
        <v>64333019.622602753</v>
      </c>
    </row>
    <row r="3" spans="1:5">
      <c r="A3" s="821" t="s">
        <v>1638</v>
      </c>
      <c r="B3" s="821">
        <v>161</v>
      </c>
      <c r="C3" s="886">
        <v>5820.2602739726035</v>
      </c>
      <c r="D3" s="821">
        <v>7263.59</v>
      </c>
      <c r="E3" s="887">
        <f t="shared" ref="E3:E24" si="0">+D3*C3</f>
        <v>42275984.323424667</v>
      </c>
    </row>
    <row r="4" spans="1:5">
      <c r="A4" s="821" t="s">
        <v>1638</v>
      </c>
      <c r="B4" s="821">
        <v>159</v>
      </c>
      <c r="C4" s="886">
        <v>5747.9589041095896</v>
      </c>
      <c r="D4" s="821">
        <v>7263.59</v>
      </c>
      <c r="E4" s="887">
        <f t="shared" si="0"/>
        <v>41750816.816301376</v>
      </c>
    </row>
    <row r="5" spans="1:5">
      <c r="A5" s="821" t="s">
        <v>1638</v>
      </c>
      <c r="B5" s="821">
        <v>170</v>
      </c>
      <c r="C5" s="886">
        <v>3072.8082191780823</v>
      </c>
      <c r="D5" s="821">
        <v>7263.59</v>
      </c>
      <c r="E5" s="887">
        <f t="shared" si="0"/>
        <v>22319619.052739728</v>
      </c>
    </row>
    <row r="6" spans="1:5">
      <c r="A6" s="821" t="s">
        <v>1638</v>
      </c>
      <c r="B6" s="821">
        <v>140</v>
      </c>
      <c r="C6" s="886">
        <v>2530.5479452054797</v>
      </c>
      <c r="D6" s="821">
        <v>7263.59</v>
      </c>
      <c r="E6" s="887">
        <f t="shared" si="0"/>
        <v>18380862.749315072</v>
      </c>
    </row>
    <row r="7" spans="1:5">
      <c r="A7" s="821" t="s">
        <v>1638</v>
      </c>
      <c r="B7" s="821">
        <v>10</v>
      </c>
      <c r="C7" s="886">
        <v>180.75342465753425</v>
      </c>
      <c r="D7" s="821">
        <v>7263.59</v>
      </c>
      <c r="E7" s="887">
        <f t="shared" si="0"/>
        <v>1312918.7678082192</v>
      </c>
    </row>
    <row r="8" spans="1:5">
      <c r="A8" s="821" t="s">
        <v>1638</v>
      </c>
      <c r="B8" s="821">
        <v>20</v>
      </c>
      <c r="C8" s="886">
        <v>361.50684931506851</v>
      </c>
      <c r="D8" s="821">
        <v>7263.59</v>
      </c>
      <c r="E8" s="887">
        <f t="shared" si="0"/>
        <v>2625837.5356164384</v>
      </c>
    </row>
    <row r="9" spans="1:5">
      <c r="A9" s="821" t="s">
        <v>1639</v>
      </c>
      <c r="B9" s="821">
        <v>1</v>
      </c>
      <c r="C9" s="886">
        <v>18.698630136986303</v>
      </c>
      <c r="D9" s="821">
        <v>7263.59</v>
      </c>
      <c r="E9" s="887">
        <f t="shared" si="0"/>
        <v>135819.18287671235</v>
      </c>
    </row>
    <row r="10" spans="1:5">
      <c r="A10" s="821" t="s">
        <v>1639</v>
      </c>
      <c r="B10" s="821">
        <v>7</v>
      </c>
      <c r="C10" s="886">
        <v>261.78082191780823</v>
      </c>
      <c r="D10" s="821">
        <v>7263.59</v>
      </c>
      <c r="E10" s="887">
        <f t="shared" si="0"/>
        <v>1901468.5602739726</v>
      </c>
    </row>
    <row r="11" spans="1:5">
      <c r="A11" s="821" t="s">
        <v>1639</v>
      </c>
      <c r="B11" s="821">
        <v>4</v>
      </c>
      <c r="C11" s="886">
        <v>149.58904109589042</v>
      </c>
      <c r="D11" s="821">
        <v>7263.59</v>
      </c>
      <c r="E11" s="887">
        <f t="shared" si="0"/>
        <v>1086553.4630136988</v>
      </c>
    </row>
    <row r="12" spans="1:5">
      <c r="A12" s="821" t="s">
        <v>1639</v>
      </c>
      <c r="B12" s="821">
        <v>34</v>
      </c>
      <c r="C12" s="886">
        <v>635.75342465753431</v>
      </c>
      <c r="D12" s="821">
        <v>7263.59</v>
      </c>
      <c r="E12" s="887">
        <f t="shared" si="0"/>
        <v>4617852.2178082196</v>
      </c>
    </row>
    <row r="13" spans="1:5">
      <c r="A13" s="821" t="s">
        <v>1639</v>
      </c>
      <c r="B13" s="821">
        <v>500</v>
      </c>
      <c r="C13" s="886">
        <v>9349.3150684931516</v>
      </c>
      <c r="D13" s="821">
        <v>7263.59</v>
      </c>
      <c r="E13" s="887">
        <f t="shared" si="0"/>
        <v>67909591.438356176</v>
      </c>
    </row>
    <row r="14" spans="1:5">
      <c r="A14" s="821" t="s">
        <v>1639</v>
      </c>
      <c r="B14" s="821">
        <v>216</v>
      </c>
      <c r="C14" s="886">
        <v>4038.9041095890416</v>
      </c>
      <c r="D14" s="821">
        <v>7263.59</v>
      </c>
      <c r="E14" s="887">
        <f t="shared" si="0"/>
        <v>29336943.501369867</v>
      </c>
    </row>
    <row r="15" spans="1:5">
      <c r="A15" s="821" t="s">
        <v>1639</v>
      </c>
      <c r="B15" s="821">
        <v>284</v>
      </c>
      <c r="C15" s="886">
        <v>5310.41095890411</v>
      </c>
      <c r="D15" s="821">
        <v>7263.59</v>
      </c>
      <c r="E15" s="887">
        <f t="shared" si="0"/>
        <v>38572647.936986305</v>
      </c>
    </row>
    <row r="16" spans="1:5">
      <c r="A16" s="821" t="s">
        <v>1639</v>
      </c>
      <c r="B16" s="821">
        <v>34</v>
      </c>
      <c r="C16" s="886">
        <v>635.75342465753431</v>
      </c>
      <c r="D16" s="821">
        <v>7263.59</v>
      </c>
      <c r="E16" s="887">
        <f t="shared" si="0"/>
        <v>4617852.2178082196</v>
      </c>
    </row>
    <row r="17" spans="1:10">
      <c r="A17" s="821" t="s">
        <v>1639</v>
      </c>
      <c r="B17" s="821">
        <v>40</v>
      </c>
      <c r="C17" s="886">
        <v>747.94520547945217</v>
      </c>
      <c r="D17" s="821">
        <v>7263.59</v>
      </c>
      <c r="E17" s="887">
        <f t="shared" si="0"/>
        <v>5432767.3150684945</v>
      </c>
    </row>
    <row r="18" spans="1:10">
      <c r="A18" s="821" t="s">
        <v>1639</v>
      </c>
      <c r="B18" s="821">
        <v>400</v>
      </c>
      <c r="C18" s="886">
        <v>7479.4520547945212</v>
      </c>
      <c r="D18" s="821">
        <v>7263.59</v>
      </c>
      <c r="E18" s="887">
        <f t="shared" si="0"/>
        <v>54327673.150684938</v>
      </c>
    </row>
    <row r="19" spans="1:10">
      <c r="A19" s="821" t="s">
        <v>1639</v>
      </c>
      <c r="B19" s="821">
        <v>94</v>
      </c>
      <c r="C19" s="886">
        <v>1757.6712328767126</v>
      </c>
      <c r="D19" s="821">
        <v>7263.59</v>
      </c>
      <c r="E19" s="887">
        <f t="shared" si="0"/>
        <v>12767003.19041096</v>
      </c>
    </row>
    <row r="20" spans="1:10">
      <c r="A20" s="821" t="s">
        <v>1640</v>
      </c>
      <c r="B20" s="821">
        <v>294</v>
      </c>
      <c r="C20" s="886">
        <v>5130.9041095890416</v>
      </c>
      <c r="D20" s="821">
        <v>7263.59</v>
      </c>
      <c r="E20" s="887">
        <f t="shared" si="0"/>
        <v>37268783.781369865</v>
      </c>
    </row>
    <row r="21" spans="1:10">
      <c r="A21" s="821" t="s">
        <v>1640</v>
      </c>
      <c r="B21" s="821">
        <v>289</v>
      </c>
      <c r="C21" s="886">
        <v>5043.643835616439</v>
      </c>
      <c r="D21" s="821">
        <v>7263.59</v>
      </c>
      <c r="E21" s="887">
        <f t="shared" si="0"/>
        <v>36634960.927945212</v>
      </c>
    </row>
    <row r="22" spans="1:10">
      <c r="A22" s="821" t="s">
        <v>1640</v>
      </c>
      <c r="B22" s="821">
        <v>289</v>
      </c>
      <c r="C22" s="886">
        <v>5043.643835616439</v>
      </c>
      <c r="D22" s="821">
        <v>7263.59</v>
      </c>
      <c r="E22" s="887">
        <f t="shared" si="0"/>
        <v>36634960.927945212</v>
      </c>
    </row>
    <row r="23" spans="1:10">
      <c r="A23" s="821" t="s">
        <v>1640</v>
      </c>
      <c r="B23" s="821">
        <v>169</v>
      </c>
      <c r="C23" s="886">
        <v>2949.3972602739727</v>
      </c>
      <c r="D23" s="821">
        <v>7263.59</v>
      </c>
      <c r="E23" s="887">
        <f t="shared" si="0"/>
        <v>21423212.445753425</v>
      </c>
    </row>
    <row r="24" spans="1:10">
      <c r="A24" s="821" t="s">
        <v>1640</v>
      </c>
      <c r="B24" s="821">
        <v>120</v>
      </c>
      <c r="C24" s="886">
        <v>2094.2465753424658</v>
      </c>
      <c r="D24" s="821">
        <v>7263.59</v>
      </c>
      <c r="E24" s="887">
        <f t="shared" si="0"/>
        <v>15211748.482191781</v>
      </c>
    </row>
    <row r="25" spans="1:10">
      <c r="B25" s="888" t="s">
        <v>2035</v>
      </c>
      <c r="C25" s="889">
        <f>SUM(C2:C24)</f>
        <v>77217.863013698632</v>
      </c>
      <c r="D25" s="890" t="s">
        <v>2036</v>
      </c>
      <c r="E25" s="891">
        <f>SUM(E2:E24)</f>
        <v>560878897.60767138</v>
      </c>
    </row>
    <row r="29" spans="1:10" ht="15" thickBot="1">
      <c r="A29" s="892" t="s">
        <v>1515</v>
      </c>
      <c r="B29" s="893"/>
      <c r="C29" s="893"/>
    </row>
    <row r="30" spans="1:10" ht="24.6" thickBot="1">
      <c r="A30" s="894" t="s">
        <v>1232</v>
      </c>
      <c r="B30" s="894" t="s">
        <v>2037</v>
      </c>
      <c r="C30" s="895" t="s">
        <v>2038</v>
      </c>
      <c r="F30" s="892" t="s">
        <v>1515</v>
      </c>
      <c r="G30" s="893"/>
      <c r="H30" s="893"/>
      <c r="I30" s="893"/>
      <c r="J30" s="893"/>
    </row>
    <row r="31" spans="1:10" ht="31.2" thickBot="1">
      <c r="A31" s="896" t="s">
        <v>2039</v>
      </c>
      <c r="B31" s="897">
        <v>625000000</v>
      </c>
      <c r="C31" s="898">
        <v>796232.87671232852</v>
      </c>
      <c r="F31" s="899" t="s">
        <v>1232</v>
      </c>
      <c r="G31" s="899" t="s">
        <v>2037</v>
      </c>
      <c r="H31" s="899" t="s">
        <v>2038</v>
      </c>
      <c r="I31" s="899" t="s">
        <v>1721</v>
      </c>
      <c r="J31" s="899" t="s">
        <v>2040</v>
      </c>
    </row>
    <row r="32" spans="1:10">
      <c r="A32" s="896" t="s">
        <v>2041</v>
      </c>
      <c r="B32" s="897">
        <v>625000000</v>
      </c>
      <c r="C32" s="898">
        <v>796232.87671232852</v>
      </c>
      <c r="F32" s="900" t="s">
        <v>2042</v>
      </c>
      <c r="G32" s="901">
        <v>600000</v>
      </c>
      <c r="H32" s="902">
        <v>72.328767123287676</v>
      </c>
      <c r="I32" s="821">
        <v>7263.59</v>
      </c>
      <c r="J32" s="903">
        <f>+I32*H32</f>
        <v>525366.50958904112</v>
      </c>
    </row>
    <row r="33" spans="1:10">
      <c r="A33" s="896" t="s">
        <v>2043</v>
      </c>
      <c r="B33" s="897">
        <v>625000000</v>
      </c>
      <c r="C33" s="898">
        <v>3981164.3835616456</v>
      </c>
      <c r="F33" s="900" t="s">
        <v>2044</v>
      </c>
      <c r="G33" s="904">
        <v>501000</v>
      </c>
      <c r="H33" s="905">
        <v>61.080821917808223</v>
      </c>
      <c r="I33" s="821">
        <v>7263.59</v>
      </c>
      <c r="J33" s="903">
        <f t="shared" ref="J33:J70" si="1">+I33*H33</f>
        <v>443666.04727397265</v>
      </c>
    </row>
    <row r="34" spans="1:10">
      <c r="A34" s="896" t="s">
        <v>2045</v>
      </c>
      <c r="B34" s="897">
        <v>625000000</v>
      </c>
      <c r="C34" s="898">
        <v>3981164.3835616456</v>
      </c>
      <c r="F34" s="900" t="s">
        <v>2046</v>
      </c>
      <c r="G34" s="904">
        <v>600000</v>
      </c>
      <c r="H34" s="905">
        <v>72.328767123287662</v>
      </c>
      <c r="I34" s="821">
        <v>7263.59</v>
      </c>
      <c r="J34" s="903">
        <f t="shared" si="1"/>
        <v>525366.509589041</v>
      </c>
    </row>
    <row r="35" spans="1:10">
      <c r="A35" s="896" t="s">
        <v>2047</v>
      </c>
      <c r="B35" s="897">
        <v>501000000</v>
      </c>
      <c r="C35" s="898">
        <v>2086356.164383562</v>
      </c>
      <c r="F35" s="906" t="s">
        <v>2048</v>
      </c>
      <c r="G35" s="907">
        <v>600000</v>
      </c>
      <c r="H35" s="908">
        <v>144.65753424657532</v>
      </c>
      <c r="I35" s="821">
        <v>7263.59</v>
      </c>
      <c r="J35" s="903">
        <f t="shared" si="1"/>
        <v>1050733.019178082</v>
      </c>
    </row>
    <row r="36" spans="1:10">
      <c r="A36" s="896" t="s">
        <v>2049</v>
      </c>
      <c r="B36" s="897">
        <v>501000000</v>
      </c>
      <c r="C36" s="898">
        <v>2086356.164383562</v>
      </c>
      <c r="F36" s="906" t="s">
        <v>2050</v>
      </c>
      <c r="G36" s="907">
        <v>100000</v>
      </c>
      <c r="H36" s="908">
        <v>123.69863013698634</v>
      </c>
      <c r="I36" s="821">
        <v>7263.59</v>
      </c>
      <c r="J36" s="903">
        <f t="shared" si="1"/>
        <v>898496.1328767126</v>
      </c>
    </row>
    <row r="37" spans="1:10">
      <c r="A37" s="896" t="s">
        <v>2051</v>
      </c>
      <c r="B37" s="897">
        <v>501000000</v>
      </c>
      <c r="C37" s="898">
        <v>2086356.164383562</v>
      </c>
      <c r="F37" s="906" t="s">
        <v>2052</v>
      </c>
      <c r="G37" s="907">
        <v>100000</v>
      </c>
      <c r="H37" s="908">
        <v>194.38356164383569</v>
      </c>
      <c r="I37" s="821">
        <v>7263.59</v>
      </c>
      <c r="J37" s="903">
        <f t="shared" si="1"/>
        <v>1411922.4945205485</v>
      </c>
    </row>
    <row r="38" spans="1:10">
      <c r="A38" s="896" t="s">
        <v>2053</v>
      </c>
      <c r="B38" s="897">
        <v>501000000</v>
      </c>
      <c r="C38" s="898">
        <v>2086356.164383562</v>
      </c>
      <c r="F38" s="906" t="s">
        <v>2054</v>
      </c>
      <c r="G38" s="907">
        <v>100000</v>
      </c>
      <c r="H38" s="908">
        <v>194.38356164383569</v>
      </c>
      <c r="I38" s="821">
        <v>7263.59</v>
      </c>
      <c r="J38" s="903">
        <f t="shared" si="1"/>
        <v>1411922.4945205485</v>
      </c>
    </row>
    <row r="39" spans="1:10">
      <c r="A39" s="896" t="s">
        <v>2055</v>
      </c>
      <c r="B39" s="897">
        <v>501000000</v>
      </c>
      <c r="C39" s="898">
        <v>2086356.164383562</v>
      </c>
      <c r="F39" s="906" t="s">
        <v>2056</v>
      </c>
      <c r="G39" s="907">
        <v>50000</v>
      </c>
      <c r="H39" s="908">
        <v>220.8904109589042</v>
      </c>
      <c r="I39" s="821">
        <v>7263.59</v>
      </c>
      <c r="J39" s="903">
        <f t="shared" si="1"/>
        <v>1604457.380136987</v>
      </c>
    </row>
    <row r="40" spans="1:10">
      <c r="A40" s="896" t="s">
        <v>2057</v>
      </c>
      <c r="B40" s="897">
        <v>501000000</v>
      </c>
      <c r="C40" s="898">
        <v>2086356.164383562</v>
      </c>
      <c r="F40" s="906" t="s">
        <v>2058</v>
      </c>
      <c r="G40" s="907">
        <v>50000</v>
      </c>
      <c r="H40" s="908">
        <v>265.06849315068501</v>
      </c>
      <c r="I40" s="821">
        <v>7263.59</v>
      </c>
      <c r="J40" s="903">
        <f t="shared" si="1"/>
        <v>1925348.8561643842</v>
      </c>
    </row>
    <row r="41" spans="1:10">
      <c r="A41" s="896" t="s">
        <v>2059</v>
      </c>
      <c r="B41" s="897">
        <v>550000000</v>
      </c>
      <c r="C41" s="898">
        <v>116780.82191780822</v>
      </c>
      <c r="F41" s="906" t="s">
        <v>1626</v>
      </c>
      <c r="G41" s="907">
        <v>50000</v>
      </c>
      <c r="H41" s="908">
        <v>397.60273972602755</v>
      </c>
      <c r="I41" s="821">
        <v>7263.59</v>
      </c>
      <c r="J41" s="903">
        <f t="shared" si="1"/>
        <v>2888023.2842465765</v>
      </c>
    </row>
    <row r="42" spans="1:10">
      <c r="A42" s="896" t="s">
        <v>2060</v>
      </c>
      <c r="B42" s="897">
        <v>550000000</v>
      </c>
      <c r="C42" s="898">
        <v>116780.82191780822</v>
      </c>
      <c r="F42" s="906" t="s">
        <v>1627</v>
      </c>
      <c r="G42" s="907">
        <v>50000</v>
      </c>
      <c r="H42" s="908">
        <v>397.60273972602755</v>
      </c>
      <c r="I42" s="821">
        <v>7263.59</v>
      </c>
      <c r="J42" s="903">
        <f t="shared" si="1"/>
        <v>2888023.2842465765</v>
      </c>
    </row>
    <row r="43" spans="1:10">
      <c r="A43" s="896" t="s">
        <v>2061</v>
      </c>
      <c r="B43" s="897">
        <v>600000000</v>
      </c>
      <c r="C43" s="898">
        <v>127397.2602739726</v>
      </c>
      <c r="F43" s="900" t="s">
        <v>2062</v>
      </c>
      <c r="G43" s="904">
        <v>501000</v>
      </c>
      <c r="H43" s="905">
        <v>164.7123287671233</v>
      </c>
      <c r="I43" s="821">
        <v>7263.59</v>
      </c>
      <c r="J43" s="903">
        <f t="shared" si="1"/>
        <v>1196402.8241095892</v>
      </c>
    </row>
    <row r="44" spans="1:10">
      <c r="A44" s="896" t="s">
        <v>2063</v>
      </c>
      <c r="B44" s="897">
        <v>500500000</v>
      </c>
      <c r="C44" s="898">
        <v>104213.69863013699</v>
      </c>
      <c r="F44" s="900" t="s">
        <v>2064</v>
      </c>
      <c r="G44" s="904">
        <v>100000</v>
      </c>
      <c r="H44" s="905">
        <v>52.602739726027394</v>
      </c>
      <c r="I44" s="821">
        <v>7263.59</v>
      </c>
      <c r="J44" s="903">
        <f t="shared" si="1"/>
        <v>382084.73424657533</v>
      </c>
    </row>
    <row r="45" spans="1:10">
      <c r="A45" s="896" t="s">
        <v>2065</v>
      </c>
      <c r="B45" s="897">
        <v>500500000</v>
      </c>
      <c r="C45" s="898">
        <v>104213.69863013699</v>
      </c>
      <c r="F45" s="900" t="s">
        <v>2066</v>
      </c>
      <c r="G45" s="904">
        <v>100000</v>
      </c>
      <c r="H45" s="905">
        <v>52.602739726027394</v>
      </c>
      <c r="I45" s="821">
        <v>7263.59</v>
      </c>
      <c r="J45" s="903">
        <f t="shared" si="1"/>
        <v>382084.73424657533</v>
      </c>
    </row>
    <row r="46" spans="1:10">
      <c r="A46" s="896" t="s">
        <v>2067</v>
      </c>
      <c r="B46" s="897">
        <v>500500000</v>
      </c>
      <c r="C46" s="898">
        <v>104213.69863013699</v>
      </c>
      <c r="F46" s="900" t="s">
        <v>2068</v>
      </c>
      <c r="G46" s="904">
        <v>100000</v>
      </c>
      <c r="H46" s="905">
        <v>52.602739726027394</v>
      </c>
      <c r="I46" s="821">
        <v>7263.59</v>
      </c>
      <c r="J46" s="903">
        <f t="shared" si="1"/>
        <v>382084.73424657533</v>
      </c>
    </row>
    <row r="47" spans="1:10">
      <c r="A47" s="896" t="s">
        <v>2069</v>
      </c>
      <c r="B47" s="897">
        <v>500500000</v>
      </c>
      <c r="C47" s="898">
        <v>104213.69863013699</v>
      </c>
      <c r="F47" s="900" t="s">
        <v>2070</v>
      </c>
      <c r="G47" s="904">
        <v>100000</v>
      </c>
      <c r="H47" s="905">
        <v>52.602739726027394</v>
      </c>
      <c r="I47" s="821">
        <v>7263.59</v>
      </c>
      <c r="J47" s="903">
        <f t="shared" si="1"/>
        <v>382084.73424657533</v>
      </c>
    </row>
    <row r="48" spans="1:10">
      <c r="A48" s="896" t="s">
        <v>2071</v>
      </c>
      <c r="B48" s="897">
        <v>500500000</v>
      </c>
      <c r="C48" s="898">
        <v>104213.69863013699</v>
      </c>
      <c r="F48" s="900" t="s">
        <v>2072</v>
      </c>
      <c r="G48" s="904">
        <v>100000</v>
      </c>
      <c r="H48" s="905">
        <v>52.602739726027394</v>
      </c>
      <c r="I48" s="821">
        <v>7263.59</v>
      </c>
      <c r="J48" s="903">
        <f t="shared" si="1"/>
        <v>382084.73424657533</v>
      </c>
    </row>
    <row r="49" spans="1:10">
      <c r="A49" s="896" t="s">
        <v>2073</v>
      </c>
      <c r="B49" s="897">
        <v>500500000</v>
      </c>
      <c r="C49" s="898">
        <v>104213.69863013699</v>
      </c>
      <c r="F49" s="900" t="s">
        <v>2074</v>
      </c>
      <c r="G49" s="904">
        <v>100000</v>
      </c>
      <c r="H49" s="905">
        <v>52.602739726027394</v>
      </c>
      <c r="I49" s="821">
        <v>7263.59</v>
      </c>
      <c r="J49" s="903">
        <f t="shared" si="1"/>
        <v>382084.73424657533</v>
      </c>
    </row>
    <row r="50" spans="1:10">
      <c r="A50" s="896" t="s">
        <v>2075</v>
      </c>
      <c r="B50" s="897">
        <v>500500000</v>
      </c>
      <c r="C50" s="898">
        <v>104213.69863013699</v>
      </c>
      <c r="F50" s="900" t="s">
        <v>2076</v>
      </c>
      <c r="G50" s="904">
        <v>100000</v>
      </c>
      <c r="H50" s="905">
        <v>52.602739726027394</v>
      </c>
      <c r="I50" s="821">
        <v>7263.59</v>
      </c>
      <c r="J50" s="903">
        <f t="shared" si="1"/>
        <v>382084.73424657533</v>
      </c>
    </row>
    <row r="51" spans="1:10">
      <c r="A51" s="896" t="s">
        <v>2077</v>
      </c>
      <c r="B51" s="897">
        <v>500500000</v>
      </c>
      <c r="C51" s="898">
        <v>104213.69863013699</v>
      </c>
      <c r="F51" s="900" t="s">
        <v>2078</v>
      </c>
      <c r="G51" s="904">
        <v>100000</v>
      </c>
      <c r="H51" s="905">
        <v>52.602739726027394</v>
      </c>
      <c r="I51" s="821">
        <v>7263.59</v>
      </c>
      <c r="J51" s="903">
        <f t="shared" si="1"/>
        <v>382084.73424657533</v>
      </c>
    </row>
    <row r="52" spans="1:10">
      <c r="A52" s="896" t="s">
        <v>2079</v>
      </c>
      <c r="B52" s="897">
        <v>500000000</v>
      </c>
      <c r="C52" s="898">
        <v>100000</v>
      </c>
      <c r="F52" s="900" t="s">
        <v>2080</v>
      </c>
      <c r="G52" s="904">
        <v>50000</v>
      </c>
      <c r="H52" s="905">
        <v>79.520276712328766</v>
      </c>
      <c r="I52" s="821">
        <v>7263.59</v>
      </c>
      <c r="J52" s="903">
        <f t="shared" si="1"/>
        <v>577602.68672490411</v>
      </c>
    </row>
    <row r="53" spans="1:10">
      <c r="A53" s="896" t="s">
        <v>2081</v>
      </c>
      <c r="B53" s="897">
        <v>500000000</v>
      </c>
      <c r="C53" s="898">
        <v>100000</v>
      </c>
      <c r="F53" s="900" t="s">
        <v>2082</v>
      </c>
      <c r="G53" s="904">
        <v>50000</v>
      </c>
      <c r="H53" s="905">
        <v>88.355863013698624</v>
      </c>
      <c r="I53" s="821">
        <v>7263.59</v>
      </c>
      <c r="J53" s="903">
        <f t="shared" si="1"/>
        <v>641780.76302767114</v>
      </c>
    </row>
    <row r="54" spans="1:10">
      <c r="A54" s="896" t="s">
        <v>2083</v>
      </c>
      <c r="B54" s="897">
        <v>501000000</v>
      </c>
      <c r="C54" s="898">
        <v>96082.19178082193</v>
      </c>
      <c r="F54" s="900" t="s">
        <v>2084</v>
      </c>
      <c r="G54" s="904">
        <v>50000</v>
      </c>
      <c r="H54" s="905">
        <v>88.355863013698624</v>
      </c>
      <c r="I54" s="821">
        <v>7263.59</v>
      </c>
      <c r="J54" s="903">
        <f t="shared" si="1"/>
        <v>641780.76302767114</v>
      </c>
    </row>
    <row r="55" spans="1:10">
      <c r="A55" s="896" t="s">
        <v>2085</v>
      </c>
      <c r="B55" s="897">
        <v>501000000</v>
      </c>
      <c r="C55" s="898">
        <v>96082.19178082193</v>
      </c>
      <c r="F55" s="900" t="s">
        <v>2086</v>
      </c>
      <c r="G55" s="904">
        <v>50000</v>
      </c>
      <c r="H55" s="905">
        <v>212.05407123287665</v>
      </c>
      <c r="I55" s="821">
        <v>7263.59</v>
      </c>
      <c r="J55" s="903">
        <f t="shared" si="1"/>
        <v>1540273.8312664106</v>
      </c>
    </row>
    <row r="56" spans="1:10">
      <c r="A56" s="896" t="s">
        <v>2087</v>
      </c>
      <c r="B56" s="897">
        <v>501000000</v>
      </c>
      <c r="C56" s="898">
        <v>96082.19178082193</v>
      </c>
      <c r="F56" s="900" t="s">
        <v>2088</v>
      </c>
      <c r="G56" s="904">
        <v>50000</v>
      </c>
      <c r="H56" s="905">
        <v>212.05407123287665</v>
      </c>
      <c r="I56" s="821">
        <v>7263.59</v>
      </c>
      <c r="J56" s="903">
        <f t="shared" si="1"/>
        <v>1540273.8312664106</v>
      </c>
    </row>
    <row r="57" spans="1:10">
      <c r="A57" s="896" t="s">
        <v>2089</v>
      </c>
      <c r="B57" s="897">
        <v>501000000</v>
      </c>
      <c r="C57" s="898">
        <v>96082.19178082193</v>
      </c>
      <c r="F57" s="900" t="s">
        <v>2090</v>
      </c>
      <c r="G57" s="904">
        <v>50000</v>
      </c>
      <c r="H57" s="905">
        <v>247.39641643835608</v>
      </c>
      <c r="I57" s="821">
        <v>7263.59</v>
      </c>
      <c r="J57" s="903">
        <f t="shared" si="1"/>
        <v>1796986.136477479</v>
      </c>
    </row>
    <row r="58" spans="1:10">
      <c r="A58" s="896" t="s">
        <v>2091</v>
      </c>
      <c r="B58" s="897">
        <v>501000000</v>
      </c>
      <c r="C58" s="898">
        <v>96082.19178082193</v>
      </c>
      <c r="F58" s="906" t="s">
        <v>2092</v>
      </c>
      <c r="G58" s="904">
        <v>50000</v>
      </c>
      <c r="H58" s="905">
        <v>123.31506849315072</v>
      </c>
      <c r="I58" s="821">
        <v>7263.59</v>
      </c>
      <c r="J58" s="903">
        <f t="shared" si="1"/>
        <v>895710.09835616464</v>
      </c>
    </row>
    <row r="59" spans="1:10">
      <c r="A59" s="896" t="s">
        <v>2093</v>
      </c>
      <c r="B59" s="897">
        <v>501000000</v>
      </c>
      <c r="C59" s="898">
        <v>96082.19178082193</v>
      </c>
      <c r="F59" s="906" t="s">
        <v>2094</v>
      </c>
      <c r="G59" s="904">
        <v>50000</v>
      </c>
      <c r="H59" s="905">
        <v>317.09589041095904</v>
      </c>
      <c r="I59" s="821">
        <v>7263.59</v>
      </c>
      <c r="J59" s="903">
        <f t="shared" si="1"/>
        <v>2303254.5386301382</v>
      </c>
    </row>
    <row r="60" spans="1:10">
      <c r="A60" s="896" t="s">
        <v>2095</v>
      </c>
      <c r="B60" s="897">
        <v>501000000</v>
      </c>
      <c r="C60" s="898">
        <v>96082.19178082193</v>
      </c>
      <c r="F60" s="906" t="s">
        <v>2096</v>
      </c>
      <c r="G60" s="904">
        <v>50000</v>
      </c>
      <c r="H60" s="905">
        <v>325.90410958904124</v>
      </c>
      <c r="I60" s="821">
        <v>7263.59</v>
      </c>
      <c r="J60" s="903">
        <f t="shared" si="1"/>
        <v>2367233.8313698643</v>
      </c>
    </row>
    <row r="61" spans="1:10">
      <c r="A61" s="896" t="s">
        <v>2097</v>
      </c>
      <c r="B61" s="897">
        <v>501000000</v>
      </c>
      <c r="C61" s="898">
        <v>96082.19178082193</v>
      </c>
      <c r="F61" s="906" t="s">
        <v>2098</v>
      </c>
      <c r="G61" s="904">
        <v>50000</v>
      </c>
      <c r="H61" s="905">
        <v>325.90410958904124</v>
      </c>
      <c r="I61" s="821">
        <v>7263.59</v>
      </c>
      <c r="J61" s="903">
        <f t="shared" si="1"/>
        <v>2367233.8313698643</v>
      </c>
    </row>
    <row r="62" spans="1:10">
      <c r="A62" s="896" t="s">
        <v>2099</v>
      </c>
      <c r="B62" s="897">
        <v>501000000</v>
      </c>
      <c r="C62" s="898">
        <v>96082.19178082193</v>
      </c>
      <c r="F62" s="906" t="s">
        <v>2100</v>
      </c>
      <c r="G62" s="904">
        <v>50000</v>
      </c>
      <c r="H62" s="905">
        <v>26.42465753424657</v>
      </c>
      <c r="I62" s="821">
        <v>7263.59</v>
      </c>
      <c r="J62" s="903">
        <f t="shared" si="1"/>
        <v>191937.87821917806</v>
      </c>
    </row>
    <row r="63" spans="1:10">
      <c r="A63" s="896" t="s">
        <v>2101</v>
      </c>
      <c r="B63" s="897">
        <v>501000000</v>
      </c>
      <c r="C63" s="898">
        <v>96082.19178082193</v>
      </c>
      <c r="F63" s="906" t="s">
        <v>2102</v>
      </c>
      <c r="G63" s="904">
        <v>50000</v>
      </c>
      <c r="H63" s="905">
        <v>26.42465753424657</v>
      </c>
      <c r="I63" s="821">
        <v>7263.59</v>
      </c>
      <c r="J63" s="903">
        <f t="shared" si="1"/>
        <v>191937.87821917806</v>
      </c>
    </row>
    <row r="64" spans="1:10">
      <c r="A64" s="896" t="s">
        <v>2103</v>
      </c>
      <c r="B64" s="897">
        <v>501000000</v>
      </c>
      <c r="C64" s="898">
        <v>96082.19178082193</v>
      </c>
      <c r="F64" s="906" t="s">
        <v>2104</v>
      </c>
      <c r="G64" s="904">
        <v>25000</v>
      </c>
      <c r="H64" s="905">
        <v>44.040342465753426</v>
      </c>
      <c r="I64" s="821">
        <v>7263.59</v>
      </c>
      <c r="J64" s="903">
        <f t="shared" si="1"/>
        <v>319890.99113082193</v>
      </c>
    </row>
    <row r="65" spans="1:10">
      <c r="A65" s="896" t="s">
        <v>2105</v>
      </c>
      <c r="B65" s="897">
        <v>501000000</v>
      </c>
      <c r="C65" s="898">
        <v>96082.19178082193</v>
      </c>
      <c r="F65" s="906" t="s">
        <v>2106</v>
      </c>
      <c r="G65" s="904">
        <v>25000</v>
      </c>
      <c r="H65" s="905">
        <v>44.040342465753426</v>
      </c>
      <c r="I65" s="821">
        <v>7263.59</v>
      </c>
      <c r="J65" s="903">
        <f t="shared" si="1"/>
        <v>319890.99113082193</v>
      </c>
    </row>
    <row r="66" spans="1:10">
      <c r="A66" s="896" t="s">
        <v>2107</v>
      </c>
      <c r="B66" s="897">
        <v>501000000</v>
      </c>
      <c r="C66" s="898">
        <v>96082.19178082193</v>
      </c>
      <c r="F66" s="906" t="s">
        <v>2108</v>
      </c>
      <c r="G66" s="904">
        <v>25000</v>
      </c>
      <c r="H66" s="905">
        <v>44.040342465753426</v>
      </c>
      <c r="I66" s="821">
        <v>7263.59</v>
      </c>
      <c r="J66" s="903">
        <f t="shared" si="1"/>
        <v>319890.99113082193</v>
      </c>
    </row>
    <row r="67" spans="1:10">
      <c r="A67" s="896" t="s">
        <v>2109</v>
      </c>
      <c r="B67" s="897">
        <v>501000000</v>
      </c>
      <c r="C67" s="898">
        <v>96082.19178082193</v>
      </c>
      <c r="F67" s="906" t="s">
        <v>2110</v>
      </c>
      <c r="G67" s="904">
        <v>25000</v>
      </c>
      <c r="H67" s="905">
        <v>44.040342465753426</v>
      </c>
      <c r="I67" s="821">
        <v>7263.59</v>
      </c>
      <c r="J67" s="903">
        <f t="shared" si="1"/>
        <v>319890.99113082193</v>
      </c>
    </row>
    <row r="68" spans="1:10">
      <c r="A68" s="896" t="s">
        <v>2111</v>
      </c>
      <c r="B68" s="897">
        <v>501000000</v>
      </c>
      <c r="C68" s="898">
        <v>96082.19178082193</v>
      </c>
      <c r="F68" s="906" t="s">
        <v>2112</v>
      </c>
      <c r="G68" s="904">
        <v>50000</v>
      </c>
      <c r="H68" s="905">
        <v>52.849315068493141</v>
      </c>
      <c r="I68" s="821">
        <v>7263.59</v>
      </c>
      <c r="J68" s="903">
        <f t="shared" si="1"/>
        <v>383875.75643835613</v>
      </c>
    </row>
    <row r="69" spans="1:10">
      <c r="A69" s="896" t="s">
        <v>2113</v>
      </c>
      <c r="B69" s="897">
        <v>501000000</v>
      </c>
      <c r="C69" s="898">
        <v>96082.19178082193</v>
      </c>
      <c r="F69" s="906" t="s">
        <v>2114</v>
      </c>
      <c r="G69" s="904">
        <v>50000</v>
      </c>
      <c r="H69" s="905">
        <v>52.849315068493141</v>
      </c>
      <c r="I69" s="821">
        <v>7263.59</v>
      </c>
      <c r="J69" s="903">
        <f t="shared" si="1"/>
        <v>383875.75643835613</v>
      </c>
    </row>
    <row r="70" spans="1:10">
      <c r="A70" s="896" t="s">
        <v>2115</v>
      </c>
      <c r="B70" s="897">
        <v>501000000</v>
      </c>
      <c r="C70" s="898">
        <v>96082.19178082193</v>
      </c>
      <c r="F70" s="906" t="s">
        <v>2116</v>
      </c>
      <c r="G70" s="904">
        <v>50000</v>
      </c>
      <c r="H70" s="905">
        <v>61.657534246575331</v>
      </c>
      <c r="I70" s="821">
        <v>7263.59</v>
      </c>
      <c r="J70" s="903">
        <f t="shared" si="1"/>
        <v>447855.04917808209</v>
      </c>
    </row>
    <row r="71" spans="1:10">
      <c r="A71" s="896" t="s">
        <v>2117</v>
      </c>
      <c r="B71" s="897">
        <v>501000000</v>
      </c>
      <c r="C71" s="898">
        <v>96082.19178082193</v>
      </c>
      <c r="F71" s="1581" t="s">
        <v>2118</v>
      </c>
      <c r="G71" s="1581"/>
      <c r="H71" s="889">
        <f>SUM(H32:H70)</f>
        <v>5145.8828630137004</v>
      </c>
      <c r="I71" s="890" t="s">
        <v>2119</v>
      </c>
      <c r="J71" s="889">
        <f>SUM(J32:J70)</f>
        <v>37377583.30495768</v>
      </c>
    </row>
    <row r="72" spans="1:10">
      <c r="A72" s="896" t="s">
        <v>2120</v>
      </c>
      <c r="B72" s="897">
        <v>501000000</v>
      </c>
      <c r="C72" s="898">
        <v>96082.19178082193</v>
      </c>
    </row>
    <row r="73" spans="1:10">
      <c r="A73" s="896" t="s">
        <v>2121</v>
      </c>
      <c r="B73" s="897">
        <v>501000000</v>
      </c>
      <c r="C73" s="898">
        <v>96082.19178082193</v>
      </c>
    </row>
    <row r="74" spans="1:10">
      <c r="A74" s="896" t="s">
        <v>2122</v>
      </c>
      <c r="B74" s="897">
        <v>501000000</v>
      </c>
      <c r="C74" s="898">
        <v>104317.80821917808</v>
      </c>
    </row>
    <row r="75" spans="1:10">
      <c r="A75" s="896" t="s">
        <v>2123</v>
      </c>
      <c r="B75" s="897">
        <v>501000000</v>
      </c>
      <c r="C75" s="898">
        <v>104317.80821917808</v>
      </c>
    </row>
    <row r="76" spans="1:10">
      <c r="A76" s="896" t="s">
        <v>2124</v>
      </c>
      <c r="B76" s="897">
        <v>501000000</v>
      </c>
      <c r="C76" s="898">
        <v>104317.80821917808</v>
      </c>
    </row>
    <row r="77" spans="1:10">
      <c r="A77" s="896" t="s">
        <v>2125</v>
      </c>
      <c r="B77" s="897">
        <v>501000000</v>
      </c>
      <c r="C77" s="898">
        <v>104317.80821917808</v>
      </c>
    </row>
    <row r="78" spans="1:10">
      <c r="A78" s="896" t="s">
        <v>2126</v>
      </c>
      <c r="B78" s="897">
        <v>501000000</v>
      </c>
      <c r="C78" s="898">
        <v>104317.80821917808</v>
      </c>
    </row>
    <row r="79" spans="1:10">
      <c r="A79" s="896" t="s">
        <v>2127</v>
      </c>
      <c r="B79" s="897">
        <v>501000000</v>
      </c>
      <c r="C79" s="898">
        <v>104317.80821917807</v>
      </c>
    </row>
    <row r="80" spans="1:10">
      <c r="A80" s="896" t="s">
        <v>2128</v>
      </c>
      <c r="B80" s="897">
        <v>501000000</v>
      </c>
      <c r="C80" s="898">
        <v>104317.80821917807</v>
      </c>
    </row>
    <row r="81" spans="1:3">
      <c r="A81" s="896" t="s">
        <v>2129</v>
      </c>
      <c r="B81" s="897">
        <v>501000000</v>
      </c>
      <c r="C81" s="898">
        <v>104317.80821917807</v>
      </c>
    </row>
    <row r="82" spans="1:3">
      <c r="A82" s="896" t="s">
        <v>2130</v>
      </c>
      <c r="B82" s="897">
        <v>501000000</v>
      </c>
      <c r="C82" s="898">
        <v>104317.80821917808</v>
      </c>
    </row>
    <row r="83" spans="1:3">
      <c r="A83" s="896" t="s">
        <v>2131</v>
      </c>
      <c r="B83" s="897">
        <v>501000000</v>
      </c>
      <c r="C83" s="898">
        <v>104317.80821917808</v>
      </c>
    </row>
    <row r="84" spans="1:3">
      <c r="A84" s="896" t="s">
        <v>2132</v>
      </c>
      <c r="B84" s="897">
        <v>501000000</v>
      </c>
      <c r="C84" s="898">
        <v>104317.80821917808</v>
      </c>
    </row>
    <row r="85" spans="1:3">
      <c r="A85" s="896" t="s">
        <v>2133</v>
      </c>
      <c r="B85" s="897">
        <v>501000000</v>
      </c>
      <c r="C85" s="898">
        <v>104317.80821917808</v>
      </c>
    </row>
    <row r="86" spans="1:3">
      <c r="A86" s="896" t="s">
        <v>2134</v>
      </c>
      <c r="B86" s="897">
        <v>501000000</v>
      </c>
      <c r="C86" s="898">
        <v>104317.80821917808</v>
      </c>
    </row>
    <row r="87" spans="1:3">
      <c r="A87" s="896" t="s">
        <v>2135</v>
      </c>
      <c r="B87" s="897">
        <v>501000000</v>
      </c>
      <c r="C87" s="898">
        <v>104317.80821917808</v>
      </c>
    </row>
    <row r="88" spans="1:3">
      <c r="A88" s="896" t="s">
        <v>2136</v>
      </c>
      <c r="B88" s="897">
        <v>501000000</v>
      </c>
      <c r="C88" s="898">
        <v>104317.80821917808</v>
      </c>
    </row>
    <row r="89" spans="1:3">
      <c r="A89" s="896" t="s">
        <v>2137</v>
      </c>
      <c r="B89" s="897">
        <v>501000000</v>
      </c>
      <c r="C89" s="898">
        <v>104317.80821917808</v>
      </c>
    </row>
    <row r="90" spans="1:3">
      <c r="A90" s="896" t="s">
        <v>2138</v>
      </c>
      <c r="B90" s="897">
        <v>501000000</v>
      </c>
      <c r="C90" s="898">
        <v>104317.80821917808</v>
      </c>
    </row>
    <row r="91" spans="1:3">
      <c r="A91" s="896" t="s">
        <v>2139</v>
      </c>
      <c r="B91" s="897">
        <v>501000000</v>
      </c>
      <c r="C91" s="898">
        <v>104317.80821917808</v>
      </c>
    </row>
    <row r="92" spans="1:3">
      <c r="A92" s="896" t="s">
        <v>2140</v>
      </c>
      <c r="B92" s="897">
        <v>501000000</v>
      </c>
      <c r="C92" s="898">
        <v>104317.80821917808</v>
      </c>
    </row>
    <row r="93" spans="1:3">
      <c r="A93" s="896" t="s">
        <v>2141</v>
      </c>
      <c r="B93" s="897">
        <v>501000000</v>
      </c>
      <c r="C93" s="898">
        <v>104317.80821917808</v>
      </c>
    </row>
    <row r="94" spans="1:3">
      <c r="A94" s="896" t="s">
        <v>2142</v>
      </c>
      <c r="B94" s="897">
        <v>501000000</v>
      </c>
      <c r="C94" s="898">
        <v>104317.80821917808</v>
      </c>
    </row>
    <row r="95" spans="1:3">
      <c r="A95" s="896" t="s">
        <v>2143</v>
      </c>
      <c r="B95" s="897">
        <v>501000000</v>
      </c>
      <c r="C95" s="898">
        <v>104317.80821917808</v>
      </c>
    </row>
    <row r="96" spans="1:3">
      <c r="A96" s="896" t="s">
        <v>2144</v>
      </c>
      <c r="B96" s="897">
        <v>501000000</v>
      </c>
      <c r="C96" s="898">
        <v>104317.80821917808</v>
      </c>
    </row>
    <row r="97" spans="1:3">
      <c r="A97" s="896" t="s">
        <v>2145</v>
      </c>
      <c r="B97" s="897">
        <v>501000000</v>
      </c>
      <c r="C97" s="898">
        <v>104317.80821917808</v>
      </c>
    </row>
    <row r="98" spans="1:3">
      <c r="A98" s="896" t="s">
        <v>2146</v>
      </c>
      <c r="B98" s="897">
        <v>501000000</v>
      </c>
      <c r="C98" s="898">
        <v>104317.80821917808</v>
      </c>
    </row>
    <row r="99" spans="1:3">
      <c r="A99" s="896" t="s">
        <v>2147</v>
      </c>
      <c r="B99" s="897">
        <v>500500000</v>
      </c>
      <c r="C99" s="898">
        <v>1086016.4383561646</v>
      </c>
    </row>
    <row r="100" spans="1:3">
      <c r="A100" s="896" t="s">
        <v>2148</v>
      </c>
      <c r="B100" s="897">
        <v>500500000</v>
      </c>
      <c r="C100" s="898">
        <v>1086016.4383561646</v>
      </c>
    </row>
    <row r="101" spans="1:3">
      <c r="A101" s="896" t="s">
        <v>2149</v>
      </c>
      <c r="B101" s="897">
        <v>500500000</v>
      </c>
      <c r="C101" s="898">
        <v>1086016.4383561646</v>
      </c>
    </row>
    <row r="102" spans="1:3">
      <c r="A102" s="896" t="s">
        <v>2150</v>
      </c>
      <c r="B102" s="897">
        <v>500500000</v>
      </c>
      <c r="C102" s="898">
        <v>1086016.4383561646</v>
      </c>
    </row>
    <row r="103" spans="1:3">
      <c r="A103" s="896" t="s">
        <v>2151</v>
      </c>
      <c r="B103" s="897">
        <v>500500000</v>
      </c>
      <c r="C103" s="898">
        <v>1086016.4383561646</v>
      </c>
    </row>
    <row r="104" spans="1:3">
      <c r="A104" s="896" t="s">
        <v>2152</v>
      </c>
      <c r="B104" s="897">
        <v>500500000</v>
      </c>
      <c r="C104" s="898">
        <v>1086016.4383561646</v>
      </c>
    </row>
    <row r="105" spans="1:3">
      <c r="A105" s="896" t="s">
        <v>2153</v>
      </c>
      <c r="B105" s="897">
        <v>500500000</v>
      </c>
      <c r="C105" s="898">
        <v>1086016.4383561646</v>
      </c>
    </row>
    <row r="106" spans="1:3">
      <c r="A106" s="896" t="s">
        <v>2154</v>
      </c>
      <c r="B106" s="897">
        <v>500500000</v>
      </c>
      <c r="C106" s="898">
        <v>1086016.4383561646</v>
      </c>
    </row>
    <row r="107" spans="1:3">
      <c r="A107" s="896" t="s">
        <v>2155</v>
      </c>
      <c r="B107" s="897">
        <v>500500000</v>
      </c>
      <c r="C107" s="898">
        <v>1086016.4383561646</v>
      </c>
    </row>
    <row r="108" spans="1:3">
      <c r="A108" s="896" t="s">
        <v>2156</v>
      </c>
      <c r="B108" s="897">
        <v>500500000</v>
      </c>
      <c r="C108" s="898">
        <v>1086016.4383561646</v>
      </c>
    </row>
    <row r="109" spans="1:3">
      <c r="A109" s="896" t="s">
        <v>2157</v>
      </c>
      <c r="B109" s="897">
        <v>500500000</v>
      </c>
      <c r="C109" s="898">
        <v>4464734.2465753434</v>
      </c>
    </row>
    <row r="110" spans="1:3">
      <c r="A110" s="896" t="s">
        <v>1516</v>
      </c>
      <c r="B110" s="897">
        <v>500500000</v>
      </c>
      <c r="C110" s="898">
        <v>10377490.410958907</v>
      </c>
    </row>
    <row r="111" spans="1:3">
      <c r="A111" s="896" t="s">
        <v>1517</v>
      </c>
      <c r="B111" s="897">
        <v>500500000</v>
      </c>
      <c r="C111" s="898">
        <v>10377490.410958907</v>
      </c>
    </row>
    <row r="112" spans="1:3">
      <c r="A112" s="896" t="s">
        <v>1518</v>
      </c>
      <c r="B112" s="897">
        <v>500500000</v>
      </c>
      <c r="C112" s="898">
        <v>10377490.410958907</v>
      </c>
    </row>
    <row r="113" spans="1:3">
      <c r="A113" s="896" t="s">
        <v>2158</v>
      </c>
      <c r="B113" s="897">
        <v>100000000</v>
      </c>
      <c r="C113" s="898">
        <v>145479.4520547945</v>
      </c>
    </row>
    <row r="114" spans="1:3">
      <c r="A114" s="896" t="s">
        <v>2159</v>
      </c>
      <c r="B114" s="897">
        <v>100000000</v>
      </c>
      <c r="C114" s="898">
        <v>145479.4520547945</v>
      </c>
    </row>
    <row r="115" spans="1:3">
      <c r="A115" s="896" t="s">
        <v>2160</v>
      </c>
      <c r="B115" s="897">
        <v>100000000</v>
      </c>
      <c r="C115" s="898">
        <v>145479.4520547945</v>
      </c>
    </row>
    <row r="116" spans="1:3">
      <c r="A116" s="896" t="s">
        <v>2161</v>
      </c>
      <c r="B116" s="897">
        <v>100000000</v>
      </c>
      <c r="C116" s="898">
        <v>242465.75342465748</v>
      </c>
    </row>
    <row r="117" spans="1:3">
      <c r="A117" s="896" t="s">
        <v>2162</v>
      </c>
      <c r="B117" s="897">
        <v>100000000</v>
      </c>
      <c r="C117" s="898">
        <v>242465.75342465748</v>
      </c>
    </row>
    <row r="118" spans="1:3">
      <c r="A118" s="896" t="s">
        <v>2163</v>
      </c>
      <c r="B118" s="897">
        <v>100000000</v>
      </c>
      <c r="C118" s="898">
        <v>606164.383561644</v>
      </c>
    </row>
    <row r="119" spans="1:3">
      <c r="A119" s="896" t="s">
        <v>2164</v>
      </c>
      <c r="B119" s="897">
        <v>100000000</v>
      </c>
      <c r="C119" s="898">
        <v>606164.383561644</v>
      </c>
    </row>
    <row r="120" spans="1:3">
      <c r="A120" s="896" t="s">
        <v>2165</v>
      </c>
      <c r="B120" s="897">
        <v>100000000</v>
      </c>
      <c r="C120" s="898">
        <v>606164.383561644</v>
      </c>
    </row>
    <row r="121" spans="1:3">
      <c r="A121" s="896" t="s">
        <v>1525</v>
      </c>
      <c r="B121" s="897">
        <v>100000000</v>
      </c>
      <c r="C121" s="898">
        <v>1794246.5753424633</v>
      </c>
    </row>
    <row r="122" spans="1:3">
      <c r="A122" s="896" t="s">
        <v>1526</v>
      </c>
      <c r="B122" s="897">
        <v>100000000</v>
      </c>
      <c r="C122" s="898">
        <v>1794246.5753424633</v>
      </c>
    </row>
    <row r="123" spans="1:3">
      <c r="A123" s="896" t="s">
        <v>2166</v>
      </c>
      <c r="B123" s="897">
        <v>500000000</v>
      </c>
      <c r="C123" s="898">
        <v>791095.89041095902</v>
      </c>
    </row>
    <row r="124" spans="1:3">
      <c r="A124" s="896" t="s">
        <v>2167</v>
      </c>
      <c r="B124" s="897">
        <v>500000000</v>
      </c>
      <c r="C124" s="898">
        <v>791095.89041095902</v>
      </c>
    </row>
    <row r="125" spans="1:3">
      <c r="A125" s="896" t="s">
        <v>2168</v>
      </c>
      <c r="B125" s="897">
        <v>500000000</v>
      </c>
      <c r="C125" s="898">
        <v>791095.89041095902</v>
      </c>
    </row>
    <row r="126" spans="1:3">
      <c r="A126" s="896" t="s">
        <v>2169</v>
      </c>
      <c r="B126" s="897">
        <v>500000000</v>
      </c>
      <c r="C126" s="898">
        <v>791095.89041095902</v>
      </c>
    </row>
    <row r="127" spans="1:3">
      <c r="A127" s="896" t="s">
        <v>2170</v>
      </c>
      <c r="B127" s="897">
        <v>500000000</v>
      </c>
      <c r="C127" s="898">
        <v>791095.89041095902</v>
      </c>
    </row>
    <row r="128" spans="1:3">
      <c r="A128" s="896" t="s">
        <v>2171</v>
      </c>
      <c r="B128" s="897">
        <v>500000000</v>
      </c>
      <c r="C128" s="898">
        <v>791095.89041095902</v>
      </c>
    </row>
    <row r="129" spans="1:3">
      <c r="A129" s="896" t="s">
        <v>2172</v>
      </c>
      <c r="B129" s="897">
        <v>500000000</v>
      </c>
      <c r="C129" s="898">
        <v>791095.89041095902</v>
      </c>
    </row>
    <row r="130" spans="1:3">
      <c r="A130" s="896" t="s">
        <v>2173</v>
      </c>
      <c r="B130" s="897">
        <v>500000000</v>
      </c>
      <c r="C130" s="898">
        <v>791095.89041095902</v>
      </c>
    </row>
    <row r="131" spans="1:3">
      <c r="A131" s="896" t="s">
        <v>2174</v>
      </c>
      <c r="B131" s="897">
        <v>500000000</v>
      </c>
      <c r="C131" s="898">
        <v>791095.89041095902</v>
      </c>
    </row>
    <row r="132" spans="1:3">
      <c r="A132" s="896" t="s">
        <v>2175</v>
      </c>
      <c r="B132" s="897">
        <v>500000000</v>
      </c>
      <c r="C132" s="898">
        <v>791095.89041095902</v>
      </c>
    </row>
    <row r="133" spans="1:3">
      <c r="A133" s="896" t="s">
        <v>2176</v>
      </c>
      <c r="B133" s="897">
        <v>200000000</v>
      </c>
      <c r="C133" s="898">
        <v>271232.87671232875</v>
      </c>
    </row>
    <row r="134" spans="1:3">
      <c r="A134" s="896" t="s">
        <v>2177</v>
      </c>
      <c r="B134" s="897">
        <v>200000000</v>
      </c>
      <c r="C134" s="898">
        <v>271232.87671232875</v>
      </c>
    </row>
    <row r="135" spans="1:3">
      <c r="A135" s="896" t="s">
        <v>2178</v>
      </c>
      <c r="B135" s="897">
        <v>200000000</v>
      </c>
      <c r="C135" s="898">
        <v>271232.87671232875</v>
      </c>
    </row>
    <row r="136" spans="1:3">
      <c r="A136" s="896" t="s">
        <v>2179</v>
      </c>
      <c r="B136" s="897">
        <v>200000000</v>
      </c>
      <c r="C136" s="898">
        <v>271232.87671232875</v>
      </c>
    </row>
    <row r="137" spans="1:3">
      <c r="A137" s="896" t="s">
        <v>2180</v>
      </c>
      <c r="B137" s="897">
        <v>200000000</v>
      </c>
      <c r="C137" s="898">
        <v>271232.87671232875</v>
      </c>
    </row>
    <row r="138" spans="1:3">
      <c r="A138" s="896" t="s">
        <v>2181</v>
      </c>
      <c r="B138" s="897">
        <v>200000000</v>
      </c>
      <c r="C138" s="898">
        <v>271232.87671232875</v>
      </c>
    </row>
    <row r="139" spans="1:3">
      <c r="A139" s="896" t="s">
        <v>2182</v>
      </c>
      <c r="B139" s="897">
        <v>200000000</v>
      </c>
      <c r="C139" s="898">
        <v>271232.87671232875</v>
      </c>
    </row>
    <row r="140" spans="1:3">
      <c r="A140" s="896" t="s">
        <v>2183</v>
      </c>
      <c r="B140" s="897">
        <v>200000000</v>
      </c>
      <c r="C140" s="898">
        <v>271232.87671232875</v>
      </c>
    </row>
    <row r="141" spans="1:3">
      <c r="A141" s="896" t="s">
        <v>2184</v>
      </c>
      <c r="B141" s="897">
        <v>200000000</v>
      </c>
      <c r="C141" s="898">
        <v>271232.87671232875</v>
      </c>
    </row>
    <row r="142" spans="1:3">
      <c r="A142" s="896" t="s">
        <v>2185</v>
      </c>
      <c r="B142" s="897">
        <v>200000000</v>
      </c>
      <c r="C142" s="898">
        <v>271232.87671232875</v>
      </c>
    </row>
    <row r="143" spans="1:3">
      <c r="A143" s="896" t="s">
        <v>2186</v>
      </c>
      <c r="B143" s="897">
        <v>100000000</v>
      </c>
      <c r="C143" s="898">
        <v>90410.95890410959</v>
      </c>
    </row>
    <row r="144" spans="1:3">
      <c r="A144" s="896" t="s">
        <v>1552</v>
      </c>
      <c r="B144" s="897">
        <v>100000000</v>
      </c>
      <c r="C144" s="898">
        <v>1039726.0273972595</v>
      </c>
    </row>
    <row r="145" spans="1:3">
      <c r="A145" s="896" t="s">
        <v>1553</v>
      </c>
      <c r="B145" s="897">
        <v>100000000</v>
      </c>
      <c r="C145" s="898">
        <v>1853424.6575342484</v>
      </c>
    </row>
    <row r="146" spans="1:3">
      <c r="A146" s="896" t="s">
        <v>1554</v>
      </c>
      <c r="B146" s="897">
        <v>100000000</v>
      </c>
      <c r="C146" s="898">
        <v>2418493.150684935</v>
      </c>
    </row>
    <row r="147" spans="1:3">
      <c r="A147" s="896" t="s">
        <v>1555</v>
      </c>
      <c r="B147" s="897">
        <v>100000000</v>
      </c>
      <c r="C147" s="898">
        <v>2418493.150684935</v>
      </c>
    </row>
    <row r="148" spans="1:3">
      <c r="A148" s="896" t="s">
        <v>1556</v>
      </c>
      <c r="B148" s="897">
        <v>100000000</v>
      </c>
      <c r="C148" s="898">
        <v>2418493.150684935</v>
      </c>
    </row>
    <row r="149" spans="1:3">
      <c r="A149" s="896" t="s">
        <v>1557</v>
      </c>
      <c r="B149" s="897">
        <v>100000000</v>
      </c>
      <c r="C149" s="898">
        <v>2418493.150684935</v>
      </c>
    </row>
    <row r="150" spans="1:3">
      <c r="A150" s="896" t="s">
        <v>1558</v>
      </c>
      <c r="B150" s="897">
        <v>100000000</v>
      </c>
      <c r="C150" s="898">
        <v>2418493.150684935</v>
      </c>
    </row>
    <row r="151" spans="1:3">
      <c r="A151" s="896" t="s">
        <v>1559</v>
      </c>
      <c r="B151" s="897">
        <v>100000000</v>
      </c>
      <c r="C151" s="898">
        <v>2418493.150684935</v>
      </c>
    </row>
    <row r="152" spans="1:3">
      <c r="A152" s="896" t="s">
        <v>1560</v>
      </c>
      <c r="B152" s="897">
        <v>100000000</v>
      </c>
      <c r="C152" s="898">
        <v>2418493.150684935</v>
      </c>
    </row>
    <row r="153" spans="1:3">
      <c r="A153" s="896" t="s">
        <v>1561</v>
      </c>
      <c r="B153" s="897">
        <v>100000000</v>
      </c>
      <c r="C153" s="898">
        <v>2305479.4520547977</v>
      </c>
    </row>
    <row r="154" spans="1:3">
      <c r="A154" s="896" t="s">
        <v>1562</v>
      </c>
      <c r="B154" s="897">
        <v>100000000</v>
      </c>
      <c r="C154" s="898">
        <v>2305479.4520547977</v>
      </c>
    </row>
    <row r="155" spans="1:3">
      <c r="A155" s="896" t="s">
        <v>1563</v>
      </c>
      <c r="B155" s="897">
        <v>100000000</v>
      </c>
      <c r="C155" s="898">
        <v>2305479.4520547977</v>
      </c>
    </row>
    <row r="156" spans="1:3">
      <c r="A156" s="896" t="s">
        <v>1564</v>
      </c>
      <c r="B156" s="897">
        <v>100000000</v>
      </c>
      <c r="C156" s="898">
        <v>2305479.4520547977</v>
      </c>
    </row>
    <row r="157" spans="1:3">
      <c r="A157" s="896" t="s">
        <v>1565</v>
      </c>
      <c r="B157" s="897">
        <v>100000000</v>
      </c>
      <c r="C157" s="898">
        <v>2305479.4520547977</v>
      </c>
    </row>
    <row r="158" spans="1:3">
      <c r="A158" s="896" t="s">
        <v>1566</v>
      </c>
      <c r="B158" s="897">
        <v>100000000</v>
      </c>
      <c r="C158" s="898">
        <v>2305479.4520547977</v>
      </c>
    </row>
    <row r="159" spans="1:3">
      <c r="A159" s="896" t="s">
        <v>1567</v>
      </c>
      <c r="B159" s="897">
        <v>100000000</v>
      </c>
      <c r="C159" s="898">
        <v>2305479.4520547977</v>
      </c>
    </row>
    <row r="160" spans="1:3">
      <c r="A160" s="896" t="s">
        <v>1568</v>
      </c>
      <c r="B160" s="897">
        <v>100000000</v>
      </c>
      <c r="C160" s="898">
        <v>2305479.4520547977</v>
      </c>
    </row>
    <row r="161" spans="1:3">
      <c r="A161" s="896" t="s">
        <v>1569</v>
      </c>
      <c r="B161" s="897">
        <v>100000000</v>
      </c>
      <c r="C161" s="898">
        <v>2305479.4520547977</v>
      </c>
    </row>
    <row r="162" spans="1:3">
      <c r="A162" s="896" t="s">
        <v>1570</v>
      </c>
      <c r="B162" s="897">
        <v>100000000</v>
      </c>
      <c r="C162" s="898">
        <v>2305479.4520547977</v>
      </c>
    </row>
    <row r="163" spans="1:3">
      <c r="A163" s="896" t="s">
        <v>1571</v>
      </c>
      <c r="B163" s="897">
        <v>100000000</v>
      </c>
      <c r="C163" s="898">
        <v>2305479.4520547977</v>
      </c>
    </row>
    <row r="164" spans="1:3">
      <c r="A164" s="896" t="s">
        <v>1572</v>
      </c>
      <c r="B164" s="897">
        <v>100000000</v>
      </c>
      <c r="C164" s="898">
        <v>2305479.4520547977</v>
      </c>
    </row>
    <row r="165" spans="1:3">
      <c r="A165" s="896" t="s">
        <v>1573</v>
      </c>
      <c r="B165" s="897">
        <v>100000000</v>
      </c>
      <c r="C165" s="898">
        <v>2305479.4520547977</v>
      </c>
    </row>
    <row r="166" spans="1:3">
      <c r="A166" s="896" t="s">
        <v>1574</v>
      </c>
      <c r="B166" s="897">
        <v>100000000</v>
      </c>
      <c r="C166" s="898">
        <v>2305479.4520547977</v>
      </c>
    </row>
    <row r="167" spans="1:3">
      <c r="A167" s="896" t="s">
        <v>1575</v>
      </c>
      <c r="B167" s="897">
        <v>100000000</v>
      </c>
      <c r="C167" s="898">
        <v>2305479.4520547977</v>
      </c>
    </row>
    <row r="168" spans="1:3">
      <c r="A168" s="896" t="s">
        <v>1576</v>
      </c>
      <c r="B168" s="897">
        <v>100000000</v>
      </c>
      <c r="C168" s="898">
        <v>2305479.4520547977</v>
      </c>
    </row>
    <row r="169" spans="1:3">
      <c r="A169" s="896" t="s">
        <v>1577</v>
      </c>
      <c r="B169" s="897">
        <v>200000000</v>
      </c>
      <c r="C169" s="898">
        <v>3480821.9178082221</v>
      </c>
    </row>
    <row r="170" spans="1:3">
      <c r="A170" s="896" t="s">
        <v>1578</v>
      </c>
      <c r="B170" s="897">
        <v>200000000</v>
      </c>
      <c r="C170" s="898">
        <v>3480821.9178082221</v>
      </c>
    </row>
    <row r="171" spans="1:3">
      <c r="A171" s="896" t="s">
        <v>1579</v>
      </c>
      <c r="B171" s="897">
        <v>200000000</v>
      </c>
      <c r="C171" s="898">
        <v>3480821.9178082221</v>
      </c>
    </row>
    <row r="172" spans="1:3">
      <c r="A172" s="896" t="s">
        <v>1580</v>
      </c>
      <c r="B172" s="897">
        <v>200000000</v>
      </c>
      <c r="C172" s="898">
        <v>3480821.9178082221</v>
      </c>
    </row>
    <row r="173" spans="1:3">
      <c r="A173" s="896" t="s">
        <v>1581</v>
      </c>
      <c r="B173" s="897">
        <v>200000000</v>
      </c>
      <c r="C173" s="898">
        <v>3480821.9178082221</v>
      </c>
    </row>
    <row r="174" spans="1:3">
      <c r="A174" s="896" t="s">
        <v>1582</v>
      </c>
      <c r="B174" s="897">
        <v>200000000</v>
      </c>
      <c r="C174" s="898">
        <v>3480821.9178082221</v>
      </c>
    </row>
    <row r="175" spans="1:3">
      <c r="A175" s="896" t="s">
        <v>1583</v>
      </c>
      <c r="B175" s="897">
        <v>200000000</v>
      </c>
      <c r="C175" s="898">
        <v>3480821.9178082221</v>
      </c>
    </row>
    <row r="176" spans="1:3">
      <c r="A176" s="896" t="s">
        <v>2187</v>
      </c>
      <c r="B176" s="897">
        <v>501000000</v>
      </c>
      <c r="C176" s="898">
        <v>7093610.9589040987</v>
      </c>
    </row>
    <row r="177" spans="1:3">
      <c r="A177" s="896" t="s">
        <v>2188</v>
      </c>
      <c r="B177" s="897">
        <v>501000000</v>
      </c>
      <c r="C177" s="898">
        <v>7093610.9589040987</v>
      </c>
    </row>
    <row r="178" spans="1:3">
      <c r="A178" s="896" t="s">
        <v>2189</v>
      </c>
      <c r="B178" s="897">
        <v>501000000</v>
      </c>
      <c r="C178" s="898">
        <v>7093610.9589040987</v>
      </c>
    </row>
    <row r="179" spans="1:3">
      <c r="A179" s="896" t="s">
        <v>2190</v>
      </c>
      <c r="B179" s="897">
        <v>501000000</v>
      </c>
      <c r="C179" s="898">
        <v>7093610.9589040987</v>
      </c>
    </row>
    <row r="180" spans="1:3">
      <c r="A180" s="896" t="s">
        <v>2191</v>
      </c>
      <c r="B180" s="897">
        <v>100000000</v>
      </c>
      <c r="C180" s="898">
        <v>836301.36986301327</v>
      </c>
    </row>
    <row r="181" spans="1:3">
      <c r="A181" s="896" t="s">
        <v>2192</v>
      </c>
      <c r="B181" s="897">
        <v>100000000</v>
      </c>
      <c r="C181" s="898">
        <v>836301.36986301327</v>
      </c>
    </row>
    <row r="182" spans="1:3">
      <c r="A182" s="896" t="s">
        <v>2193</v>
      </c>
      <c r="B182" s="897">
        <v>100000000</v>
      </c>
      <c r="C182" s="898">
        <v>836301.36986301327</v>
      </c>
    </row>
    <row r="183" spans="1:3">
      <c r="A183" s="896" t="s">
        <v>2194</v>
      </c>
      <c r="B183" s="897">
        <v>100000000</v>
      </c>
      <c r="C183" s="898">
        <v>836301.36986301327</v>
      </c>
    </row>
    <row r="184" spans="1:3">
      <c r="A184" s="896" t="s">
        <v>2195</v>
      </c>
      <c r="B184" s="897">
        <v>100000000</v>
      </c>
      <c r="C184" s="898">
        <v>836301.36986301327</v>
      </c>
    </row>
    <row r="185" spans="1:3">
      <c r="A185" s="896" t="s">
        <v>2196</v>
      </c>
      <c r="B185" s="897">
        <v>501000000</v>
      </c>
      <c r="C185" s="898">
        <v>2503627.3972602743</v>
      </c>
    </row>
    <row r="186" spans="1:3">
      <c r="A186" s="896" t="s">
        <v>2197</v>
      </c>
      <c r="B186" s="897">
        <v>501000000</v>
      </c>
      <c r="C186" s="898">
        <v>2503627.3972602743</v>
      </c>
    </row>
    <row r="187" spans="1:3">
      <c r="A187" s="896" t="s">
        <v>2198</v>
      </c>
      <c r="B187" s="897">
        <v>501000000</v>
      </c>
      <c r="C187" s="898">
        <v>2503627.3972602743</v>
      </c>
    </row>
    <row r="188" spans="1:3">
      <c r="A188" s="896" t="s">
        <v>2199</v>
      </c>
      <c r="B188" s="897">
        <v>200000000</v>
      </c>
      <c r="C188" s="898">
        <v>39999.999999999993</v>
      </c>
    </row>
    <row r="189" spans="1:3">
      <c r="A189" s="896" t="s">
        <v>2200</v>
      </c>
      <c r="B189" s="897">
        <v>200000000</v>
      </c>
      <c r="C189" s="898">
        <v>39999.999999999993</v>
      </c>
    </row>
    <row r="190" spans="1:3">
      <c r="A190" s="896" t="s">
        <v>2201</v>
      </c>
      <c r="B190" s="897">
        <v>200000000</v>
      </c>
      <c r="C190" s="898">
        <v>652054.79452054796</v>
      </c>
    </row>
    <row r="191" spans="1:3">
      <c r="A191" s="896" t="s">
        <v>2202</v>
      </c>
      <c r="B191" s="897">
        <v>200000000</v>
      </c>
      <c r="C191" s="898">
        <v>372602.73972602742</v>
      </c>
    </row>
    <row r="192" spans="1:3">
      <c r="A192" s="896" t="s">
        <v>1551</v>
      </c>
      <c r="B192" s="897">
        <v>100000000</v>
      </c>
      <c r="C192" s="898">
        <v>482191.78082191816</v>
      </c>
    </row>
    <row r="193" spans="1:3">
      <c r="A193" s="896" t="s">
        <v>2203</v>
      </c>
      <c r="B193" s="897">
        <v>100000000</v>
      </c>
      <c r="C193" s="898">
        <v>156164.38356164386</v>
      </c>
    </row>
    <row r="194" spans="1:3">
      <c r="A194" s="896" t="s">
        <v>2204</v>
      </c>
      <c r="B194" s="897">
        <v>100000000</v>
      </c>
      <c r="C194" s="898">
        <v>156164.38356164386</v>
      </c>
    </row>
    <row r="195" spans="1:3">
      <c r="A195" s="896" t="s">
        <v>2205</v>
      </c>
      <c r="B195" s="897">
        <v>100000000</v>
      </c>
      <c r="C195" s="898">
        <v>208219.17808219182</v>
      </c>
    </row>
    <row r="196" spans="1:3">
      <c r="A196" s="896" t="s">
        <v>2206</v>
      </c>
      <c r="B196" s="897">
        <v>100000000</v>
      </c>
      <c r="C196" s="898">
        <v>208219.17808219182</v>
      </c>
    </row>
    <row r="197" spans="1:3">
      <c r="A197" s="896" t="s">
        <v>2207</v>
      </c>
      <c r="B197" s="897">
        <v>100000000</v>
      </c>
      <c r="C197" s="898">
        <v>208219.17808219182</v>
      </c>
    </row>
    <row r="198" spans="1:3">
      <c r="A198" s="1579" t="s">
        <v>2208</v>
      </c>
      <c r="B198" s="1580"/>
      <c r="C198" s="891">
        <f>SUM(C31:C197)</f>
        <v>215163309.58904114</v>
      </c>
    </row>
    <row r="201" spans="1:3">
      <c r="A201" s="1579" t="s">
        <v>2209</v>
      </c>
      <c r="B201" s="1580"/>
      <c r="C201" s="891">
        <f>+C198+J71</f>
        <v>252540892.89399883</v>
      </c>
    </row>
  </sheetData>
  <sheetProtection algorithmName="SHA-512" hashValue="QK730rnQhZVJdt6Cmhlr+fPLqxjPNaaMrvAlcV6ILFyYcIj+gKwz/NmMEPrPABUHzTpi5A9COW5Lj5Esf2uAbA==" saltValue="DBIGVobs0kPnTfwTM+uSwQ==" spinCount="100000" sheet="1" objects="1" scenarios="1"/>
  <mergeCells count="3">
    <mergeCell ref="A198:B198"/>
    <mergeCell ref="A201:B201"/>
    <mergeCell ref="F71:G7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97596-7137-4B02-9A56-980BA8AD9D0E}">
  <sheetPr codeName="Hoja23">
    <tabColor rgb="FFFF0000"/>
  </sheetPr>
  <dimension ref="A1:S454"/>
  <sheetViews>
    <sheetView topLeftCell="A118" zoomScale="80" zoomScaleNormal="80" workbookViewId="0">
      <selection activeCell="H123" sqref="H123"/>
    </sheetView>
  </sheetViews>
  <sheetFormatPr baseColWidth="10" defaultRowHeight="12.75" customHeight="1"/>
  <cols>
    <col min="1" max="1" width="2.109375" customWidth="1"/>
    <col min="2" max="2" width="32.44140625" customWidth="1"/>
    <col min="3" max="3" width="9.44140625" bestFit="1" customWidth="1"/>
    <col min="4" max="4" width="14.33203125" customWidth="1"/>
    <col min="5" max="5" width="13.88671875" customWidth="1"/>
    <col min="6" max="6" width="10.44140625" bestFit="1" customWidth="1"/>
    <col min="7" max="7" width="18.33203125" bestFit="1" customWidth="1"/>
    <col min="8" max="8" width="17.109375" bestFit="1" customWidth="1"/>
    <col min="9" max="9" width="17.44140625" bestFit="1" customWidth="1"/>
    <col min="10" max="11" width="17.5546875" customWidth="1"/>
    <col min="12" max="12" width="21.109375" bestFit="1" customWidth="1"/>
    <col min="13" max="13" width="12.44140625" bestFit="1" customWidth="1"/>
    <col min="14" max="14" width="19.88671875" bestFit="1" customWidth="1"/>
    <col min="15" max="15" width="14.6640625" customWidth="1"/>
    <col min="16" max="18" width="11.44140625" bestFit="1" customWidth="1"/>
    <col min="19" max="19" width="13.5546875" bestFit="1" customWidth="1"/>
  </cols>
  <sheetData>
    <row r="1" spans="1:15" ht="14.4">
      <c r="A1" s="1099"/>
      <c r="B1" s="1099"/>
      <c r="C1" s="1099"/>
      <c r="D1" s="1099"/>
      <c r="E1" s="1099"/>
      <c r="F1" s="1099"/>
      <c r="G1" s="1100"/>
      <c r="H1" s="1100"/>
      <c r="I1" s="1100"/>
      <c r="J1" s="1099"/>
      <c r="K1" s="1099"/>
      <c r="L1" s="1099"/>
      <c r="M1" s="1099"/>
      <c r="N1" s="1099"/>
      <c r="O1" s="1099"/>
    </row>
    <row r="2" spans="1:15" ht="14.4">
      <c r="A2" s="1099"/>
      <c r="B2" s="1099"/>
      <c r="C2" s="1099"/>
      <c r="D2" s="1099"/>
      <c r="E2" s="1099"/>
      <c r="F2" s="1099"/>
      <c r="G2" s="1099"/>
      <c r="H2" s="1099"/>
      <c r="I2" s="1101"/>
      <c r="J2" s="1101"/>
      <c r="K2" s="1101"/>
      <c r="L2" s="1099"/>
      <c r="M2" s="1099"/>
      <c r="N2" s="1099"/>
      <c r="O2" s="1099"/>
    </row>
    <row r="3" spans="1:15" ht="14.4">
      <c r="A3" s="1099"/>
      <c r="B3" s="1099"/>
      <c r="C3" s="1099"/>
      <c r="D3" s="1099"/>
      <c r="E3" s="1101"/>
      <c r="F3" s="1099"/>
      <c r="G3" s="1099"/>
      <c r="H3" s="1101"/>
      <c r="I3" s="1101"/>
      <c r="J3" s="1101"/>
      <c r="K3" s="1101"/>
      <c r="L3" s="1099"/>
      <c r="M3" s="1099"/>
      <c r="N3" s="1099"/>
      <c r="O3" s="1099"/>
    </row>
    <row r="4" spans="1:15" ht="14.4">
      <c r="A4" s="1099"/>
      <c r="B4" s="1099"/>
      <c r="C4" s="1099"/>
      <c r="D4" s="1099"/>
      <c r="E4" s="1099"/>
      <c r="F4" s="1099"/>
      <c r="G4" s="1099"/>
      <c r="H4" s="1099"/>
      <c r="I4" s="1099"/>
      <c r="J4" s="1101"/>
      <c r="K4" s="1099"/>
      <c r="L4" s="1099"/>
      <c r="M4" s="1099"/>
      <c r="N4" s="1099"/>
      <c r="O4" s="1099"/>
    </row>
    <row r="5" spans="1:15" ht="15.6" customHeight="1">
      <c r="A5" s="93"/>
      <c r="B5" s="1472" t="s">
        <v>2609</v>
      </c>
      <c r="C5" s="1472"/>
      <c r="D5" s="1472"/>
      <c r="E5" s="1472"/>
      <c r="F5" s="1472"/>
      <c r="G5" s="1472"/>
      <c r="H5" s="1472"/>
      <c r="I5" s="1472"/>
      <c r="J5" s="1472"/>
      <c r="K5" s="1472"/>
      <c r="L5" s="1472"/>
      <c r="M5" s="1472"/>
      <c r="N5" s="1472"/>
      <c r="O5" s="93"/>
    </row>
    <row r="6" spans="1:15" ht="16.2" customHeight="1" thickBot="1">
      <c r="A6" s="93"/>
      <c r="B6" s="1578" t="s">
        <v>2610</v>
      </c>
      <c r="C6" s="1578"/>
      <c r="D6" s="1578"/>
      <c r="E6" s="1578"/>
      <c r="F6" s="1578"/>
      <c r="G6" s="1578"/>
      <c r="H6" s="1578"/>
      <c r="I6" s="1578"/>
      <c r="J6" s="1578"/>
      <c r="K6" s="1578"/>
      <c r="L6" s="1578"/>
      <c r="M6" s="1578"/>
      <c r="N6" s="1578"/>
      <c r="O6" s="94"/>
    </row>
    <row r="7" spans="1:15" ht="15.6" thickTop="1" thickBot="1">
      <c r="A7" s="1102"/>
      <c r="B7" s="1103"/>
      <c r="C7" s="1103"/>
      <c r="D7" s="1103"/>
      <c r="E7" s="1103"/>
      <c r="F7" s="1103"/>
      <c r="G7" s="1104"/>
      <c r="H7" s="1099"/>
      <c r="I7" s="1099"/>
      <c r="J7" s="1099"/>
      <c r="K7" s="1099"/>
      <c r="L7" s="1099"/>
      <c r="M7" s="1099"/>
      <c r="N7" s="1099"/>
      <c r="O7" s="1099"/>
    </row>
    <row r="8" spans="1:15" ht="24.6" thickBot="1">
      <c r="A8" s="1105"/>
      <c r="B8" s="1106" t="s">
        <v>1488</v>
      </c>
      <c r="C8" s="1106" t="s">
        <v>631</v>
      </c>
      <c r="D8" s="1106" t="s">
        <v>1489</v>
      </c>
      <c r="E8" s="1106" t="s">
        <v>1490</v>
      </c>
      <c r="F8" s="1106" t="s">
        <v>1491</v>
      </c>
      <c r="G8" s="1106" t="s">
        <v>1492</v>
      </c>
      <c r="H8" s="1106" t="s">
        <v>1493</v>
      </c>
      <c r="I8" s="1106" t="s">
        <v>1494</v>
      </c>
      <c r="J8" s="1106" t="s">
        <v>1495</v>
      </c>
      <c r="K8" s="1106" t="s">
        <v>1496</v>
      </c>
      <c r="L8" s="1106" t="s">
        <v>1497</v>
      </c>
      <c r="M8" s="1107" t="s">
        <v>1664</v>
      </c>
      <c r="N8" s="1106" t="s">
        <v>1499</v>
      </c>
      <c r="O8" s="1099"/>
    </row>
    <row r="9" spans="1:15" ht="14.4">
      <c r="A9" s="1099"/>
      <c r="B9" s="1099"/>
      <c r="C9" s="1108"/>
      <c r="D9" s="1109"/>
      <c r="E9" s="1110"/>
      <c r="F9" s="1103"/>
      <c r="G9" s="1111"/>
      <c r="H9" s="1111"/>
      <c r="I9" s="1111"/>
      <c r="J9" s="1111"/>
      <c r="K9" s="1111"/>
      <c r="L9" s="1111"/>
      <c r="M9" s="1111"/>
      <c r="N9" s="1111"/>
      <c r="O9" s="1112"/>
    </row>
    <row r="10" spans="1:15" ht="15" thickBot="1">
      <c r="A10" s="1099"/>
      <c r="B10" s="1113" t="s">
        <v>1673</v>
      </c>
      <c r="C10" s="1114"/>
      <c r="D10" s="1115"/>
      <c r="E10" s="1114"/>
      <c r="F10" s="1114"/>
      <c r="G10" s="1115"/>
      <c r="H10" s="1115"/>
      <c r="I10" s="1115"/>
      <c r="J10" s="1115"/>
      <c r="K10" s="1115"/>
      <c r="L10" s="1115"/>
      <c r="M10" s="1116"/>
      <c r="N10" s="1115"/>
      <c r="O10" s="1112"/>
    </row>
    <row r="11" spans="1:15" ht="14.4">
      <c r="A11" s="1099"/>
      <c r="B11" s="1117" t="s">
        <v>1527</v>
      </c>
      <c r="C11" s="1118" t="s">
        <v>1505</v>
      </c>
      <c r="D11" s="1119" t="s">
        <v>1528</v>
      </c>
      <c r="E11" s="1120">
        <v>45916</v>
      </c>
      <c r="F11" s="1121">
        <v>9.5000000000000001E-2</v>
      </c>
      <c r="G11" s="1119">
        <v>1000000000</v>
      </c>
      <c r="H11" s="1122">
        <v>166575342.46575341</v>
      </c>
      <c r="I11" s="1119">
        <v>-162671232.87671232</v>
      </c>
      <c r="J11" s="1119">
        <v>-7678374.1438356079</v>
      </c>
      <c r="K11" s="1119">
        <v>0</v>
      </c>
      <c r="L11" s="1119">
        <f t="shared" ref="L11:L42" si="0">+G11+H11+I11+J11+K11</f>
        <v>996225735.44520533</v>
      </c>
      <c r="M11" s="1123"/>
      <c r="N11" s="1119">
        <f t="shared" ref="N11:N42" si="1">+L11</f>
        <v>996225735.44520533</v>
      </c>
      <c r="O11" s="1112" t="s">
        <v>2611</v>
      </c>
    </row>
    <row r="12" spans="1:15" ht="14.4">
      <c r="A12" s="1099"/>
      <c r="B12" s="1117" t="s">
        <v>1527</v>
      </c>
      <c r="C12" s="1118" t="s">
        <v>1505</v>
      </c>
      <c r="D12" s="1119" t="s">
        <v>1529</v>
      </c>
      <c r="E12" s="1120">
        <v>45916</v>
      </c>
      <c r="F12" s="1121">
        <v>9.5000000000000001E-2</v>
      </c>
      <c r="G12" s="1119">
        <v>2500000000</v>
      </c>
      <c r="H12" s="1122">
        <v>416438356.39999998</v>
      </c>
      <c r="I12" s="1119">
        <v>-406678082.19178092</v>
      </c>
      <c r="J12" s="1119">
        <v>-19195891.609588861</v>
      </c>
      <c r="K12" s="1119">
        <v>0</v>
      </c>
      <c r="L12" s="1119">
        <f t="shared" si="0"/>
        <v>2490564382.59863</v>
      </c>
      <c r="M12" s="1123"/>
      <c r="N12" s="1119">
        <f t="shared" si="1"/>
        <v>2490564382.59863</v>
      </c>
      <c r="O12" s="1112" t="s">
        <v>2611</v>
      </c>
    </row>
    <row r="13" spans="1:15" ht="14.4">
      <c r="A13" s="1099"/>
      <c r="B13" s="1117" t="s">
        <v>1515</v>
      </c>
      <c r="C13" s="1118" t="s">
        <v>1505</v>
      </c>
      <c r="D13" s="1119" t="s">
        <v>1554</v>
      </c>
      <c r="E13" s="1120">
        <v>46280</v>
      </c>
      <c r="F13" s="1121">
        <v>8.2500000000000004E-2</v>
      </c>
      <c r="G13" s="1119">
        <v>100000000</v>
      </c>
      <c r="H13" s="1122">
        <v>24772602.739726026</v>
      </c>
      <c r="I13" s="1119">
        <v>-22354109.589041092</v>
      </c>
      <c r="J13" s="1119"/>
      <c r="K13" s="1119">
        <v>0</v>
      </c>
      <c r="L13" s="1119">
        <f t="shared" si="0"/>
        <v>102418493.15068492</v>
      </c>
      <c r="M13" s="1123"/>
      <c r="N13" s="1119">
        <f t="shared" si="1"/>
        <v>102418493.15068492</v>
      </c>
      <c r="O13" s="1112" t="s">
        <v>2611</v>
      </c>
    </row>
    <row r="14" spans="1:15" ht="14.4">
      <c r="A14" s="1099"/>
      <c r="B14" s="1117" t="s">
        <v>1515</v>
      </c>
      <c r="C14" s="1118" t="s">
        <v>1505</v>
      </c>
      <c r="D14" s="1119" t="s">
        <v>1555</v>
      </c>
      <c r="E14" s="1120">
        <v>46280</v>
      </c>
      <c r="F14" s="1121">
        <v>8.2500000000000004E-2</v>
      </c>
      <c r="G14" s="1119">
        <v>100000000</v>
      </c>
      <c r="H14" s="1122">
        <v>24772602.739726026</v>
      </c>
      <c r="I14" s="1119">
        <v>-22354109.589041092</v>
      </c>
      <c r="J14" s="1119">
        <v>0</v>
      </c>
      <c r="K14" s="1119">
        <v>0</v>
      </c>
      <c r="L14" s="1119">
        <f t="shared" si="0"/>
        <v>102418493.15068492</v>
      </c>
      <c r="M14" s="1123"/>
      <c r="N14" s="1119">
        <f t="shared" si="1"/>
        <v>102418493.15068492</v>
      </c>
      <c r="O14" s="1112" t="s">
        <v>2611</v>
      </c>
    </row>
    <row r="15" spans="1:15" ht="14.4">
      <c r="A15" s="1099"/>
      <c r="B15" s="1117" t="s">
        <v>1515</v>
      </c>
      <c r="C15" s="1118" t="s">
        <v>1505</v>
      </c>
      <c r="D15" s="1119" t="s">
        <v>1556</v>
      </c>
      <c r="E15" s="1120">
        <v>46280</v>
      </c>
      <c r="F15" s="1121">
        <v>8.2500000000000004E-2</v>
      </c>
      <c r="G15" s="1119">
        <v>100000000</v>
      </c>
      <c r="H15" s="1122">
        <v>24772602.739726026</v>
      </c>
      <c r="I15" s="1119">
        <v>-22354109.589041092</v>
      </c>
      <c r="J15" s="1119">
        <v>0</v>
      </c>
      <c r="K15" s="1119">
        <v>0</v>
      </c>
      <c r="L15" s="1119">
        <f t="shared" si="0"/>
        <v>102418493.15068492</v>
      </c>
      <c r="M15" s="1123"/>
      <c r="N15" s="1119">
        <f t="shared" si="1"/>
        <v>102418493.15068492</v>
      </c>
      <c r="O15" s="1112" t="s">
        <v>2611</v>
      </c>
    </row>
    <row r="16" spans="1:15" ht="14.4">
      <c r="A16" s="1099"/>
      <c r="B16" s="1117" t="s">
        <v>1515</v>
      </c>
      <c r="C16" s="1118" t="s">
        <v>1505</v>
      </c>
      <c r="D16" s="1119" t="s">
        <v>1557</v>
      </c>
      <c r="E16" s="1120">
        <v>46280</v>
      </c>
      <c r="F16" s="1121">
        <v>8.2500000000000004E-2</v>
      </c>
      <c r="G16" s="1119">
        <v>100000000</v>
      </c>
      <c r="H16" s="1122">
        <v>24772602.739726026</v>
      </c>
      <c r="I16" s="1119">
        <v>-22354109.589041092</v>
      </c>
      <c r="J16" s="1119">
        <v>0</v>
      </c>
      <c r="K16" s="1119">
        <v>0</v>
      </c>
      <c r="L16" s="1119">
        <f t="shared" si="0"/>
        <v>102418493.15068492</v>
      </c>
      <c r="M16" s="1123"/>
      <c r="N16" s="1119">
        <f t="shared" si="1"/>
        <v>102418493.15068492</v>
      </c>
      <c r="O16" s="1112" t="s">
        <v>2611</v>
      </c>
    </row>
    <row r="17" spans="1:15" ht="14.4">
      <c r="A17" s="1099"/>
      <c r="B17" s="1117" t="s">
        <v>1515</v>
      </c>
      <c r="C17" s="1118" t="s">
        <v>1505</v>
      </c>
      <c r="D17" s="1119" t="s">
        <v>1558</v>
      </c>
      <c r="E17" s="1120">
        <v>46280</v>
      </c>
      <c r="F17" s="1121">
        <v>8.2500000000000004E-2</v>
      </c>
      <c r="G17" s="1119">
        <v>100000000</v>
      </c>
      <c r="H17" s="1122">
        <v>24772602.739726026</v>
      </c>
      <c r="I17" s="1119">
        <v>-22354109.589041092</v>
      </c>
      <c r="J17" s="1119">
        <v>0</v>
      </c>
      <c r="K17" s="1119">
        <v>0</v>
      </c>
      <c r="L17" s="1119">
        <f t="shared" si="0"/>
        <v>102418493.15068492</v>
      </c>
      <c r="M17" s="1123"/>
      <c r="N17" s="1119">
        <f t="shared" si="1"/>
        <v>102418493.15068492</v>
      </c>
      <c r="O17" s="1112" t="s">
        <v>2611</v>
      </c>
    </row>
    <row r="18" spans="1:15" ht="14.4">
      <c r="A18" s="1099"/>
      <c r="B18" s="1117" t="s">
        <v>1515</v>
      </c>
      <c r="C18" s="1118" t="s">
        <v>1505</v>
      </c>
      <c r="D18" s="1119" t="s">
        <v>1559</v>
      </c>
      <c r="E18" s="1120">
        <v>46280</v>
      </c>
      <c r="F18" s="1121">
        <v>8.2500000000000004E-2</v>
      </c>
      <c r="G18" s="1119">
        <v>100000000</v>
      </c>
      <c r="H18" s="1122">
        <v>24772602.739726026</v>
      </c>
      <c r="I18" s="1119">
        <v>-22354109.589041092</v>
      </c>
      <c r="J18" s="1119">
        <v>0</v>
      </c>
      <c r="K18" s="1119">
        <v>0</v>
      </c>
      <c r="L18" s="1119">
        <f t="shared" si="0"/>
        <v>102418493.15068492</v>
      </c>
      <c r="M18" s="1123"/>
      <c r="N18" s="1119">
        <f t="shared" si="1"/>
        <v>102418493.15068492</v>
      </c>
      <c r="O18" s="1112" t="s">
        <v>2611</v>
      </c>
    </row>
    <row r="19" spans="1:15" ht="14.4">
      <c r="A19" s="1099"/>
      <c r="B19" s="1117" t="s">
        <v>1515</v>
      </c>
      <c r="C19" s="1118" t="s">
        <v>1505</v>
      </c>
      <c r="D19" s="1119" t="s">
        <v>1560</v>
      </c>
      <c r="E19" s="1120">
        <v>46280</v>
      </c>
      <c r="F19" s="1121">
        <v>8.2500000000000004E-2</v>
      </c>
      <c r="G19" s="1119">
        <v>100000000</v>
      </c>
      <c r="H19" s="1122">
        <v>24772602.739726026</v>
      </c>
      <c r="I19" s="1119">
        <v>-22354109.589041092</v>
      </c>
      <c r="J19" s="1119">
        <v>0</v>
      </c>
      <c r="K19" s="1119">
        <v>0</v>
      </c>
      <c r="L19" s="1119">
        <f t="shared" si="0"/>
        <v>102418493.15068492</v>
      </c>
      <c r="M19" s="1123"/>
      <c r="N19" s="1119">
        <f t="shared" si="1"/>
        <v>102418493.15068492</v>
      </c>
      <c r="O19" s="1112" t="s">
        <v>2611</v>
      </c>
    </row>
    <row r="20" spans="1:15" ht="14.4">
      <c r="A20" s="1099"/>
      <c r="B20" s="1117" t="s">
        <v>1515</v>
      </c>
      <c r="C20" s="1118" t="s">
        <v>1505</v>
      </c>
      <c r="D20" s="1119" t="s">
        <v>1561</v>
      </c>
      <c r="E20" s="1120">
        <v>46286</v>
      </c>
      <c r="F20" s="1121">
        <v>8.2500000000000004E-2</v>
      </c>
      <c r="G20" s="1119">
        <v>100000000</v>
      </c>
      <c r="H20" s="1122">
        <v>24795205.479452055</v>
      </c>
      <c r="I20" s="1119">
        <v>-22489726.027397256</v>
      </c>
      <c r="J20" s="1119">
        <v>0</v>
      </c>
      <c r="K20" s="1119">
        <v>0</v>
      </c>
      <c r="L20" s="1119">
        <f t="shared" si="0"/>
        <v>102305479.4520548</v>
      </c>
      <c r="M20" s="1123"/>
      <c r="N20" s="1119">
        <f t="shared" si="1"/>
        <v>102305479.4520548</v>
      </c>
      <c r="O20" s="1112" t="s">
        <v>2611</v>
      </c>
    </row>
    <row r="21" spans="1:15" ht="14.4">
      <c r="A21" s="1099"/>
      <c r="B21" s="1117" t="s">
        <v>1515</v>
      </c>
      <c r="C21" s="1118" t="s">
        <v>1505</v>
      </c>
      <c r="D21" s="1119" t="s">
        <v>1562</v>
      </c>
      <c r="E21" s="1120">
        <v>46286</v>
      </c>
      <c r="F21" s="1121">
        <v>8.2500000000000004E-2</v>
      </c>
      <c r="G21" s="1119">
        <v>100000000</v>
      </c>
      <c r="H21" s="1122">
        <v>24795205.479452055</v>
      </c>
      <c r="I21" s="1119">
        <v>-22489726.027397256</v>
      </c>
      <c r="J21" s="1119">
        <v>0</v>
      </c>
      <c r="K21" s="1119">
        <v>0</v>
      </c>
      <c r="L21" s="1119">
        <f t="shared" si="0"/>
        <v>102305479.4520548</v>
      </c>
      <c r="M21" s="1123"/>
      <c r="N21" s="1119">
        <f t="shared" si="1"/>
        <v>102305479.4520548</v>
      </c>
      <c r="O21" s="1112" t="s">
        <v>2611</v>
      </c>
    </row>
    <row r="22" spans="1:15" ht="14.4">
      <c r="A22" s="1099"/>
      <c r="B22" s="1117" t="s">
        <v>1515</v>
      </c>
      <c r="C22" s="1118" t="s">
        <v>1505</v>
      </c>
      <c r="D22" s="1119" t="s">
        <v>1563</v>
      </c>
      <c r="E22" s="1120">
        <v>46286</v>
      </c>
      <c r="F22" s="1121">
        <v>8.2500000000000004E-2</v>
      </c>
      <c r="G22" s="1119">
        <v>100000000</v>
      </c>
      <c r="H22" s="1122">
        <v>24795205.479452055</v>
      </c>
      <c r="I22" s="1119">
        <v>-22489726.027397256</v>
      </c>
      <c r="J22" s="1119">
        <v>0</v>
      </c>
      <c r="K22" s="1119">
        <v>0</v>
      </c>
      <c r="L22" s="1119">
        <f t="shared" si="0"/>
        <v>102305479.4520548</v>
      </c>
      <c r="M22" s="1123"/>
      <c r="N22" s="1119">
        <f t="shared" si="1"/>
        <v>102305479.4520548</v>
      </c>
      <c r="O22" s="1112" t="s">
        <v>2611</v>
      </c>
    </row>
    <row r="23" spans="1:15" ht="14.4">
      <c r="A23" s="1099"/>
      <c r="B23" s="1117" t="s">
        <v>1515</v>
      </c>
      <c r="C23" s="1118" t="s">
        <v>1505</v>
      </c>
      <c r="D23" s="1119" t="s">
        <v>1564</v>
      </c>
      <c r="E23" s="1120">
        <v>46286</v>
      </c>
      <c r="F23" s="1121">
        <v>8.2500000000000004E-2</v>
      </c>
      <c r="G23" s="1119">
        <v>100000000</v>
      </c>
      <c r="H23" s="1122">
        <v>24795205.479452055</v>
      </c>
      <c r="I23" s="1119">
        <v>-22489726.027397256</v>
      </c>
      <c r="J23" s="1119">
        <v>0</v>
      </c>
      <c r="K23" s="1119">
        <v>0</v>
      </c>
      <c r="L23" s="1119">
        <f t="shared" si="0"/>
        <v>102305479.4520548</v>
      </c>
      <c r="M23" s="1123"/>
      <c r="N23" s="1119">
        <f t="shared" si="1"/>
        <v>102305479.4520548</v>
      </c>
      <c r="O23" s="1112" t="s">
        <v>2611</v>
      </c>
    </row>
    <row r="24" spans="1:15" ht="14.4">
      <c r="A24" s="1099"/>
      <c r="B24" s="1117" t="s">
        <v>1515</v>
      </c>
      <c r="C24" s="1118" t="s">
        <v>1505</v>
      </c>
      <c r="D24" s="1119" t="s">
        <v>1565</v>
      </c>
      <c r="E24" s="1120">
        <v>46286</v>
      </c>
      <c r="F24" s="1121">
        <v>8.2500000000000004E-2</v>
      </c>
      <c r="G24" s="1119">
        <v>100000000</v>
      </c>
      <c r="H24" s="1122">
        <v>24795205.479452055</v>
      </c>
      <c r="I24" s="1119">
        <v>-22489726.027397256</v>
      </c>
      <c r="J24" s="1119">
        <v>0</v>
      </c>
      <c r="K24" s="1119">
        <v>0</v>
      </c>
      <c r="L24" s="1119">
        <f t="shared" si="0"/>
        <v>102305479.4520548</v>
      </c>
      <c r="M24" s="1123"/>
      <c r="N24" s="1119">
        <f t="shared" si="1"/>
        <v>102305479.4520548</v>
      </c>
      <c r="O24" s="1112" t="s">
        <v>2611</v>
      </c>
    </row>
    <row r="25" spans="1:15" ht="14.4">
      <c r="A25" s="1099"/>
      <c r="B25" s="1117" t="s">
        <v>1515</v>
      </c>
      <c r="C25" s="1118" t="s">
        <v>1505</v>
      </c>
      <c r="D25" s="1119" t="s">
        <v>1566</v>
      </c>
      <c r="E25" s="1120">
        <v>46286</v>
      </c>
      <c r="F25" s="1121">
        <v>8.2500000000000004E-2</v>
      </c>
      <c r="G25" s="1119">
        <v>100000000</v>
      </c>
      <c r="H25" s="1122">
        <v>24795205.479452055</v>
      </c>
      <c r="I25" s="1119">
        <v>-22489726.027397256</v>
      </c>
      <c r="J25" s="1119">
        <v>0</v>
      </c>
      <c r="K25" s="1119">
        <v>0</v>
      </c>
      <c r="L25" s="1119">
        <f t="shared" si="0"/>
        <v>102305479.4520548</v>
      </c>
      <c r="M25" s="1123"/>
      <c r="N25" s="1119">
        <f t="shared" si="1"/>
        <v>102305479.4520548</v>
      </c>
      <c r="O25" s="1112" t="s">
        <v>2611</v>
      </c>
    </row>
    <row r="26" spans="1:15" ht="14.4">
      <c r="A26" s="1099"/>
      <c r="B26" s="1117" t="s">
        <v>1515</v>
      </c>
      <c r="C26" s="1118" t="s">
        <v>1505</v>
      </c>
      <c r="D26" s="1119" t="s">
        <v>1567</v>
      </c>
      <c r="E26" s="1120">
        <v>46286</v>
      </c>
      <c r="F26" s="1121">
        <v>8.2500000000000004E-2</v>
      </c>
      <c r="G26" s="1119">
        <v>100000000</v>
      </c>
      <c r="H26" s="1122">
        <v>24795205.479452055</v>
      </c>
      <c r="I26" s="1119">
        <v>-22489726.027397256</v>
      </c>
      <c r="J26" s="1119">
        <v>0</v>
      </c>
      <c r="K26" s="1119">
        <v>0</v>
      </c>
      <c r="L26" s="1119">
        <f t="shared" si="0"/>
        <v>102305479.4520548</v>
      </c>
      <c r="M26" s="1123"/>
      <c r="N26" s="1119">
        <f t="shared" si="1"/>
        <v>102305479.4520548</v>
      </c>
      <c r="O26" s="1112" t="s">
        <v>2611</v>
      </c>
    </row>
    <row r="27" spans="1:15" ht="14.4">
      <c r="A27" s="1099"/>
      <c r="B27" s="1117" t="s">
        <v>1515</v>
      </c>
      <c r="C27" s="1118" t="s">
        <v>1505</v>
      </c>
      <c r="D27" s="1119" t="s">
        <v>1568</v>
      </c>
      <c r="E27" s="1120">
        <v>46286</v>
      </c>
      <c r="F27" s="1121">
        <v>8.2500000000000004E-2</v>
      </c>
      <c r="G27" s="1119">
        <v>100000000</v>
      </c>
      <c r="H27" s="1122">
        <v>24795205.479452055</v>
      </c>
      <c r="I27" s="1119">
        <v>-22489726.027397256</v>
      </c>
      <c r="J27" s="1119">
        <v>0</v>
      </c>
      <c r="K27" s="1119">
        <v>0</v>
      </c>
      <c r="L27" s="1119">
        <f t="shared" si="0"/>
        <v>102305479.4520548</v>
      </c>
      <c r="M27" s="1123"/>
      <c r="N27" s="1119">
        <f t="shared" si="1"/>
        <v>102305479.4520548</v>
      </c>
      <c r="O27" s="1112" t="s">
        <v>2611</v>
      </c>
    </row>
    <row r="28" spans="1:15" ht="14.4">
      <c r="A28" s="1099"/>
      <c r="B28" s="1117" t="s">
        <v>1515</v>
      </c>
      <c r="C28" s="1118" t="s">
        <v>1505</v>
      </c>
      <c r="D28" s="1119" t="s">
        <v>1569</v>
      </c>
      <c r="E28" s="1120">
        <v>46286</v>
      </c>
      <c r="F28" s="1121">
        <v>8.2500000000000004E-2</v>
      </c>
      <c r="G28" s="1119">
        <v>100000000</v>
      </c>
      <c r="H28" s="1122">
        <v>24795205.479452055</v>
      </c>
      <c r="I28" s="1119">
        <v>-22489726.027397256</v>
      </c>
      <c r="J28" s="1119">
        <v>0</v>
      </c>
      <c r="K28" s="1119">
        <v>0</v>
      </c>
      <c r="L28" s="1119">
        <f t="shared" si="0"/>
        <v>102305479.4520548</v>
      </c>
      <c r="M28" s="1123"/>
      <c r="N28" s="1119">
        <f t="shared" si="1"/>
        <v>102305479.4520548</v>
      </c>
      <c r="O28" s="1112" t="s">
        <v>2611</v>
      </c>
    </row>
    <row r="29" spans="1:15" ht="14.4">
      <c r="A29" s="1099"/>
      <c r="B29" s="1117" t="s">
        <v>1515</v>
      </c>
      <c r="C29" s="1118" t="s">
        <v>1505</v>
      </c>
      <c r="D29" s="1119" t="s">
        <v>1570</v>
      </c>
      <c r="E29" s="1120">
        <v>46286</v>
      </c>
      <c r="F29" s="1121">
        <v>8.2500000000000004E-2</v>
      </c>
      <c r="G29" s="1119">
        <v>100000000</v>
      </c>
      <c r="H29" s="1122">
        <v>24795205.479452055</v>
      </c>
      <c r="I29" s="1119">
        <v>-22489726.027397256</v>
      </c>
      <c r="J29" s="1119">
        <v>0</v>
      </c>
      <c r="K29" s="1119">
        <v>0</v>
      </c>
      <c r="L29" s="1119">
        <f t="shared" si="0"/>
        <v>102305479.4520548</v>
      </c>
      <c r="M29" s="1123"/>
      <c r="N29" s="1119">
        <f t="shared" si="1"/>
        <v>102305479.4520548</v>
      </c>
      <c r="O29" s="1112" t="s">
        <v>2611</v>
      </c>
    </row>
    <row r="30" spans="1:15" ht="14.4">
      <c r="A30" s="1099"/>
      <c r="B30" s="1117" t="s">
        <v>1515</v>
      </c>
      <c r="C30" s="1118" t="s">
        <v>1505</v>
      </c>
      <c r="D30" s="1119" t="s">
        <v>1571</v>
      </c>
      <c r="E30" s="1120">
        <v>46286</v>
      </c>
      <c r="F30" s="1121">
        <v>8.2500000000000004E-2</v>
      </c>
      <c r="G30" s="1119">
        <v>100000000</v>
      </c>
      <c r="H30" s="1122">
        <v>24795205.479452055</v>
      </c>
      <c r="I30" s="1119">
        <v>-22489726.027397256</v>
      </c>
      <c r="J30" s="1119">
        <v>0</v>
      </c>
      <c r="K30" s="1119">
        <v>0</v>
      </c>
      <c r="L30" s="1119">
        <f t="shared" si="0"/>
        <v>102305479.4520548</v>
      </c>
      <c r="M30" s="1123"/>
      <c r="N30" s="1119">
        <f t="shared" si="1"/>
        <v>102305479.4520548</v>
      </c>
      <c r="O30" s="1112" t="s">
        <v>2611</v>
      </c>
    </row>
    <row r="31" spans="1:15" ht="14.4">
      <c r="A31" s="1099"/>
      <c r="B31" s="1117" t="s">
        <v>1515</v>
      </c>
      <c r="C31" s="1118" t="s">
        <v>1505</v>
      </c>
      <c r="D31" s="1119" t="s">
        <v>1572</v>
      </c>
      <c r="E31" s="1120">
        <v>46286</v>
      </c>
      <c r="F31" s="1121">
        <v>8.2500000000000004E-2</v>
      </c>
      <c r="G31" s="1119">
        <v>100000000</v>
      </c>
      <c r="H31" s="1122">
        <v>24795205.479452055</v>
      </c>
      <c r="I31" s="1119">
        <v>-22489726.027397256</v>
      </c>
      <c r="J31" s="1119">
        <v>0</v>
      </c>
      <c r="K31" s="1119">
        <v>0</v>
      </c>
      <c r="L31" s="1119">
        <f t="shared" si="0"/>
        <v>102305479.4520548</v>
      </c>
      <c r="M31" s="1123"/>
      <c r="N31" s="1119">
        <f t="shared" si="1"/>
        <v>102305479.4520548</v>
      </c>
      <c r="O31" s="1112" t="s">
        <v>2611</v>
      </c>
    </row>
    <row r="32" spans="1:15" ht="14.4">
      <c r="A32" s="1099"/>
      <c r="B32" s="1117" t="s">
        <v>1515</v>
      </c>
      <c r="C32" s="1118" t="s">
        <v>1505</v>
      </c>
      <c r="D32" s="1119" t="s">
        <v>1573</v>
      </c>
      <c r="E32" s="1120">
        <v>46286</v>
      </c>
      <c r="F32" s="1121">
        <v>8.2500000000000004E-2</v>
      </c>
      <c r="G32" s="1119">
        <v>100000000</v>
      </c>
      <c r="H32" s="1122">
        <v>24795205.479452055</v>
      </c>
      <c r="I32" s="1119">
        <v>-22489726.027397256</v>
      </c>
      <c r="J32" s="1119">
        <v>0</v>
      </c>
      <c r="K32" s="1119">
        <v>0</v>
      </c>
      <c r="L32" s="1119">
        <f t="shared" si="0"/>
        <v>102305479.4520548</v>
      </c>
      <c r="M32" s="1123"/>
      <c r="N32" s="1119">
        <f t="shared" si="1"/>
        <v>102305479.4520548</v>
      </c>
      <c r="O32" s="1112" t="s">
        <v>2611</v>
      </c>
    </row>
    <row r="33" spans="1:15" ht="14.4">
      <c r="A33" s="1099"/>
      <c r="B33" s="1117" t="s">
        <v>1515</v>
      </c>
      <c r="C33" s="1118" t="s">
        <v>1505</v>
      </c>
      <c r="D33" s="1119" t="s">
        <v>1574</v>
      </c>
      <c r="E33" s="1120">
        <v>46286</v>
      </c>
      <c r="F33" s="1121">
        <v>8.2500000000000004E-2</v>
      </c>
      <c r="G33" s="1119">
        <v>100000000</v>
      </c>
      <c r="H33" s="1122">
        <v>24795205.479452055</v>
      </c>
      <c r="I33" s="1119">
        <v>-22489726.027397256</v>
      </c>
      <c r="J33" s="1119">
        <v>0</v>
      </c>
      <c r="K33" s="1119">
        <v>0</v>
      </c>
      <c r="L33" s="1119">
        <f t="shared" si="0"/>
        <v>102305479.4520548</v>
      </c>
      <c r="M33" s="1123"/>
      <c r="N33" s="1119">
        <f t="shared" si="1"/>
        <v>102305479.4520548</v>
      </c>
      <c r="O33" s="1112" t="s">
        <v>2611</v>
      </c>
    </row>
    <row r="34" spans="1:15" ht="14.4">
      <c r="A34" s="1099"/>
      <c r="B34" s="1117" t="s">
        <v>1515</v>
      </c>
      <c r="C34" s="1118" t="s">
        <v>1505</v>
      </c>
      <c r="D34" s="1119" t="s">
        <v>1575</v>
      </c>
      <c r="E34" s="1120">
        <v>46286</v>
      </c>
      <c r="F34" s="1121">
        <v>8.2500000000000004E-2</v>
      </c>
      <c r="G34" s="1119">
        <v>100000000</v>
      </c>
      <c r="H34" s="1122">
        <v>24795205.479452055</v>
      </c>
      <c r="I34" s="1119">
        <v>-22489726.027397256</v>
      </c>
      <c r="J34" s="1119">
        <v>0</v>
      </c>
      <c r="K34" s="1119">
        <v>0</v>
      </c>
      <c r="L34" s="1119">
        <f t="shared" si="0"/>
        <v>102305479.4520548</v>
      </c>
      <c r="M34" s="1123"/>
      <c r="N34" s="1119">
        <f t="shared" si="1"/>
        <v>102305479.4520548</v>
      </c>
      <c r="O34" s="1112" t="s">
        <v>2611</v>
      </c>
    </row>
    <row r="35" spans="1:15" ht="14.4">
      <c r="A35" s="1099"/>
      <c r="B35" s="1117" t="s">
        <v>1515</v>
      </c>
      <c r="C35" s="1118" t="s">
        <v>1505</v>
      </c>
      <c r="D35" s="1119" t="s">
        <v>1576</v>
      </c>
      <c r="E35" s="1120">
        <v>46286</v>
      </c>
      <c r="F35" s="1121">
        <v>8.2500000000000004E-2</v>
      </c>
      <c r="G35" s="1119">
        <v>100000000</v>
      </c>
      <c r="H35" s="1122">
        <v>24795205.479452055</v>
      </c>
      <c r="I35" s="1119">
        <v>-22489726.027397256</v>
      </c>
      <c r="J35" s="1119">
        <v>0</v>
      </c>
      <c r="K35" s="1119">
        <v>0</v>
      </c>
      <c r="L35" s="1119">
        <f t="shared" si="0"/>
        <v>102305479.4520548</v>
      </c>
      <c r="M35" s="1123"/>
      <c r="N35" s="1119">
        <f t="shared" si="1"/>
        <v>102305479.4520548</v>
      </c>
      <c r="O35" s="1112" t="s">
        <v>2611</v>
      </c>
    </row>
    <row r="36" spans="1:15" ht="14.4">
      <c r="A36" s="1099"/>
      <c r="B36" s="1117" t="s">
        <v>1530</v>
      </c>
      <c r="C36" s="1118" t="s">
        <v>1505</v>
      </c>
      <c r="D36" s="1119" t="s">
        <v>2612</v>
      </c>
      <c r="E36" s="1120">
        <v>45601</v>
      </c>
      <c r="F36" s="1121">
        <v>9.9000000000000005E-2</v>
      </c>
      <c r="G36" s="1119">
        <v>100000000</v>
      </c>
      <c r="H36" s="1122">
        <v>10035616.438356165</v>
      </c>
      <c r="I36" s="1119">
        <v>-8408219.1780821942</v>
      </c>
      <c r="J36" s="1119">
        <v>0</v>
      </c>
      <c r="K36" s="1119">
        <v>0</v>
      </c>
      <c r="L36" s="1119">
        <f t="shared" si="0"/>
        <v>101627397.26027396</v>
      </c>
      <c r="M36" s="1123"/>
      <c r="N36" s="1119">
        <f t="shared" si="1"/>
        <v>101627397.26027396</v>
      </c>
      <c r="O36" s="1112" t="s">
        <v>2611</v>
      </c>
    </row>
    <row r="37" spans="1:15" ht="14.4">
      <c r="A37" s="1099"/>
      <c r="B37" s="1117" t="s">
        <v>1530</v>
      </c>
      <c r="C37" s="1118" t="s">
        <v>1505</v>
      </c>
      <c r="D37" s="1119" t="s">
        <v>2613</v>
      </c>
      <c r="E37" s="1120">
        <v>45601</v>
      </c>
      <c r="F37" s="1121">
        <v>9.9000000000000005E-2</v>
      </c>
      <c r="G37" s="1119">
        <v>100000000</v>
      </c>
      <c r="H37" s="1122">
        <v>10035616.438356165</v>
      </c>
      <c r="I37" s="1119">
        <v>-8408219.1780821942</v>
      </c>
      <c r="J37" s="1119">
        <v>0</v>
      </c>
      <c r="K37" s="1119">
        <v>0</v>
      </c>
      <c r="L37" s="1119">
        <f t="shared" si="0"/>
        <v>101627397.26027396</v>
      </c>
      <c r="M37" s="1123"/>
      <c r="N37" s="1119">
        <f t="shared" si="1"/>
        <v>101627397.26027396</v>
      </c>
      <c r="O37" s="1112" t="s">
        <v>2611</v>
      </c>
    </row>
    <row r="38" spans="1:15" ht="14.4">
      <c r="A38" s="1099"/>
      <c r="B38" s="1117" t="s">
        <v>1530</v>
      </c>
      <c r="C38" s="1118" t="s">
        <v>1505</v>
      </c>
      <c r="D38" s="1119" t="s">
        <v>2614</v>
      </c>
      <c r="E38" s="1120">
        <v>45601</v>
      </c>
      <c r="F38" s="1121">
        <v>9.9000000000000005E-2</v>
      </c>
      <c r="G38" s="1119">
        <v>100000000</v>
      </c>
      <c r="H38" s="1122">
        <v>10035616.438356165</v>
      </c>
      <c r="I38" s="1119">
        <v>-8408219.1780821942</v>
      </c>
      <c r="J38" s="1119">
        <v>0</v>
      </c>
      <c r="K38" s="1119">
        <v>0</v>
      </c>
      <c r="L38" s="1119">
        <f t="shared" si="0"/>
        <v>101627397.26027396</v>
      </c>
      <c r="M38" s="1123"/>
      <c r="N38" s="1119">
        <f t="shared" si="1"/>
        <v>101627397.26027396</v>
      </c>
      <c r="O38" s="1112" t="s">
        <v>2611</v>
      </c>
    </row>
    <row r="39" spans="1:15" ht="14.4">
      <c r="A39" s="1099"/>
      <c r="B39" s="1117" t="s">
        <v>1530</v>
      </c>
      <c r="C39" s="1118" t="s">
        <v>1505</v>
      </c>
      <c r="D39" s="1119" t="s">
        <v>2615</v>
      </c>
      <c r="E39" s="1120">
        <v>45601</v>
      </c>
      <c r="F39" s="1121">
        <v>9.9000000000000005E-2</v>
      </c>
      <c r="G39" s="1119">
        <v>100000000</v>
      </c>
      <c r="H39" s="1122">
        <v>10035616.438356165</v>
      </c>
      <c r="I39" s="1119">
        <v>-8408219.1780821942</v>
      </c>
      <c r="J39" s="1119">
        <v>0</v>
      </c>
      <c r="K39" s="1119">
        <v>0</v>
      </c>
      <c r="L39" s="1119">
        <f t="shared" si="0"/>
        <v>101627397.26027396</v>
      </c>
      <c r="M39" s="1123"/>
      <c r="N39" s="1119">
        <f t="shared" si="1"/>
        <v>101627397.26027396</v>
      </c>
      <c r="O39" s="1112" t="s">
        <v>2611</v>
      </c>
    </row>
    <row r="40" spans="1:15" ht="14.4">
      <c r="A40" s="1099"/>
      <c r="B40" s="1117" t="s">
        <v>1530</v>
      </c>
      <c r="C40" s="1118" t="s">
        <v>1505</v>
      </c>
      <c r="D40" s="1119" t="s">
        <v>2616</v>
      </c>
      <c r="E40" s="1120">
        <v>45601</v>
      </c>
      <c r="F40" s="1121">
        <v>9.9000000000000005E-2</v>
      </c>
      <c r="G40" s="1119">
        <v>100000000</v>
      </c>
      <c r="H40" s="1122">
        <v>10035616.438356165</v>
      </c>
      <c r="I40" s="1119">
        <v>-8408219.1780821942</v>
      </c>
      <c r="J40" s="1119">
        <v>0</v>
      </c>
      <c r="K40" s="1119">
        <v>0</v>
      </c>
      <c r="L40" s="1119">
        <f t="shared" si="0"/>
        <v>101627397.26027396</v>
      </c>
      <c r="M40" s="1123"/>
      <c r="N40" s="1119">
        <f t="shared" si="1"/>
        <v>101627397.26027396</v>
      </c>
      <c r="O40" s="1112" t="s">
        <v>2611</v>
      </c>
    </row>
    <row r="41" spans="1:15" ht="14.4">
      <c r="A41" s="1099"/>
      <c r="B41" s="1117" t="s">
        <v>2617</v>
      </c>
      <c r="C41" s="1118" t="s">
        <v>1505</v>
      </c>
      <c r="D41" s="1119" t="s">
        <v>2618</v>
      </c>
      <c r="E41" s="1120">
        <v>45601</v>
      </c>
      <c r="F41" s="1121">
        <v>8.7499999999999994E-2</v>
      </c>
      <c r="G41" s="1119">
        <v>50000000</v>
      </c>
      <c r="H41" s="1122">
        <v>2205479.4520547949</v>
      </c>
      <c r="I41" s="1119">
        <v>-1881849.3150684927</v>
      </c>
      <c r="J41" s="1119">
        <v>0</v>
      </c>
      <c r="K41" s="1119">
        <v>134907.92070989899</v>
      </c>
      <c r="L41" s="1119">
        <f t="shared" si="0"/>
        <v>50458538.057696208</v>
      </c>
      <c r="M41" s="1123"/>
      <c r="N41" s="1119">
        <f t="shared" si="1"/>
        <v>50458538.057696208</v>
      </c>
      <c r="O41" s="1112" t="s">
        <v>2611</v>
      </c>
    </row>
    <row r="42" spans="1:15" ht="14.4">
      <c r="A42" s="1099"/>
      <c r="B42" s="1117" t="s">
        <v>2617</v>
      </c>
      <c r="C42" s="1118" t="s">
        <v>1505</v>
      </c>
      <c r="D42" s="1119" t="s">
        <v>2619</v>
      </c>
      <c r="E42" s="1120">
        <v>45601</v>
      </c>
      <c r="F42" s="1121">
        <v>8.7499999999999994E-2</v>
      </c>
      <c r="G42" s="1119">
        <v>50000000</v>
      </c>
      <c r="H42" s="1122">
        <v>2205479.4520547949</v>
      </c>
      <c r="I42" s="1119">
        <v>-1881849.3150684927</v>
      </c>
      <c r="J42" s="1119">
        <v>0</v>
      </c>
      <c r="K42" s="1119">
        <v>134907.92070989899</v>
      </c>
      <c r="L42" s="1119">
        <f t="shared" si="0"/>
        <v>50458538.057696208</v>
      </c>
      <c r="M42" s="1123"/>
      <c r="N42" s="1119">
        <f t="shared" si="1"/>
        <v>50458538.057696208</v>
      </c>
      <c r="O42" s="1112" t="s">
        <v>2611</v>
      </c>
    </row>
    <row r="43" spans="1:15" ht="14.4">
      <c r="A43" s="1099"/>
      <c r="B43" s="1117" t="s">
        <v>1542</v>
      </c>
      <c r="C43" s="1118" t="s">
        <v>1505</v>
      </c>
      <c r="D43" s="1119" t="s">
        <v>2620</v>
      </c>
      <c r="E43" s="1120">
        <v>45810</v>
      </c>
      <c r="F43" s="1121">
        <v>0.105</v>
      </c>
      <c r="G43" s="1119">
        <v>100000000</v>
      </c>
      <c r="H43" s="1122">
        <v>15850684.93150685</v>
      </c>
      <c r="I43" s="1119">
        <v>-14930136.98630137</v>
      </c>
      <c r="J43" s="1119">
        <v>0</v>
      </c>
      <c r="K43" s="1119"/>
      <c r="L43" s="1119">
        <f t="shared" ref="L43:L63" si="2">+G43+H43+I43+J43+K43</f>
        <v>100920547.94520548</v>
      </c>
      <c r="M43" s="1123"/>
      <c r="N43" s="1119">
        <f t="shared" ref="N43:N63" si="3">+L43</f>
        <v>100920547.94520548</v>
      </c>
      <c r="O43" s="1112"/>
    </row>
    <row r="44" spans="1:15" ht="14.4">
      <c r="A44" s="1099"/>
      <c r="B44" s="1117" t="s">
        <v>1542</v>
      </c>
      <c r="C44" s="1118" t="s">
        <v>1505</v>
      </c>
      <c r="D44" s="1119" t="s">
        <v>1690</v>
      </c>
      <c r="E44" s="1120">
        <v>45810</v>
      </c>
      <c r="F44" s="1121">
        <v>0.105</v>
      </c>
      <c r="G44" s="1119">
        <v>100000000</v>
      </c>
      <c r="H44" s="1122">
        <v>15850684.93150685</v>
      </c>
      <c r="I44" s="1119">
        <v>-14930136.98630137</v>
      </c>
      <c r="J44" s="1119">
        <v>0</v>
      </c>
      <c r="K44" s="1119"/>
      <c r="L44" s="1119">
        <f t="shared" si="2"/>
        <v>100920547.94520548</v>
      </c>
      <c r="M44" s="1123"/>
      <c r="N44" s="1119">
        <f t="shared" si="3"/>
        <v>100920547.94520548</v>
      </c>
      <c r="O44" s="1112"/>
    </row>
    <row r="45" spans="1:15" ht="14.4">
      <c r="A45" s="1099"/>
      <c r="B45" s="1117" t="s">
        <v>1621</v>
      </c>
      <c r="C45" s="1118" t="s">
        <v>1505</v>
      </c>
      <c r="D45" s="1119" t="s">
        <v>2621</v>
      </c>
      <c r="E45" s="1120">
        <v>45516</v>
      </c>
      <c r="F45" s="1121">
        <v>6.5000000000000002E-2</v>
      </c>
      <c r="G45" s="1119">
        <v>50000000</v>
      </c>
      <c r="H45" s="1122">
        <v>3303424.6575342468</v>
      </c>
      <c r="I45" s="1119">
        <v>-2003424.6575342468</v>
      </c>
      <c r="J45" s="1119">
        <v>-478603.34626175684</v>
      </c>
      <c r="K45" s="1119"/>
      <c r="L45" s="1119">
        <f t="shared" si="2"/>
        <v>50821396.653738245</v>
      </c>
      <c r="M45" s="1123"/>
      <c r="N45" s="1119">
        <f t="shared" si="3"/>
        <v>50821396.653738245</v>
      </c>
      <c r="O45" s="1112" t="s">
        <v>2611</v>
      </c>
    </row>
    <row r="46" spans="1:15" ht="14.4">
      <c r="A46" s="1099"/>
      <c r="B46" s="1117" t="s">
        <v>1621</v>
      </c>
      <c r="C46" s="1118" t="s">
        <v>1505</v>
      </c>
      <c r="D46" s="1119" t="s">
        <v>2622</v>
      </c>
      <c r="E46" s="1120">
        <v>45517</v>
      </c>
      <c r="F46" s="1121">
        <v>6.5000000000000002E-2</v>
      </c>
      <c r="G46" s="1119">
        <v>50000000</v>
      </c>
      <c r="H46" s="1122">
        <v>3303424.6575342463</v>
      </c>
      <c r="I46" s="1119">
        <v>-2012328.7671232875</v>
      </c>
      <c r="J46" s="1119">
        <v>-480434.65128766943</v>
      </c>
      <c r="K46" s="1119"/>
      <c r="L46" s="1119">
        <f t="shared" si="2"/>
        <v>50810661.239123292</v>
      </c>
      <c r="M46" s="1123"/>
      <c r="N46" s="1119">
        <f t="shared" si="3"/>
        <v>50810661.239123292</v>
      </c>
      <c r="O46" s="1112" t="s">
        <v>2611</v>
      </c>
    </row>
    <row r="47" spans="1:15" ht="14.4">
      <c r="A47" s="1099"/>
      <c r="B47" s="1117" t="s">
        <v>1621</v>
      </c>
      <c r="C47" s="1118" t="s">
        <v>1505</v>
      </c>
      <c r="D47" s="1119" t="s">
        <v>2623</v>
      </c>
      <c r="E47" s="1120">
        <v>45509</v>
      </c>
      <c r="F47" s="1121">
        <v>6.5000000000000002E-2</v>
      </c>
      <c r="G47" s="1119">
        <v>50000000</v>
      </c>
      <c r="H47" s="1122">
        <v>3303424.6575342463</v>
      </c>
      <c r="I47" s="1119">
        <v>-1941095.8904109588</v>
      </c>
      <c r="J47" s="1119">
        <v>-462772.68538435322</v>
      </c>
      <c r="K47" s="1119"/>
      <c r="L47" s="1119">
        <f t="shared" si="2"/>
        <v>50899556.081738934</v>
      </c>
      <c r="M47" s="1123"/>
      <c r="N47" s="1119">
        <f t="shared" si="3"/>
        <v>50899556.081738934</v>
      </c>
      <c r="O47" s="1112" t="s">
        <v>2611</v>
      </c>
    </row>
    <row r="48" spans="1:15" ht="14.4">
      <c r="A48" s="1099"/>
      <c r="B48" s="1117" t="s">
        <v>1621</v>
      </c>
      <c r="C48" s="1118" t="s">
        <v>1505</v>
      </c>
      <c r="D48" s="1119" t="s">
        <v>2624</v>
      </c>
      <c r="E48" s="1120">
        <v>45509</v>
      </c>
      <c r="F48" s="1121">
        <v>6.5000000000000002E-2</v>
      </c>
      <c r="G48" s="1119">
        <v>50000000</v>
      </c>
      <c r="H48" s="1122">
        <v>3303425</v>
      </c>
      <c r="I48" s="1119">
        <v>-1941095.8904109588</v>
      </c>
      <c r="J48" s="1119">
        <v>-462772.68538435322</v>
      </c>
      <c r="K48" s="1119"/>
      <c r="L48" s="1119">
        <f t="shared" si="2"/>
        <v>50899556.424204685</v>
      </c>
      <c r="M48" s="1123"/>
      <c r="N48" s="1119">
        <f t="shared" si="3"/>
        <v>50899556.424204685</v>
      </c>
      <c r="O48" s="1112" t="s">
        <v>2611</v>
      </c>
    </row>
    <row r="49" spans="1:15" ht="14.4">
      <c r="A49" s="1099"/>
      <c r="B49" s="1117" t="s">
        <v>1621</v>
      </c>
      <c r="C49" s="1118" t="s">
        <v>1505</v>
      </c>
      <c r="D49" s="1119" t="s">
        <v>2625</v>
      </c>
      <c r="E49" s="1120">
        <v>45512</v>
      </c>
      <c r="F49" s="1121">
        <v>6.5000000000000002E-2</v>
      </c>
      <c r="G49" s="1119">
        <v>50000000</v>
      </c>
      <c r="H49" s="1122">
        <v>3312329</v>
      </c>
      <c r="I49" s="1119">
        <v>-1967808.2191780824</v>
      </c>
      <c r="J49" s="1119">
        <v>-468442.35034945543</v>
      </c>
      <c r="K49" s="1119"/>
      <c r="L49" s="1119">
        <f t="shared" si="2"/>
        <v>50876078.430472463</v>
      </c>
      <c r="M49" s="1123"/>
      <c r="N49" s="1119">
        <f t="shared" si="3"/>
        <v>50876078.430472463</v>
      </c>
      <c r="O49" s="1112" t="s">
        <v>2611</v>
      </c>
    </row>
    <row r="50" spans="1:15" ht="14.4">
      <c r="A50" s="1099"/>
      <c r="B50" s="1117" t="s">
        <v>1527</v>
      </c>
      <c r="C50" s="1118" t="s">
        <v>1505</v>
      </c>
      <c r="D50" s="1119" t="s">
        <v>2626</v>
      </c>
      <c r="E50" s="1120">
        <v>46265</v>
      </c>
      <c r="F50" s="1121">
        <v>9.2499999999999999E-2</v>
      </c>
      <c r="G50" s="1119">
        <v>50000000</v>
      </c>
      <c r="H50" s="1122">
        <v>12797945.205479452</v>
      </c>
      <c r="I50" s="1119">
        <v>-12341780.821917808</v>
      </c>
      <c r="J50" s="1119">
        <v>0</v>
      </c>
      <c r="K50" s="1119">
        <v>1359613.8006318198</v>
      </c>
      <c r="L50" s="1119">
        <f t="shared" si="2"/>
        <v>51815778.184193462</v>
      </c>
      <c r="M50" s="1123"/>
      <c r="N50" s="1119">
        <f t="shared" si="3"/>
        <v>51815778.184193462</v>
      </c>
      <c r="O50" s="1112" t="s">
        <v>2611</v>
      </c>
    </row>
    <row r="51" spans="1:15" ht="14.4">
      <c r="A51" s="1099"/>
      <c r="B51" s="1117" t="s">
        <v>1689</v>
      </c>
      <c r="C51" s="1118" t="s">
        <v>1505</v>
      </c>
      <c r="D51" s="1119" t="s">
        <v>2627</v>
      </c>
      <c r="E51" s="1120">
        <v>45922</v>
      </c>
      <c r="F51" s="1121">
        <v>0.10199999999999999</v>
      </c>
      <c r="G51" s="1119">
        <v>200000000</v>
      </c>
      <c r="H51" s="1122">
        <v>41079452.05479452</v>
      </c>
      <c r="I51" s="1119">
        <v>-35266849.315068498</v>
      </c>
      <c r="J51" s="1119">
        <v>0</v>
      </c>
      <c r="K51" s="1119">
        <v>2272491.2340587159</v>
      </c>
      <c r="L51" s="1119">
        <f t="shared" si="2"/>
        <v>208085093.97378471</v>
      </c>
      <c r="M51" s="1123"/>
      <c r="N51" s="1119">
        <f t="shared" si="3"/>
        <v>208085093.97378471</v>
      </c>
      <c r="O51" s="1112" t="s">
        <v>2611</v>
      </c>
    </row>
    <row r="52" spans="1:15" ht="14.4">
      <c r="A52" s="1099"/>
      <c r="B52" s="1117" t="s">
        <v>1689</v>
      </c>
      <c r="C52" s="1118" t="s">
        <v>1505</v>
      </c>
      <c r="D52" s="1119" t="s">
        <v>2628</v>
      </c>
      <c r="E52" s="1120">
        <v>45922</v>
      </c>
      <c r="F52" s="1121">
        <v>0.10199999999999999</v>
      </c>
      <c r="G52" s="1119">
        <v>200000000</v>
      </c>
      <c r="H52" s="1122">
        <v>41079452.05479452</v>
      </c>
      <c r="I52" s="1119">
        <v>-35266849.315068498</v>
      </c>
      <c r="J52" s="1119">
        <v>0</v>
      </c>
      <c r="K52" s="1119">
        <v>2272491.2340587159</v>
      </c>
      <c r="L52" s="1119">
        <f t="shared" si="2"/>
        <v>208085093.97378471</v>
      </c>
      <c r="M52" s="1123"/>
      <c r="N52" s="1119">
        <f t="shared" si="3"/>
        <v>208085093.97378471</v>
      </c>
      <c r="O52" s="1112" t="s">
        <v>2611</v>
      </c>
    </row>
    <row r="53" spans="1:15" ht="14.4">
      <c r="A53" s="1099"/>
      <c r="B53" s="1117" t="s">
        <v>1689</v>
      </c>
      <c r="C53" s="1118" t="s">
        <v>1505</v>
      </c>
      <c r="D53" s="1119" t="s">
        <v>2629</v>
      </c>
      <c r="E53" s="1120">
        <v>45922</v>
      </c>
      <c r="F53" s="1121">
        <v>0.10199999999999999</v>
      </c>
      <c r="G53" s="1119">
        <v>200000000</v>
      </c>
      <c r="H53" s="1122">
        <v>41079452.05479452</v>
      </c>
      <c r="I53" s="1119">
        <v>-35266849.315068498</v>
      </c>
      <c r="J53" s="1119">
        <v>0</v>
      </c>
      <c r="K53" s="1119">
        <v>2272491.2340587159</v>
      </c>
      <c r="L53" s="1119">
        <f t="shared" si="2"/>
        <v>208085093.97378471</v>
      </c>
      <c r="M53" s="1123"/>
      <c r="N53" s="1119">
        <f t="shared" si="3"/>
        <v>208085093.97378471</v>
      </c>
      <c r="O53" s="1112" t="s">
        <v>2611</v>
      </c>
    </row>
    <row r="54" spans="1:15" ht="14.4">
      <c r="A54" s="1099"/>
      <c r="B54" s="1117" t="s">
        <v>1542</v>
      </c>
      <c r="C54" s="1118" t="s">
        <v>1505</v>
      </c>
      <c r="D54" s="1119" t="s">
        <v>2630</v>
      </c>
      <c r="E54" s="1120">
        <v>45827</v>
      </c>
      <c r="F54" s="1121">
        <v>0.1050000133</v>
      </c>
      <c r="G54" s="1119">
        <v>100000000</v>
      </c>
      <c r="H54" s="1122">
        <v>15678084.177671233</v>
      </c>
      <c r="I54" s="1119">
        <v>-15419180.035287671</v>
      </c>
      <c r="J54" s="1119">
        <v>0</v>
      </c>
      <c r="K54" s="1119"/>
      <c r="L54" s="1119">
        <f t="shared" si="2"/>
        <v>100258904.14238358</v>
      </c>
      <c r="M54" s="1123"/>
      <c r="N54" s="1119">
        <f t="shared" si="3"/>
        <v>100258904.14238358</v>
      </c>
      <c r="O54" s="1112"/>
    </row>
    <row r="55" spans="1:15" ht="14.4">
      <c r="A55" s="1099"/>
      <c r="B55" s="1117" t="s">
        <v>1542</v>
      </c>
      <c r="C55" s="1118" t="s">
        <v>1505</v>
      </c>
      <c r="D55" s="1119" t="s">
        <v>2631</v>
      </c>
      <c r="E55" s="1120">
        <v>45827</v>
      </c>
      <c r="F55" s="1121">
        <v>0.1050000133</v>
      </c>
      <c r="G55" s="1119">
        <v>100000000</v>
      </c>
      <c r="H55" s="1122">
        <v>15678084.177671233</v>
      </c>
      <c r="I55" s="1119">
        <v>-15419180.035287671</v>
      </c>
      <c r="J55" s="1119">
        <v>0</v>
      </c>
      <c r="K55" s="1119"/>
      <c r="L55" s="1119">
        <f t="shared" si="2"/>
        <v>100258904.14238358</v>
      </c>
      <c r="M55" s="1123"/>
      <c r="N55" s="1119">
        <f t="shared" si="3"/>
        <v>100258904.14238358</v>
      </c>
      <c r="O55" s="1112"/>
    </row>
    <row r="56" spans="1:15" ht="14.4">
      <c r="A56" s="1099"/>
      <c r="B56" s="1117" t="s">
        <v>1542</v>
      </c>
      <c r="C56" s="1118" t="s">
        <v>1505</v>
      </c>
      <c r="D56" s="1119" t="s">
        <v>2632</v>
      </c>
      <c r="E56" s="1120">
        <v>45827</v>
      </c>
      <c r="F56" s="1121">
        <v>0.1050000133</v>
      </c>
      <c r="G56" s="1119">
        <v>100000000</v>
      </c>
      <c r="H56" s="1122">
        <v>15678084</v>
      </c>
      <c r="I56" s="1119">
        <v>-15419180.035287671</v>
      </c>
      <c r="J56" s="1119">
        <v>0</v>
      </c>
      <c r="K56" s="1119"/>
      <c r="L56" s="1119">
        <f t="shared" si="2"/>
        <v>100258903.96471232</v>
      </c>
      <c r="M56" s="1123"/>
      <c r="N56" s="1119">
        <f t="shared" si="3"/>
        <v>100258903.96471232</v>
      </c>
      <c r="O56" s="1112"/>
    </row>
    <row r="57" spans="1:15" ht="14.4">
      <c r="A57" s="1099"/>
      <c r="B57" s="1117" t="s">
        <v>1542</v>
      </c>
      <c r="C57" s="1118" t="s">
        <v>1505</v>
      </c>
      <c r="D57" s="1119" t="s">
        <v>2633</v>
      </c>
      <c r="E57" s="1120">
        <v>45827</v>
      </c>
      <c r="F57" s="1121">
        <v>0.1050000133</v>
      </c>
      <c r="G57" s="1119">
        <v>100000000</v>
      </c>
      <c r="H57" s="1122">
        <v>15678084</v>
      </c>
      <c r="I57" s="1119">
        <v>-15419180.035287671</v>
      </c>
      <c r="J57" s="1119">
        <v>0</v>
      </c>
      <c r="K57" s="1119"/>
      <c r="L57" s="1119">
        <f t="shared" si="2"/>
        <v>100258903.96471232</v>
      </c>
      <c r="M57" s="1123"/>
      <c r="N57" s="1119">
        <f t="shared" si="3"/>
        <v>100258903.96471232</v>
      </c>
      <c r="O57" s="1112"/>
    </row>
    <row r="58" spans="1:15" ht="14.4">
      <c r="A58" s="1099"/>
      <c r="B58" s="1117" t="s">
        <v>1542</v>
      </c>
      <c r="C58" s="1118" t="s">
        <v>1505</v>
      </c>
      <c r="D58" s="1119" t="s">
        <v>2634</v>
      </c>
      <c r="E58" s="1120">
        <v>45827</v>
      </c>
      <c r="F58" s="1121">
        <v>0.1050000133</v>
      </c>
      <c r="G58" s="1119">
        <v>100000000</v>
      </c>
      <c r="H58" s="1122">
        <v>15678084</v>
      </c>
      <c r="I58" s="1119">
        <v>-15419180.035287671</v>
      </c>
      <c r="J58" s="1119">
        <v>0</v>
      </c>
      <c r="K58" s="1119"/>
      <c r="L58" s="1119">
        <f t="shared" si="2"/>
        <v>100258903.96471232</v>
      </c>
      <c r="M58" s="1123"/>
      <c r="N58" s="1119">
        <f t="shared" si="3"/>
        <v>100258903.96471232</v>
      </c>
      <c r="O58" s="1112"/>
    </row>
    <row r="59" spans="1:15" ht="14.4">
      <c r="A59" s="1099"/>
      <c r="B59" s="1117" t="s">
        <v>1542</v>
      </c>
      <c r="C59" s="1118" t="s">
        <v>1505</v>
      </c>
      <c r="D59" s="1119" t="s">
        <v>1686</v>
      </c>
      <c r="E59" s="1120">
        <v>45827</v>
      </c>
      <c r="F59" s="1121">
        <v>0.1050000133</v>
      </c>
      <c r="G59" s="1119">
        <v>100000000</v>
      </c>
      <c r="H59" s="1122">
        <v>15678084</v>
      </c>
      <c r="I59" s="1119">
        <v>-15419180.035287671</v>
      </c>
      <c r="J59" s="1119">
        <v>0</v>
      </c>
      <c r="K59" s="1119"/>
      <c r="L59" s="1119">
        <f t="shared" si="2"/>
        <v>100258903.96471232</v>
      </c>
      <c r="M59" s="1123"/>
      <c r="N59" s="1119">
        <f t="shared" si="3"/>
        <v>100258903.96471232</v>
      </c>
      <c r="O59" s="1112"/>
    </row>
    <row r="60" spans="1:15" ht="14.4">
      <c r="A60" s="1099"/>
      <c r="B60" s="1117" t="s">
        <v>1542</v>
      </c>
      <c r="C60" s="1118" t="s">
        <v>1505</v>
      </c>
      <c r="D60" s="1119" t="s">
        <v>1687</v>
      </c>
      <c r="E60" s="1120">
        <v>45827</v>
      </c>
      <c r="F60" s="1121">
        <v>0.1050000133</v>
      </c>
      <c r="G60" s="1119">
        <v>100000000</v>
      </c>
      <c r="H60" s="1122">
        <v>15678084</v>
      </c>
      <c r="I60" s="1119">
        <v>-15419180.035287671</v>
      </c>
      <c r="J60" s="1119">
        <v>0</v>
      </c>
      <c r="K60" s="1119"/>
      <c r="L60" s="1119">
        <f t="shared" si="2"/>
        <v>100258903.96471232</v>
      </c>
      <c r="M60" s="1123"/>
      <c r="N60" s="1119">
        <f t="shared" si="3"/>
        <v>100258903.96471232</v>
      </c>
      <c r="O60" s="1112"/>
    </row>
    <row r="61" spans="1:15" ht="14.4">
      <c r="A61" s="1099"/>
      <c r="B61" s="1117" t="s">
        <v>1689</v>
      </c>
      <c r="C61" s="1118" t="s">
        <v>1505</v>
      </c>
      <c r="D61" s="1119" t="s">
        <v>2635</v>
      </c>
      <c r="E61" s="1120">
        <v>45922</v>
      </c>
      <c r="F61" s="1121">
        <v>0.10199999999999999</v>
      </c>
      <c r="G61" s="1119">
        <v>200000000</v>
      </c>
      <c r="H61" s="1122">
        <v>41079452.05479452</v>
      </c>
      <c r="I61" s="1119">
        <v>-35266849.315068491</v>
      </c>
      <c r="J61" s="1119">
        <v>0</v>
      </c>
      <c r="K61" s="1119">
        <v>2283689.2684931587</v>
      </c>
      <c r="L61" s="1119">
        <f t="shared" si="2"/>
        <v>208096292.00821918</v>
      </c>
      <c r="M61" s="1123"/>
      <c r="N61" s="1119">
        <f t="shared" si="3"/>
        <v>208096292.00821918</v>
      </c>
      <c r="O61" s="1112"/>
    </row>
    <row r="62" spans="1:15" ht="14.4">
      <c r="A62" s="1099"/>
      <c r="B62" s="1117" t="s">
        <v>1689</v>
      </c>
      <c r="C62" s="1118" t="s">
        <v>1505</v>
      </c>
      <c r="D62" s="1119" t="s">
        <v>2636</v>
      </c>
      <c r="E62" s="1120">
        <v>45922</v>
      </c>
      <c r="F62" s="1121">
        <v>0.10199999999999999</v>
      </c>
      <c r="G62" s="1119">
        <v>200000000</v>
      </c>
      <c r="H62" s="1122">
        <v>41079452.05479452</v>
      </c>
      <c r="I62" s="1119">
        <v>-35266849.315068491</v>
      </c>
      <c r="J62" s="1119">
        <v>0</v>
      </c>
      <c r="K62" s="1119">
        <v>2283689.2684931587</v>
      </c>
      <c r="L62" s="1119">
        <f t="shared" si="2"/>
        <v>208096292.00821918</v>
      </c>
      <c r="M62" s="1123"/>
      <c r="N62" s="1119">
        <f t="shared" si="3"/>
        <v>208096292.00821918</v>
      </c>
      <c r="O62" s="1112"/>
    </row>
    <row r="63" spans="1:15" ht="14.4">
      <c r="A63" s="1099"/>
      <c r="B63" s="1117" t="s">
        <v>1689</v>
      </c>
      <c r="C63" s="1118" t="s">
        <v>1505</v>
      </c>
      <c r="D63" s="1119" t="s">
        <v>2637</v>
      </c>
      <c r="E63" s="1120">
        <v>45922</v>
      </c>
      <c r="F63" s="1121">
        <v>0.10199999999999999</v>
      </c>
      <c r="G63" s="1119">
        <v>200000000</v>
      </c>
      <c r="H63" s="1122">
        <v>41079452.05479452</v>
      </c>
      <c r="I63" s="1119">
        <v>-35266849.315068491</v>
      </c>
      <c r="J63" s="1119">
        <v>0</v>
      </c>
      <c r="K63" s="1119">
        <v>2283689.2684931587</v>
      </c>
      <c r="L63" s="1119">
        <f t="shared" si="2"/>
        <v>208096292.00821918</v>
      </c>
      <c r="M63" s="1123"/>
      <c r="N63" s="1119">
        <f t="shared" si="3"/>
        <v>208096292.00821918</v>
      </c>
      <c r="O63" s="1112"/>
    </row>
    <row r="64" spans="1:15" ht="15" thickBot="1">
      <c r="A64" s="1099"/>
      <c r="B64" s="1099"/>
      <c r="C64" s="1124"/>
      <c r="D64" s="1125"/>
      <c r="E64" s="1126"/>
      <c r="F64" s="1127" t="s">
        <v>1509</v>
      </c>
      <c r="G64" s="1128">
        <f t="shared" ref="G64:N64" si="4">+SUM(G11:G63)</f>
        <v>8800000000</v>
      </c>
      <c r="H64" s="1128">
        <f t="shared" si="4"/>
        <v>1624982890.5361648</v>
      </c>
      <c r="I64" s="1128">
        <f t="shared" si="4"/>
        <v>-1503071657.507288</v>
      </c>
      <c r="J64" s="1128">
        <f t="shared" si="4"/>
        <v>-29227291.472092059</v>
      </c>
      <c r="K64" s="1128">
        <f t="shared" si="4"/>
        <v>15297971.149707241</v>
      </c>
      <c r="L64" s="1128">
        <f t="shared" si="4"/>
        <v>8907981912.7064915</v>
      </c>
      <c r="M64" s="1128">
        <f t="shared" si="4"/>
        <v>0</v>
      </c>
      <c r="N64" s="1128">
        <f t="shared" si="4"/>
        <v>8907981912.7064915</v>
      </c>
      <c r="O64" s="1112"/>
    </row>
    <row r="65" spans="1:15" ht="15" thickTop="1">
      <c r="A65" s="1099"/>
      <c r="B65" s="1099"/>
      <c r="C65" s="1108"/>
      <c r="D65" s="1109"/>
      <c r="E65" s="1110"/>
      <c r="F65" s="1103"/>
      <c r="G65" s="1111"/>
      <c r="H65" s="1111"/>
      <c r="I65" s="1111"/>
      <c r="J65" s="1111"/>
      <c r="K65" s="1111"/>
      <c r="L65" s="1111"/>
      <c r="M65" s="1111"/>
      <c r="N65" s="1111"/>
      <c r="O65" s="1112"/>
    </row>
    <row r="66" spans="1:15" ht="15" thickBot="1">
      <c r="A66" s="1099"/>
      <c r="B66" s="1113" t="s">
        <v>2638</v>
      </c>
      <c r="C66" s="1114"/>
      <c r="D66" s="1115"/>
      <c r="E66" s="1114"/>
      <c r="F66" s="1114"/>
      <c r="G66" s="1115"/>
      <c r="H66" s="1115"/>
      <c r="I66" s="1115"/>
      <c r="J66" s="1115"/>
      <c r="K66" s="1115"/>
      <c r="L66" s="1115"/>
      <c r="M66" s="1116"/>
      <c r="N66" s="1115"/>
      <c r="O66" s="1112"/>
    </row>
    <row r="67" spans="1:15" ht="14.4">
      <c r="A67" s="1099"/>
      <c r="B67" s="1117" t="s">
        <v>1600</v>
      </c>
      <c r="C67" s="1118" t="s">
        <v>1505</v>
      </c>
      <c r="D67" s="1119" t="s">
        <v>1603</v>
      </c>
      <c r="E67" s="1120">
        <v>46552</v>
      </c>
      <c r="F67" s="1121">
        <v>8.8999999999999996E-2</v>
      </c>
      <c r="G67" s="1119">
        <v>950000000</v>
      </c>
      <c r="H67" s="1122">
        <v>296735753</v>
      </c>
      <c r="I67" s="1122">
        <v>-292102876.71232897</v>
      </c>
      <c r="J67" s="1119">
        <v>-30202434.0828388</v>
      </c>
      <c r="K67" s="1119">
        <v>0</v>
      </c>
      <c r="L67" s="1119">
        <f>+G67+H67+I67+J67+K67</f>
        <v>924430442.20483232</v>
      </c>
      <c r="M67" s="1123"/>
      <c r="N67" s="1119">
        <f>+L67</f>
        <v>924430442.20483232</v>
      </c>
      <c r="O67" s="1112" t="s">
        <v>2611</v>
      </c>
    </row>
    <row r="68" spans="1:15" ht="15" thickBot="1">
      <c r="A68" s="1099"/>
      <c r="B68" s="1099"/>
      <c r="C68" s="1124"/>
      <c r="D68" s="1125"/>
      <c r="E68" s="1126"/>
      <c r="F68" s="1127" t="s">
        <v>1509</v>
      </c>
      <c r="G68" s="1128">
        <f t="shared" ref="G68:L68" si="5">+SUM(G67:G67)</f>
        <v>950000000</v>
      </c>
      <c r="H68" s="1128">
        <f t="shared" si="5"/>
        <v>296735753</v>
      </c>
      <c r="I68" s="1128">
        <f t="shared" si="5"/>
        <v>-292102876.71232897</v>
      </c>
      <c r="J68" s="1128">
        <f t="shared" si="5"/>
        <v>-30202434.0828388</v>
      </c>
      <c r="K68" s="1128">
        <f t="shared" si="5"/>
        <v>0</v>
      </c>
      <c r="L68" s="1128">
        <f t="shared" si="5"/>
        <v>924430442.20483232</v>
      </c>
      <c r="M68" s="1111"/>
      <c r="N68" s="1128">
        <f>+SUM(N67:N67)</f>
        <v>924430442.20483232</v>
      </c>
      <c r="O68" s="1112"/>
    </row>
    <row r="69" spans="1:15" ht="15" thickTop="1">
      <c r="A69" s="1099"/>
      <c r="B69" s="1099"/>
      <c r="C69" s="1108"/>
      <c r="D69" s="1109"/>
      <c r="E69" s="1129"/>
      <c r="F69" s="1130"/>
      <c r="G69" s="1109"/>
      <c r="H69" s="1131"/>
      <c r="I69" s="1109"/>
      <c r="J69" s="1109"/>
      <c r="K69" s="1109"/>
      <c r="L69" s="1109"/>
      <c r="M69" s="1132"/>
      <c r="N69" s="1109"/>
      <c r="O69" s="1112"/>
    </row>
    <row r="70" spans="1:15" ht="15" thickBot="1">
      <c r="A70" s="1099"/>
      <c r="B70" s="1113" t="s">
        <v>1670</v>
      </c>
      <c r="C70" s="1114"/>
      <c r="D70" s="1115"/>
      <c r="E70" s="1114"/>
      <c r="F70" s="1114"/>
      <c r="G70" s="1115"/>
      <c r="H70" s="1115"/>
      <c r="I70" s="1115"/>
      <c r="J70" s="1115"/>
      <c r="K70" s="1115"/>
      <c r="L70" s="1115"/>
      <c r="M70" s="1116"/>
      <c r="N70" s="1115"/>
      <c r="O70" s="1112"/>
    </row>
    <row r="71" spans="1:15" ht="14.4">
      <c r="A71" s="1099"/>
      <c r="B71" s="1117" t="s">
        <v>1823</v>
      </c>
      <c r="C71" s="1118" t="s">
        <v>1505</v>
      </c>
      <c r="D71" s="1119" t="s">
        <v>2639</v>
      </c>
      <c r="E71" s="1120">
        <v>45404</v>
      </c>
      <c r="F71" s="1121"/>
      <c r="G71" s="1119">
        <v>1558000000</v>
      </c>
      <c r="H71" s="1122">
        <v>0</v>
      </c>
      <c r="I71" s="1119">
        <v>0</v>
      </c>
      <c r="J71" s="1119">
        <v>-40671392.022099398</v>
      </c>
      <c r="K71" s="1119">
        <v>0</v>
      </c>
      <c r="L71" s="1119">
        <f>+G71+H71+I71+J71+K71</f>
        <v>1517328607.9779005</v>
      </c>
      <c r="M71" s="1123"/>
      <c r="N71" s="1119">
        <f>+L71</f>
        <v>1517328607.9779005</v>
      </c>
      <c r="O71" s="1112"/>
    </row>
    <row r="72" spans="1:15" ht="15" thickBot="1">
      <c r="A72" s="1099"/>
      <c r="B72" s="1099"/>
      <c r="C72" s="1124"/>
      <c r="D72" s="1125"/>
      <c r="E72" s="1126"/>
      <c r="F72" s="1127" t="s">
        <v>1509</v>
      </c>
      <c r="G72" s="1128">
        <f t="shared" ref="G72:L72" si="6">SUM(G71:G71)</f>
        <v>1558000000</v>
      </c>
      <c r="H72" s="1128">
        <f t="shared" si="6"/>
        <v>0</v>
      </c>
      <c r="I72" s="1128">
        <f t="shared" si="6"/>
        <v>0</v>
      </c>
      <c r="J72" s="1128">
        <f t="shared" si="6"/>
        <v>-40671392.022099398</v>
      </c>
      <c r="K72" s="1128">
        <f t="shared" si="6"/>
        <v>0</v>
      </c>
      <c r="L72" s="1128">
        <f t="shared" si="6"/>
        <v>1517328607.9779005</v>
      </c>
      <c r="M72" s="1111"/>
      <c r="N72" s="1128">
        <f>SUM(N71:N71)</f>
        <v>1517328607.9779005</v>
      </c>
      <c r="O72" s="1112"/>
    </row>
    <row r="73" spans="1:15" ht="15" thickTop="1">
      <c r="A73" s="1099"/>
      <c r="B73" s="1099"/>
      <c r="C73" s="1108"/>
      <c r="D73" s="1109"/>
      <c r="E73" s="1129"/>
      <c r="F73" s="1130"/>
      <c r="G73" s="1109"/>
      <c r="H73" s="1131"/>
      <c r="I73" s="1109"/>
      <c r="J73" s="1109"/>
      <c r="K73" s="1109"/>
      <c r="L73" s="1109"/>
      <c r="M73" s="1132"/>
      <c r="N73" s="1109"/>
      <c r="O73" s="1112"/>
    </row>
    <row r="74" spans="1:15" ht="15" thickBot="1">
      <c r="A74" s="1099"/>
      <c r="B74" s="1113" t="s">
        <v>1691</v>
      </c>
      <c r="C74" s="1114"/>
      <c r="D74" s="1115"/>
      <c r="E74" s="1114"/>
      <c r="F74" s="1114"/>
      <c r="G74" s="1115"/>
      <c r="H74" s="1115"/>
      <c r="I74" s="1115"/>
      <c r="J74" s="1115"/>
      <c r="K74" s="1115"/>
      <c r="L74" s="1115"/>
      <c r="M74" s="1116"/>
      <c r="N74" s="1115"/>
      <c r="O74" s="1112"/>
    </row>
    <row r="75" spans="1:15" ht="14.4">
      <c r="A75" s="1099"/>
      <c r="B75" s="1117" t="s">
        <v>1605</v>
      </c>
      <c r="C75" s="1118" t="s">
        <v>1505</v>
      </c>
      <c r="D75" s="1119" t="s">
        <v>1606</v>
      </c>
      <c r="E75" s="1120">
        <v>46889</v>
      </c>
      <c r="F75" s="1121">
        <v>0.105</v>
      </c>
      <c r="G75" s="1119">
        <v>753000000</v>
      </c>
      <c r="H75" s="1122">
        <v>355900807.5</v>
      </c>
      <c r="I75" s="1119">
        <v>-346153068.49315101</v>
      </c>
      <c r="J75" s="1119">
        <v>-32</v>
      </c>
      <c r="K75" s="1119">
        <v>0</v>
      </c>
      <c r="L75" s="1119">
        <f t="shared" ref="L75:L80" si="7">+G75+H75+I75+J75+K75</f>
        <v>762747707.00684905</v>
      </c>
      <c r="M75" s="1123"/>
      <c r="N75" s="1119">
        <f t="shared" ref="N75:N80" si="8">+L75</f>
        <v>762747707.00684905</v>
      </c>
      <c r="O75" s="1112"/>
    </row>
    <row r="76" spans="1:15" ht="14.4">
      <c r="A76" s="1099"/>
      <c r="B76" s="1117" t="s">
        <v>1605</v>
      </c>
      <c r="C76" s="1118" t="s">
        <v>1505</v>
      </c>
      <c r="D76" s="1119" t="s">
        <v>1692</v>
      </c>
      <c r="E76" s="1120">
        <v>47046</v>
      </c>
      <c r="F76" s="1121">
        <v>0.1</v>
      </c>
      <c r="G76" s="1119">
        <v>805000000</v>
      </c>
      <c r="H76" s="1122">
        <v>402058904</v>
      </c>
      <c r="I76" s="1119">
        <v>-387061643.83561599</v>
      </c>
      <c r="J76" s="1119">
        <v>0</v>
      </c>
      <c r="K76" s="1119">
        <v>0</v>
      </c>
      <c r="L76" s="1119">
        <f t="shared" si="7"/>
        <v>819997260.16438401</v>
      </c>
      <c r="M76" s="1123"/>
      <c r="N76" s="1119">
        <f t="shared" si="8"/>
        <v>819997260.16438401</v>
      </c>
      <c r="O76" s="1112"/>
    </row>
    <row r="77" spans="1:15" ht="14.4">
      <c r="A77" s="1099"/>
      <c r="B77" s="1117" t="s">
        <v>1634</v>
      </c>
      <c r="C77" s="1118" t="s">
        <v>1505</v>
      </c>
      <c r="D77" s="1119" t="s">
        <v>2640</v>
      </c>
      <c r="E77" s="1120">
        <v>46168</v>
      </c>
      <c r="F77" s="1121">
        <v>8.9499999999999996E-2</v>
      </c>
      <c r="G77" s="1119">
        <v>27000000</v>
      </c>
      <c r="H77" s="1122">
        <v>6024698.6301369863</v>
      </c>
      <c r="I77" s="1119">
        <v>-5806220.5479452098</v>
      </c>
      <c r="J77" s="1119">
        <v>0</v>
      </c>
      <c r="K77" s="1119">
        <v>435118</v>
      </c>
      <c r="L77" s="1119">
        <f t="shared" si="7"/>
        <v>27653596.082191776</v>
      </c>
      <c r="M77" s="1123"/>
      <c r="N77" s="1119">
        <f t="shared" si="8"/>
        <v>27653596.082191776</v>
      </c>
      <c r="O77" s="1112"/>
    </row>
    <row r="78" spans="1:15" ht="14.4">
      <c r="A78" s="1099"/>
      <c r="B78" s="1117" t="s">
        <v>1511</v>
      </c>
      <c r="C78" s="1118" t="s">
        <v>1505</v>
      </c>
      <c r="D78" s="1119" t="s">
        <v>1607</v>
      </c>
      <c r="E78" s="1120">
        <v>45701</v>
      </c>
      <c r="F78" s="1121">
        <v>8.7999999999999995E-2</v>
      </c>
      <c r="G78" s="1119">
        <v>795000000</v>
      </c>
      <c r="H78" s="1122">
        <v>87210411</v>
      </c>
      <c r="I78" s="1119">
        <v>-78585205</v>
      </c>
      <c r="J78" s="1119">
        <v>0</v>
      </c>
      <c r="K78" s="1119">
        <v>3216409</v>
      </c>
      <c r="L78" s="1119">
        <f t="shared" si="7"/>
        <v>806841615</v>
      </c>
      <c r="M78" s="1123"/>
      <c r="N78" s="1119">
        <f t="shared" si="8"/>
        <v>806841615</v>
      </c>
      <c r="O78" s="1112"/>
    </row>
    <row r="79" spans="1:15" ht="14.4">
      <c r="A79" s="1099"/>
      <c r="B79" s="1117" t="s">
        <v>1511</v>
      </c>
      <c r="C79" s="1118" t="s">
        <v>1505</v>
      </c>
      <c r="D79" s="1119" t="s">
        <v>1693</v>
      </c>
      <c r="E79" s="1120">
        <v>45883</v>
      </c>
      <c r="F79" s="1121">
        <v>0.09</v>
      </c>
      <c r="G79" s="1119">
        <v>257000000</v>
      </c>
      <c r="H79" s="1122">
        <v>40366603.399999999</v>
      </c>
      <c r="I79" s="1119">
        <v>-37514959</v>
      </c>
      <c r="J79" s="1119">
        <v>0</v>
      </c>
      <c r="K79" s="1119">
        <v>3854491.4</v>
      </c>
      <c r="L79" s="1119">
        <f t="shared" si="7"/>
        <v>263706135.79999998</v>
      </c>
      <c r="M79" s="1123"/>
      <c r="N79" s="1119">
        <f t="shared" si="8"/>
        <v>263706135.79999998</v>
      </c>
      <c r="O79" s="1112"/>
    </row>
    <row r="80" spans="1:15" ht="14.4">
      <c r="A80" s="1099"/>
      <c r="B80" s="1117" t="s">
        <v>1511</v>
      </c>
      <c r="C80" s="1118" t="s">
        <v>1505</v>
      </c>
      <c r="D80" s="1120" t="s">
        <v>2641</v>
      </c>
      <c r="E80" s="1120">
        <v>45817</v>
      </c>
      <c r="F80" s="1121">
        <v>7.9500000000000001E-2</v>
      </c>
      <c r="G80" s="1119">
        <v>690000000</v>
      </c>
      <c r="H80" s="1122">
        <v>82808507.400000006</v>
      </c>
      <c r="I80" s="1119">
        <v>-79051315.068493098</v>
      </c>
      <c r="J80" s="1119">
        <v>0</v>
      </c>
      <c r="K80" s="1119">
        <v>909092.4</v>
      </c>
      <c r="L80" s="1119">
        <f t="shared" si="7"/>
        <v>694666284.73150682</v>
      </c>
      <c r="M80" s="1123"/>
      <c r="N80" s="1119">
        <f t="shared" si="8"/>
        <v>694666284.73150682</v>
      </c>
      <c r="O80" s="1112"/>
    </row>
    <row r="81" spans="1:15" ht="15" thickBot="1">
      <c r="A81" s="1099"/>
      <c r="B81" s="1099"/>
      <c r="C81" s="1124"/>
      <c r="D81" s="1125"/>
      <c r="E81" s="1126"/>
      <c r="F81" s="1127" t="s">
        <v>1509</v>
      </c>
      <c r="G81" s="1128">
        <f t="shared" ref="G81:L81" si="9">+SUM(G75:G80)</f>
        <v>3327000000</v>
      </c>
      <c r="H81" s="1128">
        <f t="shared" si="9"/>
        <v>974369931.93013692</v>
      </c>
      <c r="I81" s="1128">
        <f t="shared" si="9"/>
        <v>-934172411.94520545</v>
      </c>
      <c r="J81" s="1128">
        <f t="shared" si="9"/>
        <v>-32</v>
      </c>
      <c r="K81" s="1128">
        <f t="shared" si="9"/>
        <v>8415110.8000000007</v>
      </c>
      <c r="L81" s="1128">
        <f t="shared" si="9"/>
        <v>3375612598.7849317</v>
      </c>
      <c r="M81" s="1111"/>
      <c r="N81" s="1128">
        <f>+SUM(N75:N80)</f>
        <v>3375612598.7849317</v>
      </c>
      <c r="O81" s="1112"/>
    </row>
    <row r="82" spans="1:15" ht="15" thickTop="1">
      <c r="A82" s="1099"/>
      <c r="B82" s="1099"/>
      <c r="C82" s="1108"/>
      <c r="D82" s="1109"/>
      <c r="E82" s="1129"/>
      <c r="F82" s="1130"/>
      <c r="G82" s="1109"/>
      <c r="H82" s="1131"/>
      <c r="I82" s="1109"/>
      <c r="J82" s="1109"/>
      <c r="K82" s="1109"/>
      <c r="L82" s="1109"/>
      <c r="M82" s="1132"/>
      <c r="N82" s="1109"/>
      <c r="O82" s="1112"/>
    </row>
    <row r="83" spans="1:15" ht="15" thickBot="1">
      <c r="A83" s="1099"/>
      <c r="B83" s="1113" t="s">
        <v>2642</v>
      </c>
      <c r="C83" s="1114"/>
      <c r="D83" s="1115"/>
      <c r="E83" s="1114"/>
      <c r="F83" s="1114"/>
      <c r="G83" s="1115"/>
      <c r="H83" s="1115"/>
      <c r="I83" s="1115"/>
      <c r="J83" s="1115"/>
      <c r="K83" s="1115"/>
      <c r="L83" s="1115"/>
      <c r="M83" s="1116"/>
      <c r="N83" s="1115"/>
      <c r="O83" s="1112"/>
    </row>
    <row r="84" spans="1:15" ht="14.4">
      <c r="A84" s="1099"/>
      <c r="B84" s="1117" t="s">
        <v>1600</v>
      </c>
      <c r="C84" s="1118" t="s">
        <v>1505</v>
      </c>
      <c r="D84" s="1119" t="s">
        <v>2643</v>
      </c>
      <c r="E84" s="1120">
        <v>45575</v>
      </c>
      <c r="F84" s="1121">
        <v>8.5000000000000006E-2</v>
      </c>
      <c r="G84" s="1119">
        <v>1840000000</v>
      </c>
      <c r="H84" s="1122">
        <v>155971506.5</v>
      </c>
      <c r="I84" s="1119">
        <v>-121692055</v>
      </c>
      <c r="J84" s="1119">
        <v>0</v>
      </c>
      <c r="K84" s="1119">
        <v>5444036.3861708101</v>
      </c>
      <c r="L84" s="1119">
        <f>+G84+H84+I84+J84+K84</f>
        <v>1879723487.8861709</v>
      </c>
      <c r="M84" s="1123"/>
      <c r="N84" s="1119">
        <f>+L84</f>
        <v>1879723487.8861709</v>
      </c>
      <c r="O84" s="1112"/>
    </row>
    <row r="85" spans="1:15" ht="14.4">
      <c r="A85" s="1099"/>
      <c r="B85" s="1117" t="s">
        <v>1600</v>
      </c>
      <c r="C85" s="1118" t="s">
        <v>1505</v>
      </c>
      <c r="D85" s="1119" t="s">
        <v>2644</v>
      </c>
      <c r="E85" s="1120">
        <v>45302</v>
      </c>
      <c r="F85" s="1121">
        <v>8.2500000000000004E-2</v>
      </c>
      <c r="G85" s="1119">
        <v>1500000000</v>
      </c>
      <c r="H85" s="1122">
        <v>30852740.399999999</v>
      </c>
      <c r="I85" s="1119">
        <v>-3729452</v>
      </c>
      <c r="J85" s="1119">
        <v>-58</v>
      </c>
      <c r="K85" s="1119">
        <v>44</v>
      </c>
      <c r="L85" s="1119">
        <f>+G85+H85+I85+J85+K85</f>
        <v>1527123274.4000001</v>
      </c>
      <c r="M85" s="1123"/>
      <c r="N85" s="1119">
        <f>+L85</f>
        <v>1527123274.4000001</v>
      </c>
      <c r="O85" s="1112"/>
    </row>
    <row r="86" spans="1:15" ht="15" thickBot="1">
      <c r="A86" s="1099"/>
      <c r="B86" s="1099"/>
      <c r="C86" s="1124"/>
      <c r="D86" s="1125"/>
      <c r="E86" s="1126"/>
      <c r="F86" s="1127" t="s">
        <v>1509</v>
      </c>
      <c r="G86" s="1128">
        <f t="shared" ref="G86:N86" si="10">+SUM(G84:G85)</f>
        <v>3340000000</v>
      </c>
      <c r="H86" s="1128">
        <f t="shared" si="10"/>
        <v>186824246.90000001</v>
      </c>
      <c r="I86" s="1128">
        <f t="shared" si="10"/>
        <v>-125421507</v>
      </c>
      <c r="J86" s="1128">
        <f t="shared" si="10"/>
        <v>-58</v>
      </c>
      <c r="K86" s="1128">
        <f t="shared" si="10"/>
        <v>5444080.3861708101</v>
      </c>
      <c r="L86" s="1128">
        <f t="shared" si="10"/>
        <v>3406846762.286171</v>
      </c>
      <c r="M86" s="1128">
        <f t="shared" si="10"/>
        <v>0</v>
      </c>
      <c r="N86" s="1128">
        <f t="shared" si="10"/>
        <v>3406846762.286171</v>
      </c>
      <c r="O86" s="1112"/>
    </row>
    <row r="87" spans="1:15" ht="15" thickTop="1">
      <c r="A87" s="1099"/>
      <c r="B87" s="1099"/>
      <c r="C87" s="1108"/>
      <c r="D87" s="1109"/>
      <c r="E87" s="1110"/>
      <c r="F87" s="1103"/>
      <c r="G87" s="1111"/>
      <c r="H87" s="1111"/>
      <c r="I87" s="1111"/>
      <c r="J87" s="1111"/>
      <c r="K87" s="1111"/>
      <c r="L87" s="1111"/>
      <c r="M87" s="1111"/>
      <c r="N87" s="1111"/>
      <c r="O87" s="1112"/>
    </row>
    <row r="88" spans="1:15" ht="15" thickBot="1">
      <c r="A88" s="1099"/>
      <c r="B88" s="1113" t="s">
        <v>1698</v>
      </c>
      <c r="C88" s="1114"/>
      <c r="D88" s="1115"/>
      <c r="E88" s="1114"/>
      <c r="F88" s="1114"/>
      <c r="G88" s="1115"/>
      <c r="H88" s="1115"/>
      <c r="I88" s="1115"/>
      <c r="J88" s="1115"/>
      <c r="K88" s="1115"/>
      <c r="L88" s="1115"/>
      <c r="M88" s="1116"/>
      <c r="N88" s="1115"/>
      <c r="O88" s="1112"/>
    </row>
    <row r="89" spans="1:15" ht="14.4">
      <c r="A89" s="1099"/>
      <c r="B89" s="1117" t="s">
        <v>1614</v>
      </c>
      <c r="C89" s="1118" t="s">
        <v>1505</v>
      </c>
      <c r="D89" s="1119" t="s">
        <v>1615</v>
      </c>
      <c r="E89" s="1120">
        <v>45362</v>
      </c>
      <c r="F89" s="1121">
        <v>0.09</v>
      </c>
      <c r="G89" s="1119">
        <v>462000000</v>
      </c>
      <c r="H89" s="1122">
        <v>10366520.5</v>
      </c>
      <c r="I89" s="1119">
        <v>-8088164.3835616522</v>
      </c>
      <c r="J89" s="1119">
        <v>0</v>
      </c>
      <c r="K89" s="1119">
        <v>208707.32054794699</v>
      </c>
      <c r="L89" s="1119">
        <f t="shared" ref="L89:L96" si="11">+G89+H89+I89+J89+K89</f>
        <v>464487063.43698627</v>
      </c>
      <c r="M89" s="1123"/>
      <c r="N89" s="1119">
        <f t="shared" ref="N89:N96" si="12">+L89</f>
        <v>464487063.43698627</v>
      </c>
      <c r="O89" s="1112"/>
    </row>
    <row r="90" spans="1:15" ht="14.4">
      <c r="A90" s="1099"/>
      <c r="B90" s="1117" t="s">
        <v>1616</v>
      </c>
      <c r="C90" s="1118" t="s">
        <v>1505</v>
      </c>
      <c r="D90" s="1119" t="s">
        <v>1617</v>
      </c>
      <c r="E90" s="1120">
        <v>45446</v>
      </c>
      <c r="F90" s="1121">
        <v>8.7499999999999994E-2</v>
      </c>
      <c r="G90" s="1119">
        <v>225000000</v>
      </c>
      <c r="H90" s="1122">
        <v>9816781</v>
      </c>
      <c r="I90" s="1119">
        <v>-8360445.2054794496</v>
      </c>
      <c r="J90" s="1119">
        <v>0</v>
      </c>
      <c r="K90" s="1119">
        <v>7166.4646719529801</v>
      </c>
      <c r="L90" s="1119">
        <f t="shared" si="11"/>
        <v>226463502.2591925</v>
      </c>
      <c r="M90" s="1123"/>
      <c r="N90" s="1119">
        <f t="shared" si="12"/>
        <v>226463502.2591925</v>
      </c>
      <c r="O90" s="1112"/>
    </row>
    <row r="91" spans="1:15" ht="14.4">
      <c r="A91" s="1099"/>
      <c r="B91" s="1117" t="s">
        <v>1824</v>
      </c>
      <c r="C91" s="1118" t="s">
        <v>1505</v>
      </c>
      <c r="D91" s="1119" t="s">
        <v>2645</v>
      </c>
      <c r="E91" s="1120">
        <v>46513</v>
      </c>
      <c r="F91" s="1121">
        <v>0.11</v>
      </c>
      <c r="G91" s="1119">
        <v>275000000</v>
      </c>
      <c r="H91" s="1122">
        <v>105584932</v>
      </c>
      <c r="I91" s="1119">
        <v>-101275342.46575342</v>
      </c>
      <c r="J91" s="1119">
        <v>0</v>
      </c>
      <c r="K91" s="1119">
        <v>2742021</v>
      </c>
      <c r="L91" s="1119">
        <f t="shared" si="11"/>
        <v>282051610.53424656</v>
      </c>
      <c r="M91" s="1123"/>
      <c r="N91" s="1119">
        <f t="shared" si="12"/>
        <v>282051610.53424656</v>
      </c>
      <c r="O91" s="1112"/>
    </row>
    <row r="92" spans="1:15" ht="14.4">
      <c r="A92" s="1099"/>
      <c r="B92" s="1117" t="s">
        <v>1825</v>
      </c>
      <c r="C92" s="1118" t="s">
        <v>1505</v>
      </c>
      <c r="D92" s="1119" t="s">
        <v>2646</v>
      </c>
      <c r="E92" s="1120">
        <v>46269</v>
      </c>
      <c r="F92" s="1121">
        <v>0.11</v>
      </c>
      <c r="G92" s="1119">
        <v>308000000</v>
      </c>
      <c r="H92" s="1122">
        <v>93100383.561643794</v>
      </c>
      <c r="I92" s="1119">
        <v>-90779835.616438359</v>
      </c>
      <c r="J92" s="1119">
        <v>0</v>
      </c>
      <c r="K92" s="1119">
        <v>4261358.4609422004</v>
      </c>
      <c r="L92" s="1119">
        <f t="shared" si="11"/>
        <v>314581906.40614766</v>
      </c>
      <c r="M92" s="1123"/>
      <c r="N92" s="1119">
        <f t="shared" si="12"/>
        <v>314581906.40614766</v>
      </c>
      <c r="O92" s="1112"/>
    </row>
    <row r="93" spans="1:15" ht="14.4">
      <c r="A93" s="1099"/>
      <c r="B93" s="1117" t="s">
        <v>1825</v>
      </c>
      <c r="C93" s="1118" t="s">
        <v>1505</v>
      </c>
      <c r="D93" s="1119" t="s">
        <v>2647</v>
      </c>
      <c r="E93" s="1120">
        <v>46587</v>
      </c>
      <c r="F93" s="1121">
        <v>0.1125</v>
      </c>
      <c r="G93" s="1119">
        <v>55000000</v>
      </c>
      <c r="H93" s="1122">
        <v>23241266.5</v>
      </c>
      <c r="I93" s="1119">
        <v>-21969863.01369863</v>
      </c>
      <c r="J93" s="1119">
        <v>0</v>
      </c>
      <c r="K93" s="1119">
        <v>2024628.1989379099</v>
      </c>
      <c r="L93" s="1119">
        <f t="shared" si="11"/>
        <v>58296031.685239278</v>
      </c>
      <c r="M93" s="1123"/>
      <c r="N93" s="1119">
        <f t="shared" si="12"/>
        <v>58296031.685239278</v>
      </c>
      <c r="O93" s="1112"/>
    </row>
    <row r="94" spans="1:15" ht="14.4">
      <c r="A94" s="1099"/>
      <c r="B94" s="1117" t="s">
        <v>1826</v>
      </c>
      <c r="C94" s="1118" t="s">
        <v>1505</v>
      </c>
      <c r="D94" s="1119" t="s">
        <v>2648</v>
      </c>
      <c r="E94" s="1120">
        <v>46735</v>
      </c>
      <c r="F94" s="1121">
        <v>0.09</v>
      </c>
      <c r="G94" s="1119">
        <v>650000000</v>
      </c>
      <c r="H94" s="1122">
        <v>234000000</v>
      </c>
      <c r="I94" s="1119">
        <v>-231435616.43835616</v>
      </c>
      <c r="J94" s="1119">
        <v>0</v>
      </c>
      <c r="K94" s="1119"/>
      <c r="L94" s="1119">
        <f t="shared" si="11"/>
        <v>652564383.56164384</v>
      </c>
      <c r="M94" s="1123"/>
      <c r="N94" s="1119">
        <f t="shared" si="12"/>
        <v>652564383.56164384</v>
      </c>
      <c r="O94" s="1112"/>
    </row>
    <row r="95" spans="1:15" ht="14.4">
      <c r="A95" s="1099"/>
      <c r="B95" s="1117" t="s">
        <v>1825</v>
      </c>
      <c r="C95" s="1118" t="s">
        <v>1505</v>
      </c>
      <c r="D95" s="1119" t="s">
        <v>1619</v>
      </c>
      <c r="E95" s="1120">
        <v>46997</v>
      </c>
      <c r="F95" s="1121">
        <v>0.115</v>
      </c>
      <c r="G95" s="1119">
        <v>169000000</v>
      </c>
      <c r="H95" s="1122">
        <v>92169821.917808235</v>
      </c>
      <c r="I95" s="1119">
        <v>-90838657.534246579</v>
      </c>
      <c r="J95" s="1119">
        <v>0</v>
      </c>
      <c r="K95" s="1119">
        <v>6204137.7041145097</v>
      </c>
      <c r="L95" s="1119">
        <f t="shared" si="11"/>
        <v>176535302.08767617</v>
      </c>
      <c r="M95" s="1123"/>
      <c r="N95" s="1119">
        <f t="shared" si="12"/>
        <v>176535302.08767617</v>
      </c>
      <c r="O95" s="1112"/>
    </row>
    <row r="96" spans="1:15" ht="14.4">
      <c r="A96" s="1099"/>
      <c r="B96" s="1117" t="s">
        <v>1825</v>
      </c>
      <c r="C96" s="1118" t="s">
        <v>1505</v>
      </c>
      <c r="D96" s="1119" t="s">
        <v>2649</v>
      </c>
      <c r="E96" s="1120">
        <v>47442</v>
      </c>
      <c r="F96" s="1121">
        <v>0.125</v>
      </c>
      <c r="G96" s="1119">
        <v>50000000</v>
      </c>
      <c r="H96" s="1122">
        <v>37397260.399999999</v>
      </c>
      <c r="I96" s="1119">
        <v>-36832191.780821919</v>
      </c>
      <c r="J96" s="1119">
        <v>0</v>
      </c>
      <c r="K96" s="1119">
        <v>3747203.8616500301</v>
      </c>
      <c r="L96" s="1119">
        <f t="shared" si="11"/>
        <v>54312272.480828114</v>
      </c>
      <c r="M96" s="1123"/>
      <c r="N96" s="1119">
        <f t="shared" si="12"/>
        <v>54312272.480828114</v>
      </c>
      <c r="O96" s="1112"/>
    </row>
    <row r="97" spans="1:15" ht="15" thickBot="1">
      <c r="A97" s="1099"/>
      <c r="B97" s="1099"/>
      <c r="C97" s="1124"/>
      <c r="D97" s="1125"/>
      <c r="E97" s="1126"/>
      <c r="F97" s="1127" t="s">
        <v>1509</v>
      </c>
      <c r="G97" s="1128">
        <f t="shared" ref="G97:N97" si="13">+SUM(G89:G96)</f>
        <v>2194000000</v>
      </c>
      <c r="H97" s="1128">
        <f t="shared" si="13"/>
        <v>605676965.87945199</v>
      </c>
      <c r="I97" s="1128">
        <f t="shared" si="13"/>
        <v>-589580116.43835616</v>
      </c>
      <c r="J97" s="1128">
        <f t="shared" si="13"/>
        <v>0</v>
      </c>
      <c r="K97" s="1128">
        <f t="shared" si="13"/>
        <v>19195223.010864548</v>
      </c>
      <c r="L97" s="1128">
        <f t="shared" si="13"/>
        <v>2229292072.4519606</v>
      </c>
      <c r="M97" s="1128">
        <f t="shared" si="13"/>
        <v>0</v>
      </c>
      <c r="N97" s="1128">
        <f t="shared" si="13"/>
        <v>2229292072.4519606</v>
      </c>
      <c r="O97" s="1112"/>
    </row>
    <row r="98" spans="1:15" ht="15" thickTop="1">
      <c r="A98" s="1099"/>
      <c r="B98" s="1099"/>
      <c r="C98" s="1108"/>
      <c r="D98" s="1109"/>
      <c r="E98" s="1110"/>
      <c r="F98" s="1103"/>
      <c r="G98" s="1111"/>
      <c r="H98" s="1111"/>
      <c r="I98" s="1111"/>
      <c r="J98" s="1111"/>
      <c r="K98" s="1111"/>
      <c r="L98" s="1111"/>
      <c r="M98" s="1111"/>
      <c r="N98" s="1111"/>
      <c r="O98" s="1112"/>
    </row>
    <row r="99" spans="1:15" ht="14.4">
      <c r="A99" s="1099"/>
      <c r="B99" s="1099"/>
      <c r="C99" s="1108"/>
      <c r="D99" s="1109"/>
      <c r="E99" s="1110"/>
      <c r="F99" s="1103"/>
      <c r="G99" s="1111"/>
      <c r="H99" s="1111"/>
      <c r="I99" s="1111"/>
      <c r="J99" s="1111"/>
      <c r="K99" s="1111"/>
      <c r="L99" s="1111"/>
      <c r="M99" s="1111"/>
      <c r="N99" s="1111"/>
      <c r="O99" s="1112"/>
    </row>
    <row r="100" spans="1:15" ht="14.4">
      <c r="A100" s="1099"/>
      <c r="B100" s="1133" t="s">
        <v>1623</v>
      </c>
      <c r="C100" s="1134"/>
      <c r="D100" s="1134"/>
      <c r="E100" s="1134"/>
      <c r="F100" s="1134"/>
      <c r="G100" s="1135">
        <f t="shared" ref="G100:L100" si="14">+G64+G68+G81+G97+G72+G86</f>
        <v>20169000000</v>
      </c>
      <c r="H100" s="1135">
        <f t="shared" si="14"/>
        <v>3688589788.2457538</v>
      </c>
      <c r="I100" s="1135">
        <f t="shared" si="14"/>
        <v>-3444348569.603179</v>
      </c>
      <c r="J100" s="1135">
        <f t="shared" si="14"/>
        <v>-100101207.57703026</v>
      </c>
      <c r="K100" s="1135">
        <f t="shared" si="14"/>
        <v>48352385.3467426</v>
      </c>
      <c r="L100" s="1135">
        <f t="shared" si="14"/>
        <v>20361492396.412289</v>
      </c>
      <c r="M100" s="1135"/>
      <c r="N100" s="1136">
        <f>+N64+N68+N81+N97+N72+N86</f>
        <v>20361492396.412289</v>
      </c>
      <c r="O100" s="1099"/>
    </row>
    <row r="101" spans="1:15" ht="14.4">
      <c r="A101" s="1099"/>
      <c r="B101" s="1099"/>
      <c r="C101" s="1108"/>
      <c r="D101" s="1109"/>
      <c r="E101" s="1110"/>
      <c r="F101" s="1103"/>
      <c r="G101" s="1103"/>
      <c r="H101" s="1137"/>
      <c r="I101" s="1138"/>
      <c r="J101" s="1099"/>
      <c r="K101" s="1138"/>
      <c r="L101" s="1138"/>
      <c r="M101" s="1137"/>
      <c r="N101" s="1111"/>
      <c r="O101" s="1099"/>
    </row>
    <row r="102" spans="1:15" ht="15" thickBot="1">
      <c r="A102" s="1099"/>
      <c r="B102" s="1113" t="s">
        <v>1701</v>
      </c>
      <c r="C102" s="1114"/>
      <c r="D102" s="1115"/>
      <c r="E102" s="1114"/>
      <c r="F102" s="1114"/>
      <c r="G102" s="1115"/>
      <c r="H102" s="1115"/>
      <c r="I102" s="1115"/>
      <c r="J102" s="1115"/>
      <c r="K102" s="1115"/>
      <c r="L102" s="1115"/>
      <c r="M102" s="1116"/>
      <c r="N102" s="1115"/>
      <c r="O102" s="1112"/>
    </row>
    <row r="103" spans="1:15" ht="14.4">
      <c r="A103" s="1099"/>
      <c r="B103" s="1117" t="s">
        <v>2650</v>
      </c>
      <c r="C103" s="1118" t="s">
        <v>1625</v>
      </c>
      <c r="D103" s="1119" t="s">
        <v>2651</v>
      </c>
      <c r="E103" s="1120">
        <v>46374</v>
      </c>
      <c r="F103" s="1121">
        <v>6.7000000000000004E-2</v>
      </c>
      <c r="G103" s="1123">
        <v>25000</v>
      </c>
      <c r="H103" s="1139">
        <v>5029.5905000000002</v>
      </c>
      <c r="I103" s="1139">
        <v>-4969.9340000000002</v>
      </c>
      <c r="J103" s="1123"/>
      <c r="K103" s="1123"/>
      <c r="L103" s="1123">
        <f t="shared" ref="L103:L108" si="15">+G103+H103+I103+J103+K103</f>
        <v>25059.656499999997</v>
      </c>
      <c r="M103" s="1123">
        <v>7263.59</v>
      </c>
      <c r="N103" s="1119">
        <f t="shared" ref="N103:N108" si="16">+L103*M103</f>
        <v>182023070.35683498</v>
      </c>
      <c r="O103" s="1112"/>
    </row>
    <row r="104" spans="1:15" ht="14.4">
      <c r="A104" s="1099"/>
      <c r="B104" s="1117" t="s">
        <v>2650</v>
      </c>
      <c r="C104" s="1118" t="s">
        <v>1625</v>
      </c>
      <c r="D104" s="1119" t="s">
        <v>2652</v>
      </c>
      <c r="E104" s="1120">
        <v>46374</v>
      </c>
      <c r="F104" s="1121">
        <v>6.7000000000000004E-2</v>
      </c>
      <c r="G104" s="1123">
        <v>25000</v>
      </c>
      <c r="H104" s="1139">
        <v>5029.5884999999998</v>
      </c>
      <c r="I104" s="1139">
        <v>-4969.9340000000002</v>
      </c>
      <c r="J104" s="1123"/>
      <c r="K104" s="1123"/>
      <c r="L104" s="1123">
        <f t="shared" si="15"/>
        <v>25059.654499999997</v>
      </c>
      <c r="M104" s="1123">
        <v>7263.59</v>
      </c>
      <c r="N104" s="1119">
        <f t="shared" si="16"/>
        <v>182023055.82965499</v>
      </c>
      <c r="O104" s="1112"/>
    </row>
    <row r="105" spans="1:15" ht="14.4">
      <c r="A105" s="1099"/>
      <c r="B105" s="1117" t="s">
        <v>2602</v>
      </c>
      <c r="C105" s="1118" t="s">
        <v>1625</v>
      </c>
      <c r="D105" s="1119" t="s">
        <v>2653</v>
      </c>
      <c r="E105" s="1120">
        <v>45825</v>
      </c>
      <c r="F105" s="1121">
        <v>6.3E-2</v>
      </c>
      <c r="G105" s="1123">
        <v>50000</v>
      </c>
      <c r="H105" s="1139">
        <v>4703.424</v>
      </c>
      <c r="I105" s="1139">
        <v>-4608.4939999999997</v>
      </c>
      <c r="J105" s="1123"/>
      <c r="K105" s="1123">
        <v>105.31399999999999</v>
      </c>
      <c r="L105" s="1123">
        <f t="shared" si="15"/>
        <v>50200.243999999999</v>
      </c>
      <c r="M105" s="1123">
        <v>7263.59</v>
      </c>
      <c r="N105" s="1119">
        <f t="shared" si="16"/>
        <v>364633990.31595999</v>
      </c>
      <c r="O105" s="1112"/>
    </row>
    <row r="106" spans="1:15" ht="14.4">
      <c r="A106" s="1099"/>
      <c r="B106" s="1117" t="s">
        <v>2602</v>
      </c>
      <c r="C106" s="1118" t="s">
        <v>1625</v>
      </c>
      <c r="D106" s="1119" t="s">
        <v>2654</v>
      </c>
      <c r="E106" s="1120">
        <v>45825</v>
      </c>
      <c r="F106" s="1121">
        <v>6.3E-2</v>
      </c>
      <c r="G106" s="1123">
        <v>50000</v>
      </c>
      <c r="H106" s="1139">
        <v>4703.4246999999996</v>
      </c>
      <c r="I106" s="1139">
        <v>-4608.4939999999997</v>
      </c>
      <c r="J106" s="1123"/>
      <c r="K106" s="1123">
        <v>105.31399999999999</v>
      </c>
      <c r="L106" s="1123">
        <f t="shared" si="15"/>
        <v>50200.244700000003</v>
      </c>
      <c r="M106" s="1123">
        <v>7263.59</v>
      </c>
      <c r="N106" s="1119">
        <f t="shared" si="16"/>
        <v>364633995.40047306</v>
      </c>
      <c r="O106" s="1112"/>
    </row>
    <row r="107" spans="1:15" ht="14.4">
      <c r="A107" s="1099"/>
      <c r="B107" s="1117" t="s">
        <v>2602</v>
      </c>
      <c r="C107" s="1118" t="s">
        <v>1625</v>
      </c>
      <c r="D107" s="1119" t="s">
        <v>2655</v>
      </c>
      <c r="E107" s="1120">
        <v>45826</v>
      </c>
      <c r="F107" s="1121">
        <v>6.3E-2</v>
      </c>
      <c r="G107" s="1123">
        <v>50000</v>
      </c>
      <c r="H107" s="1139">
        <v>4703.4246999999996</v>
      </c>
      <c r="I107" s="1139">
        <v>-4617.1244999999999</v>
      </c>
      <c r="J107" s="1123"/>
      <c r="K107" s="1123">
        <v>105.511</v>
      </c>
      <c r="L107" s="1123">
        <f t="shared" si="15"/>
        <v>50191.811200000004</v>
      </c>
      <c r="M107" s="1123">
        <v>7263.59</v>
      </c>
      <c r="N107" s="1119">
        <f t="shared" si="16"/>
        <v>364572737.91420805</v>
      </c>
      <c r="O107" s="1112"/>
    </row>
    <row r="108" spans="1:15" ht="14.4">
      <c r="A108" s="1099"/>
      <c r="B108" s="1117" t="s">
        <v>2602</v>
      </c>
      <c r="C108" s="1118" t="s">
        <v>1625</v>
      </c>
      <c r="D108" s="1119" t="s">
        <v>2656</v>
      </c>
      <c r="E108" s="1120">
        <v>45826</v>
      </c>
      <c r="F108" s="1121">
        <v>6.3E-2</v>
      </c>
      <c r="G108" s="1123">
        <v>50000</v>
      </c>
      <c r="H108" s="1139">
        <v>4703.4246999999996</v>
      </c>
      <c r="I108" s="1139">
        <v>-4617.1244999999999</v>
      </c>
      <c r="J108" s="1123"/>
      <c r="K108" s="1123">
        <v>105.511</v>
      </c>
      <c r="L108" s="1123">
        <f t="shared" si="15"/>
        <v>50191.811200000004</v>
      </c>
      <c r="M108" s="1123">
        <v>7263.59</v>
      </c>
      <c r="N108" s="1119">
        <f t="shared" si="16"/>
        <v>364572737.91420805</v>
      </c>
      <c r="O108" s="1112"/>
    </row>
    <row r="109" spans="1:15" ht="15" thickBot="1">
      <c r="A109" s="1099"/>
      <c r="B109" s="1099"/>
      <c r="C109" s="1108"/>
      <c r="D109" s="1109"/>
      <c r="E109" s="1110"/>
      <c r="F109" s="1127" t="s">
        <v>1509</v>
      </c>
      <c r="G109" s="1140">
        <f t="shared" ref="G109:N109" si="17">+SUM(G103:G108)</f>
        <v>250000</v>
      </c>
      <c r="H109" s="1140">
        <f t="shared" si="17"/>
        <v>28872.877099999998</v>
      </c>
      <c r="I109" s="1140">
        <f t="shared" si="17"/>
        <v>-28391.104999999996</v>
      </c>
      <c r="J109" s="1140">
        <f t="shared" si="17"/>
        <v>0</v>
      </c>
      <c r="K109" s="1140">
        <f t="shared" si="17"/>
        <v>421.65</v>
      </c>
      <c r="L109" s="1140">
        <f t="shared" si="17"/>
        <v>250903.4221</v>
      </c>
      <c r="M109" s="1140">
        <f t="shared" si="17"/>
        <v>43581.539999999994</v>
      </c>
      <c r="N109" s="1140">
        <f t="shared" si="17"/>
        <v>1822459587.731339</v>
      </c>
      <c r="O109" s="1099"/>
    </row>
    <row r="110" spans="1:15" ht="15" thickTop="1">
      <c r="A110" s="1099"/>
      <c r="B110" s="1099"/>
      <c r="C110" s="1108"/>
      <c r="D110" s="1109"/>
      <c r="E110" s="1110"/>
      <c r="F110" s="1103"/>
      <c r="G110" s="1141"/>
      <c r="H110" s="1141"/>
      <c r="I110" s="1141"/>
      <c r="J110" s="1141"/>
      <c r="K110" s="1141"/>
      <c r="L110" s="1141"/>
      <c r="M110" s="1111"/>
      <c r="N110" s="1111"/>
      <c r="O110" s="1099"/>
    </row>
    <row r="111" spans="1:15" ht="15" thickBot="1">
      <c r="A111" s="1099"/>
      <c r="B111" s="1113" t="s">
        <v>2657</v>
      </c>
      <c r="C111" s="1114"/>
      <c r="D111" s="1115"/>
      <c r="E111" s="1114"/>
      <c r="F111" s="1114"/>
      <c r="G111" s="1115"/>
      <c r="H111" s="1115"/>
      <c r="I111" s="1115"/>
      <c r="J111" s="1116"/>
      <c r="K111" s="1115"/>
      <c r="L111" s="1115"/>
      <c r="M111" s="1116"/>
      <c r="N111" s="1115"/>
      <c r="O111" s="1112"/>
    </row>
    <row r="112" spans="1:15" ht="14.4">
      <c r="A112" s="1099"/>
      <c r="B112" s="1117" t="s">
        <v>1600</v>
      </c>
      <c r="C112" s="1118" t="s">
        <v>1625</v>
      </c>
      <c r="D112" s="1119" t="s">
        <v>2658</v>
      </c>
      <c r="E112" s="1120">
        <v>45498</v>
      </c>
      <c r="F112" s="1121">
        <v>0.04</v>
      </c>
      <c r="G112" s="1123">
        <v>50000</v>
      </c>
      <c r="H112" s="1139">
        <v>1189.04</v>
      </c>
      <c r="I112" s="1139">
        <v>-1134.25</v>
      </c>
      <c r="J112" s="1123">
        <v>-694.23</v>
      </c>
      <c r="K112" s="1123"/>
      <c r="L112" s="1123">
        <f>+G112+H112+I112+J112+K112</f>
        <v>49360.56</v>
      </c>
      <c r="M112" s="1123">
        <v>7263.59</v>
      </c>
      <c r="N112" s="1119">
        <f>+L112*M112</f>
        <v>358534870.0104</v>
      </c>
      <c r="O112" s="1112" t="s">
        <v>2611</v>
      </c>
    </row>
    <row r="113" spans="1:19" ht="15" thickBot="1">
      <c r="A113" s="1099"/>
      <c r="B113" s="1099"/>
      <c r="C113" s="1108"/>
      <c r="D113" s="1109"/>
      <c r="E113" s="1110"/>
      <c r="F113" s="1127" t="s">
        <v>1509</v>
      </c>
      <c r="G113" s="1140">
        <f t="shared" ref="G113:L113" si="18">+SUM(G112:G112)</f>
        <v>50000</v>
      </c>
      <c r="H113" s="1140">
        <f t="shared" si="18"/>
        <v>1189.04</v>
      </c>
      <c r="I113" s="1140">
        <f t="shared" si="18"/>
        <v>-1134.25</v>
      </c>
      <c r="J113" s="1140">
        <f t="shared" si="18"/>
        <v>-694.23</v>
      </c>
      <c r="K113" s="1140">
        <f t="shared" si="18"/>
        <v>0</v>
      </c>
      <c r="L113" s="1140">
        <f t="shared" si="18"/>
        <v>49360.56</v>
      </c>
      <c r="M113" s="1111"/>
      <c r="N113" s="1140">
        <f>+SUM(N112:N112)</f>
        <v>358534870.0104</v>
      </c>
      <c r="O113" s="1099"/>
    </row>
    <row r="114" spans="1:19" ht="15" thickTop="1">
      <c r="A114" s="1099"/>
      <c r="B114" s="1099"/>
      <c r="C114" s="1108"/>
      <c r="D114" s="1109"/>
      <c r="E114" s="1110"/>
      <c r="F114" s="1103"/>
      <c r="G114" s="1103"/>
      <c r="H114" s="1137"/>
      <c r="I114" s="1138"/>
      <c r="J114" s="1099"/>
      <c r="K114" s="1138"/>
      <c r="L114" s="1138"/>
      <c r="M114" s="1137"/>
      <c r="N114" s="1111"/>
      <c r="O114" s="1099"/>
    </row>
    <row r="115" spans="1:19" ht="15" thickBot="1">
      <c r="A115" s="1099"/>
      <c r="B115" s="1113" t="s">
        <v>2659</v>
      </c>
      <c r="C115" s="1114"/>
      <c r="D115" s="1115"/>
      <c r="E115" s="1114"/>
      <c r="F115" s="1114"/>
      <c r="G115" s="1115"/>
      <c r="H115" s="1115"/>
      <c r="I115" s="1115"/>
      <c r="J115" s="1115"/>
      <c r="K115" s="1115"/>
      <c r="L115" s="1115"/>
      <c r="M115" s="1116"/>
      <c r="N115" s="1115"/>
      <c r="O115" s="1112"/>
    </row>
    <row r="116" spans="1:19" ht="14.4">
      <c r="A116" s="1099"/>
      <c r="B116" s="1117" t="s">
        <v>1637</v>
      </c>
      <c r="C116" s="1118" t="s">
        <v>1625</v>
      </c>
      <c r="D116" s="1119" t="s">
        <v>1639</v>
      </c>
      <c r="E116" s="1120">
        <v>47102</v>
      </c>
      <c r="F116" s="1121">
        <v>7.4999999999999997E-2</v>
      </c>
      <c r="G116" s="1123">
        <v>94000</v>
      </c>
      <c r="H116" s="1139">
        <v>36544.11</v>
      </c>
      <c r="I116" s="1123">
        <v>-34979.589041095896</v>
      </c>
      <c r="J116" s="1123">
        <v>0</v>
      </c>
      <c r="K116" s="1123">
        <v>652.04</v>
      </c>
      <c r="L116" s="1123">
        <f>+G116+H116+I116+J116+K116</f>
        <v>96216.560958904098</v>
      </c>
      <c r="M116" s="1123">
        <v>7263.59</v>
      </c>
      <c r="N116" s="1119">
        <f>+L116*M116</f>
        <v>698877650.01548624</v>
      </c>
      <c r="O116" s="1112"/>
    </row>
    <row r="117" spans="1:19" ht="14.4">
      <c r="A117" s="1099"/>
      <c r="B117" s="1117" t="s">
        <v>1637</v>
      </c>
      <c r="C117" s="1118" t="s">
        <v>1625</v>
      </c>
      <c r="D117" s="1119" t="s">
        <v>1638</v>
      </c>
      <c r="E117" s="1120">
        <v>46716</v>
      </c>
      <c r="F117" s="1121">
        <v>7.2499999999999995E-2</v>
      </c>
      <c r="G117" s="1123">
        <v>20000</v>
      </c>
      <c r="H117" s="1139">
        <v>5811.92</v>
      </c>
      <c r="I117" s="1123">
        <v>-5660.96</v>
      </c>
      <c r="J117" s="1123">
        <v>-0.01</v>
      </c>
      <c r="K117" s="1123">
        <v>0</v>
      </c>
      <c r="L117" s="1123">
        <f>+G117+H117+I117+J117+K117</f>
        <v>20150.95</v>
      </c>
      <c r="M117" s="1123">
        <v>7263.59</v>
      </c>
      <c r="N117" s="1119">
        <f>+L117*M117</f>
        <v>146368238.91050002</v>
      </c>
      <c r="O117" s="1112"/>
    </row>
    <row r="118" spans="1:19" ht="14.4">
      <c r="A118" s="1099"/>
      <c r="B118" s="1117" t="s">
        <v>1637</v>
      </c>
      <c r="C118" s="1118" t="s">
        <v>1625</v>
      </c>
      <c r="D118" s="1119" t="s">
        <v>1640</v>
      </c>
      <c r="E118" s="1120">
        <v>46371</v>
      </c>
      <c r="F118" s="1121">
        <v>7.0000000000000007E-2</v>
      </c>
      <c r="G118" s="1123">
        <v>120000</v>
      </c>
      <c r="H118" s="1139">
        <v>25269.040000000001</v>
      </c>
      <c r="I118" s="1123">
        <v>-24854.791000000001</v>
      </c>
      <c r="J118" s="1123">
        <v>-0.03</v>
      </c>
      <c r="K118" s="1123">
        <v>0</v>
      </c>
      <c r="L118" s="1123">
        <f>+G118+H118+I118+J118+K118</f>
        <v>120414.21900000001</v>
      </c>
      <c r="M118" s="1123">
        <v>7263.59</v>
      </c>
      <c r="N118" s="1119">
        <f>+L118*M118</f>
        <v>874639516.98621011</v>
      </c>
      <c r="O118" s="1112"/>
    </row>
    <row r="119" spans="1:19" ht="15" thickBot="1">
      <c r="A119" s="1099"/>
      <c r="B119" s="1099"/>
      <c r="C119" s="1108"/>
      <c r="D119" s="1109"/>
      <c r="E119" s="1110"/>
      <c r="F119" s="1127" t="s">
        <v>1509</v>
      </c>
      <c r="G119" s="1140">
        <f t="shared" ref="G119:L119" si="19">+SUM(G116:G118)</f>
        <v>234000</v>
      </c>
      <c r="H119" s="1140">
        <f t="shared" si="19"/>
        <v>67625.070000000007</v>
      </c>
      <c r="I119" s="1140">
        <f t="shared" si="19"/>
        <v>-65495.3400410959</v>
      </c>
      <c r="J119" s="1140">
        <f t="shared" si="19"/>
        <v>-0.04</v>
      </c>
      <c r="K119" s="1140">
        <f t="shared" si="19"/>
        <v>652.04</v>
      </c>
      <c r="L119" s="1140">
        <f t="shared" si="19"/>
        <v>236781.72995890409</v>
      </c>
      <c r="M119" s="1111"/>
      <c r="N119" s="1128">
        <f>+SUM(N116:N118)</f>
        <v>1719885405.9121964</v>
      </c>
      <c r="O119" s="1099"/>
    </row>
    <row r="120" spans="1:19" ht="15" thickTop="1">
      <c r="A120" s="1099"/>
      <c r="B120" s="1099"/>
      <c r="C120" s="1108"/>
      <c r="D120" s="1109"/>
      <c r="E120" s="1110"/>
      <c r="F120" s="1103"/>
      <c r="G120" s="1141"/>
      <c r="H120" s="1141"/>
      <c r="I120" s="1111"/>
      <c r="J120" s="1141"/>
      <c r="K120" s="1141"/>
      <c r="L120" s="1141"/>
      <c r="M120" s="1111"/>
      <c r="N120" s="1111"/>
      <c r="O120" s="1099"/>
    </row>
    <row r="121" spans="1:19" ht="14.4">
      <c r="A121" s="1099"/>
      <c r="B121" s="1099"/>
      <c r="C121" s="1108"/>
      <c r="D121" s="1109"/>
      <c r="E121" s="1110"/>
      <c r="F121" s="1103"/>
      <c r="G121" s="1141"/>
      <c r="H121" s="1141"/>
      <c r="I121" s="1141"/>
      <c r="J121" s="1141"/>
      <c r="K121" s="1141"/>
      <c r="L121" s="1141"/>
      <c r="M121" s="1111"/>
      <c r="N121" s="1111"/>
      <c r="O121" s="1099"/>
    </row>
    <row r="122" spans="1:19" ht="14.4">
      <c r="A122" s="1099"/>
      <c r="B122" s="1133" t="s">
        <v>1641</v>
      </c>
      <c r="C122" s="1134"/>
      <c r="D122" s="1134"/>
      <c r="E122" s="1134"/>
      <c r="F122" s="1134"/>
      <c r="G122" s="1142">
        <f t="shared" ref="G122:N122" si="20">+G109+G119+G113</f>
        <v>534000</v>
      </c>
      <c r="H122" s="1142">
        <f t="shared" si="20"/>
        <v>97686.987099999998</v>
      </c>
      <c r="I122" s="1142">
        <f t="shared" si="20"/>
        <v>-95020.695041095896</v>
      </c>
      <c r="J122" s="1142">
        <f t="shared" si="20"/>
        <v>-694.27</v>
      </c>
      <c r="K122" s="1142">
        <f t="shared" si="20"/>
        <v>1073.69</v>
      </c>
      <c r="L122" s="1142">
        <f t="shared" si="20"/>
        <v>537045.71205890412</v>
      </c>
      <c r="M122" s="1142">
        <f t="shared" si="20"/>
        <v>43581.539999999994</v>
      </c>
      <c r="N122" s="1142">
        <f t="shared" si="20"/>
        <v>3900879863.6539354</v>
      </c>
      <c r="O122" s="1099"/>
    </row>
    <row r="123" spans="1:19" ht="15" thickBot="1">
      <c r="A123" s="1099"/>
      <c r="B123" s="1133"/>
      <c r="C123" s="1134"/>
      <c r="D123" s="1134"/>
      <c r="E123" s="1134"/>
      <c r="F123" s="1134"/>
      <c r="G123" s="1142"/>
      <c r="H123" s="1142"/>
      <c r="I123" s="1142"/>
      <c r="J123" s="1142"/>
      <c r="K123" s="1142"/>
      <c r="L123" s="1142"/>
      <c r="M123" s="1142"/>
      <c r="N123" s="1142"/>
      <c r="O123" s="1099"/>
    </row>
    <row r="124" spans="1:19" ht="24.6" thickBot="1">
      <c r="A124" s="1105"/>
      <c r="B124" s="1106" t="s">
        <v>1488</v>
      </c>
      <c r="C124" s="1106" t="s">
        <v>631</v>
      </c>
      <c r="D124" s="1106" t="s">
        <v>1489</v>
      </c>
      <c r="E124" s="1106" t="s">
        <v>1709</v>
      </c>
      <c r="F124" s="1106" t="s">
        <v>1490</v>
      </c>
      <c r="G124" s="1106" t="s">
        <v>1491</v>
      </c>
      <c r="H124" s="1106" t="s">
        <v>1492</v>
      </c>
      <c r="I124" s="1106" t="s">
        <v>1493</v>
      </c>
      <c r="J124" s="1106" t="s">
        <v>1653</v>
      </c>
      <c r="K124" s="1106" t="s">
        <v>1495</v>
      </c>
      <c r="L124" s="1106" t="s">
        <v>1496</v>
      </c>
      <c r="M124" s="1106" t="s">
        <v>1497</v>
      </c>
      <c r="N124" s="1107" t="s">
        <v>1498</v>
      </c>
      <c r="O124" s="1106" t="s">
        <v>1499</v>
      </c>
      <c r="P124" s="1099"/>
      <c r="Q124" s="1143" t="s">
        <v>1500</v>
      </c>
      <c r="R124" s="1143" t="s">
        <v>1501</v>
      </c>
      <c r="S124" s="1143" t="s">
        <v>1502</v>
      </c>
    </row>
    <row r="125" spans="1:19" ht="15" thickBot="1">
      <c r="A125" s="1099"/>
      <c r="B125" s="1113" t="s">
        <v>2660</v>
      </c>
      <c r="C125" s="1099"/>
      <c r="D125" s="1099"/>
      <c r="E125" s="1099"/>
      <c r="F125" s="1099"/>
      <c r="G125" s="1144"/>
      <c r="H125" s="1144"/>
      <c r="I125" s="1144"/>
      <c r="J125" s="1144"/>
      <c r="K125" s="1144"/>
      <c r="L125" s="1144"/>
      <c r="M125" s="1144"/>
      <c r="N125" s="1144"/>
      <c r="O125" s="1099"/>
    </row>
    <row r="126" spans="1:19" ht="15" thickBot="1">
      <c r="A126" s="1099"/>
      <c r="B126" s="1117" t="s">
        <v>1658</v>
      </c>
      <c r="C126" s="1118" t="s">
        <v>1505</v>
      </c>
      <c r="D126" s="1119" t="s">
        <v>1659</v>
      </c>
      <c r="E126" s="1120">
        <v>44427</v>
      </c>
      <c r="F126" s="1120">
        <v>48074</v>
      </c>
      <c r="G126" s="1121">
        <v>6.5000000000000002E-2</v>
      </c>
      <c r="H126" s="1119">
        <v>650000000.39999998</v>
      </c>
      <c r="I126" s="1119">
        <v>337884246.5</v>
      </c>
      <c r="J126" s="1119">
        <v>-322141780.82191801</v>
      </c>
      <c r="K126" s="1119">
        <v>0</v>
      </c>
      <c r="L126" s="1119">
        <v>139.5</v>
      </c>
      <c r="M126" s="1119">
        <f>+H126+I126+J126+K126+L126</f>
        <v>665742605.57808197</v>
      </c>
      <c r="N126" s="1119">
        <v>0</v>
      </c>
      <c r="O126" s="1119">
        <f>+M126</f>
        <v>665742605.57808197</v>
      </c>
      <c r="P126" s="1099"/>
      <c r="Q126">
        <v>45176</v>
      </c>
      <c r="R126">
        <v>0.90500000000000003</v>
      </c>
      <c r="S126" s="882">
        <v>588250000</v>
      </c>
    </row>
    <row r="127" spans="1:19" ht="24.6" thickBot="1">
      <c r="A127" s="1099"/>
      <c r="B127" s="1106" t="s">
        <v>1488</v>
      </c>
      <c r="C127" s="1106" t="s">
        <v>631</v>
      </c>
      <c r="D127" s="1106" t="s">
        <v>1489</v>
      </c>
      <c r="E127" s="1106" t="s">
        <v>1709</v>
      </c>
      <c r="F127" s="1106" t="s">
        <v>1490</v>
      </c>
      <c r="G127" s="1106" t="s">
        <v>1491</v>
      </c>
      <c r="H127" s="1106" t="s">
        <v>1492</v>
      </c>
      <c r="I127" s="1106" t="s">
        <v>1652</v>
      </c>
      <c r="J127" s="1106" t="s">
        <v>1653</v>
      </c>
      <c r="K127" s="1106" t="s">
        <v>1495</v>
      </c>
      <c r="L127" s="1106" t="s">
        <v>1713</v>
      </c>
      <c r="M127" s="1106" t="s">
        <v>1497</v>
      </c>
      <c r="N127" s="1107" t="s">
        <v>1498</v>
      </c>
      <c r="O127" s="1106" t="s">
        <v>1499</v>
      </c>
    </row>
    <row r="128" spans="1:19" ht="14.4">
      <c r="A128" s="1099"/>
      <c r="B128" s="1145"/>
      <c r="C128" s="1146"/>
      <c r="D128" s="1147"/>
      <c r="E128" s="1148"/>
      <c r="F128" s="1148"/>
      <c r="G128" s="1149"/>
      <c r="H128" s="1150"/>
      <c r="I128" s="1150"/>
      <c r="J128" s="1150"/>
      <c r="K128" s="1150"/>
      <c r="L128" s="1145"/>
      <c r="M128" s="1145"/>
      <c r="N128" s="1145"/>
      <c r="O128" s="1145"/>
    </row>
    <row r="129" spans="1:19" ht="14.4">
      <c r="A129" s="1099"/>
      <c r="B129" s="1151" t="s">
        <v>1714</v>
      </c>
      <c r="C129" s="1118" t="s">
        <v>1505</v>
      </c>
      <c r="D129" s="1119" t="s">
        <v>1661</v>
      </c>
      <c r="E129" s="1120">
        <v>44167</v>
      </c>
      <c r="F129" s="1120" t="s">
        <v>1240</v>
      </c>
      <c r="G129" s="1121" t="s">
        <v>1240</v>
      </c>
      <c r="H129" s="1119">
        <v>262142322</v>
      </c>
      <c r="I129" s="1119">
        <v>0</v>
      </c>
      <c r="J129" s="1119">
        <v>0</v>
      </c>
      <c r="K129" s="1119">
        <v>0</v>
      </c>
      <c r="L129" s="1119">
        <v>740857677.5</v>
      </c>
      <c r="M129" s="1119">
        <f>+H129+I129+J129+K129+L129</f>
        <v>1002999999.5</v>
      </c>
      <c r="N129" s="1119">
        <v>0</v>
      </c>
      <c r="O129" s="1119">
        <f>+M129</f>
        <v>1002999999.5</v>
      </c>
      <c r="Q129">
        <v>44978</v>
      </c>
      <c r="R129">
        <v>5.0149999999999997</v>
      </c>
      <c r="S129" s="882">
        <v>1314643744.8299999</v>
      </c>
    </row>
    <row r="130" spans="1:19" ht="15" thickBot="1">
      <c r="A130" s="1099"/>
      <c r="B130" s="1099"/>
      <c r="C130" s="1124"/>
      <c r="D130" s="1125"/>
      <c r="E130" s="1126"/>
      <c r="F130" s="1126"/>
      <c r="G130" s="1127" t="s">
        <v>1509</v>
      </c>
      <c r="H130" s="1152">
        <f t="shared" ref="H130:M130" si="21">+SUM(H129:H129)</f>
        <v>262142322</v>
      </c>
      <c r="I130" s="1152">
        <f t="shared" si="21"/>
        <v>0</v>
      </c>
      <c r="J130" s="1152">
        <f t="shared" si="21"/>
        <v>0</v>
      </c>
      <c r="K130" s="1152">
        <f t="shared" si="21"/>
        <v>0</v>
      </c>
      <c r="L130" s="1152">
        <f t="shared" si="21"/>
        <v>740857677.5</v>
      </c>
      <c r="M130" s="1152">
        <f t="shared" si="21"/>
        <v>1002999999.5</v>
      </c>
      <c r="N130" s="1137"/>
      <c r="O130" s="1152">
        <f>+SUM(O129:O129)</f>
        <v>1002999999.5</v>
      </c>
    </row>
    <row r="131" spans="1:19" ht="15.6" thickTop="1" thickBot="1">
      <c r="A131" s="1099"/>
      <c r="B131" s="1099"/>
      <c r="C131" s="1099"/>
      <c r="D131" s="1099"/>
      <c r="E131" s="1099"/>
      <c r="F131" s="1099"/>
      <c r="G131" s="1099"/>
      <c r="H131" s="1099"/>
      <c r="I131" s="1099"/>
      <c r="J131" s="1153"/>
      <c r="K131" s="1099"/>
      <c r="L131" s="1099"/>
      <c r="M131" s="1099"/>
      <c r="N131" s="1099"/>
      <c r="O131" s="1099"/>
    </row>
    <row r="132" spans="1:19" ht="24.6" thickBot="1">
      <c r="A132" s="1099"/>
      <c r="B132" s="1106" t="s">
        <v>1488</v>
      </c>
      <c r="C132" s="1106" t="s">
        <v>631</v>
      </c>
      <c r="D132" s="1106" t="s">
        <v>1489</v>
      </c>
      <c r="E132" s="1106" t="s">
        <v>1716</v>
      </c>
      <c r="F132" s="1106" t="s">
        <v>1717</v>
      </c>
      <c r="G132" s="1106" t="s">
        <v>1718</v>
      </c>
      <c r="H132" s="1106" t="s">
        <v>1492</v>
      </c>
      <c r="I132" s="1106" t="s">
        <v>1493</v>
      </c>
      <c r="J132" s="1106" t="s">
        <v>1719</v>
      </c>
      <c r="K132" s="1106" t="s">
        <v>1643</v>
      </c>
      <c r="L132" s="1106" t="s">
        <v>1644</v>
      </c>
      <c r="M132" s="1106" t="s">
        <v>1645</v>
      </c>
      <c r="N132" s="1106" t="s">
        <v>1720</v>
      </c>
      <c r="O132" s="1106" t="s">
        <v>1647</v>
      </c>
    </row>
    <row r="133" spans="1:19" ht="14.4">
      <c r="A133" s="1099"/>
      <c r="B133" s="1099"/>
      <c r="C133" s="1108"/>
      <c r="D133" s="1109"/>
      <c r="E133" s="1110"/>
      <c r="F133" s="1110"/>
      <c r="G133" s="1103"/>
      <c r="H133" s="1137"/>
      <c r="I133" s="1137"/>
      <c r="J133" s="1137"/>
      <c r="K133" s="1137"/>
      <c r="L133" s="1099"/>
      <c r="M133" s="1099"/>
      <c r="N133" s="1099"/>
      <c r="O133" s="1099"/>
    </row>
    <row r="134" spans="1:19" ht="15" thickBot="1">
      <c r="A134" s="1099"/>
      <c r="B134" s="1113" t="s">
        <v>2661</v>
      </c>
      <c r="C134" s="1114"/>
      <c r="D134" s="1115"/>
      <c r="E134" s="1114"/>
      <c r="F134" s="1114"/>
      <c r="G134" s="1114"/>
      <c r="H134" s="1115"/>
      <c r="I134" s="1115"/>
      <c r="J134" s="1115"/>
      <c r="K134" s="1115"/>
      <c r="L134" s="1115"/>
      <c r="M134" s="1115"/>
      <c r="N134" s="1115"/>
      <c r="O134" s="1115"/>
    </row>
    <row r="135" spans="1:19" ht="14.4">
      <c r="A135" s="1099"/>
      <c r="B135" s="1117" t="s">
        <v>1637</v>
      </c>
      <c r="C135" s="1118" t="s">
        <v>1625</v>
      </c>
      <c r="D135" s="1119" t="s">
        <v>1638</v>
      </c>
      <c r="E135" s="1154">
        <v>45107</v>
      </c>
      <c r="F135" s="1154">
        <v>45377</v>
      </c>
      <c r="G135" s="1121">
        <v>5.7500000000000002E-2</v>
      </c>
      <c r="H135" s="1155">
        <v>159000</v>
      </c>
      <c r="I135" s="1155">
        <v>46204.754000000001</v>
      </c>
      <c r="J135" s="1155">
        <v>-45004.618000000002</v>
      </c>
      <c r="K135" s="1155">
        <v>-7.0000000000000007E-2</v>
      </c>
      <c r="L135" s="1155">
        <v>0</v>
      </c>
      <c r="M135" s="1155">
        <v>143179.41</v>
      </c>
      <c r="N135" s="1155">
        <v>6334.5199899999998</v>
      </c>
      <c r="O135" s="1155">
        <v>-2017.6619259259501</v>
      </c>
    </row>
    <row r="136" spans="1:19" ht="14.4">
      <c r="A136" s="1099"/>
      <c r="B136" s="1117" t="s">
        <v>1637</v>
      </c>
      <c r="C136" s="1118" t="s">
        <v>1625</v>
      </c>
      <c r="D136" s="1119" t="s">
        <v>1639</v>
      </c>
      <c r="E136" s="1154">
        <v>45140</v>
      </c>
      <c r="F136" s="1154">
        <v>45292</v>
      </c>
      <c r="G136" s="1121">
        <v>5.7500000000000002E-2</v>
      </c>
      <c r="H136" s="1155">
        <v>40000</v>
      </c>
      <c r="I136" s="1155">
        <v>15550.68</v>
      </c>
      <c r="J136" s="1155">
        <v>-14884.93</v>
      </c>
      <c r="K136" s="1155"/>
      <c r="L136" s="1155">
        <v>277.19527561664501</v>
      </c>
      <c r="M136" s="1155">
        <v>39424.65</v>
      </c>
      <c r="N136" s="1155">
        <v>961.95119999999997</v>
      </c>
      <c r="O136" s="1155">
        <v>-6.32861842105115</v>
      </c>
    </row>
    <row r="137" spans="1:19" ht="14.4">
      <c r="A137" s="1099"/>
      <c r="B137" s="1117" t="s">
        <v>1637</v>
      </c>
      <c r="C137" s="1118" t="s">
        <v>1625</v>
      </c>
      <c r="D137" s="1119" t="s">
        <v>1639</v>
      </c>
      <c r="E137" s="1154">
        <v>45161</v>
      </c>
      <c r="F137" s="1154">
        <v>45341</v>
      </c>
      <c r="G137" s="1121">
        <v>0.06</v>
      </c>
      <c r="H137" s="1155">
        <v>400000</v>
      </c>
      <c r="I137" s="1155">
        <v>155506.85200000001</v>
      </c>
      <c r="J137" s="1155">
        <v>-148849.32</v>
      </c>
      <c r="K137" s="1155"/>
      <c r="L137" s="1155">
        <v>2771.9527561664499</v>
      </c>
      <c r="M137" s="1155">
        <v>395972.6</v>
      </c>
      <c r="N137" s="1155">
        <v>11937.758900000001</v>
      </c>
      <c r="O137" s="1155">
        <v>-3316.0444444444202</v>
      </c>
    </row>
    <row r="138" spans="1:19" ht="14.4">
      <c r="A138" s="1099"/>
      <c r="B138" s="1117" t="s">
        <v>1637</v>
      </c>
      <c r="C138" s="1118" t="s">
        <v>1625</v>
      </c>
      <c r="D138" s="1119" t="s">
        <v>1638</v>
      </c>
      <c r="E138" s="1154">
        <v>45254</v>
      </c>
      <c r="F138" s="1154">
        <v>45434</v>
      </c>
      <c r="G138" s="1121">
        <v>6.5000000000000002E-2</v>
      </c>
      <c r="H138" s="1155">
        <v>150000</v>
      </c>
      <c r="I138" s="1155">
        <v>43589.384010000002</v>
      </c>
      <c r="J138" s="1155">
        <v>-42457.19</v>
      </c>
      <c r="K138" s="1155">
        <v>-0.06</v>
      </c>
      <c r="L138" s="1155">
        <v>0</v>
      </c>
      <c r="M138" s="1155">
        <v>150029.79</v>
      </c>
      <c r="N138" s="1155">
        <v>4809.1799000000001</v>
      </c>
      <c r="O138" s="1155">
        <v>-3820.62633333333</v>
      </c>
    </row>
    <row r="139" spans="1:19" ht="14.4">
      <c r="A139" s="1099"/>
      <c r="B139" s="1117" t="s">
        <v>1637</v>
      </c>
      <c r="C139" s="1118" t="s">
        <v>1625</v>
      </c>
      <c r="D139" s="1119" t="s">
        <v>1638</v>
      </c>
      <c r="E139" s="1154">
        <v>45281</v>
      </c>
      <c r="F139" s="1154">
        <v>45392</v>
      </c>
      <c r="G139" s="1121">
        <v>7.2499999999999995E-2</v>
      </c>
      <c r="H139" s="1155">
        <v>161000</v>
      </c>
      <c r="I139" s="1155">
        <v>46785.940089999996</v>
      </c>
      <c r="J139" s="1155">
        <v>-45570.720000000001</v>
      </c>
      <c r="K139" s="1155">
        <v>-7.0000000000000007E-2</v>
      </c>
      <c r="L139" s="1155">
        <v>0</v>
      </c>
      <c r="M139" s="1155">
        <v>150562.74</v>
      </c>
      <c r="N139" s="1155">
        <v>2861.7300000000105</v>
      </c>
      <c r="O139" s="1155">
        <v>-2603.9164864865002</v>
      </c>
    </row>
    <row r="140" spans="1:19" ht="14.4">
      <c r="A140" s="1099"/>
      <c r="B140" s="1117" t="s">
        <v>1637</v>
      </c>
      <c r="C140" s="1118" t="s">
        <v>1625</v>
      </c>
      <c r="D140" s="1119" t="s">
        <v>1640</v>
      </c>
      <c r="E140" s="1154">
        <v>45288</v>
      </c>
      <c r="F140" s="1154">
        <v>45295</v>
      </c>
      <c r="G140" s="1121">
        <v>7.0000000000000007E-2</v>
      </c>
      <c r="H140" s="1155">
        <v>169000</v>
      </c>
      <c r="I140" s="1155">
        <v>35587.230000000003</v>
      </c>
      <c r="J140" s="1155">
        <v>-35003.839999999997</v>
      </c>
      <c r="K140" s="1155">
        <v>-0.05</v>
      </c>
      <c r="L140" s="1155">
        <v>0</v>
      </c>
      <c r="M140" s="1155">
        <v>169486.16</v>
      </c>
      <c r="N140" s="1155">
        <v>186.89999999999418</v>
      </c>
      <c r="O140" s="1155">
        <v>-106.799999999997</v>
      </c>
    </row>
    <row r="141" spans="1:19" ht="15" thickBot="1">
      <c r="A141" s="1099"/>
      <c r="B141" s="1156"/>
      <c r="C141" s="1124"/>
      <c r="D141" s="1125"/>
      <c r="E141" s="1124"/>
      <c r="F141" s="1126"/>
      <c r="G141" s="1156" t="s">
        <v>1509</v>
      </c>
      <c r="H141" s="1140">
        <f t="shared" ref="H141:O141" si="22">SUM(H135:H140)</f>
        <v>1079000</v>
      </c>
      <c r="I141" s="1140">
        <f t="shared" si="22"/>
        <v>343224.84010000003</v>
      </c>
      <c r="J141" s="1140">
        <f t="shared" si="22"/>
        <v>-331770.61800000002</v>
      </c>
      <c r="K141" s="1140">
        <f t="shared" si="22"/>
        <v>-0.25</v>
      </c>
      <c r="L141" s="1140">
        <f t="shared" si="22"/>
        <v>3049.1480317830951</v>
      </c>
      <c r="M141" s="1140">
        <f t="shared" si="22"/>
        <v>1048655.3499999999</v>
      </c>
      <c r="N141" s="1140">
        <f t="shared" si="22"/>
        <v>27092.039990000005</v>
      </c>
      <c r="O141" s="1140">
        <f t="shared" si="22"/>
        <v>-11871.377808611249</v>
      </c>
    </row>
    <row r="142" spans="1:19" ht="15.6" thickTop="1" thickBot="1">
      <c r="A142" s="1099"/>
      <c r="B142" s="1099"/>
      <c r="C142" s="1099"/>
      <c r="D142" s="1099"/>
      <c r="E142" s="1099"/>
      <c r="F142" s="1099"/>
      <c r="G142" s="1099"/>
      <c r="H142" s="1099"/>
      <c r="I142" s="1099"/>
      <c r="J142" s="1099"/>
      <c r="K142" s="1099"/>
      <c r="L142" s="1099"/>
      <c r="M142" s="1099"/>
      <c r="N142" s="1099"/>
      <c r="O142" s="1099"/>
    </row>
    <row r="143" spans="1:19" ht="24.6" thickBot="1">
      <c r="A143" s="1099"/>
      <c r="B143" s="1106" t="s">
        <v>1488</v>
      </c>
      <c r="C143" s="1106" t="s">
        <v>631</v>
      </c>
      <c r="D143" s="1106" t="s">
        <v>1489</v>
      </c>
      <c r="E143" s="1106" t="s">
        <v>1716</v>
      </c>
      <c r="F143" s="1106" t="s">
        <v>1717</v>
      </c>
      <c r="G143" s="1106" t="s">
        <v>1491</v>
      </c>
      <c r="H143" s="1157" t="s">
        <v>1492</v>
      </c>
      <c r="I143" s="1157" t="s">
        <v>1652</v>
      </c>
      <c r="J143" s="1157" t="s">
        <v>1653</v>
      </c>
      <c r="K143" s="1157" t="s">
        <v>1645</v>
      </c>
      <c r="L143" s="1157" t="s">
        <v>2662</v>
      </c>
      <c r="M143" s="1158" t="s">
        <v>1647</v>
      </c>
      <c r="N143" s="1099"/>
      <c r="O143" s="1099"/>
    </row>
    <row r="144" spans="1:19" ht="14.4">
      <c r="A144" s="1099"/>
      <c r="B144" s="1099"/>
      <c r="C144" s="1108"/>
      <c r="D144" s="1109"/>
      <c r="E144" s="1110"/>
      <c r="F144" s="1110"/>
      <c r="G144" s="1103"/>
      <c r="H144" s="1159"/>
      <c r="I144" s="1159"/>
      <c r="J144" s="1159"/>
      <c r="K144" s="1160"/>
      <c r="L144" s="1160"/>
      <c r="M144" s="1160"/>
      <c r="N144" s="1099"/>
      <c r="O144" s="1099"/>
    </row>
    <row r="145" spans="1:15" ht="15" thickBot="1">
      <c r="A145" s="1099"/>
      <c r="B145" s="1113" t="s">
        <v>1613</v>
      </c>
      <c r="C145" s="1114"/>
      <c r="D145" s="1115"/>
      <c r="E145" s="1114"/>
      <c r="F145" s="1115"/>
      <c r="G145" s="1115"/>
      <c r="H145" s="1115"/>
      <c r="I145" s="1115"/>
      <c r="J145" s="1115"/>
      <c r="K145" s="1115"/>
      <c r="L145" s="1115"/>
      <c r="M145" s="1115"/>
      <c r="N145" s="1099"/>
      <c r="O145" s="1099"/>
    </row>
    <row r="146" spans="1:15" ht="14.4">
      <c r="A146" s="1099"/>
      <c r="B146" s="1117" t="s">
        <v>1785</v>
      </c>
      <c r="C146" s="1161" t="s">
        <v>1505</v>
      </c>
      <c r="D146" s="1119" t="s">
        <v>2663</v>
      </c>
      <c r="E146" s="1154">
        <v>45286</v>
      </c>
      <c r="F146" s="1154">
        <v>45293</v>
      </c>
      <c r="G146" s="1121">
        <v>8.2500000000000004E-2</v>
      </c>
      <c r="H146" s="1162">
        <v>2104000000</v>
      </c>
      <c r="I146" s="1162">
        <v>0</v>
      </c>
      <c r="J146" s="1162">
        <v>0</v>
      </c>
      <c r="K146" s="1162">
        <v>2002394670.0000002</v>
      </c>
      <c r="L146" s="1162">
        <v>3168171.9999995232</v>
      </c>
      <c r="M146" s="1162">
        <v>-905191.99999986403</v>
      </c>
      <c r="N146" s="1099"/>
      <c r="O146" s="1099"/>
    </row>
    <row r="147" spans="1:15" ht="15" thickBot="1">
      <c r="A147" s="1099"/>
      <c r="B147" s="1099"/>
      <c r="C147" s="1124"/>
      <c r="D147" s="1125"/>
      <c r="E147" s="1126"/>
      <c r="F147" s="1126"/>
      <c r="G147" s="1127"/>
      <c r="H147" s="1128">
        <f>SUM(H146)</f>
        <v>2104000000</v>
      </c>
      <c r="I147" s="1128"/>
      <c r="J147" s="1128"/>
      <c r="K147" s="1128">
        <f>SUM(K146)</f>
        <v>2002394670.0000002</v>
      </c>
      <c r="L147" s="1128">
        <f>SUM(L146)</f>
        <v>3168171.9999995232</v>
      </c>
      <c r="M147" s="1128">
        <f>SUM(M146)</f>
        <v>-905191.99999986403</v>
      </c>
      <c r="N147" s="1099"/>
      <c r="O147" s="1099"/>
    </row>
    <row r="148" spans="1:15" ht="15" thickTop="1">
      <c r="A148" s="1099"/>
      <c r="B148" s="1099"/>
      <c r="C148" s="1099"/>
      <c r="D148" s="1099"/>
      <c r="E148" s="1099"/>
      <c r="F148" s="1099"/>
      <c r="G148" s="1099"/>
      <c r="H148" s="1099"/>
      <c r="I148" s="1099"/>
      <c r="J148" s="1099"/>
      <c r="K148" s="1099"/>
      <c r="L148" s="1099"/>
      <c r="M148" s="1099"/>
      <c r="N148" s="1099"/>
      <c r="O148" s="1099"/>
    </row>
    <row r="149" spans="1:15" ht="14.4">
      <c r="A149" s="1099"/>
      <c r="B149" s="1099"/>
      <c r="C149" s="1099"/>
      <c r="D149" s="1099"/>
      <c r="E149" s="1099"/>
      <c r="F149" s="1099"/>
      <c r="G149" s="1099"/>
      <c r="H149" s="1099"/>
      <c r="I149" s="1099"/>
      <c r="J149" s="1099"/>
      <c r="K149" s="1099"/>
      <c r="L149" s="1099"/>
      <c r="M149" s="1099"/>
      <c r="N149" s="1099"/>
      <c r="O149" s="1099"/>
    </row>
    <row r="150" spans="1:15" ht="14.4">
      <c r="A150" s="1099"/>
      <c r="B150" s="1099"/>
      <c r="C150" s="1099"/>
      <c r="D150" s="1099"/>
      <c r="E150" s="1099"/>
      <c r="F150" s="1099"/>
      <c r="G150" s="1099"/>
      <c r="H150" s="1099"/>
      <c r="I150" s="1099"/>
      <c r="J150" s="1099"/>
      <c r="K150" s="1099"/>
      <c r="L150" s="1163">
        <f>+SUM(H141:L141)*M118</f>
        <v>7942758328.3580189</v>
      </c>
      <c r="M150" s="1099"/>
      <c r="N150" s="1099"/>
      <c r="O150" s="1099"/>
    </row>
    <row r="151" spans="1:15" ht="14.4">
      <c r="A151" s="1099"/>
      <c r="B151" s="1099"/>
      <c r="C151" s="1099"/>
      <c r="D151" s="1099"/>
      <c r="E151" s="1099"/>
      <c r="F151" s="1099"/>
      <c r="G151" s="1099"/>
      <c r="H151" s="1099"/>
      <c r="I151" s="1099"/>
      <c r="J151" s="1099"/>
      <c r="K151" s="1099"/>
      <c r="L151" s="1163">
        <f>+SUM(K147:M147)</f>
        <v>2004657650</v>
      </c>
      <c r="M151" s="1099"/>
      <c r="N151" s="1099"/>
      <c r="O151" s="1099"/>
    </row>
    <row r="152" spans="1:15" ht="14.4">
      <c r="A152" s="1099"/>
      <c r="B152" s="1099"/>
      <c r="C152" s="1099"/>
      <c r="D152" s="1099"/>
      <c r="E152" s="1099"/>
      <c r="F152" s="1099"/>
      <c r="G152" s="1099"/>
      <c r="H152" s="1099"/>
      <c r="I152" s="1099"/>
      <c r="J152" s="1099"/>
      <c r="K152" s="1099"/>
      <c r="L152" s="1099"/>
      <c r="M152" s="1099"/>
      <c r="N152" s="1099"/>
      <c r="O152" s="1099"/>
    </row>
    <row r="153" spans="1:15" ht="14.4">
      <c r="A153" s="1099"/>
      <c r="B153" s="1099"/>
      <c r="C153" s="1099"/>
      <c r="D153" s="1099"/>
      <c r="E153" s="1099"/>
      <c r="F153" s="1099"/>
      <c r="G153" s="1099"/>
      <c r="H153" s="1099"/>
      <c r="I153" s="1099"/>
      <c r="J153" s="1099"/>
      <c r="K153" s="1099"/>
      <c r="L153" s="1099"/>
      <c r="M153" s="1099"/>
      <c r="N153" s="1099"/>
      <c r="O153" s="1099"/>
    </row>
    <row r="154" spans="1:15" ht="14.4">
      <c r="A154" s="1099"/>
      <c r="B154" s="1099"/>
      <c r="C154" s="1099"/>
      <c r="D154" s="1099"/>
      <c r="E154" s="1099"/>
      <c r="F154" s="1099"/>
      <c r="G154" s="1099"/>
      <c r="H154" s="1099"/>
      <c r="I154" s="1099"/>
      <c r="J154" s="1099"/>
      <c r="K154" s="1099"/>
      <c r="L154" s="1099"/>
      <c r="M154" s="1099"/>
      <c r="N154" s="1099"/>
      <c r="O154" s="1099"/>
    </row>
    <row r="155" spans="1:15" ht="14.4">
      <c r="A155" s="1099"/>
      <c r="B155" s="1099"/>
      <c r="C155" s="1099"/>
      <c r="D155" s="1099"/>
      <c r="E155" s="1099"/>
      <c r="F155" s="1099"/>
      <c r="G155" s="1099"/>
      <c r="H155" s="1099"/>
      <c r="I155" s="1099"/>
      <c r="J155" s="1099"/>
      <c r="K155" s="1099"/>
      <c r="L155" s="1099"/>
      <c r="M155" s="1099"/>
      <c r="N155" s="1099"/>
      <c r="O155" s="1099"/>
    </row>
    <row r="156" spans="1:15" ht="14.4">
      <c r="A156" s="1099"/>
      <c r="B156" s="1099"/>
      <c r="C156" s="1099"/>
      <c r="D156" s="1099"/>
      <c r="E156" s="1099"/>
      <c r="F156" s="1099"/>
      <c r="G156" s="1099"/>
      <c r="H156" s="1099"/>
      <c r="I156" s="1099"/>
      <c r="J156" s="1099"/>
      <c r="K156" s="1099"/>
      <c r="L156" s="1099"/>
      <c r="M156" s="1099"/>
      <c r="N156" s="1099"/>
      <c r="O156" s="1099"/>
    </row>
    <row r="157" spans="1:15" ht="14.4">
      <c r="A157" s="1099"/>
      <c r="B157" s="1099"/>
      <c r="C157" s="1099"/>
      <c r="D157" s="1099"/>
      <c r="E157" s="1099"/>
      <c r="F157" s="1099"/>
      <c r="G157" s="1099"/>
      <c r="H157" s="1099"/>
      <c r="I157" s="1099"/>
      <c r="J157" s="1099"/>
      <c r="K157" s="1099"/>
      <c r="L157" s="1099"/>
      <c r="M157" s="1099"/>
      <c r="N157" s="1099"/>
      <c r="O157" s="1099"/>
    </row>
    <row r="158" spans="1:15" ht="14.4">
      <c r="A158" s="1099"/>
      <c r="B158" s="1099"/>
      <c r="C158" s="1099"/>
      <c r="D158" s="1099"/>
      <c r="E158" s="1099"/>
      <c r="F158" s="1099"/>
      <c r="G158" s="1099"/>
      <c r="H158" s="1099"/>
      <c r="I158" s="1099"/>
      <c r="J158" s="1099"/>
      <c r="K158" s="1099"/>
      <c r="L158" s="1099"/>
      <c r="M158" s="1099"/>
      <c r="N158" s="1099"/>
      <c r="O158" s="1099"/>
    </row>
    <row r="159" spans="1:15" ht="14.4">
      <c r="A159" s="1099"/>
      <c r="B159" s="1099"/>
      <c r="C159" s="1099"/>
      <c r="D159" s="1099"/>
      <c r="E159" s="1099"/>
      <c r="F159" s="1099"/>
      <c r="G159" s="1099"/>
      <c r="H159" s="1099"/>
      <c r="I159" s="1099"/>
      <c r="J159" s="1099"/>
      <c r="K159" s="1099"/>
      <c r="L159" s="1099"/>
      <c r="M159" s="1099"/>
      <c r="N159" s="1099"/>
      <c r="O159" s="1099"/>
    </row>
    <row r="160" spans="1:15" ht="14.4">
      <c r="A160" s="1099"/>
      <c r="B160" s="1099"/>
      <c r="C160" s="1099"/>
      <c r="D160" s="1099"/>
      <c r="E160" s="1099"/>
      <c r="F160" s="1099"/>
      <c r="G160" s="1099"/>
      <c r="H160" s="1099"/>
      <c r="I160" s="1099"/>
      <c r="J160" s="1099"/>
      <c r="K160" s="1099"/>
      <c r="L160" s="1099"/>
      <c r="M160" s="1099"/>
      <c r="N160" s="1099"/>
      <c r="O160" s="1099"/>
    </row>
    <row r="161" spans="1:15" ht="14.4">
      <c r="A161" s="1099"/>
      <c r="B161" s="1099"/>
      <c r="C161" s="1099"/>
      <c r="D161" s="1099"/>
      <c r="E161" s="1099"/>
      <c r="F161" s="1099"/>
      <c r="G161" s="1099"/>
      <c r="H161" s="1099"/>
      <c r="I161" s="1099"/>
      <c r="J161" s="1099"/>
      <c r="K161" s="1099"/>
      <c r="L161" s="1099"/>
      <c r="M161" s="1099"/>
      <c r="N161" s="1099"/>
      <c r="O161" s="1099"/>
    </row>
    <row r="162" spans="1:15" ht="14.4">
      <c r="A162" s="1099"/>
      <c r="B162" s="1099"/>
      <c r="C162" s="1099"/>
      <c r="D162" s="1099"/>
      <c r="E162" s="1099"/>
      <c r="F162" s="1099"/>
      <c r="G162" s="1099"/>
      <c r="H162" s="1099"/>
      <c r="I162" s="1099"/>
      <c r="J162" s="1099"/>
      <c r="K162" s="1099"/>
      <c r="L162" s="1099"/>
      <c r="M162" s="1099"/>
      <c r="N162" s="1099"/>
      <c r="O162" s="1099"/>
    </row>
    <row r="163" spans="1:15" ht="14.4">
      <c r="A163" s="1099"/>
      <c r="B163" s="1099"/>
      <c r="C163" s="1099"/>
      <c r="D163" s="1099"/>
      <c r="E163" s="1099"/>
      <c r="F163" s="1099"/>
      <c r="G163" s="1099"/>
      <c r="H163" s="1099"/>
      <c r="I163" s="1099"/>
      <c r="J163" s="1099"/>
      <c r="K163" s="1099"/>
      <c r="L163" s="1099"/>
      <c r="M163" s="1099"/>
      <c r="N163" s="1099"/>
      <c r="O163" s="1099"/>
    </row>
    <row r="164" spans="1:15" ht="14.4">
      <c r="A164" s="1099"/>
      <c r="B164" s="1099"/>
      <c r="C164" s="1099"/>
      <c r="D164" s="1099"/>
      <c r="E164" s="1099"/>
      <c r="F164" s="1099"/>
      <c r="G164" s="1099"/>
      <c r="H164" s="1099"/>
      <c r="I164" s="1099"/>
      <c r="J164" s="1099"/>
      <c r="K164" s="1099"/>
      <c r="L164" s="1099"/>
      <c r="M164" s="1099"/>
      <c r="N164" s="1099"/>
      <c r="O164" s="1099"/>
    </row>
    <row r="165" spans="1:15" ht="14.4">
      <c r="A165" s="1099"/>
      <c r="B165" s="1099"/>
      <c r="C165" s="1099"/>
      <c r="D165" s="1099"/>
      <c r="E165" s="1099"/>
      <c r="F165" s="1099"/>
      <c r="G165" s="1099"/>
      <c r="H165" s="1099"/>
      <c r="I165" s="1099"/>
      <c r="J165" s="1099"/>
      <c r="K165" s="1099"/>
      <c r="L165" s="1099"/>
      <c r="M165" s="1099"/>
      <c r="N165" s="1099"/>
      <c r="O165" s="1099"/>
    </row>
    <row r="166" spans="1:15" ht="14.4">
      <c r="A166" s="1099"/>
      <c r="B166" s="1099"/>
      <c r="C166" s="1099"/>
      <c r="D166" s="1099"/>
      <c r="E166" s="1099"/>
      <c r="F166" s="1099"/>
      <c r="G166" s="1099"/>
      <c r="H166" s="1099"/>
      <c r="I166" s="1099"/>
      <c r="J166" s="1099"/>
      <c r="K166" s="1099"/>
      <c r="L166" s="1099"/>
      <c r="M166" s="1099"/>
      <c r="N166" s="1099"/>
      <c r="O166" s="1099"/>
    </row>
    <row r="167" spans="1:15" ht="14.4">
      <c r="A167" s="1099"/>
      <c r="B167" s="1099"/>
      <c r="C167" s="1099"/>
      <c r="D167" s="1099"/>
      <c r="E167" s="1099"/>
      <c r="F167" s="1099"/>
      <c r="G167" s="1099"/>
      <c r="H167" s="1099"/>
      <c r="I167" s="1099"/>
      <c r="J167" s="1099"/>
      <c r="K167" s="1099"/>
      <c r="L167" s="1099"/>
      <c r="M167" s="1099"/>
      <c r="N167" s="1099"/>
      <c r="O167" s="1099"/>
    </row>
    <row r="168" spans="1:15" ht="14.4">
      <c r="A168" s="1099"/>
      <c r="B168" s="1099"/>
      <c r="C168" s="1099"/>
      <c r="D168" s="1099"/>
      <c r="E168" s="1099"/>
      <c r="F168" s="1099"/>
      <c r="G168" s="1099"/>
      <c r="H168" s="1099"/>
      <c r="I168" s="1099"/>
      <c r="J168" s="1099"/>
      <c r="K168" s="1099"/>
      <c r="L168" s="1099"/>
      <c r="M168" s="1099"/>
      <c r="N168" s="1099"/>
      <c r="O168" s="1099"/>
    </row>
    <row r="169" spans="1:15" ht="14.4">
      <c r="A169" s="1099"/>
      <c r="B169" s="1099"/>
      <c r="C169" s="1099"/>
      <c r="D169" s="1099"/>
      <c r="E169" s="1099"/>
      <c r="F169" s="1099"/>
      <c r="G169" s="1099"/>
      <c r="H169" s="1099"/>
      <c r="I169" s="1099"/>
      <c r="J169" s="1099"/>
      <c r="K169" s="1099"/>
      <c r="L169" s="1099"/>
      <c r="M169" s="1099"/>
      <c r="N169" s="1099"/>
      <c r="O169" s="1099"/>
    </row>
    <row r="170" spans="1:15" ht="14.4">
      <c r="A170" s="1099"/>
      <c r="B170" s="1099"/>
      <c r="C170" s="1099"/>
      <c r="D170" s="1099"/>
      <c r="E170" s="1099"/>
      <c r="F170" s="1099"/>
      <c r="G170" s="1099"/>
      <c r="H170" s="1099"/>
      <c r="I170" s="1099"/>
      <c r="J170" s="1099"/>
      <c r="K170" s="1099"/>
      <c r="L170" s="1099"/>
      <c r="M170" s="1099"/>
      <c r="N170" s="1099"/>
      <c r="O170" s="1099"/>
    </row>
    <row r="171" spans="1:15" ht="14.4">
      <c r="A171" s="1099"/>
      <c r="B171" s="1099"/>
      <c r="C171" s="1099"/>
      <c r="D171" s="1099"/>
      <c r="E171" s="1099"/>
      <c r="F171" s="1099"/>
      <c r="G171" s="1099"/>
      <c r="H171" s="1099"/>
      <c r="I171" s="1099"/>
      <c r="J171" s="1099"/>
      <c r="K171" s="1099"/>
      <c r="L171" s="1099"/>
      <c r="M171" s="1099"/>
      <c r="N171" s="1099"/>
      <c r="O171" s="1099"/>
    </row>
    <row r="172" spans="1:15" ht="14.4">
      <c r="A172" s="1099"/>
      <c r="B172" s="1099"/>
      <c r="C172" s="1099"/>
      <c r="D172" s="1099"/>
      <c r="E172" s="1099"/>
      <c r="F172" s="1099"/>
      <c r="G172" s="1099"/>
      <c r="H172" s="1099"/>
      <c r="I172" s="1099"/>
      <c r="J172" s="1099"/>
      <c r="K172" s="1099"/>
      <c r="L172" s="1099"/>
      <c r="M172" s="1099"/>
      <c r="N172" s="1099"/>
      <c r="O172" s="1099"/>
    </row>
    <row r="173" spans="1:15" ht="14.4">
      <c r="A173" s="1099"/>
      <c r="B173" s="1099"/>
      <c r="C173" s="1099"/>
      <c r="D173" s="1099"/>
      <c r="E173" s="1099"/>
      <c r="F173" s="1099"/>
      <c r="G173" s="1099"/>
      <c r="H173" s="1099"/>
      <c r="I173" s="1099"/>
      <c r="J173" s="1099"/>
      <c r="K173" s="1099"/>
      <c r="L173" s="1099"/>
      <c r="M173" s="1099"/>
      <c r="N173" s="1099"/>
      <c r="O173" s="1099"/>
    </row>
    <row r="174" spans="1:15" ht="14.4">
      <c r="A174" s="1099"/>
      <c r="B174" s="1099"/>
      <c r="C174" s="1099"/>
      <c r="D174" s="1099"/>
      <c r="E174" s="1099"/>
      <c r="F174" s="1099"/>
      <c r="G174" s="1099"/>
      <c r="H174" s="1099"/>
      <c r="I174" s="1099"/>
      <c r="J174" s="1099"/>
      <c r="K174" s="1099"/>
      <c r="L174" s="1099"/>
      <c r="M174" s="1099"/>
      <c r="N174" s="1099"/>
      <c r="O174" s="1099"/>
    </row>
    <row r="175" spans="1:15" ht="14.4">
      <c r="A175" s="1099"/>
      <c r="B175" s="1099"/>
      <c r="C175" s="1099"/>
      <c r="D175" s="1099"/>
      <c r="E175" s="1099"/>
      <c r="F175" s="1099"/>
      <c r="G175" s="1099"/>
      <c r="H175" s="1099"/>
      <c r="I175" s="1099"/>
      <c r="J175" s="1099"/>
      <c r="K175" s="1099"/>
      <c r="L175" s="1099"/>
      <c r="M175" s="1099"/>
      <c r="N175" s="1099"/>
      <c r="O175" s="1099"/>
    </row>
    <row r="176" spans="1:15" ht="14.4">
      <c r="A176" s="1099"/>
      <c r="B176" s="1099"/>
      <c r="C176" s="1099"/>
      <c r="D176" s="1099"/>
      <c r="E176" s="1099"/>
      <c r="F176" s="1099"/>
      <c r="G176" s="1099"/>
      <c r="H176" s="1099"/>
      <c r="I176" s="1099"/>
      <c r="J176" s="1099"/>
      <c r="K176" s="1099"/>
      <c r="L176" s="1099"/>
      <c r="M176" s="1099"/>
      <c r="N176" s="1099"/>
      <c r="O176" s="1099"/>
    </row>
    <row r="177" spans="1:15" ht="14.4">
      <c r="A177" s="1099"/>
      <c r="B177" s="1099"/>
      <c r="C177" s="1099"/>
      <c r="D177" s="1099"/>
      <c r="E177" s="1099"/>
      <c r="F177" s="1099"/>
      <c r="G177" s="1099"/>
      <c r="H177" s="1099"/>
      <c r="I177" s="1099"/>
      <c r="J177" s="1099"/>
      <c r="K177" s="1099"/>
      <c r="L177" s="1099"/>
      <c r="M177" s="1099"/>
      <c r="N177" s="1099"/>
      <c r="O177" s="1099"/>
    </row>
    <row r="178" spans="1:15" ht="14.4">
      <c r="A178" s="1099"/>
      <c r="B178" s="1099"/>
      <c r="C178" s="1099"/>
      <c r="D178" s="1099"/>
      <c r="E178" s="1099"/>
      <c r="F178" s="1099"/>
      <c r="G178" s="1099"/>
      <c r="H178" s="1099"/>
      <c r="I178" s="1099"/>
      <c r="J178" s="1099"/>
      <c r="K178" s="1099"/>
      <c r="L178" s="1099"/>
      <c r="M178" s="1099"/>
      <c r="N178" s="1099"/>
      <c r="O178" s="1099"/>
    </row>
    <row r="179" spans="1:15" ht="14.4">
      <c r="A179" s="1099"/>
      <c r="B179" s="1099"/>
      <c r="C179" s="1099"/>
      <c r="D179" s="1099"/>
      <c r="E179" s="1099"/>
      <c r="F179" s="1099"/>
      <c r="G179" s="1099"/>
      <c r="H179" s="1099"/>
      <c r="I179" s="1099"/>
      <c r="J179" s="1099"/>
      <c r="K179" s="1099"/>
      <c r="L179" s="1099"/>
      <c r="M179" s="1099"/>
      <c r="N179" s="1099"/>
      <c r="O179" s="1099"/>
    </row>
    <row r="180" spans="1:15" ht="14.4">
      <c r="A180" s="1099"/>
      <c r="B180" s="1099"/>
      <c r="C180" s="1099"/>
      <c r="D180" s="1099"/>
      <c r="E180" s="1099"/>
      <c r="F180" s="1099"/>
      <c r="G180" s="1099"/>
      <c r="H180" s="1099"/>
      <c r="I180" s="1099"/>
      <c r="J180" s="1099"/>
      <c r="K180" s="1099"/>
      <c r="L180" s="1099"/>
      <c r="M180" s="1099"/>
      <c r="N180" s="1099"/>
      <c r="O180" s="1099"/>
    </row>
    <row r="181" spans="1:15" ht="14.4">
      <c r="A181" s="1099"/>
      <c r="B181" s="1099"/>
      <c r="C181" s="1099"/>
      <c r="D181" s="1099"/>
      <c r="E181" s="1099"/>
      <c r="F181" s="1099"/>
      <c r="G181" s="1099"/>
      <c r="H181" s="1099"/>
      <c r="I181" s="1099"/>
      <c r="J181" s="1099"/>
      <c r="K181" s="1099"/>
      <c r="L181" s="1099"/>
      <c r="M181" s="1099"/>
      <c r="N181" s="1099"/>
      <c r="O181" s="1099"/>
    </row>
    <row r="182" spans="1:15" ht="14.4">
      <c r="A182" s="1099"/>
      <c r="B182" s="1099"/>
      <c r="C182" s="1099"/>
      <c r="D182" s="1099"/>
      <c r="E182" s="1099"/>
      <c r="F182" s="1099"/>
      <c r="G182" s="1099"/>
      <c r="H182" s="1099"/>
      <c r="I182" s="1099"/>
      <c r="J182" s="1099"/>
      <c r="K182" s="1099"/>
      <c r="L182" s="1099"/>
      <c r="M182" s="1099"/>
      <c r="N182" s="1099"/>
      <c r="O182" s="1099"/>
    </row>
    <row r="183" spans="1:15" ht="14.4">
      <c r="A183" s="1099"/>
      <c r="B183" s="1099"/>
      <c r="C183" s="1099"/>
      <c r="D183" s="1099"/>
      <c r="E183" s="1099"/>
      <c r="F183" s="1099"/>
      <c r="G183" s="1099"/>
      <c r="H183" s="1099"/>
      <c r="I183" s="1099"/>
      <c r="J183" s="1099"/>
      <c r="K183" s="1099"/>
      <c r="L183" s="1099"/>
      <c r="M183" s="1099"/>
      <c r="N183" s="1099"/>
      <c r="O183" s="1099"/>
    </row>
    <row r="184" spans="1:15" ht="14.4">
      <c r="A184" s="1099"/>
      <c r="B184" s="1099"/>
      <c r="C184" s="1099"/>
      <c r="D184" s="1099"/>
      <c r="E184" s="1099"/>
      <c r="F184" s="1099"/>
      <c r="G184" s="1099"/>
      <c r="H184" s="1099"/>
      <c r="I184" s="1099"/>
      <c r="J184" s="1099"/>
      <c r="K184" s="1099"/>
      <c r="L184" s="1099"/>
      <c r="M184" s="1099"/>
      <c r="N184" s="1099"/>
      <c r="O184" s="1099"/>
    </row>
    <row r="185" spans="1:15" ht="14.4">
      <c r="A185" s="1099"/>
      <c r="B185" s="1099"/>
      <c r="C185" s="1099"/>
      <c r="D185" s="1099"/>
      <c r="E185" s="1099"/>
      <c r="F185" s="1099"/>
      <c r="G185" s="1099"/>
      <c r="H185" s="1099"/>
      <c r="I185" s="1099"/>
      <c r="J185" s="1099"/>
      <c r="K185" s="1099"/>
      <c r="L185" s="1099"/>
      <c r="M185" s="1099"/>
      <c r="N185" s="1099"/>
      <c r="O185" s="1099"/>
    </row>
    <row r="186" spans="1:15" ht="14.4">
      <c r="A186" s="1099"/>
      <c r="B186" s="1099"/>
      <c r="C186" s="1099"/>
      <c r="D186" s="1099"/>
      <c r="E186" s="1099"/>
      <c r="F186" s="1099"/>
      <c r="G186" s="1099"/>
      <c r="H186" s="1099"/>
      <c r="I186" s="1099"/>
      <c r="J186" s="1099"/>
      <c r="K186" s="1099"/>
      <c r="L186" s="1099"/>
      <c r="M186" s="1099"/>
      <c r="N186" s="1099"/>
      <c r="O186" s="1099"/>
    </row>
    <row r="187" spans="1:15" ht="14.4">
      <c r="A187" s="1099"/>
      <c r="B187" s="1099"/>
      <c r="C187" s="1099"/>
      <c r="D187" s="1099"/>
      <c r="E187" s="1099"/>
      <c r="F187" s="1099"/>
      <c r="G187" s="1099"/>
      <c r="H187" s="1099"/>
      <c r="I187" s="1099"/>
      <c r="J187" s="1099"/>
      <c r="K187" s="1099"/>
      <c r="L187" s="1099"/>
      <c r="M187" s="1099"/>
      <c r="N187" s="1099"/>
      <c r="O187" s="1099"/>
    </row>
    <row r="188" spans="1:15" ht="14.4">
      <c r="A188" s="1099"/>
      <c r="B188" s="1099"/>
      <c r="C188" s="1099"/>
      <c r="D188" s="1099"/>
      <c r="E188" s="1099"/>
      <c r="F188" s="1099"/>
      <c r="G188" s="1099"/>
      <c r="H188" s="1099"/>
      <c r="I188" s="1099"/>
      <c r="J188" s="1099"/>
      <c r="K188" s="1099"/>
      <c r="L188" s="1099"/>
      <c r="M188" s="1099"/>
      <c r="N188" s="1099"/>
      <c r="O188" s="1099"/>
    </row>
    <row r="189" spans="1:15" ht="14.4">
      <c r="A189" s="1099"/>
      <c r="B189" s="1099"/>
      <c r="C189" s="1099"/>
      <c r="D189" s="1099"/>
      <c r="E189" s="1099"/>
      <c r="F189" s="1099"/>
      <c r="G189" s="1099"/>
      <c r="H189" s="1099"/>
      <c r="I189" s="1099"/>
      <c r="J189" s="1099"/>
      <c r="K189" s="1099"/>
      <c r="L189" s="1099"/>
      <c r="M189" s="1099"/>
      <c r="N189" s="1099"/>
      <c r="O189" s="1099"/>
    </row>
    <row r="190" spans="1:15" ht="14.4">
      <c r="A190" s="1099"/>
      <c r="B190" s="1099"/>
      <c r="C190" s="1099"/>
      <c r="D190" s="1099"/>
      <c r="E190" s="1099"/>
      <c r="F190" s="1099"/>
      <c r="G190" s="1099"/>
      <c r="H190" s="1099"/>
      <c r="I190" s="1099"/>
      <c r="J190" s="1099"/>
      <c r="K190" s="1099"/>
      <c r="L190" s="1099"/>
      <c r="M190" s="1099"/>
      <c r="N190" s="1099"/>
      <c r="O190" s="1099"/>
    </row>
    <row r="191" spans="1:15" ht="14.4">
      <c r="A191" s="1099"/>
      <c r="B191" s="1099"/>
      <c r="C191" s="1099"/>
      <c r="D191" s="1099"/>
      <c r="E191" s="1099"/>
      <c r="F191" s="1099"/>
      <c r="G191" s="1099"/>
      <c r="H191" s="1099"/>
      <c r="I191" s="1099"/>
      <c r="J191" s="1099"/>
      <c r="K191" s="1099"/>
      <c r="L191" s="1099"/>
      <c r="M191" s="1099"/>
      <c r="N191" s="1099"/>
      <c r="O191" s="1099"/>
    </row>
    <row r="192" spans="1:15" ht="14.4">
      <c r="A192" s="1099"/>
      <c r="B192" s="1099"/>
      <c r="C192" s="1099"/>
      <c r="D192" s="1099"/>
      <c r="E192" s="1099"/>
      <c r="F192" s="1099"/>
      <c r="G192" s="1099"/>
      <c r="H192" s="1099"/>
      <c r="I192" s="1099"/>
      <c r="J192" s="1099"/>
      <c r="K192" s="1099"/>
      <c r="L192" s="1099"/>
      <c r="M192" s="1099"/>
      <c r="N192" s="1099"/>
      <c r="O192" s="1099"/>
    </row>
    <row r="193" spans="1:15" ht="14.4">
      <c r="A193" s="1099"/>
      <c r="B193" s="1099"/>
      <c r="C193" s="1099"/>
      <c r="D193" s="1099"/>
      <c r="E193" s="1099"/>
      <c r="F193" s="1099"/>
      <c r="G193" s="1099"/>
      <c r="H193" s="1099"/>
      <c r="I193" s="1099"/>
      <c r="J193" s="1099"/>
      <c r="K193" s="1099"/>
      <c r="L193" s="1099"/>
      <c r="M193" s="1099"/>
      <c r="N193" s="1099"/>
      <c r="O193" s="1099"/>
    </row>
    <row r="194" spans="1:15" ht="14.4">
      <c r="A194" s="1099"/>
      <c r="B194" s="1099"/>
      <c r="C194" s="1099"/>
      <c r="D194" s="1099"/>
      <c r="E194" s="1099"/>
      <c r="F194" s="1099"/>
      <c r="G194" s="1099"/>
      <c r="H194" s="1099"/>
      <c r="I194" s="1099"/>
      <c r="J194" s="1099"/>
      <c r="K194" s="1099"/>
      <c r="L194" s="1099"/>
      <c r="M194" s="1099"/>
      <c r="N194" s="1099"/>
      <c r="O194" s="1099"/>
    </row>
    <row r="195" spans="1:15" ht="14.4">
      <c r="A195" s="1099"/>
      <c r="B195" s="1099"/>
      <c r="C195" s="1099"/>
      <c r="D195" s="1099"/>
      <c r="E195" s="1099"/>
      <c r="F195" s="1099"/>
      <c r="G195" s="1099"/>
      <c r="H195" s="1099"/>
      <c r="I195" s="1099"/>
      <c r="J195" s="1099"/>
      <c r="K195" s="1099"/>
      <c r="L195" s="1099"/>
      <c r="M195" s="1099"/>
      <c r="N195" s="1099"/>
      <c r="O195" s="1099"/>
    </row>
    <row r="196" spans="1:15" ht="14.4">
      <c r="A196" s="1099"/>
      <c r="B196" s="1099"/>
      <c r="C196" s="1099"/>
      <c r="D196" s="1099"/>
      <c r="E196" s="1099"/>
      <c r="F196" s="1099"/>
      <c r="G196" s="1099"/>
      <c r="H196" s="1099"/>
      <c r="I196" s="1099"/>
      <c r="J196" s="1099"/>
      <c r="K196" s="1099"/>
      <c r="L196" s="1099"/>
      <c r="M196" s="1099"/>
      <c r="N196" s="1099"/>
      <c r="O196" s="1099"/>
    </row>
    <row r="197" spans="1:15" ht="14.4">
      <c r="A197" s="1099"/>
      <c r="B197" s="1099"/>
      <c r="C197" s="1099"/>
      <c r="D197" s="1099"/>
      <c r="E197" s="1099"/>
      <c r="F197" s="1099"/>
      <c r="G197" s="1099"/>
      <c r="H197" s="1099"/>
      <c r="I197" s="1099"/>
      <c r="J197" s="1099"/>
      <c r="K197" s="1099"/>
      <c r="L197" s="1099"/>
      <c r="M197" s="1099"/>
      <c r="N197" s="1099"/>
      <c r="O197" s="1099"/>
    </row>
    <row r="198" spans="1:15" ht="14.4">
      <c r="A198" s="1099"/>
      <c r="B198" s="1099"/>
      <c r="C198" s="1099"/>
      <c r="D198" s="1099"/>
      <c r="E198" s="1099"/>
      <c r="F198" s="1099"/>
      <c r="G198" s="1099"/>
      <c r="H198" s="1099"/>
      <c r="I198" s="1099"/>
      <c r="J198" s="1099"/>
      <c r="K198" s="1099"/>
      <c r="L198" s="1099"/>
      <c r="M198" s="1099"/>
      <c r="N198" s="1099"/>
      <c r="O198" s="1099"/>
    </row>
    <row r="199" spans="1:15" ht="14.4">
      <c r="A199" s="1099"/>
      <c r="B199" s="1099"/>
      <c r="C199" s="1099"/>
      <c r="D199" s="1099"/>
      <c r="E199" s="1099"/>
      <c r="F199" s="1099"/>
      <c r="G199" s="1099"/>
      <c r="H199" s="1099"/>
      <c r="I199" s="1099"/>
      <c r="J199" s="1099"/>
      <c r="K199" s="1099"/>
      <c r="L199" s="1099"/>
      <c r="M199" s="1099"/>
      <c r="N199" s="1099"/>
      <c r="O199" s="1099"/>
    </row>
    <row r="200" spans="1:15" ht="14.4">
      <c r="A200" s="1099"/>
      <c r="B200" s="1099"/>
      <c r="C200" s="1099"/>
      <c r="D200" s="1099"/>
      <c r="E200" s="1099"/>
      <c r="F200" s="1099"/>
      <c r="G200" s="1099"/>
      <c r="H200" s="1099"/>
      <c r="I200" s="1099"/>
      <c r="J200" s="1099"/>
      <c r="K200" s="1099"/>
      <c r="L200" s="1099"/>
      <c r="M200" s="1099"/>
      <c r="N200" s="1099"/>
      <c r="O200" s="1099"/>
    </row>
    <row r="201" spans="1:15" ht="14.4">
      <c r="A201" s="1099"/>
      <c r="B201" s="1099"/>
      <c r="C201" s="1099"/>
      <c r="D201" s="1099"/>
      <c r="E201" s="1099"/>
      <c r="F201" s="1099"/>
      <c r="G201" s="1099"/>
      <c r="H201" s="1099"/>
      <c r="I201" s="1099"/>
      <c r="J201" s="1099"/>
      <c r="K201" s="1099"/>
      <c r="L201" s="1099"/>
      <c r="M201" s="1099"/>
      <c r="N201" s="1099"/>
      <c r="O201" s="1099"/>
    </row>
    <row r="202" spans="1:15" ht="14.4">
      <c r="A202" s="1099"/>
      <c r="B202" s="1099"/>
      <c r="C202" s="1099"/>
      <c r="D202" s="1099"/>
      <c r="E202" s="1099"/>
      <c r="F202" s="1099"/>
      <c r="G202" s="1099"/>
      <c r="H202" s="1099"/>
      <c r="I202" s="1099"/>
      <c r="J202" s="1099"/>
      <c r="K202" s="1099"/>
      <c r="L202" s="1099"/>
      <c r="M202" s="1099"/>
      <c r="N202" s="1099"/>
      <c r="O202" s="1099"/>
    </row>
    <row r="203" spans="1:15" ht="14.4">
      <c r="A203" s="1099"/>
      <c r="B203" s="1099"/>
      <c r="C203" s="1099"/>
      <c r="D203" s="1099"/>
      <c r="E203" s="1099"/>
      <c r="F203" s="1099"/>
      <c r="G203" s="1099"/>
      <c r="H203" s="1099"/>
      <c r="I203" s="1099"/>
      <c r="J203" s="1099"/>
      <c r="K203" s="1099"/>
      <c r="L203" s="1099"/>
      <c r="M203" s="1099"/>
      <c r="N203" s="1099"/>
      <c r="O203" s="1099"/>
    </row>
    <row r="204" spans="1:15" ht="14.4">
      <c r="A204" s="1099"/>
      <c r="B204" s="1099"/>
      <c r="C204" s="1099"/>
      <c r="D204" s="1099"/>
      <c r="E204" s="1099"/>
      <c r="F204" s="1099"/>
      <c r="G204" s="1099"/>
      <c r="H204" s="1099"/>
      <c r="I204" s="1099"/>
      <c r="J204" s="1099"/>
      <c r="K204" s="1099"/>
      <c r="L204" s="1099"/>
      <c r="M204" s="1099"/>
      <c r="N204" s="1099"/>
      <c r="O204" s="1099"/>
    </row>
    <row r="205" spans="1:15" ht="14.4">
      <c r="A205" s="1099"/>
      <c r="B205" s="1099"/>
      <c r="C205" s="1099"/>
      <c r="D205" s="1099"/>
      <c r="E205" s="1099"/>
      <c r="F205" s="1099"/>
      <c r="G205" s="1099"/>
      <c r="H205" s="1099"/>
      <c r="I205" s="1099"/>
      <c r="J205" s="1099"/>
      <c r="K205" s="1099"/>
      <c r="L205" s="1099"/>
      <c r="M205" s="1099"/>
      <c r="N205" s="1099"/>
      <c r="O205" s="1099"/>
    </row>
    <row r="206" spans="1:15" ht="14.4">
      <c r="A206" s="1099"/>
      <c r="B206" s="1099"/>
      <c r="C206" s="1099"/>
      <c r="D206" s="1099"/>
      <c r="E206" s="1099"/>
      <c r="F206" s="1099"/>
      <c r="G206" s="1099"/>
      <c r="H206" s="1099"/>
      <c r="I206" s="1099"/>
      <c r="J206" s="1099"/>
      <c r="K206" s="1099"/>
      <c r="L206" s="1099"/>
      <c r="M206" s="1099"/>
      <c r="N206" s="1099"/>
      <c r="O206" s="1099"/>
    </row>
    <row r="207" spans="1:15" ht="14.4">
      <c r="A207" s="1099"/>
      <c r="B207" s="1099"/>
      <c r="C207" s="1099"/>
      <c r="D207" s="1099"/>
      <c r="E207" s="1099"/>
      <c r="F207" s="1099"/>
      <c r="G207" s="1099"/>
      <c r="H207" s="1099"/>
      <c r="I207" s="1099"/>
      <c r="J207" s="1099"/>
      <c r="K207" s="1099"/>
      <c r="L207" s="1099"/>
      <c r="M207" s="1099"/>
      <c r="N207" s="1099"/>
      <c r="O207" s="1099"/>
    </row>
    <row r="208" spans="1:15" ht="14.4">
      <c r="A208" s="1099"/>
      <c r="B208" s="1099"/>
      <c r="C208" s="1099"/>
      <c r="D208" s="1099"/>
      <c r="E208" s="1099"/>
      <c r="F208" s="1099"/>
      <c r="G208" s="1099"/>
      <c r="H208" s="1099"/>
      <c r="I208" s="1099"/>
      <c r="J208" s="1099"/>
      <c r="K208" s="1099"/>
      <c r="L208" s="1099"/>
      <c r="M208" s="1099"/>
      <c r="N208" s="1099"/>
      <c r="O208" s="1099"/>
    </row>
    <row r="209" spans="1:15" ht="14.4">
      <c r="A209" s="1099"/>
      <c r="B209" s="1099"/>
      <c r="C209" s="1099"/>
      <c r="D209" s="1099"/>
      <c r="E209" s="1099"/>
      <c r="F209" s="1099"/>
      <c r="G209" s="1099"/>
      <c r="H209" s="1099"/>
      <c r="I209" s="1099"/>
      <c r="J209" s="1099"/>
      <c r="K209" s="1099"/>
      <c r="L209" s="1099"/>
      <c r="M209" s="1099"/>
      <c r="N209" s="1099"/>
      <c r="O209" s="1099"/>
    </row>
    <row r="210" spans="1:15" ht="14.4">
      <c r="A210" s="1099"/>
      <c r="B210" s="1099"/>
      <c r="C210" s="1099"/>
      <c r="D210" s="1099"/>
      <c r="E210" s="1099"/>
      <c r="F210" s="1099"/>
      <c r="G210" s="1099"/>
      <c r="H210" s="1099"/>
      <c r="I210" s="1099"/>
      <c r="J210" s="1099"/>
      <c r="K210" s="1099"/>
      <c r="L210" s="1099"/>
      <c r="M210" s="1099"/>
      <c r="N210" s="1099"/>
      <c r="O210" s="1099"/>
    </row>
    <row r="211" spans="1:15" ht="14.4">
      <c r="A211" s="1099"/>
      <c r="B211" s="1099"/>
      <c r="C211" s="1099"/>
      <c r="D211" s="1099"/>
      <c r="E211" s="1099"/>
      <c r="F211" s="1099"/>
      <c r="G211" s="1099"/>
      <c r="H211" s="1099"/>
      <c r="I211" s="1099"/>
      <c r="J211" s="1099"/>
      <c r="K211" s="1099"/>
      <c r="L211" s="1099"/>
      <c r="M211" s="1099"/>
      <c r="N211" s="1099"/>
      <c r="O211" s="1099"/>
    </row>
    <row r="212" spans="1:15" ht="14.4">
      <c r="A212" s="1099"/>
      <c r="B212" s="1099"/>
      <c r="C212" s="1099"/>
      <c r="D212" s="1099"/>
      <c r="E212" s="1099"/>
      <c r="F212" s="1099"/>
      <c r="G212" s="1099"/>
      <c r="H212" s="1099"/>
      <c r="I212" s="1099"/>
      <c r="J212" s="1099"/>
      <c r="K212" s="1099"/>
      <c r="L212" s="1099"/>
      <c r="M212" s="1099"/>
      <c r="N212" s="1099"/>
      <c r="O212" s="1099"/>
    </row>
    <row r="213" spans="1:15" ht="14.4">
      <c r="A213" s="1099"/>
      <c r="B213" s="1099"/>
      <c r="C213" s="1099"/>
      <c r="D213" s="1099"/>
      <c r="E213" s="1099"/>
      <c r="F213" s="1099"/>
      <c r="G213" s="1099"/>
      <c r="H213" s="1099"/>
      <c r="I213" s="1099"/>
      <c r="J213" s="1099"/>
      <c r="K213" s="1099"/>
      <c r="L213" s="1099"/>
      <c r="M213" s="1099"/>
      <c r="N213" s="1099"/>
      <c r="O213" s="1099"/>
    </row>
    <row r="214" spans="1:15" ht="14.4">
      <c r="A214" s="1099"/>
      <c r="B214" s="1099"/>
      <c r="C214" s="1099"/>
      <c r="D214" s="1099"/>
      <c r="E214" s="1099"/>
      <c r="F214" s="1099"/>
      <c r="G214" s="1099"/>
      <c r="H214" s="1099"/>
      <c r="I214" s="1099"/>
      <c r="J214" s="1099"/>
      <c r="K214" s="1099"/>
      <c r="L214" s="1099"/>
      <c r="M214" s="1099"/>
      <c r="N214" s="1099"/>
      <c r="O214" s="1099"/>
    </row>
    <row r="215" spans="1:15" ht="14.4">
      <c r="A215" s="1099"/>
      <c r="B215" s="1099"/>
      <c r="C215" s="1099"/>
      <c r="D215" s="1099"/>
      <c r="E215" s="1099"/>
      <c r="F215" s="1099"/>
      <c r="G215" s="1099"/>
      <c r="H215" s="1099"/>
      <c r="I215" s="1099"/>
      <c r="J215" s="1099"/>
      <c r="K215" s="1099"/>
      <c r="L215" s="1099"/>
      <c r="M215" s="1099"/>
      <c r="N215" s="1099"/>
      <c r="O215" s="1099"/>
    </row>
    <row r="216" spans="1:15" ht="14.4">
      <c r="A216" s="1099"/>
      <c r="B216" s="1099"/>
      <c r="C216" s="1099"/>
      <c r="D216" s="1099"/>
      <c r="E216" s="1099"/>
      <c r="F216" s="1099"/>
      <c r="G216" s="1099"/>
      <c r="H216" s="1099"/>
      <c r="I216" s="1099"/>
      <c r="J216" s="1099"/>
      <c r="K216" s="1099"/>
      <c r="L216" s="1099"/>
      <c r="M216" s="1099"/>
      <c r="N216" s="1099"/>
      <c r="O216" s="1099"/>
    </row>
    <row r="217" spans="1:15" ht="14.4">
      <c r="A217" s="1099"/>
      <c r="B217" s="1099"/>
      <c r="C217" s="1099"/>
      <c r="D217" s="1099"/>
      <c r="E217" s="1099"/>
      <c r="F217" s="1099"/>
      <c r="G217" s="1099"/>
      <c r="H217" s="1099"/>
      <c r="I217" s="1099"/>
      <c r="J217" s="1099"/>
      <c r="K217" s="1099"/>
      <c r="L217" s="1099"/>
      <c r="M217" s="1099"/>
      <c r="N217" s="1099"/>
      <c r="O217" s="1099"/>
    </row>
    <row r="218" spans="1:15" ht="14.4">
      <c r="A218" s="1099"/>
      <c r="B218" s="1099"/>
      <c r="C218" s="1099"/>
      <c r="D218" s="1099"/>
      <c r="E218" s="1099"/>
      <c r="F218" s="1099"/>
      <c r="G218" s="1099"/>
      <c r="H218" s="1099"/>
      <c r="I218" s="1099"/>
      <c r="J218" s="1099"/>
      <c r="K218" s="1099"/>
      <c r="L218" s="1099"/>
      <c r="M218" s="1099"/>
      <c r="N218" s="1099"/>
      <c r="O218" s="1099"/>
    </row>
    <row r="219" spans="1:15" ht="14.4">
      <c r="A219" s="1099"/>
      <c r="B219" s="1099"/>
      <c r="C219" s="1099"/>
      <c r="D219" s="1099"/>
      <c r="E219" s="1099"/>
      <c r="F219" s="1099"/>
      <c r="G219" s="1099"/>
      <c r="H219" s="1099"/>
      <c r="I219" s="1099"/>
      <c r="J219" s="1099"/>
      <c r="K219" s="1099"/>
      <c r="L219" s="1099"/>
      <c r="M219" s="1099"/>
      <c r="N219" s="1099"/>
      <c r="O219" s="1099"/>
    </row>
    <row r="220" spans="1:15" ht="14.4">
      <c r="A220" s="1099"/>
      <c r="B220" s="1099"/>
      <c r="C220" s="1099"/>
      <c r="D220" s="1099"/>
      <c r="E220" s="1099"/>
      <c r="F220" s="1099"/>
      <c r="G220" s="1099"/>
      <c r="H220" s="1099"/>
      <c r="I220" s="1099"/>
      <c r="J220" s="1099"/>
      <c r="K220" s="1099"/>
      <c r="L220" s="1099"/>
      <c r="M220" s="1099"/>
      <c r="N220" s="1099"/>
      <c r="O220" s="1099"/>
    </row>
    <row r="221" spans="1:15" ht="14.4">
      <c r="A221" s="1099"/>
      <c r="B221" s="1099"/>
      <c r="C221" s="1099"/>
      <c r="D221" s="1099"/>
      <c r="E221" s="1099"/>
      <c r="F221" s="1099"/>
      <c r="G221" s="1099"/>
      <c r="H221" s="1099"/>
      <c r="I221" s="1099"/>
      <c r="J221" s="1099"/>
      <c r="K221" s="1099"/>
      <c r="L221" s="1099"/>
      <c r="M221" s="1099"/>
      <c r="N221" s="1099"/>
      <c r="O221" s="1099"/>
    </row>
    <row r="222" spans="1:15" ht="14.4">
      <c r="A222" s="1099"/>
      <c r="B222" s="1099"/>
      <c r="C222" s="1099"/>
      <c r="D222" s="1099"/>
      <c r="E222" s="1099"/>
      <c r="F222" s="1099"/>
      <c r="G222" s="1099"/>
      <c r="H222" s="1099"/>
      <c r="I222" s="1099"/>
      <c r="J222" s="1099"/>
      <c r="K222" s="1099"/>
      <c r="L222" s="1099"/>
      <c r="M222" s="1099"/>
      <c r="N222" s="1099"/>
      <c r="O222" s="1099"/>
    </row>
    <row r="223" spans="1:15" ht="14.4">
      <c r="A223" s="1099"/>
      <c r="B223" s="1099"/>
      <c r="C223" s="1099"/>
      <c r="D223" s="1099"/>
      <c r="E223" s="1099"/>
      <c r="F223" s="1099"/>
      <c r="G223" s="1099"/>
      <c r="H223" s="1099"/>
      <c r="I223" s="1099"/>
      <c r="J223" s="1099"/>
      <c r="K223" s="1099"/>
      <c r="L223" s="1099"/>
      <c r="M223" s="1099"/>
      <c r="N223" s="1099"/>
      <c r="O223" s="1099"/>
    </row>
    <row r="224" spans="1:15" ht="14.4">
      <c r="A224" s="1099"/>
      <c r="B224" s="1099"/>
      <c r="C224" s="1099"/>
      <c r="D224" s="1099"/>
      <c r="E224" s="1099"/>
      <c r="F224" s="1099"/>
      <c r="G224" s="1099"/>
      <c r="H224" s="1099"/>
      <c r="I224" s="1099"/>
      <c r="J224" s="1099"/>
      <c r="K224" s="1099"/>
      <c r="L224" s="1099"/>
      <c r="M224" s="1099"/>
      <c r="N224" s="1099"/>
      <c r="O224" s="1099"/>
    </row>
    <row r="225" spans="1:15" ht="14.4">
      <c r="A225" s="1099"/>
      <c r="B225" s="1099"/>
      <c r="C225" s="1099"/>
      <c r="D225" s="1099"/>
      <c r="E225" s="1099"/>
      <c r="F225" s="1099"/>
      <c r="G225" s="1099"/>
      <c r="H225" s="1099"/>
      <c r="I225" s="1099"/>
      <c r="J225" s="1099"/>
      <c r="K225" s="1099"/>
      <c r="L225" s="1099"/>
      <c r="M225" s="1099"/>
      <c r="N225" s="1099"/>
      <c r="O225" s="1099"/>
    </row>
    <row r="226" spans="1:15" ht="14.4">
      <c r="A226" s="1099"/>
      <c r="B226" s="1099"/>
      <c r="C226" s="1099"/>
      <c r="D226" s="1099"/>
      <c r="E226" s="1099"/>
      <c r="F226" s="1099"/>
      <c r="G226" s="1099"/>
      <c r="H226" s="1099"/>
      <c r="I226" s="1099"/>
      <c r="J226" s="1099"/>
      <c r="K226" s="1099"/>
      <c r="L226" s="1099"/>
      <c r="M226" s="1099"/>
      <c r="N226" s="1099"/>
      <c r="O226" s="1099"/>
    </row>
    <row r="227" spans="1:15" ht="14.4">
      <c r="A227" s="1099"/>
      <c r="B227" s="1099"/>
      <c r="C227" s="1099"/>
      <c r="D227" s="1099"/>
      <c r="E227" s="1099"/>
      <c r="F227" s="1099"/>
      <c r="G227" s="1099"/>
      <c r="H227" s="1099"/>
      <c r="I227" s="1099"/>
      <c r="J227" s="1099"/>
      <c r="K227" s="1099"/>
      <c r="L227" s="1099"/>
      <c r="M227" s="1099"/>
      <c r="N227" s="1099"/>
      <c r="O227" s="1099"/>
    </row>
    <row r="228" spans="1:15" ht="14.4">
      <c r="A228" s="1099"/>
      <c r="B228" s="1099"/>
      <c r="C228" s="1099"/>
      <c r="D228" s="1099"/>
      <c r="E228" s="1099"/>
      <c r="F228" s="1099"/>
      <c r="G228" s="1099"/>
      <c r="H228" s="1099"/>
      <c r="I228" s="1099"/>
      <c r="J228" s="1099"/>
      <c r="K228" s="1099"/>
      <c r="L228" s="1099"/>
      <c r="M228" s="1099"/>
      <c r="N228" s="1099"/>
      <c r="O228" s="1099"/>
    </row>
    <row r="229" spans="1:15" ht="14.4">
      <c r="A229" s="1099"/>
      <c r="B229" s="1099"/>
      <c r="C229" s="1099"/>
      <c r="D229" s="1099"/>
      <c r="E229" s="1099"/>
      <c r="F229" s="1099"/>
      <c r="G229" s="1099"/>
      <c r="H229" s="1099"/>
      <c r="I229" s="1099"/>
      <c r="J229" s="1099"/>
      <c r="K229" s="1099"/>
      <c r="L229" s="1099"/>
      <c r="M229" s="1099"/>
      <c r="N229" s="1099"/>
      <c r="O229" s="1099"/>
    </row>
    <row r="230" spans="1:15" ht="14.4">
      <c r="A230" s="1099"/>
      <c r="B230" s="1099"/>
      <c r="C230" s="1099"/>
      <c r="D230" s="1099"/>
      <c r="E230" s="1099"/>
      <c r="F230" s="1099"/>
      <c r="G230" s="1099"/>
      <c r="H230" s="1099"/>
      <c r="I230" s="1099"/>
      <c r="J230" s="1099"/>
      <c r="K230" s="1099"/>
      <c r="L230" s="1099"/>
      <c r="M230" s="1099"/>
      <c r="N230" s="1099"/>
      <c r="O230" s="1099"/>
    </row>
    <row r="231" spans="1:15" ht="14.4">
      <c r="A231" s="1099"/>
      <c r="B231" s="1099"/>
      <c r="C231" s="1099"/>
      <c r="D231" s="1099"/>
      <c r="E231" s="1099"/>
      <c r="F231" s="1099"/>
      <c r="G231" s="1099"/>
      <c r="H231" s="1099"/>
      <c r="I231" s="1099"/>
      <c r="J231" s="1099"/>
      <c r="K231" s="1099"/>
      <c r="L231" s="1099"/>
      <c r="M231" s="1099"/>
      <c r="N231" s="1099"/>
      <c r="O231" s="1099"/>
    </row>
    <row r="232" spans="1:15" ht="14.4">
      <c r="A232" s="1099"/>
      <c r="B232" s="1099"/>
      <c r="C232" s="1099"/>
      <c r="D232" s="1099"/>
      <c r="E232" s="1099"/>
      <c r="F232" s="1099"/>
      <c r="G232" s="1099"/>
      <c r="H232" s="1099"/>
      <c r="I232" s="1099"/>
      <c r="J232" s="1099"/>
      <c r="K232" s="1099"/>
      <c r="L232" s="1099"/>
      <c r="M232" s="1099"/>
      <c r="N232" s="1099"/>
      <c r="O232" s="1099"/>
    </row>
    <row r="233" spans="1:15" ht="14.4">
      <c r="A233" s="1099"/>
      <c r="B233" s="1099"/>
      <c r="C233" s="1099"/>
      <c r="D233" s="1099"/>
      <c r="E233" s="1099"/>
      <c r="F233" s="1099"/>
      <c r="G233" s="1099"/>
      <c r="H233" s="1099"/>
      <c r="I233" s="1099"/>
      <c r="J233" s="1099"/>
      <c r="K233" s="1099"/>
      <c r="L233" s="1099"/>
      <c r="M233" s="1099"/>
      <c r="N233" s="1099"/>
      <c r="O233" s="1099"/>
    </row>
    <row r="234" spans="1:15" ht="14.4">
      <c r="A234" s="1099"/>
      <c r="B234" s="1099"/>
      <c r="C234" s="1099"/>
      <c r="D234" s="1099"/>
      <c r="E234" s="1099"/>
      <c r="F234" s="1099"/>
      <c r="G234" s="1099"/>
      <c r="H234" s="1099"/>
      <c r="I234" s="1099"/>
      <c r="J234" s="1099"/>
      <c r="K234" s="1099"/>
      <c r="L234" s="1099"/>
      <c r="M234" s="1099"/>
      <c r="N234" s="1099"/>
      <c r="O234" s="1099"/>
    </row>
    <row r="235" spans="1:15" ht="14.4">
      <c r="A235" s="1099"/>
      <c r="B235" s="1099"/>
      <c r="C235" s="1099"/>
      <c r="D235" s="1099"/>
      <c r="E235" s="1099"/>
      <c r="F235" s="1099"/>
      <c r="G235" s="1099"/>
      <c r="H235" s="1099"/>
      <c r="I235" s="1099"/>
      <c r="J235" s="1099"/>
      <c r="K235" s="1099"/>
      <c r="L235" s="1099"/>
      <c r="M235" s="1099"/>
      <c r="N235" s="1099"/>
      <c r="O235" s="1099"/>
    </row>
    <row r="236" spans="1:15" ht="14.4">
      <c r="A236" s="1099"/>
      <c r="B236" s="1099"/>
      <c r="C236" s="1099"/>
      <c r="D236" s="1099"/>
      <c r="E236" s="1099"/>
      <c r="F236" s="1099"/>
      <c r="G236" s="1099"/>
      <c r="H236" s="1099"/>
      <c r="I236" s="1099"/>
      <c r="J236" s="1099"/>
      <c r="K236" s="1099"/>
      <c r="L236" s="1099"/>
      <c r="M236" s="1099"/>
      <c r="N236" s="1099"/>
      <c r="O236" s="1099"/>
    </row>
    <row r="237" spans="1:15" ht="14.4">
      <c r="A237" s="1099"/>
      <c r="B237" s="1099"/>
      <c r="C237" s="1099"/>
      <c r="D237" s="1099"/>
      <c r="E237" s="1099"/>
      <c r="F237" s="1099"/>
      <c r="G237" s="1099"/>
      <c r="H237" s="1099"/>
      <c r="I237" s="1099"/>
      <c r="J237" s="1099"/>
      <c r="K237" s="1099"/>
      <c r="L237" s="1099"/>
      <c r="M237" s="1099"/>
      <c r="N237" s="1099"/>
      <c r="O237" s="1099"/>
    </row>
    <row r="238" spans="1:15" ht="14.4">
      <c r="A238" s="1099"/>
      <c r="B238" s="1099"/>
      <c r="C238" s="1099"/>
      <c r="D238" s="1099"/>
      <c r="E238" s="1099"/>
      <c r="F238" s="1099"/>
      <c r="G238" s="1099"/>
      <c r="H238" s="1099"/>
      <c r="I238" s="1099"/>
      <c r="J238" s="1099"/>
      <c r="K238" s="1099"/>
      <c r="L238" s="1099"/>
      <c r="M238" s="1099"/>
      <c r="N238" s="1099"/>
      <c r="O238" s="1099"/>
    </row>
    <row r="239" spans="1:15" ht="14.4">
      <c r="A239" s="1099"/>
      <c r="B239" s="1099"/>
      <c r="C239" s="1099"/>
      <c r="D239" s="1099"/>
      <c r="E239" s="1099"/>
      <c r="F239" s="1099"/>
      <c r="G239" s="1099"/>
      <c r="H239" s="1099"/>
      <c r="I239" s="1099"/>
      <c r="J239" s="1099"/>
      <c r="K239" s="1099"/>
      <c r="L239" s="1099"/>
      <c r="M239" s="1099"/>
      <c r="N239" s="1099"/>
      <c r="O239" s="1099"/>
    </row>
    <row r="240" spans="1:15" ht="14.4">
      <c r="A240" s="1099"/>
      <c r="B240" s="1099"/>
      <c r="C240" s="1099"/>
      <c r="D240" s="1099"/>
      <c r="E240" s="1099"/>
      <c r="F240" s="1099"/>
      <c r="G240" s="1099"/>
      <c r="H240" s="1099"/>
      <c r="I240" s="1099"/>
      <c r="J240" s="1099"/>
      <c r="K240" s="1099"/>
      <c r="L240" s="1099"/>
      <c r="M240" s="1099"/>
      <c r="N240" s="1099"/>
      <c r="O240" s="1099"/>
    </row>
    <row r="241" spans="1:15" ht="14.4">
      <c r="A241" s="1099"/>
      <c r="B241" s="1099"/>
      <c r="C241" s="1099"/>
      <c r="D241" s="1099"/>
      <c r="E241" s="1099"/>
      <c r="F241" s="1099"/>
      <c r="G241" s="1099"/>
      <c r="H241" s="1099"/>
      <c r="I241" s="1099"/>
      <c r="J241" s="1099"/>
      <c r="K241" s="1099"/>
      <c r="L241" s="1099"/>
      <c r="M241" s="1099"/>
      <c r="N241" s="1099"/>
      <c r="O241" s="1099"/>
    </row>
    <row r="242" spans="1:15" ht="14.4">
      <c r="A242" s="1099"/>
      <c r="B242" s="1099"/>
      <c r="C242" s="1099"/>
      <c r="D242" s="1099"/>
      <c r="E242" s="1099"/>
      <c r="F242" s="1099"/>
      <c r="G242" s="1099"/>
      <c r="H242" s="1099"/>
      <c r="I242" s="1099"/>
      <c r="J242" s="1099"/>
      <c r="K242" s="1099"/>
      <c r="L242" s="1099"/>
      <c r="M242" s="1099"/>
      <c r="N242" s="1099"/>
      <c r="O242" s="1099"/>
    </row>
    <row r="243" spans="1:15" ht="14.4">
      <c r="A243" s="1099"/>
      <c r="B243" s="1099"/>
      <c r="C243" s="1099"/>
      <c r="D243" s="1099"/>
      <c r="E243" s="1099"/>
      <c r="F243" s="1099"/>
      <c r="G243" s="1099"/>
      <c r="H243" s="1099"/>
      <c r="I243" s="1099"/>
      <c r="J243" s="1099"/>
      <c r="K243" s="1099"/>
      <c r="L243" s="1099"/>
      <c r="M243" s="1099"/>
      <c r="N243" s="1099"/>
      <c r="O243" s="1099"/>
    </row>
    <row r="244" spans="1:15" ht="14.4">
      <c r="A244" s="1099"/>
      <c r="B244" s="1099"/>
      <c r="C244" s="1099"/>
      <c r="D244" s="1099"/>
      <c r="E244" s="1099"/>
      <c r="F244" s="1099"/>
      <c r="G244" s="1099"/>
      <c r="H244" s="1099"/>
      <c r="I244" s="1099"/>
      <c r="J244" s="1099"/>
      <c r="K244" s="1099"/>
      <c r="L244" s="1099"/>
      <c r="M244" s="1099"/>
      <c r="N244" s="1099"/>
      <c r="O244" s="1099"/>
    </row>
    <row r="245" spans="1:15" ht="14.4">
      <c r="A245" s="1099"/>
      <c r="B245" s="1099"/>
      <c r="C245" s="1099"/>
      <c r="D245" s="1099"/>
      <c r="E245" s="1099"/>
      <c r="F245" s="1099"/>
      <c r="G245" s="1099"/>
      <c r="H245" s="1099"/>
      <c r="I245" s="1099"/>
      <c r="J245" s="1099"/>
      <c r="K245" s="1099"/>
      <c r="L245" s="1099"/>
      <c r="M245" s="1099"/>
      <c r="N245" s="1099"/>
      <c r="O245" s="1099"/>
    </row>
    <row r="246" spans="1:15" ht="14.4">
      <c r="A246" s="1099"/>
      <c r="B246" s="1099"/>
      <c r="C246" s="1099"/>
      <c r="D246" s="1099"/>
      <c r="E246" s="1099"/>
      <c r="F246" s="1099"/>
      <c r="G246" s="1099"/>
      <c r="H246" s="1099"/>
      <c r="I246" s="1099"/>
      <c r="J246" s="1099"/>
      <c r="K246" s="1099"/>
      <c r="L246" s="1099"/>
      <c r="M246" s="1099"/>
      <c r="N246" s="1099"/>
      <c r="O246" s="1099"/>
    </row>
    <row r="247" spans="1:15" ht="14.4">
      <c r="A247" s="1099"/>
      <c r="B247" s="1099"/>
      <c r="C247" s="1099"/>
      <c r="D247" s="1099"/>
      <c r="E247" s="1099"/>
      <c r="F247" s="1099"/>
      <c r="G247" s="1099"/>
      <c r="H247" s="1099"/>
      <c r="I247" s="1099"/>
      <c r="J247" s="1099"/>
      <c r="K247" s="1099"/>
      <c r="L247" s="1099"/>
      <c r="M247" s="1099"/>
      <c r="N247" s="1099"/>
      <c r="O247" s="1099"/>
    </row>
    <row r="248" spans="1:15" ht="14.4">
      <c r="A248" s="1099"/>
      <c r="B248" s="1099"/>
      <c r="C248" s="1099"/>
      <c r="D248" s="1099"/>
      <c r="E248" s="1099"/>
      <c r="F248" s="1099"/>
      <c r="G248" s="1099"/>
      <c r="H248" s="1099"/>
      <c r="I248" s="1099"/>
      <c r="J248" s="1099"/>
      <c r="K248" s="1099"/>
      <c r="L248" s="1099"/>
      <c r="M248" s="1099"/>
      <c r="N248" s="1099"/>
      <c r="O248" s="1099"/>
    </row>
    <row r="249" spans="1:15" ht="14.4">
      <c r="A249" s="1099"/>
      <c r="B249" s="1099"/>
      <c r="C249" s="1099"/>
      <c r="D249" s="1099"/>
      <c r="E249" s="1099"/>
      <c r="F249" s="1099"/>
      <c r="G249" s="1099"/>
      <c r="H249" s="1099"/>
      <c r="I249" s="1099"/>
      <c r="J249" s="1099"/>
      <c r="K249" s="1099"/>
      <c r="L249" s="1099"/>
      <c r="M249" s="1099"/>
      <c r="N249" s="1099"/>
      <c r="O249" s="1099"/>
    </row>
    <row r="250" spans="1:15" ht="14.4">
      <c r="A250" s="1099"/>
      <c r="B250" s="1099"/>
      <c r="C250" s="1099"/>
      <c r="D250" s="1099"/>
      <c r="E250" s="1099"/>
      <c r="F250" s="1099"/>
      <c r="G250" s="1099"/>
      <c r="H250" s="1099"/>
      <c r="I250" s="1099"/>
      <c r="J250" s="1099"/>
      <c r="K250" s="1099"/>
      <c r="L250" s="1099"/>
      <c r="M250" s="1099"/>
      <c r="N250" s="1099"/>
      <c r="O250" s="1099"/>
    </row>
    <row r="251" spans="1:15" ht="14.4">
      <c r="A251" s="1099"/>
      <c r="B251" s="1099"/>
      <c r="C251" s="1099"/>
      <c r="D251" s="1099"/>
      <c r="E251" s="1099"/>
      <c r="F251" s="1099"/>
      <c r="G251" s="1099"/>
      <c r="H251" s="1099"/>
      <c r="I251" s="1099"/>
      <c r="J251" s="1099"/>
      <c r="K251" s="1099"/>
      <c r="L251" s="1099"/>
      <c r="M251" s="1099"/>
      <c r="N251" s="1099"/>
      <c r="O251" s="1099"/>
    </row>
    <row r="252" spans="1:15" ht="14.4">
      <c r="A252" s="1099"/>
      <c r="B252" s="1099"/>
      <c r="C252" s="1099"/>
      <c r="D252" s="1099"/>
      <c r="E252" s="1099"/>
      <c r="F252" s="1099"/>
      <c r="G252" s="1099"/>
      <c r="H252" s="1099"/>
      <c r="I252" s="1099"/>
      <c r="J252" s="1099"/>
      <c r="K252" s="1099"/>
      <c r="L252" s="1099"/>
      <c r="M252" s="1099"/>
      <c r="N252" s="1099"/>
      <c r="O252" s="1099"/>
    </row>
    <row r="253" spans="1:15" ht="14.4">
      <c r="A253" s="1099"/>
      <c r="B253" s="1099"/>
      <c r="C253" s="1099"/>
      <c r="D253" s="1099"/>
      <c r="E253" s="1099"/>
      <c r="F253" s="1099"/>
      <c r="G253" s="1099"/>
      <c r="H253" s="1099"/>
      <c r="I253" s="1099"/>
      <c r="J253" s="1099"/>
      <c r="K253" s="1099"/>
      <c r="L253" s="1099"/>
      <c r="M253" s="1099"/>
      <c r="N253" s="1099"/>
      <c r="O253" s="1099"/>
    </row>
    <row r="254" spans="1:15" ht="14.4">
      <c r="A254" s="1099"/>
      <c r="B254" s="1099"/>
      <c r="C254" s="1099"/>
      <c r="D254" s="1099"/>
      <c r="E254" s="1099"/>
      <c r="F254" s="1099"/>
      <c r="G254" s="1099"/>
      <c r="H254" s="1099"/>
      <c r="I254" s="1099"/>
      <c r="J254" s="1099"/>
      <c r="K254" s="1099"/>
      <c r="L254" s="1099"/>
      <c r="M254" s="1099"/>
      <c r="N254" s="1099"/>
      <c r="O254" s="1099"/>
    </row>
    <row r="255" spans="1:15" ht="14.4">
      <c r="A255" s="1099"/>
      <c r="B255" s="1099"/>
      <c r="C255" s="1099"/>
      <c r="D255" s="1099"/>
      <c r="E255" s="1099"/>
      <c r="F255" s="1099"/>
      <c r="G255" s="1099"/>
      <c r="H255" s="1099"/>
      <c r="I255" s="1099"/>
      <c r="J255" s="1099"/>
      <c r="K255" s="1099"/>
      <c r="L255" s="1099"/>
      <c r="M255" s="1099"/>
      <c r="N255" s="1099"/>
      <c r="O255" s="1099"/>
    </row>
    <row r="256" spans="1:15" ht="14.4">
      <c r="A256" s="1099"/>
      <c r="B256" s="1099"/>
      <c r="C256" s="1099"/>
      <c r="D256" s="1099"/>
      <c r="E256" s="1099"/>
      <c r="F256" s="1099"/>
      <c r="G256" s="1099"/>
      <c r="H256" s="1099"/>
      <c r="I256" s="1099"/>
      <c r="J256" s="1099"/>
      <c r="K256" s="1099"/>
      <c r="L256" s="1099"/>
      <c r="M256" s="1099"/>
      <c r="N256" s="1099"/>
      <c r="O256" s="1099"/>
    </row>
    <row r="257" spans="1:15" ht="14.4">
      <c r="A257" s="1099"/>
      <c r="B257" s="1099"/>
      <c r="C257" s="1099"/>
      <c r="D257" s="1099"/>
      <c r="E257" s="1099"/>
      <c r="F257" s="1099"/>
      <c r="G257" s="1099"/>
      <c r="H257" s="1099"/>
      <c r="I257" s="1099"/>
      <c r="J257" s="1099"/>
      <c r="K257" s="1099"/>
      <c r="L257" s="1099"/>
      <c r="M257" s="1099"/>
      <c r="N257" s="1099"/>
      <c r="O257" s="1099"/>
    </row>
    <row r="258" spans="1:15" ht="14.4">
      <c r="A258" s="1099"/>
      <c r="B258" s="1099"/>
      <c r="C258" s="1099"/>
      <c r="D258" s="1099"/>
      <c r="E258" s="1099"/>
      <c r="F258" s="1099"/>
      <c r="G258" s="1099"/>
      <c r="H258" s="1099"/>
      <c r="I258" s="1099"/>
      <c r="J258" s="1099"/>
      <c r="K258" s="1099"/>
      <c r="L258" s="1099"/>
      <c r="M258" s="1099"/>
      <c r="N258" s="1099"/>
      <c r="O258" s="1099"/>
    </row>
    <row r="259" spans="1:15" ht="14.4">
      <c r="A259" s="1099"/>
      <c r="B259" s="1099"/>
      <c r="C259" s="1099"/>
      <c r="D259" s="1099"/>
      <c r="E259" s="1099"/>
      <c r="F259" s="1099"/>
      <c r="G259" s="1099"/>
      <c r="H259" s="1099"/>
      <c r="I259" s="1099"/>
      <c r="J259" s="1099"/>
      <c r="K259" s="1099"/>
      <c r="L259" s="1099"/>
      <c r="M259" s="1099"/>
      <c r="N259" s="1099"/>
      <c r="O259" s="1099"/>
    </row>
    <row r="260" spans="1:15" ht="14.4">
      <c r="A260" s="1099"/>
      <c r="B260" s="1099"/>
      <c r="C260" s="1099"/>
      <c r="D260" s="1099"/>
      <c r="E260" s="1099"/>
      <c r="F260" s="1099"/>
      <c r="G260" s="1099"/>
      <c r="H260" s="1099"/>
      <c r="I260" s="1099"/>
      <c r="J260" s="1099"/>
      <c r="K260" s="1099"/>
      <c r="L260" s="1099"/>
      <c r="M260" s="1099"/>
      <c r="N260" s="1099"/>
      <c r="O260" s="1099"/>
    </row>
    <row r="261" spans="1:15" ht="14.4">
      <c r="A261" s="1099"/>
      <c r="B261" s="1099"/>
      <c r="C261" s="1099"/>
      <c r="D261" s="1099"/>
      <c r="E261" s="1099"/>
      <c r="F261" s="1099"/>
      <c r="G261" s="1099"/>
      <c r="H261" s="1099"/>
      <c r="I261" s="1099"/>
      <c r="J261" s="1099"/>
      <c r="K261" s="1099"/>
      <c r="L261" s="1099"/>
      <c r="M261" s="1099"/>
      <c r="N261" s="1099"/>
      <c r="O261" s="1099"/>
    </row>
    <row r="262" spans="1:15" ht="14.4">
      <c r="A262" s="1099"/>
      <c r="B262" s="1099"/>
      <c r="C262" s="1099"/>
      <c r="D262" s="1099"/>
      <c r="E262" s="1099"/>
      <c r="F262" s="1099"/>
      <c r="G262" s="1099"/>
      <c r="H262" s="1099"/>
      <c r="I262" s="1099"/>
      <c r="J262" s="1099"/>
      <c r="K262" s="1099"/>
      <c r="L262" s="1099"/>
      <c r="M262" s="1099"/>
      <c r="N262" s="1099"/>
      <c r="O262" s="1099"/>
    </row>
    <row r="263" spans="1:15" ht="14.4">
      <c r="A263" s="1099"/>
      <c r="B263" s="1099"/>
      <c r="C263" s="1099"/>
      <c r="D263" s="1099"/>
      <c r="E263" s="1099"/>
      <c r="F263" s="1099"/>
      <c r="G263" s="1099"/>
      <c r="H263" s="1099"/>
      <c r="I263" s="1099"/>
      <c r="J263" s="1099"/>
      <c r="K263" s="1099"/>
      <c r="L263" s="1099"/>
      <c r="M263" s="1099"/>
      <c r="N263" s="1099"/>
      <c r="O263" s="1099"/>
    </row>
    <row r="264" spans="1:15" ht="14.4">
      <c r="A264" s="1099"/>
      <c r="B264" s="1099"/>
      <c r="C264" s="1099"/>
      <c r="D264" s="1099"/>
      <c r="E264" s="1099"/>
      <c r="F264" s="1099"/>
      <c r="G264" s="1099"/>
      <c r="H264" s="1099"/>
      <c r="I264" s="1099"/>
      <c r="J264" s="1099"/>
      <c r="K264" s="1099"/>
      <c r="L264" s="1099"/>
      <c r="M264" s="1099"/>
      <c r="N264" s="1099"/>
      <c r="O264" s="1099"/>
    </row>
    <row r="265" spans="1:15" ht="14.4">
      <c r="A265" s="1099"/>
      <c r="B265" s="1099"/>
      <c r="C265" s="1099"/>
      <c r="D265" s="1099"/>
      <c r="E265" s="1099"/>
      <c r="F265" s="1099"/>
      <c r="G265" s="1099"/>
      <c r="H265" s="1099"/>
      <c r="I265" s="1099"/>
      <c r="J265" s="1099"/>
      <c r="K265" s="1099"/>
      <c r="L265" s="1099"/>
      <c r="M265" s="1099"/>
      <c r="N265" s="1099"/>
      <c r="O265" s="1099"/>
    </row>
    <row r="266" spans="1:15" ht="14.4">
      <c r="A266" s="1099"/>
      <c r="B266" s="1099"/>
      <c r="C266" s="1099"/>
      <c r="D266" s="1099"/>
      <c r="E266" s="1099"/>
      <c r="F266" s="1099"/>
      <c r="G266" s="1099"/>
      <c r="H266" s="1099"/>
      <c r="I266" s="1099"/>
      <c r="J266" s="1099"/>
      <c r="K266" s="1099"/>
      <c r="L266" s="1099"/>
      <c r="M266" s="1099"/>
      <c r="N266" s="1099"/>
      <c r="O266" s="1099"/>
    </row>
    <row r="267" spans="1:15" ht="14.4">
      <c r="A267" s="1099"/>
      <c r="B267" s="1099"/>
      <c r="C267" s="1099"/>
      <c r="D267" s="1099"/>
      <c r="E267" s="1099"/>
      <c r="F267" s="1099"/>
      <c r="G267" s="1099"/>
      <c r="H267" s="1099"/>
      <c r="I267" s="1099"/>
      <c r="J267" s="1099"/>
      <c r="K267" s="1099"/>
      <c r="L267" s="1099"/>
      <c r="M267" s="1099"/>
      <c r="N267" s="1099"/>
      <c r="O267" s="1099"/>
    </row>
    <row r="268" spans="1:15" ht="14.4">
      <c r="A268" s="1099"/>
      <c r="B268" s="1099"/>
      <c r="C268" s="1099"/>
      <c r="D268" s="1099"/>
      <c r="E268" s="1099"/>
      <c r="F268" s="1099"/>
      <c r="G268" s="1099"/>
      <c r="H268" s="1099"/>
      <c r="I268" s="1099"/>
      <c r="J268" s="1099"/>
      <c r="K268" s="1099"/>
      <c r="L268" s="1099"/>
      <c r="M268" s="1099"/>
      <c r="N268" s="1099"/>
      <c r="O268" s="1099"/>
    </row>
    <row r="269" spans="1:15" ht="14.4">
      <c r="A269" s="1099"/>
      <c r="B269" s="1099"/>
      <c r="C269" s="1099"/>
      <c r="D269" s="1099"/>
      <c r="E269" s="1099"/>
      <c r="F269" s="1099"/>
      <c r="G269" s="1099"/>
      <c r="H269" s="1099"/>
      <c r="I269" s="1099"/>
      <c r="J269" s="1099"/>
      <c r="K269" s="1099"/>
      <c r="L269" s="1099"/>
      <c r="M269" s="1099"/>
      <c r="N269" s="1099"/>
      <c r="O269" s="1099"/>
    </row>
    <row r="270" spans="1:15" ht="14.4">
      <c r="A270" s="1099"/>
      <c r="B270" s="1099"/>
      <c r="C270" s="1099"/>
      <c r="D270" s="1099"/>
      <c r="E270" s="1099"/>
      <c r="F270" s="1099"/>
      <c r="G270" s="1099"/>
      <c r="H270" s="1099"/>
      <c r="I270" s="1099"/>
      <c r="J270" s="1099"/>
      <c r="K270" s="1099"/>
      <c r="L270" s="1099"/>
      <c r="M270" s="1099"/>
      <c r="N270" s="1099"/>
      <c r="O270" s="1099"/>
    </row>
    <row r="271" spans="1:15" ht="14.4">
      <c r="A271" s="1099"/>
      <c r="B271" s="1099"/>
      <c r="C271" s="1099"/>
      <c r="D271" s="1099"/>
      <c r="E271" s="1099"/>
      <c r="F271" s="1099"/>
      <c r="G271" s="1099"/>
      <c r="H271" s="1099"/>
      <c r="I271" s="1099"/>
      <c r="J271" s="1099"/>
      <c r="K271" s="1099"/>
      <c r="L271" s="1099"/>
      <c r="M271" s="1099"/>
      <c r="N271" s="1099"/>
      <c r="O271" s="1099"/>
    </row>
    <row r="272" spans="1:15" ht="14.4">
      <c r="A272" s="1099"/>
      <c r="B272" s="1099"/>
      <c r="C272" s="1099"/>
      <c r="D272" s="1099"/>
      <c r="E272" s="1099"/>
      <c r="F272" s="1099"/>
      <c r="G272" s="1099"/>
      <c r="H272" s="1099"/>
      <c r="I272" s="1099"/>
      <c r="J272" s="1099"/>
      <c r="K272" s="1099"/>
      <c r="L272" s="1099"/>
      <c r="M272" s="1099"/>
      <c r="N272" s="1099"/>
      <c r="O272" s="1099"/>
    </row>
    <row r="273" spans="1:15" ht="14.4">
      <c r="A273" s="1099"/>
      <c r="B273" s="1099"/>
      <c r="C273" s="1099"/>
      <c r="D273" s="1099"/>
      <c r="E273" s="1099"/>
      <c r="F273" s="1099"/>
      <c r="G273" s="1099"/>
      <c r="H273" s="1099"/>
      <c r="I273" s="1099"/>
      <c r="J273" s="1099"/>
      <c r="K273" s="1099"/>
      <c r="L273" s="1099"/>
      <c r="M273" s="1099"/>
      <c r="N273" s="1099"/>
      <c r="O273" s="1099"/>
    </row>
    <row r="274" spans="1:15" ht="14.4">
      <c r="A274" s="1099"/>
      <c r="B274" s="1099"/>
      <c r="C274" s="1099"/>
      <c r="D274" s="1099"/>
      <c r="E274" s="1099"/>
      <c r="F274" s="1099"/>
      <c r="G274" s="1099"/>
      <c r="H274" s="1099"/>
      <c r="I274" s="1099"/>
      <c r="J274" s="1099"/>
      <c r="K274" s="1099"/>
      <c r="L274" s="1099"/>
      <c r="M274" s="1099"/>
      <c r="N274" s="1099"/>
      <c r="O274" s="1099"/>
    </row>
    <row r="275" spans="1:15" ht="14.4">
      <c r="A275" s="1099"/>
      <c r="B275" s="1099"/>
      <c r="C275" s="1099"/>
      <c r="D275" s="1099"/>
      <c r="E275" s="1099"/>
      <c r="F275" s="1099"/>
      <c r="G275" s="1099"/>
      <c r="H275" s="1099"/>
      <c r="I275" s="1099"/>
      <c r="J275" s="1099"/>
      <c r="K275" s="1099"/>
      <c r="L275" s="1099"/>
      <c r="M275" s="1099"/>
      <c r="N275" s="1099"/>
      <c r="O275" s="1099"/>
    </row>
    <row r="276" spans="1:15" ht="14.4">
      <c r="A276" s="1099"/>
      <c r="B276" s="1099"/>
      <c r="C276" s="1099"/>
      <c r="D276" s="1099"/>
      <c r="E276" s="1099"/>
      <c r="F276" s="1099"/>
      <c r="G276" s="1099"/>
      <c r="H276" s="1099"/>
      <c r="I276" s="1099"/>
      <c r="J276" s="1099"/>
      <c r="K276" s="1099"/>
      <c r="L276" s="1099"/>
      <c r="M276" s="1099"/>
      <c r="N276" s="1099"/>
      <c r="O276" s="1099"/>
    </row>
    <row r="277" spans="1:15" ht="14.4">
      <c r="A277" s="1099"/>
      <c r="B277" s="1099"/>
      <c r="C277" s="1099"/>
      <c r="D277" s="1099"/>
      <c r="E277" s="1099"/>
      <c r="F277" s="1099"/>
      <c r="G277" s="1099"/>
      <c r="H277" s="1099"/>
      <c r="I277" s="1099"/>
      <c r="J277" s="1099"/>
      <c r="K277" s="1099"/>
      <c r="L277" s="1099"/>
      <c r="M277" s="1099"/>
      <c r="N277" s="1099"/>
      <c r="O277" s="1099"/>
    </row>
    <row r="278" spans="1:15" ht="14.4">
      <c r="A278" s="1099"/>
      <c r="B278" s="1099"/>
      <c r="C278" s="1099"/>
      <c r="D278" s="1099"/>
      <c r="E278" s="1099"/>
      <c r="F278" s="1099"/>
      <c r="G278" s="1099"/>
      <c r="H278" s="1099"/>
      <c r="I278" s="1099"/>
      <c r="J278" s="1099"/>
      <c r="K278" s="1099"/>
      <c r="L278" s="1099"/>
      <c r="M278" s="1099"/>
      <c r="N278" s="1099"/>
      <c r="O278" s="1099"/>
    </row>
    <row r="279" spans="1:15" ht="14.4">
      <c r="A279" s="1099"/>
      <c r="B279" s="1099"/>
      <c r="C279" s="1099"/>
      <c r="D279" s="1099"/>
      <c r="E279" s="1099"/>
      <c r="F279" s="1099"/>
      <c r="G279" s="1099"/>
      <c r="H279" s="1099"/>
      <c r="I279" s="1099"/>
      <c r="J279" s="1099"/>
      <c r="K279" s="1099"/>
      <c r="L279" s="1099"/>
      <c r="M279" s="1099"/>
      <c r="N279" s="1099"/>
      <c r="O279" s="1099"/>
    </row>
    <row r="280" spans="1:15" ht="14.4">
      <c r="A280" s="1099"/>
      <c r="B280" s="1099"/>
      <c r="C280" s="1099"/>
      <c r="D280" s="1099"/>
      <c r="E280" s="1099"/>
      <c r="F280" s="1099"/>
      <c r="G280" s="1099"/>
      <c r="H280" s="1099"/>
      <c r="I280" s="1099"/>
      <c r="J280" s="1099"/>
      <c r="K280" s="1099"/>
      <c r="L280" s="1099"/>
      <c r="M280" s="1099"/>
      <c r="N280" s="1099"/>
      <c r="O280" s="1099"/>
    </row>
    <row r="281" spans="1:15" ht="14.4">
      <c r="A281" s="1099"/>
      <c r="B281" s="1099"/>
      <c r="C281" s="1099"/>
      <c r="D281" s="1099"/>
      <c r="E281" s="1099"/>
      <c r="F281" s="1099"/>
      <c r="G281" s="1099"/>
      <c r="H281" s="1099"/>
      <c r="I281" s="1099"/>
      <c r="J281" s="1099"/>
      <c r="K281" s="1099"/>
      <c r="L281" s="1099"/>
      <c r="M281" s="1099"/>
      <c r="N281" s="1099"/>
      <c r="O281" s="1099"/>
    </row>
    <row r="282" spans="1:15" ht="14.4">
      <c r="A282" s="1099"/>
      <c r="B282" s="1099"/>
      <c r="C282" s="1099"/>
      <c r="D282" s="1099"/>
      <c r="E282" s="1099"/>
      <c r="F282" s="1099"/>
      <c r="G282" s="1099"/>
      <c r="H282" s="1099"/>
      <c r="I282" s="1099"/>
      <c r="J282" s="1099"/>
      <c r="K282" s="1099"/>
      <c r="L282" s="1099"/>
      <c r="M282" s="1099"/>
      <c r="N282" s="1099"/>
      <c r="O282" s="1099"/>
    </row>
    <row r="283" spans="1:15" ht="14.4">
      <c r="A283" s="1099"/>
      <c r="B283" s="1099"/>
      <c r="C283" s="1099"/>
      <c r="D283" s="1099"/>
      <c r="E283" s="1099"/>
      <c r="F283" s="1099"/>
      <c r="G283" s="1099"/>
      <c r="H283" s="1099"/>
      <c r="I283" s="1099"/>
      <c r="J283" s="1099"/>
      <c r="K283" s="1099"/>
      <c r="L283" s="1099"/>
      <c r="M283" s="1099"/>
      <c r="N283" s="1099"/>
      <c r="O283" s="1099"/>
    </row>
    <row r="284" spans="1:15" ht="14.4">
      <c r="A284" s="1099"/>
      <c r="B284" s="1099"/>
      <c r="C284" s="1099"/>
      <c r="D284" s="1099"/>
      <c r="E284" s="1099"/>
      <c r="F284" s="1099"/>
      <c r="G284" s="1099"/>
      <c r="H284" s="1099"/>
      <c r="I284" s="1099"/>
      <c r="J284" s="1099"/>
      <c r="K284" s="1099"/>
      <c r="L284" s="1099"/>
      <c r="M284" s="1099"/>
      <c r="N284" s="1099"/>
      <c r="O284" s="1099"/>
    </row>
    <row r="285" spans="1:15" ht="14.4">
      <c r="A285" s="1099"/>
      <c r="B285" s="1099"/>
      <c r="C285" s="1099"/>
      <c r="D285" s="1099"/>
      <c r="E285" s="1099"/>
      <c r="F285" s="1099"/>
      <c r="G285" s="1099"/>
      <c r="H285" s="1099"/>
      <c r="I285" s="1099"/>
      <c r="J285" s="1099"/>
      <c r="K285" s="1099"/>
      <c r="L285" s="1099"/>
      <c r="M285" s="1099"/>
      <c r="N285" s="1099"/>
      <c r="O285" s="1099"/>
    </row>
    <row r="286" spans="1:15" ht="14.4">
      <c r="A286" s="1099"/>
      <c r="B286" s="1099"/>
      <c r="C286" s="1099"/>
      <c r="D286" s="1099"/>
      <c r="E286" s="1099"/>
      <c r="F286" s="1099"/>
      <c r="G286" s="1099"/>
      <c r="H286" s="1099"/>
      <c r="I286" s="1099"/>
      <c r="J286" s="1099"/>
      <c r="K286" s="1099"/>
      <c r="L286" s="1099"/>
      <c r="M286" s="1099"/>
      <c r="N286" s="1099"/>
      <c r="O286" s="1099"/>
    </row>
    <row r="287" spans="1:15" ht="14.4">
      <c r="A287" s="1099"/>
      <c r="B287" s="1099"/>
      <c r="C287" s="1099"/>
      <c r="D287" s="1099"/>
      <c r="E287" s="1099"/>
      <c r="F287" s="1099"/>
      <c r="G287" s="1099"/>
      <c r="H287" s="1099"/>
      <c r="I287" s="1099"/>
      <c r="J287" s="1099"/>
      <c r="K287" s="1099"/>
      <c r="L287" s="1099"/>
      <c r="M287" s="1099"/>
      <c r="N287" s="1099"/>
      <c r="O287" s="1099"/>
    </row>
    <row r="288" spans="1:15" ht="14.4">
      <c r="A288" s="1099"/>
      <c r="B288" s="1099"/>
      <c r="C288" s="1099"/>
      <c r="D288" s="1099"/>
      <c r="E288" s="1099"/>
      <c r="F288" s="1099"/>
      <c r="G288" s="1099"/>
      <c r="H288" s="1099"/>
      <c r="I288" s="1099"/>
      <c r="J288" s="1099"/>
      <c r="K288" s="1099"/>
      <c r="L288" s="1099"/>
      <c r="M288" s="1099"/>
      <c r="N288" s="1099"/>
      <c r="O288" s="1099"/>
    </row>
    <row r="289" spans="1:15" ht="14.4">
      <c r="A289" s="1099"/>
      <c r="B289" s="1099"/>
      <c r="C289" s="1099"/>
      <c r="D289" s="1099"/>
      <c r="E289" s="1099"/>
      <c r="F289" s="1099"/>
      <c r="G289" s="1099"/>
      <c r="H289" s="1099"/>
      <c r="I289" s="1099"/>
      <c r="J289" s="1099"/>
      <c r="K289" s="1099"/>
      <c r="L289" s="1099"/>
      <c r="M289" s="1099"/>
      <c r="N289" s="1099"/>
      <c r="O289" s="1099"/>
    </row>
    <row r="290" spans="1:15" ht="14.4">
      <c r="A290" s="1099"/>
      <c r="B290" s="1099"/>
      <c r="C290" s="1099"/>
      <c r="D290" s="1099"/>
      <c r="E290" s="1099"/>
      <c r="F290" s="1099"/>
      <c r="G290" s="1099"/>
      <c r="H290" s="1099"/>
      <c r="I290" s="1099"/>
      <c r="J290" s="1099"/>
      <c r="K290" s="1099"/>
      <c r="L290" s="1099"/>
      <c r="M290" s="1099"/>
      <c r="N290" s="1099"/>
      <c r="O290" s="1099"/>
    </row>
    <row r="291" spans="1:15" ht="14.4">
      <c r="A291" s="1099"/>
      <c r="B291" s="1099"/>
      <c r="C291" s="1099"/>
      <c r="D291" s="1099"/>
      <c r="E291" s="1099"/>
      <c r="F291" s="1099"/>
      <c r="G291" s="1099"/>
      <c r="H291" s="1099"/>
      <c r="I291" s="1099"/>
      <c r="J291" s="1099"/>
      <c r="K291" s="1099"/>
      <c r="L291" s="1099"/>
      <c r="M291" s="1099"/>
      <c r="N291" s="1099"/>
      <c r="O291" s="1099"/>
    </row>
    <row r="292" spans="1:15" ht="14.4">
      <c r="A292" s="1099"/>
      <c r="B292" s="1099"/>
      <c r="C292" s="1099"/>
      <c r="D292" s="1099"/>
      <c r="E292" s="1099"/>
      <c r="F292" s="1099"/>
      <c r="G292" s="1099"/>
      <c r="H292" s="1099"/>
      <c r="I292" s="1099"/>
      <c r="J292" s="1099"/>
      <c r="K292" s="1099"/>
      <c r="L292" s="1099"/>
      <c r="M292" s="1099"/>
      <c r="N292" s="1099"/>
      <c r="O292" s="1099"/>
    </row>
    <row r="293" spans="1:15" ht="14.4">
      <c r="A293" s="1099"/>
      <c r="B293" s="1099"/>
      <c r="C293" s="1099"/>
      <c r="D293" s="1099"/>
      <c r="E293" s="1099"/>
      <c r="F293" s="1099"/>
      <c r="G293" s="1099"/>
      <c r="H293" s="1099"/>
      <c r="I293" s="1099"/>
      <c r="J293" s="1099"/>
      <c r="K293" s="1099"/>
      <c r="L293" s="1099"/>
      <c r="M293" s="1099"/>
      <c r="N293" s="1099"/>
      <c r="O293" s="1099"/>
    </row>
    <row r="294" spans="1:15" ht="14.4">
      <c r="A294" s="1099"/>
      <c r="B294" s="1099"/>
      <c r="C294" s="1099"/>
      <c r="D294" s="1099"/>
      <c r="E294" s="1099"/>
      <c r="F294" s="1099"/>
      <c r="G294" s="1099"/>
      <c r="H294" s="1099"/>
      <c r="I294" s="1099"/>
      <c r="J294" s="1099"/>
      <c r="K294" s="1099"/>
      <c r="L294" s="1099"/>
      <c r="M294" s="1099"/>
      <c r="N294" s="1099"/>
      <c r="O294" s="1099"/>
    </row>
    <row r="295" spans="1:15" ht="14.4">
      <c r="A295" s="1099"/>
      <c r="B295" s="1099"/>
      <c r="C295" s="1099"/>
      <c r="D295" s="1099"/>
      <c r="E295" s="1099"/>
      <c r="F295" s="1099"/>
      <c r="G295" s="1099"/>
      <c r="H295" s="1099"/>
      <c r="I295" s="1099"/>
      <c r="J295" s="1099"/>
      <c r="K295" s="1099"/>
      <c r="L295" s="1099"/>
      <c r="M295" s="1099"/>
      <c r="N295" s="1099"/>
      <c r="O295" s="1099"/>
    </row>
    <row r="296" spans="1:15" ht="14.4">
      <c r="A296" s="1099"/>
      <c r="B296" s="1099"/>
      <c r="C296" s="1099"/>
      <c r="D296" s="1099"/>
      <c r="E296" s="1099"/>
      <c r="F296" s="1099"/>
      <c r="G296" s="1099"/>
      <c r="H296" s="1099"/>
      <c r="I296" s="1099"/>
      <c r="J296" s="1099"/>
      <c r="K296" s="1099"/>
      <c r="L296" s="1099"/>
      <c r="M296" s="1099"/>
      <c r="N296" s="1099"/>
      <c r="O296" s="1099"/>
    </row>
    <row r="297" spans="1:15" ht="14.4">
      <c r="A297" s="1099"/>
      <c r="B297" s="1099"/>
      <c r="C297" s="1099"/>
      <c r="D297" s="1099"/>
      <c r="E297" s="1099"/>
      <c r="F297" s="1099"/>
      <c r="G297" s="1099"/>
      <c r="H297" s="1099"/>
      <c r="I297" s="1099"/>
      <c r="J297" s="1099"/>
      <c r="K297" s="1099"/>
      <c r="L297" s="1099"/>
      <c r="M297" s="1099"/>
      <c r="N297" s="1099"/>
      <c r="O297" s="1099"/>
    </row>
    <row r="298" spans="1:15" ht="14.4">
      <c r="A298" s="1099"/>
      <c r="B298" s="1099"/>
      <c r="C298" s="1099"/>
      <c r="D298" s="1099"/>
      <c r="E298" s="1099"/>
      <c r="F298" s="1099"/>
      <c r="G298" s="1099"/>
      <c r="H298" s="1099"/>
      <c r="I298" s="1099"/>
      <c r="J298" s="1099"/>
      <c r="K298" s="1099"/>
      <c r="L298" s="1099"/>
      <c r="M298" s="1099"/>
      <c r="N298" s="1099"/>
      <c r="O298" s="1099"/>
    </row>
    <row r="299" spans="1:15" ht="14.4">
      <c r="A299" s="1099"/>
      <c r="B299" s="1099"/>
      <c r="C299" s="1099"/>
      <c r="D299" s="1099"/>
      <c r="E299" s="1099"/>
      <c r="F299" s="1099"/>
      <c r="G299" s="1099"/>
      <c r="H299" s="1099"/>
      <c r="I299" s="1099"/>
      <c r="J299" s="1099"/>
      <c r="K299" s="1099"/>
      <c r="L299" s="1099"/>
      <c r="M299" s="1099"/>
      <c r="N299" s="1099"/>
      <c r="O299" s="1099"/>
    </row>
    <row r="300" spans="1:15" ht="14.4">
      <c r="A300" s="1099"/>
      <c r="B300" s="1099"/>
      <c r="C300" s="1099"/>
      <c r="D300" s="1099"/>
      <c r="E300" s="1099"/>
      <c r="F300" s="1099"/>
      <c r="G300" s="1099"/>
      <c r="H300" s="1099"/>
      <c r="I300" s="1099"/>
      <c r="J300" s="1099"/>
      <c r="K300" s="1099"/>
      <c r="L300" s="1099"/>
      <c r="M300" s="1099"/>
      <c r="N300" s="1099"/>
      <c r="O300" s="1099"/>
    </row>
    <row r="301" spans="1:15" ht="14.4">
      <c r="A301" s="1099"/>
      <c r="B301" s="1099"/>
      <c r="C301" s="1099"/>
      <c r="D301" s="1099"/>
      <c r="E301" s="1099"/>
      <c r="F301" s="1099"/>
      <c r="G301" s="1099"/>
      <c r="H301" s="1099"/>
      <c r="I301" s="1099"/>
      <c r="J301" s="1099"/>
      <c r="K301" s="1099"/>
      <c r="L301" s="1099"/>
      <c r="M301" s="1099"/>
      <c r="N301" s="1099"/>
      <c r="O301" s="1099"/>
    </row>
    <row r="302" spans="1:15" ht="14.4">
      <c r="A302" s="1099"/>
      <c r="B302" s="1099"/>
      <c r="C302" s="1099"/>
      <c r="D302" s="1099"/>
      <c r="E302" s="1099"/>
      <c r="F302" s="1099"/>
      <c r="G302" s="1099"/>
      <c r="H302" s="1099"/>
      <c r="I302" s="1099"/>
      <c r="J302" s="1099"/>
      <c r="K302" s="1099"/>
      <c r="L302" s="1099"/>
      <c r="M302" s="1099"/>
      <c r="N302" s="1099"/>
      <c r="O302" s="1099"/>
    </row>
    <row r="303" spans="1:15" ht="14.4">
      <c r="A303" s="1099"/>
      <c r="B303" s="1099"/>
      <c r="C303" s="1099"/>
      <c r="D303" s="1099"/>
      <c r="E303" s="1099"/>
      <c r="F303" s="1099"/>
      <c r="G303" s="1099"/>
      <c r="H303" s="1099"/>
      <c r="I303" s="1099"/>
      <c r="J303" s="1099"/>
      <c r="K303" s="1099"/>
      <c r="L303" s="1099"/>
      <c r="M303" s="1099"/>
      <c r="N303" s="1099"/>
      <c r="O303" s="1099"/>
    </row>
    <row r="304" spans="1:15" ht="14.4">
      <c r="A304" s="1099"/>
      <c r="B304" s="1099"/>
      <c r="C304" s="1099"/>
      <c r="D304" s="1099"/>
      <c r="E304" s="1099"/>
      <c r="F304" s="1099"/>
      <c r="G304" s="1099"/>
      <c r="H304" s="1099"/>
      <c r="I304" s="1099"/>
      <c r="J304" s="1099"/>
      <c r="K304" s="1099"/>
      <c r="L304" s="1099"/>
      <c r="M304" s="1099"/>
      <c r="N304" s="1099"/>
      <c r="O304" s="1099"/>
    </row>
    <row r="305" spans="1:15" ht="14.4">
      <c r="A305" s="1099"/>
      <c r="B305" s="1099"/>
      <c r="C305" s="1099"/>
      <c r="D305" s="1099"/>
      <c r="E305" s="1099"/>
      <c r="F305" s="1099"/>
      <c r="G305" s="1099"/>
      <c r="H305" s="1099"/>
      <c r="I305" s="1099"/>
      <c r="J305" s="1099"/>
      <c r="K305" s="1099"/>
      <c r="L305" s="1099"/>
      <c r="M305" s="1099"/>
      <c r="N305" s="1099"/>
      <c r="O305" s="1099"/>
    </row>
    <row r="306" spans="1:15" ht="14.4">
      <c r="A306" s="1099"/>
      <c r="B306" s="1099"/>
      <c r="C306" s="1099"/>
      <c r="D306" s="1099"/>
      <c r="E306" s="1099"/>
      <c r="F306" s="1099"/>
      <c r="G306" s="1099"/>
      <c r="H306" s="1099"/>
      <c r="I306" s="1099"/>
      <c r="J306" s="1099"/>
      <c r="K306" s="1099"/>
      <c r="L306" s="1099"/>
      <c r="M306" s="1099"/>
      <c r="N306" s="1099"/>
      <c r="O306" s="1099"/>
    </row>
    <row r="307" spans="1:15" ht="14.4">
      <c r="A307" s="1099"/>
      <c r="B307" s="1099"/>
      <c r="C307" s="1099"/>
      <c r="D307" s="1099"/>
      <c r="E307" s="1099"/>
      <c r="F307" s="1099"/>
      <c r="G307" s="1099"/>
      <c r="H307" s="1099"/>
      <c r="I307" s="1099"/>
      <c r="J307" s="1099"/>
      <c r="K307" s="1099"/>
      <c r="L307" s="1099"/>
      <c r="M307" s="1099"/>
      <c r="N307" s="1099"/>
      <c r="O307" s="1099"/>
    </row>
    <row r="308" spans="1:15" ht="14.4">
      <c r="A308" s="1099"/>
      <c r="B308" s="1099"/>
      <c r="C308" s="1099"/>
      <c r="D308" s="1099"/>
      <c r="E308" s="1099"/>
      <c r="F308" s="1099"/>
      <c r="G308" s="1099"/>
      <c r="H308" s="1099"/>
      <c r="I308" s="1099"/>
      <c r="J308" s="1099"/>
      <c r="K308" s="1099"/>
      <c r="L308" s="1099"/>
      <c r="M308" s="1099"/>
      <c r="N308" s="1099"/>
      <c r="O308" s="1099"/>
    </row>
    <row r="309" spans="1:15" ht="14.4">
      <c r="A309" s="1099"/>
      <c r="B309" s="1099"/>
      <c r="C309" s="1099"/>
      <c r="D309" s="1099"/>
      <c r="E309" s="1099"/>
      <c r="F309" s="1099"/>
      <c r="G309" s="1099"/>
      <c r="H309" s="1099"/>
      <c r="I309" s="1099"/>
      <c r="J309" s="1099"/>
      <c r="K309" s="1099"/>
      <c r="L309" s="1099"/>
      <c r="M309" s="1099"/>
      <c r="N309" s="1099"/>
      <c r="O309" s="1099"/>
    </row>
    <row r="310" spans="1:15" ht="14.4">
      <c r="A310" s="1099"/>
      <c r="B310" s="1099"/>
      <c r="C310" s="1099"/>
      <c r="D310" s="1099"/>
      <c r="E310" s="1099"/>
      <c r="F310" s="1099"/>
      <c r="G310" s="1099"/>
      <c r="H310" s="1099"/>
      <c r="I310" s="1099"/>
      <c r="J310" s="1099"/>
      <c r="K310" s="1099"/>
      <c r="L310" s="1099"/>
      <c r="M310" s="1099"/>
      <c r="N310" s="1099"/>
      <c r="O310" s="1099"/>
    </row>
    <row r="311" spans="1:15" ht="14.4">
      <c r="A311" s="1099"/>
      <c r="B311" s="1099"/>
      <c r="C311" s="1099"/>
      <c r="D311" s="1099"/>
      <c r="E311" s="1099"/>
      <c r="F311" s="1099"/>
      <c r="G311" s="1099"/>
      <c r="H311" s="1099"/>
      <c r="I311" s="1099"/>
      <c r="J311" s="1099"/>
      <c r="K311" s="1099"/>
      <c r="L311" s="1099"/>
      <c r="M311" s="1099"/>
      <c r="N311" s="1099"/>
      <c r="O311" s="1099"/>
    </row>
    <row r="312" spans="1:15" ht="14.4">
      <c r="A312" s="1099"/>
      <c r="B312" s="1099"/>
      <c r="C312" s="1099"/>
      <c r="D312" s="1099"/>
      <c r="E312" s="1099"/>
      <c r="F312" s="1099"/>
      <c r="G312" s="1099"/>
      <c r="H312" s="1099"/>
      <c r="I312" s="1099"/>
      <c r="J312" s="1099"/>
      <c r="K312" s="1099"/>
      <c r="L312" s="1099"/>
      <c r="M312" s="1099"/>
      <c r="N312" s="1099"/>
      <c r="O312" s="1099"/>
    </row>
    <row r="313" spans="1:15" ht="14.4">
      <c r="A313" s="1099"/>
      <c r="B313" s="1099"/>
      <c r="C313" s="1099"/>
      <c r="D313" s="1099"/>
      <c r="E313" s="1099"/>
      <c r="F313" s="1099"/>
      <c r="G313" s="1099"/>
      <c r="H313" s="1099"/>
      <c r="I313" s="1099"/>
      <c r="J313" s="1099"/>
      <c r="K313" s="1099"/>
      <c r="L313" s="1099"/>
      <c r="M313" s="1099"/>
      <c r="N313" s="1099"/>
      <c r="O313" s="1099"/>
    </row>
    <row r="314" spans="1:15" ht="14.4">
      <c r="A314" s="1099"/>
      <c r="B314" s="1099"/>
      <c r="C314" s="1099"/>
      <c r="D314" s="1099"/>
      <c r="E314" s="1099"/>
      <c r="F314" s="1099"/>
      <c r="G314" s="1099"/>
      <c r="H314" s="1099"/>
      <c r="I314" s="1099"/>
      <c r="J314" s="1099"/>
      <c r="K314" s="1099"/>
      <c r="L314" s="1099"/>
      <c r="M314" s="1099"/>
      <c r="N314" s="1099"/>
      <c r="O314" s="1099"/>
    </row>
    <row r="315" spans="1:15" ht="14.4">
      <c r="A315" s="1099"/>
      <c r="B315" s="1099"/>
      <c r="C315" s="1099"/>
      <c r="D315" s="1099"/>
      <c r="E315" s="1099"/>
      <c r="F315" s="1099"/>
      <c r="G315" s="1099"/>
      <c r="H315" s="1099"/>
      <c r="I315" s="1099"/>
      <c r="J315" s="1099"/>
      <c r="K315" s="1099"/>
      <c r="L315" s="1099"/>
      <c r="M315" s="1099"/>
      <c r="N315" s="1099"/>
      <c r="O315" s="1099"/>
    </row>
    <row r="316" spans="1:15" ht="14.4">
      <c r="A316" s="1099"/>
      <c r="B316" s="1099"/>
      <c r="C316" s="1099"/>
      <c r="D316" s="1099"/>
      <c r="E316" s="1099"/>
      <c r="F316" s="1099"/>
      <c r="G316" s="1099"/>
      <c r="H316" s="1099"/>
      <c r="I316" s="1099"/>
      <c r="J316" s="1099"/>
      <c r="K316" s="1099"/>
      <c r="L316" s="1099"/>
      <c r="M316" s="1099"/>
      <c r="N316" s="1099"/>
      <c r="O316" s="1099"/>
    </row>
    <row r="317" spans="1:15" ht="14.4">
      <c r="A317" s="1099"/>
      <c r="B317" s="1099"/>
      <c r="C317" s="1099"/>
      <c r="D317" s="1099"/>
      <c r="E317" s="1099"/>
      <c r="F317" s="1099"/>
      <c r="G317" s="1099"/>
      <c r="H317" s="1099"/>
      <c r="I317" s="1099"/>
      <c r="J317" s="1099"/>
      <c r="K317" s="1099"/>
      <c r="L317" s="1099"/>
      <c r="M317" s="1099"/>
      <c r="N317" s="1099"/>
      <c r="O317" s="1099"/>
    </row>
    <row r="318" spans="1:15" ht="14.4">
      <c r="A318" s="1099"/>
      <c r="B318" s="1099"/>
      <c r="C318" s="1099"/>
      <c r="D318" s="1099"/>
      <c r="E318" s="1099"/>
      <c r="F318" s="1099"/>
      <c r="G318" s="1099"/>
      <c r="H318" s="1099"/>
      <c r="I318" s="1099"/>
      <c r="J318" s="1099"/>
      <c r="K318" s="1099"/>
      <c r="L318" s="1099"/>
      <c r="M318" s="1099"/>
      <c r="N318" s="1099"/>
      <c r="O318" s="1099"/>
    </row>
    <row r="319" spans="1:15" ht="14.4">
      <c r="A319" s="1099"/>
      <c r="B319" s="1099"/>
      <c r="C319" s="1099"/>
      <c r="D319" s="1099"/>
      <c r="E319" s="1099"/>
      <c r="F319" s="1099"/>
      <c r="G319" s="1099"/>
      <c r="H319" s="1099"/>
      <c r="I319" s="1099"/>
      <c r="J319" s="1099"/>
      <c r="K319" s="1099"/>
      <c r="L319" s="1099"/>
      <c r="M319" s="1099"/>
      <c r="N319" s="1099"/>
      <c r="O319" s="1099"/>
    </row>
    <row r="320" spans="1:15" ht="14.4">
      <c r="A320" s="1099"/>
      <c r="B320" s="1099"/>
      <c r="C320" s="1099"/>
      <c r="D320" s="1099"/>
      <c r="E320" s="1099"/>
      <c r="F320" s="1099"/>
      <c r="G320" s="1099"/>
      <c r="H320" s="1099"/>
      <c r="I320" s="1099"/>
      <c r="J320" s="1099"/>
      <c r="K320" s="1099"/>
      <c r="L320" s="1099"/>
      <c r="M320" s="1099"/>
      <c r="N320" s="1099"/>
      <c r="O320" s="1099"/>
    </row>
    <row r="321" spans="1:15" ht="14.4">
      <c r="A321" s="1099"/>
      <c r="B321" s="1099"/>
      <c r="C321" s="1099"/>
      <c r="D321" s="1099"/>
      <c r="E321" s="1099"/>
      <c r="F321" s="1099"/>
      <c r="G321" s="1099"/>
      <c r="H321" s="1099"/>
      <c r="I321" s="1099"/>
      <c r="J321" s="1099"/>
      <c r="K321" s="1099"/>
      <c r="L321" s="1099"/>
      <c r="M321" s="1099"/>
      <c r="N321" s="1099"/>
      <c r="O321" s="1099"/>
    </row>
    <row r="322" spans="1:15" ht="14.4">
      <c r="A322" s="1099"/>
      <c r="B322" s="1099"/>
      <c r="C322" s="1099"/>
      <c r="D322" s="1099"/>
      <c r="E322" s="1099"/>
      <c r="F322" s="1099"/>
      <c r="G322" s="1099"/>
      <c r="H322" s="1099"/>
      <c r="I322" s="1099"/>
      <c r="J322" s="1099"/>
      <c r="K322" s="1099"/>
      <c r="L322" s="1099"/>
      <c r="M322" s="1099"/>
      <c r="N322" s="1099"/>
      <c r="O322" s="1099"/>
    </row>
    <row r="323" spans="1:15" ht="14.4">
      <c r="A323" s="1099"/>
      <c r="B323" s="1099"/>
      <c r="C323" s="1099"/>
      <c r="D323" s="1099"/>
      <c r="E323" s="1099"/>
      <c r="F323" s="1099"/>
      <c r="G323" s="1099"/>
      <c r="H323" s="1099"/>
      <c r="I323" s="1099"/>
      <c r="J323" s="1099"/>
      <c r="K323" s="1099"/>
      <c r="L323" s="1099"/>
      <c r="M323" s="1099"/>
      <c r="N323" s="1099"/>
      <c r="O323" s="1099"/>
    </row>
    <row r="324" spans="1:15" ht="14.4">
      <c r="A324" s="1099"/>
      <c r="B324" s="1099"/>
      <c r="C324" s="1099"/>
      <c r="D324" s="1099"/>
      <c r="E324" s="1099"/>
      <c r="F324" s="1099"/>
      <c r="G324" s="1099"/>
      <c r="H324" s="1099"/>
      <c r="I324" s="1099"/>
      <c r="J324" s="1099"/>
      <c r="K324" s="1099"/>
      <c r="L324" s="1099"/>
      <c r="M324" s="1099"/>
      <c r="N324" s="1099"/>
      <c r="O324" s="1099"/>
    </row>
    <row r="325" spans="1:15" ht="14.4">
      <c r="A325" s="1099"/>
      <c r="B325" s="1099"/>
      <c r="C325" s="1099"/>
      <c r="D325" s="1099"/>
      <c r="E325" s="1099"/>
      <c r="F325" s="1099"/>
      <c r="G325" s="1099"/>
      <c r="H325" s="1099"/>
      <c r="I325" s="1099"/>
      <c r="J325" s="1099"/>
      <c r="K325" s="1099"/>
      <c r="L325" s="1099"/>
      <c r="M325" s="1099"/>
      <c r="N325" s="1099"/>
      <c r="O325" s="1099"/>
    </row>
    <row r="326" spans="1:15" ht="14.4">
      <c r="A326" s="1099"/>
      <c r="B326" s="1099"/>
      <c r="C326" s="1099"/>
      <c r="D326" s="1099"/>
      <c r="E326" s="1099"/>
      <c r="F326" s="1099"/>
      <c r="G326" s="1099"/>
      <c r="H326" s="1099"/>
      <c r="I326" s="1099"/>
      <c r="J326" s="1099"/>
      <c r="K326" s="1099"/>
      <c r="L326" s="1099"/>
      <c r="M326" s="1099"/>
      <c r="N326" s="1099"/>
      <c r="O326" s="1099"/>
    </row>
    <row r="327" spans="1:15" ht="14.4">
      <c r="A327" s="1099"/>
      <c r="B327" s="1099"/>
      <c r="C327" s="1099"/>
      <c r="D327" s="1099"/>
      <c r="E327" s="1099"/>
      <c r="F327" s="1099"/>
      <c r="G327" s="1099"/>
      <c r="H327" s="1099"/>
      <c r="I327" s="1099"/>
      <c r="J327" s="1099"/>
      <c r="K327" s="1099"/>
      <c r="L327" s="1099"/>
      <c r="M327" s="1099"/>
      <c r="N327" s="1099"/>
      <c r="O327" s="1099"/>
    </row>
    <row r="328" spans="1:15" ht="14.4">
      <c r="A328" s="1099"/>
      <c r="B328" s="1099"/>
      <c r="C328" s="1099"/>
      <c r="D328" s="1099"/>
      <c r="E328" s="1099"/>
      <c r="F328" s="1099"/>
      <c r="G328" s="1099"/>
      <c r="H328" s="1099"/>
      <c r="I328" s="1099"/>
      <c r="J328" s="1099"/>
      <c r="K328" s="1099"/>
      <c r="L328" s="1099"/>
      <c r="M328" s="1099"/>
      <c r="N328" s="1099"/>
      <c r="O328" s="1099"/>
    </row>
    <row r="329" spans="1:15" ht="14.4">
      <c r="A329" s="1099"/>
      <c r="B329" s="1099"/>
      <c r="C329" s="1099"/>
      <c r="D329" s="1099"/>
      <c r="E329" s="1099"/>
      <c r="F329" s="1099"/>
      <c r="G329" s="1099"/>
      <c r="H329" s="1099"/>
      <c r="I329" s="1099"/>
      <c r="J329" s="1099"/>
      <c r="K329" s="1099"/>
      <c r="L329" s="1099"/>
      <c r="M329" s="1099"/>
      <c r="N329" s="1099"/>
      <c r="O329" s="1099"/>
    </row>
    <row r="330" spans="1:15" ht="14.4">
      <c r="A330" s="1099"/>
      <c r="B330" s="1099"/>
      <c r="C330" s="1099"/>
      <c r="D330" s="1099"/>
      <c r="E330" s="1099"/>
      <c r="F330" s="1099"/>
      <c r="G330" s="1099"/>
      <c r="H330" s="1099"/>
      <c r="I330" s="1099"/>
      <c r="J330" s="1099"/>
      <c r="K330" s="1099"/>
      <c r="L330" s="1099"/>
      <c r="M330" s="1099"/>
      <c r="N330" s="1099"/>
      <c r="O330" s="1099"/>
    </row>
    <row r="331" spans="1:15" ht="14.4">
      <c r="A331" s="1099"/>
      <c r="B331" s="1099"/>
      <c r="C331" s="1099"/>
      <c r="D331" s="1099"/>
      <c r="E331" s="1099"/>
      <c r="F331" s="1099"/>
      <c r="G331" s="1099"/>
      <c r="H331" s="1099"/>
      <c r="I331" s="1099"/>
      <c r="J331" s="1099"/>
      <c r="K331" s="1099"/>
      <c r="L331" s="1099"/>
      <c r="M331" s="1099"/>
      <c r="N331" s="1099"/>
      <c r="O331" s="1099"/>
    </row>
    <row r="332" spans="1:15" ht="14.4">
      <c r="A332" s="1099"/>
      <c r="B332" s="1099"/>
      <c r="C332" s="1099"/>
      <c r="D332" s="1099"/>
      <c r="E332" s="1099"/>
      <c r="F332" s="1099"/>
      <c r="G332" s="1099"/>
      <c r="H332" s="1099"/>
      <c r="I332" s="1099"/>
      <c r="J332" s="1099"/>
      <c r="K332" s="1099"/>
      <c r="L332" s="1099"/>
      <c r="M332" s="1099"/>
      <c r="N332" s="1099"/>
      <c r="O332" s="1099"/>
    </row>
    <row r="333" spans="1:15" ht="14.4">
      <c r="A333" s="1099"/>
      <c r="B333" s="1099"/>
      <c r="C333" s="1099"/>
      <c r="D333" s="1099"/>
      <c r="E333" s="1099"/>
      <c r="F333" s="1099"/>
      <c r="G333" s="1099"/>
      <c r="H333" s="1099"/>
      <c r="I333" s="1099"/>
      <c r="J333" s="1099"/>
      <c r="K333" s="1099"/>
      <c r="L333" s="1099"/>
      <c r="M333" s="1099"/>
      <c r="N333" s="1099"/>
      <c r="O333" s="1099"/>
    </row>
    <row r="334" spans="1:15" ht="14.4">
      <c r="A334" s="1099"/>
      <c r="B334" s="1099"/>
      <c r="C334" s="1099"/>
      <c r="D334" s="1099"/>
      <c r="E334" s="1099"/>
      <c r="F334" s="1099"/>
      <c r="G334" s="1099"/>
      <c r="H334" s="1099"/>
      <c r="I334" s="1099"/>
      <c r="J334" s="1099"/>
      <c r="K334" s="1099"/>
      <c r="L334" s="1099"/>
      <c r="M334" s="1099"/>
      <c r="N334" s="1099"/>
      <c r="O334" s="1099"/>
    </row>
    <row r="335" spans="1:15" ht="14.4">
      <c r="A335" s="1099"/>
      <c r="B335" s="1099"/>
      <c r="C335" s="1099"/>
      <c r="D335" s="1099"/>
      <c r="E335" s="1099"/>
      <c r="F335" s="1099"/>
      <c r="G335" s="1099"/>
      <c r="H335" s="1099"/>
      <c r="I335" s="1099"/>
      <c r="J335" s="1099"/>
      <c r="K335" s="1099"/>
      <c r="L335" s="1099"/>
      <c r="M335" s="1099"/>
      <c r="N335" s="1099"/>
      <c r="O335" s="1099"/>
    </row>
    <row r="336" spans="1:15" ht="14.4">
      <c r="A336" s="1099"/>
      <c r="B336" s="1099"/>
      <c r="C336" s="1099"/>
      <c r="D336" s="1099"/>
      <c r="E336" s="1099"/>
      <c r="F336" s="1099"/>
      <c r="G336" s="1099"/>
      <c r="H336" s="1099"/>
      <c r="I336" s="1099"/>
      <c r="J336" s="1099"/>
      <c r="K336" s="1099"/>
      <c r="L336" s="1099"/>
      <c r="M336" s="1099"/>
      <c r="N336" s="1099"/>
      <c r="O336" s="1099"/>
    </row>
    <row r="337" spans="1:15" ht="14.4">
      <c r="A337" s="1099"/>
      <c r="B337" s="1099"/>
      <c r="C337" s="1099"/>
      <c r="D337" s="1099"/>
      <c r="E337" s="1099"/>
      <c r="F337" s="1099"/>
      <c r="G337" s="1099"/>
      <c r="H337" s="1099"/>
      <c r="I337" s="1099"/>
      <c r="J337" s="1099"/>
      <c r="K337" s="1099"/>
      <c r="L337" s="1099"/>
      <c r="M337" s="1099"/>
      <c r="N337" s="1099"/>
      <c r="O337" s="1099"/>
    </row>
    <row r="338" spans="1:15" ht="14.4">
      <c r="A338" s="1099"/>
      <c r="B338" s="1099"/>
      <c r="C338" s="1099"/>
      <c r="D338" s="1099"/>
      <c r="E338" s="1099"/>
      <c r="F338" s="1099"/>
      <c r="G338" s="1099"/>
      <c r="H338" s="1099"/>
      <c r="I338" s="1099"/>
      <c r="J338" s="1099"/>
      <c r="K338" s="1099"/>
      <c r="L338" s="1099"/>
      <c r="M338" s="1099"/>
      <c r="N338" s="1099"/>
      <c r="O338" s="1099"/>
    </row>
    <row r="339" spans="1:15" ht="14.4">
      <c r="A339" s="1099"/>
      <c r="B339" s="1099"/>
      <c r="C339" s="1099"/>
      <c r="D339" s="1099"/>
      <c r="E339" s="1099"/>
      <c r="F339" s="1099"/>
      <c r="G339" s="1099"/>
      <c r="H339" s="1099"/>
      <c r="I339" s="1099"/>
      <c r="J339" s="1099"/>
      <c r="K339" s="1099"/>
      <c r="L339" s="1099"/>
      <c r="M339" s="1099"/>
      <c r="N339" s="1099"/>
      <c r="O339" s="1099"/>
    </row>
    <row r="340" spans="1:15" ht="14.4">
      <c r="A340" s="1099"/>
      <c r="B340" s="1099"/>
      <c r="C340" s="1099"/>
      <c r="D340" s="1099"/>
      <c r="E340" s="1099"/>
      <c r="F340" s="1099"/>
      <c r="G340" s="1099"/>
      <c r="H340" s="1099"/>
      <c r="I340" s="1099"/>
      <c r="J340" s="1099"/>
      <c r="K340" s="1099"/>
      <c r="L340" s="1099"/>
      <c r="M340" s="1099"/>
      <c r="N340" s="1099"/>
      <c r="O340" s="1099"/>
    </row>
    <row r="341" spans="1:15" ht="14.4">
      <c r="A341" s="1099"/>
      <c r="B341" s="1099"/>
      <c r="C341" s="1099"/>
      <c r="D341" s="1099"/>
      <c r="E341" s="1099"/>
      <c r="F341" s="1099"/>
      <c r="G341" s="1099"/>
      <c r="H341" s="1099"/>
      <c r="I341" s="1099"/>
      <c r="J341" s="1099"/>
      <c r="K341" s="1099"/>
      <c r="L341" s="1099"/>
      <c r="M341" s="1099"/>
      <c r="N341" s="1099"/>
      <c r="O341" s="1099"/>
    </row>
    <row r="342" spans="1:15" ht="14.4">
      <c r="A342" s="1099"/>
      <c r="B342" s="1099"/>
      <c r="C342" s="1099"/>
      <c r="D342" s="1099"/>
      <c r="E342" s="1099"/>
      <c r="F342" s="1099"/>
      <c r="G342" s="1099"/>
      <c r="H342" s="1099"/>
      <c r="I342" s="1099"/>
      <c r="J342" s="1099"/>
      <c r="K342" s="1099"/>
      <c r="L342" s="1099"/>
      <c r="M342" s="1099"/>
      <c r="N342" s="1099"/>
      <c r="O342" s="1099"/>
    </row>
    <row r="343" spans="1:15" ht="14.4">
      <c r="A343" s="1099"/>
      <c r="B343" s="1099"/>
      <c r="C343" s="1099"/>
      <c r="D343" s="1099"/>
      <c r="E343" s="1099"/>
      <c r="F343" s="1099"/>
      <c r="G343" s="1099"/>
      <c r="H343" s="1099"/>
      <c r="I343" s="1099"/>
      <c r="J343" s="1099"/>
      <c r="K343" s="1099"/>
      <c r="L343" s="1099"/>
      <c r="M343" s="1099"/>
      <c r="N343" s="1099"/>
      <c r="O343" s="1099"/>
    </row>
    <row r="344" spans="1:15" ht="14.4">
      <c r="A344" s="1099"/>
      <c r="B344" s="1099"/>
      <c r="C344" s="1099"/>
      <c r="D344" s="1099"/>
      <c r="E344" s="1099"/>
      <c r="F344" s="1099"/>
      <c r="G344" s="1099"/>
      <c r="H344" s="1099"/>
      <c r="I344" s="1099"/>
      <c r="J344" s="1099"/>
      <c r="K344" s="1099"/>
      <c r="L344" s="1099"/>
      <c r="M344" s="1099"/>
      <c r="N344" s="1099"/>
      <c r="O344" s="1099"/>
    </row>
    <row r="345" spans="1:15" ht="14.4">
      <c r="A345" s="1099"/>
      <c r="B345" s="1099"/>
      <c r="C345" s="1099"/>
      <c r="D345" s="1099"/>
      <c r="E345" s="1099"/>
      <c r="F345" s="1099"/>
      <c r="G345" s="1099"/>
      <c r="H345" s="1099"/>
      <c r="I345" s="1099"/>
      <c r="J345" s="1099"/>
      <c r="K345" s="1099"/>
      <c r="L345" s="1099"/>
      <c r="M345" s="1099"/>
      <c r="N345" s="1099"/>
      <c r="O345" s="1099"/>
    </row>
    <row r="346" spans="1:15" ht="14.4">
      <c r="A346" s="1099"/>
      <c r="B346" s="1099"/>
      <c r="C346" s="1099"/>
      <c r="D346" s="1099"/>
      <c r="E346" s="1099"/>
      <c r="F346" s="1099"/>
      <c r="G346" s="1099"/>
      <c r="H346" s="1099"/>
      <c r="I346" s="1099"/>
      <c r="J346" s="1099"/>
      <c r="K346" s="1099"/>
      <c r="L346" s="1099"/>
      <c r="M346" s="1099"/>
      <c r="N346" s="1099"/>
      <c r="O346" s="1099"/>
    </row>
    <row r="347" spans="1:15" ht="14.4">
      <c r="A347" s="1099"/>
      <c r="B347" s="1099"/>
      <c r="C347" s="1099"/>
      <c r="D347" s="1099"/>
      <c r="E347" s="1099"/>
      <c r="F347" s="1099"/>
      <c r="G347" s="1099"/>
      <c r="H347" s="1099"/>
      <c r="I347" s="1099"/>
      <c r="J347" s="1099"/>
      <c r="K347" s="1099"/>
      <c r="L347" s="1099"/>
      <c r="M347" s="1099"/>
      <c r="N347" s="1099"/>
      <c r="O347" s="1099"/>
    </row>
    <row r="348" spans="1:15" ht="14.4">
      <c r="A348" s="1099"/>
      <c r="B348" s="1099"/>
      <c r="C348" s="1099"/>
      <c r="D348" s="1099"/>
      <c r="E348" s="1099"/>
      <c r="F348" s="1099"/>
      <c r="G348" s="1099"/>
      <c r="H348" s="1099"/>
      <c r="I348" s="1099"/>
      <c r="J348" s="1099"/>
      <c r="K348" s="1099"/>
      <c r="L348" s="1099"/>
      <c r="M348" s="1099"/>
      <c r="N348" s="1099"/>
      <c r="O348" s="1099"/>
    </row>
    <row r="349" spans="1:15" ht="14.4">
      <c r="A349" s="1099"/>
      <c r="B349" s="1099"/>
      <c r="C349" s="1099"/>
      <c r="D349" s="1099"/>
      <c r="E349" s="1099"/>
      <c r="F349" s="1099"/>
      <c r="G349" s="1099"/>
      <c r="H349" s="1099"/>
      <c r="I349" s="1099"/>
      <c r="J349" s="1099"/>
      <c r="K349" s="1099"/>
      <c r="L349" s="1099"/>
      <c r="M349" s="1099"/>
      <c r="N349" s="1099"/>
      <c r="O349" s="1099"/>
    </row>
    <row r="350" spans="1:15" ht="14.4">
      <c r="A350" s="1099"/>
      <c r="B350" s="1099"/>
      <c r="C350" s="1099"/>
      <c r="D350" s="1099"/>
      <c r="E350" s="1099"/>
      <c r="F350" s="1099"/>
      <c r="G350" s="1099"/>
      <c r="H350" s="1099"/>
      <c r="I350" s="1099"/>
      <c r="J350" s="1099"/>
      <c r="K350" s="1099"/>
      <c r="L350" s="1099"/>
      <c r="M350" s="1099"/>
      <c r="N350" s="1099"/>
      <c r="O350" s="1099"/>
    </row>
    <row r="351" spans="1:15" ht="14.4">
      <c r="A351" s="1099"/>
      <c r="B351" s="1099"/>
      <c r="C351" s="1099"/>
      <c r="D351" s="1099"/>
      <c r="E351" s="1099"/>
      <c r="F351" s="1099"/>
      <c r="G351" s="1099"/>
      <c r="H351" s="1099"/>
      <c r="I351" s="1099"/>
      <c r="J351" s="1099"/>
      <c r="K351" s="1099"/>
      <c r="L351" s="1099"/>
      <c r="M351" s="1099"/>
      <c r="N351" s="1099"/>
      <c r="O351" s="1099"/>
    </row>
    <row r="352" spans="1:15" ht="14.4">
      <c r="A352" s="1099"/>
      <c r="B352" s="1099"/>
      <c r="C352" s="1099"/>
      <c r="D352" s="1099"/>
      <c r="E352" s="1099"/>
      <c r="F352" s="1099"/>
      <c r="G352" s="1099"/>
      <c r="H352" s="1099"/>
      <c r="I352" s="1099"/>
      <c r="J352" s="1099"/>
      <c r="K352" s="1099"/>
      <c r="L352" s="1099"/>
      <c r="M352" s="1099"/>
      <c r="N352" s="1099"/>
      <c r="O352" s="1099"/>
    </row>
    <row r="353" spans="1:15" ht="14.4">
      <c r="A353" s="1099"/>
      <c r="B353" s="1099"/>
      <c r="C353" s="1099"/>
      <c r="D353" s="1099"/>
      <c r="E353" s="1099"/>
      <c r="F353" s="1099"/>
      <c r="G353" s="1099"/>
      <c r="H353" s="1099"/>
      <c r="I353" s="1099"/>
      <c r="J353" s="1099"/>
      <c r="K353" s="1099"/>
      <c r="L353" s="1099"/>
      <c r="M353" s="1099"/>
      <c r="N353" s="1099"/>
      <c r="O353" s="1099"/>
    </row>
    <row r="354" spans="1:15" ht="14.4">
      <c r="A354" s="1099"/>
      <c r="B354" s="1099"/>
      <c r="C354" s="1099"/>
      <c r="D354" s="1099"/>
      <c r="E354" s="1099"/>
      <c r="F354" s="1099"/>
      <c r="G354" s="1099"/>
      <c r="H354" s="1099"/>
      <c r="I354" s="1099"/>
      <c r="J354" s="1099"/>
      <c r="K354" s="1099"/>
      <c r="L354" s="1099"/>
      <c r="M354" s="1099"/>
      <c r="N354" s="1099"/>
      <c r="O354" s="1099"/>
    </row>
    <row r="355" spans="1:15" ht="14.4">
      <c r="A355" s="1099"/>
      <c r="B355" s="1099"/>
      <c r="C355" s="1099"/>
      <c r="D355" s="1099"/>
      <c r="E355" s="1099"/>
      <c r="F355" s="1099"/>
      <c r="G355" s="1099"/>
      <c r="H355" s="1099"/>
      <c r="I355" s="1099"/>
      <c r="J355" s="1099"/>
      <c r="K355" s="1099"/>
      <c r="L355" s="1099"/>
      <c r="M355" s="1099"/>
      <c r="N355" s="1099"/>
      <c r="O355" s="1099"/>
    </row>
    <row r="356" spans="1:15" ht="14.4">
      <c r="A356" s="1099"/>
      <c r="B356" s="1099"/>
      <c r="C356" s="1099"/>
      <c r="D356" s="1099"/>
      <c r="E356" s="1099"/>
      <c r="F356" s="1099"/>
      <c r="G356" s="1099"/>
      <c r="H356" s="1099"/>
      <c r="I356" s="1099"/>
      <c r="J356" s="1099"/>
      <c r="K356" s="1099"/>
      <c r="L356" s="1099"/>
      <c r="M356" s="1099"/>
      <c r="N356" s="1099"/>
      <c r="O356" s="1099"/>
    </row>
    <row r="357" spans="1:15" ht="14.4">
      <c r="A357" s="1099"/>
      <c r="B357" s="1099"/>
      <c r="C357" s="1099"/>
      <c r="D357" s="1099"/>
      <c r="E357" s="1099"/>
      <c r="F357" s="1099"/>
      <c r="G357" s="1099"/>
      <c r="H357" s="1099"/>
      <c r="I357" s="1099"/>
      <c r="J357" s="1099"/>
      <c r="K357" s="1099"/>
      <c r="L357" s="1099"/>
      <c r="M357" s="1099"/>
      <c r="N357" s="1099"/>
      <c r="O357" s="1099"/>
    </row>
    <row r="358" spans="1:15" ht="14.4">
      <c r="A358" s="1099"/>
      <c r="B358" s="1099"/>
      <c r="C358" s="1099"/>
      <c r="D358" s="1099"/>
      <c r="E358" s="1099"/>
      <c r="F358" s="1099"/>
      <c r="G358" s="1099"/>
      <c r="H358" s="1099"/>
      <c r="I358" s="1099"/>
      <c r="J358" s="1099"/>
      <c r="K358" s="1099"/>
      <c r="L358" s="1099"/>
      <c r="M358" s="1099"/>
      <c r="N358" s="1099"/>
      <c r="O358" s="1099"/>
    </row>
    <row r="359" spans="1:15" ht="14.4">
      <c r="A359" s="1099"/>
      <c r="B359" s="1099"/>
      <c r="C359" s="1099"/>
      <c r="D359" s="1099"/>
      <c r="E359" s="1099"/>
      <c r="F359" s="1099"/>
      <c r="G359" s="1099"/>
      <c r="H359" s="1099"/>
      <c r="I359" s="1099"/>
      <c r="J359" s="1099"/>
      <c r="K359" s="1099"/>
      <c r="L359" s="1099"/>
      <c r="M359" s="1099"/>
      <c r="N359" s="1099"/>
      <c r="O359" s="1099"/>
    </row>
    <row r="360" spans="1:15" ht="14.4">
      <c r="A360" s="1099"/>
      <c r="B360" s="1099"/>
      <c r="C360" s="1099"/>
      <c r="D360" s="1099"/>
      <c r="E360" s="1099"/>
      <c r="F360" s="1099"/>
      <c r="G360" s="1099"/>
      <c r="H360" s="1099"/>
      <c r="I360" s="1099"/>
      <c r="J360" s="1099"/>
      <c r="K360" s="1099"/>
      <c r="L360" s="1099"/>
      <c r="M360" s="1099"/>
      <c r="N360" s="1099"/>
      <c r="O360" s="1099"/>
    </row>
    <row r="361" spans="1:15" ht="14.4">
      <c r="A361" s="1099"/>
      <c r="B361" s="1099"/>
      <c r="C361" s="1099"/>
      <c r="D361" s="1099"/>
      <c r="E361" s="1099"/>
      <c r="F361" s="1099"/>
      <c r="G361" s="1099"/>
      <c r="H361" s="1099"/>
      <c r="I361" s="1099"/>
      <c r="J361" s="1099"/>
      <c r="K361" s="1099"/>
      <c r="L361" s="1099"/>
      <c r="M361" s="1099"/>
      <c r="N361" s="1099"/>
      <c r="O361" s="1099"/>
    </row>
    <row r="362" spans="1:15" ht="14.4">
      <c r="A362" s="1099"/>
      <c r="B362" s="1099"/>
      <c r="C362" s="1099"/>
      <c r="D362" s="1099"/>
      <c r="E362" s="1099"/>
      <c r="F362" s="1099"/>
      <c r="G362" s="1099"/>
      <c r="H362" s="1099"/>
      <c r="I362" s="1099"/>
      <c r="J362" s="1099"/>
      <c r="K362" s="1099"/>
      <c r="L362" s="1099"/>
      <c r="M362" s="1099"/>
      <c r="N362" s="1099"/>
      <c r="O362" s="1099"/>
    </row>
    <row r="363" spans="1:15" ht="14.4">
      <c r="A363" s="1099"/>
      <c r="B363" s="1099"/>
      <c r="C363" s="1099"/>
      <c r="D363" s="1099"/>
      <c r="E363" s="1099"/>
      <c r="F363" s="1099"/>
      <c r="G363" s="1099"/>
      <c r="H363" s="1099"/>
      <c r="I363" s="1099"/>
      <c r="J363" s="1099"/>
      <c r="K363" s="1099"/>
      <c r="L363" s="1099"/>
      <c r="M363" s="1099"/>
      <c r="N363" s="1099"/>
      <c r="O363" s="1099"/>
    </row>
    <row r="364" spans="1:15" ht="14.4">
      <c r="A364" s="1099"/>
      <c r="B364" s="1099"/>
      <c r="C364" s="1099"/>
      <c r="D364" s="1099"/>
      <c r="E364" s="1099"/>
      <c r="F364" s="1099"/>
      <c r="G364" s="1099"/>
      <c r="H364" s="1099"/>
      <c r="I364" s="1099"/>
      <c r="J364" s="1099"/>
      <c r="K364" s="1099"/>
      <c r="L364" s="1099"/>
      <c r="M364" s="1099"/>
      <c r="N364" s="1099"/>
      <c r="O364" s="1099"/>
    </row>
    <row r="365" spans="1:15" ht="14.4">
      <c r="A365" s="1099"/>
      <c r="B365" s="1099"/>
      <c r="C365" s="1099"/>
      <c r="D365" s="1099"/>
      <c r="E365" s="1099"/>
      <c r="F365" s="1099"/>
      <c r="G365" s="1099"/>
      <c r="H365" s="1099"/>
      <c r="I365" s="1099"/>
      <c r="J365" s="1099"/>
      <c r="K365" s="1099"/>
      <c r="L365" s="1099"/>
      <c r="M365" s="1099"/>
      <c r="N365" s="1099"/>
      <c r="O365" s="1099"/>
    </row>
    <row r="366" spans="1:15" ht="14.4">
      <c r="A366" s="1099"/>
      <c r="B366" s="1099"/>
      <c r="C366" s="1099"/>
      <c r="D366" s="1099"/>
      <c r="E366" s="1099"/>
      <c r="F366" s="1099"/>
      <c r="G366" s="1099"/>
      <c r="H366" s="1099"/>
      <c r="I366" s="1099"/>
      <c r="J366" s="1099"/>
      <c r="K366" s="1099"/>
      <c r="L366" s="1099"/>
      <c r="M366" s="1099"/>
      <c r="N366" s="1099"/>
      <c r="O366" s="1099"/>
    </row>
    <row r="367" spans="1:15" ht="14.4">
      <c r="A367" s="1099"/>
      <c r="B367" s="1099"/>
      <c r="C367" s="1099"/>
      <c r="D367" s="1099"/>
      <c r="E367" s="1099"/>
      <c r="F367" s="1099"/>
      <c r="G367" s="1099"/>
      <c r="H367" s="1099"/>
      <c r="I367" s="1099"/>
      <c r="J367" s="1099"/>
      <c r="K367" s="1099"/>
      <c r="L367" s="1099"/>
      <c r="M367" s="1099"/>
      <c r="N367" s="1099"/>
      <c r="O367" s="1099"/>
    </row>
    <row r="368" spans="1:15" ht="14.4">
      <c r="A368" s="1099"/>
      <c r="B368" s="1099"/>
      <c r="C368" s="1099"/>
      <c r="D368" s="1099"/>
      <c r="E368" s="1099"/>
      <c r="F368" s="1099"/>
      <c r="G368" s="1099"/>
      <c r="H368" s="1099"/>
      <c r="I368" s="1099"/>
      <c r="J368" s="1099"/>
      <c r="K368" s="1099"/>
      <c r="L368" s="1099"/>
      <c r="M368" s="1099"/>
      <c r="N368" s="1099"/>
      <c r="O368" s="1099"/>
    </row>
    <row r="369" spans="1:15" ht="14.4">
      <c r="A369" s="1099"/>
      <c r="B369" s="1099"/>
      <c r="C369" s="1099"/>
      <c r="D369" s="1099"/>
      <c r="E369" s="1099"/>
      <c r="F369" s="1099"/>
      <c r="G369" s="1099"/>
      <c r="H369" s="1099"/>
      <c r="I369" s="1099"/>
      <c r="J369" s="1099"/>
      <c r="K369" s="1099"/>
      <c r="L369" s="1099"/>
      <c r="M369" s="1099"/>
      <c r="N369" s="1099"/>
      <c r="O369" s="1099"/>
    </row>
    <row r="370" spans="1:15" ht="14.4">
      <c r="A370" s="1099"/>
      <c r="B370" s="1099"/>
      <c r="C370" s="1099"/>
      <c r="D370" s="1099"/>
      <c r="E370" s="1099"/>
      <c r="F370" s="1099"/>
      <c r="G370" s="1099"/>
      <c r="H370" s="1099"/>
      <c r="I370" s="1099"/>
      <c r="J370" s="1099"/>
      <c r="K370" s="1099"/>
      <c r="L370" s="1099"/>
      <c r="M370" s="1099"/>
      <c r="N370" s="1099"/>
      <c r="O370" s="1099"/>
    </row>
    <row r="371" spans="1:15" ht="14.4">
      <c r="A371" s="1099"/>
      <c r="B371" s="1099"/>
      <c r="C371" s="1099"/>
      <c r="D371" s="1099"/>
      <c r="E371" s="1099"/>
      <c r="F371" s="1099"/>
      <c r="G371" s="1099"/>
      <c r="H371" s="1099"/>
      <c r="I371" s="1099"/>
      <c r="J371" s="1099"/>
      <c r="K371" s="1099"/>
      <c r="L371" s="1099"/>
      <c r="M371" s="1099"/>
      <c r="N371" s="1099"/>
      <c r="O371" s="1099"/>
    </row>
    <row r="372" spans="1:15" ht="14.4">
      <c r="A372" s="1099"/>
      <c r="B372" s="1099"/>
      <c r="C372" s="1099"/>
      <c r="D372" s="1099"/>
      <c r="E372" s="1099"/>
      <c r="F372" s="1099"/>
      <c r="G372" s="1099"/>
      <c r="H372" s="1099"/>
      <c r="I372" s="1099"/>
      <c r="J372" s="1099"/>
      <c r="K372" s="1099"/>
      <c r="L372" s="1099"/>
      <c r="M372" s="1099"/>
      <c r="N372" s="1099"/>
      <c r="O372" s="1099"/>
    </row>
    <row r="373" spans="1:15" ht="14.4">
      <c r="A373" s="1099"/>
      <c r="B373" s="1099"/>
      <c r="C373" s="1099"/>
      <c r="D373" s="1099"/>
      <c r="E373" s="1099"/>
      <c r="F373" s="1099"/>
      <c r="G373" s="1099"/>
      <c r="H373" s="1099"/>
      <c r="I373" s="1099"/>
      <c r="J373" s="1099"/>
      <c r="K373" s="1099"/>
      <c r="L373" s="1099"/>
      <c r="M373" s="1099"/>
      <c r="N373" s="1099"/>
      <c r="O373" s="1099"/>
    </row>
    <row r="374" spans="1:15" ht="14.4">
      <c r="A374" s="1099"/>
      <c r="B374" s="1099"/>
      <c r="C374" s="1099"/>
      <c r="D374" s="1099"/>
      <c r="E374" s="1099"/>
      <c r="F374" s="1099"/>
      <c r="G374" s="1099"/>
      <c r="H374" s="1099"/>
      <c r="I374" s="1099"/>
      <c r="J374" s="1099"/>
      <c r="K374" s="1099"/>
      <c r="L374" s="1099"/>
      <c r="M374" s="1099"/>
      <c r="N374" s="1099"/>
      <c r="O374" s="1099"/>
    </row>
    <row r="375" spans="1:15" ht="14.4">
      <c r="A375" s="1099"/>
      <c r="B375" s="1099"/>
      <c r="C375" s="1099"/>
      <c r="D375" s="1099"/>
      <c r="E375" s="1099"/>
      <c r="F375" s="1099"/>
      <c r="G375" s="1099"/>
      <c r="H375" s="1099"/>
      <c r="I375" s="1099"/>
      <c r="J375" s="1099"/>
      <c r="K375" s="1099"/>
      <c r="L375" s="1099"/>
      <c r="M375" s="1099"/>
      <c r="N375" s="1099"/>
      <c r="O375" s="1099"/>
    </row>
    <row r="376" spans="1:15" ht="14.4">
      <c r="A376" s="1099"/>
      <c r="B376" s="1099"/>
      <c r="C376" s="1099"/>
      <c r="D376" s="1099"/>
      <c r="E376" s="1099"/>
      <c r="F376" s="1099"/>
      <c r="G376" s="1099"/>
      <c r="H376" s="1099"/>
      <c r="I376" s="1099"/>
      <c r="J376" s="1099"/>
      <c r="K376" s="1099"/>
      <c r="L376" s="1099"/>
      <c r="M376" s="1099"/>
      <c r="N376" s="1099"/>
      <c r="O376" s="1099"/>
    </row>
    <row r="377" spans="1:15" ht="14.4">
      <c r="A377" s="1099"/>
      <c r="B377" s="1099"/>
      <c r="C377" s="1099"/>
      <c r="D377" s="1099"/>
      <c r="E377" s="1099"/>
      <c r="F377" s="1099"/>
      <c r="G377" s="1099"/>
      <c r="H377" s="1099"/>
      <c r="I377" s="1099"/>
      <c r="J377" s="1099"/>
      <c r="K377" s="1099"/>
      <c r="L377" s="1099"/>
      <c r="M377" s="1099"/>
      <c r="N377" s="1099"/>
      <c r="O377" s="1099"/>
    </row>
    <row r="378" spans="1:15" ht="14.4">
      <c r="A378" s="1099"/>
      <c r="B378" s="1099"/>
      <c r="C378" s="1099"/>
      <c r="D378" s="1099"/>
      <c r="E378" s="1099"/>
      <c r="F378" s="1099"/>
      <c r="G378" s="1099"/>
      <c r="H378" s="1099"/>
      <c r="I378" s="1099"/>
      <c r="J378" s="1099"/>
      <c r="K378" s="1099"/>
      <c r="L378" s="1099"/>
      <c r="M378" s="1099"/>
      <c r="N378" s="1099"/>
      <c r="O378" s="1099"/>
    </row>
    <row r="379" spans="1:15" ht="14.4">
      <c r="A379" s="1099"/>
      <c r="B379" s="1099"/>
      <c r="C379" s="1099"/>
      <c r="D379" s="1099"/>
      <c r="E379" s="1099"/>
      <c r="F379" s="1099"/>
      <c r="G379" s="1099"/>
      <c r="H379" s="1099"/>
      <c r="I379" s="1099"/>
      <c r="J379" s="1099"/>
      <c r="K379" s="1099"/>
      <c r="L379" s="1099"/>
      <c r="M379" s="1099"/>
      <c r="N379" s="1099"/>
      <c r="O379" s="1099"/>
    </row>
    <row r="380" spans="1:15" ht="14.4">
      <c r="A380" s="1099"/>
      <c r="B380" s="1099"/>
      <c r="C380" s="1099"/>
      <c r="D380" s="1099"/>
      <c r="E380" s="1099"/>
      <c r="F380" s="1099"/>
      <c r="G380" s="1099"/>
      <c r="H380" s="1099"/>
      <c r="I380" s="1099"/>
      <c r="J380" s="1099"/>
      <c r="K380" s="1099"/>
      <c r="L380" s="1099"/>
      <c r="M380" s="1099"/>
      <c r="N380" s="1099"/>
      <c r="O380" s="1099"/>
    </row>
    <row r="381" spans="1:15" ht="14.4">
      <c r="A381" s="1099"/>
      <c r="B381" s="1099"/>
      <c r="C381" s="1099"/>
      <c r="D381" s="1099"/>
      <c r="E381" s="1099"/>
      <c r="F381" s="1099"/>
      <c r="G381" s="1099"/>
      <c r="H381" s="1099"/>
      <c r="I381" s="1099"/>
      <c r="J381" s="1099"/>
      <c r="K381" s="1099"/>
      <c r="L381" s="1099"/>
      <c r="M381" s="1099"/>
      <c r="N381" s="1099"/>
      <c r="O381" s="1099"/>
    </row>
    <row r="382" spans="1:15" ht="14.4">
      <c r="A382" s="1099"/>
      <c r="B382" s="1099"/>
      <c r="C382" s="1099"/>
      <c r="D382" s="1099"/>
      <c r="E382" s="1099"/>
      <c r="F382" s="1099"/>
      <c r="G382" s="1099"/>
      <c r="H382" s="1099"/>
      <c r="I382" s="1099"/>
      <c r="J382" s="1099"/>
      <c r="K382" s="1099"/>
      <c r="L382" s="1099"/>
      <c r="M382" s="1099"/>
      <c r="N382" s="1099"/>
      <c r="O382" s="1099"/>
    </row>
    <row r="383" spans="1:15" ht="14.4">
      <c r="A383" s="1099"/>
      <c r="B383" s="1099"/>
      <c r="C383" s="1099"/>
      <c r="D383" s="1099"/>
      <c r="E383" s="1099"/>
      <c r="F383" s="1099"/>
      <c r="G383" s="1099"/>
      <c r="H383" s="1099"/>
      <c r="I383" s="1099"/>
      <c r="J383" s="1099"/>
      <c r="K383" s="1099"/>
      <c r="L383" s="1099"/>
      <c r="M383" s="1099"/>
      <c r="N383" s="1099"/>
      <c r="O383" s="1099"/>
    </row>
    <row r="384" spans="1:15" ht="14.4">
      <c r="A384" s="1099"/>
      <c r="B384" s="1099"/>
      <c r="C384" s="1099"/>
      <c r="D384" s="1099"/>
      <c r="E384" s="1099"/>
      <c r="F384" s="1099"/>
      <c r="G384" s="1099"/>
      <c r="H384" s="1099"/>
      <c r="I384" s="1099"/>
      <c r="J384" s="1099"/>
      <c r="K384" s="1099"/>
      <c r="L384" s="1099"/>
      <c r="M384" s="1099"/>
      <c r="N384" s="1099"/>
      <c r="O384" s="1099"/>
    </row>
    <row r="385" spans="1:15" ht="14.4">
      <c r="A385" s="1099"/>
      <c r="B385" s="1099"/>
      <c r="C385" s="1099"/>
      <c r="D385" s="1099"/>
      <c r="E385" s="1099"/>
      <c r="F385" s="1099"/>
      <c r="G385" s="1099"/>
      <c r="H385" s="1099"/>
      <c r="I385" s="1099"/>
      <c r="J385" s="1099"/>
      <c r="K385" s="1099"/>
      <c r="L385" s="1099"/>
      <c r="M385" s="1099"/>
      <c r="N385" s="1099"/>
      <c r="O385" s="1099"/>
    </row>
    <row r="386" spans="1:15" ht="14.4">
      <c r="A386" s="1099"/>
      <c r="B386" s="1099"/>
      <c r="C386" s="1099"/>
      <c r="D386" s="1099"/>
      <c r="E386" s="1099"/>
      <c r="F386" s="1099"/>
      <c r="G386" s="1099"/>
      <c r="H386" s="1099"/>
      <c r="I386" s="1099"/>
      <c r="J386" s="1099"/>
      <c r="K386" s="1099"/>
      <c r="L386" s="1099"/>
      <c r="M386" s="1099"/>
      <c r="N386" s="1099"/>
      <c r="O386" s="1099"/>
    </row>
    <row r="387" spans="1:15" ht="14.4">
      <c r="A387" s="1099"/>
      <c r="B387" s="1099"/>
      <c r="C387" s="1099"/>
      <c r="D387" s="1099"/>
      <c r="E387" s="1099"/>
      <c r="F387" s="1099"/>
      <c r="G387" s="1099"/>
      <c r="H387" s="1099"/>
      <c r="I387" s="1099"/>
      <c r="J387" s="1099"/>
      <c r="K387" s="1099"/>
      <c r="L387" s="1099"/>
      <c r="M387" s="1099"/>
      <c r="N387" s="1099"/>
      <c r="O387" s="1099"/>
    </row>
    <row r="388" spans="1:15" ht="14.4">
      <c r="A388" s="1099"/>
      <c r="B388" s="1099"/>
      <c r="C388" s="1099"/>
      <c r="D388" s="1099"/>
      <c r="E388" s="1099"/>
      <c r="F388" s="1099"/>
      <c r="G388" s="1099"/>
      <c r="H388" s="1099"/>
      <c r="I388" s="1099"/>
      <c r="J388" s="1099"/>
      <c r="K388" s="1099"/>
      <c r="L388" s="1099"/>
      <c r="M388" s="1099"/>
      <c r="N388" s="1099"/>
      <c r="O388" s="1099"/>
    </row>
    <row r="389" spans="1:15" ht="14.4">
      <c r="A389" s="1099"/>
      <c r="B389" s="1099"/>
      <c r="C389" s="1099"/>
      <c r="D389" s="1099"/>
      <c r="E389" s="1099"/>
      <c r="F389" s="1099"/>
      <c r="G389" s="1099"/>
      <c r="H389" s="1099"/>
      <c r="I389" s="1099"/>
      <c r="J389" s="1099"/>
      <c r="K389" s="1099"/>
      <c r="L389" s="1099"/>
      <c r="M389" s="1099"/>
      <c r="N389" s="1099"/>
      <c r="O389" s="1099"/>
    </row>
    <row r="390" spans="1:15" ht="14.4">
      <c r="A390" s="1099"/>
      <c r="B390" s="1099"/>
      <c r="C390" s="1099"/>
      <c r="D390" s="1099"/>
      <c r="E390" s="1099"/>
      <c r="F390" s="1099"/>
      <c r="G390" s="1099"/>
      <c r="H390" s="1099"/>
      <c r="I390" s="1099"/>
      <c r="J390" s="1099"/>
      <c r="K390" s="1099"/>
      <c r="L390" s="1099"/>
      <c r="M390" s="1099"/>
      <c r="N390" s="1099"/>
      <c r="O390" s="1099"/>
    </row>
    <row r="391" spans="1:15" ht="14.4">
      <c r="A391" s="1099"/>
      <c r="B391" s="1099"/>
      <c r="C391" s="1099"/>
      <c r="D391" s="1099"/>
      <c r="E391" s="1099"/>
      <c r="F391" s="1099"/>
      <c r="G391" s="1099"/>
      <c r="H391" s="1099"/>
      <c r="I391" s="1099"/>
      <c r="J391" s="1099"/>
      <c r="K391" s="1099"/>
      <c r="L391" s="1099"/>
      <c r="M391" s="1099"/>
      <c r="N391" s="1099"/>
      <c r="O391" s="1099"/>
    </row>
    <row r="392" spans="1:15" ht="14.4">
      <c r="A392" s="1099"/>
      <c r="B392" s="1099"/>
      <c r="C392" s="1099"/>
      <c r="D392" s="1099"/>
      <c r="E392" s="1099"/>
      <c r="F392" s="1099"/>
      <c r="G392" s="1099"/>
      <c r="H392" s="1099"/>
      <c r="I392" s="1099"/>
      <c r="J392" s="1099"/>
      <c r="K392" s="1099"/>
      <c r="L392" s="1099"/>
      <c r="M392" s="1099"/>
      <c r="N392" s="1099"/>
      <c r="O392" s="1099"/>
    </row>
    <row r="393" spans="1:15" ht="14.4">
      <c r="A393" s="1099"/>
      <c r="B393" s="1099"/>
      <c r="C393" s="1099"/>
      <c r="D393" s="1099"/>
      <c r="E393" s="1099"/>
      <c r="F393" s="1099"/>
      <c r="G393" s="1099"/>
      <c r="H393" s="1099"/>
      <c r="I393" s="1099"/>
      <c r="J393" s="1099"/>
      <c r="K393" s="1099"/>
      <c r="L393" s="1099"/>
      <c r="M393" s="1099"/>
      <c r="N393" s="1099"/>
      <c r="O393" s="1099"/>
    </row>
    <row r="394" spans="1:15" ht="14.4">
      <c r="A394" s="1099"/>
      <c r="B394" s="1099"/>
      <c r="C394" s="1099"/>
      <c r="D394" s="1099"/>
      <c r="E394" s="1099"/>
      <c r="F394" s="1099"/>
      <c r="G394" s="1099"/>
      <c r="H394" s="1099"/>
      <c r="I394" s="1099"/>
      <c r="J394" s="1099"/>
      <c r="K394" s="1099"/>
      <c r="L394" s="1099"/>
      <c r="M394" s="1099"/>
      <c r="N394" s="1099"/>
      <c r="O394" s="1099"/>
    </row>
    <row r="395" spans="1:15" ht="14.4">
      <c r="A395" s="1099"/>
      <c r="B395" s="1099"/>
      <c r="C395" s="1099"/>
      <c r="D395" s="1099"/>
      <c r="E395" s="1099"/>
      <c r="F395" s="1099"/>
      <c r="G395" s="1099"/>
      <c r="H395" s="1099"/>
      <c r="I395" s="1099"/>
      <c r="J395" s="1099"/>
      <c r="K395" s="1099"/>
      <c r="L395" s="1099"/>
      <c r="M395" s="1099"/>
      <c r="N395" s="1099"/>
      <c r="O395" s="1099"/>
    </row>
    <row r="396" spans="1:15" ht="14.4">
      <c r="A396" s="1099"/>
      <c r="B396" s="1099"/>
      <c r="C396" s="1099"/>
      <c r="D396" s="1099"/>
      <c r="E396" s="1099"/>
      <c r="F396" s="1099"/>
      <c r="G396" s="1099"/>
      <c r="H396" s="1099"/>
      <c r="I396" s="1099"/>
      <c r="J396" s="1099"/>
      <c r="K396" s="1099"/>
      <c r="L396" s="1099"/>
      <c r="M396" s="1099"/>
      <c r="N396" s="1099"/>
      <c r="O396" s="1099"/>
    </row>
    <row r="397" spans="1:15" ht="14.4">
      <c r="A397" s="1099"/>
      <c r="B397" s="1099"/>
      <c r="C397" s="1099"/>
      <c r="D397" s="1099"/>
      <c r="E397" s="1099"/>
      <c r="F397" s="1099"/>
      <c r="G397" s="1099"/>
      <c r="H397" s="1099"/>
      <c r="I397" s="1099"/>
      <c r="J397" s="1099"/>
      <c r="K397" s="1099"/>
      <c r="L397" s="1099"/>
      <c r="M397" s="1099"/>
      <c r="N397" s="1099"/>
      <c r="O397" s="1099"/>
    </row>
    <row r="398" spans="1:15" ht="14.4">
      <c r="A398" s="1099"/>
      <c r="B398" s="1099"/>
      <c r="C398" s="1099"/>
      <c r="D398" s="1099"/>
      <c r="E398" s="1099"/>
      <c r="F398" s="1099"/>
      <c r="G398" s="1099"/>
      <c r="H398" s="1099"/>
      <c r="I398" s="1099"/>
      <c r="J398" s="1099"/>
      <c r="K398" s="1099"/>
      <c r="L398" s="1099"/>
      <c r="M398" s="1099"/>
      <c r="N398" s="1099"/>
      <c r="O398" s="1099"/>
    </row>
    <row r="399" spans="1:15" ht="14.4">
      <c r="A399" s="1099"/>
      <c r="B399" s="1099"/>
      <c r="C399" s="1099"/>
      <c r="D399" s="1099"/>
      <c r="E399" s="1099"/>
      <c r="F399" s="1099"/>
      <c r="G399" s="1099"/>
      <c r="H399" s="1099"/>
      <c r="I399" s="1099"/>
      <c r="J399" s="1099"/>
      <c r="K399" s="1099"/>
      <c r="L399" s="1099"/>
      <c r="M399" s="1099"/>
      <c r="N399" s="1099"/>
      <c r="O399" s="1099"/>
    </row>
    <row r="400" spans="1:15" ht="14.4">
      <c r="A400" s="1099"/>
      <c r="B400" s="1099"/>
      <c r="C400" s="1099"/>
      <c r="D400" s="1099"/>
      <c r="E400" s="1099"/>
      <c r="F400" s="1099"/>
      <c r="G400" s="1099"/>
      <c r="H400" s="1099"/>
      <c r="I400" s="1099"/>
      <c r="J400" s="1099"/>
      <c r="K400" s="1099"/>
      <c r="L400" s="1099"/>
      <c r="M400" s="1099"/>
      <c r="N400" s="1099"/>
      <c r="O400" s="1099"/>
    </row>
    <row r="401" spans="1:15" ht="14.4">
      <c r="A401" s="1099"/>
      <c r="B401" s="1099"/>
      <c r="C401" s="1099"/>
      <c r="D401" s="1099"/>
      <c r="E401" s="1099"/>
      <c r="F401" s="1099"/>
      <c r="G401" s="1099"/>
      <c r="H401" s="1099"/>
      <c r="I401" s="1099"/>
      <c r="J401" s="1099"/>
      <c r="K401" s="1099"/>
      <c r="L401" s="1099"/>
      <c r="M401" s="1099"/>
      <c r="N401" s="1099"/>
      <c r="O401" s="1099"/>
    </row>
    <row r="402" spans="1:15" ht="14.4">
      <c r="A402" s="1099"/>
      <c r="B402" s="1099"/>
      <c r="C402" s="1099"/>
      <c r="D402" s="1099"/>
      <c r="E402" s="1099"/>
      <c r="F402" s="1099"/>
      <c r="G402" s="1099"/>
      <c r="H402" s="1099"/>
      <c r="I402" s="1099"/>
      <c r="J402" s="1099"/>
      <c r="K402" s="1099"/>
      <c r="L402" s="1099"/>
      <c r="M402" s="1099"/>
      <c r="N402" s="1099"/>
      <c r="O402" s="1099"/>
    </row>
    <row r="403" spans="1:15" ht="14.4">
      <c r="A403" s="1099"/>
      <c r="B403" s="1099"/>
      <c r="C403" s="1099"/>
      <c r="D403" s="1099"/>
      <c r="E403" s="1099"/>
      <c r="F403" s="1099"/>
      <c r="G403" s="1099"/>
      <c r="H403" s="1099"/>
      <c r="I403" s="1099"/>
      <c r="J403" s="1099"/>
      <c r="K403" s="1099"/>
      <c r="L403" s="1099"/>
      <c r="M403" s="1099"/>
      <c r="N403" s="1099"/>
      <c r="O403" s="1099"/>
    </row>
    <row r="404" spans="1:15" ht="14.4">
      <c r="A404" s="1099"/>
      <c r="B404" s="1099"/>
      <c r="C404" s="1099"/>
      <c r="D404" s="1099"/>
      <c r="E404" s="1099"/>
      <c r="F404" s="1099"/>
      <c r="G404" s="1099"/>
      <c r="H404" s="1099"/>
      <c r="I404" s="1099"/>
      <c r="J404" s="1099"/>
      <c r="K404" s="1099"/>
      <c r="L404" s="1099"/>
      <c r="M404" s="1099"/>
      <c r="N404" s="1099"/>
      <c r="O404" s="1099"/>
    </row>
    <row r="405" spans="1:15" ht="14.4">
      <c r="A405" s="1099"/>
      <c r="B405" s="1099"/>
      <c r="C405" s="1099"/>
      <c r="D405" s="1099"/>
      <c r="E405" s="1099"/>
      <c r="F405" s="1099"/>
      <c r="G405" s="1099"/>
      <c r="H405" s="1099"/>
      <c r="I405" s="1099"/>
      <c r="J405" s="1099"/>
      <c r="K405" s="1099"/>
      <c r="L405" s="1099"/>
      <c r="M405" s="1099"/>
      <c r="N405" s="1099"/>
      <c r="O405" s="1099"/>
    </row>
    <row r="406" spans="1:15" ht="14.4">
      <c r="A406" s="1099"/>
      <c r="B406" s="1099"/>
      <c r="C406" s="1099"/>
      <c r="D406" s="1099"/>
      <c r="E406" s="1099"/>
      <c r="F406" s="1099"/>
      <c r="G406" s="1099"/>
      <c r="H406" s="1099"/>
      <c r="I406" s="1099"/>
      <c r="J406" s="1099"/>
      <c r="K406" s="1099"/>
      <c r="L406" s="1099"/>
      <c r="M406" s="1099"/>
      <c r="N406" s="1099"/>
      <c r="O406" s="1099"/>
    </row>
    <row r="407" spans="1:15" ht="14.4">
      <c r="A407" s="1099"/>
      <c r="B407" s="1099"/>
      <c r="C407" s="1099"/>
      <c r="D407" s="1099"/>
      <c r="E407" s="1099"/>
      <c r="F407" s="1099"/>
      <c r="G407" s="1099"/>
      <c r="H407" s="1099"/>
      <c r="I407" s="1099"/>
      <c r="J407" s="1099"/>
      <c r="K407" s="1099"/>
      <c r="L407" s="1099"/>
      <c r="M407" s="1099"/>
      <c r="N407" s="1099"/>
      <c r="O407" s="1099"/>
    </row>
    <row r="408" spans="1:15" ht="14.4">
      <c r="A408" s="1099"/>
      <c r="B408" s="1099"/>
      <c r="C408" s="1099"/>
      <c r="D408" s="1099"/>
      <c r="E408" s="1099"/>
      <c r="F408" s="1099"/>
      <c r="G408" s="1099"/>
      <c r="H408" s="1099"/>
      <c r="I408" s="1099"/>
      <c r="J408" s="1099"/>
      <c r="K408" s="1099"/>
      <c r="L408" s="1099"/>
      <c r="M408" s="1099"/>
      <c r="N408" s="1099"/>
      <c r="O408" s="1099"/>
    </row>
    <row r="409" spans="1:15" ht="14.4">
      <c r="A409" s="1099"/>
      <c r="B409" s="1099"/>
      <c r="C409" s="1099"/>
      <c r="D409" s="1099"/>
      <c r="E409" s="1099"/>
      <c r="F409" s="1099"/>
      <c r="G409" s="1099"/>
      <c r="H409" s="1099"/>
      <c r="I409" s="1099"/>
      <c r="J409" s="1099"/>
      <c r="K409" s="1099"/>
      <c r="L409" s="1099"/>
      <c r="M409" s="1099"/>
      <c r="N409" s="1099"/>
      <c r="O409" s="1099"/>
    </row>
    <row r="410" spans="1:15" ht="14.4">
      <c r="A410" s="1099"/>
      <c r="B410" s="1099"/>
      <c r="C410" s="1099"/>
      <c r="D410" s="1099"/>
      <c r="E410" s="1099"/>
      <c r="F410" s="1099"/>
      <c r="G410" s="1099"/>
      <c r="H410" s="1099"/>
      <c r="I410" s="1099"/>
      <c r="J410" s="1099"/>
      <c r="K410" s="1099"/>
      <c r="L410" s="1099"/>
      <c r="M410" s="1099"/>
      <c r="N410" s="1099"/>
      <c r="O410" s="1099"/>
    </row>
    <row r="411" spans="1:15" ht="14.4">
      <c r="A411" s="1099"/>
      <c r="B411" s="1099"/>
      <c r="C411" s="1099"/>
      <c r="D411" s="1099"/>
      <c r="E411" s="1099"/>
      <c r="F411" s="1099"/>
      <c r="G411" s="1099"/>
      <c r="H411" s="1099"/>
      <c r="I411" s="1099"/>
      <c r="J411" s="1099"/>
      <c r="K411" s="1099"/>
      <c r="L411" s="1099"/>
      <c r="M411" s="1099"/>
      <c r="N411" s="1099"/>
      <c r="O411" s="1099"/>
    </row>
    <row r="412" spans="1:15" ht="14.4">
      <c r="A412" s="1099"/>
      <c r="B412" s="1099"/>
      <c r="C412" s="1099"/>
      <c r="D412" s="1099"/>
      <c r="E412" s="1099"/>
      <c r="F412" s="1099"/>
      <c r="G412" s="1099"/>
      <c r="H412" s="1099"/>
      <c r="I412" s="1099"/>
      <c r="J412" s="1099"/>
      <c r="K412" s="1099"/>
      <c r="L412" s="1099"/>
      <c r="M412" s="1099"/>
      <c r="N412" s="1099"/>
      <c r="O412" s="1099"/>
    </row>
    <row r="413" spans="1:15" ht="14.4">
      <c r="A413" s="1099"/>
      <c r="B413" s="1099"/>
      <c r="C413" s="1099"/>
      <c r="D413" s="1099"/>
      <c r="E413" s="1099"/>
      <c r="F413" s="1099"/>
      <c r="G413" s="1099"/>
      <c r="H413" s="1099"/>
      <c r="I413" s="1099"/>
      <c r="J413" s="1099"/>
      <c r="K413" s="1099"/>
      <c r="L413" s="1099"/>
      <c r="M413" s="1099"/>
      <c r="N413" s="1099"/>
      <c r="O413" s="1099"/>
    </row>
    <row r="414" spans="1:15" ht="14.4">
      <c r="A414" s="1099"/>
      <c r="B414" s="1099"/>
      <c r="C414" s="1099"/>
      <c r="D414" s="1099"/>
      <c r="E414" s="1099"/>
      <c r="F414" s="1099"/>
      <c r="G414" s="1099"/>
      <c r="H414" s="1099"/>
      <c r="I414" s="1099"/>
      <c r="J414" s="1099"/>
      <c r="K414" s="1099"/>
      <c r="L414" s="1099"/>
      <c r="M414" s="1099"/>
      <c r="N414" s="1099"/>
      <c r="O414" s="1099"/>
    </row>
    <row r="415" spans="1:15" ht="14.4">
      <c r="A415" s="1099"/>
      <c r="B415" s="1099"/>
      <c r="C415" s="1099"/>
      <c r="D415" s="1099"/>
      <c r="E415" s="1099"/>
      <c r="F415" s="1099"/>
      <c r="G415" s="1099"/>
      <c r="H415" s="1099"/>
      <c r="I415" s="1099"/>
      <c r="J415" s="1099"/>
      <c r="K415" s="1099"/>
      <c r="L415" s="1099"/>
      <c r="M415" s="1099"/>
      <c r="N415" s="1099"/>
      <c r="O415" s="1099"/>
    </row>
    <row r="416" spans="1:15" ht="14.4">
      <c r="A416" s="1099"/>
      <c r="B416" s="1099"/>
      <c r="C416" s="1099"/>
      <c r="D416" s="1099"/>
      <c r="E416" s="1099"/>
      <c r="F416" s="1099"/>
      <c r="G416" s="1099"/>
      <c r="H416" s="1099"/>
      <c r="I416" s="1099"/>
      <c r="J416" s="1099"/>
      <c r="K416" s="1099"/>
      <c r="L416" s="1099"/>
      <c r="M416" s="1099"/>
      <c r="N416" s="1099"/>
      <c r="O416" s="1099"/>
    </row>
    <row r="417" spans="1:15" ht="14.4">
      <c r="A417" s="1099"/>
      <c r="B417" s="1099"/>
      <c r="C417" s="1099"/>
      <c r="D417" s="1099"/>
      <c r="E417" s="1099"/>
      <c r="F417" s="1099"/>
      <c r="G417" s="1099"/>
      <c r="H417" s="1099"/>
      <c r="I417" s="1099"/>
      <c r="J417" s="1099"/>
      <c r="K417" s="1099"/>
      <c r="L417" s="1099"/>
      <c r="M417" s="1099"/>
      <c r="N417" s="1099"/>
      <c r="O417" s="1099"/>
    </row>
    <row r="418" spans="1:15" ht="14.4">
      <c r="A418" s="1099"/>
      <c r="B418" s="1099"/>
      <c r="C418" s="1099"/>
      <c r="D418" s="1099"/>
      <c r="E418" s="1099"/>
      <c r="F418" s="1099"/>
      <c r="G418" s="1099"/>
      <c r="H418" s="1099"/>
      <c r="I418" s="1099"/>
      <c r="J418" s="1099"/>
      <c r="K418" s="1099"/>
      <c r="L418" s="1099"/>
      <c r="M418" s="1099"/>
      <c r="N418" s="1099"/>
      <c r="O418" s="1099"/>
    </row>
    <row r="419" spans="1:15" ht="14.4">
      <c r="A419" s="1099"/>
      <c r="B419" s="1099"/>
      <c r="C419" s="1099"/>
      <c r="D419" s="1099"/>
      <c r="E419" s="1099"/>
      <c r="F419" s="1099"/>
      <c r="G419" s="1099"/>
      <c r="H419" s="1099"/>
      <c r="I419" s="1099"/>
      <c r="J419" s="1099"/>
      <c r="K419" s="1099"/>
      <c r="L419" s="1099"/>
      <c r="M419" s="1099"/>
      <c r="N419" s="1099"/>
      <c r="O419" s="1099"/>
    </row>
    <row r="420" spans="1:15" ht="14.4">
      <c r="A420" s="1099"/>
      <c r="B420" s="1099"/>
      <c r="C420" s="1099"/>
      <c r="D420" s="1099"/>
      <c r="E420" s="1099"/>
      <c r="F420" s="1099"/>
      <c r="G420" s="1099"/>
      <c r="H420" s="1099"/>
      <c r="I420" s="1099"/>
      <c r="J420" s="1099"/>
      <c r="K420" s="1099"/>
      <c r="L420" s="1099"/>
      <c r="M420" s="1099"/>
      <c r="N420" s="1099"/>
      <c r="O420" s="1099"/>
    </row>
    <row r="421" spans="1:15" ht="14.4">
      <c r="A421" s="1099"/>
      <c r="B421" s="1099"/>
      <c r="C421" s="1099"/>
      <c r="D421" s="1099"/>
      <c r="E421" s="1099"/>
      <c r="F421" s="1099"/>
      <c r="G421" s="1099"/>
      <c r="H421" s="1099"/>
      <c r="I421" s="1099"/>
      <c r="J421" s="1099"/>
      <c r="K421" s="1099"/>
      <c r="L421" s="1099"/>
      <c r="M421" s="1099"/>
      <c r="N421" s="1099"/>
      <c r="O421" s="1099"/>
    </row>
    <row r="422" spans="1:15" ht="14.4">
      <c r="A422" s="1099"/>
      <c r="B422" s="1099"/>
      <c r="C422" s="1099"/>
      <c r="D422" s="1099"/>
      <c r="E422" s="1099"/>
      <c r="F422" s="1099"/>
      <c r="G422" s="1099"/>
      <c r="H422" s="1099"/>
      <c r="I422" s="1099"/>
      <c r="J422" s="1099"/>
      <c r="K422" s="1099"/>
      <c r="L422" s="1099"/>
      <c r="M422" s="1099"/>
      <c r="N422" s="1099"/>
      <c r="O422" s="1099"/>
    </row>
    <row r="423" spans="1:15" ht="14.4">
      <c r="A423" s="1099"/>
      <c r="B423" s="1099"/>
      <c r="C423" s="1099"/>
      <c r="D423" s="1099"/>
      <c r="E423" s="1099"/>
      <c r="F423" s="1099"/>
      <c r="G423" s="1099"/>
      <c r="H423" s="1099"/>
      <c r="I423" s="1099"/>
      <c r="J423" s="1099"/>
      <c r="K423" s="1099"/>
      <c r="L423" s="1099"/>
      <c r="M423" s="1099"/>
      <c r="N423" s="1099"/>
      <c r="O423" s="1099"/>
    </row>
    <row r="424" spans="1:15" ht="14.4">
      <c r="A424" s="1099"/>
      <c r="B424" s="1099"/>
      <c r="C424" s="1099"/>
      <c r="D424" s="1099"/>
      <c r="E424" s="1099"/>
      <c r="F424" s="1099"/>
      <c r="G424" s="1099"/>
      <c r="H424" s="1099"/>
      <c r="I424" s="1099"/>
      <c r="J424" s="1099"/>
      <c r="K424" s="1099"/>
      <c r="L424" s="1099"/>
      <c r="M424" s="1099"/>
      <c r="N424" s="1099"/>
      <c r="O424" s="1099"/>
    </row>
    <row r="425" spans="1:15" ht="14.4">
      <c r="A425" s="1099"/>
      <c r="B425" s="1099"/>
      <c r="C425" s="1099"/>
      <c r="D425" s="1099"/>
      <c r="E425" s="1099"/>
      <c r="F425" s="1099"/>
      <c r="G425" s="1099"/>
      <c r="H425" s="1099"/>
      <c r="I425" s="1099"/>
      <c r="J425" s="1099"/>
      <c r="K425" s="1099"/>
      <c r="L425" s="1099"/>
      <c r="M425" s="1099"/>
      <c r="N425" s="1099"/>
      <c r="O425" s="1099"/>
    </row>
    <row r="426" spans="1:15" ht="14.4">
      <c r="A426" s="1099"/>
      <c r="B426" s="1099"/>
      <c r="C426" s="1099"/>
      <c r="D426" s="1099"/>
      <c r="E426" s="1099"/>
      <c r="F426" s="1099"/>
      <c r="G426" s="1099"/>
      <c r="H426" s="1099"/>
      <c r="I426" s="1099"/>
      <c r="J426" s="1099"/>
      <c r="K426" s="1099"/>
      <c r="L426" s="1099"/>
      <c r="M426" s="1099"/>
      <c r="N426" s="1099"/>
      <c r="O426" s="1099"/>
    </row>
    <row r="427" spans="1:15" ht="14.4">
      <c r="A427" s="1099"/>
      <c r="B427" s="1099"/>
      <c r="C427" s="1099"/>
      <c r="D427" s="1099"/>
      <c r="E427" s="1099"/>
      <c r="F427" s="1099"/>
      <c r="G427" s="1099"/>
      <c r="H427" s="1099"/>
      <c r="I427" s="1099"/>
      <c r="J427" s="1099"/>
      <c r="K427" s="1099"/>
      <c r="L427" s="1099"/>
      <c r="M427" s="1099"/>
      <c r="N427" s="1099"/>
      <c r="O427" s="1099"/>
    </row>
    <row r="428" spans="1:15" ht="14.4">
      <c r="A428" s="1099"/>
      <c r="B428" s="1099"/>
      <c r="C428" s="1099"/>
      <c r="D428" s="1099"/>
      <c r="E428" s="1099"/>
      <c r="F428" s="1099"/>
      <c r="G428" s="1099"/>
      <c r="H428" s="1099"/>
      <c r="I428" s="1099"/>
      <c r="J428" s="1099"/>
      <c r="K428" s="1099"/>
      <c r="L428" s="1099"/>
      <c r="M428" s="1099"/>
      <c r="N428" s="1099"/>
      <c r="O428" s="1099"/>
    </row>
    <row r="429" spans="1:15" ht="14.4">
      <c r="A429" s="1099"/>
      <c r="B429" s="1099"/>
      <c r="C429" s="1099"/>
      <c r="D429" s="1099"/>
      <c r="E429" s="1099"/>
      <c r="F429" s="1099"/>
      <c r="G429" s="1099"/>
      <c r="H429" s="1099"/>
      <c r="I429" s="1099"/>
      <c r="J429" s="1099"/>
      <c r="K429" s="1099"/>
      <c r="L429" s="1099"/>
      <c r="M429" s="1099"/>
      <c r="N429" s="1099"/>
      <c r="O429" s="1099"/>
    </row>
    <row r="430" spans="1:15" ht="14.4">
      <c r="A430" s="1099"/>
      <c r="B430" s="1099"/>
      <c r="C430" s="1099"/>
      <c r="D430" s="1099"/>
      <c r="E430" s="1099"/>
      <c r="F430" s="1099"/>
      <c r="G430" s="1099"/>
      <c r="H430" s="1099"/>
      <c r="I430" s="1099"/>
      <c r="J430" s="1099"/>
      <c r="K430" s="1099"/>
      <c r="L430" s="1099"/>
      <c r="M430" s="1099"/>
      <c r="N430" s="1099"/>
      <c r="O430" s="1099"/>
    </row>
    <row r="431" spans="1:15" ht="14.4">
      <c r="A431" s="1099"/>
      <c r="B431" s="1099"/>
      <c r="C431" s="1099"/>
      <c r="D431" s="1099"/>
      <c r="E431" s="1099"/>
      <c r="F431" s="1099"/>
      <c r="G431" s="1099"/>
      <c r="H431" s="1099"/>
      <c r="I431" s="1099"/>
      <c r="J431" s="1099"/>
      <c r="K431" s="1099"/>
      <c r="L431" s="1099"/>
      <c r="M431" s="1099"/>
      <c r="N431" s="1099"/>
      <c r="O431" s="1099"/>
    </row>
    <row r="432" spans="1:15" ht="14.4">
      <c r="A432" s="1099"/>
      <c r="B432" s="1099"/>
      <c r="C432" s="1099"/>
      <c r="D432" s="1099"/>
      <c r="E432" s="1099"/>
      <c r="F432" s="1099"/>
      <c r="G432" s="1099"/>
      <c r="H432" s="1099"/>
      <c r="I432" s="1099"/>
      <c r="J432" s="1099"/>
      <c r="K432" s="1099"/>
      <c r="L432" s="1099"/>
      <c r="M432" s="1099"/>
      <c r="N432" s="1099"/>
      <c r="O432" s="1099"/>
    </row>
    <row r="433" spans="1:15" ht="14.4">
      <c r="A433" s="1099"/>
      <c r="B433" s="1099"/>
      <c r="C433" s="1099"/>
      <c r="D433" s="1099"/>
      <c r="E433" s="1099"/>
      <c r="F433" s="1099"/>
      <c r="G433" s="1099"/>
      <c r="H433" s="1099"/>
      <c r="I433" s="1099"/>
      <c r="J433" s="1099"/>
      <c r="K433" s="1099"/>
      <c r="L433" s="1099"/>
      <c r="M433" s="1099"/>
      <c r="N433" s="1099"/>
      <c r="O433" s="1099"/>
    </row>
    <row r="434" spans="1:15" ht="14.4">
      <c r="A434" s="1099"/>
      <c r="B434" s="1099"/>
      <c r="C434" s="1099"/>
      <c r="D434" s="1099"/>
      <c r="E434" s="1099"/>
      <c r="F434" s="1099"/>
      <c r="G434" s="1099"/>
      <c r="H434" s="1099"/>
      <c r="I434" s="1099"/>
      <c r="J434" s="1099"/>
      <c r="K434" s="1099"/>
      <c r="L434" s="1099"/>
      <c r="M434" s="1099"/>
      <c r="N434" s="1099"/>
      <c r="O434" s="1099"/>
    </row>
    <row r="435" spans="1:15" ht="14.4">
      <c r="A435" s="1099"/>
      <c r="B435" s="1099"/>
      <c r="C435" s="1099"/>
      <c r="D435" s="1099"/>
      <c r="E435" s="1099"/>
      <c r="F435" s="1099"/>
      <c r="G435" s="1099"/>
      <c r="H435" s="1099"/>
      <c r="I435" s="1099"/>
      <c r="J435" s="1099"/>
      <c r="K435" s="1099"/>
      <c r="L435" s="1099"/>
      <c r="M435" s="1099"/>
      <c r="N435" s="1099"/>
      <c r="O435" s="1099"/>
    </row>
    <row r="436" spans="1:15" ht="14.4">
      <c r="A436" s="1099"/>
      <c r="B436" s="1099"/>
      <c r="C436" s="1099"/>
      <c r="D436" s="1099"/>
      <c r="E436" s="1099"/>
      <c r="F436" s="1099"/>
      <c r="G436" s="1099"/>
      <c r="H436" s="1099"/>
      <c r="I436" s="1099"/>
      <c r="J436" s="1099"/>
      <c r="K436" s="1099"/>
      <c r="L436" s="1099"/>
      <c r="M436" s="1099"/>
      <c r="N436" s="1099"/>
      <c r="O436" s="1099"/>
    </row>
    <row r="437" spans="1:15" ht="14.4">
      <c r="A437" s="1099"/>
      <c r="B437" s="1099"/>
      <c r="C437" s="1099"/>
      <c r="D437" s="1099"/>
      <c r="E437" s="1099"/>
      <c r="F437" s="1099"/>
      <c r="G437" s="1099"/>
      <c r="H437" s="1099"/>
      <c r="I437" s="1099"/>
      <c r="J437" s="1099"/>
      <c r="K437" s="1099"/>
      <c r="L437" s="1099"/>
      <c r="M437" s="1099"/>
      <c r="N437" s="1099"/>
      <c r="O437" s="1099"/>
    </row>
    <row r="438" spans="1:15" ht="14.4">
      <c r="A438" s="1099"/>
      <c r="B438" s="1099"/>
      <c r="C438" s="1099"/>
      <c r="D438" s="1099"/>
      <c r="E438" s="1099"/>
      <c r="F438" s="1099"/>
      <c r="G438" s="1099"/>
      <c r="H438" s="1099"/>
      <c r="I438" s="1099"/>
      <c r="J438" s="1099"/>
      <c r="K438" s="1099"/>
      <c r="L438" s="1099"/>
      <c r="M438" s="1099"/>
      <c r="N438" s="1099"/>
      <c r="O438" s="1099"/>
    </row>
    <row r="439" spans="1:15" ht="14.4">
      <c r="A439" s="1099"/>
      <c r="B439" s="1099"/>
      <c r="C439" s="1099"/>
      <c r="D439" s="1099"/>
      <c r="E439" s="1099"/>
      <c r="F439" s="1099"/>
      <c r="G439" s="1099"/>
      <c r="H439" s="1099"/>
      <c r="I439" s="1099"/>
      <c r="J439" s="1099"/>
      <c r="K439" s="1099"/>
      <c r="L439" s="1099"/>
      <c r="M439" s="1099"/>
      <c r="N439" s="1099"/>
      <c r="O439" s="1099"/>
    </row>
    <row r="440" spans="1:15" ht="14.4">
      <c r="A440" s="1099"/>
      <c r="B440" s="1099"/>
      <c r="C440" s="1099"/>
      <c r="D440" s="1099"/>
      <c r="E440" s="1099"/>
      <c r="F440" s="1099"/>
      <c r="G440" s="1099"/>
      <c r="H440" s="1099"/>
      <c r="I440" s="1099"/>
      <c r="J440" s="1099"/>
      <c r="K440" s="1099"/>
      <c r="L440" s="1099"/>
      <c r="M440" s="1099"/>
      <c r="N440" s="1099"/>
      <c r="O440" s="1099"/>
    </row>
    <row r="441" spans="1:15" ht="14.4">
      <c r="A441" s="1099"/>
      <c r="B441" s="1099"/>
      <c r="C441" s="1099"/>
      <c r="D441" s="1099"/>
      <c r="E441" s="1099"/>
      <c r="F441" s="1099"/>
      <c r="G441" s="1099"/>
      <c r="H441" s="1099"/>
      <c r="I441" s="1099"/>
      <c r="J441" s="1099"/>
      <c r="K441" s="1099"/>
      <c r="L441" s="1099"/>
      <c r="M441" s="1099"/>
      <c r="N441" s="1099"/>
      <c r="O441" s="1099"/>
    </row>
    <row r="442" spans="1:15" ht="14.4">
      <c r="A442" s="1099"/>
      <c r="B442" s="1099"/>
      <c r="C442" s="1099"/>
      <c r="D442" s="1099"/>
      <c r="E442" s="1099"/>
      <c r="F442" s="1099"/>
      <c r="G442" s="1099"/>
      <c r="H442" s="1099"/>
      <c r="I442" s="1099"/>
      <c r="J442" s="1099"/>
      <c r="K442" s="1099"/>
      <c r="L442" s="1099"/>
      <c r="M442" s="1099"/>
      <c r="N442" s="1099"/>
      <c r="O442" s="1099"/>
    </row>
    <row r="443" spans="1:15" ht="14.4">
      <c r="A443" s="1099"/>
      <c r="B443" s="1099"/>
      <c r="C443" s="1099"/>
      <c r="D443" s="1099"/>
      <c r="E443" s="1099"/>
      <c r="F443" s="1099"/>
      <c r="G443" s="1099"/>
      <c r="H443" s="1099"/>
      <c r="I443" s="1099"/>
      <c r="J443" s="1099"/>
      <c r="K443" s="1099"/>
      <c r="L443" s="1099"/>
      <c r="M443" s="1099"/>
      <c r="N443" s="1099"/>
      <c r="O443" s="1099"/>
    </row>
    <row r="444" spans="1:15" ht="14.4">
      <c r="A444" s="1099"/>
      <c r="B444" s="1099"/>
      <c r="C444" s="1099"/>
      <c r="D444" s="1099"/>
      <c r="E444" s="1099"/>
      <c r="F444" s="1099"/>
      <c r="G444" s="1099"/>
      <c r="H444" s="1099"/>
      <c r="I444" s="1099"/>
      <c r="J444" s="1099"/>
      <c r="K444" s="1099"/>
      <c r="L444" s="1099"/>
      <c r="M444" s="1099"/>
      <c r="N444" s="1099"/>
      <c r="O444" s="1099"/>
    </row>
    <row r="445" spans="1:15" ht="14.4">
      <c r="A445" s="1099"/>
      <c r="B445" s="1099"/>
      <c r="C445" s="1099"/>
      <c r="D445" s="1099"/>
      <c r="E445" s="1099"/>
      <c r="F445" s="1099"/>
      <c r="G445" s="1099"/>
      <c r="H445" s="1099"/>
      <c r="I445" s="1099"/>
      <c r="J445" s="1099"/>
      <c r="K445" s="1099"/>
      <c r="L445" s="1099"/>
      <c r="M445" s="1099"/>
      <c r="N445" s="1099"/>
      <c r="O445" s="1099"/>
    </row>
    <row r="446" spans="1:15" ht="14.4">
      <c r="A446" s="1099"/>
      <c r="B446" s="1099"/>
      <c r="C446" s="1099"/>
      <c r="D446" s="1099"/>
      <c r="E446" s="1099"/>
      <c r="F446" s="1099"/>
      <c r="G446" s="1099"/>
      <c r="H446" s="1099"/>
      <c r="I446" s="1099"/>
      <c r="J446" s="1099"/>
      <c r="K446" s="1099"/>
      <c r="L446" s="1099"/>
      <c r="M446" s="1099"/>
      <c r="N446" s="1099"/>
      <c r="O446" s="1099"/>
    </row>
    <row r="447" spans="1:15" ht="14.4">
      <c r="A447" s="1099"/>
      <c r="B447" s="1099"/>
      <c r="C447" s="1099"/>
      <c r="D447" s="1099"/>
      <c r="E447" s="1099"/>
      <c r="F447" s="1099"/>
      <c r="G447" s="1099"/>
      <c r="H447" s="1099"/>
      <c r="I447" s="1099"/>
      <c r="J447" s="1099"/>
      <c r="K447" s="1099"/>
      <c r="L447" s="1099"/>
      <c r="M447" s="1099"/>
      <c r="N447" s="1099"/>
      <c r="O447" s="1099"/>
    </row>
    <row r="448" spans="1:15" ht="14.4">
      <c r="A448" s="1099"/>
      <c r="B448" s="1099"/>
      <c r="C448" s="1099"/>
      <c r="D448" s="1099"/>
      <c r="E448" s="1099"/>
      <c r="F448" s="1099"/>
      <c r="G448" s="1099"/>
      <c r="H448" s="1099"/>
      <c r="I448" s="1099"/>
      <c r="J448" s="1099"/>
      <c r="K448" s="1099"/>
      <c r="L448" s="1099"/>
      <c r="M448" s="1099"/>
      <c r="N448" s="1099"/>
      <c r="O448" s="1099"/>
    </row>
    <row r="449" spans="1:15" ht="14.4">
      <c r="A449" s="1099"/>
      <c r="B449" s="1099"/>
      <c r="C449" s="1099"/>
      <c r="D449" s="1099"/>
      <c r="E449" s="1099"/>
      <c r="F449" s="1099"/>
      <c r="G449" s="1099"/>
      <c r="H449" s="1099"/>
      <c r="I449" s="1099"/>
      <c r="J449" s="1099"/>
      <c r="K449" s="1099"/>
      <c r="L449" s="1099"/>
      <c r="M449" s="1099"/>
      <c r="N449" s="1099"/>
      <c r="O449" s="1099"/>
    </row>
    <row r="450" spans="1:15" ht="14.4">
      <c r="A450" s="1099"/>
      <c r="B450" s="1099"/>
      <c r="C450" s="1099"/>
      <c r="D450" s="1099">
        <v>2605980.71</v>
      </c>
      <c r="E450" s="1099"/>
      <c r="F450" s="1099"/>
      <c r="G450" s="1099"/>
      <c r="H450" s="1099"/>
      <c r="I450" s="1099"/>
      <c r="J450" s="1099"/>
      <c r="K450" s="1099"/>
      <c r="L450" s="1099"/>
      <c r="M450" s="1099"/>
      <c r="N450" s="1099"/>
      <c r="O450" s="1099"/>
    </row>
    <row r="451" spans="1:15" ht="14.4">
      <c r="A451" s="1099"/>
      <c r="B451" s="1099"/>
      <c r="C451" s="1099"/>
      <c r="D451" s="1099"/>
      <c r="E451" s="1099"/>
      <c r="F451" s="1099"/>
      <c r="G451" s="1099"/>
      <c r="H451" s="1099"/>
      <c r="I451" s="1099"/>
      <c r="J451" s="1099"/>
      <c r="K451" s="1099"/>
      <c r="L451" s="1099"/>
      <c r="M451" s="1099"/>
      <c r="N451" s="1099"/>
      <c r="O451" s="1099"/>
    </row>
    <row r="452" spans="1:15" ht="14.4">
      <c r="A452" s="1099"/>
      <c r="B452" s="1099"/>
      <c r="C452" s="1099"/>
      <c r="D452" s="1099"/>
      <c r="E452" s="1099"/>
      <c r="F452" s="1099"/>
      <c r="G452" s="1099"/>
      <c r="H452" s="1099"/>
      <c r="I452" s="1099"/>
      <c r="J452" s="1099"/>
      <c r="K452" s="1099"/>
      <c r="L452" s="1099"/>
      <c r="M452" s="1099"/>
      <c r="N452" s="1099"/>
      <c r="O452" s="1099"/>
    </row>
    <row r="453" spans="1:15" ht="14.4">
      <c r="A453" s="1099"/>
      <c r="B453" s="1099"/>
      <c r="C453" s="1099"/>
      <c r="D453" s="1099"/>
      <c r="E453" s="1099"/>
      <c r="F453" s="1099"/>
      <c r="G453" s="1099"/>
      <c r="H453" s="1099"/>
      <c r="I453" s="1099"/>
      <c r="J453" s="1099"/>
      <c r="K453" s="1099"/>
      <c r="L453" s="1099"/>
      <c r="M453" s="1099"/>
      <c r="N453" s="1099"/>
      <c r="O453" s="1099"/>
    </row>
    <row r="454" spans="1:15" ht="14.4">
      <c r="A454" s="1099"/>
      <c r="B454" s="1099"/>
      <c r="C454" s="1099"/>
      <c r="D454" s="1099">
        <v>105580.98</v>
      </c>
      <c r="E454" s="1099"/>
      <c r="F454" s="1099"/>
      <c r="G454" s="1099"/>
      <c r="H454" s="1099"/>
      <c r="I454" s="1099"/>
      <c r="J454" s="1099"/>
      <c r="K454" s="1099"/>
      <c r="L454" s="1099"/>
      <c r="M454" s="1099"/>
      <c r="N454" s="1099"/>
      <c r="O454" s="1099"/>
    </row>
  </sheetData>
  <sheetProtection algorithmName="SHA-512" hashValue="l1nut2oJBOZ2uBGE7Ey8nE7e48cdEomCDe1mWotgiEhnW3ZSaHK04zLwb+HFJBdDjZiRCjhagbhPhJ7X+2h+hA==" saltValue="XqCFHkc2cZ3KURj26UjHSg==" spinCount="100000" sheet="1" objects="1" scenarios="1"/>
  <autoFilter ref="A11:S64" xr:uid="{65097596-7137-4B02-9A56-980BA8AD9D0E}"/>
  <mergeCells count="2">
    <mergeCell ref="B5:N5"/>
    <mergeCell ref="B6:N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E2BB1-8F9A-4372-808E-6BFEC6D2BB92}">
  <sheetPr codeName="Hoja24">
    <tabColor rgb="FF92D050"/>
  </sheetPr>
  <dimension ref="B2:P379"/>
  <sheetViews>
    <sheetView showGridLines="0" topLeftCell="A55" workbookViewId="0">
      <selection activeCell="J13" sqref="J13"/>
    </sheetView>
  </sheetViews>
  <sheetFormatPr baseColWidth="10" defaultColWidth="11.44140625" defaultRowHeight="14.4"/>
  <cols>
    <col min="1" max="1" width="9" customWidth="1"/>
    <col min="2" max="2" width="13.6640625" customWidth="1"/>
    <col min="3" max="3" width="15.44140625" customWidth="1"/>
    <col min="4" max="4" width="14.6640625" style="882" customWidth="1"/>
    <col min="6" max="6" width="13.5546875" customWidth="1"/>
    <col min="7" max="7" width="16" customWidth="1"/>
    <col min="8" max="8" width="16.33203125" customWidth="1"/>
    <col min="9" max="9" width="16" customWidth="1"/>
    <col min="10" max="10" width="16" style="882" customWidth="1"/>
    <col min="12" max="12" width="16" customWidth="1"/>
    <col min="13" max="13" width="14.88671875" customWidth="1"/>
    <col min="14" max="14" width="16.109375" customWidth="1"/>
    <col min="16" max="16" width="14.88671875" customWidth="1"/>
  </cols>
  <sheetData>
    <row r="2" spans="2:16" ht="18">
      <c r="B2" s="971" t="s">
        <v>2210</v>
      </c>
      <c r="C2" s="971"/>
      <c r="F2" s="971" t="s">
        <v>2211</v>
      </c>
      <c r="L2" s="971" t="s">
        <v>2212</v>
      </c>
    </row>
    <row r="3" spans="2:16" ht="15" thickBot="1"/>
    <row r="4" spans="2:16" ht="53.4" thickBot="1">
      <c r="B4" s="972" t="s">
        <v>1232</v>
      </c>
      <c r="C4" s="972" t="s">
        <v>2037</v>
      </c>
      <c r="D4" s="972" t="s">
        <v>2976</v>
      </c>
      <c r="F4" s="972" t="s">
        <v>1232</v>
      </c>
      <c r="G4" s="972" t="s">
        <v>2037</v>
      </c>
      <c r="H4" s="972" t="s">
        <v>2976</v>
      </c>
      <c r="I4" s="972" t="s">
        <v>1721</v>
      </c>
      <c r="J4" s="973" t="s">
        <v>2977</v>
      </c>
      <c r="L4" s="972" t="s">
        <v>1232</v>
      </c>
      <c r="M4" s="972" t="s">
        <v>2037</v>
      </c>
      <c r="N4" s="972" t="s">
        <v>2978</v>
      </c>
      <c r="O4" s="972" t="s">
        <v>1721</v>
      </c>
      <c r="P4" s="973" t="s">
        <v>2979</v>
      </c>
    </row>
    <row r="5" spans="2:16">
      <c r="B5" s="896" t="s">
        <v>1554</v>
      </c>
      <c r="C5" s="897">
        <v>100000000</v>
      </c>
      <c r="D5" s="897">
        <v>203424.65753424654</v>
      </c>
      <c r="F5" s="906" t="s">
        <v>2757</v>
      </c>
      <c r="G5" s="904">
        <v>50000</v>
      </c>
      <c r="H5" s="904">
        <v>114.50590547945203</v>
      </c>
      <c r="I5" s="901">
        <v>7831.26</v>
      </c>
      <c r="J5" s="974">
        <f>+H5*I5</f>
        <v>896725.51734501345</v>
      </c>
      <c r="L5" s="906" t="s">
        <v>1638</v>
      </c>
      <c r="M5" s="904">
        <v>490000</v>
      </c>
      <c r="N5" s="904">
        <v>71307.23</v>
      </c>
      <c r="O5" s="901">
        <v>7831.26</v>
      </c>
      <c r="P5" s="974">
        <f>+N5*O5</f>
        <v>558425458.00979996</v>
      </c>
    </row>
    <row r="6" spans="2:16">
      <c r="B6" s="896" t="s">
        <v>1555</v>
      </c>
      <c r="C6" s="897">
        <v>100000000</v>
      </c>
      <c r="D6" s="897">
        <v>203424.65753424654</v>
      </c>
      <c r="F6" s="906" t="s">
        <v>2213</v>
      </c>
      <c r="G6" s="904">
        <v>50000</v>
      </c>
      <c r="H6" s="904">
        <v>114.50590547945203</v>
      </c>
      <c r="I6" s="904">
        <v>7831.26</v>
      </c>
      <c r="J6" s="974">
        <f t="shared" ref="J6:J7" si="0">+H6*I6</f>
        <v>896725.51734501345</v>
      </c>
      <c r="L6" s="906" t="s">
        <v>1640</v>
      </c>
      <c r="M6" s="904">
        <v>289000</v>
      </c>
      <c r="N6" s="904">
        <v>40436.410000000003</v>
      </c>
      <c r="O6" s="901">
        <v>7831.26</v>
      </c>
      <c r="P6" s="974">
        <f>+N6*O6</f>
        <v>316668040.17660004</v>
      </c>
    </row>
    <row r="7" spans="2:16">
      <c r="B7" s="896" t="s">
        <v>1556</v>
      </c>
      <c r="C7" s="897">
        <v>100000000</v>
      </c>
      <c r="D7" s="897">
        <v>203424.65753424654</v>
      </c>
      <c r="F7" s="906" t="s">
        <v>2214</v>
      </c>
      <c r="G7" s="904">
        <v>50000</v>
      </c>
      <c r="H7" s="904">
        <v>449.21547534246548</v>
      </c>
      <c r="I7" s="904">
        <v>7831.26</v>
      </c>
      <c r="J7" s="974">
        <f t="shared" si="0"/>
        <v>3517923.1834304365</v>
      </c>
      <c r="L7" s="906" t="s">
        <v>1639</v>
      </c>
      <c r="M7" s="904">
        <v>534000</v>
      </c>
      <c r="N7" s="904">
        <v>217062.12</v>
      </c>
      <c r="O7" s="901">
        <v>7831.26</v>
      </c>
      <c r="P7" s="974">
        <f t="shared" ref="P7" si="1">+N7*O7</f>
        <v>1699869897.8712001</v>
      </c>
    </row>
    <row r="8" spans="2:16">
      <c r="B8" s="896" t="s">
        <v>1557</v>
      </c>
      <c r="C8" s="897">
        <v>100000000</v>
      </c>
      <c r="D8" s="897">
        <v>203424.65753424654</v>
      </c>
      <c r="F8" s="906" t="s">
        <v>2215</v>
      </c>
      <c r="G8" s="904">
        <v>25000</v>
      </c>
      <c r="H8" s="904">
        <v>39.636659589041088</v>
      </c>
      <c r="I8" s="904">
        <v>7831.26</v>
      </c>
      <c r="J8" s="974">
        <f t="shared" ref="J8:J71" si="2">+H8*I8</f>
        <v>310404.98677327391</v>
      </c>
      <c r="M8" s="1059"/>
      <c r="P8" s="975">
        <f>SUM(P5:P7)</f>
        <v>2574963396.0576</v>
      </c>
    </row>
    <row r="9" spans="2:16">
      <c r="B9" s="896" t="s">
        <v>1558</v>
      </c>
      <c r="C9" s="897">
        <v>100000000</v>
      </c>
      <c r="D9" s="897">
        <v>203424.65753424654</v>
      </c>
      <c r="F9" s="906" t="s">
        <v>2216</v>
      </c>
      <c r="G9" s="904">
        <v>25000</v>
      </c>
      <c r="H9" s="904">
        <v>61.657026027397244</v>
      </c>
      <c r="I9" s="904">
        <v>7831.26</v>
      </c>
      <c r="J9" s="974">
        <f t="shared" si="2"/>
        <v>482852.20164731494</v>
      </c>
      <c r="M9" s="788"/>
    </row>
    <row r="10" spans="2:16">
      <c r="B10" s="896" t="s">
        <v>1559</v>
      </c>
      <c r="C10" s="897">
        <v>100000000</v>
      </c>
      <c r="D10" s="897">
        <v>361643.83561643836</v>
      </c>
      <c r="F10" s="906" t="s">
        <v>2217</v>
      </c>
      <c r="G10" s="904">
        <v>25000</v>
      </c>
      <c r="H10" s="904">
        <v>101.29368561643838</v>
      </c>
      <c r="I10" s="904">
        <v>7831.26</v>
      </c>
      <c r="J10" s="974">
        <f t="shared" si="2"/>
        <v>793257.18842058931</v>
      </c>
      <c r="M10" s="788"/>
    </row>
    <row r="11" spans="2:16">
      <c r="B11" s="896" t="s">
        <v>1560</v>
      </c>
      <c r="C11" s="897">
        <v>100000000</v>
      </c>
      <c r="D11" s="897">
        <v>971917.80821917742</v>
      </c>
      <c r="F11" s="906" t="s">
        <v>2218</v>
      </c>
      <c r="G11" s="904">
        <v>25000</v>
      </c>
      <c r="H11" s="904">
        <v>88.081465753424666</v>
      </c>
      <c r="I11" s="904">
        <v>7831.26</v>
      </c>
      <c r="J11" s="974">
        <f t="shared" si="2"/>
        <v>689788.85949616448</v>
      </c>
    </row>
    <row r="12" spans="2:16">
      <c r="B12" s="896" t="s">
        <v>1561</v>
      </c>
      <c r="C12" s="897">
        <v>100000000</v>
      </c>
      <c r="D12" s="897">
        <v>565068.49315068498</v>
      </c>
      <c r="F12" s="906" t="s">
        <v>2219</v>
      </c>
      <c r="G12" s="904">
        <v>25000</v>
      </c>
      <c r="H12" s="904">
        <v>96.88875342465758</v>
      </c>
      <c r="I12" s="904">
        <v>7831.26</v>
      </c>
      <c r="J12" s="974">
        <f t="shared" si="2"/>
        <v>758761.01914438396</v>
      </c>
    </row>
    <row r="13" spans="2:16">
      <c r="B13" s="896" t="s">
        <v>1562</v>
      </c>
      <c r="C13" s="897">
        <v>100000000</v>
      </c>
      <c r="D13" s="897">
        <v>565068.49315068498</v>
      </c>
      <c r="F13" s="906" t="s">
        <v>2220</v>
      </c>
      <c r="G13" s="904">
        <v>25000</v>
      </c>
      <c r="H13" s="904">
        <v>39.636308219178083</v>
      </c>
      <c r="I13" s="904">
        <v>7831.26</v>
      </c>
      <c r="J13" s="974">
        <f t="shared" si="2"/>
        <v>310402.23510452057</v>
      </c>
    </row>
    <row r="14" spans="2:16">
      <c r="B14" s="896" t="s">
        <v>1563</v>
      </c>
      <c r="C14" s="897">
        <v>100000000</v>
      </c>
      <c r="D14" s="897">
        <v>565068.49315068498</v>
      </c>
      <c r="F14" s="906" t="s">
        <v>2221</v>
      </c>
      <c r="G14" s="904">
        <v>25000</v>
      </c>
      <c r="H14" s="904">
        <v>44.040342465753426</v>
      </c>
      <c r="I14" s="904">
        <v>7831.26</v>
      </c>
      <c r="J14" s="974">
        <f t="shared" si="2"/>
        <v>344891.37233835616</v>
      </c>
    </row>
    <row r="15" spans="2:16">
      <c r="B15" s="896" t="s">
        <v>1564</v>
      </c>
      <c r="C15" s="897">
        <v>100000000</v>
      </c>
      <c r="D15" s="897">
        <v>565068.49315068498</v>
      </c>
      <c r="F15" s="906" t="s">
        <v>2222</v>
      </c>
      <c r="G15" s="904">
        <v>25000</v>
      </c>
      <c r="H15" s="904">
        <v>105.69682191780828</v>
      </c>
      <c r="I15" s="904">
        <v>7831.26</v>
      </c>
      <c r="J15" s="974">
        <f t="shared" si="2"/>
        <v>827739.29361205525</v>
      </c>
    </row>
    <row r="16" spans="2:16">
      <c r="B16" s="896" t="s">
        <v>1565</v>
      </c>
      <c r="C16" s="897">
        <v>100000000</v>
      </c>
      <c r="D16" s="897">
        <v>565068.49315068498</v>
      </c>
      <c r="F16" s="906" t="s">
        <v>2223</v>
      </c>
      <c r="G16" s="904">
        <v>50000</v>
      </c>
      <c r="H16" s="904">
        <v>26.424419178082189</v>
      </c>
      <c r="I16" s="904">
        <v>7831.26</v>
      </c>
      <c r="J16" s="974">
        <f t="shared" si="2"/>
        <v>206936.49693254792</v>
      </c>
    </row>
    <row r="17" spans="2:10">
      <c r="B17" s="896" t="s">
        <v>1566</v>
      </c>
      <c r="C17" s="897">
        <v>100000000</v>
      </c>
      <c r="D17" s="897">
        <v>881506.84931506799</v>
      </c>
      <c r="F17" s="906" t="s">
        <v>2224</v>
      </c>
      <c r="G17" s="904">
        <v>50000</v>
      </c>
      <c r="H17" s="904">
        <v>70.465117808219176</v>
      </c>
      <c r="I17" s="904">
        <v>7831.26</v>
      </c>
      <c r="J17" s="974">
        <f t="shared" si="2"/>
        <v>551830.65848679456</v>
      </c>
    </row>
    <row r="18" spans="2:10">
      <c r="B18" s="896" t="s">
        <v>1567</v>
      </c>
      <c r="C18" s="897">
        <v>100000000</v>
      </c>
      <c r="D18" s="897">
        <v>881506.84931506799</v>
      </c>
      <c r="F18" s="906" t="s">
        <v>2225</v>
      </c>
      <c r="G18" s="904">
        <v>50000</v>
      </c>
      <c r="H18" s="904">
        <v>70.465117808219176</v>
      </c>
      <c r="I18" s="904">
        <v>7831.26</v>
      </c>
      <c r="J18" s="974">
        <f t="shared" si="2"/>
        <v>551830.65848679456</v>
      </c>
    </row>
    <row r="19" spans="2:10">
      <c r="B19" s="896" t="s">
        <v>1568</v>
      </c>
      <c r="C19" s="897">
        <v>100000000</v>
      </c>
      <c r="D19" s="897">
        <v>881506.84931506799</v>
      </c>
      <c r="F19" s="906" t="s">
        <v>2226</v>
      </c>
      <c r="G19" s="904">
        <v>50000</v>
      </c>
      <c r="H19" s="904">
        <v>202.58721369863017</v>
      </c>
      <c r="I19" s="904">
        <v>7831.26</v>
      </c>
      <c r="J19" s="974">
        <f t="shared" si="2"/>
        <v>1586513.1431495345</v>
      </c>
    </row>
    <row r="20" spans="2:10">
      <c r="B20" s="896" t="s">
        <v>1569</v>
      </c>
      <c r="C20" s="897">
        <v>100000000</v>
      </c>
      <c r="D20" s="897">
        <v>881506.84931506799</v>
      </c>
      <c r="F20" s="906" t="s">
        <v>2227</v>
      </c>
      <c r="G20" s="904">
        <v>50000</v>
      </c>
      <c r="H20" s="904">
        <v>211.39535342465757</v>
      </c>
      <c r="I20" s="904">
        <v>7831.26</v>
      </c>
      <c r="J20" s="974">
        <f t="shared" si="2"/>
        <v>1655491.9754603838</v>
      </c>
    </row>
    <row r="21" spans="2:10">
      <c r="B21" s="896" t="s">
        <v>1570</v>
      </c>
      <c r="C21" s="897">
        <v>100000000</v>
      </c>
      <c r="D21" s="897">
        <v>881506.84931506799</v>
      </c>
      <c r="F21" s="906" t="s">
        <v>2228</v>
      </c>
      <c r="G21" s="904">
        <v>50000</v>
      </c>
      <c r="H21" s="904">
        <v>325.90116986301365</v>
      </c>
      <c r="I21" s="904">
        <v>7831.26</v>
      </c>
      <c r="J21" s="974">
        <f t="shared" si="2"/>
        <v>2552216.7955014245</v>
      </c>
    </row>
    <row r="22" spans="2:10">
      <c r="B22" s="896" t="s">
        <v>1571</v>
      </c>
      <c r="C22" s="897">
        <v>100000000</v>
      </c>
      <c r="D22" s="897">
        <v>971917.80821917742</v>
      </c>
      <c r="F22" s="906" t="s">
        <v>2229</v>
      </c>
      <c r="G22" s="904">
        <v>50000</v>
      </c>
      <c r="H22" s="904">
        <v>246.6279123287672</v>
      </c>
      <c r="I22" s="904">
        <v>7831.26</v>
      </c>
      <c r="J22" s="974">
        <f t="shared" si="2"/>
        <v>1931407.3047037814</v>
      </c>
    </row>
    <row r="23" spans="2:10">
      <c r="B23" s="896" t="s">
        <v>1572</v>
      </c>
      <c r="C23" s="897">
        <v>100000000</v>
      </c>
      <c r="D23" s="897">
        <v>971917.80821917742</v>
      </c>
      <c r="F23" s="906" t="s">
        <v>2230</v>
      </c>
      <c r="G23" s="904">
        <v>50000</v>
      </c>
      <c r="H23" s="904">
        <v>237.81977260273979</v>
      </c>
      <c r="I23" s="904">
        <v>7831.26</v>
      </c>
      <c r="J23" s="974">
        <f t="shared" si="2"/>
        <v>1862428.472392932</v>
      </c>
    </row>
    <row r="24" spans="2:10">
      <c r="B24" s="896" t="s">
        <v>1573</v>
      </c>
      <c r="C24" s="897">
        <v>100000000</v>
      </c>
      <c r="D24" s="897">
        <v>971917.80821917742</v>
      </c>
      <c r="F24" s="906" t="s">
        <v>2231</v>
      </c>
      <c r="G24" s="904">
        <v>25000</v>
      </c>
      <c r="H24" s="904">
        <v>74.869187671232865</v>
      </c>
      <c r="I24" s="904">
        <v>7831.26</v>
      </c>
      <c r="J24" s="974">
        <f t="shared" si="2"/>
        <v>586320.07464221912</v>
      </c>
    </row>
    <row r="25" spans="2:10">
      <c r="B25" s="896" t="s">
        <v>1574</v>
      </c>
      <c r="C25" s="897">
        <v>100000000</v>
      </c>
      <c r="D25" s="897">
        <v>971917.80821917742</v>
      </c>
      <c r="F25" s="906" t="s">
        <v>2232</v>
      </c>
      <c r="G25" s="904">
        <v>25000</v>
      </c>
      <c r="H25" s="904">
        <v>88.081397260273974</v>
      </c>
      <c r="I25" s="904">
        <v>7831.26</v>
      </c>
      <c r="J25" s="974">
        <f t="shared" si="2"/>
        <v>689788.32310849323</v>
      </c>
    </row>
    <row r="26" spans="2:10">
      <c r="B26" s="896" t="s">
        <v>1575</v>
      </c>
      <c r="C26" s="897">
        <v>100000000</v>
      </c>
      <c r="D26" s="897">
        <v>971917.80821917742</v>
      </c>
      <c r="F26" s="906" t="s">
        <v>2233</v>
      </c>
      <c r="G26" s="904">
        <v>25000</v>
      </c>
      <c r="H26" s="904">
        <v>52.848838356164372</v>
      </c>
      <c r="I26" s="904">
        <v>7831.26</v>
      </c>
      <c r="J26" s="974">
        <f t="shared" si="2"/>
        <v>413872.99386509584</v>
      </c>
    </row>
    <row r="27" spans="2:10">
      <c r="B27" s="896" t="s">
        <v>1576</v>
      </c>
      <c r="C27" s="897">
        <v>100000000</v>
      </c>
      <c r="D27" s="897">
        <v>971917.80821917742</v>
      </c>
      <c r="F27" s="906" t="s">
        <v>2234</v>
      </c>
      <c r="G27" s="904">
        <v>25000</v>
      </c>
      <c r="H27" s="904">
        <v>52.848838356164372</v>
      </c>
      <c r="I27" s="904">
        <v>7831.26</v>
      </c>
      <c r="J27" s="974">
        <f t="shared" si="2"/>
        <v>413872.99386509584</v>
      </c>
    </row>
    <row r="28" spans="2:10">
      <c r="B28" s="896" t="s">
        <v>2187</v>
      </c>
      <c r="C28" s="897">
        <v>501000000</v>
      </c>
      <c r="D28" s="897">
        <v>4068394.520547946</v>
      </c>
      <c r="F28" s="906" t="s">
        <v>2235</v>
      </c>
      <c r="G28" s="904">
        <v>1000000</v>
      </c>
      <c r="H28" s="904">
        <v>176.16279452054792</v>
      </c>
      <c r="I28" s="904">
        <v>7831.26</v>
      </c>
      <c r="J28" s="974">
        <f t="shared" si="2"/>
        <v>1379576.6462169862</v>
      </c>
    </row>
    <row r="29" spans="2:10">
      <c r="B29" s="896" t="s">
        <v>2188</v>
      </c>
      <c r="C29" s="897">
        <v>501000000</v>
      </c>
      <c r="D29" s="897">
        <v>4068394.520547946</v>
      </c>
      <c r="F29" s="906" t="s">
        <v>2236</v>
      </c>
      <c r="G29" s="904">
        <v>1000000</v>
      </c>
      <c r="H29" s="904">
        <v>176.16279452054792</v>
      </c>
      <c r="I29" s="904">
        <v>7831.26</v>
      </c>
      <c r="J29" s="974">
        <f t="shared" si="2"/>
        <v>1379576.6462169862</v>
      </c>
    </row>
    <row r="30" spans="2:10">
      <c r="B30" s="896" t="s">
        <v>2189</v>
      </c>
      <c r="C30" s="897">
        <v>501000000</v>
      </c>
      <c r="D30" s="897">
        <v>4068394.520547946</v>
      </c>
      <c r="F30" s="906" t="s">
        <v>2237</v>
      </c>
      <c r="G30" s="904">
        <v>100000</v>
      </c>
      <c r="H30" s="904">
        <v>70.68493150684931</v>
      </c>
      <c r="I30" s="904">
        <v>7831.26</v>
      </c>
      <c r="J30" s="974">
        <f t="shared" si="2"/>
        <v>553552.07671232871</v>
      </c>
    </row>
    <row r="31" spans="2:10">
      <c r="B31" s="896" t="s">
        <v>2190</v>
      </c>
      <c r="C31" s="897">
        <v>501000000</v>
      </c>
      <c r="D31" s="897">
        <v>4068394.520547946</v>
      </c>
      <c r="F31" s="906" t="s">
        <v>2238</v>
      </c>
      <c r="G31" s="904">
        <v>100000</v>
      </c>
      <c r="H31" s="904">
        <v>70.68493150684931</v>
      </c>
      <c r="I31" s="904">
        <v>7831.26</v>
      </c>
      <c r="J31" s="974">
        <f t="shared" si="2"/>
        <v>553552.07671232871</v>
      </c>
    </row>
    <row r="32" spans="2:10">
      <c r="B32" s="896" t="s">
        <v>2191</v>
      </c>
      <c r="C32" s="897">
        <v>100000000</v>
      </c>
      <c r="D32" s="897">
        <v>2418493.150684935</v>
      </c>
      <c r="F32" s="906" t="s">
        <v>2239</v>
      </c>
      <c r="G32" s="904">
        <v>100000</v>
      </c>
      <c r="H32" s="904">
        <v>70.68493150684931</v>
      </c>
      <c r="I32" s="904">
        <v>7831.26</v>
      </c>
      <c r="J32" s="974">
        <f t="shared" si="2"/>
        <v>553552.07671232871</v>
      </c>
    </row>
    <row r="33" spans="2:10">
      <c r="B33" s="896" t="s">
        <v>2192</v>
      </c>
      <c r="C33" s="897">
        <v>100000000</v>
      </c>
      <c r="D33" s="897">
        <v>2621917.8082191823</v>
      </c>
      <c r="F33" s="906" t="s">
        <v>2240</v>
      </c>
      <c r="G33" s="904">
        <v>100000</v>
      </c>
      <c r="H33" s="904">
        <v>70.68493150684931</v>
      </c>
      <c r="I33" s="904">
        <v>7831.26</v>
      </c>
      <c r="J33" s="974">
        <f t="shared" si="2"/>
        <v>553552.07671232871</v>
      </c>
    </row>
    <row r="34" spans="2:10">
      <c r="B34" s="896" t="s">
        <v>2193</v>
      </c>
      <c r="C34" s="897">
        <v>100000000</v>
      </c>
      <c r="D34" s="897">
        <v>2621917.8082191823</v>
      </c>
      <c r="F34" s="906" t="s">
        <v>2241</v>
      </c>
      <c r="G34" s="904">
        <v>100000</v>
      </c>
      <c r="H34" s="904">
        <v>70.68493150684931</v>
      </c>
      <c r="I34" s="904">
        <v>7831.26</v>
      </c>
      <c r="J34" s="974">
        <f t="shared" si="2"/>
        <v>553552.07671232871</v>
      </c>
    </row>
    <row r="35" spans="2:10">
      <c r="B35" s="896" t="s">
        <v>2194</v>
      </c>
      <c r="C35" s="897">
        <v>100000000</v>
      </c>
      <c r="D35" s="897">
        <v>2621917.8082191823</v>
      </c>
      <c r="F35" s="906" t="s">
        <v>2242</v>
      </c>
      <c r="G35" s="904">
        <v>100000</v>
      </c>
      <c r="H35" s="904">
        <v>70.68493150684931</v>
      </c>
      <c r="I35" s="904">
        <v>7831.26</v>
      </c>
      <c r="J35" s="974">
        <f t="shared" si="2"/>
        <v>553552.07671232871</v>
      </c>
    </row>
    <row r="36" spans="2:10">
      <c r="B36" s="896" t="s">
        <v>2195</v>
      </c>
      <c r="C36" s="897">
        <v>100000000</v>
      </c>
      <c r="D36" s="897">
        <v>3593835.6164383637</v>
      </c>
      <c r="F36" s="906" t="s">
        <v>2243</v>
      </c>
      <c r="G36" s="904">
        <v>100000</v>
      </c>
      <c r="H36" s="904">
        <v>70.68493150684931</v>
      </c>
      <c r="I36" s="904">
        <v>7831.26</v>
      </c>
      <c r="J36" s="974">
        <f t="shared" si="2"/>
        <v>553552.07671232871</v>
      </c>
    </row>
    <row r="37" spans="2:10">
      <c r="B37" s="896" t="s">
        <v>2196</v>
      </c>
      <c r="C37" s="897">
        <v>501000000</v>
      </c>
      <c r="D37" s="897">
        <v>11266323.287671205</v>
      </c>
      <c r="F37" s="906" t="s">
        <v>2244</v>
      </c>
      <c r="G37" s="904">
        <v>100000</v>
      </c>
      <c r="H37" s="904">
        <v>70.68493150684931</v>
      </c>
      <c r="I37" s="904">
        <v>7831.26</v>
      </c>
      <c r="J37" s="974">
        <f t="shared" si="2"/>
        <v>553552.07671232871</v>
      </c>
    </row>
    <row r="38" spans="2:10">
      <c r="B38" s="896" t="s">
        <v>2197</v>
      </c>
      <c r="C38" s="897">
        <v>501000000</v>
      </c>
      <c r="D38" s="897">
        <v>11266323.287671205</v>
      </c>
      <c r="F38" s="906" t="s">
        <v>2245</v>
      </c>
      <c r="G38" s="904">
        <v>100000</v>
      </c>
      <c r="H38" s="904">
        <v>70.68493150684931</v>
      </c>
      <c r="I38" s="904">
        <v>7831.26</v>
      </c>
      <c r="J38" s="974">
        <f t="shared" si="2"/>
        <v>553552.07671232871</v>
      </c>
    </row>
    <row r="39" spans="2:10">
      <c r="B39" s="896" t="s">
        <v>2198</v>
      </c>
      <c r="C39" s="897">
        <v>501000000</v>
      </c>
      <c r="D39" s="897">
        <v>11266323.287671205</v>
      </c>
      <c r="F39" s="906" t="s">
        <v>2246</v>
      </c>
      <c r="G39" s="904">
        <v>100000</v>
      </c>
      <c r="H39" s="904">
        <v>70.68493150684931</v>
      </c>
      <c r="I39" s="904">
        <v>7831.26</v>
      </c>
      <c r="J39" s="974">
        <f t="shared" si="2"/>
        <v>553552.07671232871</v>
      </c>
    </row>
    <row r="40" spans="2:10">
      <c r="B40" s="896" t="s">
        <v>1730</v>
      </c>
      <c r="C40" s="897">
        <v>500000000</v>
      </c>
      <c r="D40" s="897">
        <v>43401369.863013618</v>
      </c>
      <c r="F40" s="906" t="s">
        <v>2247</v>
      </c>
      <c r="G40" s="904">
        <v>100000</v>
      </c>
      <c r="H40" s="904">
        <v>70.68493150684931</v>
      </c>
      <c r="I40" s="904">
        <v>7831.26</v>
      </c>
      <c r="J40" s="974">
        <f t="shared" si="2"/>
        <v>553552.07671232871</v>
      </c>
    </row>
    <row r="41" spans="2:10">
      <c r="B41" s="896" t="s">
        <v>1731</v>
      </c>
      <c r="C41" s="897">
        <v>500000000</v>
      </c>
      <c r="D41" s="897">
        <v>43401369.863013618</v>
      </c>
      <c r="F41" s="906" t="s">
        <v>2248</v>
      </c>
      <c r="G41" s="904">
        <v>100000</v>
      </c>
      <c r="H41" s="904">
        <v>70.68493150684931</v>
      </c>
      <c r="I41" s="904">
        <v>7831.26</v>
      </c>
      <c r="J41" s="974">
        <f t="shared" si="2"/>
        <v>553552.07671232871</v>
      </c>
    </row>
    <row r="42" spans="2:10">
      <c r="B42" s="896" t="s">
        <v>1732</v>
      </c>
      <c r="C42" s="897">
        <v>500000000</v>
      </c>
      <c r="D42" s="897">
        <v>43401369.863013618</v>
      </c>
      <c r="F42" s="906" t="s">
        <v>2249</v>
      </c>
      <c r="G42" s="904">
        <v>100000</v>
      </c>
      <c r="H42" s="904">
        <v>70.68493150684931</v>
      </c>
      <c r="I42" s="904">
        <v>7831.26</v>
      </c>
      <c r="J42" s="974">
        <f t="shared" si="2"/>
        <v>553552.07671232871</v>
      </c>
    </row>
    <row r="43" spans="2:10">
      <c r="B43" s="896" t="s">
        <v>1733</v>
      </c>
      <c r="C43" s="897">
        <v>500000000</v>
      </c>
      <c r="D43" s="897">
        <v>43401369.863013618</v>
      </c>
      <c r="F43" s="906" t="s">
        <v>2250</v>
      </c>
      <c r="G43" s="904">
        <v>100000</v>
      </c>
      <c r="H43" s="904">
        <v>70.68493150684931</v>
      </c>
      <c r="I43" s="904">
        <v>7831.26</v>
      </c>
      <c r="J43" s="974">
        <f t="shared" si="2"/>
        <v>553552.07671232871</v>
      </c>
    </row>
    <row r="44" spans="2:10">
      <c r="B44" s="896" t="s">
        <v>1734</v>
      </c>
      <c r="C44" s="897">
        <v>500000000</v>
      </c>
      <c r="D44" s="897">
        <v>43401369.863013618</v>
      </c>
      <c r="F44" s="906" t="s">
        <v>2251</v>
      </c>
      <c r="G44" s="904">
        <v>100000</v>
      </c>
      <c r="H44" s="904">
        <v>70.68493150684931</v>
      </c>
      <c r="I44" s="904">
        <v>7831.26</v>
      </c>
      <c r="J44" s="974">
        <f t="shared" si="2"/>
        <v>553552.07671232871</v>
      </c>
    </row>
    <row r="45" spans="2:10">
      <c r="B45" s="896" t="s">
        <v>1735</v>
      </c>
      <c r="C45" s="897">
        <v>500000000</v>
      </c>
      <c r="D45" s="897">
        <v>43401369.863013618</v>
      </c>
      <c r="F45" s="906" t="s">
        <v>2252</v>
      </c>
      <c r="G45" s="904">
        <v>500000</v>
      </c>
      <c r="H45" s="904">
        <v>353.42465753424659</v>
      </c>
      <c r="I45" s="904">
        <v>7831.26</v>
      </c>
      <c r="J45" s="974">
        <f t="shared" si="2"/>
        <v>2767760.3835616442</v>
      </c>
    </row>
    <row r="46" spans="2:10">
      <c r="B46" s="896" t="s">
        <v>1736</v>
      </c>
      <c r="C46" s="897">
        <v>200000000</v>
      </c>
      <c r="D46" s="897">
        <v>14323562.251482992</v>
      </c>
      <c r="F46" s="906" t="s">
        <v>2253</v>
      </c>
      <c r="G46" s="904">
        <v>500000</v>
      </c>
      <c r="H46" s="904">
        <v>265.0684931506849</v>
      </c>
      <c r="I46" s="904">
        <v>7831.26</v>
      </c>
      <c r="J46" s="974">
        <f t="shared" si="2"/>
        <v>2075820.2876712326</v>
      </c>
    </row>
    <row r="47" spans="2:10">
      <c r="B47" s="896" t="s">
        <v>1737</v>
      </c>
      <c r="C47" s="897">
        <v>200000000</v>
      </c>
      <c r="D47" s="897">
        <v>14323562.251482992</v>
      </c>
      <c r="F47" s="906" t="s">
        <v>2254</v>
      </c>
      <c r="G47" s="904">
        <v>500000</v>
      </c>
      <c r="H47" s="904">
        <v>265.0684931506849</v>
      </c>
      <c r="I47" s="904">
        <v>7831.26</v>
      </c>
      <c r="J47" s="974">
        <f t="shared" si="2"/>
        <v>2075820.2876712326</v>
      </c>
    </row>
    <row r="48" spans="2:10">
      <c r="B48" s="896" t="s">
        <v>1738</v>
      </c>
      <c r="C48" s="897">
        <v>200000000</v>
      </c>
      <c r="D48" s="897">
        <v>14323562.251482992</v>
      </c>
      <c r="F48" s="906" t="s">
        <v>2255</v>
      </c>
      <c r="G48" s="904">
        <v>500000</v>
      </c>
      <c r="H48" s="904">
        <v>265.0684931506849</v>
      </c>
      <c r="I48" s="904">
        <v>7831.26</v>
      </c>
      <c r="J48" s="974">
        <f t="shared" si="2"/>
        <v>2075820.2876712326</v>
      </c>
    </row>
    <row r="49" spans="2:10">
      <c r="B49" s="896" t="s">
        <v>1739</v>
      </c>
      <c r="C49" s="897">
        <v>200000000</v>
      </c>
      <c r="D49" s="897">
        <v>14323562.251482992</v>
      </c>
      <c r="F49" s="906" t="s">
        <v>2256</v>
      </c>
      <c r="G49" s="904">
        <v>50000</v>
      </c>
      <c r="H49" s="904">
        <v>79.273972602739732</v>
      </c>
      <c r="I49" s="904">
        <v>7831.26</v>
      </c>
      <c r="J49" s="974">
        <f t="shared" si="2"/>
        <v>620815.09068493161</v>
      </c>
    </row>
    <row r="50" spans="2:10">
      <c r="B50" s="896" t="s">
        <v>1740</v>
      </c>
      <c r="C50" s="897">
        <v>200000000</v>
      </c>
      <c r="D50" s="897">
        <v>14323562.251482992</v>
      </c>
      <c r="F50" s="906" t="s">
        <v>2257</v>
      </c>
      <c r="G50" s="904">
        <v>50000</v>
      </c>
      <c r="H50" s="904">
        <v>79.273972602739732</v>
      </c>
      <c r="I50" s="904">
        <v>7831.26</v>
      </c>
      <c r="J50" s="974">
        <f t="shared" si="2"/>
        <v>620815.09068493161</v>
      </c>
    </row>
    <row r="51" spans="2:10">
      <c r="B51" s="896" t="s">
        <v>2259</v>
      </c>
      <c r="C51" s="897">
        <v>100000000</v>
      </c>
      <c r="D51" s="897">
        <v>128219.17808219179</v>
      </c>
      <c r="F51" s="906" t="s">
        <v>2258</v>
      </c>
      <c r="G51" s="904">
        <v>50000</v>
      </c>
      <c r="H51" s="904">
        <v>229.01369863013707</v>
      </c>
      <c r="I51" s="904">
        <v>7831.26</v>
      </c>
      <c r="J51" s="974">
        <f t="shared" si="2"/>
        <v>1793465.8175342472</v>
      </c>
    </row>
    <row r="52" spans="2:10">
      <c r="B52" s="896" t="s">
        <v>2261</v>
      </c>
      <c r="C52" s="897">
        <v>100000000</v>
      </c>
      <c r="D52" s="897">
        <v>128219.17808219179</v>
      </c>
      <c r="F52" s="906" t="s">
        <v>2260</v>
      </c>
      <c r="G52" s="904">
        <v>50000</v>
      </c>
      <c r="H52" s="904">
        <v>132.1232876712329</v>
      </c>
      <c r="I52" s="904">
        <v>7831.26</v>
      </c>
      <c r="J52" s="974">
        <f t="shared" si="2"/>
        <v>1034691.8178082193</v>
      </c>
    </row>
    <row r="53" spans="2:10">
      <c r="B53" s="896" t="s">
        <v>2263</v>
      </c>
      <c r="C53" s="897">
        <v>100000000</v>
      </c>
      <c r="D53" s="897">
        <v>128219.17808219179</v>
      </c>
      <c r="F53" s="906" t="s">
        <v>2262</v>
      </c>
      <c r="G53" s="904">
        <v>25000</v>
      </c>
      <c r="H53" s="904">
        <v>39.636986301369866</v>
      </c>
      <c r="I53" s="904">
        <v>7831.26</v>
      </c>
      <c r="J53" s="974">
        <f t="shared" si="2"/>
        <v>310407.5453424658</v>
      </c>
    </row>
    <row r="54" spans="2:10">
      <c r="B54" s="896" t="s">
        <v>2265</v>
      </c>
      <c r="C54" s="897">
        <v>100000000</v>
      </c>
      <c r="D54" s="897">
        <v>128219.17808219179</v>
      </c>
      <c r="F54" s="906" t="s">
        <v>2264</v>
      </c>
      <c r="G54" s="904">
        <v>25000</v>
      </c>
      <c r="H54" s="904">
        <v>39.636986301369866</v>
      </c>
      <c r="I54" s="904">
        <v>7831.26</v>
      </c>
      <c r="J54" s="974">
        <f t="shared" si="2"/>
        <v>310407.5453424658</v>
      </c>
    </row>
    <row r="55" spans="2:10">
      <c r="B55" s="896" t="s">
        <v>2267</v>
      </c>
      <c r="C55" s="897">
        <v>100000000</v>
      </c>
      <c r="D55" s="897">
        <v>128219.17808219179</v>
      </c>
      <c r="F55" s="906" t="s">
        <v>2266</v>
      </c>
      <c r="G55" s="904">
        <v>25000</v>
      </c>
      <c r="H55" s="904">
        <v>70.465753424657549</v>
      </c>
      <c r="I55" s="904">
        <v>7831.26</v>
      </c>
      <c r="J55" s="974">
        <f t="shared" si="2"/>
        <v>551835.63616438373</v>
      </c>
    </row>
    <row r="56" spans="2:10">
      <c r="B56" s="896" t="s">
        <v>1741</v>
      </c>
      <c r="C56" s="897">
        <v>100000000</v>
      </c>
      <c r="D56" s="897">
        <v>6987945.2054794757</v>
      </c>
      <c r="F56" s="906" t="s">
        <v>2268</v>
      </c>
      <c r="G56" s="904">
        <v>25000</v>
      </c>
      <c r="H56" s="904">
        <v>92.486301369863043</v>
      </c>
      <c r="I56" s="904">
        <v>7831.26</v>
      </c>
      <c r="J56" s="974">
        <f t="shared" si="2"/>
        <v>724284.27246575372</v>
      </c>
    </row>
    <row r="57" spans="2:10">
      <c r="B57" s="896" t="s">
        <v>1742</v>
      </c>
      <c r="C57" s="897">
        <v>100000000</v>
      </c>
      <c r="D57" s="897">
        <v>6987945.2054794757</v>
      </c>
      <c r="F57" s="906" t="s">
        <v>2269</v>
      </c>
      <c r="G57" s="904">
        <v>50000</v>
      </c>
      <c r="H57" s="904">
        <v>17.61643835616438</v>
      </c>
      <c r="I57" s="904">
        <v>7831.26</v>
      </c>
      <c r="J57" s="974">
        <f t="shared" si="2"/>
        <v>137958.90904109587</v>
      </c>
    </row>
    <row r="58" spans="2:10">
      <c r="B58" s="896" t="s">
        <v>1743</v>
      </c>
      <c r="C58" s="897">
        <v>100000000</v>
      </c>
      <c r="D58" s="897">
        <v>6987945.2054794757</v>
      </c>
      <c r="F58" s="906" t="s">
        <v>2270</v>
      </c>
      <c r="G58" s="904">
        <v>50000</v>
      </c>
      <c r="H58" s="904">
        <v>132.1232876712329</v>
      </c>
      <c r="I58" s="904">
        <v>7831.26</v>
      </c>
      <c r="J58" s="974">
        <f t="shared" si="2"/>
        <v>1034691.8178082193</v>
      </c>
    </row>
    <row r="59" spans="2:10">
      <c r="B59" s="896" t="s">
        <v>1744</v>
      </c>
      <c r="C59" s="897">
        <v>100000000</v>
      </c>
      <c r="D59" s="897">
        <v>6987945.2054794757</v>
      </c>
      <c r="F59" s="906" t="s">
        <v>2271</v>
      </c>
      <c r="G59" s="904">
        <v>50000</v>
      </c>
      <c r="H59" s="904">
        <v>132.1232876712329</v>
      </c>
      <c r="I59" s="904">
        <v>7831.26</v>
      </c>
      <c r="J59" s="974">
        <f t="shared" si="2"/>
        <v>1034691.8178082193</v>
      </c>
    </row>
    <row r="60" spans="2:10">
      <c r="B60" s="896" t="s">
        <v>1745</v>
      </c>
      <c r="C60" s="897">
        <v>100000000</v>
      </c>
      <c r="D60" s="897">
        <v>6987945.2054794757</v>
      </c>
      <c r="F60" s="906" t="s">
        <v>2272</v>
      </c>
      <c r="G60" s="904">
        <v>50000</v>
      </c>
      <c r="H60" s="904">
        <v>202.58904109589048</v>
      </c>
      <c r="I60" s="904">
        <v>7831.26</v>
      </c>
      <c r="J60" s="974">
        <f t="shared" si="2"/>
        <v>1586527.4539726034</v>
      </c>
    </row>
    <row r="61" spans="2:10">
      <c r="B61" s="896" t="s">
        <v>1746</v>
      </c>
      <c r="C61" s="897">
        <v>100000000</v>
      </c>
      <c r="D61" s="897">
        <v>6987945.2054794757</v>
      </c>
      <c r="F61" s="906" t="s">
        <v>2273</v>
      </c>
      <c r="G61" s="904">
        <v>25000</v>
      </c>
      <c r="H61" s="904">
        <v>17.61643835616438</v>
      </c>
      <c r="I61" s="904">
        <v>7831.26</v>
      </c>
      <c r="J61" s="974">
        <f t="shared" si="2"/>
        <v>137958.90904109587</v>
      </c>
    </row>
    <row r="62" spans="2:10">
      <c r="B62" s="896" t="s">
        <v>2275</v>
      </c>
      <c r="C62" s="897">
        <v>150000000</v>
      </c>
      <c r="D62" s="897">
        <v>256438.35616438353</v>
      </c>
      <c r="F62" s="906" t="s">
        <v>2274</v>
      </c>
      <c r="G62" s="904">
        <v>25000</v>
      </c>
      <c r="H62" s="904">
        <v>17.61643835616438</v>
      </c>
      <c r="I62" s="904">
        <v>7831.26</v>
      </c>
      <c r="J62" s="974">
        <f t="shared" si="2"/>
        <v>137958.90904109587</v>
      </c>
    </row>
    <row r="63" spans="2:10">
      <c r="B63" s="896" t="s">
        <v>2277</v>
      </c>
      <c r="C63" s="897">
        <v>150000000</v>
      </c>
      <c r="D63" s="897">
        <v>256438.35616438353</v>
      </c>
      <c r="F63" s="906" t="s">
        <v>2276</v>
      </c>
      <c r="G63" s="904">
        <v>25000</v>
      </c>
      <c r="H63" s="904">
        <v>35.232876712328761</v>
      </c>
      <c r="I63" s="904">
        <v>7831.26</v>
      </c>
      <c r="J63" s="974">
        <f t="shared" si="2"/>
        <v>275917.81808219175</v>
      </c>
    </row>
    <row r="64" spans="2:10">
      <c r="B64" s="896" t="s">
        <v>2279</v>
      </c>
      <c r="C64" s="897">
        <v>150000000</v>
      </c>
      <c r="D64" s="897">
        <v>256438.35616438353</v>
      </c>
      <c r="F64" s="906" t="s">
        <v>2278</v>
      </c>
      <c r="G64" s="904">
        <v>25000</v>
      </c>
      <c r="H64" s="904">
        <v>35.232876712328761</v>
      </c>
      <c r="I64" s="904">
        <v>7831.26</v>
      </c>
      <c r="J64" s="974">
        <f t="shared" si="2"/>
        <v>275917.81808219175</v>
      </c>
    </row>
    <row r="65" spans="2:10">
      <c r="B65" s="896" t="s">
        <v>2281</v>
      </c>
      <c r="C65" s="897">
        <v>150000000</v>
      </c>
      <c r="D65" s="897">
        <v>256438.35616438353</v>
      </c>
      <c r="F65" s="906" t="s">
        <v>2280</v>
      </c>
      <c r="G65" s="904">
        <v>50000</v>
      </c>
      <c r="H65" s="904">
        <v>114.50684931506852</v>
      </c>
      <c r="I65" s="904">
        <v>7831.26</v>
      </c>
      <c r="J65" s="974">
        <f t="shared" si="2"/>
        <v>896732.90876712359</v>
      </c>
    </row>
    <row r="66" spans="2:10">
      <c r="B66" s="896" t="s">
        <v>2283</v>
      </c>
      <c r="C66" s="897">
        <v>150000000</v>
      </c>
      <c r="D66" s="897">
        <v>256438.35616438353</v>
      </c>
      <c r="F66" s="906" t="s">
        <v>2282</v>
      </c>
      <c r="G66" s="904">
        <v>50000</v>
      </c>
      <c r="H66" s="904">
        <v>114.50684931506852</v>
      </c>
      <c r="I66" s="904">
        <v>7831.26</v>
      </c>
      <c r="J66" s="974">
        <f t="shared" si="2"/>
        <v>896732.90876712359</v>
      </c>
    </row>
    <row r="67" spans="2:10">
      <c r="B67" s="896" t="s">
        <v>2285</v>
      </c>
      <c r="C67" s="897">
        <v>150000000</v>
      </c>
      <c r="D67" s="897">
        <v>256438.35616438353</v>
      </c>
      <c r="F67" s="906" t="s">
        <v>2284</v>
      </c>
      <c r="G67" s="904">
        <v>25000</v>
      </c>
      <c r="H67" s="904">
        <v>4.404109589041096</v>
      </c>
      <c r="I67" s="904">
        <v>7831.26</v>
      </c>
      <c r="J67" s="974">
        <f t="shared" si="2"/>
        <v>34489.727260273976</v>
      </c>
    </row>
    <row r="68" spans="2:10">
      <c r="B68" s="896" t="s">
        <v>2287</v>
      </c>
      <c r="C68" s="897">
        <v>150000000</v>
      </c>
      <c r="D68" s="897">
        <v>256438.35616438353</v>
      </c>
      <c r="F68" s="906" t="s">
        <v>2286</v>
      </c>
      <c r="G68" s="904">
        <v>25000</v>
      </c>
      <c r="H68" s="904">
        <v>4.404109589041096</v>
      </c>
      <c r="I68" s="904">
        <v>7831.26</v>
      </c>
      <c r="J68" s="974">
        <f t="shared" si="2"/>
        <v>34489.727260273976</v>
      </c>
    </row>
    <row r="69" spans="2:10">
      <c r="B69" s="896" t="s">
        <v>2288</v>
      </c>
      <c r="C69" s="897">
        <v>150000000</v>
      </c>
      <c r="D69" s="897">
        <v>256438.35616438353</v>
      </c>
      <c r="F69" s="906" t="s">
        <v>1702</v>
      </c>
      <c r="G69" s="904">
        <v>25000</v>
      </c>
      <c r="H69" s="904">
        <v>8.8082191780821919</v>
      </c>
      <c r="I69" s="904">
        <v>7831.26</v>
      </c>
      <c r="J69" s="974">
        <f t="shared" si="2"/>
        <v>68979.454520547952</v>
      </c>
    </row>
    <row r="70" spans="2:10">
      <c r="B70" s="896" t="s">
        <v>1747</v>
      </c>
      <c r="C70" s="897">
        <v>150000000</v>
      </c>
      <c r="D70" s="897">
        <v>10481917.80821912</v>
      </c>
      <c r="F70" s="906" t="s">
        <v>2289</v>
      </c>
      <c r="G70" s="904">
        <v>25000</v>
      </c>
      <c r="H70" s="904">
        <v>30.828767123287669</v>
      </c>
      <c r="I70" s="904">
        <v>7831.26</v>
      </c>
      <c r="J70" s="974">
        <f t="shared" si="2"/>
        <v>241428.09082191781</v>
      </c>
    </row>
    <row r="71" spans="2:10">
      <c r="B71" s="896" t="s">
        <v>1748</v>
      </c>
      <c r="C71" s="897">
        <v>150000000</v>
      </c>
      <c r="D71" s="897">
        <v>10481917.80821912</v>
      </c>
      <c r="F71" s="906" t="s">
        <v>2290</v>
      </c>
      <c r="G71" s="904">
        <v>25000</v>
      </c>
      <c r="H71" s="904">
        <v>13.212328767123289</v>
      </c>
      <c r="I71" s="904">
        <v>7831.26</v>
      </c>
      <c r="J71" s="974">
        <f t="shared" si="2"/>
        <v>103469.18178082193</v>
      </c>
    </row>
    <row r="72" spans="2:10">
      <c r="B72" s="896" t="s">
        <v>1749</v>
      </c>
      <c r="C72" s="897">
        <v>150000000</v>
      </c>
      <c r="D72" s="897">
        <v>10481917.80821912</v>
      </c>
      <c r="F72" s="906" t="s">
        <v>2291</v>
      </c>
      <c r="G72" s="904">
        <v>25000</v>
      </c>
      <c r="H72" s="904">
        <v>13.212328767123289</v>
      </c>
      <c r="I72" s="904">
        <v>7831.26</v>
      </c>
      <c r="J72" s="974">
        <f t="shared" ref="J72" si="3">+H72*I72</f>
        <v>103469.18178082193</v>
      </c>
    </row>
    <row r="73" spans="2:10">
      <c r="B73" s="896" t="s">
        <v>1750</v>
      </c>
      <c r="C73" s="897">
        <v>150000000</v>
      </c>
      <c r="D73" s="897">
        <v>10481917.80821912</v>
      </c>
      <c r="F73" s="906" t="s">
        <v>2292</v>
      </c>
      <c r="G73" s="904">
        <v>25000</v>
      </c>
      <c r="H73" s="904">
        <v>26.424657534246574</v>
      </c>
      <c r="I73" s="904">
        <v>7831.26</v>
      </c>
      <c r="J73" s="974">
        <f t="shared" ref="J73:J119" si="4">+H73*I73</f>
        <v>206938.36356164384</v>
      </c>
    </row>
    <row r="74" spans="2:10">
      <c r="B74" s="896" t="s">
        <v>1751</v>
      </c>
      <c r="C74" s="897">
        <v>150000000</v>
      </c>
      <c r="D74" s="897">
        <v>10481917.80821912</v>
      </c>
      <c r="F74" s="906" t="s">
        <v>2293</v>
      </c>
      <c r="G74" s="904">
        <v>200000</v>
      </c>
      <c r="H74" s="904">
        <v>213.69863013698631</v>
      </c>
      <c r="I74" s="904">
        <v>7831.26</v>
      </c>
      <c r="J74" s="974">
        <f t="shared" si="4"/>
        <v>1673529.5342465756</v>
      </c>
    </row>
    <row r="75" spans="2:10">
      <c r="B75" s="896" t="s">
        <v>1752</v>
      </c>
      <c r="C75" s="897">
        <v>150000000</v>
      </c>
      <c r="D75" s="897">
        <v>10481917.80821912</v>
      </c>
      <c r="F75" s="906" t="s">
        <v>2294</v>
      </c>
      <c r="G75" s="904">
        <v>200000</v>
      </c>
      <c r="H75" s="904">
        <v>213.69863013698631</v>
      </c>
      <c r="I75" s="904">
        <v>7831.26</v>
      </c>
      <c r="J75" s="974">
        <f t="shared" si="4"/>
        <v>1673529.5342465756</v>
      </c>
    </row>
    <row r="76" spans="2:10">
      <c r="B76" s="896" t="s">
        <v>1753</v>
      </c>
      <c r="C76" s="897">
        <v>150000000</v>
      </c>
      <c r="D76" s="897">
        <v>10481917.80821912</v>
      </c>
      <c r="F76" s="906" t="s">
        <v>2295</v>
      </c>
      <c r="G76" s="904">
        <v>200000</v>
      </c>
      <c r="H76" s="904">
        <v>213.69863013698631</v>
      </c>
      <c r="I76" s="904">
        <v>7831.26</v>
      </c>
      <c r="J76" s="974">
        <f t="shared" si="4"/>
        <v>1673529.5342465756</v>
      </c>
    </row>
    <row r="77" spans="2:10">
      <c r="B77" s="896" t="s">
        <v>1754</v>
      </c>
      <c r="C77" s="897">
        <v>150000000</v>
      </c>
      <c r="D77" s="897">
        <v>10481917.80821912</v>
      </c>
      <c r="F77" s="906" t="s">
        <v>2296</v>
      </c>
      <c r="G77" s="904">
        <v>200000</v>
      </c>
      <c r="H77" s="904">
        <v>213.69863013698631</v>
      </c>
      <c r="I77" s="904">
        <v>7831.26</v>
      </c>
      <c r="J77" s="974">
        <f t="shared" si="4"/>
        <v>1673529.5342465756</v>
      </c>
    </row>
    <row r="78" spans="2:10">
      <c r="B78" s="896" t="s">
        <v>2298</v>
      </c>
      <c r="C78" s="897">
        <v>200000000</v>
      </c>
      <c r="D78" s="897">
        <v>256438.35616438359</v>
      </c>
      <c r="F78" s="906" t="s">
        <v>2297</v>
      </c>
      <c r="G78" s="904">
        <v>200000</v>
      </c>
      <c r="H78" s="904">
        <v>213.69863013698631</v>
      </c>
      <c r="I78" s="904">
        <v>7831.26</v>
      </c>
      <c r="J78" s="974">
        <f t="shared" si="4"/>
        <v>1673529.5342465756</v>
      </c>
    </row>
    <row r="79" spans="2:10">
      <c r="B79" s="896" t="s">
        <v>2300</v>
      </c>
      <c r="C79" s="897">
        <v>200000000</v>
      </c>
      <c r="D79" s="897">
        <v>256438.35616438359</v>
      </c>
      <c r="F79" s="906" t="s">
        <v>2299</v>
      </c>
      <c r="G79" s="904">
        <v>200000</v>
      </c>
      <c r="H79" s="904">
        <v>213.69863013698631</v>
      </c>
      <c r="I79" s="904">
        <v>7831.26</v>
      </c>
      <c r="J79" s="974">
        <f t="shared" si="4"/>
        <v>1673529.5342465756</v>
      </c>
    </row>
    <row r="80" spans="2:10">
      <c r="B80" s="896" t="s">
        <v>2302</v>
      </c>
      <c r="C80" s="897">
        <v>200000000</v>
      </c>
      <c r="D80" s="897">
        <v>256438.35616438359</v>
      </c>
      <c r="F80" s="906" t="s">
        <v>2301</v>
      </c>
      <c r="G80" s="904">
        <v>200000</v>
      </c>
      <c r="H80" s="904">
        <v>213.69863013698631</v>
      </c>
      <c r="I80" s="904">
        <v>7831.26</v>
      </c>
      <c r="J80" s="974">
        <f t="shared" si="4"/>
        <v>1673529.5342465756</v>
      </c>
    </row>
    <row r="81" spans="2:10">
      <c r="B81" s="896" t="s">
        <v>2304</v>
      </c>
      <c r="C81" s="897">
        <v>200000000</v>
      </c>
      <c r="D81" s="897">
        <v>256438.35616438359</v>
      </c>
      <c r="F81" s="906" t="s">
        <v>2303</v>
      </c>
      <c r="G81" s="904">
        <v>200000</v>
      </c>
      <c r="H81" s="904">
        <v>213.69863013698631</v>
      </c>
      <c r="I81" s="904">
        <v>7831.26</v>
      </c>
      <c r="J81" s="974">
        <f t="shared" si="4"/>
        <v>1673529.5342465756</v>
      </c>
    </row>
    <row r="82" spans="2:10">
      <c r="B82" s="896" t="s">
        <v>2306</v>
      </c>
      <c r="C82" s="897">
        <v>200000000</v>
      </c>
      <c r="D82" s="897">
        <v>256438.35616438359</v>
      </c>
      <c r="F82" s="906" t="s">
        <v>2305</v>
      </c>
      <c r="G82" s="904">
        <v>200000</v>
      </c>
      <c r="H82" s="904">
        <v>213.69863013698631</v>
      </c>
      <c r="I82" s="904">
        <v>7831.26</v>
      </c>
      <c r="J82" s="974">
        <f t="shared" si="4"/>
        <v>1673529.5342465756</v>
      </c>
    </row>
    <row r="83" spans="2:10">
      <c r="B83" s="896" t="s">
        <v>2308</v>
      </c>
      <c r="C83" s="897">
        <v>200000000</v>
      </c>
      <c r="D83" s="897">
        <v>256438.35616438359</v>
      </c>
      <c r="F83" s="906" t="s">
        <v>2307</v>
      </c>
      <c r="G83" s="904">
        <v>200000</v>
      </c>
      <c r="H83" s="904">
        <v>213.69863013698631</v>
      </c>
      <c r="I83" s="904">
        <v>7831.26</v>
      </c>
      <c r="J83" s="974">
        <f t="shared" si="4"/>
        <v>1673529.5342465756</v>
      </c>
    </row>
    <row r="84" spans="2:10">
      <c r="B84" s="896" t="s">
        <v>2309</v>
      </c>
      <c r="C84" s="897">
        <v>200000000</v>
      </c>
      <c r="D84" s="897">
        <v>256438.35616438359</v>
      </c>
      <c r="F84" s="906" t="s">
        <v>1704</v>
      </c>
      <c r="G84" s="904">
        <v>200000</v>
      </c>
      <c r="H84" s="904">
        <v>213.69863013698631</v>
      </c>
      <c r="I84" s="904">
        <v>7831.26</v>
      </c>
      <c r="J84" s="974">
        <f t="shared" si="4"/>
        <v>1673529.5342465756</v>
      </c>
    </row>
    <row r="85" spans="2:10">
      <c r="B85" s="896" t="s">
        <v>2310</v>
      </c>
      <c r="C85" s="897">
        <v>200000000</v>
      </c>
      <c r="D85" s="897">
        <v>256438.35616438359</v>
      </c>
      <c r="F85" s="906" t="s">
        <v>1705</v>
      </c>
      <c r="G85" s="904">
        <v>200000</v>
      </c>
      <c r="H85" s="904">
        <v>213.69863013698631</v>
      </c>
      <c r="I85" s="904">
        <v>7831.26</v>
      </c>
      <c r="J85" s="974">
        <f t="shared" si="4"/>
        <v>1673529.5342465756</v>
      </c>
    </row>
    <row r="86" spans="2:10">
      <c r="B86" s="896" t="s">
        <v>2311</v>
      </c>
      <c r="C86" s="897">
        <v>200000000</v>
      </c>
      <c r="D86" s="897">
        <v>256438.35616438359</v>
      </c>
      <c r="F86" s="906" t="s">
        <v>1706</v>
      </c>
      <c r="G86" s="904">
        <v>200000</v>
      </c>
      <c r="H86" s="904">
        <v>213.69863013698631</v>
      </c>
      <c r="I86" s="904">
        <v>7831.26</v>
      </c>
      <c r="J86" s="974">
        <f t="shared" si="4"/>
        <v>1673529.5342465756</v>
      </c>
    </row>
    <row r="87" spans="2:10">
      <c r="B87" s="896" t="s">
        <v>2313</v>
      </c>
      <c r="C87" s="897">
        <v>200000000</v>
      </c>
      <c r="D87" s="897">
        <v>256438.35616438359</v>
      </c>
      <c r="F87" s="906" t="s">
        <v>2312</v>
      </c>
      <c r="G87" s="904">
        <v>25000</v>
      </c>
      <c r="H87" s="904">
        <v>57.253424657534261</v>
      </c>
      <c r="I87" s="904">
        <v>7831.26</v>
      </c>
      <c r="J87" s="974">
        <f t="shared" si="4"/>
        <v>448366.4543835618</v>
      </c>
    </row>
    <row r="88" spans="2:10">
      <c r="B88" s="896" t="s">
        <v>2315</v>
      </c>
      <c r="C88" s="897">
        <v>200000000</v>
      </c>
      <c r="D88" s="897">
        <v>299178.08219178079</v>
      </c>
      <c r="F88" s="906" t="s">
        <v>2314</v>
      </c>
      <c r="G88" s="904">
        <v>25000</v>
      </c>
      <c r="H88" s="904">
        <v>57.253424657534261</v>
      </c>
      <c r="I88" s="904">
        <v>7831.26</v>
      </c>
      <c r="J88" s="974">
        <f t="shared" si="4"/>
        <v>448366.4543835618</v>
      </c>
    </row>
    <row r="89" spans="2:10">
      <c r="B89" s="896" t="s">
        <v>2317</v>
      </c>
      <c r="C89" s="897">
        <v>200000000</v>
      </c>
      <c r="D89" s="897">
        <v>299178.08219178079</v>
      </c>
      <c r="F89" s="906" t="s">
        <v>2316</v>
      </c>
      <c r="G89" s="904">
        <v>25000</v>
      </c>
      <c r="H89" s="904">
        <v>57.253424657534261</v>
      </c>
      <c r="I89" s="904">
        <v>7831.26</v>
      </c>
      <c r="J89" s="974">
        <f t="shared" si="4"/>
        <v>448366.4543835618</v>
      </c>
    </row>
    <row r="90" spans="2:10">
      <c r="B90" s="896" t="s">
        <v>2319</v>
      </c>
      <c r="C90" s="897">
        <v>200000000</v>
      </c>
      <c r="D90" s="897">
        <v>299178.08219178079</v>
      </c>
      <c r="F90" s="906" t="s">
        <v>2318</v>
      </c>
      <c r="G90" s="904">
        <v>25000</v>
      </c>
      <c r="H90" s="904">
        <v>57.253424657534261</v>
      </c>
      <c r="I90" s="904">
        <v>7831.26</v>
      </c>
      <c r="J90" s="974">
        <f t="shared" si="4"/>
        <v>448366.4543835618</v>
      </c>
    </row>
    <row r="91" spans="2:10">
      <c r="B91" s="896" t="s">
        <v>2321</v>
      </c>
      <c r="C91" s="897">
        <v>200000000</v>
      </c>
      <c r="D91" s="897">
        <v>299178.08219178079</v>
      </c>
      <c r="F91" s="906" t="s">
        <v>2320</v>
      </c>
      <c r="G91" s="904">
        <v>25000</v>
      </c>
      <c r="H91" s="904">
        <v>61.657534246575359</v>
      </c>
      <c r="I91" s="904">
        <v>7831.26</v>
      </c>
      <c r="J91" s="974">
        <f t="shared" si="4"/>
        <v>482856.18164383573</v>
      </c>
    </row>
    <row r="92" spans="2:10">
      <c r="B92" s="896" t="s">
        <v>2323</v>
      </c>
      <c r="C92" s="897">
        <v>200000000</v>
      </c>
      <c r="D92" s="897">
        <v>299178.08219178079</v>
      </c>
      <c r="F92" s="906" t="s">
        <v>2322</v>
      </c>
      <c r="G92" s="904">
        <v>25000</v>
      </c>
      <c r="H92" s="904">
        <v>79.273972602739747</v>
      </c>
      <c r="I92" s="904">
        <v>7831.26</v>
      </c>
      <c r="J92" s="974">
        <f t="shared" si="4"/>
        <v>620815.09068493173</v>
      </c>
    </row>
    <row r="93" spans="2:10">
      <c r="B93" s="896" t="s">
        <v>2325</v>
      </c>
      <c r="C93" s="897">
        <v>200000000</v>
      </c>
      <c r="D93" s="897">
        <v>341917.80821917806</v>
      </c>
      <c r="F93" s="906" t="s">
        <v>2324</v>
      </c>
      <c r="G93" s="904">
        <v>25000</v>
      </c>
      <c r="H93" s="904">
        <v>22.020547945205479</v>
      </c>
      <c r="I93" s="904">
        <v>7831.26</v>
      </c>
      <c r="J93" s="974">
        <f t="shared" si="4"/>
        <v>172448.63630136987</v>
      </c>
    </row>
    <row r="94" spans="2:10">
      <c r="B94" s="896" t="s">
        <v>2327</v>
      </c>
      <c r="C94" s="897">
        <v>200000000</v>
      </c>
      <c r="D94" s="897">
        <v>341917.80821917806</v>
      </c>
      <c r="F94" s="906" t="s">
        <v>2326</v>
      </c>
      <c r="G94" s="904">
        <v>50000</v>
      </c>
      <c r="H94" s="904">
        <v>105.69863013698632</v>
      </c>
      <c r="I94" s="904">
        <v>7831.26</v>
      </c>
      <c r="J94" s="974">
        <f t="shared" si="4"/>
        <v>827753.45424657559</v>
      </c>
    </row>
    <row r="95" spans="2:10">
      <c r="B95" s="896" t="s">
        <v>2329</v>
      </c>
      <c r="C95" s="897">
        <v>200000000</v>
      </c>
      <c r="D95" s="897">
        <v>341917.80821917806</v>
      </c>
      <c r="F95" s="906" t="s">
        <v>2328</v>
      </c>
      <c r="G95" s="904">
        <v>50000</v>
      </c>
      <c r="H95" s="904">
        <v>105.69863013698632</v>
      </c>
      <c r="I95" s="904">
        <v>7831.26</v>
      </c>
      <c r="J95" s="974">
        <f t="shared" si="4"/>
        <v>827753.45424657559</v>
      </c>
    </row>
    <row r="96" spans="2:10">
      <c r="B96" s="896" t="s">
        <v>2331</v>
      </c>
      <c r="C96" s="897">
        <v>200000000</v>
      </c>
      <c r="D96" s="897">
        <v>341917.80821917806</v>
      </c>
      <c r="F96" s="906" t="s">
        <v>2330</v>
      </c>
      <c r="G96" s="904">
        <v>50000</v>
      </c>
      <c r="H96" s="904">
        <v>105.69863013698632</v>
      </c>
      <c r="I96" s="904">
        <v>7831.26</v>
      </c>
      <c r="J96" s="974">
        <f t="shared" si="4"/>
        <v>827753.45424657559</v>
      </c>
    </row>
    <row r="97" spans="2:10">
      <c r="B97" s="896" t="s">
        <v>2333</v>
      </c>
      <c r="C97" s="897">
        <v>200000000</v>
      </c>
      <c r="D97" s="897">
        <v>341917.80821917806</v>
      </c>
      <c r="F97" s="906" t="s">
        <v>2332</v>
      </c>
      <c r="G97" s="904">
        <v>50000</v>
      </c>
      <c r="H97" s="904">
        <v>105.69863013698632</v>
      </c>
      <c r="I97" s="904">
        <v>7831.26</v>
      </c>
      <c r="J97" s="974">
        <f t="shared" si="4"/>
        <v>827753.45424657559</v>
      </c>
    </row>
    <row r="98" spans="2:10">
      <c r="B98" s="896" t="s">
        <v>2335</v>
      </c>
      <c r="C98" s="897">
        <v>200000000</v>
      </c>
      <c r="D98" s="897">
        <v>341917.80821917806</v>
      </c>
      <c r="F98" s="906" t="s">
        <v>2334</v>
      </c>
      <c r="G98" s="904">
        <v>50000</v>
      </c>
      <c r="H98" s="904">
        <v>193.78082191780828</v>
      </c>
      <c r="I98" s="904">
        <v>7831.26</v>
      </c>
      <c r="J98" s="974">
        <f t="shared" si="4"/>
        <v>1517547.9994520554</v>
      </c>
    </row>
    <row r="99" spans="2:10">
      <c r="B99" s="896" t="s">
        <v>2337</v>
      </c>
      <c r="C99" s="897">
        <v>200000000</v>
      </c>
      <c r="D99" s="897">
        <v>341917.80821917806</v>
      </c>
      <c r="F99" s="906" t="s">
        <v>2336</v>
      </c>
      <c r="G99" s="904">
        <v>50000</v>
      </c>
      <c r="H99" s="904">
        <v>237.82191780821927</v>
      </c>
      <c r="I99" s="904">
        <v>7831.26</v>
      </c>
      <c r="J99" s="974">
        <f t="shared" si="4"/>
        <v>1862445.2720547952</v>
      </c>
    </row>
    <row r="100" spans="2:10">
      <c r="B100" s="896" t="s">
        <v>2339</v>
      </c>
      <c r="C100" s="897">
        <v>200000000</v>
      </c>
      <c r="D100" s="897">
        <v>341917.80821917806</v>
      </c>
      <c r="F100" s="906" t="s">
        <v>2338</v>
      </c>
      <c r="G100" s="904">
        <v>25000</v>
      </c>
      <c r="H100" s="904">
        <v>79.273972602739747</v>
      </c>
      <c r="I100" s="904">
        <v>7831.26</v>
      </c>
      <c r="J100" s="974">
        <f t="shared" si="4"/>
        <v>620815.09068493173</v>
      </c>
    </row>
    <row r="101" spans="2:10">
      <c r="B101" s="896" t="s">
        <v>2341</v>
      </c>
      <c r="C101" s="897">
        <v>200000000</v>
      </c>
      <c r="D101" s="897">
        <v>341917.80821917806</v>
      </c>
      <c r="F101" s="906" t="s">
        <v>2340</v>
      </c>
      <c r="G101" s="904">
        <v>25000</v>
      </c>
      <c r="H101" s="904">
        <v>127.71917808219183</v>
      </c>
      <c r="I101" s="904">
        <v>7831.26</v>
      </c>
      <c r="J101" s="974">
        <f t="shared" si="4"/>
        <v>1000202.0905479456</v>
      </c>
    </row>
    <row r="102" spans="2:10">
      <c r="B102" s="896" t="s">
        <v>2343</v>
      </c>
      <c r="C102" s="897">
        <v>200000000</v>
      </c>
      <c r="D102" s="897">
        <v>341917.80821917806</v>
      </c>
      <c r="F102" s="906" t="s">
        <v>2342</v>
      </c>
      <c r="G102" s="904">
        <v>25000</v>
      </c>
      <c r="H102" s="904">
        <v>79.273972602739747</v>
      </c>
      <c r="I102" s="904">
        <v>7831.26</v>
      </c>
      <c r="J102" s="974">
        <f t="shared" si="4"/>
        <v>620815.09068493173</v>
      </c>
    </row>
    <row r="103" spans="2:10">
      <c r="B103" s="896" t="s">
        <v>2345</v>
      </c>
      <c r="C103" s="897">
        <v>200000000</v>
      </c>
      <c r="D103" s="897">
        <v>256438.35616438356</v>
      </c>
      <c r="F103" s="906" t="s">
        <v>2344</v>
      </c>
      <c r="G103" s="904">
        <v>25000</v>
      </c>
      <c r="H103" s="904">
        <v>118.91095890410963</v>
      </c>
      <c r="I103" s="904">
        <v>7831.26</v>
      </c>
      <c r="J103" s="974">
        <f t="shared" si="4"/>
        <v>931222.63602739759</v>
      </c>
    </row>
    <row r="104" spans="2:10">
      <c r="B104" s="896" t="s">
        <v>2347</v>
      </c>
      <c r="C104" s="897">
        <v>200000000</v>
      </c>
      <c r="D104" s="897">
        <v>256438.35616438356</v>
      </c>
      <c r="F104" s="906" t="s">
        <v>2346</v>
      </c>
      <c r="G104" s="904">
        <v>50000</v>
      </c>
      <c r="H104" s="904">
        <v>114.50684931506852</v>
      </c>
      <c r="I104" s="904">
        <v>7831.26</v>
      </c>
      <c r="J104" s="974">
        <f t="shared" si="4"/>
        <v>896732.90876712359</v>
      </c>
    </row>
    <row r="105" spans="2:10">
      <c r="B105" s="896" t="s">
        <v>2349</v>
      </c>
      <c r="C105" s="897">
        <v>200000000</v>
      </c>
      <c r="D105" s="897">
        <v>256438.35616438356</v>
      </c>
      <c r="F105" s="906" t="s">
        <v>2348</v>
      </c>
      <c r="G105" s="904">
        <v>50000</v>
      </c>
      <c r="H105" s="904">
        <v>184.97260273972609</v>
      </c>
      <c r="I105" s="904">
        <v>7831.26</v>
      </c>
      <c r="J105" s="974">
        <f t="shared" si="4"/>
        <v>1448568.5449315074</v>
      </c>
    </row>
    <row r="106" spans="2:10">
      <c r="B106" s="896" t="s">
        <v>2351</v>
      </c>
      <c r="C106" s="897">
        <v>200000000</v>
      </c>
      <c r="D106" s="897">
        <v>256438.35616438356</v>
      </c>
      <c r="F106" s="906" t="s">
        <v>2350</v>
      </c>
      <c r="G106" s="904">
        <v>25000</v>
      </c>
      <c r="H106" s="904">
        <v>39.636986301369866</v>
      </c>
      <c r="I106" s="904">
        <v>7831.26</v>
      </c>
      <c r="J106" s="974">
        <f t="shared" si="4"/>
        <v>310407.5453424658</v>
      </c>
    </row>
    <row r="107" spans="2:10">
      <c r="B107" s="896" t="s">
        <v>2353</v>
      </c>
      <c r="C107" s="897">
        <v>200000000</v>
      </c>
      <c r="D107" s="897">
        <v>256438.35616438356</v>
      </c>
      <c r="F107" s="906" t="s">
        <v>2352</v>
      </c>
      <c r="G107" s="904">
        <v>25000</v>
      </c>
      <c r="H107" s="904">
        <v>39.636986301369866</v>
      </c>
      <c r="I107" s="904">
        <v>7831.26</v>
      </c>
      <c r="J107" s="974">
        <f t="shared" si="4"/>
        <v>310407.5453424658</v>
      </c>
    </row>
    <row r="108" spans="2:10">
      <c r="B108" s="896" t="s">
        <v>2355</v>
      </c>
      <c r="C108" s="897">
        <v>200000000</v>
      </c>
      <c r="D108" s="897">
        <v>256438.35616438356</v>
      </c>
      <c r="F108" s="906" t="s">
        <v>2354</v>
      </c>
      <c r="G108" s="904">
        <v>25000</v>
      </c>
      <c r="H108" s="904">
        <v>61.657534246575359</v>
      </c>
      <c r="I108" s="904">
        <v>7831.26</v>
      </c>
      <c r="J108" s="974">
        <f t="shared" si="4"/>
        <v>482856.18164383573</v>
      </c>
    </row>
    <row r="109" spans="2:10">
      <c r="B109" s="896" t="s">
        <v>2357</v>
      </c>
      <c r="C109" s="897">
        <v>200000000</v>
      </c>
      <c r="D109" s="897">
        <v>256438.35616438356</v>
      </c>
      <c r="F109" s="906" t="s">
        <v>2356</v>
      </c>
      <c r="G109" s="904">
        <v>25000</v>
      </c>
      <c r="H109" s="904">
        <v>61.657534246575359</v>
      </c>
      <c r="I109" s="904">
        <v>7831.26</v>
      </c>
      <c r="J109" s="974">
        <f t="shared" si="4"/>
        <v>482856.18164383573</v>
      </c>
    </row>
    <row r="110" spans="2:10">
      <c r="B110" s="896" t="s">
        <v>2359</v>
      </c>
      <c r="C110" s="897">
        <v>200000000</v>
      </c>
      <c r="D110" s="897">
        <v>256438.35616438356</v>
      </c>
      <c r="F110" s="906" t="s">
        <v>2358</v>
      </c>
      <c r="G110" s="904">
        <v>100000</v>
      </c>
      <c r="H110" s="904">
        <v>17.753424657534246</v>
      </c>
      <c r="I110" s="904">
        <v>7831.26</v>
      </c>
      <c r="J110" s="974">
        <f t="shared" si="4"/>
        <v>139031.68438356166</v>
      </c>
    </row>
    <row r="111" spans="2:10">
      <c r="B111" s="896" t="s">
        <v>2361</v>
      </c>
      <c r="C111" s="897">
        <v>200000000</v>
      </c>
      <c r="D111" s="897">
        <v>256438.35616438356</v>
      </c>
      <c r="F111" s="906" t="s">
        <v>2360</v>
      </c>
      <c r="G111" s="904">
        <v>100000</v>
      </c>
      <c r="H111" s="904">
        <v>17.753424657534246</v>
      </c>
      <c r="I111" s="904">
        <v>7831.26</v>
      </c>
      <c r="J111" s="974">
        <f t="shared" si="4"/>
        <v>139031.68438356166</v>
      </c>
    </row>
    <row r="112" spans="2:10">
      <c r="B112" s="896" t="s">
        <v>2363</v>
      </c>
      <c r="C112" s="897">
        <v>200000000</v>
      </c>
      <c r="D112" s="897">
        <v>256438.35616438356</v>
      </c>
      <c r="F112" s="906" t="s">
        <v>2362</v>
      </c>
      <c r="G112" s="904">
        <v>25000</v>
      </c>
      <c r="H112" s="904">
        <v>31.068493150684937</v>
      </c>
      <c r="I112" s="904">
        <v>7831.26</v>
      </c>
      <c r="J112" s="974">
        <f t="shared" si="4"/>
        <v>243305.44767123292</v>
      </c>
    </row>
    <row r="113" spans="2:10">
      <c r="B113" s="896" t="s">
        <v>2365</v>
      </c>
      <c r="C113" s="897">
        <v>200000000</v>
      </c>
      <c r="D113" s="897">
        <v>256438.35616438356</v>
      </c>
      <c r="F113" s="906" t="s">
        <v>2364</v>
      </c>
      <c r="G113" s="904">
        <v>25000</v>
      </c>
      <c r="H113" s="904">
        <v>57.698630136986317</v>
      </c>
      <c r="I113" s="904">
        <v>7831.26</v>
      </c>
      <c r="J113" s="974">
        <f t="shared" si="4"/>
        <v>451852.9742465755</v>
      </c>
    </row>
    <row r="114" spans="2:10">
      <c r="B114" s="896" t="s">
        <v>2367</v>
      </c>
      <c r="C114" s="897">
        <v>200000000</v>
      </c>
      <c r="D114" s="897">
        <v>256438.35616438356</v>
      </c>
      <c r="F114" s="906" t="s">
        <v>2366</v>
      </c>
      <c r="G114" s="904">
        <v>25000</v>
      </c>
      <c r="H114" s="904">
        <v>93.205479452054817</v>
      </c>
      <c r="I114" s="904">
        <v>7831.26</v>
      </c>
      <c r="J114" s="974">
        <f t="shared" si="4"/>
        <v>729916.34301369882</v>
      </c>
    </row>
    <row r="115" spans="2:10">
      <c r="B115" s="896" t="s">
        <v>2369</v>
      </c>
      <c r="C115" s="897">
        <v>200000000</v>
      </c>
      <c r="D115" s="897">
        <v>256438.35616438356</v>
      </c>
      <c r="F115" s="906" t="s">
        <v>2368</v>
      </c>
      <c r="G115" s="904">
        <v>25000</v>
      </c>
      <c r="H115" s="904">
        <v>93.205479452054817</v>
      </c>
      <c r="I115" s="904">
        <v>7831.26</v>
      </c>
      <c r="J115" s="974">
        <f t="shared" si="4"/>
        <v>729916.34301369882</v>
      </c>
    </row>
    <row r="116" spans="2:10">
      <c r="B116" s="896" t="s">
        <v>2371</v>
      </c>
      <c r="C116" s="897">
        <v>200000000</v>
      </c>
      <c r="D116" s="897">
        <v>256438.35616438356</v>
      </c>
      <c r="F116" s="906" t="s">
        <v>2370</v>
      </c>
      <c r="G116" s="904">
        <v>50000</v>
      </c>
      <c r="H116" s="904">
        <v>186.41095890410963</v>
      </c>
      <c r="I116" s="904">
        <v>7831.26</v>
      </c>
      <c r="J116" s="974">
        <f t="shared" si="4"/>
        <v>1459832.6860273976</v>
      </c>
    </row>
    <row r="117" spans="2:10">
      <c r="B117" s="896" t="s">
        <v>2373</v>
      </c>
      <c r="C117" s="897">
        <v>200000000</v>
      </c>
      <c r="D117" s="897">
        <v>256438.35616438356</v>
      </c>
      <c r="F117" s="906" t="s">
        <v>2372</v>
      </c>
      <c r="G117" s="904">
        <v>50000</v>
      </c>
      <c r="H117" s="904">
        <v>62.136986301369873</v>
      </c>
      <c r="I117" s="904">
        <v>7831.26</v>
      </c>
      <c r="J117" s="974">
        <f t="shared" si="4"/>
        <v>486610.89534246584</v>
      </c>
    </row>
    <row r="118" spans="2:10">
      <c r="B118" s="896" t="s">
        <v>2375</v>
      </c>
      <c r="C118" s="897">
        <v>200000000</v>
      </c>
      <c r="D118" s="897">
        <v>256438.35616438356</v>
      </c>
      <c r="F118" s="906" t="s">
        <v>2374</v>
      </c>
      <c r="G118" s="904">
        <v>50000</v>
      </c>
      <c r="H118" s="904">
        <v>62.136986301369873</v>
      </c>
      <c r="I118" s="904">
        <v>7831.26</v>
      </c>
      <c r="J118" s="974">
        <f t="shared" si="4"/>
        <v>486610.89534246584</v>
      </c>
    </row>
    <row r="119" spans="2:10">
      <c r="B119" s="896" t="s">
        <v>2377</v>
      </c>
      <c r="C119" s="897">
        <v>200000000</v>
      </c>
      <c r="D119" s="897">
        <v>256438.35616438356</v>
      </c>
      <c r="F119" s="906" t="s">
        <v>2376</v>
      </c>
      <c r="G119" s="904">
        <v>50000</v>
      </c>
      <c r="H119" s="904">
        <v>133.15068493150687</v>
      </c>
      <c r="I119" s="904">
        <v>7831.26</v>
      </c>
      <c r="J119" s="974">
        <f t="shared" si="4"/>
        <v>1042737.6328767126</v>
      </c>
    </row>
    <row r="120" spans="2:10">
      <c r="B120" s="896" t="s">
        <v>2379</v>
      </c>
      <c r="C120" s="897">
        <v>200000000</v>
      </c>
      <c r="D120" s="897">
        <v>256438.35616438356</v>
      </c>
      <c r="F120" s="906" t="s">
        <v>2378</v>
      </c>
      <c r="G120" s="904">
        <v>250000</v>
      </c>
      <c r="H120" s="904">
        <v>45.821917808219183</v>
      </c>
      <c r="I120" s="904">
        <v>7831.26</v>
      </c>
      <c r="J120" s="974">
        <f t="shared" ref="J120:J153" si="5">+H120*I120</f>
        <v>358843.35205479455</v>
      </c>
    </row>
    <row r="121" spans="2:10">
      <c r="B121" s="896" t="s">
        <v>2381</v>
      </c>
      <c r="C121" s="897">
        <v>200000000</v>
      </c>
      <c r="D121" s="897">
        <v>256438.35616438356</v>
      </c>
      <c r="F121" s="906" t="s">
        <v>2380</v>
      </c>
      <c r="G121" s="904">
        <v>250000</v>
      </c>
      <c r="H121" s="904">
        <v>45.821917808219183</v>
      </c>
      <c r="I121" s="904">
        <v>7831.26</v>
      </c>
      <c r="J121" s="974">
        <f t="shared" si="5"/>
        <v>358843.35205479455</v>
      </c>
    </row>
    <row r="122" spans="2:10">
      <c r="B122" s="896" t="s">
        <v>2383</v>
      </c>
      <c r="C122" s="897">
        <v>200000000</v>
      </c>
      <c r="D122" s="897">
        <v>256438.35616438356</v>
      </c>
      <c r="F122" s="906" t="s">
        <v>2382</v>
      </c>
      <c r="G122" s="904">
        <v>250000</v>
      </c>
      <c r="H122" s="904">
        <v>45.821917808219183</v>
      </c>
      <c r="I122" s="904">
        <v>7831.26</v>
      </c>
      <c r="J122" s="974">
        <f t="shared" si="5"/>
        <v>358843.35205479455</v>
      </c>
    </row>
    <row r="123" spans="2:10">
      <c r="B123" s="896" t="s">
        <v>2385</v>
      </c>
      <c r="C123" s="897">
        <v>150000000</v>
      </c>
      <c r="D123" s="897">
        <v>192328.76712328772</v>
      </c>
      <c r="F123" s="906" t="s">
        <v>2384</v>
      </c>
      <c r="G123" s="904">
        <v>250000</v>
      </c>
      <c r="H123" s="904">
        <v>45.821917808219183</v>
      </c>
      <c r="I123" s="904">
        <v>7831.26</v>
      </c>
      <c r="J123" s="974">
        <f t="shared" si="5"/>
        <v>358843.35205479455</v>
      </c>
    </row>
    <row r="124" spans="2:10">
      <c r="B124" s="896" t="s">
        <v>2387</v>
      </c>
      <c r="C124" s="897">
        <v>150000000</v>
      </c>
      <c r="D124" s="897">
        <v>192328.76712328772</v>
      </c>
      <c r="F124" s="906" t="s">
        <v>2386</v>
      </c>
      <c r="G124" s="904">
        <v>250000</v>
      </c>
      <c r="H124" s="904">
        <v>733.1506849315067</v>
      </c>
      <c r="I124" s="904">
        <v>7831.26</v>
      </c>
      <c r="J124" s="974">
        <f t="shared" si="5"/>
        <v>5741493.632876711</v>
      </c>
    </row>
    <row r="125" spans="2:10">
      <c r="B125" s="896" t="s">
        <v>2389</v>
      </c>
      <c r="C125" s="897">
        <v>150000000</v>
      </c>
      <c r="D125" s="897">
        <v>192328.76712328772</v>
      </c>
      <c r="F125" s="906" t="s">
        <v>2388</v>
      </c>
      <c r="G125" s="904">
        <v>250000</v>
      </c>
      <c r="H125" s="904">
        <v>733.1506849315067</v>
      </c>
      <c r="I125" s="904">
        <v>7831.26</v>
      </c>
      <c r="J125" s="974">
        <f t="shared" si="5"/>
        <v>5741493.632876711</v>
      </c>
    </row>
    <row r="126" spans="2:10">
      <c r="B126" s="896" t="s">
        <v>2391</v>
      </c>
      <c r="C126" s="897">
        <v>150000000</v>
      </c>
      <c r="D126" s="897">
        <v>192328.76712328772</v>
      </c>
      <c r="F126" s="906" t="s">
        <v>2390</v>
      </c>
      <c r="G126" s="904">
        <v>250000</v>
      </c>
      <c r="H126" s="904">
        <v>733.1506849315067</v>
      </c>
      <c r="I126" s="904">
        <v>7831.26</v>
      </c>
      <c r="J126" s="974">
        <f t="shared" si="5"/>
        <v>5741493.632876711</v>
      </c>
    </row>
    <row r="127" spans="2:10">
      <c r="B127" s="896" t="s">
        <v>2393</v>
      </c>
      <c r="C127" s="897">
        <v>150000000</v>
      </c>
      <c r="D127" s="897">
        <v>192328.76712328772</v>
      </c>
      <c r="F127" s="906" t="s">
        <v>2392</v>
      </c>
      <c r="G127" s="904">
        <v>250000</v>
      </c>
      <c r="H127" s="904">
        <v>733.1506849315067</v>
      </c>
      <c r="I127" s="904">
        <v>7831.26</v>
      </c>
      <c r="J127" s="974">
        <f t="shared" si="5"/>
        <v>5741493.632876711</v>
      </c>
    </row>
    <row r="128" spans="2:10">
      <c r="B128" s="896" t="s">
        <v>2395</v>
      </c>
      <c r="C128" s="897">
        <v>150000000</v>
      </c>
      <c r="D128" s="897">
        <v>192328.76712328772</v>
      </c>
      <c r="F128" s="906" t="s">
        <v>2394</v>
      </c>
      <c r="G128" s="904">
        <v>250000</v>
      </c>
      <c r="H128" s="904">
        <v>137.46575342465755</v>
      </c>
      <c r="I128" s="904">
        <v>7831.26</v>
      </c>
      <c r="J128" s="974">
        <f t="shared" si="5"/>
        <v>1076530.0561643837</v>
      </c>
    </row>
    <row r="129" spans="2:10">
      <c r="B129" s="896" t="s">
        <v>2397</v>
      </c>
      <c r="C129" s="897">
        <v>150000000</v>
      </c>
      <c r="D129" s="897">
        <v>224383.56164383568</v>
      </c>
      <c r="F129" s="906" t="s">
        <v>2396</v>
      </c>
      <c r="G129" s="904">
        <v>250000</v>
      </c>
      <c r="H129" s="904">
        <v>137.46575342465755</v>
      </c>
      <c r="I129" s="904">
        <v>7831.26</v>
      </c>
      <c r="J129" s="974">
        <f t="shared" si="5"/>
        <v>1076530.0561643837</v>
      </c>
    </row>
    <row r="130" spans="2:10">
      <c r="B130" s="896" t="s">
        <v>2399</v>
      </c>
      <c r="C130" s="897">
        <v>150000000</v>
      </c>
      <c r="D130" s="897">
        <v>224383.56164383568</v>
      </c>
      <c r="F130" s="906" t="s">
        <v>2398</v>
      </c>
      <c r="G130" s="904">
        <v>250000</v>
      </c>
      <c r="H130" s="904">
        <v>137.46575342465755</v>
      </c>
      <c r="I130" s="904">
        <v>7831.26</v>
      </c>
      <c r="J130" s="974">
        <f t="shared" si="5"/>
        <v>1076530.0561643837</v>
      </c>
    </row>
    <row r="131" spans="2:10">
      <c r="B131" s="896" t="s">
        <v>2401</v>
      </c>
      <c r="C131" s="897">
        <v>150000000</v>
      </c>
      <c r="D131" s="897">
        <v>224383.56164383568</v>
      </c>
      <c r="F131" s="906" t="s">
        <v>2400</v>
      </c>
      <c r="G131" s="904">
        <v>250000</v>
      </c>
      <c r="H131" s="904">
        <v>137.46575342465755</v>
      </c>
      <c r="I131" s="904">
        <v>7831.26</v>
      </c>
      <c r="J131" s="974">
        <f t="shared" si="5"/>
        <v>1076530.0561643837</v>
      </c>
    </row>
    <row r="132" spans="2:10">
      <c r="B132" s="896" t="s">
        <v>2403</v>
      </c>
      <c r="C132" s="897">
        <v>150000000</v>
      </c>
      <c r="D132" s="897">
        <v>224383.56164383568</v>
      </c>
      <c r="F132" s="906" t="s">
        <v>2402</v>
      </c>
      <c r="G132" s="904">
        <v>25000</v>
      </c>
      <c r="H132" s="904">
        <v>68.732876712328746</v>
      </c>
      <c r="I132" s="904">
        <v>7831.26</v>
      </c>
      <c r="J132" s="974">
        <f t="shared" si="5"/>
        <v>538265.02808219159</v>
      </c>
    </row>
    <row r="133" spans="2:10">
      <c r="B133" s="896" t="s">
        <v>2405</v>
      </c>
      <c r="C133" s="897">
        <v>150000000</v>
      </c>
      <c r="D133" s="897">
        <v>224383.56164383568</v>
      </c>
      <c r="F133" s="906" t="s">
        <v>2404</v>
      </c>
      <c r="G133" s="904">
        <v>25000</v>
      </c>
      <c r="H133" s="904">
        <v>73.315068493150662</v>
      </c>
      <c r="I133" s="904">
        <v>7831.26</v>
      </c>
      <c r="J133" s="974">
        <f t="shared" si="5"/>
        <v>574149.36328767112</v>
      </c>
    </row>
    <row r="134" spans="2:10">
      <c r="B134" s="896" t="s">
        <v>2407</v>
      </c>
      <c r="C134" s="897">
        <v>150000000</v>
      </c>
      <c r="D134" s="897">
        <v>224383.56164383568</v>
      </c>
      <c r="F134" s="906" t="s">
        <v>2406</v>
      </c>
      <c r="G134" s="904">
        <v>25000</v>
      </c>
      <c r="H134" s="904">
        <v>73.315068493150662</v>
      </c>
      <c r="I134" s="904">
        <v>7831.26</v>
      </c>
      <c r="J134" s="974">
        <f t="shared" si="5"/>
        <v>574149.36328767112</v>
      </c>
    </row>
    <row r="135" spans="2:10">
      <c r="B135" s="896" t="s">
        <v>2409</v>
      </c>
      <c r="C135" s="897">
        <v>150000000</v>
      </c>
      <c r="D135" s="897">
        <v>224383.56164383568</v>
      </c>
      <c r="F135" s="906" t="s">
        <v>2408</v>
      </c>
      <c r="G135" s="904">
        <v>25000</v>
      </c>
      <c r="H135" s="904">
        <v>73.315068493150662</v>
      </c>
      <c r="I135" s="904">
        <v>7831.26</v>
      </c>
      <c r="J135" s="974">
        <f t="shared" si="5"/>
        <v>574149.36328767112</v>
      </c>
    </row>
    <row r="136" spans="2:10">
      <c r="B136" s="896" t="s">
        <v>2411</v>
      </c>
      <c r="C136" s="897">
        <v>150000000</v>
      </c>
      <c r="D136" s="897">
        <v>224383.56164383568</v>
      </c>
      <c r="F136" s="906" t="s">
        <v>2410</v>
      </c>
      <c r="G136" s="904">
        <v>25000</v>
      </c>
      <c r="H136" s="904">
        <v>73.315068493150662</v>
      </c>
      <c r="I136" s="904">
        <v>7831.26</v>
      </c>
      <c r="J136" s="974">
        <f t="shared" si="5"/>
        <v>574149.36328767112</v>
      </c>
    </row>
    <row r="137" spans="2:10">
      <c r="B137" s="896" t="s">
        <v>2413</v>
      </c>
      <c r="C137" s="897">
        <v>150000000</v>
      </c>
      <c r="D137" s="897">
        <v>224383.56164383568</v>
      </c>
      <c r="F137" s="906" t="s">
        <v>2412</v>
      </c>
      <c r="G137" s="904">
        <v>25000</v>
      </c>
      <c r="H137" s="904">
        <v>73.315068493150662</v>
      </c>
      <c r="I137" s="904">
        <v>7831.26</v>
      </c>
      <c r="J137" s="974">
        <f t="shared" si="5"/>
        <v>574149.36328767112</v>
      </c>
    </row>
    <row r="138" spans="2:10">
      <c r="B138" s="896" t="s">
        <v>2415</v>
      </c>
      <c r="C138" s="897">
        <v>150000000</v>
      </c>
      <c r="D138" s="897">
        <v>224383.56164383568</v>
      </c>
      <c r="F138" s="906" t="s">
        <v>2414</v>
      </c>
      <c r="G138" s="904">
        <v>25000</v>
      </c>
      <c r="H138" s="904">
        <v>73.315068493150662</v>
      </c>
      <c r="I138" s="904">
        <v>7831.26</v>
      </c>
      <c r="J138" s="974">
        <f t="shared" si="5"/>
        <v>574149.36328767112</v>
      </c>
    </row>
    <row r="139" spans="2:10">
      <c r="B139" s="896" t="s">
        <v>2416</v>
      </c>
      <c r="C139" s="897">
        <v>150000000</v>
      </c>
      <c r="D139" s="897">
        <v>224383.56164383568</v>
      </c>
      <c r="F139" s="906" t="s">
        <v>1703</v>
      </c>
      <c r="G139" s="904">
        <v>25000</v>
      </c>
      <c r="H139" s="904">
        <v>91.643835616438324</v>
      </c>
      <c r="I139" s="904">
        <v>7831.26</v>
      </c>
      <c r="J139" s="974">
        <f t="shared" si="5"/>
        <v>717686.70410958875</v>
      </c>
    </row>
    <row r="140" spans="2:10">
      <c r="B140" s="896" t="s">
        <v>2418</v>
      </c>
      <c r="C140" s="897">
        <v>150000000</v>
      </c>
      <c r="D140" s="897">
        <v>224383.56164383568</v>
      </c>
      <c r="F140" s="906" t="s">
        <v>2417</v>
      </c>
      <c r="G140" s="904">
        <v>50000</v>
      </c>
      <c r="H140" s="904">
        <v>137.46575342465749</v>
      </c>
      <c r="I140" s="904">
        <v>7831.26</v>
      </c>
      <c r="J140" s="974">
        <f t="shared" si="5"/>
        <v>1076530.0561643832</v>
      </c>
    </row>
    <row r="141" spans="2:10">
      <c r="B141" s="896" t="s">
        <v>2420</v>
      </c>
      <c r="C141" s="897">
        <v>150000000</v>
      </c>
      <c r="D141" s="897">
        <v>224383.56164383568</v>
      </c>
      <c r="F141" s="900" t="s">
        <v>2419</v>
      </c>
      <c r="G141" s="904">
        <v>50000</v>
      </c>
      <c r="H141" s="904">
        <v>137.46575342465749</v>
      </c>
      <c r="I141" s="904">
        <v>7831.26</v>
      </c>
      <c r="J141" s="974">
        <f t="shared" si="5"/>
        <v>1076530.0561643832</v>
      </c>
    </row>
    <row r="142" spans="2:10">
      <c r="B142" s="896" t="s">
        <v>2422</v>
      </c>
      <c r="C142" s="897">
        <v>150000000</v>
      </c>
      <c r="D142" s="897">
        <v>224383.56164383568</v>
      </c>
      <c r="F142" s="900" t="s">
        <v>2421</v>
      </c>
      <c r="G142" s="904">
        <v>150000</v>
      </c>
      <c r="H142" s="904">
        <v>54.986301369863014</v>
      </c>
      <c r="I142" s="904">
        <v>7831.26</v>
      </c>
      <c r="J142" s="974">
        <f t="shared" si="5"/>
        <v>430612.02246575343</v>
      </c>
    </row>
    <row r="143" spans="2:10">
      <c r="B143" s="896" t="s">
        <v>2424</v>
      </c>
      <c r="C143" s="897">
        <v>200000000</v>
      </c>
      <c r="D143" s="897">
        <v>213698.63013698629</v>
      </c>
      <c r="F143" s="906" t="s">
        <v>2423</v>
      </c>
      <c r="G143" s="904">
        <v>150000</v>
      </c>
      <c r="H143" s="904">
        <v>54.986301369863014</v>
      </c>
      <c r="I143" s="904">
        <v>7831.26</v>
      </c>
      <c r="J143" s="974">
        <f t="shared" si="5"/>
        <v>430612.02246575343</v>
      </c>
    </row>
    <row r="144" spans="2:10">
      <c r="B144" s="896" t="s">
        <v>2426</v>
      </c>
      <c r="C144" s="897">
        <v>200000000</v>
      </c>
      <c r="D144" s="897">
        <v>213698.63013698629</v>
      </c>
      <c r="F144" s="906" t="s">
        <v>2425</v>
      </c>
      <c r="G144" s="904">
        <v>150000</v>
      </c>
      <c r="H144" s="904">
        <v>54.986301369863014</v>
      </c>
      <c r="I144" s="904">
        <v>7831.26</v>
      </c>
      <c r="J144" s="974">
        <f t="shared" si="5"/>
        <v>430612.02246575343</v>
      </c>
    </row>
    <row r="145" spans="2:10">
      <c r="B145" s="896" t="s">
        <v>2428</v>
      </c>
      <c r="C145" s="897">
        <v>200000000</v>
      </c>
      <c r="D145" s="897">
        <v>213698.63013698629</v>
      </c>
      <c r="F145" s="906" t="s">
        <v>2427</v>
      </c>
      <c r="G145" s="904">
        <v>150000</v>
      </c>
      <c r="H145" s="904">
        <v>54.986301369863014</v>
      </c>
      <c r="I145" s="904">
        <v>7831.26</v>
      </c>
      <c r="J145" s="974">
        <f t="shared" si="5"/>
        <v>430612.02246575343</v>
      </c>
    </row>
    <row r="146" spans="2:10">
      <c r="B146" s="896" t="s">
        <v>2430</v>
      </c>
      <c r="C146" s="897">
        <v>200000000</v>
      </c>
      <c r="D146" s="897">
        <v>213698.63013698629</v>
      </c>
      <c r="F146" s="906" t="s">
        <v>2429</v>
      </c>
      <c r="G146" s="904">
        <v>150000</v>
      </c>
      <c r="H146" s="904">
        <v>54.986301369863014</v>
      </c>
      <c r="I146" s="904">
        <v>7831.26</v>
      </c>
      <c r="J146" s="974">
        <f t="shared" si="5"/>
        <v>430612.02246575343</v>
      </c>
    </row>
    <row r="147" spans="2:10">
      <c r="B147" s="896" t="s">
        <v>2432</v>
      </c>
      <c r="C147" s="897">
        <v>200000000</v>
      </c>
      <c r="D147" s="897">
        <v>213698.63013698629</v>
      </c>
      <c r="F147" s="906" t="s">
        <v>2431</v>
      </c>
      <c r="G147" s="904">
        <v>150000</v>
      </c>
      <c r="H147" s="904">
        <v>54.986301369863014</v>
      </c>
      <c r="I147" s="904">
        <v>7831.26</v>
      </c>
      <c r="J147" s="974">
        <f t="shared" si="5"/>
        <v>430612.02246575343</v>
      </c>
    </row>
    <row r="148" spans="2:10">
      <c r="B148" s="896" t="s">
        <v>2434</v>
      </c>
      <c r="C148" s="897">
        <v>200000000</v>
      </c>
      <c r="D148" s="897">
        <v>213698.63013698629</v>
      </c>
      <c r="F148" s="906" t="s">
        <v>2433</v>
      </c>
      <c r="G148" s="904">
        <v>150000</v>
      </c>
      <c r="H148" s="904">
        <v>54.986301369863014</v>
      </c>
      <c r="I148" s="904">
        <v>7831.26</v>
      </c>
      <c r="J148" s="974">
        <f t="shared" si="5"/>
        <v>430612.02246575343</v>
      </c>
    </row>
    <row r="149" spans="2:10">
      <c r="B149" s="896" t="s">
        <v>2436</v>
      </c>
      <c r="C149" s="897">
        <v>200000000</v>
      </c>
      <c r="D149" s="897">
        <v>213698.63013698629</v>
      </c>
      <c r="F149" s="906" t="s">
        <v>2435</v>
      </c>
      <c r="G149" s="904">
        <v>150000</v>
      </c>
      <c r="H149" s="904">
        <v>54.986301369863014</v>
      </c>
      <c r="I149" s="904">
        <v>7831.26</v>
      </c>
      <c r="J149" s="974">
        <f t="shared" si="5"/>
        <v>430612.02246575343</v>
      </c>
    </row>
    <row r="150" spans="2:10">
      <c r="B150" s="896" t="s">
        <v>2438</v>
      </c>
      <c r="C150" s="897">
        <v>200000000</v>
      </c>
      <c r="D150" s="897">
        <v>213698.63013698629</v>
      </c>
      <c r="F150" s="906" t="s">
        <v>2437</v>
      </c>
      <c r="G150" s="904">
        <v>100000</v>
      </c>
      <c r="H150" s="904">
        <v>54.986301369863014</v>
      </c>
      <c r="I150" s="904">
        <v>7831.26</v>
      </c>
      <c r="J150" s="974">
        <f t="shared" si="5"/>
        <v>430612.02246575343</v>
      </c>
    </row>
    <row r="151" spans="2:10">
      <c r="B151" s="896" t="s">
        <v>2440</v>
      </c>
      <c r="C151" s="897">
        <v>200000000</v>
      </c>
      <c r="D151" s="897">
        <v>213698.63013698629</v>
      </c>
      <c r="F151" s="906" t="s">
        <v>2439</v>
      </c>
      <c r="G151" s="904">
        <v>100000</v>
      </c>
      <c r="H151" s="904">
        <v>54.986301369863014</v>
      </c>
      <c r="I151" s="904">
        <v>7831.26</v>
      </c>
      <c r="J151" s="974">
        <f t="shared" si="5"/>
        <v>430612.02246575343</v>
      </c>
    </row>
    <row r="152" spans="2:10">
      <c r="B152" s="896" t="s">
        <v>2442</v>
      </c>
      <c r="C152" s="897">
        <v>200000000</v>
      </c>
      <c r="D152" s="897">
        <v>213698.63013698629</v>
      </c>
      <c r="F152" s="906" t="s">
        <v>2441</v>
      </c>
      <c r="G152" s="904">
        <v>100000</v>
      </c>
      <c r="H152" s="904">
        <v>54.986301369863014</v>
      </c>
      <c r="I152" s="904">
        <v>7831.26</v>
      </c>
      <c r="J152" s="974">
        <f t="shared" si="5"/>
        <v>430612.02246575343</v>
      </c>
    </row>
    <row r="153" spans="2:10">
      <c r="B153" s="896" t="s">
        <v>2444</v>
      </c>
      <c r="C153" s="897">
        <v>200000000</v>
      </c>
      <c r="D153" s="897">
        <v>213698.63013698629</v>
      </c>
      <c r="F153" s="906" t="s">
        <v>2443</v>
      </c>
      <c r="G153" s="904">
        <v>100000</v>
      </c>
      <c r="H153" s="904">
        <v>54.986301369863014</v>
      </c>
      <c r="I153" s="904">
        <v>7831.26</v>
      </c>
      <c r="J153" s="974">
        <f t="shared" si="5"/>
        <v>430612.02246575343</v>
      </c>
    </row>
    <row r="154" spans="2:10">
      <c r="B154" s="896" t="s">
        <v>2446</v>
      </c>
      <c r="C154" s="897">
        <v>200000000</v>
      </c>
      <c r="D154" s="897">
        <v>213698.63013698629</v>
      </c>
      <c r="F154" s="906" t="s">
        <v>2445</v>
      </c>
      <c r="G154" s="904">
        <v>250000</v>
      </c>
      <c r="H154" s="904">
        <v>45.821917808219183</v>
      </c>
      <c r="I154" s="904">
        <v>7831.26</v>
      </c>
      <c r="J154" s="974">
        <f t="shared" ref="J154:J182" si="6">+H154*I154</f>
        <v>358843.35205479455</v>
      </c>
    </row>
    <row r="155" spans="2:10">
      <c r="B155" s="896" t="s">
        <v>2448</v>
      </c>
      <c r="C155" s="897">
        <v>200000000</v>
      </c>
      <c r="D155" s="897">
        <v>256438.35616438356</v>
      </c>
      <c r="F155" s="906" t="s">
        <v>2447</v>
      </c>
      <c r="G155" s="904">
        <v>250000</v>
      </c>
      <c r="H155" s="904">
        <v>45.821917808219183</v>
      </c>
      <c r="I155" s="904">
        <v>7831.26</v>
      </c>
      <c r="J155" s="974">
        <f t="shared" si="6"/>
        <v>358843.35205479455</v>
      </c>
    </row>
    <row r="156" spans="2:10">
      <c r="B156" s="896" t="s">
        <v>2450</v>
      </c>
      <c r="C156" s="897">
        <v>200000000</v>
      </c>
      <c r="D156" s="897">
        <v>256438.35616438356</v>
      </c>
      <c r="F156" s="906" t="s">
        <v>2449</v>
      </c>
      <c r="G156" s="904">
        <v>250000</v>
      </c>
      <c r="H156" s="904">
        <v>45.821917808219183</v>
      </c>
      <c r="I156" s="904">
        <v>7831.26</v>
      </c>
      <c r="J156" s="974">
        <f t="shared" si="6"/>
        <v>358843.35205479455</v>
      </c>
    </row>
    <row r="157" spans="2:10">
      <c r="B157" s="896" t="s">
        <v>2452</v>
      </c>
      <c r="C157" s="897">
        <v>200000000</v>
      </c>
      <c r="D157" s="897">
        <v>256438.35616438356</v>
      </c>
      <c r="F157" s="906" t="s">
        <v>2451</v>
      </c>
      <c r="G157" s="904">
        <v>250000</v>
      </c>
      <c r="H157" s="904">
        <v>45.821917808219183</v>
      </c>
      <c r="I157" s="904">
        <v>7831.26</v>
      </c>
      <c r="J157" s="974">
        <f t="shared" si="6"/>
        <v>358843.35205479455</v>
      </c>
    </row>
    <row r="158" spans="2:10">
      <c r="B158" s="896" t="s">
        <v>2454</v>
      </c>
      <c r="C158" s="897">
        <v>200000000</v>
      </c>
      <c r="D158" s="897">
        <v>256438.35616438356</v>
      </c>
      <c r="F158" s="906" t="s">
        <v>2453</v>
      </c>
      <c r="G158" s="904">
        <v>250000</v>
      </c>
      <c r="H158" s="904">
        <v>45.821917808219183</v>
      </c>
      <c r="I158" s="904">
        <v>7831.26</v>
      </c>
      <c r="J158" s="974">
        <f t="shared" si="6"/>
        <v>358843.35205479455</v>
      </c>
    </row>
    <row r="159" spans="2:10">
      <c r="B159" s="896" t="s">
        <v>2456</v>
      </c>
      <c r="C159" s="897">
        <v>200000000</v>
      </c>
      <c r="D159" s="897">
        <v>256438.35616438356</v>
      </c>
      <c r="F159" s="906" t="s">
        <v>2455</v>
      </c>
      <c r="G159" s="904">
        <v>250000</v>
      </c>
      <c r="H159" s="904">
        <v>45.821917808219183</v>
      </c>
      <c r="I159" s="904">
        <v>7831.26</v>
      </c>
      <c r="J159" s="974">
        <f t="shared" si="6"/>
        <v>358843.35205479455</v>
      </c>
    </row>
    <row r="160" spans="2:10">
      <c r="B160" s="896" t="s">
        <v>1755</v>
      </c>
      <c r="C160" s="897">
        <v>200000000</v>
      </c>
      <c r="D160" s="897">
        <v>13633972.602739772</v>
      </c>
      <c r="F160" s="906" t="s">
        <v>1704</v>
      </c>
      <c r="G160" s="904">
        <v>200000</v>
      </c>
      <c r="H160" s="904">
        <v>2920.5479452054797</v>
      </c>
      <c r="I160" s="904">
        <v>7831.26</v>
      </c>
      <c r="J160" s="974">
        <f t="shared" si="6"/>
        <v>22871570.301369864</v>
      </c>
    </row>
    <row r="161" spans="2:10">
      <c r="B161" s="896" t="s">
        <v>1756</v>
      </c>
      <c r="C161" s="897">
        <v>200000000</v>
      </c>
      <c r="D161" s="897">
        <v>13633972.602739772</v>
      </c>
      <c r="F161" s="906" t="s">
        <v>1705</v>
      </c>
      <c r="G161" s="904">
        <v>200000</v>
      </c>
      <c r="H161" s="904">
        <v>2920.5479452054797</v>
      </c>
      <c r="I161" s="904">
        <v>7831.26</v>
      </c>
      <c r="J161" s="974">
        <f t="shared" si="6"/>
        <v>22871570.301369864</v>
      </c>
    </row>
    <row r="162" spans="2:10">
      <c r="B162" s="896" t="s">
        <v>1757</v>
      </c>
      <c r="C162" s="897">
        <v>200000000</v>
      </c>
      <c r="D162" s="897">
        <v>13633972.602739772</v>
      </c>
      <c r="F162" s="906" t="s">
        <v>1706</v>
      </c>
      <c r="G162" s="904">
        <v>200000</v>
      </c>
      <c r="H162" s="904">
        <v>2920.5479452054797</v>
      </c>
      <c r="I162" s="904">
        <v>7831.26</v>
      </c>
      <c r="J162" s="974">
        <f t="shared" si="6"/>
        <v>22871570.301369864</v>
      </c>
    </row>
    <row r="163" spans="2:10">
      <c r="B163" s="896" t="s">
        <v>2457</v>
      </c>
      <c r="C163" s="897">
        <v>150000000</v>
      </c>
      <c r="D163" s="897">
        <v>897534.24657534284</v>
      </c>
      <c r="F163" s="906" t="s">
        <v>2758</v>
      </c>
      <c r="G163" s="904">
        <v>250000</v>
      </c>
      <c r="H163" s="904">
        <v>44.178082191780817</v>
      </c>
      <c r="I163" s="904">
        <v>7831.26</v>
      </c>
      <c r="J163" s="974">
        <f t="shared" si="6"/>
        <v>345970.04794520547</v>
      </c>
    </row>
    <row r="164" spans="2:10">
      <c r="B164" s="896" t="s">
        <v>2458</v>
      </c>
      <c r="C164" s="897">
        <v>150000000</v>
      </c>
      <c r="D164" s="897">
        <v>1346301.3698630133</v>
      </c>
      <c r="F164" s="906" t="s">
        <v>2759</v>
      </c>
      <c r="G164" s="904">
        <v>250000</v>
      </c>
      <c r="H164" s="904">
        <v>44.178082191780817</v>
      </c>
      <c r="I164" s="904">
        <v>7831.26</v>
      </c>
      <c r="J164" s="974">
        <f t="shared" si="6"/>
        <v>345970.04794520547</v>
      </c>
    </row>
    <row r="165" spans="2:10">
      <c r="B165" s="896" t="s">
        <v>2459</v>
      </c>
      <c r="C165" s="897">
        <v>150000000</v>
      </c>
      <c r="D165" s="897">
        <v>1346301.3698630133</v>
      </c>
      <c r="F165" s="906" t="s">
        <v>2760</v>
      </c>
      <c r="G165" s="904">
        <v>250000</v>
      </c>
      <c r="H165" s="904">
        <v>44.178082191780817</v>
      </c>
      <c r="I165" s="904">
        <v>7831.26</v>
      </c>
      <c r="J165" s="974">
        <f t="shared" si="6"/>
        <v>345970.04794520547</v>
      </c>
    </row>
    <row r="166" spans="2:10">
      <c r="B166" s="896" t="s">
        <v>2460</v>
      </c>
      <c r="C166" s="897">
        <v>150000000</v>
      </c>
      <c r="D166" s="897">
        <v>1346301.3698630133</v>
      </c>
      <c r="F166" s="906" t="s">
        <v>2761</v>
      </c>
      <c r="G166" s="904">
        <v>250000</v>
      </c>
      <c r="H166" s="904">
        <v>44.178082191780817</v>
      </c>
      <c r="I166" s="904">
        <v>7831.26</v>
      </c>
      <c r="J166" s="974">
        <f t="shared" si="6"/>
        <v>345970.04794520547</v>
      </c>
    </row>
    <row r="167" spans="2:10">
      <c r="B167" s="896" t="s">
        <v>2461</v>
      </c>
      <c r="C167" s="897">
        <v>150000000</v>
      </c>
      <c r="D167" s="897">
        <v>1346301.3698630133</v>
      </c>
      <c r="F167" s="906" t="s">
        <v>2762</v>
      </c>
      <c r="G167" s="904">
        <v>250000</v>
      </c>
      <c r="H167" s="904">
        <v>265.0684931506849</v>
      </c>
      <c r="I167" s="904">
        <v>7831.26</v>
      </c>
      <c r="J167" s="974">
        <f t="shared" si="6"/>
        <v>2075820.2876712326</v>
      </c>
    </row>
    <row r="168" spans="2:10">
      <c r="B168" s="896" t="s">
        <v>2462</v>
      </c>
      <c r="C168" s="897">
        <v>150000000</v>
      </c>
      <c r="D168" s="897">
        <v>1346301.3698630133</v>
      </c>
      <c r="F168" s="906" t="s">
        <v>2763</v>
      </c>
      <c r="G168" s="904">
        <v>250000</v>
      </c>
      <c r="H168" s="904">
        <v>265.0684931506849</v>
      </c>
      <c r="I168" s="904">
        <v>7831.26</v>
      </c>
      <c r="J168" s="974">
        <f t="shared" si="6"/>
        <v>2075820.2876712326</v>
      </c>
    </row>
    <row r="169" spans="2:10">
      <c r="B169" s="896" t="s">
        <v>2463</v>
      </c>
      <c r="C169" s="897">
        <v>150000000</v>
      </c>
      <c r="D169" s="897">
        <v>1346301.3698630133</v>
      </c>
      <c r="F169" s="906" t="s">
        <v>2764</v>
      </c>
      <c r="G169" s="904">
        <v>250000</v>
      </c>
      <c r="H169" s="904">
        <v>265.0684931506849</v>
      </c>
      <c r="I169" s="904">
        <v>7831.26</v>
      </c>
      <c r="J169" s="974">
        <f t="shared" si="6"/>
        <v>2075820.2876712326</v>
      </c>
    </row>
    <row r="170" spans="2:10">
      <c r="B170" s="896" t="s">
        <v>2464</v>
      </c>
      <c r="C170" s="897">
        <v>150000000</v>
      </c>
      <c r="D170" s="897">
        <v>1346301.3698630133</v>
      </c>
      <c r="F170" s="906" t="s">
        <v>2765</v>
      </c>
      <c r="G170" s="904">
        <v>250000</v>
      </c>
      <c r="H170" s="904">
        <v>265.0684931506849</v>
      </c>
      <c r="I170" s="904">
        <v>7831.26</v>
      </c>
      <c r="J170" s="974">
        <f t="shared" si="6"/>
        <v>2075820.2876712326</v>
      </c>
    </row>
    <row r="171" spans="2:10">
      <c r="B171" s="896" t="s">
        <v>2465</v>
      </c>
      <c r="C171" s="897">
        <v>150000000</v>
      </c>
      <c r="D171" s="897">
        <v>1346301.3698630133</v>
      </c>
      <c r="F171" s="906" t="s">
        <v>2766</v>
      </c>
      <c r="G171" s="904">
        <v>250000</v>
      </c>
      <c r="H171" s="904">
        <v>265.0684931506849</v>
      </c>
      <c r="I171" s="904">
        <v>7831.26</v>
      </c>
      <c r="J171" s="974">
        <f t="shared" si="6"/>
        <v>2075820.2876712326</v>
      </c>
    </row>
    <row r="172" spans="2:10">
      <c r="B172" s="896" t="s">
        <v>2466</v>
      </c>
      <c r="C172" s="897">
        <v>150000000</v>
      </c>
      <c r="D172" s="897">
        <v>1346301.3698630133</v>
      </c>
      <c r="F172" s="906" t="s">
        <v>2767</v>
      </c>
      <c r="G172" s="904">
        <v>250000</v>
      </c>
      <c r="H172" s="904">
        <v>265.0684931506849</v>
      </c>
      <c r="I172" s="904">
        <v>7831.26</v>
      </c>
      <c r="J172" s="974">
        <f t="shared" si="6"/>
        <v>2075820.2876712326</v>
      </c>
    </row>
    <row r="173" spans="2:10">
      <c r="B173" s="896" t="s">
        <v>2467</v>
      </c>
      <c r="C173" s="897">
        <v>150000000</v>
      </c>
      <c r="D173" s="897">
        <v>1346301.3698630133</v>
      </c>
      <c r="F173" s="906" t="s">
        <v>2768</v>
      </c>
      <c r="G173" s="904">
        <v>250000</v>
      </c>
      <c r="H173" s="904">
        <v>265.0684931506849</v>
      </c>
      <c r="I173" s="904">
        <v>7831.26</v>
      </c>
      <c r="J173" s="974">
        <f t="shared" si="6"/>
        <v>2075820.2876712326</v>
      </c>
    </row>
    <row r="174" spans="2:10">
      <c r="B174" s="896" t="s">
        <v>2468</v>
      </c>
      <c r="C174" s="897">
        <v>150000000</v>
      </c>
      <c r="D174" s="897">
        <v>1442465.7534246568</v>
      </c>
      <c r="F174" s="906" t="s">
        <v>2769</v>
      </c>
      <c r="G174" s="904">
        <v>250000</v>
      </c>
      <c r="H174" s="904">
        <v>265.0684931506849</v>
      </c>
      <c r="I174" s="904">
        <v>7831.26</v>
      </c>
      <c r="J174" s="974">
        <f t="shared" si="6"/>
        <v>2075820.2876712326</v>
      </c>
    </row>
    <row r="175" spans="2:10">
      <c r="B175" s="896" t="s">
        <v>2469</v>
      </c>
      <c r="C175" s="897">
        <v>150000000</v>
      </c>
      <c r="D175" s="897">
        <v>1442465.7534246568</v>
      </c>
      <c r="F175" s="906" t="s">
        <v>2770</v>
      </c>
      <c r="G175" s="904">
        <v>100000</v>
      </c>
      <c r="H175" s="904">
        <v>17.671232876712331</v>
      </c>
      <c r="I175" s="904">
        <v>7831.26</v>
      </c>
      <c r="J175" s="974">
        <f t="shared" si="6"/>
        <v>138388.01917808221</v>
      </c>
    </row>
    <row r="176" spans="2:10">
      <c r="B176" s="896" t="s">
        <v>2470</v>
      </c>
      <c r="C176" s="897">
        <v>150000000</v>
      </c>
      <c r="D176" s="897">
        <v>1442465.7534246568</v>
      </c>
      <c r="F176" s="906" t="s">
        <v>2771</v>
      </c>
      <c r="G176" s="904">
        <v>100000</v>
      </c>
      <c r="H176" s="904">
        <v>17.671232876712331</v>
      </c>
      <c r="I176" s="904">
        <v>7831.26</v>
      </c>
      <c r="J176" s="974">
        <f t="shared" si="6"/>
        <v>138388.01917808221</v>
      </c>
    </row>
    <row r="177" spans="2:10">
      <c r="B177" s="896" t="s">
        <v>2471</v>
      </c>
      <c r="C177" s="897">
        <v>150000000</v>
      </c>
      <c r="D177" s="897">
        <v>1442465.7534246568</v>
      </c>
      <c r="F177" s="906" t="s">
        <v>2772</v>
      </c>
      <c r="G177" s="904">
        <v>100000</v>
      </c>
      <c r="H177" s="904">
        <v>17.671232876712331</v>
      </c>
      <c r="I177" s="904">
        <v>7831.26</v>
      </c>
      <c r="J177" s="974">
        <f t="shared" si="6"/>
        <v>138388.01917808221</v>
      </c>
    </row>
    <row r="178" spans="2:10">
      <c r="B178" s="896" t="s">
        <v>2472</v>
      </c>
      <c r="C178" s="897">
        <v>150000000</v>
      </c>
      <c r="D178" s="897">
        <v>1442465.7534246568</v>
      </c>
      <c r="F178" s="906" t="s">
        <v>2773</v>
      </c>
      <c r="G178" s="904">
        <v>100000</v>
      </c>
      <c r="H178" s="904">
        <v>371.09589041095904</v>
      </c>
      <c r="I178" s="904">
        <v>7831.26</v>
      </c>
      <c r="J178" s="974">
        <f t="shared" si="6"/>
        <v>2906148.4027397274</v>
      </c>
    </row>
    <row r="179" spans="2:10">
      <c r="B179" s="896" t="s">
        <v>2473</v>
      </c>
      <c r="C179" s="897">
        <v>150000000</v>
      </c>
      <c r="D179" s="897">
        <v>1442465.7534246568</v>
      </c>
      <c r="F179" s="906" t="s">
        <v>2774</v>
      </c>
      <c r="G179" s="904">
        <v>50000</v>
      </c>
      <c r="H179" s="904">
        <v>8.8356164383561655</v>
      </c>
      <c r="I179" s="904">
        <v>7831.26</v>
      </c>
      <c r="J179" s="974">
        <f t="shared" si="6"/>
        <v>69194.009589041103</v>
      </c>
    </row>
    <row r="180" spans="2:10">
      <c r="B180" s="896" t="s">
        <v>2474</v>
      </c>
      <c r="C180" s="897">
        <v>150000000</v>
      </c>
      <c r="D180" s="897">
        <v>1442465.7534246568</v>
      </c>
      <c r="F180" s="906" t="s">
        <v>2775</v>
      </c>
      <c r="G180" s="904">
        <v>50000</v>
      </c>
      <c r="H180" s="904">
        <v>8.8356164383561655</v>
      </c>
      <c r="I180" s="904">
        <v>7831.26</v>
      </c>
      <c r="J180" s="974">
        <f t="shared" si="6"/>
        <v>69194.009589041103</v>
      </c>
    </row>
    <row r="181" spans="2:10">
      <c r="B181" s="896" t="s">
        <v>2475</v>
      </c>
      <c r="C181" s="897">
        <v>150000000</v>
      </c>
      <c r="D181" s="897">
        <v>1442465.7534246568</v>
      </c>
      <c r="F181" s="906" t="s">
        <v>2776</v>
      </c>
      <c r="G181" s="904">
        <v>50000</v>
      </c>
      <c r="H181" s="904">
        <v>8.8356164383561655</v>
      </c>
      <c r="I181" s="904">
        <v>7831.26</v>
      </c>
      <c r="J181" s="974">
        <f t="shared" si="6"/>
        <v>69194.009589041103</v>
      </c>
    </row>
    <row r="182" spans="2:10">
      <c r="B182" s="896" t="s">
        <v>2476</v>
      </c>
      <c r="C182" s="897">
        <v>150000000</v>
      </c>
      <c r="D182" s="897">
        <v>512876.71232876735</v>
      </c>
      <c r="F182" s="906" t="s">
        <v>2777</v>
      </c>
      <c r="G182" s="904">
        <v>50000</v>
      </c>
      <c r="H182" s="904">
        <v>8.8356164383561655</v>
      </c>
      <c r="I182" s="904">
        <v>7831.26</v>
      </c>
      <c r="J182" s="974">
        <f t="shared" si="6"/>
        <v>69194.009589041103</v>
      </c>
    </row>
    <row r="183" spans="2:10">
      <c r="B183" s="896" t="s">
        <v>1758</v>
      </c>
      <c r="C183" s="897">
        <v>500000000</v>
      </c>
      <c r="D183" s="897">
        <v>33550684.931507044</v>
      </c>
      <c r="F183" s="906" t="s">
        <v>2778</v>
      </c>
      <c r="G183" s="904">
        <v>50000</v>
      </c>
      <c r="H183" s="904">
        <v>8.8356164383561655</v>
      </c>
      <c r="I183" s="904">
        <v>7831.26</v>
      </c>
      <c r="J183" s="974">
        <f t="shared" ref="J183:J214" si="7">+H183*I183</f>
        <v>69194.009589041103</v>
      </c>
    </row>
    <row r="184" spans="2:10">
      <c r="B184" s="896" t="s">
        <v>1759</v>
      </c>
      <c r="C184" s="897">
        <v>500000000</v>
      </c>
      <c r="D184" s="897">
        <v>33550684.931507044</v>
      </c>
      <c r="F184" s="906" t="s">
        <v>2779</v>
      </c>
      <c r="G184" s="904">
        <v>25000</v>
      </c>
      <c r="H184" s="904">
        <v>4.4178082191780828</v>
      </c>
      <c r="I184" s="904">
        <v>7831.26</v>
      </c>
      <c r="J184" s="974">
        <f t="shared" si="7"/>
        <v>34597.004794520552</v>
      </c>
    </row>
    <row r="185" spans="2:10">
      <c r="B185" s="896" t="s">
        <v>1760</v>
      </c>
      <c r="C185" s="897">
        <v>500000000</v>
      </c>
      <c r="D185" s="897">
        <v>33550684.931507044</v>
      </c>
      <c r="F185" s="906" t="s">
        <v>2780</v>
      </c>
      <c r="G185" s="904">
        <v>25000</v>
      </c>
      <c r="H185" s="904">
        <v>48.595890410958923</v>
      </c>
      <c r="I185" s="904">
        <v>7831.26</v>
      </c>
      <c r="J185" s="974">
        <f t="shared" si="7"/>
        <v>380567.0527397262</v>
      </c>
    </row>
    <row r="186" spans="2:10">
      <c r="B186" s="896" t="s">
        <v>1761</v>
      </c>
      <c r="C186" s="897">
        <v>500000000</v>
      </c>
      <c r="D186" s="897">
        <v>33550684.931507044</v>
      </c>
      <c r="F186" s="906" t="s">
        <v>2781</v>
      </c>
      <c r="G186" s="904">
        <v>25000</v>
      </c>
      <c r="H186" s="904">
        <v>48.595890410958923</v>
      </c>
      <c r="I186" s="904">
        <v>7831.26</v>
      </c>
      <c r="J186" s="974">
        <f t="shared" si="7"/>
        <v>380567.0527397262</v>
      </c>
    </row>
    <row r="187" spans="2:10">
      <c r="B187" s="896" t="s">
        <v>1762</v>
      </c>
      <c r="C187" s="897">
        <v>200000000</v>
      </c>
      <c r="D187" s="897">
        <v>13121095.890411003</v>
      </c>
      <c r="F187" s="906" t="s">
        <v>2736</v>
      </c>
      <c r="G187" s="904">
        <v>25000</v>
      </c>
      <c r="H187" s="904">
        <v>145.78767123287676</v>
      </c>
      <c r="I187" s="904">
        <v>7831.26</v>
      </c>
      <c r="J187" s="974">
        <f t="shared" si="7"/>
        <v>1141701.1582191784</v>
      </c>
    </row>
    <row r="188" spans="2:10">
      <c r="B188" s="896" t="s">
        <v>1763</v>
      </c>
      <c r="C188" s="897">
        <v>200000000</v>
      </c>
      <c r="D188" s="897">
        <v>13121095.890411003</v>
      </c>
      <c r="F188" s="906" t="s">
        <v>2782</v>
      </c>
      <c r="G188" s="904">
        <v>150000</v>
      </c>
      <c r="H188" s="904">
        <v>26.506849315068493</v>
      </c>
      <c r="I188" s="904">
        <v>7831.26</v>
      </c>
      <c r="J188" s="974">
        <f t="shared" si="7"/>
        <v>207582.02876712329</v>
      </c>
    </row>
    <row r="189" spans="2:10">
      <c r="B189" s="896" t="s">
        <v>1764</v>
      </c>
      <c r="C189" s="897">
        <v>200000000</v>
      </c>
      <c r="D189" s="897">
        <v>13121095.890411003</v>
      </c>
      <c r="F189" s="906" t="s">
        <v>2783</v>
      </c>
      <c r="G189" s="904">
        <v>150000</v>
      </c>
      <c r="H189" s="904">
        <v>26.506849315068493</v>
      </c>
      <c r="I189" s="904">
        <v>7831.26</v>
      </c>
      <c r="J189" s="974">
        <f t="shared" si="7"/>
        <v>207582.02876712329</v>
      </c>
    </row>
    <row r="190" spans="2:10">
      <c r="B190" s="896" t="s">
        <v>1765</v>
      </c>
      <c r="C190" s="897">
        <v>200000000</v>
      </c>
      <c r="D190" s="897">
        <v>13121095.890411003</v>
      </c>
      <c r="F190" s="906" t="s">
        <v>2784</v>
      </c>
      <c r="G190" s="904">
        <v>100000</v>
      </c>
      <c r="H190" s="904">
        <v>176.71232876712335</v>
      </c>
      <c r="I190" s="904">
        <v>7831.26</v>
      </c>
      <c r="J190" s="974">
        <f t="shared" si="7"/>
        <v>1383880.1917808224</v>
      </c>
    </row>
    <row r="191" spans="2:10">
      <c r="B191" s="896" t="s">
        <v>1766</v>
      </c>
      <c r="C191" s="897">
        <v>200000000</v>
      </c>
      <c r="D191" s="897">
        <v>13121095.890411003</v>
      </c>
      <c r="F191" s="906" t="s">
        <v>2785</v>
      </c>
      <c r="G191" s="904">
        <v>100000</v>
      </c>
      <c r="H191" s="904">
        <v>176.71232876712335</v>
      </c>
      <c r="I191" s="904">
        <v>7831.26</v>
      </c>
      <c r="J191" s="974">
        <f t="shared" si="7"/>
        <v>1383880.1917808224</v>
      </c>
    </row>
    <row r="192" spans="2:10">
      <c r="B192" s="896" t="s">
        <v>1767</v>
      </c>
      <c r="C192" s="897">
        <v>200000000</v>
      </c>
      <c r="D192" s="897">
        <v>13121095.890411003</v>
      </c>
      <c r="F192" s="906" t="s">
        <v>2786</v>
      </c>
      <c r="G192" s="904">
        <v>100000</v>
      </c>
      <c r="H192" s="904">
        <v>176.71232876712335</v>
      </c>
      <c r="I192" s="904">
        <v>7831.26</v>
      </c>
      <c r="J192" s="974">
        <f t="shared" si="7"/>
        <v>1383880.1917808224</v>
      </c>
    </row>
    <row r="193" spans="2:10">
      <c r="B193" s="896" t="s">
        <v>1768</v>
      </c>
      <c r="C193" s="897">
        <v>200000000</v>
      </c>
      <c r="D193" s="897">
        <v>13121095.890411003</v>
      </c>
      <c r="F193" s="906" t="s">
        <v>2787</v>
      </c>
      <c r="G193" s="904">
        <v>100000</v>
      </c>
      <c r="H193" s="904">
        <v>176.71232876712335</v>
      </c>
      <c r="I193" s="904">
        <v>7831.26</v>
      </c>
      <c r="J193" s="974">
        <f t="shared" si="7"/>
        <v>1383880.1917808224</v>
      </c>
    </row>
    <row r="194" spans="2:10">
      <c r="B194" s="896" t="s">
        <v>1769</v>
      </c>
      <c r="C194" s="897">
        <v>200000000</v>
      </c>
      <c r="D194" s="897">
        <v>13121095.890411003</v>
      </c>
      <c r="F194" s="906" t="s">
        <v>2788</v>
      </c>
      <c r="G194" s="904">
        <v>100000</v>
      </c>
      <c r="H194" s="904">
        <v>176.71232876712335</v>
      </c>
      <c r="I194" s="904">
        <v>7831.26</v>
      </c>
      <c r="J194" s="974">
        <f t="shared" si="7"/>
        <v>1383880.1917808224</v>
      </c>
    </row>
    <row r="195" spans="2:10">
      <c r="B195" s="896" t="s">
        <v>1770</v>
      </c>
      <c r="C195" s="897">
        <v>200000000</v>
      </c>
      <c r="D195" s="897">
        <v>13121095.890411003</v>
      </c>
      <c r="F195" s="906" t="s">
        <v>2789</v>
      </c>
      <c r="G195" s="904">
        <v>100000</v>
      </c>
      <c r="H195" s="904">
        <v>176.71232876712335</v>
      </c>
      <c r="I195" s="904">
        <v>7831.26</v>
      </c>
      <c r="J195" s="974">
        <f t="shared" si="7"/>
        <v>1383880.1917808224</v>
      </c>
    </row>
    <row r="196" spans="2:10">
      <c r="B196" s="896" t="s">
        <v>1771</v>
      </c>
      <c r="C196" s="897">
        <v>200000000</v>
      </c>
      <c r="D196" s="897">
        <v>13121095.890411003</v>
      </c>
      <c r="F196" s="906" t="s">
        <v>2790</v>
      </c>
      <c r="G196" s="904">
        <v>250000</v>
      </c>
      <c r="H196" s="904">
        <v>441.78082191780823</v>
      </c>
      <c r="I196" s="904">
        <v>7831.26</v>
      </c>
      <c r="J196" s="974">
        <f t="shared" si="7"/>
        <v>3459700.4794520549</v>
      </c>
    </row>
    <row r="197" spans="2:10">
      <c r="B197" s="896" t="s">
        <v>1772</v>
      </c>
      <c r="C197" s="897">
        <v>200000000</v>
      </c>
      <c r="D197" s="897">
        <v>13121095.890411003</v>
      </c>
      <c r="F197" s="906" t="s">
        <v>2791</v>
      </c>
      <c r="G197" s="904">
        <v>250000</v>
      </c>
      <c r="H197" s="904">
        <v>441.78082191780823</v>
      </c>
      <c r="I197" s="904">
        <v>7831.26</v>
      </c>
      <c r="J197" s="974">
        <f t="shared" si="7"/>
        <v>3459700.4794520549</v>
      </c>
    </row>
    <row r="198" spans="2:10">
      <c r="B198" s="896" t="s">
        <v>1773</v>
      </c>
      <c r="C198" s="897">
        <v>200000000</v>
      </c>
      <c r="D198" s="897">
        <v>13121095.890411003</v>
      </c>
      <c r="F198" s="906" t="s">
        <v>2987</v>
      </c>
      <c r="G198" s="904">
        <v>100000</v>
      </c>
      <c r="H198" s="904">
        <v>265.06849315068496</v>
      </c>
      <c r="I198" s="904">
        <v>7831.26</v>
      </c>
      <c r="J198" s="974">
        <f t="shared" si="7"/>
        <v>2075820.2876712331</v>
      </c>
    </row>
    <row r="199" spans="2:10">
      <c r="B199" s="896" t="s">
        <v>1774</v>
      </c>
      <c r="C199" s="897">
        <v>200000000</v>
      </c>
      <c r="D199" s="897">
        <v>13121095.890411003</v>
      </c>
      <c r="F199" s="906" t="s">
        <v>2988</v>
      </c>
      <c r="G199" s="904">
        <v>100000</v>
      </c>
      <c r="H199" s="904">
        <v>265.06849315068496</v>
      </c>
      <c r="I199" s="904">
        <v>7831.26</v>
      </c>
      <c r="J199" s="974">
        <f t="shared" si="7"/>
        <v>2075820.2876712331</v>
      </c>
    </row>
    <row r="200" spans="2:10">
      <c r="B200" s="896" t="s">
        <v>2477</v>
      </c>
      <c r="C200" s="897">
        <v>200000000</v>
      </c>
      <c r="D200" s="897">
        <v>4188493.1506849383</v>
      </c>
      <c r="F200" s="906" t="s">
        <v>2989</v>
      </c>
      <c r="G200" s="904">
        <v>100000</v>
      </c>
      <c r="H200" s="904">
        <v>265.06849315068496</v>
      </c>
      <c r="I200" s="904">
        <v>7831.26</v>
      </c>
      <c r="J200" s="974">
        <f t="shared" si="7"/>
        <v>2075820.2876712331</v>
      </c>
    </row>
    <row r="201" spans="2:10">
      <c r="B201" s="896" t="s">
        <v>2478</v>
      </c>
      <c r="C201" s="897">
        <v>200000000</v>
      </c>
      <c r="D201" s="897">
        <v>4188493.1506849383</v>
      </c>
      <c r="F201" s="906" t="s">
        <v>2990</v>
      </c>
      <c r="G201" s="904">
        <v>100000</v>
      </c>
      <c r="H201" s="904">
        <v>265.06849315068496</v>
      </c>
      <c r="I201" s="904">
        <v>7831.26</v>
      </c>
      <c r="J201" s="974">
        <f t="shared" si="7"/>
        <v>2075820.2876712331</v>
      </c>
    </row>
    <row r="202" spans="2:10">
      <c r="B202" s="896" t="s">
        <v>2479</v>
      </c>
      <c r="C202" s="897">
        <v>500000000</v>
      </c>
      <c r="D202" s="897">
        <v>616438.35616438359</v>
      </c>
      <c r="F202" s="906" t="s">
        <v>2991</v>
      </c>
      <c r="G202" s="904">
        <v>100000</v>
      </c>
      <c r="H202" s="904">
        <v>265.06849315068496</v>
      </c>
      <c r="I202" s="904">
        <v>7831.26</v>
      </c>
      <c r="J202" s="974">
        <f t="shared" si="7"/>
        <v>2075820.2876712331</v>
      </c>
    </row>
    <row r="203" spans="2:10">
      <c r="B203" s="896" t="s">
        <v>2480</v>
      </c>
      <c r="C203" s="897">
        <v>500000000</v>
      </c>
      <c r="D203" s="897">
        <v>616438.35616438359</v>
      </c>
      <c r="F203" s="906" t="s">
        <v>2992</v>
      </c>
      <c r="G203" s="904">
        <v>100000</v>
      </c>
      <c r="H203" s="904">
        <v>265.06849315068496</v>
      </c>
      <c r="I203" s="904">
        <v>7831.26</v>
      </c>
      <c r="J203" s="974">
        <f t="shared" si="7"/>
        <v>2075820.2876712331</v>
      </c>
    </row>
    <row r="204" spans="2:10">
      <c r="B204" s="896" t="s">
        <v>2481</v>
      </c>
      <c r="C204" s="897">
        <v>500000000</v>
      </c>
      <c r="D204" s="897">
        <v>616438.35616438359</v>
      </c>
      <c r="F204" s="906" t="s">
        <v>2993</v>
      </c>
      <c r="G204" s="904">
        <v>100000</v>
      </c>
      <c r="H204" s="904">
        <v>265.06849315068496</v>
      </c>
      <c r="I204" s="904">
        <v>7831.26</v>
      </c>
      <c r="J204" s="974">
        <f t="shared" si="7"/>
        <v>2075820.2876712331</v>
      </c>
    </row>
    <row r="205" spans="2:10">
      <c r="B205" s="896" t="s">
        <v>2482</v>
      </c>
      <c r="C205" s="897">
        <v>500000000</v>
      </c>
      <c r="D205" s="897">
        <v>616438.35616438359</v>
      </c>
      <c r="F205" s="906" t="s">
        <v>2994</v>
      </c>
      <c r="G205" s="904">
        <v>100000</v>
      </c>
      <c r="H205" s="904">
        <v>265.06849315068496</v>
      </c>
      <c r="I205" s="904">
        <v>7831.26</v>
      </c>
      <c r="J205" s="974">
        <f t="shared" si="7"/>
        <v>2075820.2876712331</v>
      </c>
    </row>
    <row r="206" spans="2:10">
      <c r="B206" s="896" t="s">
        <v>2483</v>
      </c>
      <c r="C206" s="897">
        <v>250000000</v>
      </c>
      <c r="D206" s="897">
        <v>308219.17808219179</v>
      </c>
      <c r="F206" s="906" t="s">
        <v>2995</v>
      </c>
      <c r="G206" s="904">
        <v>100000</v>
      </c>
      <c r="H206" s="904">
        <v>353.42465753424665</v>
      </c>
      <c r="I206" s="904">
        <v>7831.26</v>
      </c>
      <c r="J206" s="974">
        <f t="shared" si="7"/>
        <v>2767760.3835616447</v>
      </c>
    </row>
    <row r="207" spans="2:10">
      <c r="B207" s="896" t="s">
        <v>2484</v>
      </c>
      <c r="C207" s="897">
        <v>250000000</v>
      </c>
      <c r="D207" s="897">
        <v>308219.17808219179</v>
      </c>
      <c r="F207" s="906" t="s">
        <v>2996</v>
      </c>
      <c r="G207" s="904">
        <v>100000</v>
      </c>
      <c r="H207" s="904">
        <v>353.42465753424665</v>
      </c>
      <c r="I207" s="904">
        <v>7831.26</v>
      </c>
      <c r="J207" s="974">
        <f t="shared" si="7"/>
        <v>2767760.3835616447</v>
      </c>
    </row>
    <row r="208" spans="2:10">
      <c r="B208" s="896" t="s">
        <v>2485</v>
      </c>
      <c r="C208" s="897">
        <v>250000000</v>
      </c>
      <c r="D208" s="897">
        <v>308219.17808219179</v>
      </c>
      <c r="F208" s="906" t="s">
        <v>2792</v>
      </c>
      <c r="G208" s="904">
        <v>50000</v>
      </c>
      <c r="H208" s="904">
        <v>61.849315068493141</v>
      </c>
      <c r="I208" s="904">
        <v>7831.26</v>
      </c>
      <c r="J208" s="974">
        <f t="shared" si="7"/>
        <v>484358.06712328759</v>
      </c>
    </row>
    <row r="209" spans="2:10">
      <c r="B209" s="896" t="s">
        <v>2486</v>
      </c>
      <c r="C209" s="897">
        <v>250000000</v>
      </c>
      <c r="D209" s="897">
        <v>308219.17808219179</v>
      </c>
      <c r="F209" s="906" t="s">
        <v>2793</v>
      </c>
      <c r="G209" s="904">
        <v>50000</v>
      </c>
      <c r="H209" s="904">
        <v>61.849315068493141</v>
      </c>
      <c r="I209" s="904">
        <v>7831.26</v>
      </c>
      <c r="J209" s="974">
        <f t="shared" si="7"/>
        <v>484358.06712328759</v>
      </c>
    </row>
    <row r="210" spans="2:10">
      <c r="B210" s="896" t="s">
        <v>2487</v>
      </c>
      <c r="C210" s="897">
        <v>250000000</v>
      </c>
      <c r="D210" s="897">
        <v>308219.17808219179</v>
      </c>
      <c r="F210" s="906" t="s">
        <v>2794</v>
      </c>
      <c r="G210" s="904">
        <v>50000</v>
      </c>
      <c r="H210" s="904">
        <v>61.849315068493141</v>
      </c>
      <c r="I210" s="904">
        <v>7831.26</v>
      </c>
      <c r="J210" s="974">
        <f t="shared" si="7"/>
        <v>484358.06712328759</v>
      </c>
    </row>
    <row r="211" spans="2:10">
      <c r="B211" s="896" t="s">
        <v>2488</v>
      </c>
      <c r="C211" s="897">
        <v>250000000</v>
      </c>
      <c r="D211" s="897">
        <v>308219.17808219179</v>
      </c>
      <c r="F211" s="906" t="s">
        <v>2795</v>
      </c>
      <c r="G211" s="904">
        <v>50000</v>
      </c>
      <c r="H211" s="904">
        <v>61.849315068493141</v>
      </c>
      <c r="I211" s="904">
        <v>7831.26</v>
      </c>
      <c r="J211" s="974">
        <f t="shared" si="7"/>
        <v>484358.06712328759</v>
      </c>
    </row>
    <row r="212" spans="2:10">
      <c r="B212" s="896" t="s">
        <v>2489</v>
      </c>
      <c r="C212" s="897">
        <v>250000000</v>
      </c>
      <c r="D212" s="897">
        <v>308219.17808219179</v>
      </c>
      <c r="F212" s="906" t="s">
        <v>2997</v>
      </c>
      <c r="G212" s="904">
        <v>25000</v>
      </c>
      <c r="H212" s="904">
        <v>88.356164383561662</v>
      </c>
      <c r="I212" s="904">
        <v>7831.26</v>
      </c>
      <c r="J212" s="974">
        <f t="shared" si="7"/>
        <v>691940.09589041118</v>
      </c>
    </row>
    <row r="213" spans="2:10">
      <c r="B213" s="896" t="s">
        <v>2490</v>
      </c>
      <c r="C213" s="897">
        <v>250000000</v>
      </c>
      <c r="D213" s="897">
        <v>308219.17808219179</v>
      </c>
      <c r="F213" s="906" t="s">
        <v>2998</v>
      </c>
      <c r="G213" s="904">
        <v>25000</v>
      </c>
      <c r="H213" s="904">
        <v>88.356164383561662</v>
      </c>
      <c r="I213" s="904">
        <v>7831.26</v>
      </c>
      <c r="J213" s="974">
        <f t="shared" si="7"/>
        <v>691940.09589041118</v>
      </c>
    </row>
    <row r="214" spans="2:10">
      <c r="B214" s="896" t="s">
        <v>2491</v>
      </c>
      <c r="C214" s="897">
        <v>250000000</v>
      </c>
      <c r="D214" s="897">
        <v>308219.17808219179</v>
      </c>
      <c r="F214" s="906" t="s">
        <v>2999</v>
      </c>
      <c r="G214" s="904">
        <v>250000</v>
      </c>
      <c r="H214" s="904">
        <v>574.31506849315076</v>
      </c>
      <c r="I214" s="904">
        <v>7831.26</v>
      </c>
      <c r="J214" s="974">
        <f t="shared" si="7"/>
        <v>4497610.6232876722</v>
      </c>
    </row>
    <row r="215" spans="2:10">
      <c r="B215" s="896" t="s">
        <v>2492</v>
      </c>
      <c r="C215" s="897">
        <v>250000000</v>
      </c>
      <c r="D215" s="897">
        <v>308219.17808219179</v>
      </c>
      <c r="F215" s="906" t="s">
        <v>3000</v>
      </c>
      <c r="G215" s="904">
        <v>250000</v>
      </c>
      <c r="H215" s="904">
        <v>574.31506849315076</v>
      </c>
      <c r="I215" s="904">
        <v>7831.26</v>
      </c>
      <c r="J215" s="974">
        <f t="shared" ref="J215:J229" si="8">+H215*I215</f>
        <v>4497610.6232876722</v>
      </c>
    </row>
    <row r="216" spans="2:10">
      <c r="B216" s="896" t="s">
        <v>2493</v>
      </c>
      <c r="C216" s="897">
        <v>250000000</v>
      </c>
      <c r="D216" s="897">
        <v>308219.17808219179</v>
      </c>
      <c r="F216" s="906" t="s">
        <v>3001</v>
      </c>
      <c r="G216" s="904">
        <v>200000</v>
      </c>
      <c r="H216" s="904">
        <v>600.82191780821927</v>
      </c>
      <c r="I216" s="904">
        <v>7831.26</v>
      </c>
      <c r="J216" s="974">
        <f t="shared" si="8"/>
        <v>4705192.6520547951</v>
      </c>
    </row>
    <row r="217" spans="2:10">
      <c r="B217" s="896" t="s">
        <v>2494</v>
      </c>
      <c r="C217" s="897">
        <v>250000000</v>
      </c>
      <c r="D217" s="897">
        <v>308219.17808219179</v>
      </c>
      <c r="F217" s="906" t="s">
        <v>3002</v>
      </c>
      <c r="G217" s="904">
        <v>100000</v>
      </c>
      <c r="H217" s="904">
        <v>356.71232876712315</v>
      </c>
      <c r="I217" s="904">
        <v>7831.26</v>
      </c>
      <c r="J217" s="974">
        <f t="shared" si="8"/>
        <v>2793506.9917808208</v>
      </c>
    </row>
    <row r="218" spans="2:10">
      <c r="B218" s="896" t="s">
        <v>2495</v>
      </c>
      <c r="C218" s="897">
        <v>250000000</v>
      </c>
      <c r="D218" s="897">
        <v>308219.17808219179</v>
      </c>
      <c r="F218" s="906" t="s">
        <v>3003</v>
      </c>
      <c r="G218" s="904">
        <v>100000</v>
      </c>
      <c r="H218" s="904">
        <v>475.61643835616405</v>
      </c>
      <c r="I218" s="904">
        <v>7831.26</v>
      </c>
      <c r="J218" s="974">
        <f t="shared" si="8"/>
        <v>3724675.9890410933</v>
      </c>
    </row>
    <row r="219" spans="2:10">
      <c r="B219" s="896" t="s">
        <v>2496</v>
      </c>
      <c r="C219" s="897">
        <v>250000000</v>
      </c>
      <c r="D219" s="897">
        <v>308219.17808219179</v>
      </c>
      <c r="F219" s="906" t="s">
        <v>3004</v>
      </c>
      <c r="G219" s="904">
        <v>50000</v>
      </c>
      <c r="H219" s="904">
        <v>84.93150684931507</v>
      </c>
      <c r="I219" s="904">
        <v>7831.26</v>
      </c>
      <c r="J219" s="974">
        <f t="shared" si="8"/>
        <v>665120.71232876717</v>
      </c>
    </row>
    <row r="220" spans="2:10">
      <c r="B220" s="896" t="s">
        <v>2497</v>
      </c>
      <c r="C220" s="897">
        <v>250000000</v>
      </c>
      <c r="D220" s="897">
        <v>308219.17808219179</v>
      </c>
      <c r="F220" s="906" t="s">
        <v>3005</v>
      </c>
      <c r="G220" s="904">
        <v>50000</v>
      </c>
      <c r="H220" s="904">
        <v>220.82191780821904</v>
      </c>
      <c r="I220" s="904">
        <v>7831.26</v>
      </c>
      <c r="J220" s="974">
        <f t="shared" si="8"/>
        <v>1729313.8520547934</v>
      </c>
    </row>
    <row r="221" spans="2:10">
      <c r="B221" s="896" t="s">
        <v>2498</v>
      </c>
      <c r="C221" s="897">
        <v>250000000</v>
      </c>
      <c r="D221" s="897">
        <v>308219.17808219179</v>
      </c>
      <c r="F221" s="906" t="s">
        <v>3006</v>
      </c>
      <c r="G221" s="904">
        <v>50000</v>
      </c>
      <c r="H221" s="904">
        <v>237.80821917808203</v>
      </c>
      <c r="I221" s="904">
        <v>7831.26</v>
      </c>
      <c r="J221" s="974">
        <f t="shared" si="8"/>
        <v>1862337.9945205466</v>
      </c>
    </row>
    <row r="222" spans="2:10">
      <c r="B222" s="896" t="s">
        <v>2499</v>
      </c>
      <c r="C222" s="897">
        <v>250000000</v>
      </c>
      <c r="D222" s="897">
        <v>308219.17808219179</v>
      </c>
      <c r="F222" s="906" t="s">
        <v>3007</v>
      </c>
      <c r="G222" s="904">
        <v>50000</v>
      </c>
      <c r="H222" s="904">
        <v>237.80821917808203</v>
      </c>
      <c r="I222" s="904">
        <v>7831.26</v>
      </c>
      <c r="J222" s="974">
        <f t="shared" si="8"/>
        <v>1862337.9945205466</v>
      </c>
    </row>
    <row r="223" spans="2:10">
      <c r="B223" s="896" t="s">
        <v>2500</v>
      </c>
      <c r="C223" s="897">
        <v>250000000</v>
      </c>
      <c r="D223" s="897">
        <v>308219.17808219179</v>
      </c>
      <c r="F223" s="906" t="s">
        <v>3008</v>
      </c>
      <c r="G223" s="904">
        <v>25000</v>
      </c>
      <c r="H223" s="904">
        <v>131.64383561643825</v>
      </c>
      <c r="I223" s="904">
        <v>7831.26</v>
      </c>
      <c r="J223" s="974">
        <f t="shared" si="8"/>
        <v>1030937.1041095883</v>
      </c>
    </row>
    <row r="224" spans="2:10">
      <c r="B224" s="896" t="s">
        <v>2501</v>
      </c>
      <c r="C224" s="897">
        <v>250000000</v>
      </c>
      <c r="D224" s="897">
        <v>308219.17808219179</v>
      </c>
      <c r="F224" s="906" t="s">
        <v>3009</v>
      </c>
      <c r="G224" s="904">
        <v>25000</v>
      </c>
      <c r="H224" s="904">
        <v>131.64383561643825</v>
      </c>
      <c r="I224" s="904">
        <v>7831.26</v>
      </c>
      <c r="J224" s="974">
        <f t="shared" si="8"/>
        <v>1030937.1041095883</v>
      </c>
    </row>
    <row r="225" spans="2:10">
      <c r="B225" s="896" t="s">
        <v>2502</v>
      </c>
      <c r="C225" s="897">
        <v>250000000</v>
      </c>
      <c r="D225" s="897">
        <v>308219.17808219179</v>
      </c>
      <c r="F225" s="906" t="s">
        <v>3010</v>
      </c>
      <c r="G225" s="904">
        <v>25000</v>
      </c>
      <c r="H225" s="904">
        <v>131.64383561643825</v>
      </c>
      <c r="I225" s="904">
        <v>7831.26</v>
      </c>
      <c r="J225" s="974">
        <f t="shared" si="8"/>
        <v>1030937.1041095883</v>
      </c>
    </row>
    <row r="226" spans="2:10">
      <c r="B226" s="896" t="s">
        <v>2503</v>
      </c>
      <c r="C226" s="897">
        <v>250000000</v>
      </c>
      <c r="D226" s="897">
        <v>308219.17808219179</v>
      </c>
      <c r="F226" s="906" t="s">
        <v>3011</v>
      </c>
      <c r="G226" s="904">
        <v>25000</v>
      </c>
      <c r="H226" s="904">
        <v>144.38356164383549</v>
      </c>
      <c r="I226" s="904">
        <v>7831.26</v>
      </c>
      <c r="J226" s="974">
        <f t="shared" si="8"/>
        <v>1130705.2109589032</v>
      </c>
    </row>
    <row r="227" spans="2:10">
      <c r="B227" s="896" t="s">
        <v>2504</v>
      </c>
      <c r="C227" s="897">
        <v>250000000</v>
      </c>
      <c r="D227" s="897">
        <v>308219.17808219179</v>
      </c>
      <c r="F227" s="906" t="s">
        <v>2326</v>
      </c>
      <c r="G227" s="904">
        <v>50000</v>
      </c>
      <c r="H227" s="904">
        <v>167.35616438356169</v>
      </c>
      <c r="I227" s="904">
        <v>7831.26</v>
      </c>
      <c r="J227" s="974">
        <f t="shared" si="8"/>
        <v>1310609.6358904114</v>
      </c>
    </row>
    <row r="228" spans="2:10">
      <c r="B228" s="896" t="s">
        <v>2505</v>
      </c>
      <c r="C228" s="897">
        <v>250000000</v>
      </c>
      <c r="D228" s="897">
        <v>308219.17808219179</v>
      </c>
      <c r="F228" s="906" t="s">
        <v>2328</v>
      </c>
      <c r="G228" s="904">
        <v>50000</v>
      </c>
      <c r="H228" s="904">
        <v>167.35616438356169</v>
      </c>
      <c r="I228" s="904">
        <v>7831.26</v>
      </c>
      <c r="J228" s="974">
        <f t="shared" si="8"/>
        <v>1310609.6358904114</v>
      </c>
    </row>
    <row r="229" spans="2:10">
      <c r="B229" s="896" t="s">
        <v>2506</v>
      </c>
      <c r="C229" s="897">
        <v>250000000</v>
      </c>
      <c r="D229" s="897">
        <v>308219.17808219179</v>
      </c>
      <c r="F229" s="906" t="s">
        <v>2272</v>
      </c>
      <c r="G229" s="904">
        <v>50000</v>
      </c>
      <c r="H229" s="904">
        <v>167.35616438356169</v>
      </c>
      <c r="I229" s="904">
        <v>7831.26</v>
      </c>
      <c r="J229" s="974">
        <f t="shared" si="8"/>
        <v>1310609.6358904114</v>
      </c>
    </row>
    <row r="230" spans="2:10">
      <c r="B230" s="896" t="s">
        <v>2507</v>
      </c>
      <c r="C230" s="897">
        <v>250000000</v>
      </c>
      <c r="D230" s="897">
        <v>308219.17808219179</v>
      </c>
    </row>
    <row r="231" spans="2:10">
      <c r="B231" s="896" t="s">
        <v>2508</v>
      </c>
      <c r="C231" s="897">
        <v>250000000</v>
      </c>
      <c r="D231" s="897">
        <v>308219.17808219179</v>
      </c>
    </row>
    <row r="232" spans="2:10">
      <c r="B232" s="896" t="s">
        <v>2509</v>
      </c>
      <c r="C232" s="897">
        <v>250000000</v>
      </c>
      <c r="D232" s="897">
        <v>308219.17808219179</v>
      </c>
      <c r="I232" s="976">
        <f>SUM(J5:J229)</f>
        <v>311280863.23439902</v>
      </c>
    </row>
    <row r="233" spans="2:10">
      <c r="B233" s="896" t="s">
        <v>2510</v>
      </c>
      <c r="C233" s="897">
        <v>250000000</v>
      </c>
      <c r="D233" s="897">
        <v>308219.17808219179</v>
      </c>
    </row>
    <row r="234" spans="2:10">
      <c r="B234" s="896" t="s">
        <v>2511</v>
      </c>
      <c r="C234" s="897">
        <v>500000000</v>
      </c>
      <c r="D234" s="897">
        <v>719178.08219178091</v>
      </c>
    </row>
    <row r="235" spans="2:10">
      <c r="B235" s="896" t="s">
        <v>2512</v>
      </c>
      <c r="C235" s="897">
        <v>500000000</v>
      </c>
      <c r="D235" s="897">
        <v>719178.08219178091</v>
      </c>
    </row>
    <row r="236" spans="2:10">
      <c r="B236" s="896" t="s">
        <v>2513</v>
      </c>
      <c r="C236" s="897">
        <v>500000000</v>
      </c>
      <c r="D236" s="897">
        <v>719178.08219178091</v>
      </c>
    </row>
    <row r="237" spans="2:10">
      <c r="B237" s="896" t="s">
        <v>2514</v>
      </c>
      <c r="C237" s="897">
        <v>500000000</v>
      </c>
      <c r="D237" s="897">
        <v>719178.08219178091</v>
      </c>
    </row>
    <row r="238" spans="2:10">
      <c r="B238" s="896" t="s">
        <v>2515</v>
      </c>
      <c r="C238" s="897">
        <v>500000000</v>
      </c>
      <c r="D238" s="897">
        <v>719178.08219178091</v>
      </c>
    </row>
    <row r="239" spans="2:10">
      <c r="B239" s="896" t="s">
        <v>2516</v>
      </c>
      <c r="C239" s="897">
        <v>500000000</v>
      </c>
      <c r="D239" s="897">
        <v>719178.08219178091</v>
      </c>
    </row>
    <row r="240" spans="2:10">
      <c r="B240" s="896" t="s">
        <v>2517</v>
      </c>
      <c r="C240" s="897">
        <v>500000000</v>
      </c>
      <c r="D240" s="897">
        <v>719178.08219178091</v>
      </c>
    </row>
    <row r="241" spans="2:4">
      <c r="B241" s="896" t="s">
        <v>2518</v>
      </c>
      <c r="C241" s="897">
        <v>500000000</v>
      </c>
      <c r="D241" s="897">
        <v>719178.08219178091</v>
      </c>
    </row>
    <row r="242" spans="2:4">
      <c r="B242" s="896" t="s">
        <v>2519</v>
      </c>
      <c r="C242" s="897">
        <v>500000000</v>
      </c>
      <c r="D242" s="897">
        <v>719178.08219178091</v>
      </c>
    </row>
    <row r="243" spans="2:4">
      <c r="B243" s="896" t="s">
        <v>2520</v>
      </c>
      <c r="C243" s="897">
        <v>500000000</v>
      </c>
      <c r="D243" s="897">
        <v>719178.08219178091</v>
      </c>
    </row>
    <row r="244" spans="2:4">
      <c r="B244" s="896" t="s">
        <v>2521</v>
      </c>
      <c r="C244" s="897">
        <v>500000000</v>
      </c>
      <c r="D244" s="897">
        <v>719178.08219178091</v>
      </c>
    </row>
    <row r="245" spans="2:4">
      <c r="B245" s="896" t="s">
        <v>2522</v>
      </c>
      <c r="C245" s="897">
        <v>500000000</v>
      </c>
      <c r="D245" s="897">
        <v>719178.08219178091</v>
      </c>
    </row>
    <row r="246" spans="2:4">
      <c r="B246" s="896" t="s">
        <v>2523</v>
      </c>
      <c r="C246" s="897">
        <v>500000000</v>
      </c>
      <c r="D246" s="897">
        <v>719178.08219178091</v>
      </c>
    </row>
    <row r="247" spans="2:4">
      <c r="B247" s="896" t="s">
        <v>2524</v>
      </c>
      <c r="C247" s="897">
        <v>500000000</v>
      </c>
      <c r="D247" s="897">
        <v>719178.08219178091</v>
      </c>
    </row>
    <row r="248" spans="2:4">
      <c r="B248" s="896" t="s">
        <v>2525</v>
      </c>
      <c r="C248" s="897">
        <v>500000000</v>
      </c>
      <c r="D248" s="897">
        <v>719178.08219178091</v>
      </c>
    </row>
    <row r="249" spans="2:4">
      <c r="B249" s="896" t="s">
        <v>2526</v>
      </c>
      <c r="C249" s="897">
        <v>500000000</v>
      </c>
      <c r="D249" s="897">
        <v>719178.08219178091</v>
      </c>
    </row>
    <row r="250" spans="2:4">
      <c r="B250" s="896" t="s">
        <v>2527</v>
      </c>
      <c r="C250" s="897">
        <v>500000000</v>
      </c>
      <c r="D250" s="897">
        <v>719178.08219178091</v>
      </c>
    </row>
    <row r="251" spans="2:4">
      <c r="B251" s="896" t="s">
        <v>2528</v>
      </c>
      <c r="C251" s="897">
        <v>500000000</v>
      </c>
      <c r="D251" s="897">
        <v>719178.08219178091</v>
      </c>
    </row>
    <row r="252" spans="2:4">
      <c r="B252" s="896" t="s">
        <v>2529</v>
      </c>
      <c r="C252" s="897">
        <v>500000000</v>
      </c>
      <c r="D252" s="897">
        <v>719178.08219178091</v>
      </c>
    </row>
    <row r="253" spans="2:4">
      <c r="B253" s="896" t="s">
        <v>2530</v>
      </c>
      <c r="C253" s="897">
        <v>500000000</v>
      </c>
      <c r="D253" s="897">
        <v>719178.08219178091</v>
      </c>
    </row>
    <row r="254" spans="2:4">
      <c r="B254" s="896" t="s">
        <v>2531</v>
      </c>
      <c r="C254" s="897">
        <v>250000000</v>
      </c>
      <c r="D254" s="897">
        <v>1335616.4383561646</v>
      </c>
    </row>
    <row r="255" spans="2:4">
      <c r="B255" s="896" t="s">
        <v>2532</v>
      </c>
      <c r="C255" s="897">
        <v>250000000</v>
      </c>
      <c r="D255" s="897">
        <v>1335616.4383561646</v>
      </c>
    </row>
    <row r="256" spans="2:4">
      <c r="B256" s="896" t="s">
        <v>2533</v>
      </c>
      <c r="C256" s="897">
        <v>250000000</v>
      </c>
      <c r="D256" s="897">
        <v>1335616.4383561646</v>
      </c>
    </row>
    <row r="257" spans="2:4">
      <c r="B257" s="896" t="s">
        <v>2534</v>
      </c>
      <c r="C257" s="897">
        <v>250000000</v>
      </c>
      <c r="D257" s="897">
        <v>1335616.4383561646</v>
      </c>
    </row>
    <row r="258" spans="2:4">
      <c r="B258" s="896" t="s">
        <v>2535</v>
      </c>
      <c r="C258" s="897">
        <v>250000000</v>
      </c>
      <c r="D258" s="897">
        <v>1335616.4383561646</v>
      </c>
    </row>
    <row r="259" spans="2:4">
      <c r="B259" s="896" t="s">
        <v>2536</v>
      </c>
      <c r="C259" s="897">
        <v>250000000</v>
      </c>
      <c r="D259" s="897">
        <v>1335616.4383561646</v>
      </c>
    </row>
    <row r="260" spans="2:4">
      <c r="B260" s="896" t="s">
        <v>2537</v>
      </c>
      <c r="C260" s="897">
        <v>250000000</v>
      </c>
      <c r="D260" s="897">
        <v>1335616.4383561646</v>
      </c>
    </row>
    <row r="261" spans="2:4">
      <c r="B261" s="896" t="s">
        <v>2538</v>
      </c>
      <c r="C261" s="897">
        <v>250000000</v>
      </c>
      <c r="D261" s="897">
        <v>1335616.4383561646</v>
      </c>
    </row>
    <row r="262" spans="2:4">
      <c r="B262" s="896" t="s">
        <v>2539</v>
      </c>
      <c r="C262" s="897">
        <v>1000000000</v>
      </c>
      <c r="D262" s="897">
        <v>1027397.2602739726</v>
      </c>
    </row>
    <row r="263" spans="2:4">
      <c r="B263" s="896" t="s">
        <v>2540</v>
      </c>
      <c r="C263" s="897">
        <v>1000000000</v>
      </c>
      <c r="D263" s="897">
        <v>1027397.2602739726</v>
      </c>
    </row>
    <row r="264" spans="2:4">
      <c r="B264" s="896" t="s">
        <v>2541</v>
      </c>
      <c r="C264" s="897">
        <v>1000000000</v>
      </c>
      <c r="D264" s="897">
        <v>1027397.2602739726</v>
      </c>
    </row>
    <row r="265" spans="2:4">
      <c r="B265" s="896" t="s">
        <v>2542</v>
      </c>
      <c r="C265" s="897">
        <v>1000000000</v>
      </c>
      <c r="D265" s="897">
        <v>1027397.2602739726</v>
      </c>
    </row>
    <row r="266" spans="2:4">
      <c r="B266" s="896" t="s">
        <v>2543</v>
      </c>
      <c r="C266" s="897">
        <v>1000000000</v>
      </c>
      <c r="D266" s="897">
        <v>1027397.2602739726</v>
      </c>
    </row>
    <row r="267" spans="2:4">
      <c r="B267" s="896" t="s">
        <v>2544</v>
      </c>
      <c r="C267" s="897">
        <v>1000000000</v>
      </c>
      <c r="D267" s="897">
        <v>1027397.2602739726</v>
      </c>
    </row>
    <row r="268" spans="2:4">
      <c r="B268" s="896" t="s">
        <v>2545</v>
      </c>
      <c r="C268" s="897">
        <v>1000000000</v>
      </c>
      <c r="D268" s="897">
        <v>1027397.2602739726</v>
      </c>
    </row>
    <row r="269" spans="2:4">
      <c r="B269" s="896" t="s">
        <v>2546</v>
      </c>
      <c r="C269" s="897">
        <v>1000000000</v>
      </c>
      <c r="D269" s="897">
        <v>1027397.2602739726</v>
      </c>
    </row>
    <row r="270" spans="2:4">
      <c r="B270" s="896" t="s">
        <v>2547</v>
      </c>
      <c r="C270" s="897">
        <v>500000000</v>
      </c>
      <c r="D270" s="897">
        <v>616438.35616438359</v>
      </c>
    </row>
    <row r="271" spans="2:4">
      <c r="B271" s="896" t="s">
        <v>2548</v>
      </c>
      <c r="C271" s="897">
        <v>500000000</v>
      </c>
      <c r="D271" s="897">
        <v>616438.35616438359</v>
      </c>
    </row>
    <row r="272" spans="2:4">
      <c r="B272" s="896" t="s">
        <v>2549</v>
      </c>
      <c r="C272" s="897">
        <v>500000000</v>
      </c>
      <c r="D272" s="897">
        <v>616438.35616438359</v>
      </c>
    </row>
    <row r="273" spans="2:4">
      <c r="B273" s="896" t="s">
        <v>2550</v>
      </c>
      <c r="C273" s="897">
        <v>500000000</v>
      </c>
      <c r="D273" s="897">
        <v>2157534.246575342</v>
      </c>
    </row>
    <row r="274" spans="2:4">
      <c r="B274" s="896" t="s">
        <v>2551</v>
      </c>
      <c r="C274" s="897">
        <v>500000000</v>
      </c>
      <c r="D274" s="897">
        <v>2157534.246575342</v>
      </c>
    </row>
    <row r="275" spans="2:4">
      <c r="B275" s="896" t="s">
        <v>2552</v>
      </c>
      <c r="C275" s="897">
        <v>500000000</v>
      </c>
      <c r="D275" s="897">
        <v>2157534.246575342</v>
      </c>
    </row>
    <row r="276" spans="2:4">
      <c r="B276" s="896" t="s">
        <v>2553</v>
      </c>
      <c r="C276" s="897">
        <v>500000000</v>
      </c>
      <c r="D276" s="897">
        <v>616438.35616438359</v>
      </c>
    </row>
    <row r="277" spans="2:4">
      <c r="B277" s="896" t="s">
        <v>2554</v>
      </c>
      <c r="C277" s="897">
        <v>500000000</v>
      </c>
      <c r="D277" s="897">
        <v>616438.35616438359</v>
      </c>
    </row>
    <row r="278" spans="2:4">
      <c r="B278" s="896" t="s">
        <v>2555</v>
      </c>
      <c r="C278" s="897">
        <v>500000000</v>
      </c>
      <c r="D278" s="897">
        <v>616438.35616438359</v>
      </c>
    </row>
    <row r="279" spans="2:4">
      <c r="B279" s="896" t="s">
        <v>2556</v>
      </c>
      <c r="C279" s="897">
        <v>500000000</v>
      </c>
      <c r="D279" s="897">
        <v>616438.35616438359</v>
      </c>
    </row>
    <row r="280" spans="2:4">
      <c r="B280" s="896" t="s">
        <v>2557</v>
      </c>
      <c r="C280" s="897">
        <v>500000000</v>
      </c>
      <c r="D280" s="897">
        <v>616438.35616438359</v>
      </c>
    </row>
    <row r="281" spans="2:4">
      <c r="B281" s="896" t="s">
        <v>2558</v>
      </c>
      <c r="C281" s="897">
        <v>500000000</v>
      </c>
      <c r="D281" s="897">
        <v>616438.35616438359</v>
      </c>
    </row>
    <row r="282" spans="2:4">
      <c r="B282" s="896" t="s">
        <v>2559</v>
      </c>
      <c r="C282" s="897">
        <v>500000000</v>
      </c>
      <c r="D282" s="897">
        <v>616438.35616438359</v>
      </c>
    </row>
    <row r="283" spans="2:4">
      <c r="B283" s="896" t="s">
        <v>2560</v>
      </c>
      <c r="C283" s="897">
        <v>500000000</v>
      </c>
      <c r="D283" s="897">
        <v>616438.35616438359</v>
      </c>
    </row>
    <row r="284" spans="2:4">
      <c r="B284" s="896" t="s">
        <v>2561</v>
      </c>
      <c r="C284" s="897">
        <v>500000000</v>
      </c>
      <c r="D284" s="897">
        <v>616438.35616438359</v>
      </c>
    </row>
    <row r="285" spans="2:4">
      <c r="B285" s="896" t="s">
        <v>2562</v>
      </c>
      <c r="C285" s="897">
        <v>500000000</v>
      </c>
      <c r="D285" s="897">
        <v>616438.35616438359</v>
      </c>
    </row>
    <row r="286" spans="2:4">
      <c r="B286" s="896" t="s">
        <v>2563</v>
      </c>
      <c r="C286" s="897">
        <v>500000000</v>
      </c>
      <c r="D286" s="897">
        <v>616438.35616438359</v>
      </c>
    </row>
    <row r="287" spans="2:4">
      <c r="B287" s="896" t="s">
        <v>2564</v>
      </c>
      <c r="C287" s="897">
        <v>500000000</v>
      </c>
      <c r="D287" s="897">
        <v>616438.35616438359</v>
      </c>
    </row>
    <row r="288" spans="2:4">
      <c r="B288" s="896" t="s">
        <v>2565</v>
      </c>
      <c r="C288" s="897">
        <v>500000000</v>
      </c>
      <c r="D288" s="897">
        <v>616438.35616438359</v>
      </c>
    </row>
    <row r="289" spans="2:4">
      <c r="B289" s="896" t="s">
        <v>2566</v>
      </c>
      <c r="C289" s="897">
        <v>500000000</v>
      </c>
      <c r="D289" s="897">
        <v>616438.35616438359</v>
      </c>
    </row>
    <row r="290" spans="2:4">
      <c r="B290" s="896" t="s">
        <v>2567</v>
      </c>
      <c r="C290" s="897">
        <v>500000000</v>
      </c>
      <c r="D290" s="897">
        <v>616438.35616438359</v>
      </c>
    </row>
    <row r="291" spans="2:4">
      <c r="B291" s="896" t="s">
        <v>2568</v>
      </c>
      <c r="C291" s="897">
        <v>500000000</v>
      </c>
      <c r="D291" s="897">
        <v>616438.35616438359</v>
      </c>
    </row>
    <row r="292" spans="2:4">
      <c r="B292" s="896" t="s">
        <v>2569</v>
      </c>
      <c r="C292" s="897">
        <v>500000000</v>
      </c>
      <c r="D292" s="897">
        <v>616438.35616438359</v>
      </c>
    </row>
    <row r="293" spans="2:4">
      <c r="B293" s="896" t="s">
        <v>2570</v>
      </c>
      <c r="C293" s="897">
        <v>500000000</v>
      </c>
      <c r="D293" s="897">
        <v>616438.35616438359</v>
      </c>
    </row>
    <row r="294" spans="2:4">
      <c r="B294" s="896" t="s">
        <v>2571</v>
      </c>
      <c r="C294" s="897">
        <v>500000000</v>
      </c>
      <c r="D294" s="897">
        <v>616438.35616438359</v>
      </c>
    </row>
    <row r="295" spans="2:4">
      <c r="B295" s="896" t="s">
        <v>2572</v>
      </c>
      <c r="C295" s="897">
        <v>500000000</v>
      </c>
      <c r="D295" s="897">
        <v>616438.35616438359</v>
      </c>
    </row>
    <row r="296" spans="2:4">
      <c r="B296" s="896" t="s">
        <v>2573</v>
      </c>
      <c r="C296" s="897">
        <v>500000000</v>
      </c>
      <c r="D296" s="897">
        <v>616438.35616438359</v>
      </c>
    </row>
    <row r="297" spans="2:4">
      <c r="B297" s="896" t="s">
        <v>2574</v>
      </c>
      <c r="C297" s="897">
        <v>500000000</v>
      </c>
      <c r="D297" s="897">
        <v>616438.35616438359</v>
      </c>
    </row>
    <row r="298" spans="2:4">
      <c r="B298" s="896" t="s">
        <v>2575</v>
      </c>
      <c r="C298" s="897">
        <v>500000000</v>
      </c>
      <c r="D298" s="897">
        <v>616438.35616438359</v>
      </c>
    </row>
    <row r="299" spans="2:4">
      <c r="B299" s="896" t="s">
        <v>2576</v>
      </c>
      <c r="C299" s="897">
        <v>500000000</v>
      </c>
      <c r="D299" s="897">
        <v>2157534.246575342</v>
      </c>
    </row>
    <row r="300" spans="2:4">
      <c r="B300" s="896" t="s">
        <v>2577</v>
      </c>
      <c r="C300" s="897">
        <v>500000000</v>
      </c>
      <c r="D300" s="897">
        <v>100821.91780821918</v>
      </c>
    </row>
    <row r="301" spans="2:4">
      <c r="B301" s="896" t="s">
        <v>2745</v>
      </c>
      <c r="C301" s="897">
        <v>100000000</v>
      </c>
      <c r="D301" s="897">
        <v>5136986.3013698719</v>
      </c>
    </row>
    <row r="302" spans="2:4">
      <c r="B302" s="896" t="s">
        <v>2746</v>
      </c>
      <c r="C302" s="897">
        <v>100000000</v>
      </c>
      <c r="D302" s="897">
        <v>5136986.3013698719</v>
      </c>
    </row>
    <row r="303" spans="2:4">
      <c r="B303" s="896" t="s">
        <v>2747</v>
      </c>
      <c r="C303" s="897">
        <v>100000000</v>
      </c>
      <c r="D303" s="897">
        <v>5136986.3013698719</v>
      </c>
    </row>
    <row r="304" spans="2:4">
      <c r="B304" s="896" t="s">
        <v>2748</v>
      </c>
      <c r="C304" s="897">
        <v>100000000</v>
      </c>
      <c r="D304" s="897">
        <v>5136986.3013698719</v>
      </c>
    </row>
    <row r="305" spans="2:4">
      <c r="B305" s="896" t="s">
        <v>2749</v>
      </c>
      <c r="C305" s="897">
        <v>100000000</v>
      </c>
      <c r="D305" s="897">
        <v>5136986.3013698719</v>
      </c>
    </row>
    <row r="306" spans="2:4">
      <c r="B306" s="896" t="s">
        <v>1710</v>
      </c>
      <c r="C306" s="897">
        <v>200000000</v>
      </c>
      <c r="D306" s="897">
        <v>10273973</v>
      </c>
    </row>
    <row r="307" spans="2:4">
      <c r="B307" s="896" t="s">
        <v>1674</v>
      </c>
      <c r="C307" s="897">
        <v>200000000</v>
      </c>
      <c r="D307" s="897">
        <v>8383561.6438355967</v>
      </c>
    </row>
    <row r="308" spans="2:4">
      <c r="B308" s="896" t="s">
        <v>1675</v>
      </c>
      <c r="C308" s="897">
        <v>200000000</v>
      </c>
      <c r="D308" s="897">
        <v>8383561.6438355967</v>
      </c>
    </row>
    <row r="309" spans="2:4">
      <c r="B309" s="896" t="s">
        <v>1676</v>
      </c>
      <c r="C309" s="897">
        <v>200000000</v>
      </c>
      <c r="D309" s="897">
        <v>8383561.6438355967</v>
      </c>
    </row>
    <row r="310" spans="2:4">
      <c r="B310" s="896" t="s">
        <v>1677</v>
      </c>
      <c r="C310" s="897">
        <v>200000000</v>
      </c>
      <c r="D310" s="897">
        <v>8383561.6438355967</v>
      </c>
    </row>
    <row r="311" spans="2:4">
      <c r="B311" s="896" t="s">
        <v>1678</v>
      </c>
      <c r="C311" s="897">
        <v>200000000</v>
      </c>
      <c r="D311" s="897">
        <v>8383561.6438355967</v>
      </c>
    </row>
    <row r="312" spans="2:4">
      <c r="B312" s="896" t="s">
        <v>1679</v>
      </c>
      <c r="C312" s="897">
        <v>200000000</v>
      </c>
      <c r="D312" s="897">
        <v>8383561.6438355967</v>
      </c>
    </row>
    <row r="313" spans="2:4">
      <c r="B313" s="896" t="s">
        <v>1680</v>
      </c>
      <c r="C313" s="897">
        <v>200000000</v>
      </c>
      <c r="D313" s="897">
        <v>8383561.6438355967</v>
      </c>
    </row>
    <row r="314" spans="2:4">
      <c r="B314" s="896" t="s">
        <v>1681</v>
      </c>
      <c r="C314" s="897">
        <v>200000000</v>
      </c>
      <c r="D314" s="897">
        <v>8383561.6438355967</v>
      </c>
    </row>
    <row r="315" spans="2:4">
      <c r="B315" s="896" t="s">
        <v>1682</v>
      </c>
      <c r="C315" s="897">
        <v>200000000</v>
      </c>
      <c r="D315" s="897">
        <v>8383561.6438355967</v>
      </c>
    </row>
    <row r="316" spans="2:4">
      <c r="B316" s="896" t="s">
        <v>1711</v>
      </c>
      <c r="C316" s="897">
        <v>500000000</v>
      </c>
      <c r="D316" s="897">
        <v>25684932</v>
      </c>
    </row>
    <row r="317" spans="2:4">
      <c r="B317" s="896" t="s">
        <v>2750</v>
      </c>
      <c r="C317" s="897">
        <v>500000000</v>
      </c>
      <c r="D317" s="897">
        <v>25684931.506849192</v>
      </c>
    </row>
    <row r="318" spans="2:4">
      <c r="B318" s="896" t="s">
        <v>1683</v>
      </c>
      <c r="C318" s="897">
        <v>550000000</v>
      </c>
      <c r="D318" s="897">
        <v>9926369.8630137034</v>
      </c>
    </row>
    <row r="319" spans="2:4">
      <c r="B319" s="896" t="s">
        <v>2547</v>
      </c>
      <c r="C319" s="897">
        <v>500000000</v>
      </c>
      <c r="D319" s="897">
        <v>102739.72602739725</v>
      </c>
    </row>
    <row r="320" spans="2:4">
      <c r="B320" s="896" t="s">
        <v>2553</v>
      </c>
      <c r="C320" s="897">
        <v>500000000</v>
      </c>
      <c r="D320" s="897">
        <v>102739.72602739725</v>
      </c>
    </row>
    <row r="321" spans="2:4">
      <c r="B321" s="896" t="s">
        <v>2554</v>
      </c>
      <c r="C321" s="897">
        <v>500000000</v>
      </c>
      <c r="D321" s="897">
        <v>102739.72602739725</v>
      </c>
    </row>
    <row r="322" spans="2:4">
      <c r="B322" s="896" t="s">
        <v>2555</v>
      </c>
      <c r="C322" s="897">
        <v>500000000</v>
      </c>
      <c r="D322" s="897">
        <v>102739.72602739725</v>
      </c>
    </row>
    <row r="323" spans="2:4">
      <c r="B323" s="896" t="s">
        <v>2556</v>
      </c>
      <c r="C323" s="897">
        <v>500000000</v>
      </c>
      <c r="D323" s="897">
        <v>102739.72602739725</v>
      </c>
    </row>
    <row r="324" spans="2:4">
      <c r="B324" s="896" t="s">
        <v>2557</v>
      </c>
      <c r="C324" s="897">
        <v>500000000</v>
      </c>
      <c r="D324" s="897">
        <v>102739.72602739725</v>
      </c>
    </row>
    <row r="325" spans="2:4">
      <c r="B325" s="896" t="s">
        <v>2558</v>
      </c>
      <c r="C325" s="897">
        <v>500000000</v>
      </c>
      <c r="D325" s="897">
        <v>102739.72602739725</v>
      </c>
    </row>
    <row r="326" spans="2:4">
      <c r="B326" s="896" t="s">
        <v>2559</v>
      </c>
      <c r="C326" s="897">
        <v>500000000</v>
      </c>
      <c r="D326" s="897">
        <v>102739.72602739725</v>
      </c>
    </row>
    <row r="327" spans="2:4">
      <c r="B327" s="896" t="s">
        <v>2560</v>
      </c>
      <c r="C327" s="897">
        <v>500000000</v>
      </c>
      <c r="D327" s="897">
        <v>102739.72602739725</v>
      </c>
    </row>
    <row r="328" spans="2:4">
      <c r="B328" s="896" t="s">
        <v>2561</v>
      </c>
      <c r="C328" s="897">
        <v>500000000</v>
      </c>
      <c r="D328" s="897">
        <v>102739.72602739725</v>
      </c>
    </row>
    <row r="329" spans="2:4">
      <c r="B329" s="896" t="s">
        <v>2562</v>
      </c>
      <c r="C329" s="897">
        <v>500000000</v>
      </c>
      <c r="D329" s="897">
        <v>102739.72602739725</v>
      </c>
    </row>
    <row r="330" spans="2:4">
      <c r="B330" s="896" t="s">
        <v>2563</v>
      </c>
      <c r="C330" s="897">
        <v>500000000</v>
      </c>
      <c r="D330" s="897">
        <v>102739.72602739725</v>
      </c>
    </row>
    <row r="331" spans="2:4">
      <c r="B331" s="896" t="s">
        <v>2564</v>
      </c>
      <c r="C331" s="897">
        <v>500000000</v>
      </c>
      <c r="D331" s="897">
        <v>102739.72602739725</v>
      </c>
    </row>
    <row r="332" spans="2:4">
      <c r="B332" s="896" t="s">
        <v>2565</v>
      </c>
      <c r="C332" s="897">
        <v>500000000</v>
      </c>
      <c r="D332" s="897">
        <v>102739.72602739725</v>
      </c>
    </row>
    <row r="333" spans="2:4">
      <c r="B333" s="896" t="s">
        <v>2566</v>
      </c>
      <c r="C333" s="897">
        <v>500000000</v>
      </c>
      <c r="D333" s="897">
        <v>102739.72602739725</v>
      </c>
    </row>
    <row r="334" spans="2:4">
      <c r="B334" s="896" t="s">
        <v>2345</v>
      </c>
      <c r="C334" s="897">
        <v>200000000</v>
      </c>
      <c r="D334" s="897">
        <v>42739.726027397257</v>
      </c>
    </row>
    <row r="335" spans="2:4">
      <c r="B335" s="896" t="s">
        <v>2347</v>
      </c>
      <c r="C335" s="897">
        <v>200000000</v>
      </c>
      <c r="D335" s="897">
        <v>42739.726027397257</v>
      </c>
    </row>
    <row r="336" spans="2:4">
      <c r="B336" s="896" t="s">
        <v>2349</v>
      </c>
      <c r="C336" s="897">
        <v>200000000</v>
      </c>
      <c r="D336" s="897">
        <v>42739.726027397257</v>
      </c>
    </row>
    <row r="337" spans="2:4">
      <c r="B337" s="896" t="s">
        <v>2351</v>
      </c>
      <c r="C337" s="897">
        <v>200000000</v>
      </c>
      <c r="D337" s="897">
        <v>42739.726027397257</v>
      </c>
    </row>
    <row r="338" spans="2:4">
      <c r="B338" s="896" t="s">
        <v>2353</v>
      </c>
      <c r="C338" s="897">
        <v>200000000</v>
      </c>
      <c r="D338" s="897">
        <v>42739.726027397257</v>
      </c>
    </row>
    <row r="339" spans="2:4">
      <c r="B339" s="896" t="s">
        <v>2355</v>
      </c>
      <c r="C339" s="897">
        <v>200000000</v>
      </c>
      <c r="D339" s="897">
        <v>42739.726027397257</v>
      </c>
    </row>
    <row r="340" spans="2:4">
      <c r="B340" s="896" t="s">
        <v>2357</v>
      </c>
      <c r="C340" s="897">
        <v>200000000</v>
      </c>
      <c r="D340" s="897">
        <v>42739.726027397257</v>
      </c>
    </row>
    <row r="341" spans="2:4">
      <c r="B341" s="896" t="s">
        <v>2359</v>
      </c>
      <c r="C341" s="897">
        <v>200000000</v>
      </c>
      <c r="D341" s="897">
        <v>42739.726027397257</v>
      </c>
    </row>
    <row r="342" spans="2:4">
      <c r="B342" s="896" t="s">
        <v>2361</v>
      </c>
      <c r="C342" s="897">
        <v>200000000</v>
      </c>
      <c r="D342" s="897">
        <v>42739.726027397257</v>
      </c>
    </row>
    <row r="343" spans="2:4">
      <c r="B343" s="896" t="s">
        <v>2363</v>
      </c>
      <c r="C343" s="897">
        <v>200000000</v>
      </c>
      <c r="D343" s="897">
        <v>42739.726027397257</v>
      </c>
    </row>
    <row r="344" spans="2:4">
      <c r="B344" s="896" t="s">
        <v>2365</v>
      </c>
      <c r="C344" s="897">
        <v>200000000</v>
      </c>
      <c r="D344" s="897">
        <v>42739.726027397257</v>
      </c>
    </row>
    <row r="345" spans="2:4">
      <c r="B345" s="896" t="s">
        <v>2367</v>
      </c>
      <c r="C345" s="897">
        <v>200000000</v>
      </c>
      <c r="D345" s="897">
        <v>42739.726027397257</v>
      </c>
    </row>
    <row r="346" spans="2:4">
      <c r="B346" s="896" t="s">
        <v>2369</v>
      </c>
      <c r="C346" s="897">
        <v>200000000</v>
      </c>
      <c r="D346" s="897">
        <v>42739.726027397257</v>
      </c>
    </row>
    <row r="347" spans="2:4">
      <c r="B347" s="896" t="s">
        <v>2371</v>
      </c>
      <c r="C347" s="897">
        <v>200000000</v>
      </c>
      <c r="D347" s="897">
        <v>42739.726027397257</v>
      </c>
    </row>
    <row r="348" spans="2:4">
      <c r="B348" s="896" t="s">
        <v>2373</v>
      </c>
      <c r="C348" s="897">
        <v>200000000</v>
      </c>
      <c r="D348" s="897">
        <v>42739.726027397257</v>
      </c>
    </row>
    <row r="349" spans="2:4">
      <c r="B349" s="896" t="s">
        <v>2375</v>
      </c>
      <c r="C349" s="897">
        <v>200000000</v>
      </c>
      <c r="D349" s="897">
        <v>42739.726027397257</v>
      </c>
    </row>
    <row r="350" spans="2:4">
      <c r="B350" s="896" t="s">
        <v>2377</v>
      </c>
      <c r="C350" s="897">
        <v>200000000</v>
      </c>
      <c r="D350" s="897">
        <v>42739.726027397257</v>
      </c>
    </row>
    <row r="351" spans="2:4">
      <c r="B351" s="896" t="s">
        <v>2379</v>
      </c>
      <c r="C351" s="897">
        <v>200000000</v>
      </c>
      <c r="D351" s="897">
        <v>42739.726027397257</v>
      </c>
    </row>
    <row r="352" spans="2:4">
      <c r="B352" s="896" t="s">
        <v>2381</v>
      </c>
      <c r="C352" s="897">
        <v>200000000</v>
      </c>
      <c r="D352" s="897">
        <v>42739.726027397257</v>
      </c>
    </row>
    <row r="353" spans="2:4">
      <c r="B353" s="896" t="s">
        <v>2383</v>
      </c>
      <c r="C353" s="897">
        <v>200000000</v>
      </c>
      <c r="D353" s="897">
        <v>42739.726027397257</v>
      </c>
    </row>
    <row r="354" spans="2:4">
      <c r="B354" s="896" t="s">
        <v>2754</v>
      </c>
      <c r="C354" s="897">
        <v>1000000000</v>
      </c>
      <c r="D354" s="897">
        <v>604931.50684931502</v>
      </c>
    </row>
    <row r="355" spans="2:4">
      <c r="B355" s="896" t="s">
        <v>2755</v>
      </c>
      <c r="C355" s="897">
        <v>1000000000</v>
      </c>
      <c r="D355" s="897">
        <v>604931.50684931502</v>
      </c>
    </row>
    <row r="356" spans="2:4">
      <c r="B356" s="896" t="s">
        <v>2756</v>
      </c>
      <c r="C356" s="897">
        <v>1000000000</v>
      </c>
      <c r="D356" s="897">
        <v>604931.50684931502</v>
      </c>
    </row>
    <row r="357" spans="2:4">
      <c r="B357" s="896" t="s">
        <v>2387</v>
      </c>
      <c r="C357" s="897">
        <v>150000000</v>
      </c>
      <c r="D357" s="897">
        <v>128219.17808219179</v>
      </c>
    </row>
    <row r="358" spans="2:4">
      <c r="B358" s="896" t="s">
        <v>2389</v>
      </c>
      <c r="C358" s="897">
        <v>150000000</v>
      </c>
      <c r="D358" s="897">
        <v>801369.86301369895</v>
      </c>
    </row>
    <row r="359" spans="2:4">
      <c r="B359" s="896" t="s">
        <v>2391</v>
      </c>
      <c r="C359" s="897">
        <v>150000000</v>
      </c>
      <c r="D359" s="897">
        <v>961643.83561643877</v>
      </c>
    </row>
    <row r="360" spans="2:4">
      <c r="B360" s="896" t="s">
        <v>2393</v>
      </c>
      <c r="C360" s="897">
        <v>150000000</v>
      </c>
      <c r="D360" s="897">
        <v>1634794.5205479439</v>
      </c>
    </row>
    <row r="361" spans="2:4">
      <c r="B361" s="896" t="s">
        <v>2395</v>
      </c>
      <c r="C361" s="897">
        <v>150000000</v>
      </c>
      <c r="D361" s="897">
        <v>2788767.1232876712</v>
      </c>
    </row>
    <row r="362" spans="2:4">
      <c r="B362" s="896" t="s">
        <v>2980</v>
      </c>
      <c r="C362" s="897">
        <v>766000000</v>
      </c>
      <c r="D362" s="897">
        <v>8914980.8219178058</v>
      </c>
    </row>
    <row r="363" spans="2:4">
      <c r="B363" s="896" t="s">
        <v>2981</v>
      </c>
      <c r="C363" s="897">
        <v>1000000000</v>
      </c>
      <c r="D363" s="897">
        <v>232876.71232876714</v>
      </c>
    </row>
    <row r="364" spans="2:4">
      <c r="B364" s="896" t="s">
        <v>2982</v>
      </c>
      <c r="C364" s="897">
        <v>1000000000</v>
      </c>
      <c r="D364" s="897">
        <v>232876.71232876714</v>
      </c>
    </row>
    <row r="365" spans="2:4">
      <c r="B365" s="896" t="s">
        <v>2983</v>
      </c>
      <c r="C365" s="897">
        <v>1000000000</v>
      </c>
      <c r="D365" s="897">
        <v>232876.71232876714</v>
      </c>
    </row>
    <row r="366" spans="2:4">
      <c r="B366" s="896" t="s">
        <v>2984</v>
      </c>
      <c r="C366" s="897">
        <v>1000000000</v>
      </c>
      <c r="D366" s="897">
        <v>232876.71232876714</v>
      </c>
    </row>
    <row r="367" spans="2:4">
      <c r="B367" s="896" t="s">
        <v>2985</v>
      </c>
      <c r="C367" s="897">
        <v>1000000000</v>
      </c>
      <c r="D367" s="897">
        <v>498630.1369863014</v>
      </c>
    </row>
    <row r="368" spans="2:4">
      <c r="B368" s="896" t="s">
        <v>2986</v>
      </c>
      <c r="C368" s="897">
        <v>1000000000</v>
      </c>
      <c r="D368" s="897">
        <v>498630.1369863014</v>
      </c>
    </row>
    <row r="369" spans="2:4">
      <c r="B369" s="896" t="s">
        <v>2865</v>
      </c>
      <c r="C369" s="897">
        <v>1000000000</v>
      </c>
      <c r="D369" s="897">
        <v>10221917.808219181</v>
      </c>
    </row>
    <row r="370" spans="2:4">
      <c r="B370" s="896" t="s">
        <v>2866</v>
      </c>
      <c r="C370" s="897">
        <v>1000000000</v>
      </c>
      <c r="D370" s="897">
        <v>10221917.808219181</v>
      </c>
    </row>
    <row r="371" spans="2:4">
      <c r="B371" s="896" t="s">
        <v>2867</v>
      </c>
      <c r="C371" s="897">
        <v>1000000000</v>
      </c>
      <c r="D371" s="897">
        <v>10221917.808219181</v>
      </c>
    </row>
    <row r="372" spans="2:4">
      <c r="B372" s="896" t="s">
        <v>2868</v>
      </c>
      <c r="C372" s="897">
        <v>1000000000</v>
      </c>
      <c r="D372" s="897">
        <v>10221917.808219181</v>
      </c>
    </row>
    <row r="373" spans="2:4">
      <c r="B373" s="896" t="s">
        <v>2869</v>
      </c>
      <c r="C373" s="897">
        <v>1000000000</v>
      </c>
      <c r="D373" s="897">
        <v>10221917.808219181</v>
      </c>
    </row>
    <row r="375" spans="2:4">
      <c r="D375" s="976">
        <f>SUM(D5:D373)</f>
        <v>1255414450.5039926</v>
      </c>
    </row>
    <row r="377" spans="2:4" ht="15" thickBot="1"/>
    <row r="378" spans="2:4">
      <c r="B378" s="977" t="s">
        <v>2578</v>
      </c>
      <c r="C378" s="978"/>
      <c r="D378" s="979">
        <f>+D375+I232</f>
        <v>1566695313.7383916</v>
      </c>
    </row>
    <row r="379" spans="2:4" ht="15" thickBot="1">
      <c r="B379" s="980" t="s">
        <v>2579</v>
      </c>
      <c r="C379" s="981"/>
      <c r="D379" s="982">
        <f>+P8</f>
        <v>2574963396.0576</v>
      </c>
    </row>
  </sheetData>
  <sheetProtection algorithmName="SHA-512" hashValue="IfJBGNvskOP11LFn49UY3oymHVS4bq1JUnSda0jAhwpzwRtGEsdeYKu/wRGDXnbkbpDCtikafYKjDTGpdB2vXg==" saltValue="IwLZe6hJLPhAIkiDxFFHE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4" tint="-0.249977111117893"/>
  </sheetPr>
  <dimension ref="A1:P928"/>
  <sheetViews>
    <sheetView showGridLines="0" tabSelected="1" zoomScale="90" zoomScaleNormal="90" workbookViewId="0">
      <pane ySplit="4" topLeftCell="A34" activePane="bottomLeft" state="frozen"/>
      <selection activeCell="D365" sqref="D365"/>
      <selection pane="bottomLeft" activeCell="C2" sqref="C2"/>
    </sheetView>
  </sheetViews>
  <sheetFormatPr baseColWidth="10" defaultColWidth="11.5546875" defaultRowHeight="13.8"/>
  <cols>
    <col min="1" max="1" width="3.44140625" style="13" customWidth="1"/>
    <col min="2" max="2" width="14.6640625" style="32" customWidth="1"/>
    <col min="3" max="3" width="57.33203125" style="32" customWidth="1"/>
    <col min="4" max="4" width="19.21875" style="32" customWidth="1"/>
    <col min="5" max="5" width="16.109375" style="32" customWidth="1"/>
    <col min="6" max="7" width="11.5546875" style="1057"/>
    <col min="8" max="8" width="19.5546875" style="1212" customWidth="1"/>
    <col min="9" max="9" width="16" style="826" customWidth="1"/>
    <col min="10" max="10" width="18.33203125" style="826" bestFit="1" customWidth="1"/>
    <col min="11" max="12" width="11.5546875" style="13"/>
    <col min="13" max="16" width="0" style="13" hidden="1" customWidth="1"/>
    <col min="17" max="16384" width="11.5546875" style="13"/>
  </cols>
  <sheetData>
    <row r="1" spans="1:16" ht="19.5" customHeight="1">
      <c r="B1" s="34"/>
      <c r="C1" s="332" t="s">
        <v>0</v>
      </c>
      <c r="D1" s="1468" t="s">
        <v>1</v>
      </c>
      <c r="E1" s="1469"/>
    </row>
    <row r="2" spans="1:16" ht="20.85" customHeight="1">
      <c r="C2" s="333" t="s">
        <v>2</v>
      </c>
      <c r="D2" s="1470" t="s">
        <v>3</v>
      </c>
      <c r="E2" s="1471"/>
      <c r="H2" s="45"/>
      <c r="I2" s="13"/>
      <c r="J2" s="13"/>
    </row>
    <row r="3" spans="1:16" ht="15.75" customHeight="1">
      <c r="C3" s="334" t="s">
        <v>2971</v>
      </c>
      <c r="H3" s="45"/>
      <c r="I3" s="13"/>
      <c r="J3" s="13"/>
    </row>
    <row r="4" spans="1:16" ht="14.25" customHeight="1">
      <c r="A4" s="336" t="s">
        <v>5</v>
      </c>
      <c r="B4" s="336" t="s">
        <v>6</v>
      </c>
      <c r="C4" s="336" t="s">
        <v>7</v>
      </c>
      <c r="D4" s="337" t="s">
        <v>8</v>
      </c>
      <c r="E4" s="338" t="s">
        <v>9</v>
      </c>
      <c r="H4" s="45"/>
      <c r="I4" s="13"/>
      <c r="J4" s="13"/>
    </row>
    <row r="5" spans="1:16" ht="7.5" customHeight="1">
      <c r="B5" s="335"/>
      <c r="C5" s="335"/>
      <c r="D5" s="335"/>
      <c r="E5" s="335"/>
      <c r="H5" s="13"/>
      <c r="I5" s="13"/>
      <c r="J5" s="13"/>
    </row>
    <row r="6" spans="1:16" s="31" customFormat="1" ht="16.5" customHeight="1">
      <c r="A6" s="31" t="str">
        <f t="shared" ref="A6:A78" si="0">IF(LEN(B6)&gt;8,"I","NI")</f>
        <v>NI</v>
      </c>
      <c r="B6" s="1220">
        <v>1</v>
      </c>
      <c r="C6" s="1221" t="s">
        <v>10</v>
      </c>
      <c r="D6" s="1222">
        <v>114274497246</v>
      </c>
      <c r="E6" s="1223">
        <v>14613607.239999769</v>
      </c>
      <c r="F6" s="1058">
        <f>+VLOOKUP(B6,Composición!$C$5:$D$1768,1,0)</f>
        <v>1</v>
      </c>
      <c r="G6" s="1058">
        <f>+VLOOKUP(B6,'CA FE'!$A:$A,1,0)</f>
        <v>1</v>
      </c>
      <c r="H6" s="31">
        <f>+VLOOKUP(B6,Composición!$C$4:$H$1742,5,0)</f>
        <v>0</v>
      </c>
      <c r="I6" s="31">
        <f>+VLOOKUP(B6,Composición!$C$4:$H$1742,6,0)</f>
        <v>0</v>
      </c>
    </row>
    <row r="7" spans="1:16" s="31" customFormat="1" ht="16.5" customHeight="1">
      <c r="A7" s="31" t="str">
        <f t="shared" si="0"/>
        <v>NI</v>
      </c>
      <c r="B7" s="1220">
        <v>11</v>
      </c>
      <c r="C7" s="1221" t="s">
        <v>11</v>
      </c>
      <c r="D7" s="1222">
        <v>110017194115</v>
      </c>
      <c r="E7" s="1223">
        <v>14048998.349999428</v>
      </c>
      <c r="F7" s="1058">
        <f>+VLOOKUP(B7,Composición!$C$5:$D$1768,1,0)</f>
        <v>11</v>
      </c>
      <c r="G7" s="1058">
        <f>+VLOOKUP(B7,'CA FE'!$A:$A,1,0)</f>
        <v>11</v>
      </c>
      <c r="H7" s="31">
        <f>+VLOOKUP(B7,Composición!$C$4:$H$1742,5,0)</f>
        <v>0</v>
      </c>
      <c r="I7" s="31">
        <f>+VLOOKUP(B7,Composición!$C$4:$H$1742,6,0)</f>
        <v>0</v>
      </c>
      <c r="M7" s="14"/>
      <c r="N7" s="14"/>
      <c r="O7" s="14"/>
      <c r="P7" s="14"/>
    </row>
    <row r="8" spans="1:16" s="31" customFormat="1" ht="16.5" customHeight="1">
      <c r="A8" s="31" t="str">
        <f t="shared" si="0"/>
        <v>NI</v>
      </c>
      <c r="B8" s="1220">
        <v>111</v>
      </c>
      <c r="C8" s="1221" t="s">
        <v>12</v>
      </c>
      <c r="D8" s="1222">
        <v>5387885018.9960938</v>
      </c>
      <c r="E8" s="1223">
        <v>687997.19000005722</v>
      </c>
      <c r="F8" s="1058">
        <f>+VLOOKUP(B8,Composición!$C$5:$D$1768,1,0)</f>
        <v>111</v>
      </c>
      <c r="G8" s="1058">
        <f>+VLOOKUP(B8,'CA FE'!$A:$A,1,0)</f>
        <v>111</v>
      </c>
      <c r="H8" s="31">
        <f>+VLOOKUP(B8,Composición!$C$4:$H$1742,5,0)</f>
        <v>0</v>
      </c>
      <c r="I8" s="31">
        <f>+VLOOKUP(B8,Composición!$C$4:$H$1742,6,0)</f>
        <v>0</v>
      </c>
      <c r="M8" s="14"/>
      <c r="N8" s="14"/>
      <c r="O8" s="14"/>
      <c r="P8" s="14"/>
    </row>
    <row r="9" spans="1:16" s="31" customFormat="1" ht="16.5" customHeight="1">
      <c r="A9" s="31" t="str">
        <f t="shared" si="0"/>
        <v>NI</v>
      </c>
      <c r="B9" s="1220">
        <v>11114</v>
      </c>
      <c r="C9" s="1221" t="s">
        <v>13</v>
      </c>
      <c r="D9" s="1222">
        <v>5387885018.9960938</v>
      </c>
      <c r="E9" s="1223">
        <v>687997.19000005722</v>
      </c>
      <c r="F9" s="1058">
        <f>+VLOOKUP(B9,Composición!$C$5:$D$1768,1,0)</f>
        <v>11114</v>
      </c>
      <c r="G9" s="1058">
        <f>+VLOOKUP(B9,'CA FE'!$A:$A,1,0)</f>
        <v>11114</v>
      </c>
      <c r="H9" s="31">
        <f>+VLOOKUP(B9,Composición!$C$4:$H$1742,5,0)</f>
        <v>0</v>
      </c>
      <c r="I9" s="31">
        <f>+VLOOKUP(B9,Composición!$C$4:$H$1742,6,0)</f>
        <v>0</v>
      </c>
      <c r="M9" s="14"/>
      <c r="N9" s="14"/>
      <c r="O9" s="14"/>
      <c r="P9" s="14"/>
    </row>
    <row r="10" spans="1:16" s="31" customFormat="1" ht="16.5" customHeight="1">
      <c r="A10" s="31" t="str">
        <f t="shared" si="0"/>
        <v>NI</v>
      </c>
      <c r="B10" s="1220">
        <v>111141</v>
      </c>
      <c r="C10" s="1221" t="s">
        <v>14</v>
      </c>
      <c r="D10" s="1222">
        <v>4899069360</v>
      </c>
      <c r="E10" s="1223">
        <v>625578.67000007629</v>
      </c>
      <c r="F10" s="1058">
        <f>+VLOOKUP(B10,Composición!$C$5:$D$1768,1,0)</f>
        <v>111141</v>
      </c>
      <c r="G10" s="1058">
        <f>+VLOOKUP(B10,'CA FE'!$A:$A,1,0)</f>
        <v>111141</v>
      </c>
      <c r="H10" s="31">
        <f>+VLOOKUP(B10,Composición!$C$4:$H$1742,5,0)</f>
        <v>0</v>
      </c>
      <c r="I10" s="31">
        <f>+VLOOKUP(B10,Composición!$C$4:$H$1742,6,0)</f>
        <v>0</v>
      </c>
      <c r="M10" s="14"/>
      <c r="N10" s="14"/>
      <c r="O10" s="14"/>
      <c r="P10" s="14"/>
    </row>
    <row r="11" spans="1:16" s="31" customFormat="1" ht="16.5" customHeight="1">
      <c r="A11" s="31" t="str">
        <f t="shared" si="0"/>
        <v>NI</v>
      </c>
      <c r="B11" s="1220">
        <v>1111411</v>
      </c>
      <c r="C11" s="1221" t="s">
        <v>15</v>
      </c>
      <c r="D11" s="1222">
        <v>4015468671</v>
      </c>
      <c r="E11" s="1223">
        <v>512748.73999977112</v>
      </c>
      <c r="F11" s="1058">
        <f>+VLOOKUP(B11,Composición!$C$5:$D$1768,1,0)</f>
        <v>1111411</v>
      </c>
      <c r="G11" s="1058">
        <f>+VLOOKUP(B11,'CA FE'!$A:$A,1,0)</f>
        <v>1111411</v>
      </c>
      <c r="H11" s="31">
        <f>+VLOOKUP(B11,Composición!$C$4:$H$1742,5,0)</f>
        <v>0</v>
      </c>
      <c r="I11" s="31">
        <f>+VLOOKUP(B11,Composición!$C$4:$H$1742,6,0)</f>
        <v>0</v>
      </c>
      <c r="M11" s="14"/>
      <c r="N11" s="14"/>
      <c r="O11" s="14"/>
      <c r="P11" s="14"/>
    </row>
    <row r="12" spans="1:16" s="31" customFormat="1" ht="16.5" customHeight="1">
      <c r="A12" s="31" t="str">
        <f t="shared" si="0"/>
        <v>NI</v>
      </c>
      <c r="B12" s="1220">
        <v>11114111</v>
      </c>
      <c r="C12" s="1221" t="s">
        <v>25</v>
      </c>
      <c r="D12" s="1222">
        <v>2135125</v>
      </c>
      <c r="E12" s="1223">
        <v>272.64000010490417</v>
      </c>
      <c r="F12" s="1058">
        <f>+VLOOKUP(B12,Composición!$C$5:$D$1768,1,0)</f>
        <v>11114111</v>
      </c>
      <c r="G12" s="1058">
        <f>+VLOOKUP(B12,'CA FE'!$A:$A,1,0)</f>
        <v>11114111</v>
      </c>
      <c r="H12" s="31">
        <f>+VLOOKUP(B12,Composición!$C$4:$H$1742,5,0)</f>
        <v>0</v>
      </c>
      <c r="I12" s="31">
        <f>+VLOOKUP(B12,Composición!$C$4:$H$1742,6,0)</f>
        <v>0</v>
      </c>
      <c r="M12" s="14"/>
      <c r="N12" s="14"/>
      <c r="O12" s="14"/>
      <c r="P12" s="14"/>
    </row>
    <row r="13" spans="1:16" s="14" customFormat="1" ht="16.5" customHeight="1">
      <c r="A13" s="14" t="str">
        <f t="shared" si="0"/>
        <v>I</v>
      </c>
      <c r="B13" s="1203">
        <v>1111411101</v>
      </c>
      <c r="C13" t="s">
        <v>2699</v>
      </c>
      <c r="D13" s="1308">
        <v>1351999</v>
      </c>
      <c r="E13" s="1309">
        <v>172.63999998569489</v>
      </c>
      <c r="F13" s="818">
        <f>+VLOOKUP(B13,Composición!$C$5:$D$1768,1,0)</f>
        <v>1111411101</v>
      </c>
      <c r="G13" s="818">
        <f>+VLOOKUP(B13,'CA FE'!$A:$A,1,0)</f>
        <v>1111411101</v>
      </c>
      <c r="H13" s="1049">
        <f>+VLOOKUP(B13,Composición!$C$4:$H$1742,5,0)-D13</f>
        <v>0</v>
      </c>
      <c r="I13" s="1311">
        <f>+VLOOKUP(B13,Composición!$C$4:$H$1742,6,0)-E13</f>
        <v>0</v>
      </c>
      <c r="J13" s="829"/>
    </row>
    <row r="14" spans="1:16" s="14" customFormat="1" ht="16.5" customHeight="1">
      <c r="A14" s="14" t="str">
        <f t="shared" si="0"/>
        <v>I</v>
      </c>
      <c r="B14" s="1203">
        <v>1111411102</v>
      </c>
      <c r="C14" t="s">
        <v>2949</v>
      </c>
      <c r="D14" s="1308">
        <v>783126</v>
      </c>
      <c r="E14" s="1309">
        <v>100</v>
      </c>
      <c r="F14" s="818">
        <f>+VLOOKUP(B14,Composición!$C$5:$D$1768,1,0)</f>
        <v>1111411102</v>
      </c>
      <c r="G14" s="818">
        <f>+VLOOKUP(B14,'CA FE'!$A:$A,1,0)</f>
        <v>1111411102</v>
      </c>
      <c r="H14" s="1310">
        <f>+VLOOKUP(B14,Composición!$C$4:$H$1742,5,0)-D14</f>
        <v>0</v>
      </c>
      <c r="I14" s="1311">
        <f>+VLOOKUP(B14,Composición!$C$4:$H$1742,6,0)-E14</f>
        <v>0</v>
      </c>
      <c r="J14" s="829"/>
    </row>
    <row r="15" spans="1:16" s="31" customFormat="1" ht="16.5" customHeight="1">
      <c r="A15" s="31" t="str">
        <f t="shared" si="0"/>
        <v>NI</v>
      </c>
      <c r="B15" s="1220">
        <v>11114112</v>
      </c>
      <c r="C15" s="1221" t="s">
        <v>16</v>
      </c>
      <c r="D15" s="1222">
        <v>4013333546</v>
      </c>
      <c r="E15" s="1223">
        <v>512476.09999999963</v>
      </c>
      <c r="F15" s="1058">
        <f>+VLOOKUP(B15,Composición!$C$5:$D$1768,1,0)</f>
        <v>11114112</v>
      </c>
      <c r="G15" s="1058">
        <f>+VLOOKUP(B15,'CA FE'!$A:$A,1,0)</f>
        <v>11114112</v>
      </c>
      <c r="H15" s="1048">
        <f>+VLOOKUP(B15,Composición!$C$4:$H$1742,5,0)</f>
        <v>0</v>
      </c>
      <c r="I15" s="31">
        <f>+VLOOKUP(B15,Composición!$C$4:$H$1742,6,0)</f>
        <v>0</v>
      </c>
      <c r="M15" s="14"/>
      <c r="N15" s="14"/>
      <c r="O15" s="14"/>
      <c r="P15" s="14"/>
    </row>
    <row r="16" spans="1:16" s="14" customFormat="1" ht="16.5" customHeight="1">
      <c r="A16" s="14" t="str">
        <f t="shared" si="0"/>
        <v>I</v>
      </c>
      <c r="B16" s="1203">
        <v>1111411203</v>
      </c>
      <c r="C16" t="s">
        <v>551</v>
      </c>
      <c r="D16" s="1308">
        <v>2458879652</v>
      </c>
      <c r="E16" s="1309">
        <v>313982.63999999966</v>
      </c>
      <c r="F16" s="818">
        <f>+VLOOKUP(B16,Composición!$C$5:$D$1768,1,0)</f>
        <v>1111411203</v>
      </c>
      <c r="G16" s="818">
        <f>+VLOOKUP(B16,'CA FE'!$A:$A,1,0)</f>
        <v>1111411203</v>
      </c>
      <c r="H16" s="1049">
        <f>+VLOOKUP(B16,Composición!$C$4:$H$1742,5,0)-D16</f>
        <v>0</v>
      </c>
      <c r="I16" s="1311">
        <f>+VLOOKUP(B16,Composición!$C$4:$H$1742,6,0)-E16</f>
        <v>0</v>
      </c>
      <c r="J16" s="829"/>
    </row>
    <row r="17" spans="1:16" s="14" customFormat="1" ht="16.5" customHeight="1">
      <c r="A17" s="14" t="str">
        <f t="shared" si="0"/>
        <v>I</v>
      </c>
      <c r="B17" s="1203">
        <v>1111411204</v>
      </c>
      <c r="C17" t="s">
        <v>552</v>
      </c>
      <c r="D17" s="1308">
        <v>1554453894</v>
      </c>
      <c r="E17" s="1309">
        <v>198493.45999999996</v>
      </c>
      <c r="F17" s="818">
        <f>+VLOOKUP(B17,Composición!$C$5:$D$1768,1,0)</f>
        <v>1111411204</v>
      </c>
      <c r="G17" s="818">
        <f>+VLOOKUP(B17,'CA FE'!$A:$A,1,0)</f>
        <v>1111411204</v>
      </c>
      <c r="H17" s="14">
        <f>+VLOOKUP(B17,Composición!$C$4:$H$1742,5,0)</f>
        <v>1554453894</v>
      </c>
      <c r="I17" s="14">
        <f>+VLOOKUP(B17,Composición!$C$4:$H$1742,6,0)</f>
        <v>198493.45999999996</v>
      </c>
      <c r="J17" s="829"/>
    </row>
    <row r="18" spans="1:16" s="31" customFormat="1" ht="16.5" customHeight="1">
      <c r="A18" s="31" t="str">
        <f t="shared" si="0"/>
        <v>NI</v>
      </c>
      <c r="B18" s="1220">
        <v>1111412</v>
      </c>
      <c r="C18" s="1221" t="s">
        <v>20</v>
      </c>
      <c r="D18" s="1222">
        <v>883600689</v>
      </c>
      <c r="E18" s="1223">
        <v>112829.93000006676</v>
      </c>
      <c r="F18" s="1058">
        <f>+VLOOKUP(B18,Composición!$C$5:$D$1768,1,0)</f>
        <v>1111412</v>
      </c>
      <c r="G18" s="1058">
        <f>+VLOOKUP(B18,'CA FE'!$A:$A,1,0)</f>
        <v>1111412</v>
      </c>
      <c r="H18" s="1213">
        <f>+VLOOKUP(B18,Composición!$C$4:$H$1742,5,0)-D18</f>
        <v>-883600689</v>
      </c>
      <c r="I18" s="1214">
        <f>+VLOOKUP(B18,Composición!$C$4:$H$1742,6,0)-E18</f>
        <v>-112829.93000006676</v>
      </c>
      <c r="J18" s="828"/>
      <c r="M18" s="14"/>
      <c r="N18" s="14"/>
      <c r="O18" s="14"/>
      <c r="P18" s="14"/>
    </row>
    <row r="19" spans="1:16" s="31" customFormat="1" ht="16.5" customHeight="1">
      <c r="A19" s="31" t="str">
        <f t="shared" si="0"/>
        <v>NI</v>
      </c>
      <c r="B19" s="1220">
        <v>11114122</v>
      </c>
      <c r="C19" s="1221" t="s">
        <v>21</v>
      </c>
      <c r="D19" s="1222">
        <v>45276051</v>
      </c>
      <c r="E19" s="1223">
        <v>5781.4499999880791</v>
      </c>
      <c r="F19" s="1058">
        <f>+VLOOKUP(B19,Composición!$C$5:$D$1768,1,0)</f>
        <v>11114122</v>
      </c>
      <c r="G19" s="1058">
        <f>+VLOOKUP(B19,'CA FE'!$A:$A,1,0)</f>
        <v>11114122</v>
      </c>
      <c r="H19" s="1048">
        <f>+VLOOKUP(B19,Composición!$C$4:$H$1742,5,0)</f>
        <v>0</v>
      </c>
      <c r="I19" s="31">
        <f>+VLOOKUP(B19,Composición!$C$4:$H$1742,6,0)</f>
        <v>0</v>
      </c>
      <c r="J19" s="828"/>
      <c r="M19" s="14"/>
      <c r="N19" s="14"/>
      <c r="O19" s="14"/>
      <c r="P19" s="14"/>
    </row>
    <row r="20" spans="1:16" s="14" customFormat="1" ht="16.5" customHeight="1">
      <c r="A20" s="14" t="str">
        <f t="shared" si="0"/>
        <v>I</v>
      </c>
      <c r="B20" s="1203">
        <v>1111412201</v>
      </c>
      <c r="C20" t="s">
        <v>555</v>
      </c>
      <c r="D20" s="1308">
        <v>5180000</v>
      </c>
      <c r="E20" s="1309">
        <v>661.45000000298023</v>
      </c>
      <c r="F20" s="818">
        <f>+VLOOKUP(B20,Composición!$C$5:$D$1768,1,0)</f>
        <v>1111412201</v>
      </c>
      <c r="G20" s="818">
        <f>+VLOOKUP(B20,'CA FE'!$A:$A,1,0)</f>
        <v>1111412201</v>
      </c>
      <c r="H20" s="1049">
        <f>+VLOOKUP(B20,Composición!$C$4:$H$1742,5,0)</f>
        <v>5180000</v>
      </c>
      <c r="I20" s="14">
        <f>+VLOOKUP(B20,Composición!$C$4:$H$1742,6,0)</f>
        <v>661.45000000298023</v>
      </c>
    </row>
    <row r="21" spans="1:16" s="14" customFormat="1" ht="16.5" customHeight="1">
      <c r="A21" s="14" t="str">
        <f t="shared" si="0"/>
        <v>I</v>
      </c>
      <c r="B21" s="1203">
        <v>1111412202</v>
      </c>
      <c r="C21" t="s">
        <v>556</v>
      </c>
      <c r="D21" s="1308">
        <v>40096051</v>
      </c>
      <c r="E21" s="1309">
        <v>5120</v>
      </c>
      <c r="F21" s="818">
        <f>+VLOOKUP(B21,Composición!$C$5:$D$1768,1,0)</f>
        <v>1111412202</v>
      </c>
      <c r="G21" s="818">
        <f>+VLOOKUP(B21,'CA FE'!$A:$A,1,0)</f>
        <v>1111412202</v>
      </c>
      <c r="H21" s="1310">
        <f>+VLOOKUP(B21,Composición!$C$4:$H$1742,5,0)-D21</f>
        <v>0</v>
      </c>
      <c r="I21" s="1311">
        <f>+VLOOKUP(B21,Composición!$C$4:$H$1742,6,0)-E21</f>
        <v>0</v>
      </c>
      <c r="J21" s="829"/>
    </row>
    <row r="22" spans="1:16" s="31" customFormat="1" ht="16.5" customHeight="1">
      <c r="A22" s="31" t="str">
        <f t="shared" si="0"/>
        <v>NI</v>
      </c>
      <c r="B22" s="1220">
        <v>11114123</v>
      </c>
      <c r="C22" s="1221" t="s">
        <v>22</v>
      </c>
      <c r="D22" s="1222">
        <v>217807486</v>
      </c>
      <c r="E22" s="1223">
        <v>27812.560000002384</v>
      </c>
      <c r="F22" s="1058">
        <f>+VLOOKUP(B22,Composición!$C$5:$D$1768,1,0)</f>
        <v>11114123</v>
      </c>
      <c r="G22" s="1058">
        <f>+VLOOKUP(B22,'CA FE'!$A:$A,1,0)</f>
        <v>11114123</v>
      </c>
      <c r="H22" s="1048">
        <f>+VLOOKUP(B22,Composición!$C$4:$H$1742,5,0)-D22</f>
        <v>-217807486</v>
      </c>
      <c r="I22" s="1214">
        <f>+VLOOKUP(B22,Composición!$C$4:$H$1742,6,0)-E22</f>
        <v>-27812.560000002384</v>
      </c>
      <c r="J22" s="828"/>
      <c r="M22" s="14"/>
      <c r="N22" s="14"/>
      <c r="O22" s="14"/>
      <c r="P22" s="14"/>
    </row>
    <row r="23" spans="1:16" s="14" customFormat="1" ht="16.5" customHeight="1">
      <c r="A23" s="14" t="str">
        <f t="shared" si="0"/>
        <v>I</v>
      </c>
      <c r="B23" s="1203">
        <v>1111412303</v>
      </c>
      <c r="C23" t="s">
        <v>557</v>
      </c>
      <c r="D23" s="1308">
        <v>8700000</v>
      </c>
      <c r="E23" s="1309">
        <v>1110.929999999702</v>
      </c>
      <c r="F23" s="818">
        <f>+VLOOKUP(B23,Composición!$C$5:$D$1768,1,0)</f>
        <v>1111412303</v>
      </c>
      <c r="G23" s="818">
        <f>+VLOOKUP(B23,'CA FE'!$A:$A,1,0)</f>
        <v>1111412303</v>
      </c>
      <c r="H23" s="1049">
        <f>+VLOOKUP(B23,Composición!$C$4:$H$1742,5,0)</f>
        <v>8700000</v>
      </c>
      <c r="I23" s="14">
        <f>+VLOOKUP(B23,Composición!$C$4:$H$1742,6,0)</f>
        <v>1110.929999999702</v>
      </c>
    </row>
    <row r="24" spans="1:16" s="14" customFormat="1" ht="16.5" customHeight="1">
      <c r="A24" s="14" t="str">
        <f t="shared" si="0"/>
        <v>I</v>
      </c>
      <c r="B24" s="1203">
        <v>1111412304</v>
      </c>
      <c r="C24" t="s">
        <v>558</v>
      </c>
      <c r="D24" s="1308">
        <v>39234613</v>
      </c>
      <c r="E24" s="1309">
        <v>5010</v>
      </c>
      <c r="F24" s="818">
        <f>+VLOOKUP(B24,Composición!$C$5:$D$1768,1,0)</f>
        <v>1111412304</v>
      </c>
      <c r="G24" s="818">
        <f>+VLOOKUP(B24,'CA FE'!$A:$A,1,0)</f>
        <v>1111412304</v>
      </c>
      <c r="H24" s="1049">
        <f>+VLOOKUP(B24,Composición!$C$4:$H$1742,5,0)-D24</f>
        <v>0</v>
      </c>
      <c r="I24" s="1311">
        <f>+VLOOKUP(B24,Composición!$C$4:$H$1742,6,0)-E24</f>
        <v>0</v>
      </c>
      <c r="J24" s="829"/>
    </row>
    <row r="25" spans="1:16" s="14" customFormat="1" ht="16.5" customHeight="1">
      <c r="A25" s="14" t="str">
        <f t="shared" si="0"/>
        <v>I</v>
      </c>
      <c r="B25" s="1203">
        <v>1111412306</v>
      </c>
      <c r="C25" t="s">
        <v>2700</v>
      </c>
      <c r="D25" s="1308">
        <v>39156300</v>
      </c>
      <c r="E25" s="1309">
        <v>5000.0000000000009</v>
      </c>
      <c r="F25" s="818">
        <f>+VLOOKUP(B25,Composición!$C$5:$D$1768,1,0)</f>
        <v>1111412306</v>
      </c>
      <c r="G25" s="818">
        <f>+VLOOKUP(B25,'CA FE'!$A:$A,1,0)</f>
        <v>1111412306</v>
      </c>
      <c r="H25" s="1049">
        <f>+VLOOKUP(B25,Composición!$C$4:$H$1742,5,0)-D25</f>
        <v>0</v>
      </c>
      <c r="I25" s="1311">
        <f>+VLOOKUP(B25,Composición!$C$4:$H$1742,6,0)-E25</f>
        <v>0</v>
      </c>
      <c r="J25" s="829"/>
    </row>
    <row r="26" spans="1:16" s="14" customFormat="1" ht="16.5" customHeight="1">
      <c r="A26" s="14" t="str">
        <f t="shared" si="0"/>
        <v>I</v>
      </c>
      <c r="B26" s="1203">
        <v>1111412307</v>
      </c>
      <c r="C26" t="s">
        <v>2701</v>
      </c>
      <c r="D26" s="1308">
        <v>9999990</v>
      </c>
      <c r="E26" s="1309">
        <v>1276.929999999702</v>
      </c>
      <c r="F26" s="818">
        <f>+VLOOKUP(B26,Composición!$C$5:$D$1768,1,0)</f>
        <v>1111412307</v>
      </c>
      <c r="G26" s="818">
        <f>+VLOOKUP(B26,'CA FE'!$A:$A,1,0)</f>
        <v>1111412307</v>
      </c>
      <c r="H26" s="1049">
        <f>+VLOOKUP(B26,Composición!$C$4:$H$1742,5,0)-D26</f>
        <v>0</v>
      </c>
      <c r="I26" s="1311">
        <f>+VLOOKUP(B26,Composición!$C$4:$H$1742,6,0)-E26</f>
        <v>0</v>
      </c>
    </row>
    <row r="27" spans="1:16" s="14" customFormat="1" ht="16.5" customHeight="1">
      <c r="A27" s="14" t="str">
        <f t="shared" si="0"/>
        <v>I</v>
      </c>
      <c r="B27" s="1203">
        <v>1111412309</v>
      </c>
      <c r="C27" t="s">
        <v>561</v>
      </c>
      <c r="D27" s="1308">
        <v>7143006</v>
      </c>
      <c r="E27" s="1309">
        <v>912.10999999940395</v>
      </c>
      <c r="F27" s="818">
        <f>+VLOOKUP(B27,Composición!$C$5:$D$1768,1,0)</f>
        <v>1111412309</v>
      </c>
      <c r="G27" s="818">
        <f>+VLOOKUP(B27,'CA FE'!$A:$A,1,0)</f>
        <v>1111412309</v>
      </c>
      <c r="H27" s="1049">
        <f>+VLOOKUP(B27,Composición!$C$4:$H$1742,5,0)-D27</f>
        <v>0</v>
      </c>
      <c r="I27" s="1311">
        <f>+VLOOKUP(B27,Composición!$C$4:$H$1742,6,0)-E27</f>
        <v>0</v>
      </c>
    </row>
    <row r="28" spans="1:16" s="14" customFormat="1" ht="16.5" customHeight="1">
      <c r="A28" s="14" t="str">
        <f t="shared" si="0"/>
        <v>I</v>
      </c>
      <c r="B28" s="1203">
        <v>1111412310</v>
      </c>
      <c r="C28" t="s">
        <v>562</v>
      </c>
      <c r="D28" s="1308">
        <v>33277686</v>
      </c>
      <c r="E28" s="1309">
        <v>4249.3399999886751</v>
      </c>
      <c r="F28" s="818">
        <f>+VLOOKUP(B28,Composición!$C$5:$D$1768,1,0)</f>
        <v>1111412310</v>
      </c>
      <c r="G28" s="818">
        <f>+VLOOKUP(B28,'CA FE'!$A:$A,1,0)</f>
        <v>1111412310</v>
      </c>
      <c r="H28" s="1049">
        <f>+VLOOKUP(B28,Composición!$C$4:$H$1742,5,0)-D28</f>
        <v>0</v>
      </c>
      <c r="I28" s="1311">
        <f>+VLOOKUP(B28,Composición!$C$4:$H$1742,6,0)-E28</f>
        <v>0</v>
      </c>
      <c r="J28" s="829"/>
    </row>
    <row r="29" spans="1:16" s="14" customFormat="1" ht="16.5" customHeight="1">
      <c r="A29" s="14" t="str">
        <f t="shared" si="0"/>
        <v>I</v>
      </c>
      <c r="B29" s="1203">
        <v>1111412311</v>
      </c>
      <c r="C29" t="s">
        <v>563</v>
      </c>
      <c r="D29" s="1308">
        <v>6536000</v>
      </c>
      <c r="E29" s="1309">
        <v>834.60000000149023</v>
      </c>
      <c r="F29" s="818">
        <f>+VLOOKUP(B29,Composición!$C$5:$D$1768,1,0)</f>
        <v>1111412311</v>
      </c>
      <c r="G29" s="818">
        <f>+VLOOKUP(B29,'CA FE'!$A:$A,1,0)</f>
        <v>1111412311</v>
      </c>
      <c r="H29" s="1049">
        <f>+VLOOKUP(B29,Composición!$C$4:$H$1742,5,0)-D29</f>
        <v>0</v>
      </c>
      <c r="I29" s="1311">
        <f>+VLOOKUP(B29,Composición!$C$4:$H$1742,6,0)-E29</f>
        <v>0</v>
      </c>
      <c r="J29" s="829"/>
    </row>
    <row r="30" spans="1:16" s="14" customFormat="1" ht="16.5" customHeight="1">
      <c r="A30" s="14" t="str">
        <f t="shared" ref="A30:A38" si="1">IF(LEN(B30)&gt;8,"I","NI")</f>
        <v>I</v>
      </c>
      <c r="B30" s="1203">
        <v>1111412312</v>
      </c>
      <c r="C30" t="s">
        <v>564</v>
      </c>
      <c r="D30" s="1308">
        <v>39156300</v>
      </c>
      <c r="E30" s="1309">
        <v>5000</v>
      </c>
      <c r="F30" s="818">
        <f>+VLOOKUP(B30,Composición!$C$5:$D$1768,1,0)</f>
        <v>1111412312</v>
      </c>
      <c r="G30" s="818">
        <f>+VLOOKUP(B30,'CA FE'!$A:$A,1,0)</f>
        <v>1111412312</v>
      </c>
      <c r="H30" s="1310">
        <f>+VLOOKUP(B30,Composición!$C$4:$H$1742,5,0)-D30</f>
        <v>0</v>
      </c>
      <c r="I30" s="1311">
        <f>+VLOOKUP(B30,Composición!$C$4:$H$1742,6,0)-E30</f>
        <v>0</v>
      </c>
    </row>
    <row r="31" spans="1:16" s="14" customFormat="1" ht="16.5" customHeight="1">
      <c r="A31" s="14" t="str">
        <f t="shared" si="1"/>
        <v>I</v>
      </c>
      <c r="B31" s="1203">
        <v>1111412313</v>
      </c>
      <c r="C31" t="s">
        <v>2950</v>
      </c>
      <c r="D31" s="1308">
        <v>31763591</v>
      </c>
      <c r="E31" s="1309">
        <v>4056</v>
      </c>
      <c r="F31" s="818">
        <f>+VLOOKUP(B31,Composición!$C$5:$D$1768,1,0)</f>
        <v>1111412313</v>
      </c>
      <c r="G31" s="818">
        <f>+VLOOKUP(B31,'CA FE'!$A:$A,1,0)</f>
        <v>1111412313</v>
      </c>
      <c r="H31" s="1049">
        <f>+VLOOKUP(B31,Composición!$C$4:$H$1742,5,0)-D31</f>
        <v>0</v>
      </c>
      <c r="I31" s="1311">
        <f>+VLOOKUP(B31,Composición!$C$4:$H$1742,6,0)-E31</f>
        <v>0</v>
      </c>
      <c r="J31" s="829"/>
    </row>
    <row r="32" spans="1:16" s="14" customFormat="1" ht="16.5" customHeight="1">
      <c r="A32" s="14" t="str">
        <f t="shared" si="1"/>
        <v>I</v>
      </c>
      <c r="B32" s="1203">
        <v>1111412314</v>
      </c>
      <c r="C32" t="s">
        <v>2951</v>
      </c>
      <c r="D32" s="1308">
        <v>2840000</v>
      </c>
      <c r="E32" s="1309">
        <v>362.65</v>
      </c>
      <c r="F32" s="818">
        <f>+VLOOKUP(B32,Composición!$C$5:$D$1768,1,0)</f>
        <v>1111412314</v>
      </c>
      <c r="G32" s="818">
        <f>+VLOOKUP(B32,'CA FE'!$A:$A,1,0)</f>
        <v>1111412314</v>
      </c>
      <c r="H32" s="1049">
        <f>+VLOOKUP(B32,Composición!$C$4:$H$1742,5,0)</f>
        <v>2840000</v>
      </c>
      <c r="I32" s="14">
        <f>+VLOOKUP(B32,Composición!$C$4:$H$1742,6,0)</f>
        <v>362.65</v>
      </c>
      <c r="J32" s="829"/>
    </row>
    <row r="33" spans="1:16" s="31" customFormat="1" ht="16.5" customHeight="1">
      <c r="A33" s="31" t="str">
        <f t="shared" si="1"/>
        <v>NI</v>
      </c>
      <c r="B33" s="1220">
        <v>11114124</v>
      </c>
      <c r="C33" s="1221" t="s">
        <v>565</v>
      </c>
      <c r="D33" s="1222">
        <v>620517152</v>
      </c>
      <c r="E33" s="1223">
        <v>79235.920000001788</v>
      </c>
      <c r="F33" s="1058">
        <f>+VLOOKUP(B33,Composición!$C$5:$D$1768,1,0)</f>
        <v>11114124</v>
      </c>
      <c r="G33" s="1058">
        <f>+VLOOKUP(B33,'CA FE'!$A:$A,1,0)</f>
        <v>11114124</v>
      </c>
      <c r="H33" s="1048">
        <f>+VLOOKUP(B33,Composición!$C$4:$H$1742,5,0)-D33</f>
        <v>-620517152</v>
      </c>
      <c r="I33" s="1214">
        <f>+VLOOKUP(B33,Composición!$C$4:$H$1742,6,0)-E33</f>
        <v>-79235.920000001788</v>
      </c>
      <c r="M33" s="14"/>
      <c r="N33" s="14"/>
      <c r="O33" s="14"/>
      <c r="P33" s="14"/>
    </row>
    <row r="34" spans="1:16" s="14" customFormat="1" ht="16.5" customHeight="1">
      <c r="A34" s="14" t="str">
        <f t="shared" si="1"/>
        <v>I</v>
      </c>
      <c r="B34" s="1203">
        <v>1111412401</v>
      </c>
      <c r="C34" t="s">
        <v>566</v>
      </c>
      <c r="D34" s="1308">
        <v>446093182</v>
      </c>
      <c r="E34" s="1309">
        <v>56963.14000000013</v>
      </c>
      <c r="F34" s="818">
        <f>+VLOOKUP(B34,Composición!$C$5:$D$1768,1,0)</f>
        <v>1111412401</v>
      </c>
      <c r="G34" s="818">
        <f>+VLOOKUP(B34,'CA FE'!$A:$A,1,0)</f>
        <v>1111412401</v>
      </c>
      <c r="H34" s="1049">
        <f>+VLOOKUP(B34,Composición!$C$4:$H$1742,5,0)-D34</f>
        <v>0</v>
      </c>
      <c r="I34" s="1311">
        <f>+VLOOKUP(B34,Composición!$C$4:$H$1742,6,0)-E34</f>
        <v>0</v>
      </c>
    </row>
    <row r="35" spans="1:16" s="14" customFormat="1" ht="16.5" customHeight="1">
      <c r="A35" s="14" t="str">
        <f t="shared" si="1"/>
        <v>I</v>
      </c>
      <c r="B35" s="1203">
        <v>1111412402</v>
      </c>
      <c r="C35" t="s">
        <v>567</v>
      </c>
      <c r="D35" s="1308">
        <v>13619266</v>
      </c>
      <c r="E35" s="1309">
        <v>1739.0900000003169</v>
      </c>
      <c r="F35" s="818">
        <f>+VLOOKUP(B35,Composición!$C$5:$D$1768,1,0)</f>
        <v>1111412402</v>
      </c>
      <c r="G35" s="818">
        <f>+VLOOKUP(B35,'CA FE'!$A:$A,1,0)</f>
        <v>1111412402</v>
      </c>
      <c r="H35" s="1049">
        <f>+VLOOKUP(B35,Composición!$C$4:$H$1742,5,0)-D35</f>
        <v>0</v>
      </c>
      <c r="I35" s="1311">
        <f>+VLOOKUP(B35,Composición!$C$4:$H$1742,6,0)-E35</f>
        <v>0</v>
      </c>
    </row>
    <row r="36" spans="1:16" s="14" customFormat="1" ht="16.5" customHeight="1">
      <c r="A36" s="14" t="str">
        <f t="shared" si="1"/>
        <v>I</v>
      </c>
      <c r="B36" s="1203">
        <v>1111412403</v>
      </c>
      <c r="C36" t="s">
        <v>568</v>
      </c>
      <c r="D36" s="1308">
        <v>102974421</v>
      </c>
      <c r="E36" s="1309">
        <v>13149.149999999907</v>
      </c>
      <c r="F36" s="818">
        <f>+VLOOKUP(B36,Composición!$C$5:$D$1768,1,0)</f>
        <v>1111412403</v>
      </c>
      <c r="G36" s="818">
        <f>+VLOOKUP(B36,'CA FE'!$A:$A,1,0)</f>
        <v>1111412403</v>
      </c>
      <c r="H36" s="1310">
        <f>+VLOOKUP(B36,Composición!$C$4:$H$1742,5,0)-D36</f>
        <v>0</v>
      </c>
      <c r="I36" s="1311">
        <f>+VLOOKUP(B36,Composición!$C$4:$H$1742,6,0)-E36</f>
        <v>0</v>
      </c>
      <c r="J36" s="829"/>
    </row>
    <row r="37" spans="1:16" s="14" customFormat="1" ht="16.5" customHeight="1">
      <c r="A37" s="14" t="str">
        <f t="shared" si="1"/>
        <v>I</v>
      </c>
      <c r="B37" s="1203">
        <v>1111412404</v>
      </c>
      <c r="C37" t="s">
        <v>569</v>
      </c>
      <c r="D37" s="1308">
        <v>46351270</v>
      </c>
      <c r="E37" s="1309">
        <v>5918.75</v>
      </c>
      <c r="F37" s="818">
        <f>+VLOOKUP(B37,Composición!$C$5:$D$1768,1,0)</f>
        <v>1111412404</v>
      </c>
      <c r="G37" s="818">
        <f>+VLOOKUP(B37,'CA FE'!$A:$A,1,0)</f>
        <v>1111412404</v>
      </c>
      <c r="H37" s="1310">
        <f>+VLOOKUP(B37,Composición!$C$4:$H$1742,5,0)-D37</f>
        <v>0</v>
      </c>
      <c r="I37" s="1311">
        <f>+VLOOKUP(B37,Composición!$C$4:$H$1742,6,0)-E37</f>
        <v>0</v>
      </c>
    </row>
    <row r="38" spans="1:16" s="14" customFormat="1" ht="16.5" customHeight="1">
      <c r="A38" s="14" t="str">
        <f t="shared" si="1"/>
        <v>I</v>
      </c>
      <c r="B38" s="1203">
        <v>1111412405</v>
      </c>
      <c r="C38" t="s">
        <v>570</v>
      </c>
      <c r="D38" s="1308">
        <v>9507150</v>
      </c>
      <c r="E38" s="1309">
        <v>1214</v>
      </c>
      <c r="F38" s="818">
        <f>+VLOOKUP(B38,Composición!$C$5:$D$1768,1,0)</f>
        <v>1111412405</v>
      </c>
      <c r="G38" s="818">
        <f>+VLOOKUP(B38,'CA FE'!$A:$A,1,0)</f>
        <v>1111412405</v>
      </c>
      <c r="H38" s="14">
        <f>+VLOOKUP(B38,Composición!$C$4:$H$1742,5,0)</f>
        <v>9507150</v>
      </c>
      <c r="I38" s="14">
        <f>+VLOOKUP(B38,Composición!$C$4:$H$1742,6,0)</f>
        <v>1214</v>
      </c>
    </row>
    <row r="39" spans="1:16" s="14" customFormat="1" ht="16.5" customHeight="1">
      <c r="A39" s="14" t="str">
        <f t="shared" si="0"/>
        <v>I</v>
      </c>
      <c r="B39" s="1203">
        <v>1111412407</v>
      </c>
      <c r="C39" t="s">
        <v>2952</v>
      </c>
      <c r="D39" s="1308">
        <v>1971863</v>
      </c>
      <c r="E39" s="1309">
        <v>251.79000000096858</v>
      </c>
      <c r="F39" s="818">
        <f>+VLOOKUP(B39,Composición!$C$5:$D$1768,1,0)</f>
        <v>1111412407</v>
      </c>
      <c r="G39" s="818">
        <f>+VLOOKUP(B39,'CA FE'!$A:$A,1,0)</f>
        <v>1111412407</v>
      </c>
      <c r="H39" s="1310">
        <f>+VLOOKUP(B39,Composición!$C$4:$H$1742,5,0)-D39</f>
        <v>0</v>
      </c>
      <c r="I39" s="1311">
        <f>+VLOOKUP(B39,Composición!$C$4:$H$1742,6,0)-E39</f>
        <v>0</v>
      </c>
    </row>
    <row r="40" spans="1:16" s="31" customFormat="1" ht="16.5" customHeight="1">
      <c r="A40" s="31" t="str">
        <f t="shared" si="0"/>
        <v>NI</v>
      </c>
      <c r="B40" s="1220">
        <v>111142</v>
      </c>
      <c r="C40" s="1221" t="s">
        <v>23</v>
      </c>
      <c r="D40" s="1222">
        <v>488815659</v>
      </c>
      <c r="E40" s="1223">
        <v>62418.520000010729</v>
      </c>
      <c r="F40" s="1058">
        <f>+VLOOKUP(B40,Composición!$C$5:$D$1768,1,0)</f>
        <v>111142</v>
      </c>
      <c r="G40" s="1058">
        <f>+VLOOKUP(B40,'CA FE'!$A:$A,1,0)</f>
        <v>111142</v>
      </c>
      <c r="H40" s="1048">
        <f>+VLOOKUP(B40,Composición!$C$4:$H$1742,5,0)-D40</f>
        <v>-488815659</v>
      </c>
      <c r="I40" s="1214">
        <f>+VLOOKUP(B40,Composición!$C$4:$H$1742,6,0)-E40</f>
        <v>-62418.520000010729</v>
      </c>
      <c r="J40" s="828"/>
      <c r="M40" s="14"/>
      <c r="N40" s="14"/>
      <c r="O40" s="14"/>
      <c r="P40" s="14"/>
    </row>
    <row r="41" spans="1:16" s="31" customFormat="1" ht="16.5" customHeight="1">
      <c r="A41" s="31" t="str">
        <f t="shared" si="0"/>
        <v>NI</v>
      </c>
      <c r="B41" s="1220">
        <v>1111421</v>
      </c>
      <c r="C41" s="1221" t="s">
        <v>24</v>
      </c>
      <c r="D41" s="1222">
        <v>488815659</v>
      </c>
      <c r="E41" s="1223">
        <v>62418.520000010729</v>
      </c>
      <c r="F41" s="1058">
        <f>+VLOOKUP(B41,Composición!$C$5:$D$1768,1,0)</f>
        <v>1111421</v>
      </c>
      <c r="G41" s="1058">
        <f>+VLOOKUP(B41,'CA FE'!$A:$A,1,0)</f>
        <v>1111421</v>
      </c>
      <c r="H41" s="1048">
        <f>+VLOOKUP(B41,Composición!$C$4:$H$1742,5,0)</f>
        <v>0</v>
      </c>
      <c r="I41" s="31">
        <f>+VLOOKUP(B41,Composición!$C$4:$H$1742,6,0)</f>
        <v>0</v>
      </c>
      <c r="J41" s="828"/>
      <c r="M41" s="14"/>
      <c r="N41" s="14"/>
      <c r="O41" s="14"/>
      <c r="P41" s="14"/>
    </row>
    <row r="42" spans="1:16" s="31" customFormat="1" ht="16.5" customHeight="1">
      <c r="A42" s="31" t="str">
        <f t="shared" si="0"/>
        <v>NI</v>
      </c>
      <c r="B42" s="1220">
        <v>11114211</v>
      </c>
      <c r="C42" s="1221" t="s">
        <v>25</v>
      </c>
      <c r="D42" s="1222">
        <v>488815659</v>
      </c>
      <c r="E42" s="1223">
        <v>62418.520000010729</v>
      </c>
      <c r="F42" s="1058">
        <f>+VLOOKUP(B42,Composición!$C$5:$D$1768,1,0)</f>
        <v>11114211</v>
      </c>
      <c r="G42" s="1058">
        <f>+VLOOKUP(B42,'CA FE'!$A:$A,1,0)</f>
        <v>11114211</v>
      </c>
      <c r="H42" s="1048">
        <f>+VLOOKUP(B42,Composición!$C$4:$H$1742,5,0)-D42</f>
        <v>-488815659</v>
      </c>
      <c r="I42" s="1214">
        <f>+VLOOKUP(B42,Composición!$C$4:$H$1742,6,0)-E42</f>
        <v>-62418.520000010729</v>
      </c>
      <c r="M42" s="14"/>
      <c r="N42" s="14"/>
      <c r="O42" s="14"/>
      <c r="P42" s="14"/>
    </row>
    <row r="43" spans="1:16" s="14" customFormat="1" ht="16.5" customHeight="1">
      <c r="A43" s="14" t="str">
        <f t="shared" si="0"/>
        <v>I</v>
      </c>
      <c r="B43" s="1203">
        <v>1111421101</v>
      </c>
      <c r="C43" t="s">
        <v>18</v>
      </c>
      <c r="D43" s="1308">
        <v>488815659</v>
      </c>
      <c r="E43" s="1309">
        <v>62418.520000010729</v>
      </c>
      <c r="F43" s="818">
        <f>+VLOOKUP(B43,Composición!$C$5:$D$1768,1,0)</f>
        <v>1111421101</v>
      </c>
      <c r="G43" s="818">
        <f>+VLOOKUP(B43,'CA FE'!$A:$A,1,0)</f>
        <v>1111421101</v>
      </c>
      <c r="H43" s="1049">
        <f>+VLOOKUP(B43,Composición!$C$4:$H$1742,5,0)-D43</f>
        <v>0</v>
      </c>
      <c r="I43" s="1311">
        <f>+VLOOKUP(B43,Composición!$C$4:$H$1742,6,0)-E43</f>
        <v>0</v>
      </c>
    </row>
    <row r="44" spans="1:16" s="31" customFormat="1" ht="16.5" customHeight="1">
      <c r="A44" s="31" t="str">
        <f t="shared" si="0"/>
        <v>NI</v>
      </c>
      <c r="B44" s="1220">
        <v>112</v>
      </c>
      <c r="C44" s="1221" t="s">
        <v>26</v>
      </c>
      <c r="D44" s="1222">
        <v>2523075202</v>
      </c>
      <c r="E44" s="1223">
        <v>322231.09000003344</v>
      </c>
      <c r="F44" s="1058">
        <f>+VLOOKUP(B44,Composición!$C$5:$D$1768,1,0)</f>
        <v>112</v>
      </c>
      <c r="G44" s="1058">
        <f>+VLOOKUP(B44,'CA FE'!$A:$A,1,0)</f>
        <v>112</v>
      </c>
      <c r="H44" s="1048">
        <f>+VLOOKUP(B44,Composición!$C$4:$H$1742,5,0)-D44</f>
        <v>-2523075202</v>
      </c>
      <c r="I44" s="1214">
        <f>+VLOOKUP(B44,Composición!$C$4:$H$1742,6,0)-E44</f>
        <v>-322231.09000003344</v>
      </c>
      <c r="M44" s="14"/>
      <c r="N44" s="14"/>
      <c r="O44" s="14"/>
      <c r="P44" s="14"/>
    </row>
    <row r="45" spans="1:16" s="31" customFormat="1" ht="16.5" customHeight="1">
      <c r="A45" s="31" t="str">
        <f t="shared" si="0"/>
        <v>NI</v>
      </c>
      <c r="B45" s="1220">
        <v>11201</v>
      </c>
      <c r="C45" s="1221" t="s">
        <v>27</v>
      </c>
      <c r="D45" s="1222">
        <v>631699350</v>
      </c>
      <c r="E45" s="1223">
        <v>80663.909999966621</v>
      </c>
      <c r="F45" s="1058">
        <f>+VLOOKUP(B45,Composición!$C$5:$D$1768,1,0)</f>
        <v>11201</v>
      </c>
      <c r="G45" s="1058">
        <f>+VLOOKUP(B45,'CA FE'!$A:$A,1,0)</f>
        <v>11201</v>
      </c>
      <c r="H45" s="1213">
        <f>+VLOOKUP(B45,Composición!$C$4:$H$1742,5,0)-D45</f>
        <v>-631699350</v>
      </c>
      <c r="I45" s="1214">
        <f>+VLOOKUP(B45,Composición!$C$4:$H$1742,6,0)-E45</f>
        <v>-80663.909999966621</v>
      </c>
      <c r="J45" s="828"/>
      <c r="M45" s="14"/>
      <c r="N45" s="14"/>
      <c r="O45" s="14"/>
      <c r="P45" s="14"/>
    </row>
    <row r="46" spans="1:16" s="31" customFormat="1" ht="16.5" customHeight="1">
      <c r="A46" s="31" t="str">
        <f t="shared" si="0"/>
        <v>NI</v>
      </c>
      <c r="B46" s="1220">
        <v>112011</v>
      </c>
      <c r="C46" s="1221" t="s">
        <v>28</v>
      </c>
      <c r="D46" s="1222">
        <v>631699350</v>
      </c>
      <c r="E46" s="1223">
        <v>80663.909999966621</v>
      </c>
      <c r="F46" s="1058">
        <f>+VLOOKUP(B46,Composición!$C$5:$D$1768,1,0)</f>
        <v>112011</v>
      </c>
      <c r="G46" s="1058">
        <f>+VLOOKUP(B46,'CA FE'!$A:$A,1,0)</f>
        <v>112011</v>
      </c>
      <c r="H46" s="1213">
        <f>+VLOOKUP(B46,Composición!$C$4:$H$1742,5,0)-D46</f>
        <v>-631699350</v>
      </c>
      <c r="I46" s="1214">
        <f>+VLOOKUP(B46,Composición!$C$4:$H$1742,6,0)-E46</f>
        <v>-80663.909999966621</v>
      </c>
      <c r="M46" s="14"/>
      <c r="N46" s="14"/>
      <c r="O46" s="14"/>
      <c r="P46" s="14"/>
    </row>
    <row r="47" spans="1:16" s="31" customFormat="1" ht="16.5" customHeight="1">
      <c r="A47" s="31" t="str">
        <f t="shared" si="0"/>
        <v>NI</v>
      </c>
      <c r="B47" s="1220">
        <v>1120112</v>
      </c>
      <c r="C47" s="1221" t="s">
        <v>29</v>
      </c>
      <c r="D47" s="1222">
        <v>631699350</v>
      </c>
      <c r="E47" s="1223">
        <v>80663.909999996424</v>
      </c>
      <c r="F47" s="1058">
        <f>+VLOOKUP(B47,Composición!$C$5:$D$1768,1,0)</f>
        <v>1120112</v>
      </c>
      <c r="G47" s="1058">
        <f>+VLOOKUP(B47,'CA FE'!$A:$A,1,0)</f>
        <v>1120112</v>
      </c>
      <c r="H47" s="31">
        <f>+VLOOKUP(B47,Composición!$C$4:$H$1742,5,0)</f>
        <v>0</v>
      </c>
      <c r="I47" s="31">
        <f>+VLOOKUP(B47,Composición!$C$4:$H$1742,6,0)</f>
        <v>0</v>
      </c>
      <c r="M47" s="14"/>
      <c r="N47" s="14"/>
      <c r="O47" s="14"/>
      <c r="P47" s="14"/>
    </row>
    <row r="48" spans="1:16" s="31" customFormat="1" ht="16.5" customHeight="1">
      <c r="A48" s="31" t="str">
        <f t="shared" si="0"/>
        <v>NI</v>
      </c>
      <c r="B48" s="1220">
        <v>11201121</v>
      </c>
      <c r="C48" s="1221" t="s">
        <v>30</v>
      </c>
      <c r="D48" s="1222">
        <v>615636794</v>
      </c>
      <c r="E48" s="1223">
        <v>78612.830000013113</v>
      </c>
      <c r="F48" s="1058">
        <f>+VLOOKUP(B48,Composición!$C$5:$D$1768,1,0)</f>
        <v>11201121</v>
      </c>
      <c r="G48" s="1058">
        <f>+VLOOKUP(B48,'CA FE'!$A:$A,1,0)</f>
        <v>11201121</v>
      </c>
      <c r="H48" s="31">
        <f>+VLOOKUP(B48,Composición!$C$4:$H$1742,5,0)</f>
        <v>0</v>
      </c>
      <c r="I48" s="31">
        <f>+VLOOKUP(B48,Composición!$C$4:$H$1742,6,0)</f>
        <v>0</v>
      </c>
      <c r="M48" s="14"/>
      <c r="N48" s="14"/>
      <c r="O48" s="14"/>
      <c r="P48" s="14"/>
    </row>
    <row r="49" spans="1:16" s="14" customFormat="1" ht="16.5" customHeight="1">
      <c r="A49" s="14" t="str">
        <f t="shared" si="0"/>
        <v>I</v>
      </c>
      <c r="B49" s="1203">
        <v>1120112101</v>
      </c>
      <c r="C49" t="s">
        <v>31</v>
      </c>
      <c r="D49" s="1308">
        <v>15429308</v>
      </c>
      <c r="E49" s="1309">
        <v>1970.3100000023844</v>
      </c>
      <c r="F49" s="818">
        <f>+VLOOKUP(B49,Composición!$C$5:$D$1768,1,0)</f>
        <v>1120112101</v>
      </c>
      <c r="G49" s="818">
        <f>+VLOOKUP(B49,'CA FE'!$A:$A,1,0)</f>
        <v>1120112101</v>
      </c>
      <c r="H49" s="14">
        <f>+VLOOKUP(B49,Composición!$C$4:$H$1742,5,0)</f>
        <v>15429308</v>
      </c>
      <c r="I49" s="14">
        <f>+VLOOKUP(B49,Composición!$C$4:$H$1742,6,0)</f>
        <v>1970.3100000023844</v>
      </c>
    </row>
    <row r="50" spans="1:16" s="14" customFormat="1" ht="16.5" customHeight="1">
      <c r="A50" s="14" t="str">
        <f t="shared" si="0"/>
        <v>I</v>
      </c>
      <c r="B50" s="1203">
        <v>1120112102</v>
      </c>
      <c r="C50" t="s">
        <v>32</v>
      </c>
      <c r="D50" s="1308">
        <v>600207486</v>
      </c>
      <c r="E50" s="1309">
        <v>76642.520000010729</v>
      </c>
      <c r="F50" s="818">
        <f>+VLOOKUP(B50,Composición!$C$5:$D$1768,1,0)</f>
        <v>1120112102</v>
      </c>
      <c r="G50" s="818">
        <f>+VLOOKUP(B50,'CA FE'!$A:$A,1,0)</f>
        <v>1120112102</v>
      </c>
      <c r="H50" s="1049">
        <f>+VLOOKUP(B50,Composición!$C$4:$H$1742,5,0)-D50</f>
        <v>0</v>
      </c>
      <c r="I50" s="1311">
        <f>+VLOOKUP(B50,Composición!$C$4:$H$1742,6,0)-E50</f>
        <v>0</v>
      </c>
    </row>
    <row r="51" spans="1:16" s="31" customFormat="1" ht="16.5" customHeight="1">
      <c r="A51" s="31" t="str">
        <f t="shared" si="0"/>
        <v>NI</v>
      </c>
      <c r="B51" s="1220">
        <v>11201122</v>
      </c>
      <c r="C51" s="1221" t="s">
        <v>520</v>
      </c>
      <c r="D51" s="1222">
        <v>16062556</v>
      </c>
      <c r="E51" s="1223">
        <v>2051.0799999982119</v>
      </c>
      <c r="F51" s="1058">
        <f>+VLOOKUP(B51,Composición!$C$5:$D$1768,1,0)</f>
        <v>11201122</v>
      </c>
      <c r="G51" s="1058">
        <f>+VLOOKUP(B51,'CA FE'!$A:$A,1,0)</f>
        <v>11201122</v>
      </c>
      <c r="H51" s="1048">
        <f>+VLOOKUP(B51,Composición!$C$4:$H$1742,5,0)</f>
        <v>0</v>
      </c>
      <c r="I51" s="31">
        <f>+VLOOKUP(B51,Composición!$C$4:$H$1742,6,0)</f>
        <v>0</v>
      </c>
      <c r="J51" s="828"/>
      <c r="M51" s="14"/>
      <c r="N51" s="14"/>
      <c r="O51" s="14"/>
      <c r="P51" s="14"/>
    </row>
    <row r="52" spans="1:16" s="14" customFormat="1" ht="16.5" customHeight="1">
      <c r="A52" s="14" t="str">
        <f t="shared" si="0"/>
        <v>I</v>
      </c>
      <c r="B52" s="1203">
        <v>1120112201</v>
      </c>
      <c r="C52" t="s">
        <v>571</v>
      </c>
      <c r="D52" s="1308">
        <v>9534574</v>
      </c>
      <c r="E52" s="1309">
        <v>1217.5</v>
      </c>
      <c r="F52" s="818">
        <f>+VLOOKUP(B52,Composición!$C$5:$D$1768,1,0)</f>
        <v>1120112201</v>
      </c>
      <c r="G52" s="818">
        <f>+VLOOKUP(B52,'CA FE'!$A:$A,1,0)</f>
        <v>1120112201</v>
      </c>
      <c r="H52" s="14">
        <f>+VLOOKUP(B52,Composición!$C$4:$H$1742,5,0)</f>
        <v>9534574</v>
      </c>
      <c r="I52" s="14">
        <f>+VLOOKUP(B52,Composición!$C$4:$H$1742,6,0)</f>
        <v>1217.5</v>
      </c>
      <c r="J52" s="829"/>
    </row>
    <row r="53" spans="1:16" s="14" customFormat="1" ht="16.5" customHeight="1">
      <c r="A53" s="14" t="str">
        <f t="shared" si="0"/>
        <v>I</v>
      </c>
      <c r="B53" s="1203">
        <v>1120112202</v>
      </c>
      <c r="C53" t="s">
        <v>521</v>
      </c>
      <c r="D53" s="1308">
        <v>6527982</v>
      </c>
      <c r="E53" s="1309">
        <v>833.58000000007451</v>
      </c>
      <c r="F53" s="818">
        <f>+VLOOKUP(B53,Composición!$C$5:$D$1768,1,0)</f>
        <v>1120112202</v>
      </c>
      <c r="G53" s="818">
        <f>+VLOOKUP(B53,'CA FE'!$A:$A,1,0)</f>
        <v>1120112202</v>
      </c>
      <c r="H53" s="1049">
        <f>+VLOOKUP(B53,Composición!$C$4:$H$1742,5,0)</f>
        <v>6527982</v>
      </c>
      <c r="I53" s="14">
        <f>+VLOOKUP(B53,Composición!$C$4:$H$1742,6,0)</f>
        <v>833.58000000007451</v>
      </c>
    </row>
    <row r="54" spans="1:16" s="31" customFormat="1" ht="16.5" customHeight="1">
      <c r="A54" s="31" t="str">
        <f t="shared" si="0"/>
        <v>NI</v>
      </c>
      <c r="B54" s="1220">
        <v>11203</v>
      </c>
      <c r="C54" s="1221" t="s">
        <v>33</v>
      </c>
      <c r="D54" s="1222">
        <v>1521394984</v>
      </c>
      <c r="E54" s="1223">
        <v>194272.05999999866</v>
      </c>
      <c r="F54" s="1058">
        <f>+VLOOKUP(B54,Composición!$C$5:$D$1768,1,0)</f>
        <v>11203</v>
      </c>
      <c r="G54" s="1058">
        <f>+VLOOKUP(B54,'CA FE'!$A:$A,1,0)</f>
        <v>11203</v>
      </c>
      <c r="H54" s="1048">
        <f>+VLOOKUP(B54,Composición!$C$4:$H$1742,5,0)</f>
        <v>0</v>
      </c>
      <c r="I54" s="31">
        <f>+VLOOKUP(B54,Composición!$C$4:$H$1742,6,0)</f>
        <v>0</v>
      </c>
      <c r="M54" s="14"/>
      <c r="N54" s="14"/>
      <c r="O54" s="14"/>
      <c r="P54" s="14"/>
    </row>
    <row r="55" spans="1:16" s="31" customFormat="1" ht="16.5" customHeight="1">
      <c r="A55" s="31" t="str">
        <f t="shared" si="0"/>
        <v>NI</v>
      </c>
      <c r="B55" s="1220">
        <v>112031</v>
      </c>
      <c r="C55" s="1221" t="s">
        <v>33</v>
      </c>
      <c r="D55" s="1222">
        <v>1521394984</v>
      </c>
      <c r="E55" s="1223">
        <v>194272.05999999866</v>
      </c>
      <c r="F55" s="1058">
        <f>+VLOOKUP(B55,Composición!$C$5:$D$1768,1,0)</f>
        <v>112031</v>
      </c>
      <c r="G55" s="1058">
        <f>+VLOOKUP(B55,'CA FE'!$A:$A,1,0)</f>
        <v>112031</v>
      </c>
      <c r="H55" s="31">
        <f>+VLOOKUP(B55,Composición!$C$4:$H$1742,5,0)</f>
        <v>0</v>
      </c>
      <c r="I55" s="31">
        <f>+VLOOKUP(B55,Composición!$C$4:$H$1742,6,0)</f>
        <v>0</v>
      </c>
      <c r="M55" s="14"/>
      <c r="N55" s="14"/>
      <c r="O55" s="14"/>
      <c r="P55" s="14"/>
    </row>
    <row r="56" spans="1:16" s="31" customFormat="1" ht="16.5" customHeight="1">
      <c r="A56" s="31" t="str">
        <f t="shared" si="0"/>
        <v>NI</v>
      </c>
      <c r="B56" s="1220">
        <v>1120311</v>
      </c>
      <c r="C56" s="1221" t="s">
        <v>34</v>
      </c>
      <c r="D56" s="1222">
        <v>1521394984</v>
      </c>
      <c r="E56" s="1223">
        <v>194272.06000000241</v>
      </c>
      <c r="F56" s="1058">
        <f>+VLOOKUP(B56,Composición!$C$5:$D$1768,1,0)</f>
        <v>1120311</v>
      </c>
      <c r="G56" s="1058">
        <f>+VLOOKUP(B56,'CA FE'!$A:$A,1,0)</f>
        <v>1120311</v>
      </c>
      <c r="H56" s="1213">
        <f>+VLOOKUP(B56,Composición!$C$4:$H$1742,5,0)-D56</f>
        <v>-1521394984</v>
      </c>
      <c r="I56" s="1214">
        <f>+VLOOKUP(B56,Composición!$C$4:$H$1742,6,0)-E56</f>
        <v>-194272.06000000241</v>
      </c>
      <c r="M56" s="14"/>
      <c r="N56" s="14"/>
      <c r="O56" s="14"/>
      <c r="P56" s="14"/>
    </row>
    <row r="57" spans="1:16" s="31" customFormat="1" ht="16.5" customHeight="1">
      <c r="A57" s="31" t="str">
        <f t="shared" si="0"/>
        <v>NI</v>
      </c>
      <c r="B57" s="1220">
        <v>11203111</v>
      </c>
      <c r="C57" s="1221" t="s">
        <v>35</v>
      </c>
      <c r="D57" s="1222">
        <v>1521394984</v>
      </c>
      <c r="E57" s="1223">
        <v>194272.06000000241</v>
      </c>
      <c r="F57" s="1058">
        <f>+VLOOKUP(B57,Composición!$C$5:$D$1768,1,0)</f>
        <v>11203111</v>
      </c>
      <c r="G57" s="1058">
        <f>+VLOOKUP(B57,'CA FE'!$A:$A,1,0)</f>
        <v>11203111</v>
      </c>
      <c r="H57" s="1213">
        <f>+VLOOKUP(B57,Composición!$C$4:$H$1742,5,0)-D57</f>
        <v>-1521394984</v>
      </c>
      <c r="I57" s="1214">
        <f>+VLOOKUP(B57,Composición!$C$4:$H$1742,6,0)-E57</f>
        <v>-194272.06000000241</v>
      </c>
      <c r="J57" s="828"/>
      <c r="M57" s="14"/>
      <c r="N57" s="14"/>
      <c r="O57" s="14"/>
      <c r="P57" s="14"/>
    </row>
    <row r="58" spans="1:16" s="14" customFormat="1" ht="16.5" customHeight="1">
      <c r="A58" s="14" t="str">
        <f t="shared" si="0"/>
        <v>I</v>
      </c>
      <c r="B58" s="1203">
        <v>1120311101</v>
      </c>
      <c r="C58" t="s">
        <v>35</v>
      </c>
      <c r="D58" s="1308">
        <v>34665507</v>
      </c>
      <c r="E58" s="1309">
        <v>4426.5599999986589</v>
      </c>
      <c r="F58" s="818">
        <f>+VLOOKUP(B58,Composición!$C$5:$D$1768,1,0)</f>
        <v>1120311101</v>
      </c>
      <c r="G58" s="818">
        <f>+VLOOKUP(B58,'CA FE'!$A:$A,1,0)</f>
        <v>1120311101</v>
      </c>
      <c r="H58" s="14">
        <f>+VLOOKUP(B58,Composición!$C$4:$H$1742,5,0)</f>
        <v>34665507</v>
      </c>
      <c r="I58" s="14">
        <f>+VLOOKUP(B58,Composición!$C$4:$H$1742,6,0)</f>
        <v>4426.5599999986589</v>
      </c>
    </row>
    <row r="59" spans="1:16" s="14" customFormat="1" ht="16.5" customHeight="1">
      <c r="A59" s="14" t="str">
        <f t="shared" si="0"/>
        <v>I</v>
      </c>
      <c r="B59" s="1203">
        <v>1120311102</v>
      </c>
      <c r="C59" t="s">
        <v>35</v>
      </c>
      <c r="D59" s="1308">
        <v>368148</v>
      </c>
      <c r="E59" s="1309">
        <v>47.010000000009313</v>
      </c>
      <c r="F59" s="818">
        <f>+VLOOKUP(B59,Composición!$C$5:$D$1768,1,0)</f>
        <v>1120311102</v>
      </c>
      <c r="G59" s="818">
        <f>+VLOOKUP(B59,'CA FE'!$A:$A,1,0)</f>
        <v>1120311102</v>
      </c>
      <c r="H59" s="1049">
        <f>+VLOOKUP(B59,Composición!$C$4:$H$1742,5,0)-D59</f>
        <v>0</v>
      </c>
      <c r="I59" s="1311">
        <f>+VLOOKUP(B59,Composición!$C$4:$H$1742,6,0)-E59</f>
        <v>0</v>
      </c>
    </row>
    <row r="60" spans="1:16" s="14" customFormat="1" ht="16.5" customHeight="1">
      <c r="A60" s="14" t="str">
        <f t="shared" si="0"/>
        <v>I</v>
      </c>
      <c r="B60" s="1203">
        <v>1120311103</v>
      </c>
      <c r="C60" t="s">
        <v>36</v>
      </c>
      <c r="D60" s="1308">
        <v>330056277</v>
      </c>
      <c r="E60" s="1309">
        <v>42146</v>
      </c>
      <c r="F60" s="818">
        <f>+VLOOKUP(B60,Composición!$C$5:$D$1768,1,0)</f>
        <v>1120311103</v>
      </c>
      <c r="G60" s="818">
        <f>+VLOOKUP(B60,'CA FE'!$A:$A,1,0)</f>
        <v>1120311103</v>
      </c>
      <c r="H60" s="1049">
        <f>+VLOOKUP(B60,Composición!$C$4:$H$1742,5,0)-D60</f>
        <v>0</v>
      </c>
      <c r="I60" s="1311">
        <f>+VLOOKUP(B60,Composición!$C$4:$H$1742,6,0)-E60</f>
        <v>0</v>
      </c>
    </row>
    <row r="61" spans="1:16" s="14" customFormat="1" ht="16.5" customHeight="1">
      <c r="A61" s="14" t="str">
        <f t="shared" si="0"/>
        <v>I</v>
      </c>
      <c r="B61" s="1203">
        <v>1120311104</v>
      </c>
      <c r="C61" t="s">
        <v>37</v>
      </c>
      <c r="D61" s="1308">
        <v>281052644</v>
      </c>
      <c r="E61" s="1309">
        <v>35888.560000000056</v>
      </c>
      <c r="F61" s="818">
        <f>+VLOOKUP(B61,Composición!$C$5:$D$1768,1,0)</f>
        <v>1120311104</v>
      </c>
      <c r="G61" s="818">
        <f>+VLOOKUP(B61,'CA FE'!$A:$A,1,0)</f>
        <v>1120311104</v>
      </c>
      <c r="H61" s="1049">
        <f>+VLOOKUP(B61,Composición!$C$4:$H$1742,5,0)</f>
        <v>281052644</v>
      </c>
      <c r="I61" s="14">
        <f>+VLOOKUP(B61,Composición!$C$4:$H$1742,6,0)</f>
        <v>35888.560000000056</v>
      </c>
    </row>
    <row r="62" spans="1:16" s="14" customFormat="1" ht="16.5" customHeight="1">
      <c r="A62" s="14" t="str">
        <f t="shared" si="0"/>
        <v>I</v>
      </c>
      <c r="B62" s="1203">
        <v>1120311105</v>
      </c>
      <c r="C62" t="s">
        <v>38</v>
      </c>
      <c r="D62" s="1308">
        <v>527968918</v>
      </c>
      <c r="E62" s="1309">
        <v>67418.129999999946</v>
      </c>
      <c r="F62" s="818">
        <f>+VLOOKUP(B62,Composición!$C$5:$D$1768,1,0)</f>
        <v>1120311105</v>
      </c>
      <c r="G62" s="818">
        <f>+VLOOKUP(B62,'CA FE'!$A:$A,1,0)</f>
        <v>1120311105</v>
      </c>
      <c r="H62" s="1049">
        <f>+VLOOKUP(B62,Composición!$C$4:$H$1742,5,0)</f>
        <v>527968918</v>
      </c>
      <c r="I62" s="14">
        <f>+VLOOKUP(B62,Composición!$C$4:$H$1742,6,0)</f>
        <v>67418.129999999946</v>
      </c>
      <c r="J62" s="829"/>
    </row>
    <row r="63" spans="1:16" s="14" customFormat="1" ht="16.5" customHeight="1">
      <c r="A63" s="14" t="str">
        <f t="shared" si="0"/>
        <v>I</v>
      </c>
      <c r="B63" s="1203">
        <v>1120311106</v>
      </c>
      <c r="C63" t="s">
        <v>39</v>
      </c>
      <c r="D63" s="1308">
        <v>347283490</v>
      </c>
      <c r="E63" s="1309">
        <v>44345.799999999988</v>
      </c>
      <c r="F63" s="818">
        <f>+VLOOKUP(B63,Composición!$C$5:$D$1768,1,0)</f>
        <v>1120311106</v>
      </c>
      <c r="G63" s="818">
        <f>+VLOOKUP(B63,'CA FE'!$A:$A,1,0)</f>
        <v>1120311106</v>
      </c>
      <c r="H63" s="1049">
        <f>+VLOOKUP(B63,Composición!$C$4:$H$1742,5,0)</f>
        <v>347283490</v>
      </c>
      <c r="I63" s="14">
        <f>+VLOOKUP(B63,Composición!$C$4:$H$1742,6,0)</f>
        <v>44345.799999999988</v>
      </c>
      <c r="J63" s="829"/>
    </row>
    <row r="64" spans="1:16" s="31" customFormat="1" ht="16.5" customHeight="1">
      <c r="A64" s="31" t="str">
        <f t="shared" si="0"/>
        <v>NI</v>
      </c>
      <c r="B64" s="1220">
        <v>11211</v>
      </c>
      <c r="C64" s="1221" t="s">
        <v>40</v>
      </c>
      <c r="D64" s="1222">
        <v>350908017</v>
      </c>
      <c r="E64" s="1223">
        <v>44808.640000000014</v>
      </c>
      <c r="F64" s="1058">
        <f>+VLOOKUP(B64,Composición!$C$5:$D$1768,1,0)</f>
        <v>11211</v>
      </c>
      <c r="G64" s="1058">
        <f>+VLOOKUP(B64,'CA FE'!$A:$A,1,0)</f>
        <v>11211</v>
      </c>
      <c r="H64" s="1048">
        <f>+VLOOKUP(B64,Composición!$C$4:$H$1742,5,0)</f>
        <v>0</v>
      </c>
      <c r="I64" s="31">
        <f>+VLOOKUP(B64,Composición!$C$4:$H$1742,6,0)</f>
        <v>0</v>
      </c>
      <c r="J64" s="828"/>
      <c r="M64" s="14"/>
      <c r="N64" s="14"/>
      <c r="O64" s="14"/>
      <c r="P64" s="14"/>
    </row>
    <row r="65" spans="1:16" s="31" customFormat="1" ht="16.5" customHeight="1">
      <c r="A65" s="31" t="str">
        <f t="shared" si="0"/>
        <v>NI</v>
      </c>
      <c r="B65" s="1220">
        <v>112111</v>
      </c>
      <c r="C65" s="1221" t="s">
        <v>40</v>
      </c>
      <c r="D65" s="1222">
        <v>350908017</v>
      </c>
      <c r="E65" s="1223">
        <v>44808.640000000014</v>
      </c>
      <c r="F65" s="1058">
        <f>+VLOOKUP(B65,Composición!$C$5:$D$1768,1,0)</f>
        <v>112111</v>
      </c>
      <c r="G65" s="1058">
        <f>+VLOOKUP(B65,'CA FE'!$A:$A,1,0)</f>
        <v>112111</v>
      </c>
      <c r="H65" s="1213">
        <f>+VLOOKUP(B65,Composición!$C$4:$H$1742,5,0)-D65</f>
        <v>-350908017</v>
      </c>
      <c r="I65" s="1214">
        <f>+VLOOKUP(B65,Composición!$C$4:$H$1742,6,0)-E65</f>
        <v>-44808.640000000014</v>
      </c>
      <c r="J65" s="828"/>
      <c r="M65" s="14"/>
      <c r="N65" s="14"/>
      <c r="O65" s="14"/>
      <c r="P65" s="14"/>
    </row>
    <row r="66" spans="1:16" s="31" customFormat="1" ht="16.5" customHeight="1">
      <c r="A66" s="31" t="str">
        <f t="shared" si="0"/>
        <v>NI</v>
      </c>
      <c r="B66" s="1220">
        <v>1121111</v>
      </c>
      <c r="C66" s="1221" t="s">
        <v>40</v>
      </c>
      <c r="D66" s="1222">
        <v>350908017</v>
      </c>
      <c r="E66" s="1223">
        <v>44808.640000000014</v>
      </c>
      <c r="F66" s="1058">
        <f>+VLOOKUP(B66,Composición!$C$5:$D$1768,1,0)</f>
        <v>1121111</v>
      </c>
      <c r="G66" s="1058">
        <f>+VLOOKUP(B66,'CA FE'!$A:$A,1,0)</f>
        <v>1121111</v>
      </c>
      <c r="H66" s="1213">
        <f>+VLOOKUP(B66,Composición!$C$4:$H$1742,5,0)-D66</f>
        <v>-350908017</v>
      </c>
      <c r="I66" s="1214">
        <f>+VLOOKUP(B66,Composición!$C$4:$H$1742,6,0)-E66</f>
        <v>-44808.640000000014</v>
      </c>
      <c r="J66" s="828"/>
      <c r="M66" s="14"/>
      <c r="N66" s="14"/>
      <c r="O66" s="14"/>
      <c r="P66" s="14"/>
    </row>
    <row r="67" spans="1:16" s="31" customFormat="1" ht="16.5" customHeight="1">
      <c r="A67" s="31" t="str">
        <f t="shared" si="0"/>
        <v>NI</v>
      </c>
      <c r="B67" s="1220">
        <v>11211111</v>
      </c>
      <c r="C67" s="1221" t="s">
        <v>40</v>
      </c>
      <c r="D67" s="1222">
        <v>350908017</v>
      </c>
      <c r="E67" s="1223">
        <v>44808.640000000014</v>
      </c>
      <c r="F67" s="1058">
        <f>+VLOOKUP(B67,Composición!$C$5:$D$1768,1,0)</f>
        <v>11211111</v>
      </c>
      <c r="G67" s="1058">
        <f>+VLOOKUP(B67,'CA FE'!$A:$A,1,0)</f>
        <v>11211111</v>
      </c>
      <c r="H67" s="1213">
        <f>+VLOOKUP(B67,Composición!$C$4:$H$1742,5,0)-D67</f>
        <v>-350908017</v>
      </c>
      <c r="I67" s="1214">
        <f>+VLOOKUP(B67,Composición!$C$4:$H$1742,6,0)-E67</f>
        <v>-44808.640000000014</v>
      </c>
      <c r="M67" s="14"/>
      <c r="N67" s="14"/>
      <c r="O67" s="14"/>
      <c r="P67" s="14"/>
    </row>
    <row r="68" spans="1:16" s="14" customFormat="1" ht="16.5" customHeight="1">
      <c r="A68" s="14" t="str">
        <f t="shared" si="0"/>
        <v>I</v>
      </c>
      <c r="B68" s="1203">
        <v>1121111101</v>
      </c>
      <c r="C68" t="s">
        <v>41</v>
      </c>
      <c r="D68" s="1308">
        <v>149724020</v>
      </c>
      <c r="E68" s="1309">
        <v>19118.77</v>
      </c>
      <c r="F68" s="818">
        <f>+VLOOKUP(B68,Composición!$C$5:$D$1768,1,0)</f>
        <v>1121111101</v>
      </c>
      <c r="G68" s="818">
        <f>+VLOOKUP(B68,'CA FE'!$A:$A,1,0)</f>
        <v>1121111101</v>
      </c>
      <c r="H68" s="1310">
        <f>+VLOOKUP(B68,Composición!$C$4:$H$1742,5,0)-D68</f>
        <v>0</v>
      </c>
      <c r="I68" s="1311">
        <f>+VLOOKUP(B68,Composición!$C$4:$H$1742,6,0)-E68</f>
        <v>0</v>
      </c>
    </row>
    <row r="69" spans="1:16" s="14" customFormat="1" ht="16.5" customHeight="1">
      <c r="A69" s="14" t="str">
        <f t="shared" si="0"/>
        <v>I</v>
      </c>
      <c r="B69" s="1203">
        <v>1121111105</v>
      </c>
      <c r="C69" t="s">
        <v>672</v>
      </c>
      <c r="D69" s="1308">
        <v>935203</v>
      </c>
      <c r="E69" s="1309">
        <v>119.42</v>
      </c>
      <c r="F69" s="818">
        <f>+VLOOKUP(B69,Composición!$C$5:$D$1768,1,0)</f>
        <v>1121111105</v>
      </c>
      <c r="G69" s="818">
        <f>+VLOOKUP(B69,'CA FE'!$A:$A,1,0)</f>
        <v>1121111105</v>
      </c>
      <c r="H69" s="1049">
        <f>+VLOOKUP(B69,Composición!$C$4:$H$1742,5,0)-D69</f>
        <v>0</v>
      </c>
      <c r="I69" s="1311">
        <f>+VLOOKUP(B69,Composición!$C$4:$H$1742,6,0)-E69</f>
        <v>0</v>
      </c>
    </row>
    <row r="70" spans="1:16" s="14" customFormat="1" ht="16.5" customHeight="1">
      <c r="A70" s="14" t="str">
        <f t="shared" si="0"/>
        <v>I</v>
      </c>
      <c r="B70" s="1203">
        <v>1121111106</v>
      </c>
      <c r="C70" t="s">
        <v>42</v>
      </c>
      <c r="D70" s="1308">
        <v>42164111</v>
      </c>
      <c r="E70" s="1309">
        <v>5384.08</v>
      </c>
      <c r="F70" s="818">
        <f>+VLOOKUP(B70,Composición!$C$5:$D$1768,1,0)</f>
        <v>1121111106</v>
      </c>
      <c r="G70" s="818">
        <f>+VLOOKUP(B70,'CA FE'!$A:$A,1,0)</f>
        <v>1121111106</v>
      </c>
      <c r="H70" s="1049">
        <f>+VLOOKUP(B70,Composición!$C$4:$H$1742,5,0)-D70</f>
        <v>0</v>
      </c>
      <c r="I70" s="1311">
        <f>+VLOOKUP(B70,Composición!$C$4:$H$1742,6,0)-E70</f>
        <v>0</v>
      </c>
    </row>
    <row r="71" spans="1:16" s="14" customFormat="1" ht="16.5" customHeight="1">
      <c r="A71" s="14" t="str">
        <f t="shared" si="0"/>
        <v>I</v>
      </c>
      <c r="B71" s="1203">
        <v>1121111107</v>
      </c>
      <c r="C71" t="s">
        <v>43</v>
      </c>
      <c r="D71" s="1308">
        <v>158084683</v>
      </c>
      <c r="E71" s="1309">
        <v>20186.37</v>
      </c>
      <c r="F71" s="818">
        <f>+VLOOKUP(B71,Composición!$C$5:$D$1768,1,0)</f>
        <v>1121111107</v>
      </c>
      <c r="G71" s="818">
        <f>+VLOOKUP(B71,'CA FE'!$A:$A,1,0)</f>
        <v>1121111107</v>
      </c>
      <c r="H71" s="14">
        <f>+VLOOKUP(B71,Composición!$C$4:$H$1742,5,0)</f>
        <v>158084683</v>
      </c>
      <c r="I71" s="14">
        <f>+VLOOKUP(B71,Composición!$C$4:$H$1742,6,0)</f>
        <v>20186.37</v>
      </c>
      <c r="J71" s="829"/>
    </row>
    <row r="72" spans="1:16" s="31" customFormat="1" ht="16.5" customHeight="1">
      <c r="A72" s="31" t="str">
        <f t="shared" si="0"/>
        <v>NI</v>
      </c>
      <c r="B72" s="1220">
        <v>11212</v>
      </c>
      <c r="C72" s="1221" t="s">
        <v>44</v>
      </c>
      <c r="D72" s="1222">
        <v>19072851</v>
      </c>
      <c r="E72" s="1223">
        <v>2486.4799999999814</v>
      </c>
      <c r="F72" s="1058">
        <f>+VLOOKUP(B72,Composición!$C$5:$D$1768,1,0)</f>
        <v>11212</v>
      </c>
      <c r="G72" s="1058">
        <f>+VLOOKUP(B72,'CA FE'!$A:$A,1,0)</f>
        <v>11212</v>
      </c>
      <c r="H72" s="31">
        <f>+VLOOKUP(B72,Composición!$C$4:$H$1742,5,0)</f>
        <v>0</v>
      </c>
      <c r="I72" s="31">
        <f>+VLOOKUP(B72,Composición!$C$4:$H$1742,6,0)</f>
        <v>0</v>
      </c>
      <c r="J72" s="828"/>
      <c r="M72" s="14"/>
      <c r="N72" s="14"/>
      <c r="O72" s="14"/>
      <c r="P72" s="14"/>
    </row>
    <row r="73" spans="1:16" s="31" customFormat="1" ht="16.5" customHeight="1">
      <c r="A73" s="31" t="str">
        <f t="shared" si="0"/>
        <v>NI</v>
      </c>
      <c r="B73" s="1220">
        <v>112121</v>
      </c>
      <c r="C73" s="1221" t="s">
        <v>44</v>
      </c>
      <c r="D73" s="1222">
        <v>19072851</v>
      </c>
      <c r="E73" s="1223">
        <v>2486.4799999999814</v>
      </c>
      <c r="F73" s="1058">
        <f>+VLOOKUP(B73,Composición!$C$5:$D$1768,1,0)</f>
        <v>112121</v>
      </c>
      <c r="G73" s="1058">
        <f>+VLOOKUP(B73,'CA FE'!$A:$A,1,0)</f>
        <v>112121</v>
      </c>
      <c r="H73" s="1213">
        <f>+VLOOKUP(B73,Composición!$C$4:$H$1742,5,0)-D73</f>
        <v>-19072851</v>
      </c>
      <c r="I73" s="1214">
        <f>+VLOOKUP(B73,Composición!$C$4:$H$1742,6,0)-E73</f>
        <v>-2486.4799999999814</v>
      </c>
      <c r="M73" s="14"/>
      <c r="N73" s="14"/>
      <c r="O73" s="14"/>
      <c r="P73" s="14"/>
    </row>
    <row r="74" spans="1:16" s="31" customFormat="1" ht="16.5" customHeight="1">
      <c r="A74" s="31" t="str">
        <f t="shared" si="0"/>
        <v>NI</v>
      </c>
      <c r="B74" s="1220">
        <v>1121211</v>
      </c>
      <c r="C74" s="1221" t="s">
        <v>44</v>
      </c>
      <c r="D74" s="1222">
        <v>19072851</v>
      </c>
      <c r="E74" s="1223">
        <v>2486.4799999999814</v>
      </c>
      <c r="F74" s="1058">
        <f>+VLOOKUP(B74,Composición!$C$5:$D$1768,1,0)</f>
        <v>1121211</v>
      </c>
      <c r="G74" s="1058">
        <f>+VLOOKUP(B74,'CA FE'!$A:$A,1,0)</f>
        <v>1121211</v>
      </c>
      <c r="H74" s="31">
        <f>+VLOOKUP(B74,Composición!$C$4:$H$1742,5,0)</f>
        <v>0</v>
      </c>
      <c r="I74" s="31">
        <f>+VLOOKUP(B74,Composición!$C$4:$H$1742,6,0)</f>
        <v>0</v>
      </c>
      <c r="M74" s="14"/>
      <c r="N74" s="14"/>
      <c r="O74" s="14"/>
      <c r="P74" s="14"/>
    </row>
    <row r="75" spans="1:16" s="31" customFormat="1" ht="16.5" customHeight="1">
      <c r="A75" s="31" t="str">
        <f t="shared" si="0"/>
        <v>NI</v>
      </c>
      <c r="B75" s="1220">
        <v>11212111</v>
      </c>
      <c r="C75" s="1221" t="s">
        <v>45</v>
      </c>
      <c r="D75" s="1222">
        <v>19072851</v>
      </c>
      <c r="E75" s="1223">
        <v>2486.4800000000396</v>
      </c>
      <c r="F75" s="1058">
        <f>+VLOOKUP(B75,Composición!$C$5:$D$1768,1,0)</f>
        <v>11212111</v>
      </c>
      <c r="G75" s="1058">
        <f>+VLOOKUP(B75,'CA FE'!$A:$A,1,0)</f>
        <v>11212111</v>
      </c>
      <c r="H75" s="1048">
        <f>+VLOOKUP(B75,Composición!$C$4:$H$1742,5,0)</f>
        <v>0</v>
      </c>
      <c r="I75" s="31">
        <f>+VLOOKUP(B75,Composición!$C$4:$H$1742,6,0)</f>
        <v>0</v>
      </c>
      <c r="M75" s="14"/>
      <c r="N75" s="14"/>
      <c r="O75" s="14"/>
      <c r="P75" s="14"/>
    </row>
    <row r="76" spans="1:16" s="14" customFormat="1" ht="16.5" customHeight="1">
      <c r="A76" s="14" t="str">
        <f t="shared" si="0"/>
        <v>I</v>
      </c>
      <c r="B76" s="1203">
        <v>1121211101</v>
      </c>
      <c r="C76" t="s">
        <v>46</v>
      </c>
      <c r="D76" s="1308">
        <v>4744396</v>
      </c>
      <c r="E76" s="1309">
        <v>617.77000000001874</v>
      </c>
      <c r="F76" s="818">
        <f>+VLOOKUP(B76,Composición!$C$5:$D$1768,1,0)</f>
        <v>1121211101</v>
      </c>
      <c r="G76" s="818">
        <f>+VLOOKUP(B76,'CA FE'!$A:$A,1,0)</f>
        <v>1121211101</v>
      </c>
      <c r="H76" s="1049">
        <f>+VLOOKUP(B76,Composición!$C$4:$H$1742,5,0)</f>
        <v>4744396</v>
      </c>
      <c r="I76" s="14">
        <f>+VLOOKUP(B76,Composición!$C$4:$H$1742,6,0)</f>
        <v>617.77000000001874</v>
      </c>
    </row>
    <row r="77" spans="1:16" s="14" customFormat="1" ht="16.5" customHeight="1">
      <c r="A77" s="14" t="str">
        <f t="shared" si="0"/>
        <v>I</v>
      </c>
      <c r="B77" s="1203">
        <v>1121211102</v>
      </c>
      <c r="C77" t="s">
        <v>47</v>
      </c>
      <c r="D77" s="1308">
        <v>14328455</v>
      </c>
      <c r="E77" s="1309">
        <v>1868.7100000000064</v>
      </c>
      <c r="F77" s="818">
        <f>+VLOOKUP(B77,Composición!$C$5:$D$1768,1,0)</f>
        <v>1121211102</v>
      </c>
      <c r="G77" s="818">
        <f>+VLOOKUP(B77,'CA FE'!$A:$A,1,0)</f>
        <v>1121211102</v>
      </c>
      <c r="H77" s="14">
        <f>+VLOOKUP(B77,Composición!$C$4:$H$1742,5,0)</f>
        <v>14328455</v>
      </c>
      <c r="I77" s="14">
        <f>+VLOOKUP(B77,Composición!$C$4:$H$1742,6,0)</f>
        <v>1868.7100000000064</v>
      </c>
    </row>
    <row r="78" spans="1:16" s="31" customFormat="1" ht="16.5" customHeight="1">
      <c r="A78" s="31" t="str">
        <f t="shared" si="0"/>
        <v>NI</v>
      </c>
      <c r="B78" s="1220">
        <v>114</v>
      </c>
      <c r="C78" s="1221" t="s">
        <v>48</v>
      </c>
      <c r="D78" s="1222">
        <v>64045839221</v>
      </c>
      <c r="E78" s="1223">
        <v>8178229.2099999785</v>
      </c>
      <c r="F78" s="1058">
        <f>+VLOOKUP(B78,Composición!$C$5:$D$1768,1,0)</f>
        <v>114</v>
      </c>
      <c r="G78" s="1058">
        <f>+VLOOKUP(B78,'CA FE'!$A:$A,1,0)</f>
        <v>114</v>
      </c>
      <c r="H78" s="1213">
        <f>+VLOOKUP(B78,Composición!$C$4:$H$1742,5,0)-D78</f>
        <v>-64045839221</v>
      </c>
      <c r="I78" s="1214">
        <f>+VLOOKUP(B78,Composición!$C$4:$H$1742,6,0)-E78</f>
        <v>-8178229.2099999785</v>
      </c>
      <c r="J78" s="828"/>
      <c r="M78" s="14"/>
      <c r="N78" s="14"/>
      <c r="O78" s="14"/>
      <c r="P78" s="14"/>
    </row>
    <row r="79" spans="1:16" s="31" customFormat="1" ht="16.5" customHeight="1">
      <c r="A79" s="31" t="str">
        <f t="shared" ref="A79:A142" si="2">IF(LEN(B79)&gt;8,"I","NI")</f>
        <v>NI</v>
      </c>
      <c r="B79" s="1220">
        <v>11401</v>
      </c>
      <c r="C79" s="1221" t="s">
        <v>49</v>
      </c>
      <c r="D79" s="1222">
        <v>1249280000</v>
      </c>
      <c r="E79" s="1223">
        <v>159524.78000000003</v>
      </c>
      <c r="F79" s="1058">
        <f>+VLOOKUP(B79,Composición!$C$5:$D$1768,1,0)</f>
        <v>11401</v>
      </c>
      <c r="G79" s="1058">
        <f>+VLOOKUP(B79,'CA FE'!$A:$A,1,0)</f>
        <v>11401</v>
      </c>
      <c r="H79" s="1213">
        <f>+VLOOKUP(B79,Composición!$C$4:$H$1742,5,0)-D79</f>
        <v>-1249280000</v>
      </c>
      <c r="I79" s="1214">
        <f>+VLOOKUP(B79,Composición!$C$4:$H$1742,6,0)-E79</f>
        <v>-159524.78000000003</v>
      </c>
      <c r="M79" s="14"/>
      <c r="N79" s="14"/>
      <c r="O79" s="14"/>
      <c r="P79" s="14"/>
    </row>
    <row r="80" spans="1:16" s="31" customFormat="1" ht="16.5" customHeight="1">
      <c r="A80" s="31" t="str">
        <f t="shared" si="2"/>
        <v>NI</v>
      </c>
      <c r="B80" s="1220">
        <v>114011</v>
      </c>
      <c r="C80" s="1221" t="s">
        <v>50</v>
      </c>
      <c r="D80" s="1222">
        <v>1249280000</v>
      </c>
      <c r="E80" s="1223">
        <v>159524.78000000003</v>
      </c>
      <c r="F80" s="1058">
        <f>+VLOOKUP(B80,Composición!$C$5:$D$1768,1,0)</f>
        <v>114011</v>
      </c>
      <c r="G80" s="1058">
        <f>+VLOOKUP(B80,'CA FE'!$A:$A,1,0)</f>
        <v>114011</v>
      </c>
      <c r="H80" s="31">
        <f>+VLOOKUP(B80,Composición!$C$4:$H$1742,5,0)</f>
        <v>0</v>
      </c>
      <c r="I80" s="31">
        <f>+VLOOKUP(B80,Composición!$C$4:$H$1742,6,0)</f>
        <v>0</v>
      </c>
      <c r="M80" s="14"/>
      <c r="N80" s="14"/>
      <c r="O80" s="14"/>
      <c r="P80" s="14"/>
    </row>
    <row r="81" spans="1:16" s="31" customFormat="1" ht="16.5" customHeight="1">
      <c r="A81" s="31" t="str">
        <f t="shared" si="2"/>
        <v>NI</v>
      </c>
      <c r="B81" s="1220">
        <v>1140111</v>
      </c>
      <c r="C81" s="1221" t="s">
        <v>51</v>
      </c>
      <c r="D81" s="1222">
        <v>1249280000</v>
      </c>
      <c r="E81" s="1223">
        <v>159524.78000000003</v>
      </c>
      <c r="F81" s="1058">
        <f>+VLOOKUP(B81,Composición!$C$5:$D$1768,1,0)</f>
        <v>1140111</v>
      </c>
      <c r="G81" s="1058">
        <f>+VLOOKUP(B81,'CA FE'!$A:$A,1,0)</f>
        <v>1140111</v>
      </c>
      <c r="H81" s="31">
        <f>+VLOOKUP(B81,Composición!$C$4:$H$1742,5,0)</f>
        <v>0</v>
      </c>
      <c r="I81" s="31">
        <f>+VLOOKUP(B81,Composición!$C$4:$H$1742,6,0)</f>
        <v>0</v>
      </c>
      <c r="M81" s="14"/>
      <c r="N81" s="14"/>
      <c r="O81" s="14"/>
      <c r="P81" s="14"/>
    </row>
    <row r="82" spans="1:16" s="31" customFormat="1" ht="16.5" customHeight="1">
      <c r="A82" s="31" t="str">
        <f t="shared" si="2"/>
        <v>NI</v>
      </c>
      <c r="B82" s="1220">
        <v>11401111</v>
      </c>
      <c r="C82" s="1221" t="s">
        <v>52</v>
      </c>
      <c r="D82" s="1222">
        <v>1249280000</v>
      </c>
      <c r="E82" s="1223">
        <v>159524.78000000003</v>
      </c>
      <c r="F82" s="1058">
        <f>+VLOOKUP(B82,Composición!$C$5:$D$1768,1,0)</f>
        <v>11401111</v>
      </c>
      <c r="G82" s="1058">
        <f>+VLOOKUP(B82,'CA FE'!$A:$A,1,0)</f>
        <v>11401111</v>
      </c>
      <c r="H82" s="1048">
        <f>+VLOOKUP(B82,Composición!$C$4:$H$1742,5,0)</f>
        <v>0</v>
      </c>
      <c r="I82" s="31">
        <f>+VLOOKUP(B82,Composición!$C$4:$H$1742,6,0)</f>
        <v>0</v>
      </c>
      <c r="M82" s="14"/>
      <c r="N82" s="14"/>
      <c r="O82" s="14"/>
      <c r="P82" s="14"/>
    </row>
    <row r="83" spans="1:16" s="14" customFormat="1" ht="16.5" customHeight="1">
      <c r="A83" s="14" t="str">
        <f t="shared" si="2"/>
        <v>I</v>
      </c>
      <c r="B83" s="1203">
        <v>1140111101</v>
      </c>
      <c r="C83" t="s">
        <v>53</v>
      </c>
      <c r="D83" s="1308">
        <v>1249280000</v>
      </c>
      <c r="E83" s="1309">
        <v>159524.78000000003</v>
      </c>
      <c r="F83" s="818">
        <f>+VLOOKUP(B83,Composición!$C$5:$D$1768,1,0)</f>
        <v>1140111101</v>
      </c>
      <c r="G83" s="818">
        <f>+VLOOKUP(B83,'CA FE'!$A:$A,1,0)</f>
        <v>1140111101</v>
      </c>
      <c r="H83" s="14">
        <f>+VLOOKUP(B83,Composición!$C$4:$H$1742,5,0)</f>
        <v>1249280000</v>
      </c>
      <c r="I83" s="14">
        <f>+VLOOKUP(B83,Composición!$C$4:$H$1742,6,0)</f>
        <v>159524.78000000003</v>
      </c>
      <c r="J83" s="829"/>
    </row>
    <row r="84" spans="1:16" s="31" customFormat="1" ht="16.5" customHeight="1">
      <c r="A84" s="31" t="str">
        <f t="shared" si="2"/>
        <v>NI</v>
      </c>
      <c r="B84" s="1220">
        <v>11402</v>
      </c>
      <c r="C84" s="1221" t="s">
        <v>54</v>
      </c>
      <c r="D84" s="1222">
        <v>48852395859</v>
      </c>
      <c r="E84" s="1223">
        <v>6238127.1800000081</v>
      </c>
      <c r="F84" s="1058">
        <f>+VLOOKUP(B84,Composición!$C$5:$D$1768,1,0)</f>
        <v>11402</v>
      </c>
      <c r="G84" s="1058">
        <f>+VLOOKUP(B84,'CA FE'!$A:$A,1,0)</f>
        <v>11402</v>
      </c>
      <c r="H84" s="1213">
        <f>+VLOOKUP(B84,Composición!$C$4:$H$1742,5,0)-D84</f>
        <v>-48852395859</v>
      </c>
      <c r="I84" s="1214">
        <f>+VLOOKUP(B84,Composición!$C$4:$H$1742,6,0)-E84</f>
        <v>-6238127.1800000081</v>
      </c>
      <c r="M84" s="14"/>
      <c r="N84" s="14"/>
      <c r="O84" s="14"/>
      <c r="P84" s="14"/>
    </row>
    <row r="85" spans="1:16" s="31" customFormat="1" ht="16.5" customHeight="1">
      <c r="A85" s="31" t="str">
        <f t="shared" si="2"/>
        <v>NI</v>
      </c>
      <c r="B85" s="1220">
        <v>114021</v>
      </c>
      <c r="C85" s="1221" t="s">
        <v>55</v>
      </c>
      <c r="D85" s="1222">
        <v>48852395859</v>
      </c>
      <c r="E85" s="1223">
        <v>6238127.1800000081</v>
      </c>
      <c r="F85" s="1058">
        <f>+VLOOKUP(B85,Composición!$C$5:$D$1768,1,0)</f>
        <v>114021</v>
      </c>
      <c r="G85" s="1058">
        <f>+VLOOKUP(B85,'CA FE'!$A:$A,1,0)</f>
        <v>114021</v>
      </c>
      <c r="H85" s="1213">
        <f>+VLOOKUP(B85,Composición!$C$4:$H$1742,5,0)-D85</f>
        <v>-48852395859</v>
      </c>
      <c r="I85" s="1214">
        <f>+VLOOKUP(B85,Composición!$C$4:$H$1742,6,0)-E85</f>
        <v>-6238127.1800000081</v>
      </c>
      <c r="M85" s="14"/>
      <c r="N85" s="14"/>
      <c r="O85" s="14"/>
      <c r="P85" s="14"/>
    </row>
    <row r="86" spans="1:16" s="31" customFormat="1" ht="16.5" customHeight="1">
      <c r="A86" s="31" t="str">
        <f t="shared" si="2"/>
        <v>NI</v>
      </c>
      <c r="B86" s="1220">
        <v>1140211</v>
      </c>
      <c r="C86" s="1221" t="s">
        <v>129</v>
      </c>
      <c r="D86" s="1222">
        <v>6000000000</v>
      </c>
      <c r="E86" s="1223">
        <v>766160.23000000033</v>
      </c>
      <c r="F86" s="1058">
        <f>+VLOOKUP(B86,Composición!$C$5:$D$1768,1,0)</f>
        <v>1140211</v>
      </c>
      <c r="G86" s="1058">
        <f>+VLOOKUP(B86,'CA FE'!$A:$A,1,0)</f>
        <v>1140211</v>
      </c>
      <c r="H86" s="31">
        <f>+VLOOKUP(B86,Composición!$C$4:$H$1742,5,0)</f>
        <v>0</v>
      </c>
      <c r="I86" s="31">
        <f>+VLOOKUP(B86,Composición!$C$4:$H$1742,6,0)</f>
        <v>0</v>
      </c>
      <c r="J86" s="828"/>
      <c r="M86" s="14"/>
      <c r="N86" s="14"/>
      <c r="O86" s="14"/>
      <c r="P86" s="14"/>
    </row>
    <row r="87" spans="1:16" s="31" customFormat="1" ht="16.5" customHeight="1">
      <c r="A87" s="31" t="str">
        <f t="shared" si="2"/>
        <v>NI</v>
      </c>
      <c r="B87" s="1220">
        <v>11402111</v>
      </c>
      <c r="C87" s="1221" t="s">
        <v>525</v>
      </c>
      <c r="D87" s="1222">
        <v>6000000000</v>
      </c>
      <c r="E87" s="1223">
        <v>766160.23000000033</v>
      </c>
      <c r="F87" s="1058">
        <f>+VLOOKUP(B87,Composición!$C$5:$D$1768,1,0)</f>
        <v>11402111</v>
      </c>
      <c r="G87" s="1058">
        <f>+VLOOKUP(B87,'CA FE'!$A:$A,1,0)</f>
        <v>11402111</v>
      </c>
      <c r="H87" s="1048">
        <f>+VLOOKUP(B87,Composición!$C$4:$H$1742,5,0)</f>
        <v>0</v>
      </c>
      <c r="I87" s="31">
        <f>+VLOOKUP(B87,Composición!$C$4:$H$1742,6,0)</f>
        <v>0</v>
      </c>
      <c r="M87" s="14"/>
      <c r="N87" s="14"/>
      <c r="O87" s="14"/>
      <c r="P87" s="14"/>
    </row>
    <row r="88" spans="1:16" s="14" customFormat="1" ht="16.5" customHeight="1">
      <c r="A88" s="14" t="str">
        <f t="shared" si="2"/>
        <v>I</v>
      </c>
      <c r="B88" s="1203">
        <v>1140211101</v>
      </c>
      <c r="C88" t="s">
        <v>279</v>
      </c>
      <c r="D88" s="1308">
        <v>6000000000</v>
      </c>
      <c r="E88" s="1309">
        <v>766160.23000000033</v>
      </c>
      <c r="F88" s="818">
        <f>+VLOOKUP(B88,Composición!$C$5:$D$1768,1,0)</f>
        <v>1140211101</v>
      </c>
      <c r="G88" s="818">
        <f>+VLOOKUP(B88,'CA FE'!$A:$A,1,0)</f>
        <v>1140211101</v>
      </c>
      <c r="H88" s="14">
        <f>+VLOOKUP(B88,Composición!$C$4:$H$1742,5,0)</f>
        <v>6000000000</v>
      </c>
      <c r="I88" s="14">
        <f>+VLOOKUP(B88,Composición!$C$4:$H$1742,6,0)</f>
        <v>766160.23000000033</v>
      </c>
    </row>
    <row r="89" spans="1:16" s="31" customFormat="1" ht="16.5" customHeight="1">
      <c r="A89" s="31" t="str">
        <f t="shared" si="2"/>
        <v>NI</v>
      </c>
      <c r="B89" s="1220">
        <v>1140212</v>
      </c>
      <c r="C89" s="1221" t="s">
        <v>51</v>
      </c>
      <c r="D89" s="1222">
        <v>22763587260</v>
      </c>
      <c r="E89" s="1223">
        <v>2906759.2199999988</v>
      </c>
      <c r="F89" s="1058">
        <f>+VLOOKUP(B89,Composición!$C$5:$D$1768,1,0)</f>
        <v>1140212</v>
      </c>
      <c r="G89" s="1058">
        <f>+VLOOKUP(B89,'CA FE'!$A:$A,1,0)</f>
        <v>1140212</v>
      </c>
      <c r="H89" s="31">
        <f>+VLOOKUP(B89,Composición!$C$4:$H$1742,5,0)</f>
        <v>0</v>
      </c>
      <c r="I89" s="31">
        <f>+VLOOKUP(B89,Composición!$C$4:$H$1742,6,0)</f>
        <v>0</v>
      </c>
      <c r="J89" s="828"/>
      <c r="M89" s="14"/>
      <c r="N89" s="14"/>
      <c r="O89" s="14"/>
      <c r="P89" s="14"/>
    </row>
    <row r="90" spans="1:16" s="31" customFormat="1" ht="16.5" customHeight="1">
      <c r="A90" s="31" t="str">
        <f t="shared" si="2"/>
        <v>NI</v>
      </c>
      <c r="B90" s="1220">
        <v>11402121</v>
      </c>
      <c r="C90" s="1221" t="s">
        <v>56</v>
      </c>
      <c r="D90" s="1222">
        <v>6099596500</v>
      </c>
      <c r="E90" s="1223">
        <v>778878.04999999993</v>
      </c>
      <c r="F90" s="1058">
        <f>+VLOOKUP(B90,Composición!$C$5:$D$1768,1,0)</f>
        <v>11402121</v>
      </c>
      <c r="G90" s="1058">
        <f>+VLOOKUP(B90,'CA FE'!$A:$A,1,0)</f>
        <v>11402121</v>
      </c>
      <c r="H90" s="1048">
        <f>+VLOOKUP(B90,Composición!$C$4:$H$1742,5,0)</f>
        <v>0</v>
      </c>
      <c r="I90" s="31">
        <f>+VLOOKUP(B90,Composición!$C$4:$H$1742,6,0)</f>
        <v>0</v>
      </c>
      <c r="J90" s="828"/>
      <c r="M90" s="14"/>
      <c r="N90" s="14"/>
      <c r="O90" s="14"/>
      <c r="P90" s="14"/>
    </row>
    <row r="91" spans="1:16" s="14" customFormat="1" ht="16.5" customHeight="1">
      <c r="A91" s="14" t="str">
        <f t="shared" si="2"/>
        <v>I</v>
      </c>
      <c r="B91" s="1203">
        <v>1140212101</v>
      </c>
      <c r="C91" t="s">
        <v>57</v>
      </c>
      <c r="D91" s="1308">
        <v>3946000000</v>
      </c>
      <c r="E91" s="1309">
        <v>503878.04999999981</v>
      </c>
      <c r="F91" s="818">
        <f>+VLOOKUP(B91,Composición!$C$5:$D$1768,1,0)</f>
        <v>1140212101</v>
      </c>
      <c r="G91" s="818">
        <f>+VLOOKUP(B91,'CA FE'!$A:$A,1,0)</f>
        <v>1140212101</v>
      </c>
      <c r="H91" s="1049">
        <f>+VLOOKUP(B91,Composición!$C$4:$H$1742,5,0)-D91</f>
        <v>0</v>
      </c>
      <c r="I91" s="1311">
        <f>+VLOOKUP(B91,Composición!$C$4:$H$1742,6,0)-E91</f>
        <v>0</v>
      </c>
    </row>
    <row r="92" spans="1:16" s="14" customFormat="1" ht="16.5" customHeight="1">
      <c r="A92" s="14" t="str">
        <f t="shared" si="2"/>
        <v>I</v>
      </c>
      <c r="B92" s="1203">
        <v>1140212102</v>
      </c>
      <c r="C92" t="s">
        <v>254</v>
      </c>
      <c r="D92" s="1308">
        <v>2153596500</v>
      </c>
      <c r="E92" s="1309">
        <v>275000</v>
      </c>
      <c r="F92" s="818">
        <f>+VLOOKUP(B92,Composición!$C$5:$D$1768,1,0)</f>
        <v>1140212102</v>
      </c>
      <c r="G92" s="818">
        <f>+VLOOKUP(B92,'CA FE'!$A:$A,1,0)</f>
        <v>1140212102</v>
      </c>
      <c r="H92" s="14">
        <f>+VLOOKUP(B92,Composición!$C$4:$H$1742,5,0)</f>
        <v>2153596500</v>
      </c>
      <c r="I92" s="14">
        <f>+VLOOKUP(B92,Composición!$C$4:$H$1742,6,0)</f>
        <v>275000</v>
      </c>
    </row>
    <row r="93" spans="1:16" s="31" customFormat="1" ht="16.5" customHeight="1">
      <c r="A93" s="31" t="str">
        <f t="shared" si="2"/>
        <v>NI</v>
      </c>
      <c r="B93" s="1220">
        <v>11402122</v>
      </c>
      <c r="C93" s="1221" t="s">
        <v>526</v>
      </c>
      <c r="D93" s="1222">
        <v>2704363960</v>
      </c>
      <c r="E93" s="1223">
        <v>345329.34999999963</v>
      </c>
      <c r="F93" s="1058">
        <f>+VLOOKUP(B93,Composición!$C$5:$D$1768,1,0)</f>
        <v>11402122</v>
      </c>
      <c r="G93" s="1058">
        <f>+VLOOKUP(B93,'CA FE'!$A:$A,1,0)</f>
        <v>11402122</v>
      </c>
      <c r="H93" s="1048">
        <f>+VLOOKUP(B93,Composición!$C$4:$H$1742,5,0)</f>
        <v>0</v>
      </c>
      <c r="I93" s="31">
        <f>+VLOOKUP(B93,Composición!$C$4:$H$1742,6,0)</f>
        <v>0</v>
      </c>
      <c r="J93" s="828"/>
      <c r="M93" s="14"/>
      <c r="N93" s="14"/>
      <c r="O93" s="14"/>
      <c r="P93" s="14"/>
    </row>
    <row r="94" spans="1:16" s="14" customFormat="1" ht="16.5" customHeight="1">
      <c r="A94" s="14" t="str">
        <f t="shared" si="2"/>
        <v>I</v>
      </c>
      <c r="B94" s="1203">
        <v>1140212201</v>
      </c>
      <c r="C94" t="s">
        <v>256</v>
      </c>
      <c r="D94" s="1308">
        <v>1561000000</v>
      </c>
      <c r="E94" s="1309">
        <v>199329.35000000009</v>
      </c>
      <c r="F94" s="818">
        <f>+VLOOKUP(B94,Composición!$C$5:$D$1768,1,0)</f>
        <v>1140212201</v>
      </c>
      <c r="G94" s="818">
        <f>+VLOOKUP(B94,'CA FE'!$A:$A,1,0)</f>
        <v>1140212201</v>
      </c>
      <c r="H94" s="1049">
        <f>+VLOOKUP(B94,Composición!$C$4:$H$1742,5,0)</f>
        <v>1561000000</v>
      </c>
      <c r="I94" s="14">
        <f>+VLOOKUP(B94,Composición!$C$4:$H$1742,6,0)</f>
        <v>199329.35000000009</v>
      </c>
      <c r="J94" s="829"/>
    </row>
    <row r="95" spans="1:16" s="14" customFormat="1" ht="16.5" customHeight="1">
      <c r="A95" s="14" t="str">
        <f t="shared" si="2"/>
        <v>I</v>
      </c>
      <c r="B95" s="1203">
        <v>1140212202</v>
      </c>
      <c r="C95" t="s">
        <v>258</v>
      </c>
      <c r="D95" s="1308">
        <v>1143363960</v>
      </c>
      <c r="E95" s="1309">
        <v>146000</v>
      </c>
      <c r="F95" s="818">
        <f>+VLOOKUP(B95,Composición!$C$5:$D$1768,1,0)</f>
        <v>1140212202</v>
      </c>
      <c r="G95" s="818">
        <f>+VLOOKUP(B95,'CA FE'!$A:$A,1,0)</f>
        <v>1140212202</v>
      </c>
      <c r="H95" s="14">
        <f>+VLOOKUP(B95,Composición!$C$4:$H$1742,5,0)</f>
        <v>1143363960</v>
      </c>
      <c r="I95" s="14">
        <f>+VLOOKUP(B95,Composición!$C$4:$H$1742,6,0)</f>
        <v>146000</v>
      </c>
    </row>
    <row r="96" spans="1:16" s="31" customFormat="1" ht="16.5" customHeight="1">
      <c r="A96" s="31" t="str">
        <f t="shared" si="2"/>
        <v>NI</v>
      </c>
      <c r="B96" s="1220">
        <v>11402123</v>
      </c>
      <c r="C96" s="1221" t="s">
        <v>58</v>
      </c>
      <c r="D96" s="1222">
        <v>13959626800</v>
      </c>
      <c r="E96" s="1223">
        <v>1782551.8199999928</v>
      </c>
      <c r="F96" s="1058">
        <f>+VLOOKUP(B96,Composición!$C$5:$D$1768,1,0)</f>
        <v>11402123</v>
      </c>
      <c r="G96" s="1058">
        <f>+VLOOKUP(B96,'CA FE'!$A:$A,1,0)</f>
        <v>11402123</v>
      </c>
      <c r="H96" s="1048">
        <f>+VLOOKUP(B96,Composición!$C$4:$H$1742,5,0)-D96</f>
        <v>-13959626800</v>
      </c>
      <c r="I96" s="1214">
        <f>+VLOOKUP(B96,Composición!$C$4:$H$1742,6,0)-E96</f>
        <v>-1782551.8199999928</v>
      </c>
      <c r="J96" s="828"/>
      <c r="M96" s="14"/>
      <c r="N96" s="14"/>
      <c r="O96" s="14"/>
      <c r="P96" s="14"/>
    </row>
    <row r="97" spans="1:16" s="14" customFormat="1" ht="16.5" customHeight="1">
      <c r="A97" s="14" t="str">
        <f t="shared" si="2"/>
        <v>I</v>
      </c>
      <c r="B97" s="1203">
        <v>1140212301</v>
      </c>
      <c r="C97" t="s">
        <v>59</v>
      </c>
      <c r="D97" s="1308">
        <v>12550000000</v>
      </c>
      <c r="E97" s="1309">
        <v>1602551.8199999928</v>
      </c>
      <c r="F97" s="818">
        <f>+VLOOKUP(B97,Composición!$C$5:$D$1768,1,0)</f>
        <v>1140212301</v>
      </c>
      <c r="G97" s="818">
        <f>+VLOOKUP(B97,'CA FE'!$A:$A,1,0)</f>
        <v>1140212301</v>
      </c>
      <c r="H97" s="1049">
        <f>+VLOOKUP(B97,Composición!$C$4:$H$1742,5,0)</f>
        <v>12550000000</v>
      </c>
      <c r="I97" s="14">
        <f>+VLOOKUP(B97,Composición!$C$4:$H$1742,6,0)</f>
        <v>1602551.8199999928</v>
      </c>
      <c r="J97" s="829"/>
    </row>
    <row r="98" spans="1:16" s="14" customFormat="1" ht="16.5" customHeight="1">
      <c r="A98" s="14" t="str">
        <f t="shared" si="2"/>
        <v>I</v>
      </c>
      <c r="B98" s="1203">
        <v>1140212302</v>
      </c>
      <c r="C98" t="s">
        <v>60</v>
      </c>
      <c r="D98" s="1308">
        <v>1409626800</v>
      </c>
      <c r="E98" s="1309">
        <v>180000</v>
      </c>
      <c r="F98" s="818">
        <f>+VLOOKUP(B98,Composición!$C$5:$D$1768,1,0)</f>
        <v>1140212302</v>
      </c>
      <c r="G98" s="818">
        <f>+VLOOKUP(B98,'CA FE'!$A:$A,1,0)</f>
        <v>1140212302</v>
      </c>
      <c r="H98" s="1310">
        <f>+VLOOKUP(B98,Composición!$C$4:$H$1742,5,0)-D98</f>
        <v>0</v>
      </c>
      <c r="I98" s="1311">
        <f>+VLOOKUP(B98,Composición!$C$4:$H$1742,6,0)-E98</f>
        <v>0</v>
      </c>
      <c r="J98" s="829"/>
    </row>
    <row r="99" spans="1:16" s="31" customFormat="1" ht="16.5" customHeight="1">
      <c r="A99" s="31" t="str">
        <f t="shared" si="2"/>
        <v>NI</v>
      </c>
      <c r="B99" s="1220">
        <v>1140213</v>
      </c>
      <c r="C99" s="1221" t="s">
        <v>61</v>
      </c>
      <c r="D99" s="1222">
        <v>4254000000</v>
      </c>
      <c r="E99" s="1223">
        <v>543207.6099999994</v>
      </c>
      <c r="F99" s="1058">
        <f>+VLOOKUP(B99,Composición!$C$5:$D$1768,1,0)</f>
        <v>1140213</v>
      </c>
      <c r="G99" s="1058">
        <f>+VLOOKUP(B99,'CA FE'!$A:$A,1,0)</f>
        <v>1140213</v>
      </c>
      <c r="H99" s="31">
        <f>+VLOOKUP(B99,Composición!$C$4:$H$1742,5,0)</f>
        <v>0</v>
      </c>
      <c r="I99" s="31">
        <f>+VLOOKUP(B99,Composición!$C$4:$H$1742,6,0)</f>
        <v>0</v>
      </c>
      <c r="M99" s="14"/>
      <c r="N99" s="14"/>
      <c r="O99" s="14"/>
      <c r="P99" s="14"/>
    </row>
    <row r="100" spans="1:16" s="31" customFormat="1" ht="16.5" customHeight="1">
      <c r="A100" s="31" t="str">
        <f t="shared" si="2"/>
        <v>NI</v>
      </c>
      <c r="B100" s="1220">
        <v>11402131</v>
      </c>
      <c r="C100" s="1221" t="s">
        <v>62</v>
      </c>
      <c r="D100" s="1222">
        <v>4254000000</v>
      </c>
      <c r="E100" s="1223">
        <v>543207.61000000034</v>
      </c>
      <c r="F100" s="1058">
        <f>+VLOOKUP(B100,Composición!$C$5:$D$1768,1,0)</f>
        <v>11402131</v>
      </c>
      <c r="G100" s="1058">
        <f>+VLOOKUP(B100,'CA FE'!$A:$A,1,0)</f>
        <v>11402131</v>
      </c>
      <c r="H100" s="1048">
        <f>+VLOOKUP(B100,Composición!$C$4:$H$1742,5,0)</f>
        <v>0</v>
      </c>
      <c r="I100" s="31">
        <f>+VLOOKUP(B100,Composición!$C$4:$H$1742,6,0)</f>
        <v>0</v>
      </c>
      <c r="M100" s="14"/>
      <c r="N100" s="14"/>
      <c r="O100" s="14"/>
      <c r="P100" s="14"/>
    </row>
    <row r="101" spans="1:16" s="14" customFormat="1" ht="16.5" customHeight="1">
      <c r="A101" s="14" t="str">
        <f t="shared" si="2"/>
        <v>I</v>
      </c>
      <c r="B101" s="1203">
        <v>1140213101</v>
      </c>
      <c r="C101" t="s">
        <v>63</v>
      </c>
      <c r="D101" s="1308">
        <v>4254000000</v>
      </c>
      <c r="E101" s="1309">
        <v>543207.60999999987</v>
      </c>
      <c r="F101" s="818">
        <f>+VLOOKUP(B101,Composición!$C$5:$D$1768,1,0)</f>
        <v>1140213101</v>
      </c>
      <c r="G101" s="818">
        <f>+VLOOKUP(B101,'CA FE'!$A:$A,1,0)</f>
        <v>1140213101</v>
      </c>
      <c r="H101" s="1310">
        <f>+VLOOKUP(B101,Composición!$C$4:$H$1742,5,0)-D101</f>
        <v>0</v>
      </c>
      <c r="I101" s="1311">
        <f>+VLOOKUP(B101,Composición!$C$4:$H$1742,6,0)-E101</f>
        <v>0</v>
      </c>
      <c r="J101" s="829"/>
    </row>
    <row r="102" spans="1:16" s="31" customFormat="1" ht="16.5" customHeight="1">
      <c r="A102" s="31" t="str">
        <f t="shared" si="2"/>
        <v>NI</v>
      </c>
      <c r="B102" s="1220">
        <v>1140214</v>
      </c>
      <c r="C102" s="1221" t="s">
        <v>67</v>
      </c>
      <c r="D102" s="1222">
        <v>15965171320</v>
      </c>
      <c r="E102" s="1223">
        <v>2038646.5700000003</v>
      </c>
      <c r="F102" s="1058">
        <f>+VLOOKUP(B102,Composición!$C$5:$D$1768,1,0)</f>
        <v>1140214</v>
      </c>
      <c r="G102" s="1058">
        <f>+VLOOKUP(B102,'CA FE'!$A:$A,1,0)</f>
        <v>1140214</v>
      </c>
      <c r="H102" s="1048">
        <f>+VLOOKUP(B102,Composición!$C$4:$H$1742,5,0)</f>
        <v>0</v>
      </c>
      <c r="I102" s="31">
        <f>+VLOOKUP(B102,Composición!$C$4:$H$1742,6,0)</f>
        <v>0</v>
      </c>
      <c r="J102" s="828"/>
      <c r="M102" s="14"/>
      <c r="N102" s="14"/>
      <c r="O102" s="14"/>
      <c r="P102" s="14"/>
    </row>
    <row r="103" spans="1:16" s="31" customFormat="1" ht="16.5" customHeight="1">
      <c r="A103" s="31" t="str">
        <f t="shared" si="2"/>
        <v>NI</v>
      </c>
      <c r="B103" s="1220">
        <v>11402141</v>
      </c>
      <c r="C103" s="1221" t="s">
        <v>56</v>
      </c>
      <c r="D103" s="1222">
        <v>15865171320</v>
      </c>
      <c r="E103" s="1223">
        <v>2025877.2299999988</v>
      </c>
      <c r="F103" s="1058">
        <f>+VLOOKUP(B103,Composición!$C$5:$D$1768,1,0)</f>
        <v>11402141</v>
      </c>
      <c r="G103" s="1058">
        <f>+VLOOKUP(B103,'CA FE'!$A:$A,1,0)</f>
        <v>11402141</v>
      </c>
      <c r="H103" s="1213">
        <f>+VLOOKUP(B103,Composición!$C$4:$H$1742,5,0)-D103</f>
        <v>-15865171320</v>
      </c>
      <c r="I103" s="1214">
        <f>+VLOOKUP(B103,Composición!$C$4:$H$1742,6,0)-E103</f>
        <v>-2025877.2299999988</v>
      </c>
      <c r="J103" s="828"/>
      <c r="M103" s="14"/>
      <c r="N103" s="14"/>
      <c r="O103" s="14"/>
      <c r="P103" s="14"/>
    </row>
    <row r="104" spans="1:16" s="14" customFormat="1" ht="16.5" customHeight="1">
      <c r="A104" s="14" t="str">
        <f t="shared" si="2"/>
        <v>I</v>
      </c>
      <c r="B104" s="1203">
        <v>1140214101</v>
      </c>
      <c r="C104" t="s">
        <v>68</v>
      </c>
      <c r="D104" s="1308">
        <v>8958000000</v>
      </c>
      <c r="E104" s="1309">
        <v>1143877.2300000004</v>
      </c>
      <c r="F104" s="818">
        <f>+VLOOKUP(B104,Composición!$C$5:$D$1768,1,0)</f>
        <v>1140214101</v>
      </c>
      <c r="G104" s="818">
        <f>+VLOOKUP(B104,'CA FE'!$A:$A,1,0)</f>
        <v>1140214101</v>
      </c>
      <c r="H104" s="14">
        <f>+VLOOKUP(B104,Composición!$C$4:$H$1742,5,0)</f>
        <v>8958000000</v>
      </c>
      <c r="I104" s="14">
        <f>+VLOOKUP(B104,Composición!$C$4:$H$1742,6,0)</f>
        <v>1143877.2300000004</v>
      </c>
      <c r="J104" s="829"/>
    </row>
    <row r="105" spans="1:16" s="14" customFormat="1" ht="16.5" customHeight="1">
      <c r="A105" s="14" t="str">
        <f t="shared" si="2"/>
        <v>I</v>
      </c>
      <c r="B105" s="1203">
        <v>1140214102</v>
      </c>
      <c r="C105" t="s">
        <v>694</v>
      </c>
      <c r="D105" s="1308">
        <v>6907171320</v>
      </c>
      <c r="E105" s="1309">
        <v>882000</v>
      </c>
      <c r="F105" s="818">
        <f>+VLOOKUP(B105,Composición!$C$5:$D$1768,1,0)</f>
        <v>1140214102</v>
      </c>
      <c r="G105" s="818">
        <f>+VLOOKUP(B105,'CA FE'!$A:$A,1,0)</f>
        <v>1140214102</v>
      </c>
      <c r="H105" s="1049">
        <f>+VLOOKUP(B105,Composición!$C$4:$H$1742,5,0)-D105</f>
        <v>0</v>
      </c>
      <c r="I105" s="1311">
        <f>+VLOOKUP(B105,Composición!$C$4:$H$1742,6,0)-E105</f>
        <v>0</v>
      </c>
    </row>
    <row r="106" spans="1:16" s="31" customFormat="1" ht="16.5" customHeight="1">
      <c r="A106" s="31" t="str">
        <f t="shared" si="2"/>
        <v>NI</v>
      </c>
      <c r="B106" s="1220">
        <v>11402143</v>
      </c>
      <c r="C106" s="1221" t="s">
        <v>58</v>
      </c>
      <c r="D106" s="1222">
        <v>100000000</v>
      </c>
      <c r="E106" s="1223">
        <v>12769.340000000317</v>
      </c>
      <c r="F106" s="1058">
        <f>+VLOOKUP(B106,Composición!$C$5:$D$1768,1,0)</f>
        <v>11402143</v>
      </c>
      <c r="G106" s="1058">
        <f>+VLOOKUP(B106,'CA FE'!$A:$A,1,0)</f>
        <v>11402143</v>
      </c>
      <c r="H106" s="1213">
        <f>+VLOOKUP(B106,Composición!$C$4:$H$1742,5,0)-D106</f>
        <v>-100000000</v>
      </c>
      <c r="I106" s="1214">
        <f>+VLOOKUP(B106,Composición!$C$4:$H$1742,6,0)-E106</f>
        <v>-12769.340000000317</v>
      </c>
      <c r="J106" s="828"/>
      <c r="M106" s="14"/>
      <c r="N106" s="14"/>
      <c r="O106" s="14"/>
      <c r="P106" s="14"/>
    </row>
    <row r="107" spans="1:16" s="14" customFormat="1" ht="16.5" customHeight="1">
      <c r="A107" s="14" t="str">
        <f t="shared" si="2"/>
        <v>I</v>
      </c>
      <c r="B107" s="1203">
        <v>1140214301</v>
      </c>
      <c r="C107" t="s">
        <v>69</v>
      </c>
      <c r="D107" s="1312">
        <v>100000000</v>
      </c>
      <c r="E107" s="1011">
        <v>12769.339999999967</v>
      </c>
      <c r="F107" s="818">
        <f>+VLOOKUP(B107,Composición!$C$5:$D$1768,1,0)</f>
        <v>1140214301</v>
      </c>
      <c r="G107" s="818">
        <f>+VLOOKUP(B107,'CA FE'!$A:$A,1,0)</f>
        <v>1140214301</v>
      </c>
      <c r="H107" s="14">
        <f>+VLOOKUP(B107,Composición!$C$4:$H$1742,5,0)</f>
        <v>100000000</v>
      </c>
      <c r="I107" s="14">
        <f>+VLOOKUP(B107,Composición!$C$4:$H$1742,6,0)</f>
        <v>12769.339999999967</v>
      </c>
      <c r="J107" s="829"/>
    </row>
    <row r="108" spans="1:16" s="31" customFormat="1" ht="16.5" customHeight="1">
      <c r="A108" s="31" t="str">
        <f t="shared" si="2"/>
        <v>NI</v>
      </c>
      <c r="B108" s="1220">
        <v>1140219</v>
      </c>
      <c r="C108" s="1221" t="s">
        <v>71</v>
      </c>
      <c r="D108" s="1224">
        <v>77093636</v>
      </c>
      <c r="E108" s="1225">
        <v>9844.3499999999767</v>
      </c>
      <c r="F108" s="1058">
        <f>+VLOOKUP(B108,Composición!$C$5:$D$1768,1,0)</f>
        <v>1140219</v>
      </c>
      <c r="G108" s="1058">
        <f>+VLOOKUP(B108,'CA FE'!$A:$A,1,0)</f>
        <v>1140219</v>
      </c>
      <c r="H108" s="1219">
        <f>+VLOOKUP(B108,Composición!$C$4:$H$1742,5,0)</f>
        <v>0</v>
      </c>
      <c r="I108" s="31">
        <f>+VLOOKUP(B108,Composición!$C$4:$H$1742,6,0)</f>
        <v>0</v>
      </c>
      <c r="J108" s="828"/>
      <c r="M108" s="14"/>
      <c r="N108" s="14"/>
      <c r="O108" s="14"/>
      <c r="P108" s="14"/>
    </row>
    <row r="109" spans="1:16" s="31" customFormat="1" ht="16.5" customHeight="1">
      <c r="A109" s="31" t="str">
        <f t="shared" si="2"/>
        <v>NI</v>
      </c>
      <c r="B109" s="1220">
        <v>11402192</v>
      </c>
      <c r="C109" s="1221" t="s">
        <v>80</v>
      </c>
      <c r="D109" s="1224">
        <v>77093636</v>
      </c>
      <c r="E109" s="1225">
        <v>9844.3499999999767</v>
      </c>
      <c r="F109" s="1058">
        <f>+VLOOKUP(B109,Composición!$C$5:$D$1768,1,0)</f>
        <v>11402192</v>
      </c>
      <c r="G109" s="1058">
        <f>+VLOOKUP(B109,'CA FE'!$A:$A,1,0)</f>
        <v>11402192</v>
      </c>
      <c r="H109" s="1219">
        <f>+VLOOKUP(B109,Composición!$C$4:$H$1742,5,0)-D109</f>
        <v>-77093636</v>
      </c>
      <c r="I109" s="1214">
        <f>+VLOOKUP(B109,Composición!$C$4:$H$1742,6,0)-E109</f>
        <v>-9844.3499999999767</v>
      </c>
      <c r="J109" s="828"/>
      <c r="M109" s="14"/>
      <c r="N109" s="14"/>
      <c r="O109" s="14"/>
      <c r="P109" s="14"/>
    </row>
    <row r="110" spans="1:16" s="14" customFormat="1" ht="16.5" customHeight="1">
      <c r="A110" s="14" t="str">
        <f t="shared" si="2"/>
        <v>I</v>
      </c>
      <c r="B110" s="1203">
        <v>1140219201</v>
      </c>
      <c r="C110" t="s">
        <v>81</v>
      </c>
      <c r="D110" s="1312">
        <v>8869921</v>
      </c>
      <c r="E110" s="1011">
        <v>1132.630000000001</v>
      </c>
      <c r="F110" s="818">
        <f>+VLOOKUP(B110,Composición!$C$5:$D$1768,1,0)</f>
        <v>1140219201</v>
      </c>
      <c r="G110" s="818">
        <f>+VLOOKUP(B110,'CA FE'!$A:$A,1,0)</f>
        <v>1140219201</v>
      </c>
      <c r="H110" s="1313">
        <f>+VLOOKUP(B110,Composición!$C$4:$H$1742,5,0)</f>
        <v>8869921</v>
      </c>
      <c r="I110" s="14">
        <f>+VLOOKUP(B110,Composición!$C$4:$H$1742,6,0)</f>
        <v>1132.630000000001</v>
      </c>
    </row>
    <row r="111" spans="1:16" s="14" customFormat="1" ht="16.5" customHeight="1">
      <c r="A111" s="14" t="str">
        <f t="shared" si="2"/>
        <v>I</v>
      </c>
      <c r="B111" s="1203">
        <v>1140219203</v>
      </c>
      <c r="C111" t="s">
        <v>574</v>
      </c>
      <c r="D111" s="1312">
        <v>5994593</v>
      </c>
      <c r="E111" s="1011">
        <v>765.47000000000116</v>
      </c>
      <c r="F111" s="818">
        <f>+VLOOKUP(B111,Composición!$C$5:$D$1768,1,0)</f>
        <v>1140219203</v>
      </c>
      <c r="G111" s="818">
        <f>+VLOOKUP(B111,'CA FE'!$A:$A,1,0)</f>
        <v>1140219203</v>
      </c>
      <c r="H111" s="1313">
        <f>+VLOOKUP(B111,Composición!$C$4:$H$1742,5,0)-D111</f>
        <v>0</v>
      </c>
      <c r="I111" s="1311">
        <f>+VLOOKUP(B111,Composición!$C$4:$H$1742,6,0)-E111</f>
        <v>0</v>
      </c>
    </row>
    <row r="112" spans="1:16" s="14" customFormat="1" ht="16.5" customHeight="1">
      <c r="A112" s="14" t="str">
        <f t="shared" si="2"/>
        <v>I</v>
      </c>
      <c r="B112" s="1203">
        <v>1140219205</v>
      </c>
      <c r="C112" t="s">
        <v>82</v>
      </c>
      <c r="D112" s="1312">
        <v>23942612</v>
      </c>
      <c r="E112" s="1011">
        <v>3057.3100000000268</v>
      </c>
      <c r="F112" s="818">
        <f>+VLOOKUP(B112,Composición!$C$5:$D$1768,1,0)</f>
        <v>1140219205</v>
      </c>
      <c r="G112" s="818">
        <f>+VLOOKUP(B112,'CA FE'!$A:$A,1,0)</f>
        <v>1140219205</v>
      </c>
      <c r="H112" s="1313">
        <f>+VLOOKUP(B112,Composición!$C$4:$H$1742,5,0)</f>
        <v>23942612</v>
      </c>
      <c r="I112" s="14">
        <f>+VLOOKUP(B112,Composición!$C$4:$H$1742,6,0)</f>
        <v>3057.3100000000268</v>
      </c>
    </row>
    <row r="113" spans="1:16" s="14" customFormat="1" ht="16.5" customHeight="1">
      <c r="A113" s="14" t="str">
        <f t="shared" si="2"/>
        <v>I</v>
      </c>
      <c r="B113" s="1203">
        <v>1140219206</v>
      </c>
      <c r="C113" t="s">
        <v>83</v>
      </c>
      <c r="D113" s="1312">
        <v>6093817</v>
      </c>
      <c r="E113" s="1011">
        <v>778.1399999999993</v>
      </c>
      <c r="F113" s="818">
        <f>+VLOOKUP(B113,Composición!$C$5:$D$1768,1,0)</f>
        <v>1140219206</v>
      </c>
      <c r="G113" s="818">
        <f>+VLOOKUP(B113,'CA FE'!$A:$A,1,0)</f>
        <v>1140219206</v>
      </c>
      <c r="H113" s="1313">
        <f>+VLOOKUP(B113,Composición!$C$4:$H$1742,5,0)</f>
        <v>6093817</v>
      </c>
      <c r="I113" s="14">
        <f>+VLOOKUP(B113,Composición!$C$4:$H$1742,6,0)</f>
        <v>778.1399999999993</v>
      </c>
    </row>
    <row r="114" spans="1:16" s="14" customFormat="1" ht="16.5" customHeight="1">
      <c r="A114" s="14" t="str">
        <f t="shared" si="2"/>
        <v>I</v>
      </c>
      <c r="B114" s="1203">
        <v>1140219207</v>
      </c>
      <c r="C114" t="s">
        <v>84</v>
      </c>
      <c r="D114" s="1312">
        <v>20946393</v>
      </c>
      <c r="E114" s="1011">
        <v>2674.7200000000012</v>
      </c>
      <c r="F114" s="818">
        <f>+VLOOKUP(B114,Composición!$C$5:$D$1768,1,0)</f>
        <v>1140219207</v>
      </c>
      <c r="G114" s="818">
        <f>+VLOOKUP(B114,'CA FE'!$A:$A,1,0)</f>
        <v>1140219207</v>
      </c>
      <c r="H114" s="1310">
        <f>+VLOOKUP(B114,Composición!$C$4:$H$1742,5,0)-D114</f>
        <v>0</v>
      </c>
      <c r="I114" s="1311">
        <f>+VLOOKUP(B114,Composición!$C$4:$H$1742,6,0)-E114</f>
        <v>0</v>
      </c>
      <c r="J114" s="829"/>
    </row>
    <row r="115" spans="1:16" s="14" customFormat="1" ht="16.5" customHeight="1">
      <c r="A115" s="14" t="str">
        <f t="shared" si="2"/>
        <v>I</v>
      </c>
      <c r="B115" s="1203">
        <v>1140219213</v>
      </c>
      <c r="C115" t="s">
        <v>86</v>
      </c>
      <c r="D115" s="1308">
        <v>140</v>
      </c>
      <c r="E115" s="1309">
        <v>1.999999999998181E-2</v>
      </c>
      <c r="F115" s="818">
        <f>+VLOOKUP(B115,Composición!$C$5:$D$1768,1,0)</f>
        <v>1140219213</v>
      </c>
      <c r="G115" s="818">
        <f>+VLOOKUP(B115,'CA FE'!$A:$A,1,0)</f>
        <v>1140219213</v>
      </c>
      <c r="H115" s="1049">
        <f>+VLOOKUP(B115,Composición!$C$4:$H$1742,5,0)</f>
        <v>140</v>
      </c>
      <c r="I115" s="14">
        <f>+VLOOKUP(B115,Composición!$C$4:$H$1742,6,0)</f>
        <v>1.999999999998181E-2</v>
      </c>
      <c r="J115" s="829"/>
    </row>
    <row r="116" spans="1:16" s="14" customFormat="1" ht="16.5" customHeight="1">
      <c r="A116" s="14" t="str">
        <f t="shared" si="2"/>
        <v>I</v>
      </c>
      <c r="B116" s="1203">
        <v>1140219229</v>
      </c>
      <c r="C116" t="s">
        <v>728</v>
      </c>
      <c r="D116" s="1308">
        <v>11246160</v>
      </c>
      <c r="E116" s="1309">
        <v>1436.0599999999977</v>
      </c>
      <c r="F116" s="818">
        <f>+VLOOKUP(B116,Composición!$C$5:$D$1768,1,0)</f>
        <v>1140219229</v>
      </c>
      <c r="G116" s="818">
        <f>+VLOOKUP(B116,'CA FE'!$A:$A,1,0)</f>
        <v>1140219229</v>
      </c>
      <c r="H116" s="1049">
        <f>+VLOOKUP(B116,Composición!$C$4:$H$1742,5,0)</f>
        <v>11246160</v>
      </c>
      <c r="I116" s="14">
        <f>+VLOOKUP(B116,Composición!$C$4:$H$1742,6,0)</f>
        <v>1436.0599999999977</v>
      </c>
    </row>
    <row r="117" spans="1:16" s="31" customFormat="1" ht="16.5" customHeight="1">
      <c r="A117" s="31" t="str">
        <f t="shared" si="2"/>
        <v>NI</v>
      </c>
      <c r="B117" s="1220">
        <v>1140224</v>
      </c>
      <c r="C117" s="1221" t="s">
        <v>87</v>
      </c>
      <c r="D117" s="1222">
        <v>486363755</v>
      </c>
      <c r="E117" s="1223">
        <v>62105.429999992259</v>
      </c>
      <c r="F117" s="1058">
        <f>+VLOOKUP(B117,Composición!$C$5:$D$1768,1,0)</f>
        <v>1140224</v>
      </c>
      <c r="G117" s="1058">
        <f>+VLOOKUP(B117,'CA FE'!$A:$A,1,0)</f>
        <v>1140224</v>
      </c>
      <c r="H117" s="1048">
        <f>+VLOOKUP(B117,Composición!$C$4:$H$1742,5,0)-D117</f>
        <v>-486363755</v>
      </c>
      <c r="I117" s="1214">
        <f>+VLOOKUP(B117,Composición!$C$4:$H$1742,6,0)-E117</f>
        <v>-62105.429999992259</v>
      </c>
      <c r="J117" s="828"/>
      <c r="M117" s="14"/>
      <c r="N117" s="14"/>
      <c r="O117" s="14"/>
      <c r="P117" s="14"/>
    </row>
    <row r="118" spans="1:16" s="31" customFormat="1" ht="16.5" customHeight="1">
      <c r="A118" s="31" t="str">
        <f t="shared" si="2"/>
        <v>NI</v>
      </c>
      <c r="B118" s="1220">
        <v>11402241</v>
      </c>
      <c r="C118" s="1221" t="s">
        <v>88</v>
      </c>
      <c r="D118" s="1222">
        <v>9950573980</v>
      </c>
      <c r="E118" s="1223">
        <v>1270622.3500000015</v>
      </c>
      <c r="F118" s="1058">
        <f>+VLOOKUP(B118,Composición!$C$5:$D$1768,1,0)</f>
        <v>11402241</v>
      </c>
      <c r="G118" s="1058">
        <f>+VLOOKUP(B118,'CA FE'!$A:$A,1,0)</f>
        <v>11402241</v>
      </c>
      <c r="H118" s="1048">
        <f>+VLOOKUP(B118,Composición!$C$4:$H$1742,5,0)-D118</f>
        <v>-9950573980</v>
      </c>
      <c r="I118" s="1214">
        <f>+VLOOKUP(B118,Composición!$C$4:$H$1742,6,0)-E118</f>
        <v>-1270622.3500000015</v>
      </c>
      <c r="J118" s="828"/>
      <c r="M118" s="14"/>
      <c r="N118" s="14"/>
      <c r="O118" s="14"/>
      <c r="P118" s="14"/>
    </row>
    <row r="119" spans="1:16" s="14" customFormat="1" ht="16.5" customHeight="1">
      <c r="A119" s="14" t="str">
        <f t="shared" si="2"/>
        <v>I</v>
      </c>
      <c r="B119" s="1203">
        <v>1140224101</v>
      </c>
      <c r="C119" t="s">
        <v>89</v>
      </c>
      <c r="D119" s="1308">
        <v>757489998</v>
      </c>
      <c r="E119" s="1309">
        <v>96726.449999999953</v>
      </c>
      <c r="F119" s="818">
        <f>+VLOOKUP(B119,Composición!$C$5:$D$1768,1,0)</f>
        <v>1140224101</v>
      </c>
      <c r="G119" s="818">
        <f>+VLOOKUP(B119,'CA FE'!$A:$A,1,0)</f>
        <v>1140224101</v>
      </c>
      <c r="H119" s="1049">
        <f>+VLOOKUP(B119,Composición!$C$4:$H$1742,5,0)-D119</f>
        <v>0</v>
      </c>
      <c r="I119" s="1311">
        <f>+VLOOKUP(B119,Composición!$C$4:$H$1742,6,0)-E119</f>
        <v>0</v>
      </c>
    </row>
    <row r="120" spans="1:16" s="14" customFormat="1" ht="16.5" customHeight="1">
      <c r="A120" s="14" t="str">
        <f t="shared" si="2"/>
        <v>I</v>
      </c>
      <c r="B120" s="1203">
        <v>1140224102</v>
      </c>
      <c r="C120" t="s">
        <v>730</v>
      </c>
      <c r="D120" s="1308">
        <v>348853109</v>
      </c>
      <c r="E120" s="1309">
        <v>44546.23000000001</v>
      </c>
      <c r="F120" s="818">
        <f>+VLOOKUP(B120,Composición!$C$5:$D$1768,1,0)</f>
        <v>1140224102</v>
      </c>
      <c r="G120" s="818">
        <f>+VLOOKUP(B120,'CA FE'!$A:$A,1,0)</f>
        <v>1140224102</v>
      </c>
      <c r="H120" s="1049">
        <f>+VLOOKUP(B120,Composición!$C$4:$H$1742,5,0)-D120</f>
        <v>0</v>
      </c>
      <c r="I120" s="1311">
        <f>+VLOOKUP(B120,Composición!$C$4:$H$1742,6,0)-E120</f>
        <v>0</v>
      </c>
      <c r="J120" s="829"/>
    </row>
    <row r="121" spans="1:16" s="14" customFormat="1" ht="16.5" customHeight="1">
      <c r="A121" s="14" t="str">
        <f t="shared" si="2"/>
        <v>I</v>
      </c>
      <c r="B121" s="1203">
        <v>1140224103</v>
      </c>
      <c r="C121" t="s">
        <v>575</v>
      </c>
      <c r="D121" s="1308">
        <v>794488714</v>
      </c>
      <c r="E121" s="1309">
        <v>101450.93999999996</v>
      </c>
      <c r="F121" s="818">
        <f>+VLOOKUP(B121,Composición!$C$5:$D$1768,1,0)</f>
        <v>1140224103</v>
      </c>
      <c r="G121" s="818">
        <f>+VLOOKUP(B121,'CA FE'!$A:$A,1,0)</f>
        <v>1140224103</v>
      </c>
      <c r="H121" s="1049">
        <f>+VLOOKUP(B121,Composición!$C$4:$H$1742,5,0)-D121</f>
        <v>0</v>
      </c>
      <c r="I121" s="1311">
        <f>+VLOOKUP(B121,Composición!$C$4:$H$1742,6,0)-E121</f>
        <v>0</v>
      </c>
      <c r="J121" s="829"/>
    </row>
    <row r="122" spans="1:16" s="14" customFormat="1" ht="16.5" customHeight="1">
      <c r="A122" s="14" t="str">
        <f t="shared" si="2"/>
        <v>I</v>
      </c>
      <c r="B122" s="1203">
        <v>1140224104</v>
      </c>
      <c r="C122" t="s">
        <v>529</v>
      </c>
      <c r="D122" s="1308">
        <v>338442154</v>
      </c>
      <c r="E122" s="1309">
        <v>43216.820000000036</v>
      </c>
      <c r="F122" s="818">
        <f>+VLOOKUP(B122,Composición!$C$5:$D$1768,1,0)</f>
        <v>1140224104</v>
      </c>
      <c r="G122" s="818">
        <f>+VLOOKUP(B122,'CA FE'!$A:$A,1,0)</f>
        <v>1140224104</v>
      </c>
      <c r="H122" s="1310">
        <f>+VLOOKUP(B122,Composición!$C$4:$H$1742,5,0)-D122</f>
        <v>0</v>
      </c>
      <c r="I122" s="1311">
        <f>+VLOOKUP(B122,Composición!$C$4:$H$1742,6,0)-E122</f>
        <v>0</v>
      </c>
    </row>
    <row r="123" spans="1:16" s="14" customFormat="1" ht="16.5" customHeight="1">
      <c r="A123" s="14" t="str">
        <f t="shared" si="2"/>
        <v>I</v>
      </c>
      <c r="B123" s="1203">
        <v>1140224105</v>
      </c>
      <c r="C123" t="s">
        <v>90</v>
      </c>
      <c r="D123" s="1308">
        <v>1236512765</v>
      </c>
      <c r="E123" s="1309">
        <v>157894.49000000022</v>
      </c>
      <c r="F123" s="818">
        <f>+VLOOKUP(B123,Composición!$C$5:$D$1768,1,0)</f>
        <v>1140224105</v>
      </c>
      <c r="G123" s="818">
        <f>+VLOOKUP(B123,'CA FE'!$A:$A,1,0)</f>
        <v>1140224105</v>
      </c>
      <c r="H123" s="1310">
        <f>+VLOOKUP(B123,Composición!$C$4:$H$1742,5,0)-D123</f>
        <v>0</v>
      </c>
      <c r="I123" s="1311">
        <f>+VLOOKUP(B123,Composición!$C$4:$H$1742,6,0)-E123</f>
        <v>0</v>
      </c>
      <c r="J123" s="829"/>
    </row>
    <row r="124" spans="1:16" s="14" customFormat="1" ht="16.5" customHeight="1">
      <c r="A124" s="14" t="str">
        <f t="shared" si="2"/>
        <v>I</v>
      </c>
      <c r="B124" s="1203">
        <v>1140224106</v>
      </c>
      <c r="C124" t="s">
        <v>91</v>
      </c>
      <c r="D124" s="1308">
        <v>232780758</v>
      </c>
      <c r="E124" s="1309">
        <v>29724.560000000518</v>
      </c>
      <c r="F124" s="818">
        <f>+VLOOKUP(B124,Composición!$C$5:$D$1768,1,0)</f>
        <v>1140224106</v>
      </c>
      <c r="G124" s="818">
        <f>+VLOOKUP(B124,'CA FE'!$A:$A,1,0)</f>
        <v>1140224106</v>
      </c>
      <c r="H124" s="1049">
        <f>+VLOOKUP(B124,Composición!$C$4:$H$1742,5,0)-D124</f>
        <v>0</v>
      </c>
      <c r="I124" s="1311">
        <f>+VLOOKUP(B124,Composición!$C$4:$H$1742,6,0)-E124</f>
        <v>0</v>
      </c>
    </row>
    <row r="125" spans="1:16" s="14" customFormat="1" ht="16.5" customHeight="1">
      <c r="A125" s="14" t="str">
        <f t="shared" si="2"/>
        <v>I</v>
      </c>
      <c r="B125" s="1203">
        <v>1140224107</v>
      </c>
      <c r="C125" t="s">
        <v>92</v>
      </c>
      <c r="D125" s="1308">
        <v>1245127389</v>
      </c>
      <c r="E125" s="1309">
        <v>158994.52000000002</v>
      </c>
      <c r="F125" s="818">
        <f>+VLOOKUP(B125,Composición!$C$5:$D$1768,1,0)</f>
        <v>1140224107</v>
      </c>
      <c r="G125" s="818">
        <f>+VLOOKUP(B125,'CA FE'!$A:$A,1,0)</f>
        <v>1140224107</v>
      </c>
      <c r="H125" s="1049">
        <f>+VLOOKUP(B125,Composición!$C$4:$H$1742,5,0)-D125</f>
        <v>0</v>
      </c>
      <c r="I125" s="1311">
        <f>+VLOOKUP(B125,Composición!$C$4:$H$1742,6,0)-E125</f>
        <v>0</v>
      </c>
      <c r="J125" s="829"/>
    </row>
    <row r="126" spans="1:16" s="14" customFormat="1" ht="16.5" customHeight="1">
      <c r="A126" s="14" t="str">
        <f t="shared" si="2"/>
        <v>I</v>
      </c>
      <c r="B126" s="1203">
        <v>1140224113</v>
      </c>
      <c r="C126" t="s">
        <v>94</v>
      </c>
      <c r="D126" s="1308">
        <v>3514635424</v>
      </c>
      <c r="E126" s="1309">
        <v>448795.65000000014</v>
      </c>
      <c r="F126" s="818">
        <f>+VLOOKUP(B126,Composición!$C$5:$D$1768,1,0)</f>
        <v>1140224113</v>
      </c>
      <c r="G126" s="818">
        <f>+VLOOKUP(B126,'CA FE'!$A:$A,1,0)</f>
        <v>1140224113</v>
      </c>
      <c r="H126" s="1049">
        <f>+VLOOKUP(B126,Composición!$C$4:$H$1742,5,0)-D126</f>
        <v>0</v>
      </c>
      <c r="I126" s="1311">
        <f>+VLOOKUP(B126,Composición!$C$4:$H$1742,6,0)-E126</f>
        <v>0</v>
      </c>
      <c r="J126" s="829"/>
    </row>
    <row r="127" spans="1:16" s="14" customFormat="1" ht="16.5" customHeight="1">
      <c r="A127" s="14" t="str">
        <f t="shared" si="2"/>
        <v>I</v>
      </c>
      <c r="B127" s="1203">
        <v>1140224114</v>
      </c>
      <c r="C127" t="s">
        <v>730</v>
      </c>
      <c r="D127" s="1308">
        <v>914728601</v>
      </c>
      <c r="E127" s="1309">
        <v>116804.78000000003</v>
      </c>
      <c r="F127" s="818">
        <f>+VLOOKUP(B127,Composición!$C$5:$D$1768,1,0)</f>
        <v>1140224114</v>
      </c>
      <c r="G127" s="818">
        <f>+VLOOKUP(B127,'CA FE'!$A:$A,1,0)</f>
        <v>1140224114</v>
      </c>
      <c r="H127" s="1049">
        <f>+VLOOKUP(B127,Composición!$C$4:$H$1742,5,0)-D127</f>
        <v>0</v>
      </c>
      <c r="I127" s="1311">
        <f>+VLOOKUP(B127,Composición!$C$4:$H$1742,6,0)-E127</f>
        <v>0</v>
      </c>
    </row>
    <row r="128" spans="1:16" s="14" customFormat="1" ht="16.5" customHeight="1">
      <c r="A128" s="14" t="str">
        <f t="shared" si="2"/>
        <v>I</v>
      </c>
      <c r="B128" s="1203">
        <v>1140224117</v>
      </c>
      <c r="C128" t="s">
        <v>95</v>
      </c>
      <c r="D128" s="1308">
        <v>5700000</v>
      </c>
      <c r="E128" s="1309">
        <v>727.84999999999127</v>
      </c>
      <c r="F128" s="818">
        <f>+VLOOKUP(B128,Composición!$C$5:$D$1768,1,0)</f>
        <v>1140224117</v>
      </c>
      <c r="G128" s="818">
        <f>+VLOOKUP(B128,'CA FE'!$A:$A,1,0)</f>
        <v>1140224117</v>
      </c>
      <c r="H128" s="1049">
        <f>+VLOOKUP(B128,Composición!$C$4:$H$1742,5,0)-D128</f>
        <v>0</v>
      </c>
      <c r="I128" s="1311">
        <f>+VLOOKUP(B128,Composición!$C$4:$H$1742,6,0)-E128</f>
        <v>0</v>
      </c>
    </row>
    <row r="129" spans="1:16" s="14" customFormat="1" ht="16.5" customHeight="1">
      <c r="A129" s="14" t="str">
        <f t="shared" si="2"/>
        <v>I</v>
      </c>
      <c r="B129" s="1203">
        <v>1140224129</v>
      </c>
      <c r="C129" t="s">
        <v>530</v>
      </c>
      <c r="D129" s="1308">
        <v>561815068</v>
      </c>
      <c r="E129" s="1309">
        <v>71740.05999999959</v>
      </c>
      <c r="F129" s="818">
        <f>+VLOOKUP(B129,Composición!$C$5:$D$1768,1,0)</f>
        <v>1140224129</v>
      </c>
      <c r="G129" s="818">
        <f>+VLOOKUP(B129,'CA FE'!$A:$A,1,0)</f>
        <v>1140224129</v>
      </c>
      <c r="H129" s="1049">
        <f>+VLOOKUP(B129,Composición!$C$4:$H$1742,5,0)-D129</f>
        <v>0</v>
      </c>
      <c r="I129" s="1311">
        <f>+VLOOKUP(B129,Composición!$C$4:$H$1742,6,0)-E129</f>
        <v>0</v>
      </c>
    </row>
    <row r="130" spans="1:16" s="31" customFormat="1" ht="16.5" customHeight="1">
      <c r="A130" s="31" t="str">
        <f t="shared" si="2"/>
        <v>NI</v>
      </c>
      <c r="B130" s="1220">
        <v>11402242</v>
      </c>
      <c r="C130" s="1221" t="s">
        <v>97</v>
      </c>
      <c r="D130" s="1222">
        <v>-9464210225</v>
      </c>
      <c r="E130" s="1223">
        <v>-1208516.9200000018</v>
      </c>
      <c r="F130" s="1058">
        <f>+VLOOKUP(B130,Composición!$C$5:$D$1768,1,0)</f>
        <v>11402242</v>
      </c>
      <c r="G130" s="1058">
        <f>+VLOOKUP(B130,'CA FE'!$A:$A,1,0)</f>
        <v>11402242</v>
      </c>
      <c r="H130" s="1048">
        <f>+VLOOKUP(B130,Composición!$C$4:$H$1742,5,0)-D130</f>
        <v>9464210225</v>
      </c>
      <c r="I130" s="1214">
        <f>+VLOOKUP(B130,Composición!$C$4:$H$1742,6,0)-E130</f>
        <v>1208516.9200000018</v>
      </c>
      <c r="M130" s="14"/>
      <c r="N130" s="14"/>
      <c r="O130" s="14"/>
      <c r="P130" s="14"/>
    </row>
    <row r="131" spans="1:16" s="14" customFormat="1" ht="16.5" customHeight="1">
      <c r="A131" s="14" t="str">
        <f t="shared" si="2"/>
        <v>I</v>
      </c>
      <c r="B131" s="1203">
        <v>1140224201</v>
      </c>
      <c r="C131" t="s">
        <v>98</v>
      </c>
      <c r="D131" s="1308">
        <v>-719525582</v>
      </c>
      <c r="E131" s="1309">
        <v>-91878.649999999907</v>
      </c>
      <c r="F131" s="818">
        <f>+VLOOKUP(B131,Composición!$C$5:$D$1768,1,0)</f>
        <v>1140224201</v>
      </c>
      <c r="G131" s="818">
        <f>+VLOOKUP(B131,'CA FE'!$A:$A,1,0)</f>
        <v>1140224201</v>
      </c>
      <c r="H131" s="1049">
        <f>+VLOOKUP(B131,Composición!$C$4:$H$1742,5,0)-D131</f>
        <v>0</v>
      </c>
      <c r="I131" s="1311">
        <f>+VLOOKUP(B131,Composición!$C$4:$H$1742,6,0)-E131</f>
        <v>0</v>
      </c>
      <c r="J131" s="829"/>
    </row>
    <row r="132" spans="1:16" s="14" customFormat="1" ht="16.5" customHeight="1">
      <c r="A132" s="14" t="str">
        <f t="shared" si="2"/>
        <v>I</v>
      </c>
      <c r="B132" s="1203">
        <v>1140224202</v>
      </c>
      <c r="C132" t="s">
        <v>742</v>
      </c>
      <c r="D132" s="1308">
        <v>-345283464</v>
      </c>
      <c r="E132" s="1309">
        <v>-44090.41</v>
      </c>
      <c r="F132" s="818">
        <f>+VLOOKUP(B132,Composición!$C$5:$D$1768,1,0)</f>
        <v>1140224202</v>
      </c>
      <c r="G132" s="818">
        <f>+VLOOKUP(B132,'CA FE'!$A:$A,1,0)</f>
        <v>1140224202</v>
      </c>
      <c r="H132" s="1049">
        <f>+VLOOKUP(B132,Composición!$C$4:$H$1742,5,0)-D132</f>
        <v>0</v>
      </c>
      <c r="I132" s="1311">
        <f>+VLOOKUP(B132,Composición!$C$4:$H$1742,6,0)-E132</f>
        <v>0</v>
      </c>
    </row>
    <row r="133" spans="1:16" s="14" customFormat="1" ht="16.5" customHeight="1">
      <c r="A133" s="14" t="str">
        <f t="shared" si="2"/>
        <v>I</v>
      </c>
      <c r="B133" s="1203">
        <v>1140224203</v>
      </c>
      <c r="C133" t="s">
        <v>576</v>
      </c>
      <c r="D133" s="1308">
        <v>-786766932</v>
      </c>
      <c r="E133" s="1309">
        <v>-100464.91999999993</v>
      </c>
      <c r="F133" s="818">
        <f>+VLOOKUP(B133,Composición!$C$5:$D$1768,1,0)</f>
        <v>1140224203</v>
      </c>
      <c r="G133" s="818">
        <f>+VLOOKUP(B133,'CA FE'!$A:$A,1,0)</f>
        <v>1140224203</v>
      </c>
      <c r="H133" s="1310">
        <f>+VLOOKUP(B133,Composición!$C$4:$H$1742,5,0)-D133</f>
        <v>0</v>
      </c>
      <c r="I133" s="1311">
        <f>+VLOOKUP(B133,Composición!$C$4:$H$1742,6,0)-E133</f>
        <v>0</v>
      </c>
    </row>
    <row r="134" spans="1:16" s="14" customFormat="1" ht="16.5" customHeight="1">
      <c r="A134" s="14" t="str">
        <f t="shared" si="2"/>
        <v>I</v>
      </c>
      <c r="B134" s="1203">
        <v>1140224204</v>
      </c>
      <c r="C134" t="s">
        <v>531</v>
      </c>
      <c r="D134" s="1308">
        <v>-328966486</v>
      </c>
      <c r="E134" s="1309">
        <v>-42006.84</v>
      </c>
      <c r="F134" s="818">
        <f>+VLOOKUP(B134,Composición!$C$5:$D$1768,1,0)</f>
        <v>1140224204</v>
      </c>
      <c r="G134" s="818">
        <f>+VLOOKUP(B134,'CA FE'!$A:$A,1,0)</f>
        <v>1140224204</v>
      </c>
      <c r="H134" s="1049">
        <f>+VLOOKUP(B134,Composición!$C$4:$H$1742,5,0)-D134</f>
        <v>0</v>
      </c>
      <c r="I134" s="1311">
        <f>+VLOOKUP(B134,Composición!$C$4:$H$1742,6,0)-E134</f>
        <v>0</v>
      </c>
    </row>
    <row r="135" spans="1:16" s="14" customFormat="1" ht="16.5" customHeight="1">
      <c r="A135" s="14" t="str">
        <f t="shared" si="2"/>
        <v>I</v>
      </c>
      <c r="B135" s="1203">
        <v>1140224205</v>
      </c>
      <c r="C135" t="s">
        <v>99</v>
      </c>
      <c r="D135" s="1308">
        <v>-1095621644</v>
      </c>
      <c r="E135" s="1309">
        <v>-139903.61999999918</v>
      </c>
      <c r="F135" s="818">
        <f>+VLOOKUP(B135,Composición!$C$5:$D$1768,1,0)</f>
        <v>1140224205</v>
      </c>
      <c r="G135" s="818">
        <f>+VLOOKUP(B135,'CA FE'!$A:$A,1,0)</f>
        <v>1140224205</v>
      </c>
      <c r="H135" s="1049">
        <f>+VLOOKUP(B135,Composición!$C$4:$H$1742,5,0)-D135</f>
        <v>0</v>
      </c>
      <c r="I135" s="1311">
        <f>+VLOOKUP(B135,Composición!$C$4:$H$1742,6,0)-E135</f>
        <v>0</v>
      </c>
    </row>
    <row r="136" spans="1:16" s="14" customFormat="1" ht="16.5" customHeight="1">
      <c r="A136" s="14" t="str">
        <f t="shared" si="2"/>
        <v>I</v>
      </c>
      <c r="B136" s="1203">
        <v>1140224206</v>
      </c>
      <c r="C136" t="s">
        <v>100</v>
      </c>
      <c r="D136" s="1308">
        <v>-214001866</v>
      </c>
      <c r="E136" s="1309">
        <v>-27326.61999999918</v>
      </c>
      <c r="F136" s="818">
        <f>+VLOOKUP(B136,Composición!$C$5:$D$1768,1,0)</f>
        <v>1140224206</v>
      </c>
      <c r="G136" s="818">
        <f>+VLOOKUP(B136,'CA FE'!$A:$A,1,0)</f>
        <v>1140224206</v>
      </c>
      <c r="H136" s="1049">
        <f>+VLOOKUP(B136,Composición!$C$4:$H$1742,5,0)-D136</f>
        <v>0</v>
      </c>
      <c r="I136" s="1311">
        <f>+VLOOKUP(B136,Composición!$C$4:$H$1742,6,0)-E136</f>
        <v>0</v>
      </c>
    </row>
    <row r="137" spans="1:16" s="14" customFormat="1" ht="16.5" customHeight="1">
      <c r="A137" s="14" t="str">
        <f t="shared" si="2"/>
        <v>I</v>
      </c>
      <c r="B137" s="1203">
        <v>1140224207</v>
      </c>
      <c r="C137" t="s">
        <v>101</v>
      </c>
      <c r="D137" s="1308">
        <v>-1231608756</v>
      </c>
      <c r="E137" s="1309">
        <v>-157268.28000000003</v>
      </c>
      <c r="F137" s="818">
        <f>+VLOOKUP(B137,Composición!$C$5:$D$1768,1,0)</f>
        <v>1140224207</v>
      </c>
      <c r="G137" s="818">
        <f>+VLOOKUP(B137,'CA FE'!$A:$A,1,0)</f>
        <v>1140224207</v>
      </c>
      <c r="H137" s="1049">
        <f>+VLOOKUP(B137,Composición!$C$4:$H$1742,5,0)-D137</f>
        <v>0</v>
      </c>
      <c r="I137" s="1311">
        <f>+VLOOKUP(B137,Composición!$C$4:$H$1742,6,0)-E137</f>
        <v>0</v>
      </c>
      <c r="J137" s="829"/>
    </row>
    <row r="138" spans="1:16" s="14" customFormat="1" ht="16.5" customHeight="1">
      <c r="A138" s="14" t="str">
        <f t="shared" si="2"/>
        <v>I</v>
      </c>
      <c r="B138" s="1203">
        <v>1140224213</v>
      </c>
      <c r="C138" t="s">
        <v>103</v>
      </c>
      <c r="D138" s="1308">
        <v>-3429569562</v>
      </c>
      <c r="E138" s="1309">
        <v>-437933.29999999981</v>
      </c>
      <c r="F138" s="818">
        <f>+VLOOKUP(B138,Composición!$C$5:$D$1768,1,0)</f>
        <v>1140224213</v>
      </c>
      <c r="G138" s="818">
        <f>+VLOOKUP(B138,'CA FE'!$A:$A,1,0)</f>
        <v>1140224213</v>
      </c>
      <c r="H138" s="1049">
        <f>+VLOOKUP(B138,Composición!$C$4:$H$1742,5,0)-D138</f>
        <v>0</v>
      </c>
      <c r="I138" s="1311">
        <f>+VLOOKUP(B138,Composición!$C$4:$H$1742,6,0)-E138</f>
        <v>0</v>
      </c>
      <c r="J138" s="829"/>
    </row>
    <row r="139" spans="1:16" s="14" customFormat="1" ht="16.5" customHeight="1">
      <c r="A139" s="14" t="str">
        <f t="shared" si="2"/>
        <v>I</v>
      </c>
      <c r="B139" s="1203">
        <v>1140224214</v>
      </c>
      <c r="C139" t="s">
        <v>747</v>
      </c>
      <c r="D139" s="1308">
        <v>-901530657</v>
      </c>
      <c r="E139" s="1309">
        <v>-115119.49000000005</v>
      </c>
      <c r="F139" s="818">
        <f>+VLOOKUP(B139,Composición!$C$5:$D$1768,1,0)</f>
        <v>1140224214</v>
      </c>
      <c r="G139" s="818">
        <f>+VLOOKUP(B139,'CA FE'!$A:$A,1,0)</f>
        <v>1140224214</v>
      </c>
      <c r="H139" s="1049">
        <f>+VLOOKUP(B139,Composición!$C$4:$H$1742,5,0)-D139</f>
        <v>0</v>
      </c>
      <c r="I139" s="1311">
        <f>+VLOOKUP(B139,Composición!$C$4:$H$1742,6,0)-E139</f>
        <v>0</v>
      </c>
      <c r="J139" s="829"/>
    </row>
    <row r="140" spans="1:16" s="14" customFormat="1" ht="16.5" customHeight="1">
      <c r="A140" s="14" t="str">
        <f t="shared" si="2"/>
        <v>I</v>
      </c>
      <c r="B140" s="1203">
        <v>1140224217</v>
      </c>
      <c r="C140" t="s">
        <v>104</v>
      </c>
      <c r="D140" s="1308">
        <v>-156164</v>
      </c>
      <c r="E140" s="1309">
        <v>-19.940000000002328</v>
      </c>
      <c r="F140" s="818">
        <f>+VLOOKUP(B140,Composición!$C$5:$D$1768,1,0)</f>
        <v>1140224217</v>
      </c>
      <c r="G140" s="818">
        <f>+VLOOKUP(B140,'CA FE'!$A:$A,1,0)</f>
        <v>1140224217</v>
      </c>
      <c r="H140" s="1049">
        <f>+VLOOKUP(B140,Composición!$C$4:$H$1742,5,0)-D140</f>
        <v>0</v>
      </c>
      <c r="I140" s="1311">
        <f>+VLOOKUP(B140,Composición!$C$4:$H$1742,6,0)-E140</f>
        <v>0</v>
      </c>
    </row>
    <row r="141" spans="1:16" s="14" customFormat="1" ht="16.5" customHeight="1">
      <c r="A141" s="14" t="str">
        <f t="shared" si="2"/>
        <v>I</v>
      </c>
      <c r="B141" s="1203">
        <v>1140224229</v>
      </c>
      <c r="C141" t="s">
        <v>532</v>
      </c>
      <c r="D141" s="1308">
        <v>-411179112</v>
      </c>
      <c r="E141" s="1309">
        <v>-52504.849999999627</v>
      </c>
      <c r="F141" s="818">
        <f>+VLOOKUP(B141,Composición!$C$5:$D$1768,1,0)</f>
        <v>1140224229</v>
      </c>
      <c r="G141" s="818">
        <f>+VLOOKUP(B141,'CA FE'!$A:$A,1,0)</f>
        <v>1140224229</v>
      </c>
      <c r="H141" s="1049">
        <f>+VLOOKUP(B141,Composición!$C$4:$H$1742,5,0)-D141</f>
        <v>0</v>
      </c>
      <c r="I141" s="1311">
        <f>+VLOOKUP(B141,Composición!$C$4:$H$1742,6,0)-E141</f>
        <v>0</v>
      </c>
    </row>
    <row r="142" spans="1:16" s="31" customFormat="1" ht="16.5" customHeight="1">
      <c r="A142" s="31" t="str">
        <f t="shared" si="2"/>
        <v>NI</v>
      </c>
      <c r="B142" s="1220">
        <v>1140225</v>
      </c>
      <c r="C142" s="1221" t="s">
        <v>106</v>
      </c>
      <c r="D142" s="1222">
        <v>-693820112</v>
      </c>
      <c r="E142" s="1223">
        <v>-88596.23000000001</v>
      </c>
      <c r="F142" s="1058">
        <f>+VLOOKUP(B142,Composición!$C$5:$D$1768,1,0)</f>
        <v>1140225</v>
      </c>
      <c r="G142" s="1058">
        <f>+VLOOKUP(B142,'CA FE'!$A:$A,1,0)</f>
        <v>1140225</v>
      </c>
      <c r="H142" s="1048">
        <f>+VLOOKUP(B142,Composición!$C$4:$H$1742,5,0)-D142</f>
        <v>693820112</v>
      </c>
      <c r="I142" s="1214">
        <f>+VLOOKUP(B142,Composición!$C$4:$H$1742,6,0)-E142</f>
        <v>88596.23000000001</v>
      </c>
      <c r="M142" s="14"/>
      <c r="N142" s="14"/>
      <c r="O142" s="14"/>
      <c r="P142" s="14"/>
    </row>
    <row r="143" spans="1:16" s="31" customFormat="1" ht="16.5" customHeight="1">
      <c r="A143" s="31" t="str">
        <f t="shared" ref="A143:A206" si="3">IF(LEN(B143)&gt;8,"I","NI")</f>
        <v>NI</v>
      </c>
      <c r="B143" s="1220">
        <v>11402252</v>
      </c>
      <c r="C143" s="1221" t="s">
        <v>108</v>
      </c>
      <c r="D143" s="1222">
        <v>-693820112</v>
      </c>
      <c r="E143" s="1223">
        <v>-88596.23</v>
      </c>
      <c r="F143" s="1058">
        <f>+VLOOKUP(B143,Composición!$C$5:$D$1768,1,0)</f>
        <v>11402252</v>
      </c>
      <c r="G143" s="1058">
        <f>+VLOOKUP(B143,'CA FE'!$A:$A,1,0)</f>
        <v>11402252</v>
      </c>
      <c r="H143" s="1213">
        <f>+VLOOKUP(B143,Composición!$C$4:$H$1742,5,0)-D143</f>
        <v>693820112</v>
      </c>
      <c r="I143" s="1214">
        <f>+VLOOKUP(B143,Composición!$C$4:$H$1742,6,0)-E143</f>
        <v>88596.23</v>
      </c>
      <c r="M143" s="14"/>
      <c r="N143" s="14"/>
      <c r="O143" s="14"/>
      <c r="P143" s="14"/>
    </row>
    <row r="144" spans="1:16" s="14" customFormat="1" ht="16.5" customHeight="1">
      <c r="A144" s="14" t="str">
        <f t="shared" si="3"/>
        <v>I</v>
      </c>
      <c r="B144" s="1203">
        <v>1140225202</v>
      </c>
      <c r="C144" t="s">
        <v>109</v>
      </c>
      <c r="D144" s="1308">
        <v>-693820112</v>
      </c>
      <c r="E144" s="1309">
        <v>-88596.23</v>
      </c>
      <c r="F144" s="818">
        <f>+VLOOKUP(B144,Composición!$C$5:$D$1768,1,0)</f>
        <v>1140225202</v>
      </c>
      <c r="G144" s="818">
        <f>+VLOOKUP(B144,'CA FE'!$A:$A,1,0)</f>
        <v>1140225202</v>
      </c>
      <c r="H144" s="1310">
        <f>+VLOOKUP(B144,Composición!$C$4:$H$1742,5,0)-D144</f>
        <v>0</v>
      </c>
      <c r="I144" s="1311">
        <f>+VLOOKUP(B144,Composición!$C$4:$H$1742,6,0)-E144</f>
        <v>0</v>
      </c>
    </row>
    <row r="145" spans="1:16" s="31" customFormat="1" ht="16.5" customHeight="1">
      <c r="A145" s="31" t="str">
        <f t="shared" si="3"/>
        <v>NI</v>
      </c>
      <c r="B145" s="1220">
        <v>11403</v>
      </c>
      <c r="C145" s="1221" t="s">
        <v>110</v>
      </c>
      <c r="D145" s="1222">
        <v>13944163362</v>
      </c>
      <c r="E145" s="1223">
        <v>1780577.25</v>
      </c>
      <c r="F145" s="1058">
        <f>+VLOOKUP(B145,Composición!$C$5:$D$1768,1,0)</f>
        <v>11403</v>
      </c>
      <c r="G145" s="1058">
        <f>+VLOOKUP(B145,'CA FE'!$A:$A,1,0)</f>
        <v>11403</v>
      </c>
      <c r="H145" s="1048">
        <f>+VLOOKUP(B145,Composición!$C$4:$H$1742,5,0)-D145</f>
        <v>-13944163362</v>
      </c>
      <c r="I145" s="1214">
        <f>+VLOOKUP(B145,Composición!$C$4:$H$1742,6,0)-E145</f>
        <v>-1780577.25</v>
      </c>
      <c r="M145" s="14"/>
      <c r="N145" s="14"/>
      <c r="O145" s="14"/>
      <c r="P145" s="14"/>
    </row>
    <row r="146" spans="1:16" s="31" customFormat="1" ht="16.5" customHeight="1">
      <c r="A146" s="31" t="str">
        <f t="shared" si="3"/>
        <v>NI</v>
      </c>
      <c r="B146" s="1220">
        <v>114031</v>
      </c>
      <c r="C146" s="1221" t="s">
        <v>111</v>
      </c>
      <c r="D146" s="1222">
        <v>13944163362</v>
      </c>
      <c r="E146" s="1223">
        <v>1780577.25</v>
      </c>
      <c r="F146" s="1058">
        <f>+VLOOKUP(B146,Composición!$C$5:$D$1768,1,0)</f>
        <v>114031</v>
      </c>
      <c r="G146" s="1058">
        <f>+VLOOKUP(B146,'CA FE'!$A:$A,1,0)</f>
        <v>114031</v>
      </c>
      <c r="H146" s="31">
        <f>+VLOOKUP(B146,Composición!$C$4:$H$1742,5,0)</f>
        <v>0</v>
      </c>
      <c r="I146" s="31">
        <f>+VLOOKUP(B146,Composición!$C$4:$H$1742,6,0)</f>
        <v>0</v>
      </c>
      <c r="J146" s="828"/>
      <c r="M146" s="14"/>
      <c r="N146" s="14"/>
      <c r="O146" s="14"/>
      <c r="P146" s="14"/>
    </row>
    <row r="147" spans="1:16" s="31" customFormat="1" ht="16.5" customHeight="1">
      <c r="A147" s="31" t="str">
        <f t="shared" si="3"/>
        <v>NI</v>
      </c>
      <c r="B147" s="1220">
        <v>1140311</v>
      </c>
      <c r="C147" s="1221" t="s">
        <v>112</v>
      </c>
      <c r="D147" s="1222">
        <v>13944163362</v>
      </c>
      <c r="E147" s="1223">
        <v>1780577.25</v>
      </c>
      <c r="F147" s="1058">
        <f>+VLOOKUP(B147,Composición!$C$5:$D$1768,1,0)</f>
        <v>1140311</v>
      </c>
      <c r="G147" s="1058">
        <f>+VLOOKUP(B147,'CA FE'!$A:$A,1,0)</f>
        <v>1140311</v>
      </c>
      <c r="H147" s="1213">
        <f>+VLOOKUP(B147,Composición!$C$4:$H$1742,5,0)-D147</f>
        <v>-13944163362</v>
      </c>
      <c r="I147" s="1214">
        <f>+VLOOKUP(B147,Composición!$C$4:$H$1742,6,0)-E147</f>
        <v>-1780577.25</v>
      </c>
      <c r="J147" s="828"/>
      <c r="M147" s="14"/>
      <c r="N147" s="14"/>
      <c r="O147" s="14"/>
      <c r="P147" s="14"/>
    </row>
    <row r="148" spans="1:16" s="31" customFormat="1" ht="16.5" customHeight="1">
      <c r="A148" s="31" t="str">
        <f t="shared" si="3"/>
        <v>NI</v>
      </c>
      <c r="B148" s="1220">
        <v>11403111</v>
      </c>
      <c r="C148" s="1221" t="s">
        <v>113</v>
      </c>
      <c r="D148" s="1222">
        <v>13731444380</v>
      </c>
      <c r="E148" s="1223">
        <v>1753414.4399999992</v>
      </c>
      <c r="F148" s="1058">
        <f>+VLOOKUP(B148,Composición!$C$5:$D$1768,1,0)</f>
        <v>11403111</v>
      </c>
      <c r="G148" s="1058">
        <f>+VLOOKUP(B148,'CA FE'!$A:$A,1,0)</f>
        <v>11403111</v>
      </c>
      <c r="H148" s="1213">
        <f>+VLOOKUP(B148,Composición!$C$4:$H$1742,5,0)-D148</f>
        <v>-13731444380</v>
      </c>
      <c r="I148" s="1214">
        <f>+VLOOKUP(B148,Composición!$C$4:$H$1742,6,0)-E148</f>
        <v>-1753414.4399999992</v>
      </c>
      <c r="J148" s="828"/>
      <c r="M148" s="14"/>
      <c r="N148" s="14"/>
      <c r="O148" s="14"/>
      <c r="P148" s="14"/>
    </row>
    <row r="149" spans="1:16" s="14" customFormat="1" ht="16.5" customHeight="1">
      <c r="A149" s="14" t="str">
        <f t="shared" si="3"/>
        <v>I</v>
      </c>
      <c r="B149" s="1203">
        <v>1140311101</v>
      </c>
      <c r="C149" t="s">
        <v>795</v>
      </c>
      <c r="D149" s="1308">
        <v>2449000000</v>
      </c>
      <c r="E149" s="1309">
        <v>312721.0700000003</v>
      </c>
      <c r="F149" s="818">
        <f>+VLOOKUP(B149,Composición!$C$5:$D$1768,1,0)</f>
        <v>1140311101</v>
      </c>
      <c r="G149" s="818">
        <f>+VLOOKUP(B149,'CA FE'!$A:$A,1,0)</f>
        <v>1140311101</v>
      </c>
      <c r="H149" s="1310">
        <f>+VLOOKUP(B149,Composición!$C$4:$H$1742,5,0)-D149</f>
        <v>0</v>
      </c>
      <c r="I149" s="1311">
        <f>+VLOOKUP(B149,Composición!$C$4:$H$1742,6,0)-E149</f>
        <v>0</v>
      </c>
    </row>
    <row r="150" spans="1:16" s="14" customFormat="1" ht="16.5" customHeight="1">
      <c r="A150" s="14" t="str">
        <f t="shared" si="3"/>
        <v>I</v>
      </c>
      <c r="B150" s="1203">
        <v>1140311102</v>
      </c>
      <c r="C150" t="s">
        <v>114</v>
      </c>
      <c r="D150" s="1308">
        <v>10282444380</v>
      </c>
      <c r="E150" s="1309">
        <v>1313000</v>
      </c>
      <c r="F150" s="818">
        <f>+VLOOKUP(B150,Composición!$C$5:$D$1768,1,0)</f>
        <v>1140311102</v>
      </c>
      <c r="G150" s="818">
        <f>+VLOOKUP(B150,'CA FE'!$A:$A,1,0)</f>
        <v>1140311102</v>
      </c>
      <c r="H150" s="1049">
        <f>+VLOOKUP(B150,Composición!$C$4:$H$1742,5,0)</f>
        <v>10282444380</v>
      </c>
      <c r="I150" s="14">
        <f>+VLOOKUP(B150,Composición!$C$4:$H$1742,6,0)</f>
        <v>1313000</v>
      </c>
    </row>
    <row r="151" spans="1:16" s="14" customFormat="1" ht="16.5" customHeight="1">
      <c r="A151" s="14" t="str">
        <f t="shared" si="3"/>
        <v>I</v>
      </c>
      <c r="B151" s="1203">
        <v>1140311103</v>
      </c>
      <c r="C151" t="s">
        <v>2702</v>
      </c>
      <c r="D151" s="1308">
        <v>1000000000</v>
      </c>
      <c r="E151" s="1309">
        <v>127693.37000000011</v>
      </c>
      <c r="F151" s="818">
        <f>+VLOOKUP(B151,Composición!$C$5:$D$1768,1,0)</f>
        <v>1140311103</v>
      </c>
      <c r="G151" s="818">
        <f>+VLOOKUP(B151,'CA FE'!$A:$A,1,0)</f>
        <v>1140311103</v>
      </c>
      <c r="H151" s="1049">
        <f>+VLOOKUP(B151,Composición!$C$4:$H$1742,5,0)-D151</f>
        <v>0</v>
      </c>
      <c r="I151" s="1311">
        <f>+VLOOKUP(B151,Composición!$C$4:$H$1742,6,0)-E151</f>
        <v>0</v>
      </c>
    </row>
    <row r="152" spans="1:16" s="31" customFormat="1" ht="16.5" customHeight="1">
      <c r="A152" s="31" t="str">
        <f t="shared" si="3"/>
        <v>NI</v>
      </c>
      <c r="B152" s="1220">
        <v>11403112</v>
      </c>
      <c r="C152" s="1221" t="s">
        <v>115</v>
      </c>
      <c r="D152" s="1222">
        <v>3581068246</v>
      </c>
      <c r="E152" s="1223">
        <v>457278.68000000063</v>
      </c>
      <c r="F152" s="1058">
        <f>+VLOOKUP(B152,Composición!$C$5:$D$1768,1,0)</f>
        <v>11403112</v>
      </c>
      <c r="G152" s="1058">
        <f>+VLOOKUP(B152,'CA FE'!$A:$A,1,0)</f>
        <v>11403112</v>
      </c>
      <c r="H152" s="1048">
        <f>+VLOOKUP(B152,Composición!$C$4:$H$1742,5,0)</f>
        <v>0</v>
      </c>
      <c r="I152" s="31">
        <f>+VLOOKUP(B152,Composición!$C$4:$H$1742,6,0)</f>
        <v>0</v>
      </c>
      <c r="M152" s="14"/>
      <c r="N152" s="14"/>
      <c r="O152" s="14"/>
      <c r="P152" s="14"/>
    </row>
    <row r="153" spans="1:16" s="14" customFormat="1" ht="16.5" customHeight="1">
      <c r="A153" s="14" t="str">
        <f t="shared" si="3"/>
        <v>I</v>
      </c>
      <c r="B153" s="1203">
        <v>1140311201</v>
      </c>
      <c r="C153" t="s">
        <v>2703</v>
      </c>
      <c r="D153" s="1308">
        <v>905101766</v>
      </c>
      <c r="E153" s="1309">
        <v>115575.5</v>
      </c>
      <c r="F153" s="818">
        <f>+VLOOKUP(B153,Composición!$C$5:$D$1768,1,0)</f>
        <v>1140311201</v>
      </c>
      <c r="G153" s="818">
        <f>+VLOOKUP(B153,'CA FE'!$A:$A,1,0)</f>
        <v>1140311201</v>
      </c>
      <c r="H153" s="1310">
        <f>+VLOOKUP(B153,Composición!$C$4:$H$1742,5,0)-D153</f>
        <v>0</v>
      </c>
      <c r="I153" s="1311">
        <f>+VLOOKUP(B153,Composición!$C$4:$H$1742,6,0)-E153</f>
        <v>0</v>
      </c>
      <c r="J153" s="829"/>
    </row>
    <row r="154" spans="1:16" s="14" customFormat="1" ht="16.5" customHeight="1">
      <c r="A154" s="14" t="str">
        <f t="shared" si="3"/>
        <v>I</v>
      </c>
      <c r="B154" s="1203">
        <v>1140311202</v>
      </c>
      <c r="C154" t="s">
        <v>116</v>
      </c>
      <c r="D154" s="1308">
        <v>2469254151</v>
      </c>
      <c r="E154" s="1309">
        <v>315307.3899999999</v>
      </c>
      <c r="F154" s="818">
        <f>+VLOOKUP(B154,Composición!$C$5:$D$1768,1,0)</f>
        <v>1140311202</v>
      </c>
      <c r="G154" s="818">
        <f>+VLOOKUP(B154,'CA FE'!$A:$A,1,0)</f>
        <v>1140311202</v>
      </c>
      <c r="H154" s="1049">
        <f>+VLOOKUP(B154,Composición!$C$4:$H$1742,5,0)</f>
        <v>2469254151</v>
      </c>
      <c r="I154" s="14">
        <f>+VLOOKUP(B154,Composición!$C$4:$H$1742,6,0)</f>
        <v>315307.3899999999</v>
      </c>
      <c r="J154" s="829"/>
    </row>
    <row r="155" spans="1:16" s="14" customFormat="1" ht="16.5" customHeight="1">
      <c r="A155" s="14" t="str">
        <f t="shared" si="3"/>
        <v>I</v>
      </c>
      <c r="B155" s="1203">
        <v>1140311203</v>
      </c>
      <c r="C155" t="s">
        <v>2704</v>
      </c>
      <c r="D155" s="1308">
        <v>206712329</v>
      </c>
      <c r="E155" s="1309">
        <v>26395.789999999804</v>
      </c>
      <c r="F155" s="818">
        <f>+VLOOKUP(B155,Composición!$C$5:$D$1768,1,0)</f>
        <v>1140311203</v>
      </c>
      <c r="G155" s="818">
        <f>+VLOOKUP(B155,'CA FE'!$A:$A,1,0)</f>
        <v>1140311203</v>
      </c>
      <c r="H155" s="1049">
        <f>+VLOOKUP(B155,Composición!$C$4:$H$1742,5,0)-D155</f>
        <v>0</v>
      </c>
      <c r="I155" s="1311">
        <f>+VLOOKUP(B155,Composición!$C$4:$H$1742,6,0)-E155</f>
        <v>0</v>
      </c>
    </row>
    <row r="156" spans="1:16" s="31" customFormat="1" ht="16.5" customHeight="1">
      <c r="A156" s="31" t="str">
        <f t="shared" si="3"/>
        <v>NI</v>
      </c>
      <c r="B156" s="1220">
        <v>11403113</v>
      </c>
      <c r="C156" s="1221" t="s">
        <v>117</v>
      </c>
      <c r="D156" s="1222">
        <v>-3398716630</v>
      </c>
      <c r="E156" s="1223">
        <v>-433993.58000000007</v>
      </c>
      <c r="F156" s="1058">
        <f>+VLOOKUP(B156,Composición!$C$5:$D$1768,1,0)</f>
        <v>11403113</v>
      </c>
      <c r="G156" s="1058">
        <f>+VLOOKUP(B156,'CA FE'!$A:$A,1,0)</f>
        <v>11403113</v>
      </c>
      <c r="H156" s="1048">
        <f>+VLOOKUP(B156,Composición!$C$4:$H$1742,5,0)</f>
        <v>0</v>
      </c>
      <c r="I156" s="31">
        <f>+VLOOKUP(B156,Composición!$C$4:$H$1742,6,0)</f>
        <v>0</v>
      </c>
      <c r="M156" s="14"/>
      <c r="N156" s="14"/>
      <c r="O156" s="14"/>
      <c r="P156" s="14"/>
    </row>
    <row r="157" spans="1:16" s="14" customFormat="1" ht="16.5" customHeight="1">
      <c r="A157" s="14" t="str">
        <f t="shared" si="3"/>
        <v>I</v>
      </c>
      <c r="B157" s="1203">
        <v>1140311301</v>
      </c>
      <c r="C157" t="s">
        <v>2705</v>
      </c>
      <c r="D157" s="1308">
        <v>-824405077</v>
      </c>
      <c r="E157" s="1309">
        <v>-105271.05999999982</v>
      </c>
      <c r="F157" s="818">
        <f>+VLOOKUP(B157,Composición!$C$5:$D$1768,1,0)</f>
        <v>1140311301</v>
      </c>
      <c r="G157" s="818">
        <f>+VLOOKUP(B157,'CA FE'!$A:$A,1,0)</f>
        <v>1140311301</v>
      </c>
      <c r="H157" s="1310">
        <f>+VLOOKUP(B157,Composición!$C$4:$H$1742,5,0)-D157</f>
        <v>0</v>
      </c>
      <c r="I157" s="1311">
        <f>+VLOOKUP(B157,Composición!$C$4:$H$1742,6,0)-E157</f>
        <v>0</v>
      </c>
    </row>
    <row r="158" spans="1:16" s="14" customFormat="1" ht="16.5" customHeight="1">
      <c r="A158" s="14" t="str">
        <f t="shared" si="3"/>
        <v>I</v>
      </c>
      <c r="B158" s="1203">
        <v>1140311302</v>
      </c>
      <c r="C158" t="s">
        <v>118</v>
      </c>
      <c r="D158" s="1308">
        <v>-2358763608</v>
      </c>
      <c r="E158" s="1309">
        <v>-301198.48</v>
      </c>
      <c r="F158" s="818">
        <f>+VLOOKUP(B158,Composición!$C$5:$D$1768,1,0)</f>
        <v>1140311302</v>
      </c>
      <c r="G158" s="818">
        <f>+VLOOKUP(B158,'CA FE'!$A:$A,1,0)</f>
        <v>1140311302</v>
      </c>
      <c r="H158" s="1049">
        <f>+VLOOKUP(B158,Composición!$C$4:$H$1742,5,0)</f>
        <v>-2358763608</v>
      </c>
      <c r="I158" s="14">
        <f>+VLOOKUP(B158,Composición!$C$4:$H$1742,6,0)</f>
        <v>-301198.48</v>
      </c>
    </row>
    <row r="159" spans="1:16" s="14" customFormat="1" ht="16.5" customHeight="1">
      <c r="A159" s="14" t="str">
        <f t="shared" si="3"/>
        <v>I</v>
      </c>
      <c r="B159" s="1203">
        <v>1140311303</v>
      </c>
      <c r="C159" t="s">
        <v>2706</v>
      </c>
      <c r="D159" s="1308">
        <v>-215547945</v>
      </c>
      <c r="E159" s="1309">
        <v>-27524.039999999804</v>
      </c>
      <c r="F159" s="818">
        <f>+VLOOKUP(B159,Composición!$C$5:$D$1768,1,0)</f>
        <v>1140311303</v>
      </c>
      <c r="G159" s="818">
        <f>+VLOOKUP(B159,'CA FE'!$A:$A,1,0)</f>
        <v>1140311303</v>
      </c>
      <c r="H159" s="1049">
        <f>+VLOOKUP(B159,Composición!$C$4:$H$1742,5,0)-D159</f>
        <v>0</v>
      </c>
      <c r="I159" s="1311">
        <f>+VLOOKUP(B159,Composición!$C$4:$H$1742,6,0)-E159</f>
        <v>0</v>
      </c>
    </row>
    <row r="160" spans="1:16" s="31" customFormat="1" ht="16.5" customHeight="1">
      <c r="A160" s="31" t="str">
        <f t="shared" si="3"/>
        <v>NI</v>
      </c>
      <c r="B160" s="1220">
        <v>11403114</v>
      </c>
      <c r="C160" s="1221" t="s">
        <v>119</v>
      </c>
      <c r="D160" s="1222">
        <v>30367366</v>
      </c>
      <c r="E160" s="1223">
        <v>3877.7099999999919</v>
      </c>
      <c r="F160" s="1058">
        <f>+VLOOKUP(B160,Composición!$C$5:$D$1768,1,0)</f>
        <v>11403114</v>
      </c>
      <c r="G160" s="1058">
        <f>+VLOOKUP(B160,'CA FE'!$A:$A,1,0)</f>
        <v>11403114</v>
      </c>
      <c r="H160" s="1048">
        <f>+VLOOKUP(B160,Composición!$C$4:$H$1742,5,0)</f>
        <v>0</v>
      </c>
      <c r="I160" s="31">
        <f>+VLOOKUP(B160,Composición!$C$4:$H$1742,6,0)</f>
        <v>0</v>
      </c>
      <c r="J160" s="828"/>
      <c r="M160" s="14"/>
      <c r="N160" s="14"/>
      <c r="O160" s="14"/>
      <c r="P160" s="14"/>
    </row>
    <row r="161" spans="1:16" s="14" customFormat="1" ht="16.5" customHeight="1">
      <c r="A161" s="14" t="str">
        <f t="shared" si="3"/>
        <v>I</v>
      </c>
      <c r="B161" s="1203">
        <v>1140311401</v>
      </c>
      <c r="C161" t="s">
        <v>2707</v>
      </c>
      <c r="D161" s="1308">
        <v>7157704</v>
      </c>
      <c r="E161" s="1309">
        <v>913.98999999999069</v>
      </c>
      <c r="F161" s="818">
        <f>+VLOOKUP(B161,Composición!$C$5:$D$1768,1,0)</f>
        <v>1140311401</v>
      </c>
      <c r="G161" s="818">
        <f>+VLOOKUP(B161,'CA FE'!$A:$A,1,0)</f>
        <v>1140311401</v>
      </c>
      <c r="H161" s="1310">
        <f>+VLOOKUP(B161,Composición!$C$4:$H$1742,5,0)-D161</f>
        <v>0</v>
      </c>
      <c r="I161" s="1311">
        <f>+VLOOKUP(B161,Composición!$C$4:$H$1742,6,0)-E161</f>
        <v>0</v>
      </c>
      <c r="J161" s="829"/>
    </row>
    <row r="162" spans="1:16" s="14" customFormat="1" ht="16.5" customHeight="1">
      <c r="A162" s="14" t="str">
        <f t="shared" si="3"/>
        <v>I</v>
      </c>
      <c r="B162" s="1203">
        <v>1140311402</v>
      </c>
      <c r="C162" t="s">
        <v>120</v>
      </c>
      <c r="D162" s="1308">
        <v>23209662</v>
      </c>
      <c r="E162" s="1309">
        <v>2963.7199999999993</v>
      </c>
      <c r="F162" s="818">
        <f>+VLOOKUP(B162,Composición!$C$5:$D$1768,1,0)</f>
        <v>1140311402</v>
      </c>
      <c r="G162" s="818">
        <f>+VLOOKUP(B162,'CA FE'!$A:$A,1,0)</f>
        <v>1140311402</v>
      </c>
      <c r="H162" s="1049">
        <f>+VLOOKUP(B162,Composición!$C$4:$H$1742,5,0)</f>
        <v>23209662</v>
      </c>
      <c r="I162" s="14">
        <f>+VLOOKUP(B162,Composición!$C$4:$H$1742,6,0)</f>
        <v>2963.7199999999993</v>
      </c>
    </row>
    <row r="163" spans="1:16" s="31" customFormat="1" ht="16.5" customHeight="1">
      <c r="A163" s="31" t="str">
        <f t="shared" si="3"/>
        <v>NI</v>
      </c>
      <c r="B163" s="1220">
        <v>115</v>
      </c>
      <c r="C163" s="1221" t="s">
        <v>126</v>
      </c>
      <c r="D163" s="1222">
        <v>38002750089</v>
      </c>
      <c r="E163" s="1223">
        <v>4852699.3199999984</v>
      </c>
      <c r="F163" s="1058">
        <f>+VLOOKUP(B163,Composición!$C$5:$D$1768,1,0)</f>
        <v>115</v>
      </c>
      <c r="G163" s="1058">
        <f>+VLOOKUP(B163,'CA FE'!$A:$A,1,0)</f>
        <v>115</v>
      </c>
      <c r="H163" s="1048">
        <f>+VLOOKUP(B163,Composición!$C$4:$H$1742,5,0)-D163</f>
        <v>-38002750089</v>
      </c>
      <c r="I163" s="1214">
        <f>+VLOOKUP(B163,Composición!$C$4:$H$1742,6,0)-E163</f>
        <v>-4852699.3199999984</v>
      </c>
      <c r="J163" s="828"/>
      <c r="M163" s="14"/>
      <c r="N163" s="14"/>
      <c r="O163" s="14"/>
      <c r="P163" s="14"/>
    </row>
    <row r="164" spans="1:16" s="31" customFormat="1" ht="16.5" customHeight="1">
      <c r="A164" s="31" t="str">
        <f t="shared" si="3"/>
        <v>NI</v>
      </c>
      <c r="B164" s="1220">
        <v>11502</v>
      </c>
      <c r="C164" s="1221" t="s">
        <v>127</v>
      </c>
      <c r="D164" s="1222">
        <v>38002750089</v>
      </c>
      <c r="E164" s="1223">
        <v>4852699.3199999984</v>
      </c>
      <c r="F164" s="1058">
        <f>+VLOOKUP(B164,Composición!$C$5:$D$1768,1,0)</f>
        <v>11502</v>
      </c>
      <c r="G164" s="1058">
        <f>+VLOOKUP(B164,'CA FE'!$A:$A,1,0)</f>
        <v>11502</v>
      </c>
      <c r="H164" s="1048">
        <f>+VLOOKUP(B164,Composición!$C$4:$H$1742,5,0)</f>
        <v>0</v>
      </c>
      <c r="I164" s="31">
        <f>+VLOOKUP(B164,Composición!$C$4:$H$1742,6,0)</f>
        <v>0</v>
      </c>
      <c r="M164" s="14"/>
      <c r="N164" s="14"/>
      <c r="O164" s="14"/>
      <c r="P164" s="14"/>
    </row>
    <row r="165" spans="1:16" s="31" customFormat="1" ht="16.5" customHeight="1">
      <c r="A165" s="31" t="str">
        <f t="shared" si="3"/>
        <v>NI</v>
      </c>
      <c r="B165" s="1220">
        <v>115021</v>
      </c>
      <c r="C165" s="1221" t="s">
        <v>128</v>
      </c>
      <c r="D165" s="1222">
        <v>38002750089</v>
      </c>
      <c r="E165" s="1223">
        <v>4852699.3199999984</v>
      </c>
      <c r="F165" s="1058">
        <f>+VLOOKUP(B165,Composición!$C$5:$D$1768,1,0)</f>
        <v>115021</v>
      </c>
      <c r="G165" s="1058">
        <f>+VLOOKUP(B165,'CA FE'!$A:$A,1,0)</f>
        <v>115021</v>
      </c>
      <c r="H165" s="31">
        <f>+VLOOKUP(B165,Composición!$C$4:$H$1742,5,0)</f>
        <v>0</v>
      </c>
      <c r="I165" s="31">
        <f>+VLOOKUP(B165,Composición!$C$4:$H$1742,6,0)</f>
        <v>0</v>
      </c>
      <c r="J165" s="828"/>
      <c r="M165" s="14"/>
      <c r="N165" s="14"/>
      <c r="O165" s="14"/>
      <c r="P165" s="14"/>
    </row>
    <row r="166" spans="1:16" s="31" customFormat="1" ht="16.5" customHeight="1">
      <c r="A166" s="31" t="str">
        <f t="shared" si="3"/>
        <v>NI</v>
      </c>
      <c r="B166" s="1220">
        <v>1150211</v>
      </c>
      <c r="C166" s="1221" t="s">
        <v>129</v>
      </c>
      <c r="D166" s="1224">
        <v>3301000000</v>
      </c>
      <c r="E166" s="1225">
        <v>421515.8200000003</v>
      </c>
      <c r="F166" s="1058">
        <f>+VLOOKUP(B166,Composición!$C$5:$D$1768,1,0)</f>
        <v>1150211</v>
      </c>
      <c r="G166" s="1058">
        <f>+VLOOKUP(B166,'CA FE'!$A:$A,1,0)</f>
        <v>1150211</v>
      </c>
      <c r="H166" s="1219">
        <f>+VLOOKUP(B166,Composición!$C$4:$H$1742,5,0)-D166</f>
        <v>-3301000000</v>
      </c>
      <c r="I166" s="1214">
        <f>+VLOOKUP(B166,Composición!$C$4:$H$1742,6,0)-E166</f>
        <v>-421515.8200000003</v>
      </c>
      <c r="J166" s="828"/>
      <c r="M166" s="14"/>
      <c r="N166" s="14"/>
      <c r="O166" s="14"/>
      <c r="P166" s="14"/>
    </row>
    <row r="167" spans="1:16" s="31" customFormat="1" ht="16.5" customHeight="1">
      <c r="A167" s="31" t="str">
        <f t="shared" si="3"/>
        <v>NI</v>
      </c>
      <c r="B167" s="1220">
        <v>11502111</v>
      </c>
      <c r="C167" s="1221" t="s">
        <v>130</v>
      </c>
      <c r="D167" s="1222">
        <v>2501000000</v>
      </c>
      <c r="E167" s="1223">
        <v>319361.12000000011</v>
      </c>
      <c r="F167" s="1058">
        <f>+VLOOKUP(B167,Composición!$C$5:$D$1768,1,0)</f>
        <v>11502111</v>
      </c>
      <c r="G167" s="1058">
        <f>+VLOOKUP(B167,'CA FE'!$A:$A,1,0)</f>
        <v>11502111</v>
      </c>
      <c r="H167" s="1213">
        <f>+VLOOKUP(B167,Composición!$C$4:$H$1742,5,0)-D167</f>
        <v>-2501000000</v>
      </c>
      <c r="I167" s="1214">
        <f>+VLOOKUP(B167,Composición!$C$4:$H$1742,6,0)-E167</f>
        <v>-319361.12000000011</v>
      </c>
      <c r="M167" s="14"/>
      <c r="N167" s="14"/>
      <c r="O167" s="14"/>
      <c r="P167" s="14"/>
    </row>
    <row r="168" spans="1:16" s="14" customFormat="1" ht="16.5" customHeight="1">
      <c r="A168" s="14" t="str">
        <f t="shared" si="3"/>
        <v>I</v>
      </c>
      <c r="B168" s="1203">
        <v>1150211101</v>
      </c>
      <c r="C168" t="s">
        <v>131</v>
      </c>
      <c r="D168" s="1308">
        <v>2501000000</v>
      </c>
      <c r="E168" s="1309">
        <v>319361.12000000011</v>
      </c>
      <c r="F168" s="818">
        <f>+VLOOKUP(B168,Composición!$C$5:$D$1768,1,0)</f>
        <v>1150211101</v>
      </c>
      <c r="G168" s="818">
        <f>+VLOOKUP(B168,'CA FE'!$A:$A,1,0)</f>
        <v>1150211101</v>
      </c>
      <c r="H168" s="14">
        <f>+VLOOKUP(B168,Composición!$C$4:$H$1742,5,0)</f>
        <v>2501000000</v>
      </c>
      <c r="I168" s="14">
        <f>+VLOOKUP(B168,Composición!$C$4:$H$1742,6,0)</f>
        <v>319361.12000000011</v>
      </c>
    </row>
    <row r="169" spans="1:16" s="31" customFormat="1" ht="16.5" customHeight="1">
      <c r="A169" s="31" t="str">
        <f t="shared" si="3"/>
        <v>NI</v>
      </c>
      <c r="B169" s="1220">
        <v>11502112</v>
      </c>
      <c r="C169" s="1221" t="s">
        <v>132</v>
      </c>
      <c r="D169" s="1222">
        <v>800000000</v>
      </c>
      <c r="E169" s="1223">
        <v>102154.69999999995</v>
      </c>
      <c r="F169" s="1058">
        <f>+VLOOKUP(B169,Composición!$C$5:$D$1768,1,0)</f>
        <v>11502112</v>
      </c>
      <c r="G169" s="1058">
        <f>+VLOOKUP(B169,'CA FE'!$A:$A,1,0)</f>
        <v>11502112</v>
      </c>
      <c r="H169" s="1048">
        <f>+VLOOKUP(B169,Composición!$C$4:$H$1742,5,0)-D169</f>
        <v>-800000000</v>
      </c>
      <c r="I169" s="1214">
        <f>+VLOOKUP(B169,Composición!$C$4:$H$1742,6,0)-E169</f>
        <v>-102154.69999999995</v>
      </c>
      <c r="J169" s="828"/>
      <c r="M169" s="14"/>
      <c r="N169" s="14"/>
      <c r="O169" s="14"/>
      <c r="P169" s="14"/>
    </row>
    <row r="170" spans="1:16" s="14" customFormat="1" ht="16.5" customHeight="1">
      <c r="A170" s="14" t="str">
        <f t="shared" si="3"/>
        <v>I</v>
      </c>
      <c r="B170" s="1203">
        <v>1150211201</v>
      </c>
      <c r="C170" t="s">
        <v>132</v>
      </c>
      <c r="D170" s="1308">
        <v>800000000</v>
      </c>
      <c r="E170" s="1309">
        <v>102154.69999999995</v>
      </c>
      <c r="F170" s="818">
        <f>+VLOOKUP(B170,Composición!$C$5:$D$1768,1,0)</f>
        <v>1150211201</v>
      </c>
      <c r="G170" s="818">
        <f>+VLOOKUP(B170,'CA FE'!$A:$A,1,0)</f>
        <v>1150211201</v>
      </c>
      <c r="H170" s="1049">
        <f>+VLOOKUP(B170,Composición!$C$4:$H$1742,5,0)</f>
        <v>800000000</v>
      </c>
      <c r="I170" s="14">
        <f>+VLOOKUP(B170,Composición!$C$4:$H$1742,6,0)</f>
        <v>102154.69999999995</v>
      </c>
    </row>
    <row r="171" spans="1:16" s="31" customFormat="1" ht="16.5" customHeight="1">
      <c r="A171" s="31" t="str">
        <f t="shared" si="3"/>
        <v>NI</v>
      </c>
      <c r="B171" s="1220">
        <v>1150212</v>
      </c>
      <c r="C171" s="1221" t="s">
        <v>133</v>
      </c>
      <c r="D171" s="1222">
        <v>30310000000</v>
      </c>
      <c r="E171" s="1223">
        <v>3870386.12</v>
      </c>
      <c r="F171" s="1058">
        <f>+VLOOKUP(B171,Composición!$C$5:$D$1768,1,0)</f>
        <v>1150212</v>
      </c>
      <c r="G171" s="1058">
        <f>+VLOOKUP(B171,'CA FE'!$A:$A,1,0)</f>
        <v>1150212</v>
      </c>
      <c r="H171" s="1213">
        <f>+VLOOKUP(B171,Composición!$C$4:$H$1742,5,0)-D171</f>
        <v>-30310000000</v>
      </c>
      <c r="I171" s="1214">
        <f>+VLOOKUP(B171,Composición!$C$4:$H$1742,6,0)-E171</f>
        <v>-3870386.12</v>
      </c>
      <c r="J171" s="828"/>
      <c r="M171" s="14"/>
      <c r="N171" s="14"/>
      <c r="O171" s="14"/>
      <c r="P171" s="14"/>
    </row>
    <row r="172" spans="1:16" s="31" customFormat="1" ht="16.5" customHeight="1">
      <c r="A172" s="31" t="str">
        <f t="shared" si="3"/>
        <v>NI</v>
      </c>
      <c r="B172" s="1220">
        <v>11502123</v>
      </c>
      <c r="C172" s="1221" t="s">
        <v>134</v>
      </c>
      <c r="D172" s="1222">
        <v>30310000000</v>
      </c>
      <c r="E172" s="1223">
        <v>3870386.1200000006</v>
      </c>
      <c r="F172" s="1058">
        <f>+VLOOKUP(B172,Composición!$C$5:$D$1768,1,0)</f>
        <v>11502123</v>
      </c>
      <c r="G172" s="1058">
        <f>+VLOOKUP(B172,'CA FE'!$A:$A,1,0)</f>
        <v>11502123</v>
      </c>
      <c r="H172" s="1048">
        <f>+VLOOKUP(B172,Composición!$C$4:$H$1742,5,0)-D172</f>
        <v>-30310000000</v>
      </c>
      <c r="I172" s="1214">
        <f>+VLOOKUP(B172,Composición!$C$4:$H$1742,6,0)-E172</f>
        <v>-3870386.1200000006</v>
      </c>
      <c r="M172" s="14"/>
      <c r="N172" s="14"/>
      <c r="O172" s="14"/>
      <c r="P172" s="14"/>
    </row>
    <row r="173" spans="1:16" s="14" customFormat="1" ht="16.5" customHeight="1">
      <c r="A173" s="14" t="str">
        <f t="shared" si="3"/>
        <v>I</v>
      </c>
      <c r="B173" s="1203">
        <v>1150212301</v>
      </c>
      <c r="C173" t="s">
        <v>135</v>
      </c>
      <c r="D173" s="1308">
        <v>30310000000</v>
      </c>
      <c r="E173" s="1309">
        <v>3870386.1200000006</v>
      </c>
      <c r="F173" s="818">
        <f>+VLOOKUP(B173,Composición!$C$5:$D$1768,1,0)</f>
        <v>1150212301</v>
      </c>
      <c r="G173" s="818">
        <f>+VLOOKUP(B173,'CA FE'!$A:$A,1,0)</f>
        <v>1150212301</v>
      </c>
      <c r="H173" s="1310">
        <f>+VLOOKUP(B173,Composición!$C$4:$H$1742,5,0)-D173</f>
        <v>0</v>
      </c>
      <c r="I173" s="1311">
        <f>+VLOOKUP(B173,Composición!$C$4:$H$1742,6,0)-E173</f>
        <v>0</v>
      </c>
    </row>
    <row r="174" spans="1:16" s="31" customFormat="1" ht="16.5" customHeight="1">
      <c r="A174" s="31" t="str">
        <f t="shared" si="3"/>
        <v>NI</v>
      </c>
      <c r="B174" s="1220">
        <v>1150213</v>
      </c>
      <c r="C174" s="1221" t="s">
        <v>136</v>
      </c>
      <c r="D174" s="1222">
        <v>1500000000</v>
      </c>
      <c r="E174" s="1223">
        <v>191540.06</v>
      </c>
      <c r="F174" s="1058">
        <f>+VLOOKUP(B174,Composición!$C$5:$D$1768,1,0)</f>
        <v>1150213</v>
      </c>
      <c r="G174" s="1058">
        <f>+VLOOKUP(B174,'CA FE'!$A:$A,1,0)</f>
        <v>1150213</v>
      </c>
      <c r="H174" s="1048">
        <f>+VLOOKUP(B174,Composición!$C$4:$H$1742,5,0)-D174</f>
        <v>-1500000000</v>
      </c>
      <c r="I174" s="1214">
        <f>+VLOOKUP(B174,Composición!$C$4:$H$1742,6,0)-E174</f>
        <v>-191540.06</v>
      </c>
      <c r="M174" s="14"/>
      <c r="N174" s="14"/>
      <c r="O174" s="14"/>
      <c r="P174" s="14"/>
    </row>
    <row r="175" spans="1:16" s="31" customFormat="1" ht="16.5" customHeight="1">
      <c r="A175" s="31" t="str">
        <f t="shared" si="3"/>
        <v>NI</v>
      </c>
      <c r="B175" s="1220">
        <v>11502131</v>
      </c>
      <c r="C175" s="1221" t="s">
        <v>137</v>
      </c>
      <c r="D175" s="1222">
        <v>1500000000</v>
      </c>
      <c r="E175" s="1223">
        <v>191540.06</v>
      </c>
      <c r="F175" s="1058">
        <f>+VLOOKUP(B175,Composición!$C$5:$D$1768,1,0)</f>
        <v>11502131</v>
      </c>
      <c r="G175" s="1058">
        <f>+VLOOKUP(B175,'CA FE'!$A:$A,1,0)</f>
        <v>11502131</v>
      </c>
      <c r="H175" s="31">
        <f>+VLOOKUP(B175,Composición!$C$4:$H$1742,5,0)</f>
        <v>0</v>
      </c>
      <c r="I175" s="31">
        <f>+VLOOKUP(B175,Composición!$C$4:$H$1742,6,0)</f>
        <v>0</v>
      </c>
      <c r="M175" s="14"/>
      <c r="N175" s="14"/>
      <c r="O175" s="14"/>
      <c r="P175" s="14"/>
    </row>
    <row r="176" spans="1:16" s="14" customFormat="1" ht="16.5" customHeight="1">
      <c r="A176" s="14" t="str">
        <f t="shared" si="3"/>
        <v>I</v>
      </c>
      <c r="B176" s="1203">
        <v>1150213101</v>
      </c>
      <c r="C176" t="s">
        <v>138</v>
      </c>
      <c r="D176" s="1308">
        <v>1500000000</v>
      </c>
      <c r="E176" s="1309">
        <v>191540.06</v>
      </c>
      <c r="F176" s="818">
        <f>+VLOOKUP(B176,Composición!$C$5:$D$1768,1,0)</f>
        <v>1150213101</v>
      </c>
      <c r="G176" s="818">
        <f>+VLOOKUP(B176,'CA FE'!$A:$A,1,0)</f>
        <v>1150213101</v>
      </c>
      <c r="H176" s="14">
        <f>+VLOOKUP(B176,Composición!$C$4:$H$1742,5,0)</f>
        <v>1500000000</v>
      </c>
      <c r="I176" s="14">
        <f>+VLOOKUP(B176,Composición!$C$4:$H$1742,6,0)</f>
        <v>191540.06</v>
      </c>
    </row>
    <row r="177" spans="1:16" s="31" customFormat="1" ht="16.5" customHeight="1">
      <c r="A177" s="31" t="str">
        <f t="shared" si="3"/>
        <v>NI</v>
      </c>
      <c r="B177" s="1220">
        <v>1150214</v>
      </c>
      <c r="C177" s="1221" t="s">
        <v>139</v>
      </c>
      <c r="D177" s="1222">
        <v>1355000000</v>
      </c>
      <c r="E177" s="1223">
        <v>173024.52000000002</v>
      </c>
      <c r="F177" s="1058">
        <f>+VLOOKUP(B177,Composición!$C$5:$D$1768,1,0)</f>
        <v>1150214</v>
      </c>
      <c r="G177" s="1058">
        <f>+VLOOKUP(B177,'CA FE'!$A:$A,1,0)</f>
        <v>1150214</v>
      </c>
      <c r="H177" s="1213">
        <f>+VLOOKUP(B177,Composición!$C$4:$H$1742,5,0)-D177</f>
        <v>-1355000000</v>
      </c>
      <c r="I177" s="1214">
        <f>+VLOOKUP(B177,Composición!$C$4:$H$1742,6,0)-E177</f>
        <v>-173024.52000000002</v>
      </c>
      <c r="M177" s="14"/>
      <c r="N177" s="14"/>
      <c r="O177" s="14"/>
      <c r="P177" s="14"/>
    </row>
    <row r="178" spans="1:16" s="31" customFormat="1" ht="16.5" customHeight="1">
      <c r="A178" s="31" t="str">
        <f t="shared" si="3"/>
        <v>NI</v>
      </c>
      <c r="B178" s="1220">
        <v>11502141</v>
      </c>
      <c r="C178" s="1221" t="s">
        <v>140</v>
      </c>
      <c r="D178" s="1222">
        <v>355000000</v>
      </c>
      <c r="E178" s="1223">
        <v>45331.150000000023</v>
      </c>
      <c r="F178" s="1058">
        <f>+VLOOKUP(B178,Composición!$C$5:$D$1768,1,0)</f>
        <v>11502141</v>
      </c>
      <c r="G178" s="1058">
        <f>+VLOOKUP(B178,'CA FE'!$A:$A,1,0)</f>
        <v>11502141</v>
      </c>
      <c r="H178" s="1213">
        <f>+VLOOKUP(B178,Composición!$C$4:$H$1742,5,0)-D178</f>
        <v>-355000000</v>
      </c>
      <c r="I178" s="1214">
        <f>+VLOOKUP(B178,Composición!$C$4:$H$1742,6,0)-E178</f>
        <v>-45331.150000000023</v>
      </c>
      <c r="M178" s="14"/>
      <c r="N178" s="14"/>
      <c r="O178" s="14"/>
      <c r="P178" s="14"/>
    </row>
    <row r="179" spans="1:16" s="14" customFormat="1" ht="16.5" customHeight="1">
      <c r="A179" s="14" t="str">
        <f t="shared" si="3"/>
        <v>I</v>
      </c>
      <c r="B179" s="1203">
        <v>1150214101</v>
      </c>
      <c r="C179" t="s">
        <v>141</v>
      </c>
      <c r="D179" s="1308">
        <v>355000000</v>
      </c>
      <c r="E179" s="1309">
        <v>45331.150000000023</v>
      </c>
      <c r="F179" s="818">
        <f>+VLOOKUP(B179,Composición!$C$5:$D$1768,1,0)</f>
        <v>1150214101</v>
      </c>
      <c r="G179" s="818">
        <f>+VLOOKUP(B179,'CA FE'!$A:$A,1,0)</f>
        <v>1150214101</v>
      </c>
      <c r="H179" s="1310">
        <f>+VLOOKUP(B179,Composición!$C$4:$H$1742,5,0)-D179</f>
        <v>0</v>
      </c>
      <c r="I179" s="1311">
        <f>+VLOOKUP(B179,Composición!$C$4:$H$1742,6,0)-E179</f>
        <v>0</v>
      </c>
    </row>
    <row r="180" spans="1:16" s="31" customFormat="1" ht="16.5" customHeight="1">
      <c r="A180" s="31" t="str">
        <f t="shared" si="3"/>
        <v>NI</v>
      </c>
      <c r="B180" s="1220">
        <v>11502142</v>
      </c>
      <c r="C180" s="1221" t="s">
        <v>2708</v>
      </c>
      <c r="D180" s="1222">
        <v>1000000000</v>
      </c>
      <c r="E180" s="1223">
        <v>127693.37000000001</v>
      </c>
      <c r="F180" s="1058">
        <f>+VLOOKUP(B180,Composición!$C$5:$D$1768,1,0)</f>
        <v>11502142</v>
      </c>
      <c r="G180" s="1058" t="e">
        <f>+VLOOKUP(B180,'CA FE'!$A:$A,1,0)</f>
        <v>#N/A</v>
      </c>
      <c r="H180" s="1048">
        <f>+VLOOKUP(B180,Composición!$C$4:$H$1742,5,0)-D180</f>
        <v>-1000000000</v>
      </c>
      <c r="I180" s="1214">
        <f>+VLOOKUP(B180,Composición!$C$4:$H$1742,6,0)-E180</f>
        <v>-127693.37000000001</v>
      </c>
      <c r="J180" s="828"/>
      <c r="M180" s="14"/>
      <c r="N180" s="14"/>
      <c r="O180" s="14"/>
      <c r="P180" s="14"/>
    </row>
    <row r="181" spans="1:16" s="14" customFormat="1" ht="16.5" customHeight="1">
      <c r="A181" s="14" t="str">
        <f t="shared" si="3"/>
        <v>I</v>
      </c>
      <c r="B181" s="1203">
        <v>1150214201</v>
      </c>
      <c r="C181" t="s">
        <v>2708</v>
      </c>
      <c r="D181" s="1308">
        <v>1000000000</v>
      </c>
      <c r="E181" s="1309">
        <v>127693.37000000001</v>
      </c>
      <c r="F181" s="818">
        <f>+VLOOKUP(B181,Composición!$C$5:$D$1768,1,0)</f>
        <v>1150214201</v>
      </c>
      <c r="G181" s="818">
        <f>+VLOOKUP(B181,'CA FE'!$A:$A,1,0)</f>
        <v>1150214201</v>
      </c>
      <c r="H181" s="1310">
        <f>+VLOOKUP(B181,Composición!$C$4:$H$1742,5,0)-D181</f>
        <v>0</v>
      </c>
      <c r="I181" s="1311">
        <f>+VLOOKUP(B181,Composición!$C$4:$H$1742,6,0)-E181</f>
        <v>0</v>
      </c>
      <c r="J181" s="829"/>
    </row>
    <row r="182" spans="1:16" s="31" customFormat="1" ht="16.5" customHeight="1">
      <c r="A182" s="31" t="str">
        <f t="shared" si="3"/>
        <v>NI</v>
      </c>
      <c r="B182" s="1220">
        <v>1150219</v>
      </c>
      <c r="C182" s="1221" t="s">
        <v>71</v>
      </c>
      <c r="D182" s="1222">
        <v>438513486</v>
      </c>
      <c r="E182" s="1223">
        <v>55995.260000000009</v>
      </c>
      <c r="F182" s="1058">
        <f>+VLOOKUP(B182,Composición!$C$5:$D$1768,1,0)</f>
        <v>1150219</v>
      </c>
      <c r="G182" s="1058">
        <f>+VLOOKUP(B182,'CA FE'!$A:$A,1,0)</f>
        <v>1150219</v>
      </c>
      <c r="H182" s="1048">
        <f>+VLOOKUP(B182,Composición!$C$4:$H$1742,5,0)-D182</f>
        <v>-438513486</v>
      </c>
      <c r="I182" s="1214">
        <f>+VLOOKUP(B182,Composición!$C$4:$H$1742,6,0)-E182</f>
        <v>-55995.260000000009</v>
      </c>
      <c r="M182" s="14"/>
      <c r="N182" s="14"/>
      <c r="O182" s="14"/>
      <c r="P182" s="14"/>
    </row>
    <row r="183" spans="1:16" s="31" customFormat="1" ht="16.5" customHeight="1">
      <c r="A183" s="31" t="str">
        <f t="shared" si="3"/>
        <v>NI</v>
      </c>
      <c r="B183" s="1220">
        <v>11502192</v>
      </c>
      <c r="C183" s="1221" t="s">
        <v>147</v>
      </c>
      <c r="D183" s="1222">
        <v>438513486</v>
      </c>
      <c r="E183" s="1223">
        <v>55995.259999999995</v>
      </c>
      <c r="F183" s="1058">
        <f>+VLOOKUP(B183,Composición!$C$5:$D$1768,1,0)</f>
        <v>11502192</v>
      </c>
      <c r="G183" s="1058">
        <f>+VLOOKUP(B183,'CA FE'!$A:$A,1,0)</f>
        <v>11502192</v>
      </c>
      <c r="H183" s="1213">
        <f>+VLOOKUP(B183,Composición!$C$4:$H$1742,5,0)-D183</f>
        <v>-438513486</v>
      </c>
      <c r="I183" s="1214">
        <f>+VLOOKUP(B183,Composición!$C$4:$H$1742,6,0)-E183</f>
        <v>-55995.259999999995</v>
      </c>
      <c r="J183" s="828"/>
      <c r="M183" s="14"/>
      <c r="N183" s="14"/>
      <c r="O183" s="14"/>
      <c r="P183" s="14"/>
    </row>
    <row r="184" spans="1:16" s="14" customFormat="1" ht="16.5" customHeight="1">
      <c r="A184" s="14" t="str">
        <f t="shared" si="3"/>
        <v>I</v>
      </c>
      <c r="B184" s="1203">
        <v>1150219205</v>
      </c>
      <c r="C184" t="s">
        <v>148</v>
      </c>
      <c r="D184" s="1308">
        <v>274548887</v>
      </c>
      <c r="E184" s="1309">
        <v>35058.07</v>
      </c>
      <c r="F184" s="818">
        <f>+VLOOKUP(B184,Composición!$C$5:$D$1768,1,0)</f>
        <v>1150219205</v>
      </c>
      <c r="G184" s="818">
        <f>+VLOOKUP(B184,'CA FE'!$A:$A,1,0)</f>
        <v>1150219205</v>
      </c>
      <c r="H184" s="1310">
        <f>+VLOOKUP(B184,Composición!$C$4:$H$1742,5,0)-D184</f>
        <v>0</v>
      </c>
      <c r="I184" s="1311">
        <f>+VLOOKUP(B184,Composición!$C$4:$H$1742,6,0)-E184</f>
        <v>0</v>
      </c>
    </row>
    <row r="185" spans="1:16" s="14" customFormat="1" ht="16.5" customHeight="1">
      <c r="A185" s="14" t="str">
        <f t="shared" si="3"/>
        <v>I</v>
      </c>
      <c r="B185" s="1203">
        <v>1150219229</v>
      </c>
      <c r="C185" t="s">
        <v>150</v>
      </c>
      <c r="D185" s="1308">
        <v>163964599</v>
      </c>
      <c r="E185" s="1309">
        <v>20937.190000000002</v>
      </c>
      <c r="F185" s="818">
        <f>+VLOOKUP(B185,Composición!$C$5:$D$1768,1,0)</f>
        <v>1150219229</v>
      </c>
      <c r="G185" s="818">
        <f>+VLOOKUP(B185,'CA FE'!$A:$A,1,0)</f>
        <v>1150219229</v>
      </c>
      <c r="H185" s="1049">
        <f>+VLOOKUP(B185,Composición!$C$4:$H$1742,5,0)-D185</f>
        <v>0</v>
      </c>
      <c r="I185" s="1311">
        <f>+VLOOKUP(B185,Composición!$C$4:$H$1742,6,0)-E185</f>
        <v>0</v>
      </c>
    </row>
    <row r="186" spans="1:16" s="31" customFormat="1" ht="16.5" customHeight="1">
      <c r="A186" s="31" t="str">
        <f t="shared" si="3"/>
        <v>NI</v>
      </c>
      <c r="B186" s="1220">
        <v>1150224</v>
      </c>
      <c r="C186" s="1221" t="s">
        <v>151</v>
      </c>
      <c r="D186" s="1222">
        <v>1098236603</v>
      </c>
      <c r="E186" s="1223">
        <v>140237.54000000004</v>
      </c>
      <c r="F186" s="1058">
        <f>+VLOOKUP(B186,Composición!$C$5:$D$1768,1,0)</f>
        <v>1150224</v>
      </c>
      <c r="G186" s="1058">
        <f>+VLOOKUP(B186,'CA FE'!$A:$A,1,0)</f>
        <v>1150224</v>
      </c>
      <c r="H186" s="1213">
        <f>+VLOOKUP(B186,Composición!$C$4:$H$1742,5,0)-D186</f>
        <v>-1098236603</v>
      </c>
      <c r="I186" s="1214">
        <f>+VLOOKUP(B186,Composición!$C$4:$H$1742,6,0)-E186</f>
        <v>-140237.54000000004</v>
      </c>
      <c r="M186" s="14"/>
      <c r="N186" s="14"/>
      <c r="O186" s="14"/>
      <c r="P186" s="14"/>
    </row>
    <row r="187" spans="1:16" s="31" customFormat="1" ht="16.5" customHeight="1">
      <c r="A187" s="31" t="str">
        <f t="shared" si="3"/>
        <v>NI</v>
      </c>
      <c r="B187" s="1220">
        <v>11502241</v>
      </c>
      <c r="C187" s="1221" t="s">
        <v>152</v>
      </c>
      <c r="D187" s="1222">
        <v>6358718465</v>
      </c>
      <c r="E187" s="1223">
        <v>811966.21</v>
      </c>
      <c r="F187" s="1058">
        <f>+VLOOKUP(B187,Composición!$C$5:$D$1768,1,0)</f>
        <v>11502241</v>
      </c>
      <c r="G187" s="1058">
        <f>+VLOOKUP(B187,'CA FE'!$A:$A,1,0)</f>
        <v>11502241</v>
      </c>
      <c r="H187" s="1213">
        <f>+VLOOKUP(B187,Composición!$C$4:$H$1742,5,0)-D187</f>
        <v>-6358718465</v>
      </c>
      <c r="I187" s="1214">
        <f>+VLOOKUP(B187,Composición!$C$4:$H$1742,6,0)-E187</f>
        <v>-811966.21</v>
      </c>
      <c r="J187" s="828"/>
      <c r="M187" s="14"/>
      <c r="N187" s="14"/>
      <c r="O187" s="14"/>
      <c r="P187" s="14"/>
    </row>
    <row r="188" spans="1:16" s="14" customFormat="1" ht="16.5" customHeight="1">
      <c r="A188" s="14" t="str">
        <f t="shared" si="3"/>
        <v>I</v>
      </c>
      <c r="B188" s="1203">
        <v>1150224105</v>
      </c>
      <c r="C188" t="s">
        <v>153</v>
      </c>
      <c r="D188" s="1308">
        <v>4426317953</v>
      </c>
      <c r="E188" s="1309">
        <v>565211.47</v>
      </c>
      <c r="F188" s="818">
        <f>+VLOOKUP(B188,Composición!$C$5:$D$1768,1,0)</f>
        <v>1150224105</v>
      </c>
      <c r="G188" s="818">
        <f>+VLOOKUP(B188,'CA FE'!$A:$A,1,0)</f>
        <v>1150224105</v>
      </c>
      <c r="H188" s="1049">
        <f>+VLOOKUP(B188,Composición!$C$4:$H$1742,5,0)</f>
        <v>4426317953</v>
      </c>
      <c r="I188" s="14">
        <f>+VLOOKUP(B188,Composición!$C$4:$H$1742,6,0)</f>
        <v>565211.47</v>
      </c>
      <c r="J188" s="829"/>
    </row>
    <row r="189" spans="1:16" s="14" customFormat="1" ht="16.5" customHeight="1">
      <c r="A189" s="14" t="str">
        <f t="shared" si="3"/>
        <v>I</v>
      </c>
      <c r="B189" s="1203">
        <v>1150224107</v>
      </c>
      <c r="C189" t="s">
        <v>154</v>
      </c>
      <c r="D189" s="1308">
        <v>355167123</v>
      </c>
      <c r="E189" s="1309">
        <v>45352.49</v>
      </c>
      <c r="F189" s="818">
        <f>+VLOOKUP(B189,Composición!$C$5:$D$1768,1,0)</f>
        <v>1150224107</v>
      </c>
      <c r="G189" s="818">
        <f>+VLOOKUP(B189,'CA FE'!$A:$A,1,0)</f>
        <v>1150224107</v>
      </c>
      <c r="H189" s="1310">
        <f>+VLOOKUP(B189,Composición!$C$4:$H$1742,5,0)-D189</f>
        <v>0</v>
      </c>
      <c r="I189" s="1311">
        <f>+VLOOKUP(B189,Composición!$C$4:$H$1742,6,0)-E189</f>
        <v>0</v>
      </c>
    </row>
    <row r="190" spans="1:16" s="14" customFormat="1" ht="16.5" customHeight="1">
      <c r="A190" s="14" t="str">
        <f t="shared" si="3"/>
        <v>I</v>
      </c>
      <c r="B190" s="1203">
        <v>1150224108</v>
      </c>
      <c r="C190" t="s">
        <v>2710</v>
      </c>
      <c r="D190" s="1308">
        <v>269993973</v>
      </c>
      <c r="E190" s="1309">
        <v>34476.44</v>
      </c>
      <c r="F190" s="818">
        <f>+VLOOKUP(B190,Composición!$C$5:$D$1768,1,0)</f>
        <v>1150224108</v>
      </c>
      <c r="G190" s="818">
        <f>+VLOOKUP(B190,'CA FE'!$A:$A,1,0)</f>
        <v>1150224108</v>
      </c>
      <c r="H190" s="1049">
        <f>+VLOOKUP(B190,Composición!$C$4:$H$1742,5,0)-D190</f>
        <v>0</v>
      </c>
      <c r="I190" s="1311">
        <f>+VLOOKUP(B190,Composición!$C$4:$H$1742,6,0)-E190</f>
        <v>0</v>
      </c>
    </row>
    <row r="191" spans="1:16" s="14" customFormat="1" ht="16.5" customHeight="1">
      <c r="A191" s="14" t="str">
        <f t="shared" si="3"/>
        <v>I</v>
      </c>
      <c r="B191" s="1203">
        <v>1150224113</v>
      </c>
      <c r="C191" t="s">
        <v>155</v>
      </c>
      <c r="D191" s="1308">
        <v>79254966</v>
      </c>
      <c r="E191" s="1309">
        <v>10120.330000000002</v>
      </c>
      <c r="F191" s="818">
        <f>+VLOOKUP(B191,Composición!$C$5:$D$1768,1,0)</f>
        <v>1150224113</v>
      </c>
      <c r="G191" s="818">
        <f>+VLOOKUP(B191,'CA FE'!$A:$A,1,0)</f>
        <v>1150224113</v>
      </c>
      <c r="H191" s="14">
        <f>+VLOOKUP(B191,Composición!$C$4:$H$1742,5,0)</f>
        <v>79254966</v>
      </c>
      <c r="I191" s="14">
        <f>+VLOOKUP(B191,Composición!$C$4:$H$1742,6,0)</f>
        <v>10120.330000000002</v>
      </c>
    </row>
    <row r="192" spans="1:16" s="14" customFormat="1" ht="16.5" customHeight="1">
      <c r="A192" s="14" t="str">
        <f t="shared" si="3"/>
        <v>I</v>
      </c>
      <c r="B192" s="1203">
        <v>1150224129</v>
      </c>
      <c r="C192" t="s">
        <v>156</v>
      </c>
      <c r="D192" s="1308">
        <v>1227984450</v>
      </c>
      <c r="E192" s="1309">
        <v>156805.47999999998</v>
      </c>
      <c r="F192" s="818">
        <f>+VLOOKUP(B192,Composición!$C$5:$D$1768,1,0)</f>
        <v>1150224129</v>
      </c>
      <c r="G192" s="818">
        <f>+VLOOKUP(B192,'CA FE'!$A:$A,1,0)</f>
        <v>1150224129</v>
      </c>
      <c r="H192" s="1310">
        <f>+VLOOKUP(B192,Composición!$C$4:$H$1742,5,0)-D192</f>
        <v>0</v>
      </c>
      <c r="I192" s="1311">
        <f>+VLOOKUP(B192,Composición!$C$4:$H$1742,6,0)-E192</f>
        <v>0</v>
      </c>
      <c r="J192" s="829"/>
    </row>
    <row r="193" spans="1:16" s="31" customFormat="1" ht="16.5" customHeight="1">
      <c r="A193" s="31" t="str">
        <f t="shared" si="3"/>
        <v>NI</v>
      </c>
      <c r="B193" s="1220">
        <v>11502242</v>
      </c>
      <c r="C193" s="1221" t="s">
        <v>157</v>
      </c>
      <c r="D193" s="1224">
        <v>-5260481862</v>
      </c>
      <c r="E193" s="1225">
        <v>-671728.67000000016</v>
      </c>
      <c r="F193" s="1058">
        <f>+VLOOKUP(B193,Composición!$C$5:$D$1768,1,0)</f>
        <v>11502242</v>
      </c>
      <c r="G193" s="1058">
        <f>+VLOOKUP(B193,'CA FE'!$A:$A,1,0)</f>
        <v>11502242</v>
      </c>
      <c r="H193" s="1219">
        <f>+VLOOKUP(B193,Composición!$C$4:$H$1742,5,0)-D193</f>
        <v>5260481862</v>
      </c>
      <c r="I193" s="1214">
        <f>+VLOOKUP(B193,Composición!$C$4:$H$1742,6,0)-E193</f>
        <v>671728.67000000016</v>
      </c>
      <c r="M193" s="14"/>
      <c r="N193" s="14"/>
      <c r="O193" s="14"/>
      <c r="P193" s="14"/>
    </row>
    <row r="194" spans="1:16" s="14" customFormat="1" ht="16.5" customHeight="1">
      <c r="A194" s="14" t="str">
        <f t="shared" si="3"/>
        <v>I</v>
      </c>
      <c r="B194" s="1203">
        <v>1150224205</v>
      </c>
      <c r="C194" t="s">
        <v>158</v>
      </c>
      <c r="D194" s="1312">
        <v>-3421132884</v>
      </c>
      <c r="E194" s="1011">
        <v>-436855.99999999994</v>
      </c>
      <c r="F194" s="818">
        <f>+VLOOKUP(B194,Composición!$C$5:$D$1768,1,0)</f>
        <v>1150224205</v>
      </c>
      <c r="G194" s="818">
        <f>+VLOOKUP(B194,'CA FE'!$A:$A,1,0)</f>
        <v>1150224205</v>
      </c>
      <c r="H194" s="1313">
        <f>+VLOOKUP(B194,Composición!$C$4:$H$1742,5,0)-D194</f>
        <v>0</v>
      </c>
      <c r="I194" s="1311">
        <f>+VLOOKUP(B194,Composición!$C$4:$H$1742,6,0)-E194</f>
        <v>0</v>
      </c>
    </row>
    <row r="195" spans="1:16" s="14" customFormat="1" ht="16.5" customHeight="1">
      <c r="A195" s="14" t="str">
        <f t="shared" si="3"/>
        <v>I</v>
      </c>
      <c r="B195" s="1203">
        <v>1150224207</v>
      </c>
      <c r="C195" t="s">
        <v>159</v>
      </c>
      <c r="D195" s="1312">
        <v>-350679452</v>
      </c>
      <c r="E195" s="1011">
        <v>-44779.44</v>
      </c>
      <c r="F195" s="818">
        <f>+VLOOKUP(B195,Composición!$C$5:$D$1768,1,0)</f>
        <v>1150224207</v>
      </c>
      <c r="G195" s="818">
        <f>+VLOOKUP(B195,'CA FE'!$A:$A,1,0)</f>
        <v>1150224207</v>
      </c>
      <c r="H195" s="1313">
        <f>+VLOOKUP(B195,Composición!$C$4:$H$1742,5,0)-D195</f>
        <v>0</v>
      </c>
      <c r="I195" s="1311">
        <f>+VLOOKUP(B195,Composición!$C$4:$H$1742,6,0)-E195</f>
        <v>0</v>
      </c>
    </row>
    <row r="196" spans="1:16" s="14" customFormat="1" ht="16.5" customHeight="1">
      <c r="A196" s="14" t="str">
        <f t="shared" si="3"/>
        <v>I</v>
      </c>
      <c r="B196" s="1203">
        <v>1150224208</v>
      </c>
      <c r="C196" t="s">
        <v>2711</v>
      </c>
      <c r="D196" s="1312">
        <v>-268754521</v>
      </c>
      <c r="E196" s="1011">
        <v>-34318.17</v>
      </c>
      <c r="F196" s="818">
        <f>+VLOOKUP(B196,Composición!$C$5:$D$1768,1,0)</f>
        <v>1150224208</v>
      </c>
      <c r="G196" s="818">
        <f>+VLOOKUP(B196,'CA FE'!$A:$A,1,0)</f>
        <v>1150224208</v>
      </c>
      <c r="H196" s="1313">
        <f>+VLOOKUP(B196,Composición!$C$4:$H$1742,5,0)-D196</f>
        <v>0</v>
      </c>
      <c r="I196" s="1311">
        <f>+VLOOKUP(B196,Composición!$C$4:$H$1742,6,0)-E196</f>
        <v>0</v>
      </c>
    </row>
    <row r="197" spans="1:16" s="14" customFormat="1" ht="16.5" customHeight="1">
      <c r="A197" s="14" t="str">
        <f t="shared" si="3"/>
        <v>I</v>
      </c>
      <c r="B197" s="1203">
        <v>1150224213</v>
      </c>
      <c r="C197" t="s">
        <v>160</v>
      </c>
      <c r="D197" s="1312">
        <v>-76563288</v>
      </c>
      <c r="E197" s="1011">
        <v>-9776.6200000000099</v>
      </c>
      <c r="F197" s="818">
        <f>+VLOOKUP(B197,Composición!$C$5:$D$1768,1,0)</f>
        <v>1150224213</v>
      </c>
      <c r="G197" s="818">
        <f>+VLOOKUP(B197,'CA FE'!$A:$A,1,0)</f>
        <v>1150224213</v>
      </c>
      <c r="H197" s="1310">
        <f>+VLOOKUP(B197,Composición!$C$4:$H$1742,5,0)-D197</f>
        <v>0</v>
      </c>
      <c r="I197" s="1311">
        <f>+VLOOKUP(B197,Composición!$C$4:$H$1742,6,0)-E197</f>
        <v>0</v>
      </c>
    </row>
    <row r="198" spans="1:16" s="14" customFormat="1" ht="16.5" customHeight="1">
      <c r="A198" s="14" t="str">
        <f t="shared" si="3"/>
        <v>I</v>
      </c>
      <c r="B198" s="1203">
        <v>1150224229</v>
      </c>
      <c r="C198" t="s">
        <v>161</v>
      </c>
      <c r="D198" s="1308">
        <v>-1143351717</v>
      </c>
      <c r="E198" s="1309">
        <v>-145998.44000000006</v>
      </c>
      <c r="F198" s="818">
        <f>+VLOOKUP(B198,Composición!$C$5:$D$1768,1,0)</f>
        <v>1150224229</v>
      </c>
      <c r="G198" s="818">
        <f>+VLOOKUP(B198,'CA FE'!$A:$A,1,0)</f>
        <v>1150224229</v>
      </c>
      <c r="H198" s="1049">
        <f>+VLOOKUP(B198,Composición!$C$4:$H$1742,5,0)-D198</f>
        <v>0</v>
      </c>
      <c r="I198" s="1311">
        <f>+VLOOKUP(B198,Composición!$C$4:$H$1742,6,0)-E198</f>
        <v>0</v>
      </c>
      <c r="J198" s="829"/>
    </row>
    <row r="199" spans="1:16" s="31" customFormat="1" ht="16.5" customHeight="1">
      <c r="A199" s="31" t="str">
        <f t="shared" si="3"/>
        <v>NI</v>
      </c>
      <c r="B199" s="1220">
        <v>119</v>
      </c>
      <c r="C199" s="1221" t="s">
        <v>162</v>
      </c>
      <c r="D199" s="1222">
        <v>57644584</v>
      </c>
      <c r="E199" s="1223">
        <v>7841.5399999999936</v>
      </c>
      <c r="F199" s="1058">
        <f>+VLOOKUP(B199,Composición!$C$5:$D$1768,1,0)</f>
        <v>119</v>
      </c>
      <c r="G199" s="1058">
        <f>+VLOOKUP(B199,'CA FE'!$A:$A,1,0)</f>
        <v>119</v>
      </c>
      <c r="H199" s="1048">
        <f>+VLOOKUP(B199,Composición!$C$4:$H$1742,5,0)-D199</f>
        <v>-57644584</v>
      </c>
      <c r="I199" s="1214">
        <f>+VLOOKUP(B199,Composición!$C$4:$H$1742,6,0)-E199</f>
        <v>-7841.5399999999936</v>
      </c>
      <c r="J199" s="828"/>
      <c r="M199" s="14"/>
      <c r="N199" s="14"/>
      <c r="O199" s="14"/>
      <c r="P199" s="14"/>
    </row>
    <row r="200" spans="1:16" s="31" customFormat="1" ht="16.5" customHeight="1">
      <c r="A200" s="31" t="str">
        <f t="shared" si="3"/>
        <v>NI</v>
      </c>
      <c r="B200" s="1220">
        <v>11901</v>
      </c>
      <c r="C200" s="1221" t="s">
        <v>163</v>
      </c>
      <c r="D200" s="1222">
        <v>57644584</v>
      </c>
      <c r="E200" s="1223">
        <v>7841.5399999999936</v>
      </c>
      <c r="F200" s="1058">
        <f>+VLOOKUP(B200,Composición!$C$5:$D$1768,1,0)</f>
        <v>11901</v>
      </c>
      <c r="G200" s="1058">
        <f>+VLOOKUP(B200,'CA FE'!$A:$A,1,0)</f>
        <v>11901</v>
      </c>
      <c r="H200" s="1213">
        <f>+VLOOKUP(B200,Composición!$C$4:$H$1742,5,0)-D200</f>
        <v>-57644584</v>
      </c>
      <c r="I200" s="1214">
        <f>+VLOOKUP(B200,Composición!$C$4:$H$1742,6,0)-E200</f>
        <v>-7841.5399999999936</v>
      </c>
      <c r="M200" s="14"/>
      <c r="N200" s="14"/>
      <c r="O200" s="14"/>
      <c r="P200" s="14"/>
    </row>
    <row r="201" spans="1:16" s="31" customFormat="1" ht="16.5" customHeight="1">
      <c r="A201" s="31" t="str">
        <f t="shared" si="3"/>
        <v>NI</v>
      </c>
      <c r="B201" s="1220">
        <v>119011</v>
      </c>
      <c r="C201" s="1221" t="s">
        <v>163</v>
      </c>
      <c r="D201" s="1222">
        <v>57644584</v>
      </c>
      <c r="E201" s="1223">
        <v>7841.5399999999936</v>
      </c>
      <c r="F201" s="1058">
        <f>+VLOOKUP(B201,Composición!$C$5:$D$1768,1,0)</f>
        <v>119011</v>
      </c>
      <c r="G201" s="1058">
        <f>+VLOOKUP(B201,'CA FE'!$A:$A,1,0)</f>
        <v>119011</v>
      </c>
      <c r="H201" s="1213">
        <f>+VLOOKUP(B201,Composición!$C$4:$H$1742,5,0)-D201</f>
        <v>-57644584</v>
      </c>
      <c r="I201" s="1214">
        <f>+VLOOKUP(B201,Composición!$C$4:$H$1742,6,0)-E201</f>
        <v>-7841.5399999999936</v>
      </c>
      <c r="J201" s="828"/>
      <c r="M201" s="14"/>
      <c r="N201" s="14"/>
      <c r="O201" s="14"/>
      <c r="P201" s="14"/>
    </row>
    <row r="202" spans="1:16" s="31" customFormat="1" ht="16.5" customHeight="1">
      <c r="A202" s="31" t="str">
        <f t="shared" si="3"/>
        <v>NI</v>
      </c>
      <c r="B202" s="1220">
        <v>1190111</v>
      </c>
      <c r="C202" s="1221" t="s">
        <v>163</v>
      </c>
      <c r="D202" s="1222">
        <v>57644584</v>
      </c>
      <c r="E202" s="1223">
        <v>7841.5399999999936</v>
      </c>
      <c r="F202" s="1058">
        <f>+VLOOKUP(B202,Composición!$C$5:$D$1768,1,0)</f>
        <v>1190111</v>
      </c>
      <c r="G202" s="1058">
        <f>+VLOOKUP(B202,'CA FE'!$A:$A,1,0)</f>
        <v>1190111</v>
      </c>
      <c r="H202" s="1048">
        <f>+VLOOKUP(B202,Composición!$C$4:$H$1742,5,0)</f>
        <v>0</v>
      </c>
      <c r="I202" s="31">
        <f>+VLOOKUP(B202,Composición!$C$4:$H$1742,6,0)</f>
        <v>0</v>
      </c>
      <c r="J202" s="828"/>
      <c r="M202" s="14"/>
      <c r="N202" s="14"/>
      <c r="O202" s="14"/>
      <c r="P202" s="14"/>
    </row>
    <row r="203" spans="1:16" s="31" customFormat="1" ht="16.5" customHeight="1">
      <c r="A203" s="31" t="str">
        <f t="shared" si="3"/>
        <v>NI</v>
      </c>
      <c r="B203" s="1220">
        <v>11901112</v>
      </c>
      <c r="C203" s="1221" t="s">
        <v>164</v>
      </c>
      <c r="D203" s="1222">
        <v>5039001</v>
      </c>
      <c r="E203" s="1223">
        <v>697.88000000000011</v>
      </c>
      <c r="F203" s="1058">
        <f>+VLOOKUP(B203,Composición!$C$5:$D$1768,1,0)</f>
        <v>11901112</v>
      </c>
      <c r="G203" s="1058">
        <f>+VLOOKUP(B203,'CA FE'!$A:$A,1,0)</f>
        <v>11901112</v>
      </c>
      <c r="H203" s="1048">
        <f>+VLOOKUP(B203,Composición!$C$4:$H$1742,5,0)</f>
        <v>0</v>
      </c>
      <c r="I203" s="31">
        <f>+VLOOKUP(B203,Composición!$C$4:$H$1742,6,0)</f>
        <v>0</v>
      </c>
      <c r="M203" s="14"/>
      <c r="N203" s="14"/>
      <c r="O203" s="14"/>
      <c r="P203" s="14"/>
    </row>
    <row r="204" spans="1:16" s="14" customFormat="1" ht="16.5" customHeight="1">
      <c r="A204" s="14" t="str">
        <f t="shared" si="3"/>
        <v>I</v>
      </c>
      <c r="B204" s="1203">
        <v>1190111203</v>
      </c>
      <c r="C204" t="s">
        <v>165</v>
      </c>
      <c r="D204" s="1308">
        <v>2629222</v>
      </c>
      <c r="E204" s="1309">
        <v>366.93000000000006</v>
      </c>
      <c r="F204" s="818">
        <f>+VLOOKUP(B204,Composición!$C$5:$D$1768,1,0)</f>
        <v>1190111203</v>
      </c>
      <c r="G204" s="818">
        <f>+VLOOKUP(B204,'CA FE'!$A:$A,1,0)</f>
        <v>1190111203</v>
      </c>
      <c r="H204" s="1049">
        <f>+VLOOKUP(B204,Composición!$C$4:$H$1742,5,0)</f>
        <v>2629222</v>
      </c>
      <c r="I204" s="14">
        <f>+VLOOKUP(B204,Composición!$C$4:$H$1742,6,0)</f>
        <v>366.93000000000006</v>
      </c>
      <c r="J204" s="829"/>
    </row>
    <row r="205" spans="1:16" s="14" customFormat="1" ht="16.5" customHeight="1">
      <c r="A205" s="14" t="str">
        <f t="shared" si="3"/>
        <v>I</v>
      </c>
      <c r="B205" s="1203">
        <v>1190111206</v>
      </c>
      <c r="C205" t="s">
        <v>166</v>
      </c>
      <c r="D205" s="1308">
        <v>300400</v>
      </c>
      <c r="E205" s="1309">
        <v>41.06</v>
      </c>
      <c r="F205" s="818">
        <f>+VLOOKUP(B205,Composición!$C$5:$D$1768,1,0)</f>
        <v>1190111206</v>
      </c>
      <c r="G205" s="818">
        <f>+VLOOKUP(B205,'CA FE'!$A:$A,1,0)</f>
        <v>1190111206</v>
      </c>
      <c r="H205" s="1049">
        <f>+VLOOKUP(B205,Composición!$C$4:$H$1742,5,0)-D205</f>
        <v>0</v>
      </c>
      <c r="I205" s="1311">
        <f>+VLOOKUP(B205,Composición!$C$4:$H$1742,6,0)-E205</f>
        <v>0</v>
      </c>
      <c r="J205" s="829"/>
    </row>
    <row r="206" spans="1:16" s="14" customFormat="1" ht="16.5" customHeight="1">
      <c r="A206" s="14" t="str">
        <f t="shared" si="3"/>
        <v>I</v>
      </c>
      <c r="B206" s="1203">
        <v>1190111207</v>
      </c>
      <c r="C206" t="s">
        <v>167</v>
      </c>
      <c r="D206" s="1308">
        <v>2109379</v>
      </c>
      <c r="E206" s="1309">
        <v>289.89</v>
      </c>
      <c r="F206" s="818">
        <f>+VLOOKUP(B206,Composición!$C$5:$D$1768,1,0)</f>
        <v>1190111207</v>
      </c>
      <c r="G206" s="818">
        <f>+VLOOKUP(B206,'CA FE'!$A:$A,1,0)</f>
        <v>1190111207</v>
      </c>
      <c r="H206" s="1310">
        <f>+VLOOKUP(B206,Composición!$C$4:$H$1742,5,0)-D206</f>
        <v>0</v>
      </c>
      <c r="I206" s="1311">
        <f>+VLOOKUP(B206,Composición!$C$4:$H$1742,6,0)-E206</f>
        <v>0</v>
      </c>
    </row>
    <row r="207" spans="1:16" s="31" customFormat="1" ht="16.5" customHeight="1">
      <c r="A207" s="31" t="str">
        <f t="shared" ref="A207:A270" si="4">IF(LEN(B207)&gt;8,"I","NI")</f>
        <v>NI</v>
      </c>
      <c r="B207" s="1220">
        <v>11901114</v>
      </c>
      <c r="C207" s="1221" t="s">
        <v>168</v>
      </c>
      <c r="D207" s="1222">
        <v>52605583</v>
      </c>
      <c r="E207" s="1223">
        <v>7143.66</v>
      </c>
      <c r="F207" s="1058">
        <f>+VLOOKUP(B207,Composición!$C$5:$D$1768,1,0)</f>
        <v>11901114</v>
      </c>
      <c r="G207" s="1058">
        <f>+VLOOKUP(B207,'CA FE'!$A:$A,1,0)</f>
        <v>11901114</v>
      </c>
      <c r="H207" s="1048">
        <f>+VLOOKUP(B207,Composición!$C$4:$H$1742,5,0)-D207</f>
        <v>-52605583</v>
      </c>
      <c r="I207" s="1214">
        <f>+VLOOKUP(B207,Composición!$C$4:$H$1742,6,0)-E207</f>
        <v>-7143.66</v>
      </c>
      <c r="M207" s="14"/>
      <c r="N207" s="14"/>
      <c r="O207" s="14"/>
      <c r="P207" s="14"/>
    </row>
    <row r="208" spans="1:16" s="14" customFormat="1" ht="16.5" customHeight="1">
      <c r="A208" s="14" t="str">
        <f t="shared" si="4"/>
        <v>I</v>
      </c>
      <c r="B208" s="1203">
        <v>1190111406</v>
      </c>
      <c r="C208" t="s">
        <v>169</v>
      </c>
      <c r="D208" s="1308">
        <v>49054883</v>
      </c>
      <c r="E208" s="1309">
        <v>6663.5099999999984</v>
      </c>
      <c r="F208" s="818">
        <f>+VLOOKUP(B208,Composición!$C$5:$D$1768,1,0)</f>
        <v>1190111406</v>
      </c>
      <c r="G208" s="818">
        <f>+VLOOKUP(B208,'CA FE'!$A:$A,1,0)</f>
        <v>1190111406</v>
      </c>
      <c r="H208" s="1049">
        <f>+VLOOKUP(B208,Composición!$C$4:$H$1742,5,0)-D208</f>
        <v>0</v>
      </c>
      <c r="I208" s="1311">
        <f>+VLOOKUP(B208,Composición!$C$4:$H$1742,6,0)-E208</f>
        <v>0</v>
      </c>
    </row>
    <row r="209" spans="1:16" s="14" customFormat="1" ht="16.5" customHeight="1">
      <c r="A209" s="14" t="str">
        <f t="shared" si="4"/>
        <v>I</v>
      </c>
      <c r="B209" s="1203">
        <v>1190111407</v>
      </c>
      <c r="C209" t="s">
        <v>170</v>
      </c>
      <c r="D209" s="1308">
        <v>3550700</v>
      </c>
      <c r="E209" s="1309">
        <v>480.14999999999986</v>
      </c>
      <c r="F209" s="818">
        <f>+VLOOKUP(B209,Composición!$C$5:$D$1768,1,0)</f>
        <v>1190111407</v>
      </c>
      <c r="G209" s="818">
        <f>+VLOOKUP(B209,'CA FE'!$A:$A,1,0)</f>
        <v>1190111407</v>
      </c>
      <c r="H209" s="1049">
        <f>+VLOOKUP(B209,Composición!$C$4:$H$1742,5,0)-D209</f>
        <v>0</v>
      </c>
      <c r="I209" s="1311">
        <f>+VLOOKUP(B209,Composición!$C$4:$H$1742,6,0)-E209</f>
        <v>0</v>
      </c>
    </row>
    <row r="210" spans="1:16" s="31" customFormat="1" ht="16.5" customHeight="1">
      <c r="A210" s="31" t="str">
        <f t="shared" si="4"/>
        <v>NI</v>
      </c>
      <c r="B210" s="1220">
        <v>12</v>
      </c>
      <c r="C210" s="1221" t="s">
        <v>171</v>
      </c>
      <c r="D210" s="1222">
        <v>4257303131</v>
      </c>
      <c r="E210" s="1223">
        <v>564608.89000000013</v>
      </c>
      <c r="F210" s="1058">
        <f>+VLOOKUP(B210,Composición!$C$5:$D$1768,1,0)</f>
        <v>12</v>
      </c>
      <c r="G210" s="1058">
        <f>+VLOOKUP(B210,'CA FE'!$A:$A,1,0)</f>
        <v>12</v>
      </c>
      <c r="H210" s="1048">
        <f>+VLOOKUP(B210,Composición!$C$4:$H$1742,5,0)-D210</f>
        <v>-4257303131</v>
      </c>
      <c r="I210" s="1214">
        <f>+VLOOKUP(B210,Composición!$C$4:$H$1742,6,0)-E210</f>
        <v>-564608.89000000013</v>
      </c>
      <c r="J210" s="828"/>
      <c r="M210" s="14"/>
      <c r="N210" s="14"/>
      <c r="O210" s="14"/>
      <c r="P210" s="14"/>
    </row>
    <row r="211" spans="1:16" s="31" customFormat="1" ht="16.5" customHeight="1">
      <c r="A211" s="31" t="str">
        <f t="shared" si="4"/>
        <v>NI</v>
      </c>
      <c r="B211" s="1220">
        <v>121</v>
      </c>
      <c r="C211" s="1221" t="s">
        <v>172</v>
      </c>
      <c r="D211" s="1222">
        <v>1738958904</v>
      </c>
      <c r="E211" s="1223">
        <v>222053.53000000003</v>
      </c>
      <c r="F211" s="1058">
        <f>+VLOOKUP(B211,Composición!$C$5:$D$1768,1,0)</f>
        <v>121</v>
      </c>
      <c r="G211" s="1058">
        <f>+VLOOKUP(B211,'CA FE'!$A:$A,1,0)</f>
        <v>121</v>
      </c>
      <c r="H211" s="1213">
        <f>+VLOOKUP(B211,Composición!$C$4:$H$1742,5,0)-D211</f>
        <v>-1738958904</v>
      </c>
      <c r="I211" s="1214">
        <f>+VLOOKUP(B211,Composición!$C$4:$H$1742,6,0)-E211</f>
        <v>-222053.53000000003</v>
      </c>
      <c r="J211" s="828"/>
      <c r="M211" s="14"/>
      <c r="N211" s="14"/>
      <c r="O211" s="14"/>
      <c r="P211" s="14"/>
    </row>
    <row r="212" spans="1:16" s="31" customFormat="1" ht="16.5" customHeight="1">
      <c r="A212" s="31" t="str">
        <f t="shared" si="4"/>
        <v>NI</v>
      </c>
      <c r="B212" s="1220">
        <v>12102</v>
      </c>
      <c r="C212" s="1221" t="s">
        <v>54</v>
      </c>
      <c r="D212" s="1222">
        <v>735958904</v>
      </c>
      <c r="E212" s="1223">
        <v>93977.069999999978</v>
      </c>
      <c r="F212" s="1058">
        <f>+VLOOKUP(B212,Composición!$C$5:$D$1768,1,0)</f>
        <v>12102</v>
      </c>
      <c r="G212" s="1058">
        <f>+VLOOKUP(B212,'CA FE'!$A:$A,1,0)</f>
        <v>12102</v>
      </c>
      <c r="H212" s="1213">
        <f>+VLOOKUP(B212,Composición!$C$4:$H$1742,5,0)-D212</f>
        <v>-735958904</v>
      </c>
      <c r="I212" s="1214">
        <f>+VLOOKUP(B212,Composición!$C$4:$H$1742,6,0)-E212</f>
        <v>-93977.069999999978</v>
      </c>
      <c r="M212" s="14"/>
      <c r="N212" s="14"/>
      <c r="O212" s="14"/>
      <c r="P212" s="14"/>
    </row>
    <row r="213" spans="1:16" s="31" customFormat="1" ht="16.5" customHeight="1">
      <c r="A213" s="31" t="str">
        <f t="shared" si="4"/>
        <v>NI</v>
      </c>
      <c r="B213" s="1220">
        <v>121021</v>
      </c>
      <c r="C213" s="1221" t="s">
        <v>55</v>
      </c>
      <c r="D213" s="1222">
        <v>735958904</v>
      </c>
      <c r="E213" s="1223">
        <v>93977.069999999978</v>
      </c>
      <c r="F213" s="1058">
        <f>+VLOOKUP(B213,Composición!$C$5:$D$1768,1,0)</f>
        <v>121021</v>
      </c>
      <c r="G213" s="1058">
        <f>+VLOOKUP(B213,'CA FE'!$A:$A,1,0)</f>
        <v>121021</v>
      </c>
      <c r="H213" s="1213">
        <f>+VLOOKUP(B213,Composición!$C$4:$H$1742,5,0)-D213</f>
        <v>-735958904</v>
      </c>
      <c r="I213" s="1214">
        <f>+VLOOKUP(B213,Composición!$C$4:$H$1742,6,0)-E213</f>
        <v>-93977.069999999978</v>
      </c>
      <c r="M213" s="14"/>
      <c r="N213" s="14"/>
      <c r="O213" s="14"/>
      <c r="P213" s="14"/>
    </row>
    <row r="214" spans="1:16" s="31" customFormat="1" ht="16.5" customHeight="1">
      <c r="A214" s="31" t="str">
        <f t="shared" si="4"/>
        <v>NI</v>
      </c>
      <c r="B214" s="1220">
        <v>1210215</v>
      </c>
      <c r="C214" s="1221" t="s">
        <v>173</v>
      </c>
      <c r="D214" s="1222">
        <v>735958904</v>
      </c>
      <c r="E214" s="1223">
        <v>93977.069999999978</v>
      </c>
      <c r="F214" s="1058">
        <f>+VLOOKUP(B214,Composición!$C$5:$D$1768,1,0)</f>
        <v>1210215</v>
      </c>
      <c r="G214" s="1058">
        <f>+VLOOKUP(B214,'CA FE'!$A:$A,1,0)</f>
        <v>1210215</v>
      </c>
      <c r="H214" s="31">
        <f>+VLOOKUP(B214,Composición!$C$4:$H$1742,5,0)</f>
        <v>0</v>
      </c>
      <c r="I214" s="31">
        <f>+VLOOKUP(B214,Composición!$C$4:$H$1742,6,0)</f>
        <v>0</v>
      </c>
      <c r="M214" s="14"/>
      <c r="N214" s="14"/>
      <c r="O214" s="14"/>
      <c r="P214" s="14"/>
    </row>
    <row r="215" spans="1:16" s="31" customFormat="1" ht="16.5" customHeight="1">
      <c r="A215" s="31" t="str">
        <f t="shared" si="4"/>
        <v>NI</v>
      </c>
      <c r="B215" s="1220">
        <v>12102151</v>
      </c>
      <c r="C215" s="1221" t="s">
        <v>582</v>
      </c>
      <c r="D215" s="1222">
        <v>735958904</v>
      </c>
      <c r="E215" s="1223">
        <v>93977.07</v>
      </c>
      <c r="F215" s="1058">
        <f>+VLOOKUP(B215,Composición!$C$5:$D$1768,1,0)</f>
        <v>12102151</v>
      </c>
      <c r="G215" s="1058" t="e">
        <f>+VLOOKUP(B215,'CA FE'!$A:$A,1,0)</f>
        <v>#N/A</v>
      </c>
      <c r="H215" s="1213">
        <f>+VLOOKUP(B215,Composición!$C$4:$H$1742,5,0)-D215</f>
        <v>-735958904</v>
      </c>
      <c r="I215" s="1214">
        <f>+VLOOKUP(B215,Composición!$C$4:$H$1742,6,0)-E215</f>
        <v>-93977.07</v>
      </c>
      <c r="M215" s="14"/>
      <c r="N215" s="14"/>
      <c r="O215" s="14"/>
      <c r="P215" s="14"/>
    </row>
    <row r="216" spans="1:16" s="14" customFormat="1" ht="16.5" customHeight="1">
      <c r="A216" s="14" t="str">
        <f t="shared" si="4"/>
        <v>I</v>
      </c>
      <c r="B216" s="1203">
        <v>1210215104</v>
      </c>
      <c r="C216" t="s">
        <v>583</v>
      </c>
      <c r="D216" s="1308">
        <v>700000000</v>
      </c>
      <c r="E216" s="1309">
        <v>89385.36</v>
      </c>
      <c r="F216" s="818">
        <f>+VLOOKUP(B216,Composición!$C$5:$D$1768,1,0)</f>
        <v>1210215104</v>
      </c>
      <c r="G216" s="818">
        <f>+VLOOKUP(B216,'CA FE'!$A:$A,1,0)</f>
        <v>1210215104</v>
      </c>
      <c r="H216" s="1049">
        <f>+VLOOKUP(B216,Composición!$C$4:$H$1742,5,0)-D216</f>
        <v>0</v>
      </c>
      <c r="I216" s="1311">
        <f>+VLOOKUP(B216,Composición!$C$4:$H$1742,6,0)-E216</f>
        <v>0</v>
      </c>
    </row>
    <row r="217" spans="1:16" s="14" customFormat="1" ht="16.5" customHeight="1">
      <c r="A217" s="14" t="str">
        <f t="shared" si="4"/>
        <v>I</v>
      </c>
      <c r="B217" s="1203">
        <v>1210215105</v>
      </c>
      <c r="C217" t="s">
        <v>90</v>
      </c>
      <c r="D217" s="1308">
        <v>196910959</v>
      </c>
      <c r="E217" s="1309">
        <v>25144.22</v>
      </c>
      <c r="F217" s="818">
        <f>+VLOOKUP(B217,Composición!$C$5:$D$1768,1,0)</f>
        <v>1210215105</v>
      </c>
      <c r="G217" s="818">
        <f>+VLOOKUP(B217,'CA FE'!$A:$A,1,0)</f>
        <v>1210215105</v>
      </c>
      <c r="H217" s="1049">
        <f>+VLOOKUP(B217,Composición!$C$4:$H$1742,5,0)</f>
        <v>196910959</v>
      </c>
      <c r="I217" s="14">
        <f>+VLOOKUP(B217,Composición!$C$4:$H$1742,6,0)</f>
        <v>25144.22</v>
      </c>
      <c r="J217" s="829"/>
    </row>
    <row r="218" spans="1:16" s="14" customFormat="1" ht="16.5" customHeight="1">
      <c r="A218" s="14" t="str">
        <f t="shared" si="4"/>
        <v>I</v>
      </c>
      <c r="B218" s="1203">
        <v>1210215106</v>
      </c>
      <c r="C218" t="s">
        <v>584</v>
      </c>
      <c r="D218" s="1308">
        <v>-160952055</v>
      </c>
      <c r="E218" s="1309">
        <v>-20552.509999999998</v>
      </c>
      <c r="F218" s="818">
        <f>+VLOOKUP(B218,Composición!$C$5:$D$1768,1,0)</f>
        <v>1210215106</v>
      </c>
      <c r="G218" s="818">
        <f>+VLOOKUP(B218,'CA FE'!$A:$A,1,0)</f>
        <v>1210215106</v>
      </c>
      <c r="H218" s="1049">
        <f>+VLOOKUP(B218,Composición!$C$4:$H$1742,5,0)</f>
        <v>-160952055</v>
      </c>
      <c r="I218" s="14">
        <f>+VLOOKUP(B218,Composición!$C$4:$H$1742,6,0)</f>
        <v>-20552.509999999998</v>
      </c>
      <c r="J218" s="829"/>
    </row>
    <row r="219" spans="1:16" s="31" customFormat="1" ht="16.5" customHeight="1">
      <c r="A219" s="31" t="str">
        <f t="shared" si="4"/>
        <v>NI</v>
      </c>
      <c r="B219" s="1220">
        <v>12103</v>
      </c>
      <c r="C219" s="1221" t="s">
        <v>178</v>
      </c>
      <c r="D219" s="1222">
        <v>1003000000</v>
      </c>
      <c r="E219" s="1223">
        <v>128076.46</v>
      </c>
      <c r="F219" s="1058">
        <f>+VLOOKUP(B219,Composición!$C$5:$D$1768,1,0)</f>
        <v>12103</v>
      </c>
      <c r="G219" s="1058">
        <f>+VLOOKUP(B219,'CA FE'!$A:$A,1,0)</f>
        <v>12103</v>
      </c>
      <c r="H219" s="31">
        <f>+VLOOKUP(B219,Composición!$C$4:$H$1742,5,0)</f>
        <v>0</v>
      </c>
      <c r="I219" s="31">
        <f>+VLOOKUP(B219,Composición!$C$4:$H$1742,6,0)</f>
        <v>0</v>
      </c>
      <c r="J219" s="828"/>
      <c r="M219" s="14"/>
      <c r="N219" s="14"/>
      <c r="O219" s="14"/>
      <c r="P219" s="14"/>
    </row>
    <row r="220" spans="1:16" s="31" customFormat="1" ht="16.5" customHeight="1">
      <c r="A220" s="31" t="str">
        <f t="shared" si="4"/>
        <v>NI</v>
      </c>
      <c r="B220" s="1220">
        <v>121031</v>
      </c>
      <c r="C220" s="1221" t="s">
        <v>178</v>
      </c>
      <c r="D220" s="1222">
        <v>1003000000</v>
      </c>
      <c r="E220" s="1223">
        <v>128076.46</v>
      </c>
      <c r="F220" s="1058">
        <f>+VLOOKUP(B220,Composición!$C$5:$D$1768,1,0)</f>
        <v>121031</v>
      </c>
      <c r="G220" s="1058">
        <f>+VLOOKUP(B220,'CA FE'!$A:$A,1,0)</f>
        <v>121031</v>
      </c>
      <c r="H220" s="1048">
        <f>+VLOOKUP(B220,Composición!$C$4:$H$1742,5,0)-D220</f>
        <v>-1003000000</v>
      </c>
      <c r="I220" s="1214">
        <f>+VLOOKUP(B220,Composición!$C$4:$H$1742,6,0)-E220</f>
        <v>-128076.46</v>
      </c>
      <c r="M220" s="14"/>
      <c r="N220" s="14"/>
      <c r="O220" s="14"/>
      <c r="P220" s="14"/>
    </row>
    <row r="221" spans="1:16" s="31" customFormat="1" ht="16.5" customHeight="1">
      <c r="A221" s="31" t="str">
        <f t="shared" si="4"/>
        <v>NI</v>
      </c>
      <c r="B221" s="1220">
        <v>1210311</v>
      </c>
      <c r="C221" s="1221" t="s">
        <v>178</v>
      </c>
      <c r="D221" s="1222">
        <v>1003000000</v>
      </c>
      <c r="E221" s="1223">
        <v>128076.46</v>
      </c>
      <c r="F221" s="1058">
        <f>+VLOOKUP(B221,Composición!$C$5:$D$1768,1,0)</f>
        <v>1210311</v>
      </c>
      <c r="G221" s="1058">
        <f>+VLOOKUP(B221,'CA FE'!$A:$A,1,0)</f>
        <v>1210311</v>
      </c>
      <c r="H221" s="1213">
        <f>+VLOOKUP(B221,Composición!$C$4:$H$1742,5,0)-D221</f>
        <v>-1003000000</v>
      </c>
      <c r="I221" s="1214">
        <f>+VLOOKUP(B221,Composición!$C$4:$H$1742,6,0)-E221</f>
        <v>-128076.46</v>
      </c>
      <c r="M221" s="14"/>
      <c r="N221" s="14"/>
      <c r="O221" s="14"/>
      <c r="P221" s="14"/>
    </row>
    <row r="222" spans="1:16" s="31" customFormat="1" ht="16.5" customHeight="1">
      <c r="A222" s="31" t="str">
        <f t="shared" si="4"/>
        <v>NI</v>
      </c>
      <c r="B222" s="1220">
        <v>12103111</v>
      </c>
      <c r="C222" s="1221" t="s">
        <v>178</v>
      </c>
      <c r="D222" s="1222">
        <v>1003000000</v>
      </c>
      <c r="E222" s="1223">
        <v>128076.46</v>
      </c>
      <c r="F222" s="1058">
        <f>+VLOOKUP(B222,Composición!$C$5:$D$1768,1,0)</f>
        <v>12103111</v>
      </c>
      <c r="G222" s="1058">
        <f>+VLOOKUP(B222,'CA FE'!$A:$A,1,0)</f>
        <v>12103111</v>
      </c>
      <c r="H222" s="1048">
        <f>+VLOOKUP(B222,Composición!$C$4:$H$1742,5,0)-D222</f>
        <v>-1003000000</v>
      </c>
      <c r="I222" s="1214">
        <f>+VLOOKUP(B222,Composición!$C$4:$H$1742,6,0)-E222</f>
        <v>-128076.46</v>
      </c>
      <c r="M222" s="14"/>
      <c r="N222" s="14"/>
      <c r="O222" s="14"/>
      <c r="P222" s="14"/>
    </row>
    <row r="223" spans="1:16" s="14" customFormat="1" ht="16.5" customHeight="1">
      <c r="A223" s="14" t="str">
        <f t="shared" si="4"/>
        <v>I</v>
      </c>
      <c r="B223" s="1203">
        <v>1210311101</v>
      </c>
      <c r="C223" t="s">
        <v>179</v>
      </c>
      <c r="D223" s="1308">
        <v>262142322</v>
      </c>
      <c r="E223" s="1309">
        <v>33473.839999999997</v>
      </c>
      <c r="F223" s="818">
        <f>+VLOOKUP(B223,Composición!$C$5:$D$1768,1,0)</f>
        <v>1210311101</v>
      </c>
      <c r="G223" s="818">
        <f>+VLOOKUP(B223,'CA FE'!$A:$A,1,0)</f>
        <v>1210311101</v>
      </c>
      <c r="H223" s="1049">
        <f>+VLOOKUP(B223,Composición!$C$4:$H$1742,5,0)</f>
        <v>262142322</v>
      </c>
      <c r="I223" s="14">
        <f>+VLOOKUP(B223,Composición!$C$4:$H$1742,6,0)</f>
        <v>33473.839999999997</v>
      </c>
    </row>
    <row r="224" spans="1:16" s="14" customFormat="1" ht="16.5" customHeight="1">
      <c r="A224" s="14" t="str">
        <f t="shared" si="4"/>
        <v>I</v>
      </c>
      <c r="B224" s="1203">
        <v>1210311102</v>
      </c>
      <c r="C224" t="s">
        <v>180</v>
      </c>
      <c r="D224" s="1308">
        <v>740857678</v>
      </c>
      <c r="E224" s="1309">
        <v>94602.62</v>
      </c>
      <c r="F224" s="818">
        <f>+VLOOKUP(B224,Composición!$C$5:$D$1768,1,0)</f>
        <v>1210311102</v>
      </c>
      <c r="G224" s="818">
        <f>+VLOOKUP(B224,'CA FE'!$A:$A,1,0)</f>
        <v>1210311102</v>
      </c>
      <c r="H224" s="1049">
        <f>+VLOOKUP(B224,Composición!$C$4:$H$1742,5,0)-D224</f>
        <v>0</v>
      </c>
      <c r="I224" s="1311">
        <f>+VLOOKUP(B224,Composición!$C$4:$H$1742,6,0)-E224</f>
        <v>0</v>
      </c>
      <c r="J224" s="829"/>
    </row>
    <row r="225" spans="1:16" s="31" customFormat="1" ht="16.5" customHeight="1">
      <c r="A225" s="31" t="str">
        <f t="shared" si="4"/>
        <v>NI</v>
      </c>
      <c r="B225" s="1220">
        <v>128</v>
      </c>
      <c r="C225" s="1221" t="s">
        <v>181</v>
      </c>
      <c r="D225" s="1222">
        <v>2518344227</v>
      </c>
      <c r="E225" s="1223">
        <v>342555.36</v>
      </c>
      <c r="F225" s="1058">
        <f>+VLOOKUP(B225,Composición!$C$5:$D$1768,1,0)</f>
        <v>128</v>
      </c>
      <c r="G225" s="1058">
        <f>+VLOOKUP(B225,'CA FE'!$A:$A,1,0)</f>
        <v>128</v>
      </c>
      <c r="H225" s="31">
        <f>+VLOOKUP(B225,Composición!$C$4:$H$1742,5,0)</f>
        <v>0</v>
      </c>
      <c r="I225" s="31">
        <f>+VLOOKUP(B225,Composición!$C$4:$H$1742,6,0)</f>
        <v>0</v>
      </c>
      <c r="J225" s="828"/>
      <c r="M225" s="14"/>
      <c r="N225" s="14"/>
      <c r="O225" s="14"/>
      <c r="P225" s="14"/>
    </row>
    <row r="226" spans="1:16" s="31" customFormat="1" ht="16.5" customHeight="1">
      <c r="A226" s="31" t="str">
        <f t="shared" si="4"/>
        <v>NI</v>
      </c>
      <c r="B226" s="1220">
        <v>12801</v>
      </c>
      <c r="C226" s="1221" t="s">
        <v>182</v>
      </c>
      <c r="D226" s="1222">
        <v>2518344227</v>
      </c>
      <c r="E226" s="1223">
        <v>342555.36</v>
      </c>
      <c r="F226" s="1058">
        <f>+VLOOKUP(B226,Composición!$C$5:$D$1768,1,0)</f>
        <v>12801</v>
      </c>
      <c r="G226" s="1058">
        <f>+VLOOKUP(B226,'CA FE'!$A:$A,1,0)</f>
        <v>12801</v>
      </c>
      <c r="H226" s="31">
        <f>+VLOOKUP(B226,Composición!$C$4:$H$1742,5,0)</f>
        <v>0</v>
      </c>
      <c r="I226" s="31">
        <f>+VLOOKUP(B226,Composición!$C$4:$H$1742,6,0)</f>
        <v>0</v>
      </c>
      <c r="M226" s="14"/>
      <c r="N226" s="14"/>
      <c r="O226" s="14"/>
      <c r="P226" s="14"/>
    </row>
    <row r="227" spans="1:16" s="31" customFormat="1" ht="16.5" customHeight="1">
      <c r="A227" s="31" t="str">
        <f t="shared" si="4"/>
        <v>NI</v>
      </c>
      <c r="B227" s="1220">
        <v>128011</v>
      </c>
      <c r="C227" s="1221" t="s">
        <v>182</v>
      </c>
      <c r="D227" s="1222">
        <v>2518344227</v>
      </c>
      <c r="E227" s="1223">
        <v>342555.36</v>
      </c>
      <c r="F227" s="1058">
        <f>+VLOOKUP(B227,Composición!$C$5:$D$1768,1,0)</f>
        <v>128011</v>
      </c>
      <c r="G227" s="1058">
        <f>+VLOOKUP(B227,'CA FE'!$A:$A,1,0)</f>
        <v>128011</v>
      </c>
      <c r="H227" s="1213">
        <f>+VLOOKUP(B227,Composición!$C$4:$H$1742,5,0)-D227</f>
        <v>-2518344227</v>
      </c>
      <c r="I227" s="1214">
        <f>+VLOOKUP(B227,Composición!$C$4:$H$1742,6,0)-E227</f>
        <v>-342555.36</v>
      </c>
      <c r="M227" s="14"/>
      <c r="N227" s="14"/>
      <c r="O227" s="14"/>
      <c r="P227" s="14"/>
    </row>
    <row r="228" spans="1:16" s="31" customFormat="1" ht="16.5" customHeight="1">
      <c r="A228" s="31" t="str">
        <f t="shared" si="4"/>
        <v>NI</v>
      </c>
      <c r="B228" s="1220">
        <v>1280111</v>
      </c>
      <c r="C228" s="1221" t="s">
        <v>183</v>
      </c>
      <c r="D228" s="1222">
        <v>2159638810</v>
      </c>
      <c r="E228" s="1223">
        <v>296722.03000000003</v>
      </c>
      <c r="F228" s="1058">
        <f>+VLOOKUP(B228,Composición!$C$5:$D$1768,1,0)</f>
        <v>1280111</v>
      </c>
      <c r="G228" s="1058">
        <f>+VLOOKUP(B228,'CA FE'!$A:$A,1,0)</f>
        <v>1280111</v>
      </c>
      <c r="H228" s="1213">
        <f>+VLOOKUP(B228,Composición!$C$4:$H$1742,5,0)-D228</f>
        <v>-2159638810</v>
      </c>
      <c r="I228" s="1214">
        <f>+VLOOKUP(B228,Composición!$C$4:$H$1742,6,0)-E228</f>
        <v>-296722.03000000003</v>
      </c>
      <c r="M228" s="14"/>
      <c r="N228" s="14"/>
      <c r="O228" s="14"/>
      <c r="P228" s="14"/>
    </row>
    <row r="229" spans="1:16" s="31" customFormat="1" ht="16.5" customHeight="1">
      <c r="A229" s="31" t="str">
        <f t="shared" si="4"/>
        <v>NI</v>
      </c>
      <c r="B229" s="1220">
        <v>12801111</v>
      </c>
      <c r="C229" s="1221" t="s">
        <v>184</v>
      </c>
      <c r="D229" s="1222">
        <v>2905069770</v>
      </c>
      <c r="E229" s="1223">
        <v>399845</v>
      </c>
      <c r="F229" s="1058">
        <f>+VLOOKUP(B229,Composición!$C$5:$D$1768,1,0)</f>
        <v>12801111</v>
      </c>
      <c r="G229" s="1058">
        <f>+VLOOKUP(B229,'CA FE'!$A:$A,1,0)</f>
        <v>12801111</v>
      </c>
      <c r="H229" s="1213">
        <f>+VLOOKUP(B229,Composición!$C$4:$H$1742,5,0)-D229</f>
        <v>-2905069770</v>
      </c>
      <c r="I229" s="1214">
        <f>+VLOOKUP(B229,Composición!$C$4:$H$1742,6,0)-E229</f>
        <v>-399845</v>
      </c>
      <c r="M229" s="14"/>
      <c r="N229" s="14"/>
      <c r="O229" s="14"/>
      <c r="P229" s="14"/>
    </row>
    <row r="230" spans="1:16" s="14" customFormat="1" ht="16.5" customHeight="1">
      <c r="A230" s="14" t="str">
        <f t="shared" si="4"/>
        <v>I</v>
      </c>
      <c r="B230" s="1203">
        <v>1280111102</v>
      </c>
      <c r="C230" t="s">
        <v>185</v>
      </c>
      <c r="D230" s="1308">
        <v>2905069770</v>
      </c>
      <c r="E230" s="1309">
        <v>399845</v>
      </c>
      <c r="F230" s="818">
        <f>+VLOOKUP(B230,Composición!$C$5:$D$1768,1,0)</f>
        <v>1280111102</v>
      </c>
      <c r="G230" s="818">
        <f>+VLOOKUP(B230,'CA FE'!$A:$A,1,0)</f>
        <v>1280111102</v>
      </c>
      <c r="H230" s="14">
        <f>+VLOOKUP(B230,Composición!$C$4:$H$1742,5,0)</f>
        <v>2905069770</v>
      </c>
      <c r="I230" s="14">
        <f>+VLOOKUP(B230,Composición!$C$4:$H$1742,6,0)</f>
        <v>399845</v>
      </c>
    </row>
    <row r="231" spans="1:16" s="31" customFormat="1" ht="16.5" customHeight="1">
      <c r="A231" s="31" t="str">
        <f t="shared" si="4"/>
        <v>NI</v>
      </c>
      <c r="B231" s="1220">
        <v>12801117</v>
      </c>
      <c r="C231" s="1221" t="s">
        <v>186</v>
      </c>
      <c r="D231" s="1222">
        <v>-745430960</v>
      </c>
      <c r="E231" s="1223">
        <v>-103122.97</v>
      </c>
      <c r="F231" s="1058">
        <f>+VLOOKUP(B231,Composición!$C$5:$D$1768,1,0)</f>
        <v>12801117</v>
      </c>
      <c r="G231" s="1058">
        <f>+VLOOKUP(B231,'CA FE'!$A:$A,1,0)</f>
        <v>12801117</v>
      </c>
      <c r="H231" s="1048">
        <f>+VLOOKUP(B231,Composición!$C$4:$H$1742,5,0)</f>
        <v>0</v>
      </c>
      <c r="I231" s="31">
        <f>+VLOOKUP(B231,Composición!$C$4:$H$1742,6,0)</f>
        <v>0</v>
      </c>
      <c r="M231" s="14"/>
      <c r="N231" s="14"/>
      <c r="O231" s="14"/>
      <c r="P231" s="14"/>
    </row>
    <row r="232" spans="1:16" s="14" customFormat="1" ht="16.5" customHeight="1">
      <c r="A232" s="14" t="str">
        <f t="shared" si="4"/>
        <v>I</v>
      </c>
      <c r="B232" s="1203">
        <v>1280111701</v>
      </c>
      <c r="C232" t="s">
        <v>184</v>
      </c>
      <c r="D232" s="1308">
        <v>-745430960</v>
      </c>
      <c r="E232" s="1309">
        <v>-103122.97</v>
      </c>
      <c r="F232" s="818">
        <f>+VLOOKUP(B232,Composición!$C$5:$D$1768,1,0)</f>
        <v>1280111701</v>
      </c>
      <c r="G232" s="818">
        <f>+VLOOKUP(B232,'CA FE'!$A:$A,1,0)</f>
        <v>1280111701</v>
      </c>
      <c r="H232" s="1049">
        <f>+VLOOKUP(B232,Composición!$C$4:$H$1742,5,0)</f>
        <v>-745430960</v>
      </c>
      <c r="I232" s="14">
        <f>+VLOOKUP(B232,Composición!$C$4:$H$1742,6,0)</f>
        <v>-103122.97</v>
      </c>
    </row>
    <row r="233" spans="1:16" s="31" customFormat="1" ht="16.5" customHeight="1">
      <c r="A233" s="31" t="str">
        <f t="shared" si="4"/>
        <v>NI</v>
      </c>
      <c r="B233" s="1220">
        <v>1280112</v>
      </c>
      <c r="C233" s="1221" t="s">
        <v>187</v>
      </c>
      <c r="D233" s="1222">
        <v>358705417</v>
      </c>
      <c r="E233" s="1223">
        <v>45833.33</v>
      </c>
      <c r="F233" s="1058">
        <f>+VLOOKUP(B233,Composición!$C$5:$D$1768,1,0)</f>
        <v>1280112</v>
      </c>
      <c r="G233" s="1058">
        <f>+VLOOKUP(B233,'CA FE'!$A:$A,1,0)</f>
        <v>1280112</v>
      </c>
      <c r="H233" s="1048">
        <f>+VLOOKUP(B233,Composición!$C$4:$H$1742,5,0)</f>
        <v>0</v>
      </c>
      <c r="I233" s="31">
        <f>+VLOOKUP(B233,Composición!$C$4:$H$1742,6,0)</f>
        <v>0</v>
      </c>
      <c r="M233" s="14"/>
      <c r="N233" s="14"/>
      <c r="O233" s="14"/>
      <c r="P233" s="14"/>
    </row>
    <row r="234" spans="1:16" s="31" customFormat="1" ht="16.5" customHeight="1">
      <c r="A234" s="31" t="str">
        <f t="shared" si="4"/>
        <v>NI</v>
      </c>
      <c r="B234" s="1220">
        <v>12801121</v>
      </c>
      <c r="C234" s="1221" t="s">
        <v>188</v>
      </c>
      <c r="D234" s="1222">
        <v>777258485</v>
      </c>
      <c r="E234" s="1223">
        <v>102850</v>
      </c>
      <c r="F234" s="1058">
        <f>+VLOOKUP(B234,Composición!$C$5:$D$1768,1,0)</f>
        <v>12801121</v>
      </c>
      <c r="G234" s="1058">
        <f>+VLOOKUP(B234,'CA FE'!$A:$A,1,0)</f>
        <v>12801121</v>
      </c>
      <c r="H234" s="31">
        <f>+VLOOKUP(B234,Composición!$C$4:$H$1742,5,0)</f>
        <v>0</v>
      </c>
      <c r="I234" s="31">
        <f>+VLOOKUP(B234,Composición!$C$4:$H$1742,6,0)</f>
        <v>0</v>
      </c>
      <c r="M234" s="14"/>
      <c r="N234" s="14"/>
      <c r="O234" s="14"/>
      <c r="P234" s="14"/>
    </row>
    <row r="235" spans="1:16" s="14" customFormat="1" ht="16.5" customHeight="1">
      <c r="A235" s="14" t="str">
        <f t="shared" si="4"/>
        <v>I</v>
      </c>
      <c r="B235" s="1203">
        <v>1280112102</v>
      </c>
      <c r="C235" t="s">
        <v>189</v>
      </c>
      <c r="D235" s="1308">
        <v>777258485</v>
      </c>
      <c r="E235" s="1309">
        <v>102850</v>
      </c>
      <c r="F235" s="818">
        <f>+VLOOKUP(B235,Composición!$C$5:$D$1768,1,0)</f>
        <v>1280112102</v>
      </c>
      <c r="G235" s="818">
        <f>+VLOOKUP(B235,'CA FE'!$A:$A,1,0)</f>
        <v>1280112102</v>
      </c>
      <c r="H235" s="14">
        <f>+VLOOKUP(B235,Composición!$C$4:$H$1742,5,0)</f>
        <v>777258485</v>
      </c>
      <c r="I235" s="14">
        <f>+VLOOKUP(B235,Composición!$C$4:$H$1742,6,0)</f>
        <v>102850</v>
      </c>
      <c r="J235" s="829"/>
    </row>
    <row r="236" spans="1:16" s="31" customFormat="1" ht="16.5" customHeight="1">
      <c r="A236" s="31" t="str">
        <f t="shared" si="4"/>
        <v>NI</v>
      </c>
      <c r="B236" s="1220">
        <v>12801122</v>
      </c>
      <c r="C236" s="1221" t="s">
        <v>186</v>
      </c>
      <c r="D236" s="1222">
        <v>-418553068</v>
      </c>
      <c r="E236" s="1223">
        <v>-57016.67</v>
      </c>
      <c r="F236" s="1058">
        <f>+VLOOKUP(B236,Composición!$C$5:$D$1768,1,0)</f>
        <v>12801122</v>
      </c>
      <c r="G236" s="1058">
        <f>+VLOOKUP(B236,'CA FE'!$A:$A,1,0)</f>
        <v>12801122</v>
      </c>
      <c r="H236" s="31">
        <f>+VLOOKUP(B236,Composición!$C$4:$H$1742,5,0)</f>
        <v>0</v>
      </c>
      <c r="I236" s="31">
        <f>+VLOOKUP(B236,Composición!$C$4:$H$1742,6,0)</f>
        <v>0</v>
      </c>
      <c r="M236" s="14"/>
      <c r="N236" s="14"/>
      <c r="O236" s="14"/>
      <c r="P236" s="14"/>
    </row>
    <row r="237" spans="1:16" s="14" customFormat="1" ht="16.5" customHeight="1">
      <c r="A237" s="14" t="str">
        <f t="shared" si="4"/>
        <v>I</v>
      </c>
      <c r="B237" s="1203">
        <v>1280112201</v>
      </c>
      <c r="C237" t="s">
        <v>190</v>
      </c>
      <c r="D237" s="1308">
        <v>-418553068</v>
      </c>
      <c r="E237" s="1309">
        <v>-57016.67</v>
      </c>
      <c r="F237" s="818">
        <f>+VLOOKUP(B237,Composición!$C$5:$D$1768,1,0)</f>
        <v>1280112201</v>
      </c>
      <c r="G237" s="818">
        <f>+VLOOKUP(B237,'CA FE'!$A:$A,1,0)</f>
        <v>1280112201</v>
      </c>
      <c r="H237" s="14">
        <f>+VLOOKUP(B237,Composición!$C$4:$H$1742,5,0)</f>
        <v>-418553068</v>
      </c>
      <c r="I237" s="14">
        <f>+VLOOKUP(B237,Composición!$C$4:$H$1742,6,0)</f>
        <v>-57016.67</v>
      </c>
    </row>
    <row r="238" spans="1:16" s="31" customFormat="1" ht="16.5" customHeight="1">
      <c r="A238" s="31" t="str">
        <f t="shared" si="4"/>
        <v>NI</v>
      </c>
      <c r="B238" s="1220">
        <v>2</v>
      </c>
      <c r="C238" s="1221" t="s">
        <v>193</v>
      </c>
      <c r="D238" s="1222">
        <v>44491125391</v>
      </c>
      <c r="E238" s="1223">
        <v>5681223.7699999809</v>
      </c>
      <c r="F238" s="1058">
        <f>+VLOOKUP(B238,Composición!$C$5:$D$1768,1,0)</f>
        <v>2</v>
      </c>
      <c r="G238" s="1058">
        <f>+VLOOKUP(B238,'CA FE'!$A:$A,1,0)</f>
        <v>2</v>
      </c>
      <c r="H238" s="1048">
        <f>+VLOOKUP(B238,Composición!$C$4:$H$1742,5,0)-D238</f>
        <v>-44491125391</v>
      </c>
      <c r="I238" s="1214">
        <f>+VLOOKUP(B238,Composición!$C$4:$H$1742,6,0)-E238</f>
        <v>-5681223.7699999809</v>
      </c>
      <c r="M238" s="14"/>
      <c r="N238" s="14"/>
      <c r="O238" s="14"/>
      <c r="P238" s="14"/>
    </row>
    <row r="239" spans="1:16" s="31" customFormat="1" ht="16.5" customHeight="1">
      <c r="A239" s="31" t="str">
        <f t="shared" si="4"/>
        <v>NI</v>
      </c>
      <c r="B239" s="1220">
        <v>21</v>
      </c>
      <c r="C239" s="1221" t="s">
        <v>194</v>
      </c>
      <c r="D239" s="1222">
        <v>44491125391</v>
      </c>
      <c r="E239" s="1223">
        <v>5681223.7699999809</v>
      </c>
      <c r="F239" s="1058">
        <f>+VLOOKUP(B239,Composición!$C$5:$D$1768,1,0)</f>
        <v>21</v>
      </c>
      <c r="G239" s="1058">
        <f>+VLOOKUP(B239,'CA FE'!$A:$A,1,0)</f>
        <v>21</v>
      </c>
      <c r="H239" s="1048">
        <f>+VLOOKUP(B239,Composición!$C$4:$H$1742,5,0)-D239</f>
        <v>-44491125391</v>
      </c>
      <c r="I239" s="1214">
        <f>+VLOOKUP(B239,Composición!$C$4:$H$1742,6,0)-E239</f>
        <v>-5681223.7699999809</v>
      </c>
      <c r="J239" s="828"/>
      <c r="M239" s="14"/>
      <c r="N239" s="14"/>
      <c r="O239" s="14"/>
      <c r="P239" s="14"/>
    </row>
    <row r="240" spans="1:16" s="31" customFormat="1" ht="16.5" customHeight="1">
      <c r="A240" s="31" t="str">
        <f t="shared" si="4"/>
        <v>NI</v>
      </c>
      <c r="B240" s="1220">
        <v>211</v>
      </c>
      <c r="C240" s="1221" t="s">
        <v>195</v>
      </c>
      <c r="D240" s="1222">
        <v>1112200024</v>
      </c>
      <c r="E240" s="1223">
        <v>142022.49000000954</v>
      </c>
      <c r="F240" s="1058">
        <f>+VLOOKUP(B240,Composición!$C$5:$D$1768,1,0)</f>
        <v>211</v>
      </c>
      <c r="G240" s="1058">
        <f>+VLOOKUP(B240,'CA FE'!$A:$A,1,0)</f>
        <v>211</v>
      </c>
      <c r="H240" s="31">
        <f>+VLOOKUP(B240,Composición!$C$4:$H$1742,5,0)</f>
        <v>0</v>
      </c>
      <c r="I240" s="31">
        <f>+VLOOKUP(B240,Composición!$C$4:$H$1742,6,0)</f>
        <v>0</v>
      </c>
      <c r="M240" s="14"/>
      <c r="N240" s="14"/>
      <c r="O240" s="14"/>
      <c r="P240" s="14"/>
    </row>
    <row r="241" spans="1:16" s="31" customFormat="1" ht="16.5" customHeight="1">
      <c r="A241" s="31" t="str">
        <f t="shared" si="4"/>
        <v>NI</v>
      </c>
      <c r="B241" s="1220">
        <v>21101</v>
      </c>
      <c r="C241" s="1221" t="s">
        <v>196</v>
      </c>
      <c r="D241" s="1222">
        <v>1112200024</v>
      </c>
      <c r="E241" s="1223">
        <v>142022.49000000954</v>
      </c>
      <c r="F241" s="1058">
        <f>+VLOOKUP(B241,Composición!$C$5:$D$1768,1,0)</f>
        <v>21101</v>
      </c>
      <c r="G241" s="1058">
        <f>+VLOOKUP(B241,'CA FE'!$A:$A,1,0)</f>
        <v>21101</v>
      </c>
      <c r="H241" s="1213">
        <f>+VLOOKUP(B241,Composición!$C$4:$H$1742,5,0)-D241</f>
        <v>-1112200024</v>
      </c>
      <c r="I241" s="1214">
        <f>+VLOOKUP(B241,Composición!$C$4:$H$1742,6,0)-E241</f>
        <v>-142022.49000000954</v>
      </c>
      <c r="M241" s="14"/>
      <c r="N241" s="14"/>
      <c r="O241" s="14"/>
      <c r="P241" s="14"/>
    </row>
    <row r="242" spans="1:16" s="31" customFormat="1" ht="16.5" customHeight="1">
      <c r="A242" s="31" t="str">
        <f t="shared" si="4"/>
        <v>NI</v>
      </c>
      <c r="B242" s="1220">
        <v>211011</v>
      </c>
      <c r="C242" s="1221" t="s">
        <v>196</v>
      </c>
      <c r="D242" s="1222">
        <v>514033504.99804688</v>
      </c>
      <c r="E242" s="1223">
        <v>65640.890000104904</v>
      </c>
      <c r="F242" s="1058">
        <f>+VLOOKUP(B242,Composición!$C$5:$D$1768,1,0)</f>
        <v>211011</v>
      </c>
      <c r="G242" s="1058">
        <f>+VLOOKUP(B242,'CA FE'!$A:$A,1,0)</f>
        <v>211011</v>
      </c>
      <c r="H242" s="1213">
        <f>+VLOOKUP(B242,Composición!$C$4:$H$1742,5,0)-D242</f>
        <v>-514033504.99804688</v>
      </c>
      <c r="I242" s="1214">
        <f>+VLOOKUP(B242,Composición!$C$4:$H$1742,6,0)-E242</f>
        <v>-65640.890000104904</v>
      </c>
      <c r="M242" s="14"/>
      <c r="N242" s="14"/>
      <c r="O242" s="14"/>
      <c r="P242" s="14"/>
    </row>
    <row r="243" spans="1:16" s="31" customFormat="1" ht="16.5" customHeight="1">
      <c r="A243" s="31" t="str">
        <f t="shared" si="4"/>
        <v>NI</v>
      </c>
      <c r="B243" s="1220">
        <v>2110111</v>
      </c>
      <c r="C243" s="1221" t="s">
        <v>197</v>
      </c>
      <c r="D243" s="1222">
        <v>514033504.99804688</v>
      </c>
      <c r="E243" s="1223">
        <v>65640.890000104904</v>
      </c>
      <c r="F243" s="1058">
        <f>+VLOOKUP(B243,Composición!$C$5:$D$1768,1,0)</f>
        <v>2110111</v>
      </c>
      <c r="G243" s="1058">
        <f>+VLOOKUP(B243,'CA FE'!$A:$A,1,0)</f>
        <v>2110111</v>
      </c>
      <c r="H243" s="31">
        <f>+VLOOKUP(B243,Composición!$C$4:$H$1742,5,0)</f>
        <v>0</v>
      </c>
      <c r="I243" s="31">
        <f>+VLOOKUP(B243,Composición!$C$4:$H$1742,6,0)</f>
        <v>0</v>
      </c>
      <c r="M243" s="14"/>
      <c r="N243" s="14"/>
      <c r="O243" s="14"/>
      <c r="P243" s="14"/>
    </row>
    <row r="244" spans="1:16" s="31" customFormat="1" ht="16.5" customHeight="1">
      <c r="A244" s="31" t="str">
        <f t="shared" si="4"/>
        <v>NI</v>
      </c>
      <c r="B244" s="1220">
        <v>21101111</v>
      </c>
      <c r="C244" s="1221" t="s">
        <v>520</v>
      </c>
      <c r="D244" s="1222">
        <v>24997633</v>
      </c>
      <c r="E244" s="1223">
        <v>3192.0299999713902</v>
      </c>
      <c r="F244" s="1058">
        <f>+VLOOKUP(B244,Composición!$C$5:$D$1768,1,0)</f>
        <v>21101111</v>
      </c>
      <c r="G244" s="1058">
        <f>+VLOOKUP(B244,'CA FE'!$A:$A,1,0)</f>
        <v>21101111</v>
      </c>
      <c r="H244" s="1213">
        <f>+VLOOKUP(B244,Composición!$C$4:$H$1742,5,0)-D244</f>
        <v>-24997633</v>
      </c>
      <c r="I244" s="1214">
        <f>+VLOOKUP(B244,Composición!$C$4:$H$1742,6,0)-E244</f>
        <v>-3192.0299999713902</v>
      </c>
      <c r="M244" s="14"/>
      <c r="N244" s="14"/>
      <c r="O244" s="14"/>
      <c r="P244" s="14"/>
    </row>
    <row r="245" spans="1:16" s="14" customFormat="1" ht="16.5" customHeight="1">
      <c r="A245" s="14" t="str">
        <f t="shared" si="4"/>
        <v>I</v>
      </c>
      <c r="B245" s="1203">
        <v>2110111101</v>
      </c>
      <c r="C245" t="s">
        <v>539</v>
      </c>
      <c r="D245" s="1308">
        <v>591981</v>
      </c>
      <c r="E245" s="1309">
        <v>75.590000033378601</v>
      </c>
      <c r="F245" s="818">
        <f>+VLOOKUP(B245,Composición!$C$5:$D$1768,1,0)</f>
        <v>2110111101</v>
      </c>
      <c r="G245" s="818">
        <f>+VLOOKUP(B245,'CA FE'!$A:$A,1,0)</f>
        <v>2110111101</v>
      </c>
      <c r="H245" s="1049">
        <f>+VLOOKUP(B245,Composición!$C$4:$H$1742,5,0)</f>
        <v>591981</v>
      </c>
      <c r="I245" s="14">
        <f>+VLOOKUP(B245,Composición!$C$4:$H$1742,6,0)</f>
        <v>75.590000033378601</v>
      </c>
    </row>
    <row r="246" spans="1:16" s="14" customFormat="1" ht="16.5" customHeight="1">
      <c r="A246" s="14" t="str">
        <f t="shared" si="4"/>
        <v>I</v>
      </c>
      <c r="B246" s="1203">
        <v>2110111102</v>
      </c>
      <c r="C246" t="s">
        <v>585</v>
      </c>
      <c r="D246" s="1308">
        <v>24405652</v>
      </c>
      <c r="E246" s="1309">
        <v>3116.4400000572205</v>
      </c>
      <c r="F246" s="818">
        <f>+VLOOKUP(B246,Composición!$C$5:$D$1768,1,0)</f>
        <v>2110111102</v>
      </c>
      <c r="G246" s="818">
        <f>+VLOOKUP(B246,'CA FE'!$A:$A,1,0)</f>
        <v>2110111102</v>
      </c>
      <c r="H246" s="14">
        <f>+VLOOKUP(B246,Composición!$C$4:$H$1742,5,0)</f>
        <v>24405652</v>
      </c>
      <c r="I246" s="14">
        <f>+VLOOKUP(B246,Composición!$C$4:$H$1742,6,0)</f>
        <v>3116.4400000572205</v>
      </c>
      <c r="J246" s="829"/>
    </row>
    <row r="247" spans="1:16" s="31" customFormat="1" ht="16.5" customHeight="1">
      <c r="A247" s="31" t="str">
        <f t="shared" si="4"/>
        <v>NI</v>
      </c>
      <c r="B247" s="1220">
        <v>21101112</v>
      </c>
      <c r="C247" s="1221" t="s">
        <v>198</v>
      </c>
      <c r="D247" s="1222">
        <v>220213</v>
      </c>
      <c r="E247" s="1223">
        <v>30.340000000000146</v>
      </c>
      <c r="F247" s="1058">
        <f>+VLOOKUP(B247,Composición!$C$5:$D$1768,1,0)</f>
        <v>21101112</v>
      </c>
      <c r="G247" s="1058">
        <f>+VLOOKUP(B247,'CA FE'!$A:$A,1,0)</f>
        <v>21101112</v>
      </c>
      <c r="H247" s="1048">
        <f>+VLOOKUP(B247,Composición!$C$4:$H$1742,5,0)</f>
        <v>0</v>
      </c>
      <c r="I247" s="31">
        <f>+VLOOKUP(B247,Composición!$C$4:$H$1742,6,0)</f>
        <v>0</v>
      </c>
      <c r="J247" s="828"/>
      <c r="M247" s="14"/>
      <c r="N247" s="14"/>
      <c r="O247" s="14"/>
      <c r="P247" s="14"/>
    </row>
    <row r="248" spans="1:16" s="14" customFormat="1" ht="16.5" customHeight="1">
      <c r="A248" s="14" t="str">
        <f t="shared" si="4"/>
        <v>I</v>
      </c>
      <c r="B248" s="1203">
        <v>2110111202</v>
      </c>
      <c r="C248" t="s">
        <v>199</v>
      </c>
      <c r="D248" s="1308">
        <v>220213</v>
      </c>
      <c r="E248" s="1309">
        <v>30.339999999999918</v>
      </c>
      <c r="F248" s="818">
        <f>+VLOOKUP(B248,Composición!$C$5:$D$1768,1,0)</f>
        <v>2110111202</v>
      </c>
      <c r="G248" s="818">
        <f>+VLOOKUP(B248,'CA FE'!$A:$A,1,0)</f>
        <v>2110111202</v>
      </c>
      <c r="H248" s="1310">
        <f>+VLOOKUP(B248,Composición!$C$4:$H$1742,5,0)-D248</f>
        <v>0</v>
      </c>
      <c r="I248" s="1311">
        <f>+VLOOKUP(B248,Composición!$C$4:$H$1742,6,0)-E248</f>
        <v>0</v>
      </c>
    </row>
    <row r="249" spans="1:16" s="31" customFormat="1" ht="16.5" customHeight="1">
      <c r="A249" s="31" t="str">
        <f t="shared" si="4"/>
        <v>NI</v>
      </c>
      <c r="B249" s="1220">
        <v>21101114</v>
      </c>
      <c r="C249" s="1221" t="s">
        <v>200</v>
      </c>
      <c r="D249" s="1222">
        <v>488815659</v>
      </c>
      <c r="E249" s="1223">
        <v>62418.519999980927</v>
      </c>
      <c r="F249" s="1058">
        <f>+VLOOKUP(B249,Composición!$C$5:$D$1768,1,0)</f>
        <v>21101114</v>
      </c>
      <c r="G249" s="1058">
        <f>+VLOOKUP(B249,'CA FE'!$A:$A,1,0)</f>
        <v>21101114</v>
      </c>
      <c r="H249" s="1213">
        <f>+VLOOKUP(B249,Composición!$C$4:$H$1742,5,0)-D249</f>
        <v>-488815659</v>
      </c>
      <c r="I249" s="1214">
        <f>+VLOOKUP(B249,Composición!$C$4:$H$1742,6,0)-E249</f>
        <v>-62418.519999980927</v>
      </c>
      <c r="J249" s="1054">
        <f>+I249-D249</f>
        <v>-488878077.51999998</v>
      </c>
      <c r="M249" s="14"/>
      <c r="N249" s="14"/>
      <c r="O249" s="14"/>
      <c r="P249" s="14"/>
    </row>
    <row r="250" spans="1:16" s="14" customFormat="1" ht="16.5" customHeight="1">
      <c r="A250" s="14" t="str">
        <f t="shared" si="4"/>
        <v>I</v>
      </c>
      <c r="B250" s="1203">
        <v>2110111402</v>
      </c>
      <c r="C250" t="s">
        <v>201</v>
      </c>
      <c r="D250" s="1308">
        <v>488815659</v>
      </c>
      <c r="E250" s="1309">
        <v>62418.519999980927</v>
      </c>
      <c r="F250" s="818">
        <f>+VLOOKUP(B250,Composición!$C$5:$D$1768,1,0)</f>
        <v>2110111402</v>
      </c>
      <c r="G250" s="818">
        <f>+VLOOKUP(B250,'CA FE'!$A:$A,1,0)</f>
        <v>2110111402</v>
      </c>
      <c r="H250" s="1049">
        <f>+VLOOKUP(B250,Composición!$C$4:$H$1742,5,0)-D250</f>
        <v>0</v>
      </c>
      <c r="I250" s="1311">
        <f>+VLOOKUP(B250,Composición!$C$4:$H$1742,6,0)-E250</f>
        <v>0</v>
      </c>
      <c r="J250" s="1053">
        <f t="shared" ref="J250:J331" si="5">+I250-D250</f>
        <v>-488815659</v>
      </c>
    </row>
    <row r="251" spans="1:16" s="31" customFormat="1" ht="16.5" customHeight="1">
      <c r="A251" s="31" t="str">
        <f t="shared" si="4"/>
        <v>NI</v>
      </c>
      <c r="B251" s="1220">
        <v>211012</v>
      </c>
      <c r="C251" s="1221" t="s">
        <v>202</v>
      </c>
      <c r="D251" s="1222">
        <v>4018500</v>
      </c>
      <c r="E251" s="1223">
        <v>512.82999999821186</v>
      </c>
      <c r="F251" s="1058">
        <f>+VLOOKUP(B251,Composición!$C$5:$D$1768,1,0)</f>
        <v>211012</v>
      </c>
      <c r="G251" s="1058">
        <f>+VLOOKUP(B251,'CA FE'!$A:$A,1,0)</f>
        <v>211012</v>
      </c>
      <c r="H251" s="31">
        <f>+VLOOKUP(B251,Composición!$C$4:$H$1742,5,0)</f>
        <v>0</v>
      </c>
      <c r="I251" s="31">
        <f>+VLOOKUP(B251,Composición!$C$4:$H$1742,6,0)</f>
        <v>0</v>
      </c>
      <c r="J251" s="1054">
        <f t="shared" si="5"/>
        <v>-4018500</v>
      </c>
      <c r="M251" s="14"/>
      <c r="N251" s="14"/>
      <c r="O251" s="14"/>
      <c r="P251" s="14"/>
    </row>
    <row r="252" spans="1:16" s="31" customFormat="1" ht="16.5" customHeight="1">
      <c r="A252" s="31" t="str">
        <f t="shared" si="4"/>
        <v>NI</v>
      </c>
      <c r="B252" s="1220">
        <v>2110121</v>
      </c>
      <c r="C252" s="1221" t="s">
        <v>202</v>
      </c>
      <c r="D252" s="1222">
        <v>4018500</v>
      </c>
      <c r="E252" s="1223">
        <v>512.82999999821186</v>
      </c>
      <c r="F252" s="1058">
        <f>+VLOOKUP(B252,Composición!$C$5:$D$1768,1,0)</f>
        <v>2110121</v>
      </c>
      <c r="G252" s="1058">
        <f>+VLOOKUP(B252,'CA FE'!$A:$A,1,0)</f>
        <v>2110121</v>
      </c>
      <c r="H252" s="1048">
        <f>+VLOOKUP(B252,Composición!$C$4:$H$1742,5,0)</f>
        <v>0</v>
      </c>
      <c r="I252" s="31">
        <f>+VLOOKUP(B252,Composición!$C$4:$H$1742,6,0)</f>
        <v>0</v>
      </c>
      <c r="J252" s="1054">
        <f t="shared" si="5"/>
        <v>-4018500</v>
      </c>
      <c r="M252" s="14"/>
      <c r="N252" s="14"/>
      <c r="O252" s="14"/>
      <c r="P252" s="14"/>
    </row>
    <row r="253" spans="1:16" s="31" customFormat="1" ht="16.5" customHeight="1">
      <c r="A253" s="31" t="str">
        <f t="shared" si="4"/>
        <v>NI</v>
      </c>
      <c r="B253" s="1220">
        <v>21101211</v>
      </c>
      <c r="C253" s="1221" t="s">
        <v>202</v>
      </c>
      <c r="D253" s="1222">
        <v>4018500</v>
      </c>
      <c r="E253" s="1223">
        <v>512.82999999821186</v>
      </c>
      <c r="F253" s="1058">
        <f>+VLOOKUP(B253,Composición!$C$5:$D$1768,1,0)</f>
        <v>21101211</v>
      </c>
      <c r="G253" s="1058">
        <f>+VLOOKUP(B253,'CA FE'!$A:$A,1,0)</f>
        <v>21101211</v>
      </c>
      <c r="H253" s="31">
        <f>+VLOOKUP(B253,Composición!$C$4:$H$1742,5,0)</f>
        <v>0</v>
      </c>
      <c r="I253" s="31">
        <f>+VLOOKUP(B253,Composición!$C$4:$H$1742,6,0)</f>
        <v>0</v>
      </c>
      <c r="J253" s="1054">
        <f t="shared" si="5"/>
        <v>-4018500</v>
      </c>
      <c r="M253" s="14"/>
      <c r="N253" s="14"/>
      <c r="O253" s="14"/>
      <c r="P253" s="14"/>
    </row>
    <row r="254" spans="1:16" s="14" customFormat="1" ht="16.5" customHeight="1">
      <c r="A254" s="14" t="str">
        <f t="shared" si="4"/>
        <v>I</v>
      </c>
      <c r="B254" s="1203">
        <v>2110121103</v>
      </c>
      <c r="C254" t="s">
        <v>203</v>
      </c>
      <c r="D254" s="1308">
        <v>4018500</v>
      </c>
      <c r="E254" s="1309">
        <v>512.82999999999993</v>
      </c>
      <c r="F254" s="818">
        <f>+VLOOKUP(B254,Composición!$C$5:$D$1768,1,0)</f>
        <v>2110121103</v>
      </c>
      <c r="G254" s="818">
        <f>+VLOOKUP(B254,'CA FE'!$A:$A,1,0)</f>
        <v>2110121103</v>
      </c>
      <c r="H254" s="1310">
        <f>+VLOOKUP(B254,Composición!$C$4:$H$1742,5,0)-D254</f>
        <v>0</v>
      </c>
      <c r="I254" s="1311">
        <f>+VLOOKUP(B254,Composición!$C$4:$H$1742,6,0)-E254</f>
        <v>0</v>
      </c>
      <c r="J254" s="1053">
        <f t="shared" si="5"/>
        <v>-4018500</v>
      </c>
    </row>
    <row r="255" spans="1:16" s="31" customFormat="1" ht="16.5" customHeight="1">
      <c r="A255" s="31" t="str">
        <f t="shared" si="4"/>
        <v>NI</v>
      </c>
      <c r="B255" s="1220">
        <v>211015</v>
      </c>
      <c r="C255" s="1221" t="s">
        <v>204</v>
      </c>
      <c r="D255" s="1222">
        <v>594148019</v>
      </c>
      <c r="E255" s="1223">
        <v>75868.770000001416</v>
      </c>
      <c r="F255" s="1058">
        <f>+VLOOKUP(B255,Composición!$C$5:$D$1768,1,0)</f>
        <v>211015</v>
      </c>
      <c r="G255" s="1058">
        <f>+VLOOKUP(B255,'CA FE'!$A:$A,1,0)</f>
        <v>211015</v>
      </c>
      <c r="H255" s="1213">
        <f>+VLOOKUP(B255,Composición!$C$4:$H$1742,5,0)-D255</f>
        <v>-594148019</v>
      </c>
      <c r="I255" s="1214">
        <f>+VLOOKUP(B255,Composición!$C$4:$H$1742,6,0)-E255</f>
        <v>-75868.770000001416</v>
      </c>
      <c r="J255" s="1054">
        <f t="shared" si="5"/>
        <v>-594223887.76999998</v>
      </c>
      <c r="M255" s="14"/>
      <c r="N255" s="14"/>
      <c r="O255" s="14"/>
      <c r="P255" s="14"/>
    </row>
    <row r="256" spans="1:16" s="31" customFormat="1" ht="16.5" customHeight="1">
      <c r="A256" s="31" t="str">
        <f t="shared" si="4"/>
        <v>NI</v>
      </c>
      <c r="B256" s="1220">
        <v>2110151</v>
      </c>
      <c r="C256" s="1221" t="s">
        <v>204</v>
      </c>
      <c r="D256" s="1222">
        <v>594148019</v>
      </c>
      <c r="E256" s="1223">
        <v>75868.770000001416</v>
      </c>
      <c r="F256" s="1058">
        <f>+VLOOKUP(B256,Composición!$C$5:$D$1768,1,0)</f>
        <v>2110151</v>
      </c>
      <c r="G256" s="1058">
        <f>+VLOOKUP(B256,'CA FE'!$A:$A,1,0)</f>
        <v>2110151</v>
      </c>
      <c r="H256" s="1213">
        <f>+VLOOKUP(B256,Composición!$C$4:$H$1742,5,0)-D256</f>
        <v>-594148019</v>
      </c>
      <c r="I256" s="1214">
        <f>+VLOOKUP(B256,Composición!$C$4:$H$1742,6,0)-E256</f>
        <v>-75868.770000001416</v>
      </c>
      <c r="J256" s="827">
        <f t="shared" si="5"/>
        <v>-594223887.76999998</v>
      </c>
      <c r="M256" s="14"/>
      <c r="N256" s="14"/>
      <c r="O256" s="14"/>
      <c r="P256" s="14"/>
    </row>
    <row r="257" spans="1:16" s="31" customFormat="1" ht="16.5" customHeight="1">
      <c r="A257" s="31" t="str">
        <f t="shared" si="4"/>
        <v>NI</v>
      </c>
      <c r="B257" s="1220">
        <v>21101511</v>
      </c>
      <c r="C257" s="1221" t="s">
        <v>204</v>
      </c>
      <c r="D257" s="1222">
        <v>594148019</v>
      </c>
      <c r="E257" s="1223">
        <v>75868.770000001416</v>
      </c>
      <c r="F257" s="1058">
        <f>+VLOOKUP(B257,Composición!$C$5:$D$1768,1,0)</f>
        <v>21101511</v>
      </c>
      <c r="G257" s="1058">
        <f>+VLOOKUP(B257,'CA FE'!$A:$A,1,0)</f>
        <v>21101511</v>
      </c>
      <c r="H257" s="31">
        <f>+VLOOKUP(B257,Composición!$C$4:$H$1742,5,0)</f>
        <v>0</v>
      </c>
      <c r="I257" s="31">
        <f>+VLOOKUP(B257,Composición!$C$4:$H$1742,6,0)</f>
        <v>0</v>
      </c>
      <c r="J257" s="1054">
        <f t="shared" si="5"/>
        <v>-594148019</v>
      </c>
      <c r="M257" s="14"/>
      <c r="N257" s="14"/>
      <c r="O257" s="14"/>
      <c r="P257" s="14"/>
    </row>
    <row r="258" spans="1:16" s="14" customFormat="1" ht="16.5" customHeight="1">
      <c r="A258" s="14" t="str">
        <f t="shared" si="4"/>
        <v>I</v>
      </c>
      <c r="B258" s="1203">
        <v>2110151101</v>
      </c>
      <c r="C258" t="s">
        <v>205</v>
      </c>
      <c r="D258" s="1308">
        <v>27679936</v>
      </c>
      <c r="E258" s="1309">
        <v>3534.5500000007451</v>
      </c>
      <c r="F258" s="818">
        <f>+VLOOKUP(B258,Composición!$C$5:$D$1768,1,0)</f>
        <v>2110151101</v>
      </c>
      <c r="G258" s="818">
        <f>+VLOOKUP(B258,'CA FE'!$A:$A,1,0)</f>
        <v>2110151101</v>
      </c>
      <c r="H258" s="14">
        <f>+VLOOKUP(B258,Composición!$C$4:$H$1742,5,0)</f>
        <v>27679936</v>
      </c>
      <c r="I258" s="14">
        <f>+VLOOKUP(B258,Composición!$C$4:$H$1742,6,0)</f>
        <v>3534.5500000007451</v>
      </c>
      <c r="J258" s="830">
        <f t="shared" si="5"/>
        <v>-27676401.449999999</v>
      </c>
    </row>
    <row r="259" spans="1:16" s="14" customFormat="1" ht="16.5" customHeight="1">
      <c r="A259" s="14" t="str">
        <f t="shared" si="4"/>
        <v>I</v>
      </c>
      <c r="B259" s="1203">
        <v>2110151102</v>
      </c>
      <c r="C259" t="s">
        <v>206</v>
      </c>
      <c r="D259" s="1308">
        <v>65588525</v>
      </c>
      <c r="E259" s="1309">
        <v>8375.2200000000885</v>
      </c>
      <c r="F259" s="818">
        <f>+VLOOKUP(B259,Composición!$C$5:$D$1768,1,0)</f>
        <v>2110151102</v>
      </c>
      <c r="G259" s="818">
        <f>+VLOOKUP(B259,'CA FE'!$A:$A,1,0)</f>
        <v>2110151102</v>
      </c>
      <c r="H259" s="14">
        <f>+VLOOKUP(B259,Composición!$C$4:$H$1742,5,0)</f>
        <v>65588525</v>
      </c>
      <c r="I259" s="14">
        <f>+VLOOKUP(B259,Composición!$C$4:$H$1742,6,0)</f>
        <v>8375.2200000000885</v>
      </c>
      <c r="J259" s="1053">
        <f t="shared" si="5"/>
        <v>-65580149.780000001</v>
      </c>
    </row>
    <row r="260" spans="1:16" s="14" customFormat="1" ht="16.5" customHeight="1">
      <c r="A260" s="14" t="str">
        <f t="shared" si="4"/>
        <v>I</v>
      </c>
      <c r="B260" s="1203">
        <v>2110151103</v>
      </c>
      <c r="C260" t="s">
        <v>207</v>
      </c>
      <c r="D260" s="1308">
        <v>500879558</v>
      </c>
      <c r="E260" s="1309">
        <v>63959</v>
      </c>
      <c r="F260" s="818">
        <f>+VLOOKUP(B260,Composición!$C$5:$D$1768,1,0)</f>
        <v>2110151103</v>
      </c>
      <c r="G260" s="818">
        <f>+VLOOKUP(B260,'CA FE'!$A:$A,1,0)</f>
        <v>2110151103</v>
      </c>
      <c r="H260" s="1049">
        <f>+VLOOKUP(B260,Composición!$C$4:$H$1742,5,0)</f>
        <v>500879558</v>
      </c>
      <c r="I260" s="14">
        <f>+VLOOKUP(B260,Composición!$C$4:$H$1742,6,0)</f>
        <v>63959</v>
      </c>
      <c r="J260" s="830">
        <f t="shared" si="5"/>
        <v>-500815599</v>
      </c>
    </row>
    <row r="261" spans="1:16" s="31" customFormat="1" ht="16.5" customHeight="1">
      <c r="A261" s="31" t="str">
        <f t="shared" si="4"/>
        <v>NI</v>
      </c>
      <c r="B261" s="1220">
        <v>213</v>
      </c>
      <c r="C261" s="1221" t="s">
        <v>208</v>
      </c>
      <c r="D261" s="1222">
        <v>39713782438</v>
      </c>
      <c r="E261" s="1223">
        <v>5071186.8199999332</v>
      </c>
      <c r="F261" s="1058">
        <f>+VLOOKUP(B261,Composición!$C$5:$D$1768,1,0)</f>
        <v>213</v>
      </c>
      <c r="G261" s="1058">
        <f>+VLOOKUP(B261,'CA FE'!$A:$A,1,0)</f>
        <v>213</v>
      </c>
      <c r="H261" s="31">
        <f>+VLOOKUP(B261,Composición!$C$4:$H$1742,5,0)</f>
        <v>0</v>
      </c>
      <c r="I261" s="31">
        <f>+VLOOKUP(B261,Composición!$C$4:$H$1742,6,0)</f>
        <v>0</v>
      </c>
      <c r="J261" s="1054">
        <f t="shared" si="5"/>
        <v>-39713782438</v>
      </c>
      <c r="M261" s="14"/>
      <c r="N261" s="14"/>
      <c r="O261" s="14"/>
      <c r="P261" s="14"/>
    </row>
    <row r="262" spans="1:16" s="31" customFormat="1" ht="16.5" customHeight="1">
      <c r="A262" s="31" t="str">
        <f t="shared" si="4"/>
        <v>NI</v>
      </c>
      <c r="B262" s="1220">
        <v>21301</v>
      </c>
      <c r="C262" s="1221" t="s">
        <v>209</v>
      </c>
      <c r="D262" s="1222">
        <v>25976842868</v>
      </c>
      <c r="E262" s="1223">
        <v>3317070.6700000763</v>
      </c>
      <c r="F262" s="1058">
        <f>+VLOOKUP(B262,Composición!$C$5:$D$1768,1,0)</f>
        <v>21301</v>
      </c>
      <c r="G262" s="1058">
        <f>+VLOOKUP(B262,'CA FE'!$A:$A,1,0)</f>
        <v>21301</v>
      </c>
      <c r="H262" s="1048">
        <f>+VLOOKUP(B262,Composición!$C$4:$H$1742,5,0)-D262</f>
        <v>-25976842868</v>
      </c>
      <c r="I262" s="1214">
        <f>+VLOOKUP(B262,Composición!$C$4:$H$1742,6,0)-E262</f>
        <v>-3317070.6700000763</v>
      </c>
      <c r="J262" s="827">
        <f t="shared" si="5"/>
        <v>-25980159938.669998</v>
      </c>
      <c r="M262" s="14"/>
      <c r="N262" s="14"/>
      <c r="O262" s="14"/>
      <c r="P262" s="14"/>
    </row>
    <row r="263" spans="1:16" s="31" customFormat="1" ht="16.5" customHeight="1">
      <c r="A263" s="31" t="str">
        <f t="shared" si="4"/>
        <v>NI</v>
      </c>
      <c r="B263" s="1220">
        <v>213011</v>
      </c>
      <c r="C263" s="1221" t="s">
        <v>210</v>
      </c>
      <c r="D263" s="1222">
        <v>25976842868</v>
      </c>
      <c r="E263" s="1223">
        <v>3317070.6700000763</v>
      </c>
      <c r="F263" s="1058">
        <f>+VLOOKUP(B263,Composición!$C$5:$D$1768,1,0)</f>
        <v>213011</v>
      </c>
      <c r="G263" s="1058">
        <f>+VLOOKUP(B263,'CA FE'!$A:$A,1,0)</f>
        <v>213011</v>
      </c>
      <c r="H263" s="31">
        <f>+VLOOKUP(B263,Composición!$C$4:$H$1742,5,0)</f>
        <v>0</v>
      </c>
      <c r="I263" s="31">
        <f>+VLOOKUP(B263,Composición!$C$4:$H$1742,6,0)</f>
        <v>0</v>
      </c>
      <c r="J263" s="1054">
        <f t="shared" si="5"/>
        <v>-25976842868</v>
      </c>
      <c r="M263" s="14"/>
      <c r="N263" s="14"/>
      <c r="O263" s="14"/>
      <c r="P263" s="14"/>
    </row>
    <row r="264" spans="1:16" s="31" customFormat="1" ht="16.5" customHeight="1">
      <c r="A264" s="31" t="str">
        <f t="shared" si="4"/>
        <v>NI</v>
      </c>
      <c r="B264" s="1220">
        <v>2130111</v>
      </c>
      <c r="C264" s="1221" t="s">
        <v>211</v>
      </c>
      <c r="D264" s="1222">
        <v>25976842868</v>
      </c>
      <c r="E264" s="1223">
        <v>3317070.6700000763</v>
      </c>
      <c r="F264" s="1058">
        <f>+VLOOKUP(B264,Composición!$C$5:$D$1768,1,0)</f>
        <v>2130111</v>
      </c>
      <c r="G264" s="1058">
        <f>+VLOOKUP(B264,'CA FE'!$A:$A,1,0)</f>
        <v>2130111</v>
      </c>
      <c r="H264" s="31">
        <f>+VLOOKUP(B264,Composición!$C$4:$H$1742,5,0)</f>
        <v>0</v>
      </c>
      <c r="I264" s="31">
        <f>+VLOOKUP(B264,Composición!$C$4:$H$1742,6,0)</f>
        <v>0</v>
      </c>
      <c r="J264" s="827">
        <f t="shared" si="5"/>
        <v>-25976842868</v>
      </c>
      <c r="M264" s="14"/>
      <c r="N264" s="14"/>
      <c r="O264" s="14"/>
      <c r="P264" s="14"/>
    </row>
    <row r="265" spans="1:16" s="31" customFormat="1" ht="16.5" customHeight="1">
      <c r="A265" s="31" t="str">
        <f t="shared" si="4"/>
        <v>NI</v>
      </c>
      <c r="B265" s="1220">
        <v>21301113</v>
      </c>
      <c r="C265" s="1221" t="s">
        <v>212</v>
      </c>
      <c r="D265" s="1222">
        <v>25976842868</v>
      </c>
      <c r="E265" s="1223">
        <v>3317070.6700000763</v>
      </c>
      <c r="F265" s="1058">
        <f>+VLOOKUP(B265,Composición!$C$5:$D$1768,1,0)</f>
        <v>21301113</v>
      </c>
      <c r="G265" s="1058">
        <f>+VLOOKUP(B265,'CA FE'!$A:$A,1,0)</f>
        <v>21301113</v>
      </c>
      <c r="H265" s="1213">
        <f>+VLOOKUP(B265,Composición!$C$4:$H$1742,5,0)-D265</f>
        <v>-25976842868</v>
      </c>
      <c r="I265" s="1214">
        <f>+VLOOKUP(B265,Composición!$C$4:$H$1742,6,0)-E265</f>
        <v>-3317070.6700000763</v>
      </c>
      <c r="J265" s="827">
        <f t="shared" si="5"/>
        <v>-25980159938.669998</v>
      </c>
      <c r="M265" s="14"/>
      <c r="N265" s="14"/>
      <c r="O265" s="14"/>
      <c r="P265" s="14"/>
    </row>
    <row r="266" spans="1:16" s="14" customFormat="1" ht="16.5" customHeight="1">
      <c r="A266" s="14" t="str">
        <f t="shared" si="4"/>
        <v>I</v>
      </c>
      <c r="B266" s="1203">
        <v>2130111301</v>
      </c>
      <c r="C266" t="s">
        <v>17</v>
      </c>
      <c r="D266" s="1308">
        <v>20903410257</v>
      </c>
      <c r="E266" s="1309">
        <v>2669226.9500000477</v>
      </c>
      <c r="F266" s="818">
        <f>+VLOOKUP(B266,Composición!$C$5:$D$1768,1,0)</f>
        <v>2130111301</v>
      </c>
      <c r="G266" s="818">
        <f>+VLOOKUP(B266,'CA FE'!$A:$A,1,0)</f>
        <v>2130111301</v>
      </c>
      <c r="H266" s="1049">
        <f>+VLOOKUP(B266,Composición!$C$4:$H$1742,5,0)</f>
        <v>20903410257</v>
      </c>
      <c r="I266" s="14">
        <f>+VLOOKUP(B266,Composición!$C$4:$H$1742,6,0)</f>
        <v>2669226.9500000477</v>
      </c>
      <c r="J266" s="1053">
        <f t="shared" si="5"/>
        <v>-20900741030.049999</v>
      </c>
    </row>
    <row r="267" spans="1:16" s="14" customFormat="1" ht="16.5" customHeight="1">
      <c r="A267" s="14" t="str">
        <f t="shared" si="4"/>
        <v>I</v>
      </c>
      <c r="B267" s="1203">
        <v>2130111302</v>
      </c>
      <c r="C267" t="s">
        <v>18</v>
      </c>
      <c r="D267" s="1308">
        <v>5073432611</v>
      </c>
      <c r="E267" s="1309">
        <v>647843.71999999881</v>
      </c>
      <c r="F267" s="818">
        <f>+VLOOKUP(B267,Composición!$C$5:$D$1768,1,0)</f>
        <v>2130111302</v>
      </c>
      <c r="G267" s="818">
        <f>+VLOOKUP(B267,'CA FE'!$A:$A,1,0)</f>
        <v>2130111302</v>
      </c>
      <c r="H267" s="1049">
        <f>+VLOOKUP(B267,Composición!$C$4:$H$1742,5,0)</f>
        <v>5073432611</v>
      </c>
      <c r="I267" s="14">
        <f>+VLOOKUP(B267,Composición!$C$4:$H$1742,6,0)</f>
        <v>647843.71999999881</v>
      </c>
      <c r="J267" s="830">
        <f t="shared" si="5"/>
        <v>-5072784767.2799997</v>
      </c>
    </row>
    <row r="268" spans="1:16" s="31" customFormat="1" ht="16.5" customHeight="1">
      <c r="A268" s="31" t="str">
        <f t="shared" si="4"/>
        <v>NI</v>
      </c>
      <c r="B268" s="1220">
        <v>21303</v>
      </c>
      <c r="C268" s="1221" t="s">
        <v>110</v>
      </c>
      <c r="D268" s="1222">
        <v>13548349527</v>
      </c>
      <c r="E268" s="1223">
        <v>1730034.4400000013</v>
      </c>
      <c r="F268" s="1058">
        <f>+VLOOKUP(B268,Composición!$C$5:$D$1768,1,0)</f>
        <v>21303</v>
      </c>
      <c r="G268" s="1058">
        <f>+VLOOKUP(B268,'CA FE'!$A:$A,1,0)</f>
        <v>21303</v>
      </c>
      <c r="H268" s="1048">
        <f>+VLOOKUP(B268,Composición!$C$4:$H$1742,5,0)</f>
        <v>0</v>
      </c>
      <c r="I268" s="31">
        <f>+VLOOKUP(B268,Composición!$C$4:$H$1742,6,0)</f>
        <v>0</v>
      </c>
      <c r="J268" s="827">
        <f t="shared" si="5"/>
        <v>-13548349527</v>
      </c>
      <c r="M268" s="14"/>
      <c r="N268" s="14"/>
      <c r="O268" s="14"/>
      <c r="P268" s="14"/>
    </row>
    <row r="269" spans="1:16" s="31" customFormat="1" ht="16.5" customHeight="1">
      <c r="A269" s="31" t="str">
        <f t="shared" si="4"/>
        <v>NI</v>
      </c>
      <c r="B269" s="1220">
        <v>213031</v>
      </c>
      <c r="C269" s="1221" t="s">
        <v>213</v>
      </c>
      <c r="D269" s="1222">
        <v>13548349527</v>
      </c>
      <c r="E269" s="1223">
        <v>1730034.4400000013</v>
      </c>
      <c r="F269" s="1058">
        <f>+VLOOKUP(B269,Composición!$C$5:$D$1768,1,0)</f>
        <v>213031</v>
      </c>
      <c r="G269" s="1058">
        <f>+VLOOKUP(B269,'CA FE'!$A:$A,1,0)</f>
        <v>213031</v>
      </c>
      <c r="H269" s="31">
        <f>+VLOOKUP(B269,Composición!$C$4:$H$1742,5,0)</f>
        <v>0</v>
      </c>
      <c r="I269" s="31">
        <f>+VLOOKUP(B269,Composición!$C$4:$H$1742,6,0)</f>
        <v>0</v>
      </c>
      <c r="J269" s="1054">
        <f t="shared" si="5"/>
        <v>-13548349527</v>
      </c>
      <c r="M269" s="14"/>
      <c r="N269" s="14"/>
      <c r="O269" s="14"/>
      <c r="P269" s="14"/>
    </row>
    <row r="270" spans="1:16" s="31" customFormat="1" ht="16.5" customHeight="1">
      <c r="A270" s="31" t="str">
        <f t="shared" si="4"/>
        <v>NI</v>
      </c>
      <c r="B270" s="1220">
        <v>2130311</v>
      </c>
      <c r="C270" s="1221" t="s">
        <v>214</v>
      </c>
      <c r="D270" s="1222">
        <v>13548349527</v>
      </c>
      <c r="E270" s="1223">
        <v>1730034.4400000013</v>
      </c>
      <c r="F270" s="1058">
        <f>+VLOOKUP(B270,Composición!$C$5:$D$1768,1,0)</f>
        <v>2130311</v>
      </c>
      <c r="G270" s="1058">
        <f>+VLOOKUP(B270,'CA FE'!$A:$A,1,0)</f>
        <v>2130311</v>
      </c>
      <c r="H270" s="1213">
        <f>+VLOOKUP(B270,Composición!$C$4:$H$1742,5,0)-D270</f>
        <v>-13548349527</v>
      </c>
      <c r="I270" s="1214">
        <f>+VLOOKUP(B270,Composición!$C$4:$H$1742,6,0)-E270</f>
        <v>-1730034.4400000013</v>
      </c>
      <c r="J270" s="827">
        <f t="shared" si="5"/>
        <v>-13550079561.440001</v>
      </c>
      <c r="M270" s="14"/>
      <c r="N270" s="14"/>
      <c r="O270" s="14"/>
      <c r="P270" s="14"/>
    </row>
    <row r="271" spans="1:16" s="31" customFormat="1" ht="16.5" customHeight="1">
      <c r="A271" s="31" t="str">
        <f t="shared" ref="A271:A334" si="6">IF(LEN(B271)&gt;8,"I","NI")</f>
        <v>NI</v>
      </c>
      <c r="B271" s="1220">
        <v>21303111</v>
      </c>
      <c r="C271" s="1221" t="s">
        <v>215</v>
      </c>
      <c r="D271" s="1222">
        <v>294055239</v>
      </c>
      <c r="E271" s="1223">
        <v>37548.900000000009</v>
      </c>
      <c r="F271" s="1058">
        <f>+VLOOKUP(B271,Composición!$C$5:$D$1768,1,0)</f>
        <v>21303111</v>
      </c>
      <c r="G271" s="1058">
        <f>+VLOOKUP(B271,'CA FE'!$A:$A,1,0)</f>
        <v>21303111</v>
      </c>
      <c r="H271" s="31">
        <f>+VLOOKUP(B271,Composición!$C$4:$H$1742,5,0)</f>
        <v>0</v>
      </c>
      <c r="I271" s="31">
        <f>+VLOOKUP(B271,Composición!$C$4:$H$1742,6,0)</f>
        <v>0</v>
      </c>
      <c r="J271" s="1054">
        <f t="shared" si="5"/>
        <v>-294055239</v>
      </c>
      <c r="M271" s="14"/>
      <c r="N271" s="14"/>
      <c r="O271" s="14"/>
      <c r="P271" s="14"/>
    </row>
    <row r="272" spans="1:16" s="14" customFormat="1" ht="16.5" customHeight="1">
      <c r="A272" s="14" t="str">
        <f t="shared" si="6"/>
        <v>I</v>
      </c>
      <c r="B272" s="1203">
        <v>2130311101</v>
      </c>
      <c r="C272" t="s">
        <v>543</v>
      </c>
      <c r="D272" s="1308">
        <v>43895506</v>
      </c>
      <c r="E272" s="1309">
        <v>5605.1600000000008</v>
      </c>
      <c r="F272" s="818">
        <f>+VLOOKUP(B272,Composición!$C$5:$D$1768,1,0)</f>
        <v>2130311101</v>
      </c>
      <c r="G272" s="818">
        <f>+VLOOKUP(B272,'CA FE'!$A:$A,1,0)</f>
        <v>2130311101</v>
      </c>
      <c r="H272" s="1310">
        <f>+VLOOKUP(B272,Composición!$C$4:$H$1742,5,0)-D272</f>
        <v>0</v>
      </c>
      <c r="I272" s="1311">
        <f>+VLOOKUP(B272,Composición!$C$4:$H$1742,6,0)-E272</f>
        <v>0</v>
      </c>
      <c r="J272" s="830">
        <f t="shared" si="5"/>
        <v>-43895506</v>
      </c>
    </row>
    <row r="273" spans="1:16" s="14" customFormat="1" ht="16.5" customHeight="1">
      <c r="A273" s="14" t="str">
        <f t="shared" si="6"/>
        <v>I</v>
      </c>
      <c r="B273" s="1203">
        <v>2130311102</v>
      </c>
      <c r="C273" t="s">
        <v>216</v>
      </c>
      <c r="D273" s="1308">
        <v>232878179</v>
      </c>
      <c r="E273" s="1309">
        <v>29737</v>
      </c>
      <c r="F273" s="818">
        <f>+VLOOKUP(B273,Composición!$C$5:$D$1768,1,0)</f>
        <v>2130311102</v>
      </c>
      <c r="G273" s="818">
        <f>+VLOOKUP(B273,'CA FE'!$A:$A,1,0)</f>
        <v>2130311102</v>
      </c>
      <c r="H273" s="14">
        <f>+VLOOKUP(B273,Composición!$C$4:$H$1742,5,0)</f>
        <v>232878179</v>
      </c>
      <c r="I273" s="14">
        <f>+VLOOKUP(B273,Composición!$C$4:$H$1742,6,0)</f>
        <v>29737</v>
      </c>
      <c r="J273" s="1053">
        <f t="shared" si="5"/>
        <v>-232848442</v>
      </c>
    </row>
    <row r="274" spans="1:16" s="14" customFormat="1" ht="16.5" customHeight="1">
      <c r="A274" s="14" t="str">
        <f t="shared" si="6"/>
        <v>I</v>
      </c>
      <c r="B274" s="1203">
        <v>2130311103</v>
      </c>
      <c r="C274" t="s">
        <v>2712</v>
      </c>
      <c r="D274" s="1308">
        <v>17281554</v>
      </c>
      <c r="E274" s="1309">
        <v>2206.7400000000007</v>
      </c>
      <c r="F274" s="818">
        <f>+VLOOKUP(B274,Composición!$C$5:$D$1768,1,0)</f>
        <v>2130311103</v>
      </c>
      <c r="G274" s="818">
        <f>+VLOOKUP(B274,'CA FE'!$A:$A,1,0)</f>
        <v>2130311103</v>
      </c>
      <c r="H274" s="1049">
        <f>+VLOOKUP(B274,Composición!$C$4:$H$1742,5,0)-D274</f>
        <v>0</v>
      </c>
      <c r="I274" s="1311">
        <f>+VLOOKUP(B274,Composición!$C$4:$H$1742,6,0)-E274</f>
        <v>0</v>
      </c>
      <c r="J274" s="830">
        <f t="shared" si="5"/>
        <v>-17281554</v>
      </c>
    </row>
    <row r="275" spans="1:16" s="31" customFormat="1" ht="16.5" customHeight="1">
      <c r="A275" s="31" t="str">
        <f t="shared" si="6"/>
        <v>NI</v>
      </c>
      <c r="B275" s="1220">
        <v>21303112</v>
      </c>
      <c r="C275" s="1221" t="s">
        <v>217</v>
      </c>
      <c r="D275" s="1222">
        <v>-106324247</v>
      </c>
      <c r="E275" s="1223">
        <v>-13576.899999999994</v>
      </c>
      <c r="F275" s="1058">
        <f>+VLOOKUP(B275,Composición!$C$5:$D$1768,1,0)</f>
        <v>21303112</v>
      </c>
      <c r="G275" s="1058">
        <f>+VLOOKUP(B275,'CA FE'!$A:$A,1,0)</f>
        <v>21303112</v>
      </c>
      <c r="H275" s="1048">
        <f>+VLOOKUP(B275,Composición!$C$4:$H$1742,5,0)</f>
        <v>0</v>
      </c>
      <c r="I275" s="31">
        <f>+VLOOKUP(B275,Composición!$C$4:$H$1742,6,0)</f>
        <v>0</v>
      </c>
      <c r="J275" s="1054">
        <f t="shared" si="5"/>
        <v>106324247</v>
      </c>
      <c r="M275" s="14"/>
      <c r="N275" s="14"/>
      <c r="O275" s="14"/>
      <c r="P275" s="14"/>
    </row>
    <row r="276" spans="1:16" s="14" customFormat="1" ht="16.5" customHeight="1">
      <c r="A276" s="14" t="str">
        <f t="shared" si="6"/>
        <v>I</v>
      </c>
      <c r="B276" s="1203">
        <v>2130311201</v>
      </c>
      <c r="C276" t="s">
        <v>544</v>
      </c>
      <c r="D276" s="1308">
        <v>-16952441</v>
      </c>
      <c r="E276" s="1309">
        <v>-2164.7099999999991</v>
      </c>
      <c r="F276" s="818">
        <f>+VLOOKUP(B276,Composición!$C$5:$D$1768,1,0)</f>
        <v>2130311201</v>
      </c>
      <c r="G276" s="818">
        <f>+VLOOKUP(B276,'CA FE'!$A:$A,1,0)</f>
        <v>2130311201</v>
      </c>
      <c r="H276" s="14">
        <f>+VLOOKUP(B276,Composición!$C$4:$H$1742,5,0)</f>
        <v>-16952441</v>
      </c>
      <c r="I276" s="14">
        <f>+VLOOKUP(B276,Composición!$C$4:$H$1742,6,0)</f>
        <v>-2164.7099999999991</v>
      </c>
      <c r="J276" s="830">
        <f t="shared" si="5"/>
        <v>16950276.289999999</v>
      </c>
    </row>
    <row r="277" spans="1:16" s="14" customFormat="1" ht="16.5" customHeight="1">
      <c r="A277" s="14" t="str">
        <f t="shared" si="6"/>
        <v>I</v>
      </c>
      <c r="B277" s="1203">
        <v>2130311202</v>
      </c>
      <c r="C277" t="s">
        <v>218</v>
      </c>
      <c r="D277" s="1308">
        <v>-79962960</v>
      </c>
      <c r="E277" s="1309">
        <v>-10210.740000000005</v>
      </c>
      <c r="F277" s="818">
        <f>+VLOOKUP(B277,Composición!$C$5:$D$1768,1,0)</f>
        <v>2130311202</v>
      </c>
      <c r="G277" s="818">
        <f>+VLOOKUP(B277,'CA FE'!$A:$A,1,0)</f>
        <v>2130311202</v>
      </c>
      <c r="H277" s="14">
        <f>+VLOOKUP(B277,Composición!$C$4:$H$1742,5,0)</f>
        <v>-79962960</v>
      </c>
      <c r="I277" s="14">
        <f>+VLOOKUP(B277,Composición!$C$4:$H$1742,6,0)</f>
        <v>-10210.740000000005</v>
      </c>
      <c r="J277" s="1053">
        <f t="shared" si="5"/>
        <v>79952749.260000005</v>
      </c>
    </row>
    <row r="278" spans="1:16" s="14" customFormat="1" ht="16.5" customHeight="1">
      <c r="A278" s="14" t="str">
        <f t="shared" si="6"/>
        <v>I</v>
      </c>
      <c r="B278" s="1203">
        <v>2130311203</v>
      </c>
      <c r="C278" t="s">
        <v>2713</v>
      </c>
      <c r="D278" s="1308">
        <v>-9408846</v>
      </c>
      <c r="E278" s="1309">
        <v>-1201.4499999999998</v>
      </c>
      <c r="F278" s="818">
        <f>+VLOOKUP(B278,Composición!$C$5:$D$1768,1,0)</f>
        <v>2130311203</v>
      </c>
      <c r="G278" s="818">
        <f>+VLOOKUP(B278,'CA FE'!$A:$A,1,0)</f>
        <v>2130311203</v>
      </c>
      <c r="H278" s="14">
        <f>+VLOOKUP(B278,Composición!$C$4:$H$1742,5,0)</f>
        <v>-9408846</v>
      </c>
      <c r="I278" s="14">
        <f>+VLOOKUP(B278,Composición!$C$4:$H$1742,6,0)</f>
        <v>-1201.4499999999998</v>
      </c>
      <c r="J278" s="830">
        <f t="shared" si="5"/>
        <v>9407644.5500000007</v>
      </c>
    </row>
    <row r="279" spans="1:16" s="31" customFormat="1" ht="16.5" customHeight="1">
      <c r="A279" s="31" t="str">
        <f t="shared" si="6"/>
        <v>NI</v>
      </c>
      <c r="B279" s="1220">
        <v>21303113</v>
      </c>
      <c r="C279" s="1221" t="s">
        <v>219</v>
      </c>
      <c r="D279" s="1222">
        <v>13360618535</v>
      </c>
      <c r="E279" s="1223">
        <v>1706062.4399999992</v>
      </c>
      <c r="F279" s="1058">
        <f>+VLOOKUP(B279,Composición!$C$5:$D$1768,1,0)</f>
        <v>21303113</v>
      </c>
      <c r="G279" s="1058">
        <f>+VLOOKUP(B279,'CA FE'!$A:$A,1,0)</f>
        <v>21303113</v>
      </c>
      <c r="H279" s="1213">
        <f>+VLOOKUP(B279,Composición!$C$4:$H$1742,5,0)-D279</f>
        <v>-13360618535</v>
      </c>
      <c r="I279" s="1214">
        <f>+VLOOKUP(B279,Composición!$C$4:$H$1742,6,0)-E279</f>
        <v>-1706062.4399999992</v>
      </c>
      <c r="J279" s="827">
        <f t="shared" si="5"/>
        <v>-13362324597.440001</v>
      </c>
      <c r="M279" s="14"/>
      <c r="N279" s="14"/>
      <c r="O279" s="14"/>
      <c r="P279" s="14"/>
    </row>
    <row r="280" spans="1:16" s="14" customFormat="1" ht="16.5" customHeight="1">
      <c r="A280" s="14" t="str">
        <f t="shared" si="6"/>
        <v>I</v>
      </c>
      <c r="B280" s="1203">
        <v>2130311301</v>
      </c>
      <c r="C280" t="s">
        <v>2714</v>
      </c>
      <c r="D280" s="1308">
        <v>2499618130</v>
      </c>
      <c r="E280" s="1309">
        <v>319184.66999999993</v>
      </c>
      <c r="F280" s="818">
        <f>+VLOOKUP(B280,Composición!$C$5:$D$1768,1,0)</f>
        <v>2130311301</v>
      </c>
      <c r="G280" s="818">
        <f>+VLOOKUP(B280,'CA FE'!$A:$A,1,0)</f>
        <v>2130311301</v>
      </c>
      <c r="H280" s="1049">
        <f>+VLOOKUP(B280,Composición!$C$4:$H$1742,5,0)-D280</f>
        <v>0</v>
      </c>
      <c r="I280" s="1311">
        <f>+VLOOKUP(B280,Composición!$C$4:$H$1742,6,0)-E280</f>
        <v>0</v>
      </c>
      <c r="J280" s="1053">
        <f t="shared" si="5"/>
        <v>-2499618130</v>
      </c>
    </row>
    <row r="281" spans="1:16" s="14" customFormat="1" ht="16.5" customHeight="1">
      <c r="A281" s="14" t="str">
        <f t="shared" si="6"/>
        <v>I</v>
      </c>
      <c r="B281" s="1203">
        <v>2130311302</v>
      </c>
      <c r="C281" t="s">
        <v>220</v>
      </c>
      <c r="D281" s="1308">
        <v>9878260678</v>
      </c>
      <c r="E281" s="1309">
        <v>1261388.42</v>
      </c>
      <c r="F281" s="818">
        <f>+VLOOKUP(B281,Composición!$C$5:$D$1768,1,0)</f>
        <v>2130311302</v>
      </c>
      <c r="G281" s="818">
        <f>+VLOOKUP(B281,'CA FE'!$A:$A,1,0)</f>
        <v>2130311302</v>
      </c>
      <c r="H281" s="1049">
        <f>+VLOOKUP(B281,Composición!$C$4:$H$1742,5,0)-D281</f>
        <v>0</v>
      </c>
      <c r="I281" s="1311">
        <f>+VLOOKUP(B281,Composición!$C$4:$H$1742,6,0)-E281</f>
        <v>0</v>
      </c>
      <c r="J281" s="830">
        <f t="shared" si="5"/>
        <v>-9878260678</v>
      </c>
    </row>
    <row r="282" spans="1:16" s="14" customFormat="1" ht="16.5" customHeight="1">
      <c r="A282" s="14" t="str">
        <f t="shared" si="6"/>
        <v>I</v>
      </c>
      <c r="B282" s="1203">
        <v>2130311303</v>
      </c>
      <c r="C282" t="s">
        <v>2715</v>
      </c>
      <c r="D282" s="1308">
        <v>982739727</v>
      </c>
      <c r="E282" s="1309">
        <v>125489.35000000009</v>
      </c>
      <c r="F282" s="818">
        <f>+VLOOKUP(B282,Composición!$C$5:$D$1768,1,0)</f>
        <v>2130311303</v>
      </c>
      <c r="G282" s="818">
        <f>+VLOOKUP(B282,'CA FE'!$A:$A,1,0)</f>
        <v>2130311303</v>
      </c>
      <c r="H282" s="1049">
        <f>+VLOOKUP(B282,Composición!$C$4:$H$1742,5,0)-D282</f>
        <v>0</v>
      </c>
      <c r="I282" s="1311">
        <f>+VLOOKUP(B282,Composición!$C$4:$H$1742,6,0)-E282</f>
        <v>0</v>
      </c>
      <c r="J282" s="1053">
        <f t="shared" si="5"/>
        <v>-982739727</v>
      </c>
    </row>
    <row r="283" spans="1:16" s="31" customFormat="1" ht="16.5" customHeight="1">
      <c r="A283" s="31" t="str">
        <f t="shared" si="6"/>
        <v>NI</v>
      </c>
      <c r="B283" s="1220">
        <v>21305</v>
      </c>
      <c r="C283" s="1221" t="s">
        <v>588</v>
      </c>
      <c r="D283" s="1222">
        <v>188590043</v>
      </c>
      <c r="E283" s="1223">
        <v>24081.709999999992</v>
      </c>
      <c r="F283" s="1058">
        <f>+VLOOKUP(B283,Composición!$C$5:$D$1768,1,0)</f>
        <v>21305</v>
      </c>
      <c r="G283" s="1058" t="e">
        <f>+VLOOKUP(B283,'CA FE'!$A:$A,1,0)</f>
        <v>#N/A</v>
      </c>
      <c r="H283" s="1213">
        <f>+VLOOKUP(B283,Composición!$C$4:$H$1742,5,0)-D283</f>
        <v>-188590043</v>
      </c>
      <c r="I283" s="1214">
        <f>+VLOOKUP(B283,Composición!$C$4:$H$1742,6,0)-E283</f>
        <v>-24081.709999999992</v>
      </c>
      <c r="J283" s="827">
        <f t="shared" si="5"/>
        <v>-188614124.71000001</v>
      </c>
      <c r="M283" s="14"/>
      <c r="N283" s="14"/>
      <c r="O283" s="14"/>
      <c r="P283" s="14"/>
    </row>
    <row r="284" spans="1:16" s="31" customFormat="1" ht="16.5" customHeight="1">
      <c r="A284" s="31" t="str">
        <f t="shared" si="6"/>
        <v>NI</v>
      </c>
      <c r="B284" s="1220">
        <v>213050</v>
      </c>
      <c r="C284" s="1221" t="s">
        <v>589</v>
      </c>
      <c r="D284" s="1222">
        <v>188590043</v>
      </c>
      <c r="E284" s="1223">
        <v>24081.709999999992</v>
      </c>
      <c r="F284" s="1058">
        <f>+VLOOKUP(B284,Composición!$C$5:$D$1768,1,0)</f>
        <v>213050</v>
      </c>
      <c r="G284" s="1058" t="e">
        <f>+VLOOKUP(B284,'CA FE'!$A:$A,1,0)</f>
        <v>#N/A</v>
      </c>
      <c r="H284" s="1048">
        <f>+VLOOKUP(B284,Composición!$C$4:$H$1742,5,0)</f>
        <v>0</v>
      </c>
      <c r="I284" s="31">
        <f>+VLOOKUP(B284,Composición!$C$4:$H$1742,6,0)</f>
        <v>0</v>
      </c>
      <c r="J284" s="1054">
        <f t="shared" si="5"/>
        <v>-188590043</v>
      </c>
      <c r="M284" s="14"/>
      <c r="N284" s="14"/>
      <c r="O284" s="14"/>
      <c r="P284" s="14"/>
    </row>
    <row r="285" spans="1:16" s="31" customFormat="1" ht="16.5" customHeight="1">
      <c r="A285" s="31" t="str">
        <f t="shared" si="6"/>
        <v>NI</v>
      </c>
      <c r="B285" s="1220">
        <v>2130501</v>
      </c>
      <c r="C285" s="1221" t="s">
        <v>71</v>
      </c>
      <c r="D285" s="1222">
        <v>188590043</v>
      </c>
      <c r="E285" s="1223">
        <v>24081.709999999992</v>
      </c>
      <c r="F285" s="1058">
        <f>+VLOOKUP(B285,Composición!$C$5:$D$1768,1,0)</f>
        <v>2130501</v>
      </c>
      <c r="G285" s="1058" t="e">
        <f>+VLOOKUP(B285,'CA FE'!$A:$A,1,0)</f>
        <v>#N/A</v>
      </c>
      <c r="H285" s="1048">
        <f>+VLOOKUP(B285,Composición!$C$4:$H$1742,5,0)-D285</f>
        <v>-188590043</v>
      </c>
      <c r="I285" s="1214">
        <f>+VLOOKUP(B285,Composición!$C$4:$H$1742,6,0)-E285</f>
        <v>-24081.709999999992</v>
      </c>
      <c r="J285" s="1054">
        <f t="shared" si="5"/>
        <v>-188614124.71000001</v>
      </c>
      <c r="M285" s="14"/>
      <c r="N285" s="14"/>
      <c r="O285" s="14"/>
      <c r="P285" s="14"/>
    </row>
    <row r="286" spans="1:16" s="31" customFormat="1" ht="16.5" customHeight="1">
      <c r="A286" s="31" t="str">
        <f t="shared" si="6"/>
        <v>NI</v>
      </c>
      <c r="B286" s="1220">
        <v>21305011</v>
      </c>
      <c r="C286" s="1221" t="s">
        <v>72</v>
      </c>
      <c r="D286" s="1222">
        <v>118205844</v>
      </c>
      <c r="E286" s="1223">
        <v>15094.100000000006</v>
      </c>
      <c r="F286" s="1058">
        <f>+VLOOKUP(B286,Composición!$C$5:$D$1768,1,0)</f>
        <v>21305011</v>
      </c>
      <c r="G286" s="1058">
        <f>+VLOOKUP(B286,'CA FE'!$A:$A,1,0)</f>
        <v>21305011</v>
      </c>
      <c r="H286" s="1048">
        <f>+VLOOKUP(B286,Composición!$C$4:$H$1742,5,0)-D286</f>
        <v>-118205844</v>
      </c>
      <c r="I286" s="1214">
        <f>+VLOOKUP(B286,Composición!$C$4:$H$1742,6,0)-E286</f>
        <v>-15094.100000000006</v>
      </c>
      <c r="J286" s="827">
        <f t="shared" si="5"/>
        <v>-118220938.09999999</v>
      </c>
      <c r="M286" s="14"/>
      <c r="N286" s="14"/>
      <c r="O286" s="14"/>
      <c r="P286" s="14"/>
    </row>
    <row r="287" spans="1:16" s="14" customFormat="1" ht="16.5" customHeight="1">
      <c r="A287" s="14" t="str">
        <f t="shared" si="6"/>
        <v>I</v>
      </c>
      <c r="B287" s="1203">
        <v>2130501101</v>
      </c>
      <c r="C287" t="s">
        <v>73</v>
      </c>
      <c r="D287" s="1308">
        <v>1681407</v>
      </c>
      <c r="E287" s="1309">
        <v>214.7</v>
      </c>
      <c r="F287" s="818">
        <f>+VLOOKUP(B287,Composición!$C$5:$D$1768,1,0)</f>
        <v>2130501101</v>
      </c>
      <c r="G287" s="818">
        <f>+VLOOKUP(B287,'CA FE'!$A:$A,1,0)</f>
        <v>2130501101</v>
      </c>
      <c r="H287" s="1310">
        <f>+VLOOKUP(B287,Composición!$C$4:$H$1742,5,0)-D287</f>
        <v>0</v>
      </c>
      <c r="I287" s="1311">
        <f>+VLOOKUP(B287,Composición!$C$4:$H$1742,6,0)-E287</f>
        <v>0</v>
      </c>
      <c r="J287" s="1053">
        <f t="shared" si="5"/>
        <v>-1681407</v>
      </c>
    </row>
    <row r="288" spans="1:16" s="14" customFormat="1" ht="16.5" customHeight="1">
      <c r="A288" s="14" t="str">
        <f t="shared" si="6"/>
        <v>I</v>
      </c>
      <c r="B288" s="1203">
        <v>2130501104</v>
      </c>
      <c r="C288" t="s">
        <v>527</v>
      </c>
      <c r="D288" s="1308">
        <v>313877</v>
      </c>
      <c r="E288" s="1309">
        <v>40.08</v>
      </c>
      <c r="F288" s="818">
        <f>+VLOOKUP(B288,Composición!$C$5:$D$1768,1,0)</f>
        <v>2130501104</v>
      </c>
      <c r="G288" s="818">
        <f>+VLOOKUP(B288,'CA FE'!$A:$A,1,0)</f>
        <v>2130501104</v>
      </c>
      <c r="H288" s="1049">
        <f>+VLOOKUP(B288,Composición!$C$4:$H$1742,5,0)</f>
        <v>313877</v>
      </c>
      <c r="I288" s="14">
        <f>+VLOOKUP(B288,Composición!$C$4:$H$1742,6,0)</f>
        <v>40.08</v>
      </c>
      <c r="J288" s="1053">
        <f t="shared" si="5"/>
        <v>-313836.92</v>
      </c>
    </row>
    <row r="289" spans="1:16" s="14" customFormat="1" ht="16.5" customHeight="1">
      <c r="A289" s="14" t="str">
        <f t="shared" si="6"/>
        <v>I</v>
      </c>
      <c r="B289" s="1203">
        <v>2130501105</v>
      </c>
      <c r="C289" t="s">
        <v>74</v>
      </c>
      <c r="D289" s="1308">
        <v>4448524</v>
      </c>
      <c r="E289" s="1309">
        <v>568.04999999999995</v>
      </c>
      <c r="F289" s="818">
        <f>+VLOOKUP(B289,Composición!$C$5:$D$1768,1,0)</f>
        <v>2130501105</v>
      </c>
      <c r="G289" s="818">
        <f>+VLOOKUP(B289,'CA FE'!$A:$A,1,0)</f>
        <v>2130501105</v>
      </c>
      <c r="H289" s="1049">
        <f>+VLOOKUP(B289,Composición!$C$4:$H$1742,5,0)-D289</f>
        <v>0</v>
      </c>
      <c r="I289" s="1311">
        <f>+VLOOKUP(B289,Composición!$C$4:$H$1742,6,0)-E289</f>
        <v>0</v>
      </c>
      <c r="J289" s="1053">
        <f t="shared" si="5"/>
        <v>-4448524</v>
      </c>
    </row>
    <row r="290" spans="1:16" s="14" customFormat="1" ht="16.5" customHeight="1">
      <c r="A290" s="14" t="str">
        <f t="shared" si="6"/>
        <v>I</v>
      </c>
      <c r="B290" s="1203">
        <v>2130501107</v>
      </c>
      <c r="C290" t="s">
        <v>707</v>
      </c>
      <c r="D290" s="1308">
        <v>2455889</v>
      </c>
      <c r="E290" s="1309">
        <v>313.60000000000002</v>
      </c>
      <c r="F290" s="818">
        <f>+VLOOKUP(B290,Composición!$C$5:$D$1768,1,0)</f>
        <v>2130501107</v>
      </c>
      <c r="G290" s="818">
        <f>+VLOOKUP(B290,'CA FE'!$A:$A,1,0)</f>
        <v>2130501107</v>
      </c>
      <c r="H290" s="1049">
        <f>+VLOOKUP(B290,Composición!$C$4:$H$1742,5,0)</f>
        <v>2455889</v>
      </c>
      <c r="I290" s="14">
        <f>+VLOOKUP(B290,Composición!$C$4:$H$1742,6,0)</f>
        <v>313.60000000000002</v>
      </c>
      <c r="J290" s="1053">
        <f t="shared" si="5"/>
        <v>-2455575.4</v>
      </c>
    </row>
    <row r="291" spans="1:16" s="14" customFormat="1" ht="16.5" customHeight="1">
      <c r="A291" s="14" t="str">
        <f t="shared" si="6"/>
        <v>I</v>
      </c>
      <c r="B291" s="1315">
        <v>2130501111</v>
      </c>
      <c r="C291" s="1226" t="s">
        <v>77</v>
      </c>
      <c r="D291" s="1308">
        <v>105440315</v>
      </c>
      <c r="E291" s="1309">
        <v>13464.029999999999</v>
      </c>
      <c r="F291" s="818">
        <f>+VLOOKUP(B291,Composición!$C$5:$D$1768,1,0)</f>
        <v>2130501111</v>
      </c>
      <c r="G291" s="818">
        <f>+VLOOKUP(B291,'CA FE'!$A:$A,1,0)</f>
        <v>2130501111</v>
      </c>
      <c r="H291" s="14">
        <f>+VLOOKUP(B291,Composición!$C$4:$H$1742,5,0)</f>
        <v>105440315</v>
      </c>
      <c r="I291" s="14">
        <f>+VLOOKUP(B291,Composición!$C$4:$H$1742,6,0)</f>
        <v>13464.029999999999</v>
      </c>
      <c r="J291" s="1053">
        <f t="shared" si="5"/>
        <v>-105426850.97</v>
      </c>
    </row>
    <row r="292" spans="1:16" s="14" customFormat="1" ht="16.5" customHeight="1">
      <c r="A292" s="14" t="str">
        <f t="shared" si="6"/>
        <v>I</v>
      </c>
      <c r="B292" s="1203">
        <v>2130501117</v>
      </c>
      <c r="C292" t="s">
        <v>78</v>
      </c>
      <c r="D292" s="1308">
        <v>59628</v>
      </c>
      <c r="E292" s="1309">
        <v>7.61</v>
      </c>
      <c r="F292" s="818">
        <f>+VLOOKUP(B292,Composición!$C$5:$D$1768,1,0)</f>
        <v>2130501117</v>
      </c>
      <c r="G292" s="818">
        <f>+VLOOKUP(B292,'CA FE'!$A:$A,1,0)</f>
        <v>2130501117</v>
      </c>
      <c r="H292" s="14">
        <f>+VLOOKUP(B292,Composición!$C$4:$H$1742,5,0)</f>
        <v>59628</v>
      </c>
      <c r="I292" s="14">
        <f>+VLOOKUP(B292,Composición!$C$4:$H$1742,6,0)</f>
        <v>7.61</v>
      </c>
      <c r="J292" s="830">
        <f t="shared" ref="J292:J311" si="7">+I292-D292</f>
        <v>-59620.39</v>
      </c>
    </row>
    <row r="293" spans="1:16" s="14" customFormat="1" ht="16.5" customHeight="1">
      <c r="A293" s="14" t="str">
        <f t="shared" si="6"/>
        <v>I</v>
      </c>
      <c r="B293" s="1315">
        <v>2130501121</v>
      </c>
      <c r="C293" s="1226" t="s">
        <v>528</v>
      </c>
      <c r="D293" s="1316">
        <v>3806204</v>
      </c>
      <c r="E293" s="1309">
        <v>486.03</v>
      </c>
      <c r="F293" s="818">
        <f>+VLOOKUP(B293,Composición!$C$5:$D$1768,1,0)</f>
        <v>2130501121</v>
      </c>
      <c r="G293" s="818">
        <f>+VLOOKUP(B293,'CA FE'!$A:$A,1,0)</f>
        <v>2130501121</v>
      </c>
      <c r="H293" s="14">
        <f>+VLOOKUP(B293,Composición!$C$4:$H$1742,5,0)</f>
        <v>3806204</v>
      </c>
      <c r="I293" s="14">
        <f>+VLOOKUP(B293,Composición!$C$4:$H$1742,6,0)</f>
        <v>486.03</v>
      </c>
      <c r="J293" s="1053">
        <f t="shared" si="7"/>
        <v>-3805717.97</v>
      </c>
    </row>
    <row r="294" spans="1:16" s="31" customFormat="1" ht="16.5" customHeight="1">
      <c r="A294" s="31" t="str">
        <f t="shared" si="6"/>
        <v>NI</v>
      </c>
      <c r="B294" s="1220">
        <v>21305012</v>
      </c>
      <c r="C294" s="1221" t="s">
        <v>142</v>
      </c>
      <c r="D294" s="1222">
        <v>62769658</v>
      </c>
      <c r="E294" s="1223">
        <v>8015.2799999999988</v>
      </c>
      <c r="F294" s="1058">
        <f>+VLOOKUP(B294,Composición!$C$5:$D$1768,1,0)</f>
        <v>21305012</v>
      </c>
      <c r="G294" s="1058">
        <f>+VLOOKUP(B294,'CA FE'!$A:$A,1,0)</f>
        <v>21305012</v>
      </c>
      <c r="H294" s="31">
        <f>+VLOOKUP(B294,Composición!$C$4:$H$1742,5,0)</f>
        <v>0</v>
      </c>
      <c r="I294" s="31">
        <f>+VLOOKUP(B294,Composición!$C$4:$H$1742,6,0)</f>
        <v>0</v>
      </c>
      <c r="J294" s="1054">
        <f t="shared" si="7"/>
        <v>-62769658</v>
      </c>
      <c r="M294" s="14"/>
      <c r="N294" s="14"/>
      <c r="O294" s="14"/>
      <c r="P294" s="14"/>
    </row>
    <row r="295" spans="1:16" s="14" customFormat="1" ht="16.5" customHeight="1">
      <c r="A295" s="14" t="str">
        <f t="shared" si="6"/>
        <v>I</v>
      </c>
      <c r="B295" s="1203">
        <v>2130501202</v>
      </c>
      <c r="C295" t="s">
        <v>143</v>
      </c>
      <c r="D295" s="1308">
        <v>2634639</v>
      </c>
      <c r="E295" s="1309">
        <v>336.43000000000006</v>
      </c>
      <c r="F295" s="818">
        <f>+VLOOKUP(B295,Composición!$C$5:$D$1768,1,0)</f>
        <v>2130501202</v>
      </c>
      <c r="G295" s="818">
        <f>+VLOOKUP(B295,'CA FE'!$A:$A,1,0)</f>
        <v>2130501202</v>
      </c>
      <c r="H295" s="1310">
        <f>+VLOOKUP(B295,Composición!$C$4:$H$1742,5,0)-D295</f>
        <v>0</v>
      </c>
      <c r="I295" s="1311">
        <f>+VLOOKUP(B295,Composición!$C$4:$H$1742,6,0)-E295</f>
        <v>0</v>
      </c>
      <c r="J295" s="1053">
        <f t="shared" si="7"/>
        <v>-2634639</v>
      </c>
    </row>
    <row r="296" spans="1:16" s="14" customFormat="1" ht="16.5" customHeight="1">
      <c r="A296" s="14" t="str">
        <f t="shared" si="6"/>
        <v>I</v>
      </c>
      <c r="B296" s="1203">
        <v>2130501203</v>
      </c>
      <c r="C296" t="s">
        <v>2709</v>
      </c>
      <c r="D296" s="1308">
        <v>20043236</v>
      </c>
      <c r="E296" s="1309">
        <v>2559.3900000000003</v>
      </c>
      <c r="F296" s="818">
        <f>+VLOOKUP(B296,Composición!$C$5:$D$1768,1,0)</f>
        <v>2130501203</v>
      </c>
      <c r="G296" s="818">
        <f>+VLOOKUP(B296,'CA FE'!$A:$A,1,0)</f>
        <v>2130501203</v>
      </c>
      <c r="H296" s="1049">
        <f>+VLOOKUP(B296,Composición!$C$4:$H$1742,5,0)-D296</f>
        <v>0</v>
      </c>
      <c r="I296" s="1311">
        <f>+VLOOKUP(B296,Composición!$C$4:$H$1742,6,0)-E296</f>
        <v>0</v>
      </c>
      <c r="J296" s="1053">
        <f t="shared" ref="J296:J306" si="8">+I296-D296</f>
        <v>-20043236</v>
      </c>
    </row>
    <row r="297" spans="1:16" s="14" customFormat="1" ht="16.5" customHeight="1">
      <c r="A297" s="14" t="str">
        <f t="shared" si="6"/>
        <v>I</v>
      </c>
      <c r="B297" s="1203">
        <v>2130501205</v>
      </c>
      <c r="C297" t="s">
        <v>145</v>
      </c>
      <c r="D297" s="1308">
        <v>20691170</v>
      </c>
      <c r="E297" s="1309">
        <v>2642.130000000001</v>
      </c>
      <c r="F297" s="818">
        <f>+VLOOKUP(B297,Composición!$C$5:$D$1768,1,0)</f>
        <v>2130501205</v>
      </c>
      <c r="G297" s="818">
        <f>+VLOOKUP(B297,'CA FE'!$A:$A,1,0)</f>
        <v>2130501205</v>
      </c>
      <c r="H297" s="1049">
        <f>+VLOOKUP(B297,Composición!$C$4:$H$1742,5,0)-D297</f>
        <v>0</v>
      </c>
      <c r="I297" s="1311">
        <f>+VLOOKUP(B297,Composición!$C$4:$H$1742,6,0)-E297</f>
        <v>0</v>
      </c>
      <c r="J297" s="1053">
        <f t="shared" si="8"/>
        <v>-20691170</v>
      </c>
    </row>
    <row r="298" spans="1:16" s="14" customFormat="1" ht="16.5" customHeight="1">
      <c r="A298" s="14" t="str">
        <f t="shared" si="6"/>
        <v>I</v>
      </c>
      <c r="B298" s="1203">
        <v>2130501207</v>
      </c>
      <c r="C298" t="s">
        <v>146</v>
      </c>
      <c r="D298" s="1308">
        <v>19400613</v>
      </c>
      <c r="E298" s="1309">
        <v>2477.3300000000017</v>
      </c>
      <c r="F298" s="818">
        <f>+VLOOKUP(B298,Composición!$C$5:$D$1768,1,0)</f>
        <v>2130501207</v>
      </c>
      <c r="G298" s="818">
        <f>+VLOOKUP(B298,'CA FE'!$A:$A,1,0)</f>
        <v>2130501207</v>
      </c>
      <c r="H298" s="1049">
        <f>+VLOOKUP(B298,Composición!$C$4:$H$1742,5,0)-D298</f>
        <v>0</v>
      </c>
      <c r="I298" s="1311">
        <f>+VLOOKUP(B298,Composición!$C$4:$H$1742,6,0)-E298</f>
        <v>0</v>
      </c>
      <c r="J298" s="1053">
        <f t="shared" si="8"/>
        <v>-19400613</v>
      </c>
    </row>
    <row r="299" spans="1:16" s="31" customFormat="1" ht="16.5" customHeight="1">
      <c r="A299" s="31" t="str">
        <f t="shared" si="6"/>
        <v>NI</v>
      </c>
      <c r="B299" s="1220">
        <v>21305013</v>
      </c>
      <c r="C299" s="1221" t="s">
        <v>121</v>
      </c>
      <c r="D299" s="1222">
        <v>7614541</v>
      </c>
      <c r="E299" s="1223">
        <v>972.33</v>
      </c>
      <c r="F299" s="1058">
        <f>+VLOOKUP(B299,Composición!$C$5:$D$1768,1,0)</f>
        <v>21305013</v>
      </c>
      <c r="G299" s="1058">
        <f>+VLOOKUP(B299,'CA FE'!$A:$A,1,0)</f>
        <v>21305013</v>
      </c>
      <c r="H299" s="1048">
        <f>+VLOOKUP(B299,Composición!$C$4:$H$1742,5,0)</f>
        <v>0</v>
      </c>
      <c r="I299" s="31">
        <f>+VLOOKUP(B299,Composición!$C$4:$H$1742,6,0)</f>
        <v>0</v>
      </c>
      <c r="J299" s="827">
        <f t="shared" si="8"/>
        <v>-7614541</v>
      </c>
      <c r="M299" s="14"/>
      <c r="N299" s="14"/>
      <c r="O299" s="14"/>
      <c r="P299" s="14"/>
    </row>
    <row r="300" spans="1:16" s="14" customFormat="1" ht="16.5" customHeight="1">
      <c r="A300" s="14" t="str">
        <f t="shared" si="6"/>
        <v>I</v>
      </c>
      <c r="B300" s="1203">
        <v>2130501302</v>
      </c>
      <c r="C300" t="s">
        <v>122</v>
      </c>
      <c r="D300" s="1308">
        <v>2114</v>
      </c>
      <c r="E300" s="1309">
        <v>0.27</v>
      </c>
      <c r="F300" s="818">
        <f>+VLOOKUP(B300,Composición!$C$5:$D$1768,1,0)</f>
        <v>2130501302</v>
      </c>
      <c r="G300" s="818">
        <f>+VLOOKUP(B300,'CA FE'!$A:$A,1,0)</f>
        <v>2130501302</v>
      </c>
      <c r="H300" s="14">
        <f>+VLOOKUP(B300,Composición!$C$4:$H$1742,5,0)</f>
        <v>2114</v>
      </c>
      <c r="I300" s="14">
        <f>+VLOOKUP(B300,Composición!$C$4:$H$1742,6,0)</f>
        <v>0.27</v>
      </c>
      <c r="J300" s="1053">
        <f t="shared" si="8"/>
        <v>-2113.73</v>
      </c>
    </row>
    <row r="301" spans="1:16" s="14" customFormat="1" ht="16.5" customHeight="1">
      <c r="A301" s="14" t="str">
        <f t="shared" si="6"/>
        <v>I</v>
      </c>
      <c r="B301" s="1203">
        <v>2130501303</v>
      </c>
      <c r="C301" t="s">
        <v>801</v>
      </c>
      <c r="D301" s="1308">
        <v>7612427</v>
      </c>
      <c r="E301" s="1309">
        <v>972.06</v>
      </c>
      <c r="F301" s="818">
        <f>+VLOOKUP(B301,Composición!$C$5:$D$1768,1,0)</f>
        <v>2130501303</v>
      </c>
      <c r="G301" s="818">
        <f>+VLOOKUP(B301,'CA FE'!$A:$A,1,0)</f>
        <v>2130501303</v>
      </c>
      <c r="H301" s="14">
        <f>+VLOOKUP(B301,Composición!$C$4:$H$1742,5,0)</f>
        <v>7612427</v>
      </c>
      <c r="I301" s="14">
        <f>+VLOOKUP(B301,Composición!$C$4:$H$1742,6,0)</f>
        <v>972.06</v>
      </c>
      <c r="J301" s="830">
        <f t="shared" si="8"/>
        <v>-7611454.9400000004</v>
      </c>
    </row>
    <row r="302" spans="1:16" s="31" customFormat="1" ht="16.5" customHeight="1">
      <c r="A302" s="31" t="str">
        <f t="shared" si="6"/>
        <v>NI</v>
      </c>
      <c r="B302" s="1220">
        <v>214</v>
      </c>
      <c r="C302" s="1221" t="s">
        <v>221</v>
      </c>
      <c r="D302" s="1222">
        <v>3665142929</v>
      </c>
      <c r="E302" s="1223">
        <v>468014.45999999996</v>
      </c>
      <c r="F302" s="1058">
        <f>+VLOOKUP(B302,Composición!$C$5:$D$1768,1,0)</f>
        <v>214</v>
      </c>
      <c r="G302" s="1058">
        <f>+VLOOKUP(B302,'CA FE'!$A:$A,1,0)</f>
        <v>214</v>
      </c>
      <c r="H302" s="31">
        <f>+VLOOKUP(B302,Composición!$C$4:$H$1742,5,0)</f>
        <v>0</v>
      </c>
      <c r="I302" s="31">
        <f>+VLOOKUP(B302,Composición!$C$4:$H$1742,6,0)</f>
        <v>0</v>
      </c>
      <c r="J302" s="1054">
        <f t="shared" si="8"/>
        <v>-3665142929</v>
      </c>
      <c r="M302" s="14"/>
      <c r="N302" s="14"/>
      <c r="O302" s="14"/>
      <c r="P302" s="14"/>
    </row>
    <row r="303" spans="1:16" s="31" customFormat="1" ht="16.5" customHeight="1">
      <c r="A303" s="31" t="str">
        <f t="shared" si="6"/>
        <v>NI</v>
      </c>
      <c r="B303" s="1220">
        <v>21401</v>
      </c>
      <c r="C303" s="1221" t="s">
        <v>222</v>
      </c>
      <c r="D303" s="1222">
        <v>1650973259</v>
      </c>
      <c r="E303" s="1223">
        <v>210818.33999999997</v>
      </c>
      <c r="F303" s="1058">
        <f>+VLOOKUP(B303,Composición!$C$5:$D$1768,1,0)</f>
        <v>21401</v>
      </c>
      <c r="G303" s="1058">
        <f>+VLOOKUP(B303,'CA FE'!$A:$A,1,0)</f>
        <v>21401</v>
      </c>
      <c r="H303" s="1213">
        <f>+VLOOKUP(B303,Composición!$C$4:$H$1742,5,0)-D303</f>
        <v>-1650973259</v>
      </c>
      <c r="I303" s="1214">
        <f>+VLOOKUP(B303,Composición!$C$4:$H$1742,6,0)-E303</f>
        <v>-210818.33999999997</v>
      </c>
      <c r="J303" s="1054">
        <f t="shared" si="8"/>
        <v>-1651184077.3399999</v>
      </c>
      <c r="M303" s="14"/>
      <c r="N303" s="14"/>
      <c r="O303" s="14"/>
      <c r="P303" s="14"/>
    </row>
    <row r="304" spans="1:16" s="31" customFormat="1" ht="16.5" customHeight="1">
      <c r="A304" s="31" t="str">
        <f t="shared" si="6"/>
        <v>NI</v>
      </c>
      <c r="B304" s="1220">
        <v>214011</v>
      </c>
      <c r="C304" s="1221" t="s">
        <v>222</v>
      </c>
      <c r="D304" s="1222">
        <v>1650973259</v>
      </c>
      <c r="E304" s="1223">
        <v>210818.33999999997</v>
      </c>
      <c r="F304" s="1058">
        <f>+VLOOKUP(B304,Composición!$C$5:$D$1768,1,0)</f>
        <v>214011</v>
      </c>
      <c r="G304" s="1058">
        <f>+VLOOKUP(B304,'CA FE'!$A:$A,1,0)</f>
        <v>214011</v>
      </c>
      <c r="H304" s="1048">
        <f>+VLOOKUP(B304,Composición!$C$4:$H$1742,5,0)-D304</f>
        <v>-1650973259</v>
      </c>
      <c r="I304" s="1214">
        <f>+VLOOKUP(B304,Composición!$C$4:$H$1742,6,0)-E304</f>
        <v>-210818.33999999997</v>
      </c>
      <c r="J304" s="1054">
        <f t="shared" si="8"/>
        <v>-1651184077.3399999</v>
      </c>
      <c r="M304" s="14"/>
      <c r="N304" s="14"/>
      <c r="O304" s="14"/>
      <c r="P304" s="14"/>
    </row>
    <row r="305" spans="1:16" s="31" customFormat="1" ht="16.5" customHeight="1">
      <c r="A305" s="31" t="str">
        <f t="shared" si="6"/>
        <v>NI</v>
      </c>
      <c r="B305" s="1220">
        <v>2140111</v>
      </c>
      <c r="C305" s="1221" t="s">
        <v>222</v>
      </c>
      <c r="D305" s="1222">
        <v>1650973259</v>
      </c>
      <c r="E305" s="1223">
        <v>210818.33999999997</v>
      </c>
      <c r="F305" s="1058">
        <f>+VLOOKUP(B305,Composición!$C$5:$D$1768,1,0)</f>
        <v>2140111</v>
      </c>
      <c r="G305" s="1058">
        <f>+VLOOKUP(B305,'CA FE'!$A:$A,1,0)</f>
        <v>2140111</v>
      </c>
      <c r="H305" s="1048">
        <f>+VLOOKUP(B305,Composición!$C$4:$H$1742,5,0)-D305</f>
        <v>-1650973259</v>
      </c>
      <c r="I305" s="1214">
        <f>+VLOOKUP(B305,Composición!$C$4:$H$1742,6,0)-E305</f>
        <v>-210818.33999999997</v>
      </c>
      <c r="J305" s="1054">
        <f t="shared" si="8"/>
        <v>-1651184077.3399999</v>
      </c>
      <c r="M305" s="14"/>
      <c r="N305" s="14"/>
      <c r="O305" s="14"/>
      <c r="P305" s="14"/>
    </row>
    <row r="306" spans="1:16" s="31" customFormat="1" ht="16.5" customHeight="1">
      <c r="A306" s="31" t="str">
        <f t="shared" si="6"/>
        <v>NI</v>
      </c>
      <c r="B306" s="1220">
        <v>21401111</v>
      </c>
      <c r="C306" s="1221" t="s">
        <v>223</v>
      </c>
      <c r="D306" s="1222">
        <v>1650973259</v>
      </c>
      <c r="E306" s="1223">
        <v>210818.33999999997</v>
      </c>
      <c r="F306" s="1058">
        <f>+VLOOKUP(B306,Composición!$C$5:$D$1768,1,0)</f>
        <v>21401111</v>
      </c>
      <c r="G306" s="1058">
        <f>+VLOOKUP(B306,'CA FE'!$A:$A,1,0)</f>
        <v>21401111</v>
      </c>
      <c r="H306" s="1048">
        <f>+VLOOKUP(B306,Composición!$C$4:$H$1742,5,0)-D306</f>
        <v>-1650973259</v>
      </c>
      <c r="I306" s="1214">
        <f>+VLOOKUP(B306,Composición!$C$4:$H$1742,6,0)-E306</f>
        <v>-210818.33999999997</v>
      </c>
      <c r="J306" s="1054">
        <f t="shared" si="8"/>
        <v>-1651184077.3399999</v>
      </c>
      <c r="M306" s="14"/>
      <c r="N306" s="14"/>
      <c r="O306" s="14"/>
      <c r="P306" s="14"/>
    </row>
    <row r="307" spans="1:16" s="14" customFormat="1" ht="16.5" customHeight="1">
      <c r="A307" s="14" t="str">
        <f t="shared" si="6"/>
        <v>I</v>
      </c>
      <c r="B307" s="1203">
        <v>2140111103</v>
      </c>
      <c r="C307" t="s">
        <v>224</v>
      </c>
      <c r="D307" s="1308">
        <v>100739388</v>
      </c>
      <c r="E307" s="1309">
        <v>12863.75</v>
      </c>
      <c r="F307" s="818">
        <f>+VLOOKUP(B307,Composición!$C$5:$D$1768,1,0)</f>
        <v>2140111103</v>
      </c>
      <c r="G307" s="818">
        <f>+VLOOKUP(B307,'CA FE'!$A:$A,1,0)</f>
        <v>2140111103</v>
      </c>
      <c r="H307" s="1049">
        <f>+VLOOKUP(B307,Composición!$C$4:$H$1742,5,0)</f>
        <v>100739388</v>
      </c>
      <c r="I307" s="14">
        <f>+VLOOKUP(B307,Composición!$C$4:$H$1742,6,0)</f>
        <v>12863.75</v>
      </c>
      <c r="J307" s="1053">
        <f t="shared" si="7"/>
        <v>-100726524.25</v>
      </c>
    </row>
    <row r="308" spans="1:16" s="14" customFormat="1" ht="16.5" customHeight="1">
      <c r="A308" s="14" t="str">
        <f t="shared" si="6"/>
        <v>I</v>
      </c>
      <c r="B308" s="1203">
        <v>2140111111</v>
      </c>
      <c r="C308" t="s">
        <v>225</v>
      </c>
      <c r="D308" s="1308">
        <v>1319754167</v>
      </c>
      <c r="E308" s="1309">
        <v>168523.86</v>
      </c>
      <c r="F308" s="818">
        <f>+VLOOKUP(B308,Composición!$C$5:$D$1768,1,0)</f>
        <v>2140111111</v>
      </c>
      <c r="G308" s="818">
        <f>+VLOOKUP(B308,'CA FE'!$A:$A,1,0)</f>
        <v>2140111111</v>
      </c>
      <c r="H308" s="14">
        <f>+VLOOKUP(B308,Composición!$C$4:$H$1742,5,0)</f>
        <v>1319754167</v>
      </c>
      <c r="I308" s="14">
        <f>+VLOOKUP(B308,Composición!$C$4:$H$1742,6,0)</f>
        <v>168523.86</v>
      </c>
      <c r="J308" s="1053">
        <f t="shared" si="7"/>
        <v>-1319585643.1400001</v>
      </c>
    </row>
    <row r="309" spans="1:16" s="14" customFormat="1" ht="16.5" customHeight="1">
      <c r="A309" s="14" t="str">
        <f t="shared" si="6"/>
        <v>I</v>
      </c>
      <c r="B309" s="1203">
        <v>2140111112</v>
      </c>
      <c r="C309" t="s">
        <v>226</v>
      </c>
      <c r="D309" s="1308">
        <v>220690629</v>
      </c>
      <c r="E309" s="1309">
        <v>28180.729999999996</v>
      </c>
      <c r="F309" s="818">
        <f>+VLOOKUP(B309,Composición!$C$5:$D$1768,1,0)</f>
        <v>2140111112</v>
      </c>
      <c r="G309" s="818">
        <f>+VLOOKUP(B309,'CA FE'!$A:$A,1,0)</f>
        <v>2140111112</v>
      </c>
      <c r="H309" s="14">
        <f>+VLOOKUP(B309,Composición!$C$4:$H$1742,5,0)</f>
        <v>108224330.90115741</v>
      </c>
      <c r="I309" s="14">
        <f>+VLOOKUP(B309,Composición!$C$4:$H$1742,6,0)</f>
        <v>13884.982587073631</v>
      </c>
      <c r="J309" s="1053">
        <f t="shared" si="7"/>
        <v>-220676744.01741293</v>
      </c>
    </row>
    <row r="310" spans="1:16" s="14" customFormat="1" ht="16.5" customHeight="1">
      <c r="A310" s="14" t="str">
        <f t="shared" si="6"/>
        <v>I</v>
      </c>
      <c r="B310" s="1203">
        <v>2140111113</v>
      </c>
      <c r="C310" t="s">
        <v>2953</v>
      </c>
      <c r="D310" s="1308">
        <v>9789075</v>
      </c>
      <c r="E310" s="1309">
        <v>1250</v>
      </c>
      <c r="F310" s="818">
        <f>+VLOOKUP(B310,Composición!$C$5:$D$1768,1,0)</f>
        <v>2140111113</v>
      </c>
      <c r="G310" s="818">
        <f>+VLOOKUP(B310,'CA FE'!$A:$A,1,0)</f>
        <v>2140111113</v>
      </c>
      <c r="H310" s="14">
        <f>+VLOOKUP(B310,Composición!$C$4:$H$1742,5,0)</f>
        <v>9789075</v>
      </c>
      <c r="I310" s="14">
        <f>+VLOOKUP(B310,Composición!$C$4:$H$1742,6,0)</f>
        <v>1250</v>
      </c>
      <c r="J310" s="830">
        <f t="shared" si="7"/>
        <v>-9787825</v>
      </c>
    </row>
    <row r="311" spans="1:16" s="31" customFormat="1" ht="16.5" customHeight="1">
      <c r="A311" s="31" t="str">
        <f t="shared" si="6"/>
        <v>NI</v>
      </c>
      <c r="B311" s="1220">
        <v>21402</v>
      </c>
      <c r="C311" s="1221" t="s">
        <v>227</v>
      </c>
      <c r="D311" s="1222">
        <v>1923722533</v>
      </c>
      <c r="E311" s="1223">
        <v>245646.62</v>
      </c>
      <c r="F311" s="1058">
        <f>+VLOOKUP(B311,Composición!$C$5:$D$1768,1,0)</f>
        <v>21402</v>
      </c>
      <c r="G311" s="1058">
        <f>+VLOOKUP(B311,'CA FE'!$A:$A,1,0)</f>
        <v>21402</v>
      </c>
      <c r="H311" s="1213">
        <f>+VLOOKUP(B311,Composición!$C$4:$H$1742,5,0)-D311</f>
        <v>-1923722533</v>
      </c>
      <c r="I311" s="1214">
        <f>+VLOOKUP(B311,Composición!$C$4:$H$1742,6,0)-E311</f>
        <v>-245646.62</v>
      </c>
      <c r="J311" s="1054">
        <f t="shared" si="7"/>
        <v>-1923968179.6199999</v>
      </c>
      <c r="M311" s="14"/>
      <c r="N311" s="14"/>
      <c r="O311" s="14"/>
      <c r="P311" s="14"/>
    </row>
    <row r="312" spans="1:16" s="31" customFormat="1" ht="16.5" customHeight="1">
      <c r="A312" s="31" t="str">
        <f t="shared" si="6"/>
        <v>NI</v>
      </c>
      <c r="B312" s="1220">
        <v>214021</v>
      </c>
      <c r="C312" s="1221" t="s">
        <v>227</v>
      </c>
      <c r="D312" s="1222">
        <v>1923722533</v>
      </c>
      <c r="E312" s="1223">
        <v>245646.62</v>
      </c>
      <c r="F312" s="1058">
        <f>+VLOOKUP(B312,Composición!$C$5:$D$1768,1,0)</f>
        <v>214021</v>
      </c>
      <c r="G312" s="1058">
        <f>+VLOOKUP(B312,'CA FE'!$A:$A,1,0)</f>
        <v>214021</v>
      </c>
      <c r="H312" s="1048">
        <f>+VLOOKUP(B312,Composición!$C$4:$H$1742,5,0)</f>
        <v>0</v>
      </c>
      <c r="I312" s="31">
        <f>+VLOOKUP(B312,Composición!$C$4:$H$1742,6,0)</f>
        <v>0</v>
      </c>
      <c r="J312" s="827">
        <f t="shared" si="5"/>
        <v>-1923722533</v>
      </c>
      <c r="M312" s="14"/>
      <c r="N312" s="14"/>
      <c r="O312" s="14"/>
      <c r="P312" s="14"/>
    </row>
    <row r="313" spans="1:16" s="31" customFormat="1" ht="16.5" customHeight="1">
      <c r="A313" s="31" t="str">
        <f t="shared" si="6"/>
        <v>NI</v>
      </c>
      <c r="B313" s="1220">
        <v>2140211</v>
      </c>
      <c r="C313" s="1221" t="s">
        <v>227</v>
      </c>
      <c r="D313" s="1222">
        <v>1923722533</v>
      </c>
      <c r="E313" s="1223">
        <v>245646.62</v>
      </c>
      <c r="F313" s="1058">
        <f>+VLOOKUP(B313,Composición!$C$5:$D$1768,1,0)</f>
        <v>2140211</v>
      </c>
      <c r="G313" s="1058">
        <f>+VLOOKUP(B313,'CA FE'!$A:$A,1,0)</f>
        <v>2140211</v>
      </c>
      <c r="H313" s="31">
        <f>+VLOOKUP(B313,Composición!$C$4:$H$1742,5,0)</f>
        <v>0</v>
      </c>
      <c r="I313" s="31">
        <f>+VLOOKUP(B313,Composición!$C$4:$H$1742,6,0)</f>
        <v>0</v>
      </c>
      <c r="J313" s="1054">
        <f t="shared" si="5"/>
        <v>-1923722533</v>
      </c>
      <c r="M313" s="14"/>
      <c r="N313" s="14"/>
      <c r="O313" s="14"/>
      <c r="P313" s="14"/>
    </row>
    <row r="314" spans="1:16" s="31" customFormat="1" ht="16.5" customHeight="1">
      <c r="A314" s="31" t="str">
        <f t="shared" si="6"/>
        <v>NI</v>
      </c>
      <c r="B314" s="1220">
        <v>21402111</v>
      </c>
      <c r="C314" s="1221" t="s">
        <v>227</v>
      </c>
      <c r="D314" s="1222">
        <v>1923722533</v>
      </c>
      <c r="E314" s="1223">
        <v>245646.62</v>
      </c>
      <c r="F314" s="1058">
        <f>+VLOOKUP(B314,Composición!$C$5:$D$1768,1,0)</f>
        <v>21402111</v>
      </c>
      <c r="G314" s="1058">
        <f>+VLOOKUP(B314,'CA FE'!$A:$A,1,0)</f>
        <v>21402111</v>
      </c>
      <c r="H314" s="31">
        <f>+VLOOKUP(B314,Composición!$C$4:$H$1742,5,0)</f>
        <v>0</v>
      </c>
      <c r="I314" s="31">
        <f>+VLOOKUP(B314,Composición!$C$4:$H$1742,6,0)</f>
        <v>0</v>
      </c>
      <c r="J314" s="1054">
        <f t="shared" si="5"/>
        <v>-1923722533</v>
      </c>
      <c r="M314" s="14"/>
      <c r="N314" s="14"/>
      <c r="O314" s="14"/>
      <c r="P314" s="14"/>
    </row>
    <row r="315" spans="1:16" s="14" customFormat="1" ht="16.5" customHeight="1">
      <c r="A315" s="14" t="str">
        <f t="shared" si="6"/>
        <v>I</v>
      </c>
      <c r="B315" s="1203">
        <v>2140211101</v>
      </c>
      <c r="C315" t="s">
        <v>228</v>
      </c>
      <c r="D315" s="1308">
        <v>1666191338</v>
      </c>
      <c r="E315" s="1309">
        <v>212761.59000000003</v>
      </c>
      <c r="F315" s="818">
        <f>+VLOOKUP(B315,Composición!$C$5:$D$1768,1,0)</f>
        <v>2140211101</v>
      </c>
      <c r="G315" s="818">
        <f>+VLOOKUP(B315,'CA FE'!$A:$A,1,0)</f>
        <v>2140211101</v>
      </c>
      <c r="H315" s="14">
        <f>+VLOOKUP(B315,Composición!$C$4:$H$1742,5,0)</f>
        <v>1666191338</v>
      </c>
      <c r="I315" s="14">
        <f>+VLOOKUP(B315,Composición!$C$4:$H$1742,6,0)</f>
        <v>212761.59000000003</v>
      </c>
      <c r="J315" s="1053">
        <f t="shared" si="5"/>
        <v>-1665978576.4100001</v>
      </c>
    </row>
    <row r="316" spans="1:16" s="14" customFormat="1" ht="16.5" customHeight="1">
      <c r="A316" s="14" t="str">
        <f t="shared" si="6"/>
        <v>I</v>
      </c>
      <c r="B316" s="1203">
        <v>2140211104</v>
      </c>
      <c r="C316" t="s">
        <v>229</v>
      </c>
      <c r="D316" s="1308">
        <v>252656625</v>
      </c>
      <c r="E316" s="1309">
        <v>32262.579999999954</v>
      </c>
      <c r="F316" s="818">
        <f>+VLOOKUP(B316,Composición!$C$5:$D$1768,1,0)</f>
        <v>2140211104</v>
      </c>
      <c r="G316" s="818">
        <f>+VLOOKUP(B316,'CA FE'!$A:$A,1,0)</f>
        <v>2140211104</v>
      </c>
      <c r="H316" s="1310">
        <f>+VLOOKUP(B316,Composición!$C$4:$H$1742,5,0)-D316</f>
        <v>0</v>
      </c>
      <c r="I316" s="1311">
        <f>+VLOOKUP(B316,Composición!$C$4:$H$1742,6,0)-E316</f>
        <v>0</v>
      </c>
      <c r="J316" s="1053">
        <f t="shared" si="5"/>
        <v>-252656625</v>
      </c>
    </row>
    <row r="317" spans="1:16" s="14" customFormat="1" ht="16.5" customHeight="1">
      <c r="A317" s="14" t="str">
        <f t="shared" si="6"/>
        <v>I</v>
      </c>
      <c r="B317" s="1203">
        <v>2140211105</v>
      </c>
      <c r="C317" t="s">
        <v>230</v>
      </c>
      <c r="D317" s="1308">
        <v>4782626</v>
      </c>
      <c r="E317" s="1309">
        <v>610.70999999999913</v>
      </c>
      <c r="F317" s="818">
        <f>+VLOOKUP(B317,Composición!$C$5:$D$1768,1,0)</f>
        <v>2140211105</v>
      </c>
      <c r="G317" s="818">
        <f>+VLOOKUP(B317,'CA FE'!$A:$A,1,0)</f>
        <v>2140211105</v>
      </c>
      <c r="H317" s="1049">
        <f>+VLOOKUP(B317,Composición!$C$4:$H$1742,5,0)-D317</f>
        <v>0</v>
      </c>
      <c r="I317" s="1311">
        <f>+VLOOKUP(B317,Composición!$C$4:$H$1742,6,0)-E317</f>
        <v>0</v>
      </c>
      <c r="J317" s="1053">
        <f t="shared" si="5"/>
        <v>-4782626</v>
      </c>
    </row>
    <row r="318" spans="1:16" s="14" customFormat="1" ht="16.5" customHeight="1">
      <c r="A318" s="14" t="str">
        <f t="shared" si="6"/>
        <v>I</v>
      </c>
      <c r="B318" s="1203">
        <v>2140211108</v>
      </c>
      <c r="C318" t="s">
        <v>908</v>
      </c>
      <c r="D318" s="1308">
        <v>91944</v>
      </c>
      <c r="E318" s="1309">
        <v>11.74</v>
      </c>
      <c r="F318" s="818">
        <f>+VLOOKUP(B318,Composición!$C$5:$D$1768,1,0)</f>
        <v>2140211108</v>
      </c>
      <c r="G318" s="818">
        <f>+VLOOKUP(B318,'CA FE'!$A:$A,1,0)</f>
        <v>2140211108</v>
      </c>
      <c r="H318" s="1049">
        <f>+VLOOKUP(B318,Composición!$C$4:$H$1742,5,0)</f>
        <v>91944</v>
      </c>
      <c r="I318" s="14">
        <f>+VLOOKUP(B318,Composición!$C$4:$H$1742,6,0)</f>
        <v>11.74</v>
      </c>
      <c r="J318" s="1053">
        <f t="shared" ref="J318" si="9">+I318-D318</f>
        <v>-91932.26</v>
      </c>
    </row>
    <row r="319" spans="1:16" s="31" customFormat="1" ht="16.5" customHeight="1">
      <c r="A319" s="31" t="str">
        <f t="shared" si="6"/>
        <v>NI</v>
      </c>
      <c r="B319" s="1220">
        <v>21403</v>
      </c>
      <c r="C319" s="1221" t="s">
        <v>232</v>
      </c>
      <c r="D319" s="1222">
        <v>90324891</v>
      </c>
      <c r="E319" s="1223">
        <v>11533.890000000014</v>
      </c>
      <c r="F319" s="1058">
        <f>+VLOOKUP(B319,Composición!$C$5:$D$1768,1,0)</f>
        <v>21403</v>
      </c>
      <c r="G319" s="1058">
        <f>+VLOOKUP(B319,'CA FE'!$A:$A,1,0)</f>
        <v>21403</v>
      </c>
      <c r="H319" s="31">
        <f>+VLOOKUP(B319,Composición!$C$4:$H$1742,5,0)</f>
        <v>0</v>
      </c>
      <c r="I319" s="31">
        <f>+VLOOKUP(B319,Composición!$C$4:$H$1742,6,0)</f>
        <v>0</v>
      </c>
      <c r="J319" s="1054">
        <f t="shared" si="5"/>
        <v>-90324891</v>
      </c>
      <c r="M319" s="14"/>
      <c r="N319" s="14"/>
      <c r="O319" s="14"/>
      <c r="P319" s="14"/>
    </row>
    <row r="320" spans="1:16" s="31" customFormat="1" ht="16.5" customHeight="1">
      <c r="A320" s="31" t="str">
        <f t="shared" si="6"/>
        <v>NI</v>
      </c>
      <c r="B320" s="1220">
        <v>214031</v>
      </c>
      <c r="C320" s="1221" t="s">
        <v>233</v>
      </c>
      <c r="D320" s="1222">
        <v>90324891</v>
      </c>
      <c r="E320" s="1223">
        <v>11533.890000000014</v>
      </c>
      <c r="F320" s="1058">
        <f>+VLOOKUP(B320,Composición!$C$5:$D$1768,1,0)</f>
        <v>214031</v>
      </c>
      <c r="G320" s="1058">
        <f>+VLOOKUP(B320,'CA FE'!$A:$A,1,0)</f>
        <v>214031</v>
      </c>
      <c r="H320" s="31">
        <f>+VLOOKUP(B320,Composición!$C$4:$H$1742,5,0)</f>
        <v>0</v>
      </c>
      <c r="I320" s="31">
        <f>+VLOOKUP(B320,Composición!$C$4:$H$1742,6,0)</f>
        <v>0</v>
      </c>
      <c r="J320" s="1054">
        <f t="shared" si="5"/>
        <v>-90324891</v>
      </c>
      <c r="M320" s="14"/>
      <c r="N320" s="14"/>
      <c r="O320" s="14"/>
      <c r="P320" s="14"/>
    </row>
    <row r="321" spans="1:16" s="31" customFormat="1" ht="16.5" customHeight="1">
      <c r="A321" s="31" t="str">
        <f t="shared" si="6"/>
        <v>NI</v>
      </c>
      <c r="B321" s="1220">
        <v>2140311</v>
      </c>
      <c r="C321" s="1221" t="s">
        <v>233</v>
      </c>
      <c r="D321" s="1222">
        <v>90324891</v>
      </c>
      <c r="E321" s="1223">
        <v>11533.890000000014</v>
      </c>
      <c r="F321" s="1058">
        <f>+VLOOKUP(B321,Composición!$C$5:$D$1768,1,0)</f>
        <v>2140311</v>
      </c>
      <c r="G321" s="1058">
        <f>+VLOOKUP(B321,'CA FE'!$A:$A,1,0)</f>
        <v>2140311</v>
      </c>
      <c r="H321" s="31">
        <f>+VLOOKUP(B321,Composición!$C$4:$H$1742,5,0)</f>
        <v>0</v>
      </c>
      <c r="I321" s="31">
        <f>+VLOOKUP(B321,Composición!$C$4:$H$1742,6,0)</f>
        <v>0</v>
      </c>
      <c r="J321" s="1054">
        <f t="shared" si="5"/>
        <v>-90324891</v>
      </c>
      <c r="M321" s="14"/>
      <c r="N321" s="14"/>
      <c r="O321" s="14"/>
      <c r="P321" s="14"/>
    </row>
    <row r="322" spans="1:16" s="31" customFormat="1" ht="16.5" customHeight="1">
      <c r="A322" s="31" t="str">
        <f t="shared" si="6"/>
        <v>NI</v>
      </c>
      <c r="B322" s="1220">
        <v>21403111</v>
      </c>
      <c r="C322" s="1221" t="s">
        <v>233</v>
      </c>
      <c r="D322" s="1222">
        <v>90324891</v>
      </c>
      <c r="E322" s="1223">
        <v>11533.890000000014</v>
      </c>
      <c r="F322" s="1058">
        <f>+VLOOKUP(B322,Composición!$C$5:$D$1768,1,0)</f>
        <v>21403111</v>
      </c>
      <c r="G322" s="1058">
        <f>+VLOOKUP(B322,'CA FE'!$A:$A,1,0)</f>
        <v>21403111</v>
      </c>
      <c r="H322" s="31">
        <f>+VLOOKUP(B322,Composición!$C$4:$H$1742,5,0)</f>
        <v>0</v>
      </c>
      <c r="I322" s="31">
        <f>+VLOOKUP(B322,Composición!$C$4:$H$1742,6,0)</f>
        <v>0</v>
      </c>
      <c r="J322" s="1054">
        <f t="shared" si="5"/>
        <v>-90324891</v>
      </c>
      <c r="M322" s="14"/>
      <c r="N322" s="14"/>
      <c r="O322" s="14"/>
      <c r="P322" s="14"/>
    </row>
    <row r="323" spans="1:16" s="14" customFormat="1" ht="16.5" customHeight="1">
      <c r="A323" s="14" t="str">
        <f t="shared" si="6"/>
        <v>I</v>
      </c>
      <c r="B323" s="1203">
        <v>2140311101</v>
      </c>
      <c r="C323" t="s">
        <v>234</v>
      </c>
      <c r="D323" s="1308">
        <v>89894172</v>
      </c>
      <c r="E323" s="1309">
        <v>11478.890000000007</v>
      </c>
      <c r="F323" s="818">
        <f>+VLOOKUP(B323,Composición!$C$5:$D$1768,1,0)</f>
        <v>2140311101</v>
      </c>
      <c r="G323" s="818">
        <f>+VLOOKUP(B323,'CA FE'!$A:$A,1,0)</f>
        <v>2140311101</v>
      </c>
      <c r="H323" s="14">
        <f>+VLOOKUP(B323,Composición!$C$4:$H$1742,5,0)</f>
        <v>89894172</v>
      </c>
      <c r="I323" s="14">
        <f>+VLOOKUP(B323,Composición!$C$4:$H$1742,6,0)</f>
        <v>11478.890000000007</v>
      </c>
      <c r="J323" s="1053">
        <f t="shared" si="5"/>
        <v>-89882693.109999999</v>
      </c>
    </row>
    <row r="324" spans="1:16" s="14" customFormat="1" ht="16.5" customHeight="1">
      <c r="A324" s="14" t="str">
        <f t="shared" si="6"/>
        <v>I</v>
      </c>
      <c r="B324" s="1203">
        <v>2140311199</v>
      </c>
      <c r="C324" t="s">
        <v>2954</v>
      </c>
      <c r="D324" s="1308">
        <v>430719</v>
      </c>
      <c r="E324" s="1309">
        <v>55</v>
      </c>
      <c r="F324" s="818">
        <f>+VLOOKUP(B324,Composición!$C$5:$D$1768,1,0)</f>
        <v>2140311199</v>
      </c>
      <c r="G324" s="818">
        <f>+VLOOKUP(B324,'CA FE'!$A:$A,1,0)</f>
        <v>2140311199</v>
      </c>
      <c r="H324" s="14">
        <f>+VLOOKUP(B324,Composición!$C$4:$H$1742,5,0)</f>
        <v>430719</v>
      </c>
      <c r="I324" s="14">
        <f>+VLOOKUP(B324,Composición!$C$4:$H$1742,6,0)</f>
        <v>55</v>
      </c>
      <c r="J324" s="1053">
        <f t="shared" si="5"/>
        <v>-430664</v>
      </c>
    </row>
    <row r="325" spans="1:16" s="31" customFormat="1" ht="16.5" customHeight="1">
      <c r="A325" s="31" t="str">
        <f t="shared" si="6"/>
        <v>NI</v>
      </c>
      <c r="B325" s="1220">
        <v>21405</v>
      </c>
      <c r="C325" s="1221" t="s">
        <v>232</v>
      </c>
      <c r="D325" s="1222">
        <v>122246</v>
      </c>
      <c r="E325" s="1223">
        <v>15.610000000000582</v>
      </c>
      <c r="F325" s="1058">
        <f>+VLOOKUP(B325,Composición!$C$5:$D$1768,1,0)</f>
        <v>21405</v>
      </c>
      <c r="G325" s="1058">
        <f>+VLOOKUP(B325,'CA FE'!$A:$A,1,0)</f>
        <v>21405</v>
      </c>
      <c r="H325" s="31">
        <f>+VLOOKUP(B325,Composición!$C$4:$H$1742,5,0)</f>
        <v>0</v>
      </c>
      <c r="I325" s="31">
        <f>+VLOOKUP(B325,Composición!$C$4:$H$1742,6,0)</f>
        <v>0</v>
      </c>
      <c r="J325" s="1054">
        <f t="shared" si="5"/>
        <v>-122246</v>
      </c>
      <c r="M325" s="14"/>
      <c r="N325" s="14"/>
      <c r="O325" s="14"/>
      <c r="P325" s="14"/>
    </row>
    <row r="326" spans="1:16" s="31" customFormat="1" ht="16.5" customHeight="1">
      <c r="A326" s="31" t="str">
        <f t="shared" si="6"/>
        <v>NI</v>
      </c>
      <c r="B326" s="1220">
        <v>214051</v>
      </c>
      <c r="C326" s="1221" t="s">
        <v>232</v>
      </c>
      <c r="D326" s="1222">
        <v>122246</v>
      </c>
      <c r="E326" s="1223">
        <v>15.610000000000582</v>
      </c>
      <c r="F326" s="1058">
        <f>+VLOOKUP(B326,Composición!$C$5:$D$1768,1,0)</f>
        <v>214051</v>
      </c>
      <c r="G326" s="1058">
        <f>+VLOOKUP(B326,'CA FE'!$A:$A,1,0)</f>
        <v>214051</v>
      </c>
      <c r="H326" s="1048">
        <f>+VLOOKUP(B326,Composición!$C$4:$H$1742,5,0)-D326</f>
        <v>-122246</v>
      </c>
      <c r="I326" s="1214">
        <f>+VLOOKUP(B326,Composición!$C$4:$H$1742,6,0)-E326</f>
        <v>-15.610000000000582</v>
      </c>
      <c r="J326" s="1054">
        <f t="shared" si="5"/>
        <v>-122261.61</v>
      </c>
      <c r="M326" s="14"/>
      <c r="N326" s="14"/>
      <c r="O326" s="14"/>
      <c r="P326" s="14"/>
    </row>
    <row r="327" spans="1:16" s="31" customFormat="1" ht="16.5" customHeight="1">
      <c r="A327" s="31" t="str">
        <f t="shared" si="6"/>
        <v>NI</v>
      </c>
      <c r="B327" s="1220">
        <v>2140511</v>
      </c>
      <c r="C327" s="1221" t="s">
        <v>232</v>
      </c>
      <c r="D327" s="1222">
        <v>122246</v>
      </c>
      <c r="E327" s="1223">
        <v>15.610000000000582</v>
      </c>
      <c r="F327" s="1058">
        <f>+VLOOKUP(B327,Composición!$C$5:$D$1768,1,0)</f>
        <v>2140511</v>
      </c>
      <c r="G327" s="1058">
        <f>+VLOOKUP(B327,'CA FE'!$A:$A,1,0)</f>
        <v>2140511</v>
      </c>
      <c r="H327" s="31">
        <f>+VLOOKUP(B327,Composición!$C$4:$H$1742,5,0)</f>
        <v>0</v>
      </c>
      <c r="I327" s="31">
        <f>+VLOOKUP(B327,Composición!$C$4:$H$1742,6,0)</f>
        <v>0</v>
      </c>
      <c r="J327" s="1054">
        <f t="shared" si="5"/>
        <v>-122246</v>
      </c>
      <c r="M327" s="14"/>
      <c r="N327" s="14"/>
      <c r="O327" s="14"/>
      <c r="P327" s="14"/>
    </row>
    <row r="328" spans="1:16" s="31" customFormat="1" ht="16.5" customHeight="1">
      <c r="A328" s="31" t="str">
        <f t="shared" si="6"/>
        <v>NI</v>
      </c>
      <c r="B328" s="1220">
        <v>21405111</v>
      </c>
      <c r="C328" s="1221" t="s">
        <v>235</v>
      </c>
      <c r="D328" s="1222">
        <v>122246</v>
      </c>
      <c r="E328" s="1223">
        <v>15.610000000000582</v>
      </c>
      <c r="F328" s="1058">
        <f>+VLOOKUP(B328,Composición!$C$5:$D$1768,1,0)</f>
        <v>21405111</v>
      </c>
      <c r="G328" s="1058">
        <f>+VLOOKUP(B328,'CA FE'!$A:$A,1,0)</f>
        <v>21405111</v>
      </c>
      <c r="H328" s="31">
        <f>+VLOOKUP(B328,Composición!$C$4:$H$1742,5,0)</f>
        <v>0</v>
      </c>
      <c r="I328" s="31">
        <f>+VLOOKUP(B328,Composición!$C$4:$H$1742,6,0)</f>
        <v>0</v>
      </c>
      <c r="J328" s="1054">
        <f t="shared" si="5"/>
        <v>-122246</v>
      </c>
      <c r="M328" s="14"/>
      <c r="N328" s="14"/>
      <c r="O328" s="14"/>
      <c r="P328" s="14"/>
    </row>
    <row r="329" spans="1:16" s="14" customFormat="1" ht="16.5" customHeight="1">
      <c r="A329" s="14" t="str">
        <f t="shared" si="6"/>
        <v>I</v>
      </c>
      <c r="B329" s="1203">
        <v>2140511102</v>
      </c>
      <c r="C329" t="s">
        <v>237</v>
      </c>
      <c r="D329" s="1308">
        <v>122246</v>
      </c>
      <c r="E329" s="1309">
        <v>15.610000000000127</v>
      </c>
      <c r="F329" s="818">
        <f>+VLOOKUP(B329,Composición!$C$5:$D$1768,1,0)</f>
        <v>2140511102</v>
      </c>
      <c r="G329" s="818">
        <f>+VLOOKUP(B329,'CA FE'!$A:$A,1,0)</f>
        <v>2140511102</v>
      </c>
      <c r="H329" s="14">
        <f>+VLOOKUP(B329,Composición!$C$4:$H$1742,5,0)</f>
        <v>122246</v>
      </c>
      <c r="I329" s="14">
        <f>+VLOOKUP(B329,Composición!$C$4:$H$1742,6,0)</f>
        <v>15.610000000000127</v>
      </c>
      <c r="J329" s="1053">
        <f t="shared" si="5"/>
        <v>-122230.39</v>
      </c>
    </row>
    <row r="330" spans="1:16" s="31" customFormat="1" ht="16.5" customHeight="1">
      <c r="A330" s="31" t="str">
        <f t="shared" si="6"/>
        <v>NI</v>
      </c>
      <c r="B330" s="1220">
        <v>3</v>
      </c>
      <c r="C330" s="1221" t="s">
        <v>238</v>
      </c>
      <c r="D330" s="1222">
        <v>69783371855</v>
      </c>
      <c r="E330" s="1223">
        <v>8932383.4700000007</v>
      </c>
      <c r="F330" s="1058">
        <f>+VLOOKUP(B330,Composición!$C$5:$D$1768,1,0)</f>
        <v>3</v>
      </c>
      <c r="G330" s="1058">
        <f>+VLOOKUP(B330,'CA FE'!$A:$A,1,0)</f>
        <v>3</v>
      </c>
      <c r="H330" s="31">
        <f>+VLOOKUP(B330,Composición!$C$4:$H$1742,5,0)</f>
        <v>0</v>
      </c>
      <c r="I330" s="31">
        <f>+VLOOKUP(B330,Composición!$C$4:$H$1742,6,0)</f>
        <v>0</v>
      </c>
      <c r="J330" s="1054">
        <f t="shared" si="5"/>
        <v>-69783371855</v>
      </c>
      <c r="M330" s="14"/>
      <c r="N330" s="14"/>
      <c r="O330" s="14"/>
      <c r="P330" s="14"/>
    </row>
    <row r="331" spans="1:16" s="31" customFormat="1" ht="16.5" customHeight="1">
      <c r="A331" s="31" t="str">
        <f t="shared" si="6"/>
        <v>NI</v>
      </c>
      <c r="B331" s="1220">
        <v>301</v>
      </c>
      <c r="C331" s="1221" t="s">
        <v>239</v>
      </c>
      <c r="D331" s="1222">
        <v>54350000000</v>
      </c>
      <c r="E331" s="1223">
        <v>7605980.71</v>
      </c>
      <c r="F331" s="1058">
        <f>+VLOOKUP(B331,Composición!$C$5:$D$1768,1,0)</f>
        <v>301</v>
      </c>
      <c r="G331" s="1058">
        <f>+VLOOKUP(B331,'CA FE'!$A:$A,1,0)</f>
        <v>301</v>
      </c>
      <c r="H331" s="31">
        <f>+VLOOKUP(B331,Composición!$C$4:$H$1742,5,0)</f>
        <v>0</v>
      </c>
      <c r="I331" s="31">
        <f>+VLOOKUP(B331,Composición!$C$4:$H$1742,6,0)</f>
        <v>0</v>
      </c>
      <c r="J331" s="1054">
        <f t="shared" si="5"/>
        <v>-54350000000</v>
      </c>
      <c r="M331" s="14"/>
      <c r="N331" s="14"/>
      <c r="O331" s="14"/>
      <c r="P331" s="14"/>
    </row>
    <row r="332" spans="1:16" s="31" customFormat="1" ht="16.5" customHeight="1">
      <c r="A332" s="31" t="str">
        <f t="shared" si="6"/>
        <v>NI</v>
      </c>
      <c r="B332" s="1220">
        <v>3011</v>
      </c>
      <c r="C332" s="1221" t="s">
        <v>240</v>
      </c>
      <c r="D332" s="1222">
        <v>54350000000</v>
      </c>
      <c r="E332" s="1223">
        <v>7605980.71</v>
      </c>
      <c r="F332" s="1058">
        <f>+VLOOKUP(B332,Composición!$C$5:$D$1768,1,0)</f>
        <v>3011</v>
      </c>
      <c r="G332" s="1058">
        <f>+VLOOKUP(B332,'CA FE'!$A:$A,1,0)</f>
        <v>3011</v>
      </c>
      <c r="H332" s="31">
        <f>+VLOOKUP(B332,Composición!$C$4:$H$1742,5,0)</f>
        <v>0</v>
      </c>
      <c r="I332" s="31">
        <f>+VLOOKUP(B332,Composición!$C$4:$H$1742,6,0)</f>
        <v>0</v>
      </c>
      <c r="J332" s="1054">
        <f t="shared" ref="J332:J403" si="10">+I332-D332</f>
        <v>-54350000000</v>
      </c>
      <c r="M332" s="14"/>
      <c r="N332" s="14"/>
      <c r="O332" s="14"/>
      <c r="P332" s="14"/>
    </row>
    <row r="333" spans="1:16" s="31" customFormat="1" ht="16.5" customHeight="1">
      <c r="A333" s="31" t="str">
        <f t="shared" si="6"/>
        <v>NI</v>
      </c>
      <c r="B333" s="1220">
        <v>30111</v>
      </c>
      <c r="C333" s="1221" t="s">
        <v>240</v>
      </c>
      <c r="D333" s="1222">
        <v>54350000000</v>
      </c>
      <c r="E333" s="1223">
        <v>7605980.71</v>
      </c>
      <c r="F333" s="1058">
        <f>+VLOOKUP(B333,Composición!$C$5:$D$1768,1,0)</f>
        <v>30111</v>
      </c>
      <c r="G333" s="1058">
        <f>+VLOOKUP(B333,'CA FE'!$A:$A,1,0)</f>
        <v>30111</v>
      </c>
      <c r="H333" s="1048">
        <f>+VLOOKUP(B333,Composición!$C$4:$H$1742,5,0)-D333</f>
        <v>-54350000000</v>
      </c>
      <c r="I333" s="1214">
        <f>+VLOOKUP(B333,Composición!$C$4:$H$1742,6,0)-E333</f>
        <v>-7605980.71</v>
      </c>
      <c r="J333" s="1054">
        <f t="shared" si="10"/>
        <v>-54357605980.709999</v>
      </c>
      <c r="M333" s="14"/>
      <c r="N333" s="14"/>
      <c r="O333" s="14"/>
      <c r="P333" s="14"/>
    </row>
    <row r="334" spans="1:16" s="31" customFormat="1" ht="16.5" customHeight="1">
      <c r="A334" s="31" t="str">
        <f t="shared" si="6"/>
        <v>NI</v>
      </c>
      <c r="B334" s="1220">
        <v>301112</v>
      </c>
      <c r="C334" s="1221" t="s">
        <v>241</v>
      </c>
      <c r="D334" s="1222">
        <v>54350000000</v>
      </c>
      <c r="E334" s="1223">
        <v>7605980.71</v>
      </c>
      <c r="F334" s="1058">
        <f>+VLOOKUP(B334,Composición!$C$5:$D$1768,1,0)</f>
        <v>301112</v>
      </c>
      <c r="G334" s="1058">
        <f>+VLOOKUP(B334,'CA FE'!$A:$A,1,0)</f>
        <v>301112</v>
      </c>
      <c r="H334" s="31">
        <f>+VLOOKUP(B334,Composición!$C$4:$H$1742,5,0)</f>
        <v>0</v>
      </c>
      <c r="I334" s="31">
        <f>+VLOOKUP(B334,Composición!$C$4:$H$1742,6,0)</f>
        <v>0</v>
      </c>
      <c r="J334" s="1054">
        <f t="shared" si="10"/>
        <v>-54350000000</v>
      </c>
      <c r="M334" s="14"/>
      <c r="N334" s="14"/>
      <c r="O334" s="14"/>
      <c r="P334" s="14"/>
    </row>
    <row r="335" spans="1:16" s="31" customFormat="1" ht="16.5" customHeight="1">
      <c r="A335" s="31" t="str">
        <f t="shared" ref="A335:A398" si="11">IF(LEN(B335)&gt;8,"I","NI")</f>
        <v>NI</v>
      </c>
      <c r="B335" s="1220">
        <v>3011121</v>
      </c>
      <c r="C335" s="1221" t="s">
        <v>241</v>
      </c>
      <c r="D335" s="1222">
        <v>54350000000</v>
      </c>
      <c r="E335" s="1223">
        <v>7605980.71</v>
      </c>
      <c r="F335" s="1058">
        <f>+VLOOKUP(B335,Composición!$C$5:$D$1768,1,0)</f>
        <v>3011121</v>
      </c>
      <c r="G335" s="1058">
        <f>+VLOOKUP(B335,'CA FE'!$A:$A,1,0)</f>
        <v>3011121</v>
      </c>
      <c r="H335" s="31">
        <f>+VLOOKUP(B335,Composición!$C$4:$H$1742,5,0)</f>
        <v>0</v>
      </c>
      <c r="I335" s="31">
        <f>+VLOOKUP(B335,Composición!$C$4:$H$1742,6,0)</f>
        <v>0</v>
      </c>
      <c r="J335" s="1054">
        <f t="shared" ref="J335:J341" si="12">+I335-D335</f>
        <v>-54350000000</v>
      </c>
      <c r="M335" s="14"/>
      <c r="N335" s="14"/>
      <c r="O335" s="14"/>
      <c r="P335" s="14"/>
    </row>
    <row r="336" spans="1:16" s="31" customFormat="1" ht="16.5" customHeight="1">
      <c r="A336" s="31" t="str">
        <f t="shared" si="11"/>
        <v>NI</v>
      </c>
      <c r="B336" s="1220">
        <v>30111211</v>
      </c>
      <c r="C336" s="1221" t="s">
        <v>241</v>
      </c>
      <c r="D336" s="1222">
        <v>54350000000</v>
      </c>
      <c r="E336" s="1223">
        <v>7605980.71</v>
      </c>
      <c r="F336" s="1058">
        <f>+VLOOKUP(B336,Composición!$C$5:$D$1768,1,0)</f>
        <v>30111211</v>
      </c>
      <c r="G336" s="1058">
        <f>+VLOOKUP(B336,'CA FE'!$A:$A,1,0)</f>
        <v>30111211</v>
      </c>
      <c r="H336" s="31">
        <f>+VLOOKUP(B336,Composición!$C$4:$H$1742,5,0)</f>
        <v>0</v>
      </c>
      <c r="I336" s="31">
        <f>+VLOOKUP(B336,Composición!$C$4:$H$1742,6,0)</f>
        <v>0</v>
      </c>
      <c r="J336" s="1054">
        <f t="shared" si="12"/>
        <v>-54350000000</v>
      </c>
      <c r="M336" s="14"/>
      <c r="N336" s="14"/>
      <c r="O336" s="14"/>
      <c r="P336" s="14"/>
    </row>
    <row r="337" spans="1:16" s="14" customFormat="1" ht="16.5" customHeight="1">
      <c r="A337" s="14" t="str">
        <f t="shared" si="11"/>
        <v>I</v>
      </c>
      <c r="B337" s="1203">
        <v>3011121101</v>
      </c>
      <c r="C337" t="s">
        <v>242</v>
      </c>
      <c r="D337" s="1308">
        <v>54350000000</v>
      </c>
      <c r="E337" s="1309">
        <v>7605980.71</v>
      </c>
      <c r="F337" s="818">
        <f>+VLOOKUP(B337,Composición!$C$5:$D$1768,1,0)</f>
        <v>3011121101</v>
      </c>
      <c r="G337" s="818">
        <f>+VLOOKUP(B337,'CA FE'!$A:$A,1,0)</f>
        <v>3011121101</v>
      </c>
      <c r="H337" s="14">
        <f>+VLOOKUP(B337,Composición!$C$4:$H$1742,5,0)</f>
        <v>54350000000</v>
      </c>
      <c r="I337" s="14">
        <f>+VLOOKUP(B337,Composición!$C$4:$H$1742,6,0)</f>
        <v>7605980.71</v>
      </c>
      <c r="J337" s="1053">
        <f t="shared" si="12"/>
        <v>-54342394019.290001</v>
      </c>
    </row>
    <row r="338" spans="1:16" s="31" customFormat="1" ht="16.5" customHeight="1">
      <c r="A338" s="31" t="str">
        <f t="shared" si="11"/>
        <v>NI</v>
      </c>
      <c r="B338" s="1220">
        <v>302</v>
      </c>
      <c r="C338" s="1221" t="s">
        <v>243</v>
      </c>
      <c r="D338" s="1222">
        <v>740857678</v>
      </c>
      <c r="E338" s="1223">
        <v>105720.42</v>
      </c>
      <c r="F338" s="1058">
        <f>+VLOOKUP(B338,Composición!$C$5:$D$1768,1,0)</f>
        <v>302</v>
      </c>
      <c r="G338" s="1058">
        <f>+VLOOKUP(B338,'CA FE'!$A:$A,1,0)</f>
        <v>302</v>
      </c>
      <c r="H338" s="31">
        <f>+VLOOKUP(B338,Composición!$C$4:$H$1742,5,0)</f>
        <v>0</v>
      </c>
      <c r="I338" s="31">
        <f>+VLOOKUP(B338,Composición!$C$4:$H$1742,6,0)</f>
        <v>0</v>
      </c>
      <c r="J338" s="1054">
        <f t="shared" si="12"/>
        <v>-740857678</v>
      </c>
      <c r="M338" s="14"/>
      <c r="N338" s="14"/>
      <c r="O338" s="14"/>
      <c r="P338" s="14"/>
    </row>
    <row r="339" spans="1:16" s="31" customFormat="1" ht="16.5" customHeight="1">
      <c r="A339" s="31" t="str">
        <f t="shared" si="11"/>
        <v>NI</v>
      </c>
      <c r="B339" s="1220">
        <v>3021</v>
      </c>
      <c r="C339" s="1221" t="s">
        <v>244</v>
      </c>
      <c r="D339" s="1222">
        <v>740857678</v>
      </c>
      <c r="E339" s="1223">
        <v>105720.42</v>
      </c>
      <c r="F339" s="1058">
        <f>+VLOOKUP(B339,Composición!$C$5:$D$1768,1,0)</f>
        <v>3021</v>
      </c>
      <c r="G339" s="1058">
        <f>+VLOOKUP(B339,'CA FE'!$A:$A,1,0)</f>
        <v>3021</v>
      </c>
      <c r="H339" s="31">
        <f>+VLOOKUP(B339,Composición!$C$4:$H$1742,5,0)</f>
        <v>0</v>
      </c>
      <c r="I339" s="31">
        <f>+VLOOKUP(B339,Composición!$C$4:$H$1742,6,0)</f>
        <v>0</v>
      </c>
      <c r="J339" s="1054">
        <f t="shared" si="12"/>
        <v>-740857678</v>
      </c>
      <c r="M339" s="14"/>
      <c r="N339" s="14"/>
      <c r="O339" s="14"/>
      <c r="P339" s="14"/>
    </row>
    <row r="340" spans="1:16" s="31" customFormat="1" ht="16.5" customHeight="1">
      <c r="A340" s="31" t="str">
        <f t="shared" si="11"/>
        <v>NI</v>
      </c>
      <c r="B340" s="1220">
        <v>30211</v>
      </c>
      <c r="C340" s="1221" t="s">
        <v>244</v>
      </c>
      <c r="D340" s="1222">
        <v>740857678</v>
      </c>
      <c r="E340" s="1223">
        <v>105720.42</v>
      </c>
      <c r="F340" s="1058">
        <f>+VLOOKUP(B340,Composición!$C$5:$D$1768,1,0)</f>
        <v>30211</v>
      </c>
      <c r="G340" s="1058">
        <f>+VLOOKUP(B340,'CA FE'!$A:$A,1,0)</f>
        <v>30211</v>
      </c>
      <c r="H340" s="1048">
        <f>+VLOOKUP(B340,Composición!$C$4:$H$1742,5,0)-D340</f>
        <v>-740857678</v>
      </c>
      <c r="I340" s="1214">
        <f>+VLOOKUP(B340,Composición!$C$4:$H$1742,6,0)-E340</f>
        <v>-105720.42</v>
      </c>
      <c r="J340" s="1054">
        <f t="shared" si="12"/>
        <v>-740963398.41999996</v>
      </c>
      <c r="M340" s="14"/>
      <c r="N340" s="14"/>
      <c r="O340" s="14"/>
      <c r="P340" s="14"/>
    </row>
    <row r="341" spans="1:16" s="31" customFormat="1" ht="16.5" customHeight="1">
      <c r="A341" s="31" t="str">
        <f t="shared" si="11"/>
        <v>NI</v>
      </c>
      <c r="B341" s="1220">
        <v>302111</v>
      </c>
      <c r="C341" s="1221" t="s">
        <v>244</v>
      </c>
      <c r="D341" s="1222">
        <v>740857678</v>
      </c>
      <c r="E341" s="1223">
        <v>105720.42</v>
      </c>
      <c r="F341" s="1058">
        <f>+VLOOKUP(B341,Composición!$C$5:$D$1768,1,0)</f>
        <v>302111</v>
      </c>
      <c r="G341" s="1058">
        <f>+VLOOKUP(B341,'CA FE'!$A:$A,1,0)</f>
        <v>302111</v>
      </c>
      <c r="H341" s="31">
        <f>+VLOOKUP(B341,Composición!$C$4:$H$1742,5,0)</f>
        <v>0</v>
      </c>
      <c r="I341" s="31">
        <f>+VLOOKUP(B341,Composición!$C$4:$H$1742,6,0)</f>
        <v>0</v>
      </c>
      <c r="J341" s="1054">
        <f t="shared" si="12"/>
        <v>-740857678</v>
      </c>
      <c r="M341" s="14"/>
      <c r="N341" s="14"/>
      <c r="O341" s="14"/>
      <c r="P341" s="14"/>
    </row>
    <row r="342" spans="1:16" s="31" customFormat="1" ht="16.5" customHeight="1">
      <c r="A342" s="31" t="str">
        <f t="shared" si="11"/>
        <v>NI</v>
      </c>
      <c r="B342" s="1220">
        <v>3021111</v>
      </c>
      <c r="C342" s="1221" t="s">
        <v>244</v>
      </c>
      <c r="D342" s="1222">
        <v>740857678</v>
      </c>
      <c r="E342" s="1223">
        <v>105720.42</v>
      </c>
      <c r="F342" s="1058">
        <f>+VLOOKUP(B342,Composición!$C$5:$D$1768,1,0)</f>
        <v>3021111</v>
      </c>
      <c r="G342" s="1058">
        <f>+VLOOKUP(B342,'CA FE'!$A:$A,1,0)</f>
        <v>3021111</v>
      </c>
      <c r="H342" s="31">
        <f>+VLOOKUP(B342,Composición!$C$4:$H$1742,5,0)</f>
        <v>0</v>
      </c>
      <c r="I342" s="31">
        <f>+VLOOKUP(B342,Composición!$C$4:$H$1742,6,0)</f>
        <v>0</v>
      </c>
      <c r="J342" s="1054">
        <f t="shared" si="10"/>
        <v>-740857678</v>
      </c>
      <c r="M342" s="14"/>
      <c r="N342" s="14"/>
      <c r="O342" s="14"/>
      <c r="P342" s="14"/>
    </row>
    <row r="343" spans="1:16" s="31" customFormat="1" ht="16.5" customHeight="1">
      <c r="A343" s="31" t="str">
        <f t="shared" si="11"/>
        <v>NI</v>
      </c>
      <c r="B343" s="1220">
        <v>30211111</v>
      </c>
      <c r="C343" s="1221" t="s">
        <v>244</v>
      </c>
      <c r="D343" s="1222">
        <v>740857678</v>
      </c>
      <c r="E343" s="1223">
        <v>105720.42</v>
      </c>
      <c r="F343" s="1058">
        <f>+VLOOKUP(B343,Composición!$C$5:$D$1768,1,0)</f>
        <v>30211111</v>
      </c>
      <c r="G343" s="1058">
        <f>+VLOOKUP(B343,'CA FE'!$A:$A,1,0)</f>
        <v>30211111</v>
      </c>
      <c r="H343" s="31">
        <f>+VLOOKUP(B343,Composición!$C$4:$H$1742,5,0)</f>
        <v>0</v>
      </c>
      <c r="I343" s="31">
        <f>+VLOOKUP(B343,Composición!$C$4:$H$1742,6,0)</f>
        <v>0</v>
      </c>
      <c r="J343" s="1054">
        <f t="shared" si="10"/>
        <v>-740857678</v>
      </c>
      <c r="M343" s="14"/>
      <c r="N343" s="14"/>
      <c r="O343" s="14"/>
      <c r="P343" s="14"/>
    </row>
    <row r="344" spans="1:16" s="14" customFormat="1" ht="16.5" customHeight="1">
      <c r="A344" s="14" t="str">
        <f t="shared" si="11"/>
        <v>I</v>
      </c>
      <c r="B344" s="1203">
        <v>3021111101</v>
      </c>
      <c r="C344" t="s">
        <v>244</v>
      </c>
      <c r="D344" s="1308">
        <v>740857678</v>
      </c>
      <c r="E344" s="1309">
        <v>105720.42</v>
      </c>
      <c r="F344" s="818">
        <f>+VLOOKUP(B344,Composición!$C$5:$D$1768,1,0)</f>
        <v>3021111101</v>
      </c>
      <c r="G344" s="818">
        <f>+VLOOKUP(B344,'CA FE'!$A:$A,1,0)</f>
        <v>3021111101</v>
      </c>
      <c r="H344" s="14">
        <f>+VLOOKUP(B344,Composición!$C$4:$H$1742,5,0)</f>
        <v>740857678</v>
      </c>
      <c r="I344" s="14">
        <f>+VLOOKUP(B344,Composición!$C$4:$H$1742,6,0)</f>
        <v>105720.42</v>
      </c>
      <c r="J344" s="1053">
        <f t="shared" si="10"/>
        <v>-740751957.58000004</v>
      </c>
    </row>
    <row r="345" spans="1:16" s="31" customFormat="1" ht="16.5" customHeight="1">
      <c r="A345" s="31" t="str">
        <f t="shared" si="11"/>
        <v>NI</v>
      </c>
      <c r="B345" s="1220">
        <v>303</v>
      </c>
      <c r="C345" s="1221" t="s">
        <v>591</v>
      </c>
      <c r="D345" s="1222">
        <v>158458361</v>
      </c>
      <c r="E345" s="1223">
        <v>21168.400000000001</v>
      </c>
      <c r="F345" s="1058">
        <f>+VLOOKUP(B345,Composición!$C$5:$D$1768,1,0)</f>
        <v>303</v>
      </c>
      <c r="G345" s="1058">
        <f>+VLOOKUP(B345,'CA FE'!$A:$A,1,0)</f>
        <v>303</v>
      </c>
      <c r="H345" s="31">
        <f>+VLOOKUP(B345,Composición!$C$4:$H$1742,5,0)</f>
        <v>0</v>
      </c>
      <c r="I345" s="31">
        <f>+VLOOKUP(B345,Composición!$C$4:$H$1742,6,0)</f>
        <v>0</v>
      </c>
      <c r="J345" s="1054">
        <f t="shared" si="10"/>
        <v>-158458361</v>
      </c>
      <c r="M345" s="14"/>
      <c r="N345" s="14"/>
      <c r="O345" s="14"/>
      <c r="P345" s="14"/>
    </row>
    <row r="346" spans="1:16" s="31" customFormat="1" ht="16.5" customHeight="1">
      <c r="A346" s="31" t="str">
        <f t="shared" si="11"/>
        <v>NI</v>
      </c>
      <c r="B346" s="1220">
        <v>3031</v>
      </c>
      <c r="C346" s="1221" t="s">
        <v>592</v>
      </c>
      <c r="D346" s="1222">
        <v>158458361</v>
      </c>
      <c r="E346" s="1223">
        <v>21168.400000000001</v>
      </c>
      <c r="F346" s="1058">
        <f>+VLOOKUP(B346,Composición!$C$5:$D$1768,1,0)</f>
        <v>3031</v>
      </c>
      <c r="G346" s="1058">
        <f>+VLOOKUP(B346,'CA FE'!$A:$A,1,0)</f>
        <v>3031</v>
      </c>
      <c r="H346" s="31">
        <f>+VLOOKUP(B346,Composición!$C$4:$H$1742,5,0)</f>
        <v>0</v>
      </c>
      <c r="I346" s="31">
        <f>+VLOOKUP(B346,Composición!$C$4:$H$1742,6,0)</f>
        <v>0</v>
      </c>
      <c r="J346" s="1054">
        <f t="shared" si="10"/>
        <v>-158458361</v>
      </c>
      <c r="M346" s="14"/>
      <c r="N346" s="14"/>
      <c r="O346" s="14"/>
      <c r="P346" s="14"/>
    </row>
    <row r="347" spans="1:16" s="31" customFormat="1" ht="16.5" customHeight="1">
      <c r="A347" s="31" t="str">
        <f t="shared" si="11"/>
        <v>NI</v>
      </c>
      <c r="B347" s="1220">
        <v>30311</v>
      </c>
      <c r="C347" s="1221" t="s">
        <v>592</v>
      </c>
      <c r="D347" s="1222">
        <v>158458361</v>
      </c>
      <c r="E347" s="1223">
        <v>21168.400000000001</v>
      </c>
      <c r="F347" s="1058">
        <f>+VLOOKUP(B347,Composición!$C$5:$D$1768,1,0)</f>
        <v>30311</v>
      </c>
      <c r="G347" s="1058">
        <f>+VLOOKUP(B347,'CA FE'!$A:$A,1,0)</f>
        <v>30311</v>
      </c>
      <c r="H347" s="1048">
        <f>+VLOOKUP(B347,Composición!$C$4:$H$1742,5,0)-D347</f>
        <v>-158458361</v>
      </c>
      <c r="I347" s="1214">
        <f>+VLOOKUP(B347,Composición!$C$4:$H$1742,6,0)-E347</f>
        <v>-21168.400000000001</v>
      </c>
      <c r="J347" s="1054">
        <f t="shared" si="10"/>
        <v>-158479529.40000001</v>
      </c>
      <c r="M347" s="14"/>
      <c r="N347" s="14"/>
      <c r="O347" s="14"/>
      <c r="P347" s="14"/>
    </row>
    <row r="348" spans="1:16" s="31" customFormat="1" ht="16.5" customHeight="1">
      <c r="A348" s="31" t="str">
        <f t="shared" si="11"/>
        <v>NI</v>
      </c>
      <c r="B348" s="1220">
        <v>303111</v>
      </c>
      <c r="C348" s="1221" t="s">
        <v>592</v>
      </c>
      <c r="D348" s="1222">
        <v>158458361</v>
      </c>
      <c r="E348" s="1223">
        <v>21168.400000000001</v>
      </c>
      <c r="F348" s="1058">
        <f>+VLOOKUP(B348,Composición!$C$5:$D$1768,1,0)</f>
        <v>303111</v>
      </c>
      <c r="G348" s="1058">
        <f>+VLOOKUP(B348,'CA FE'!$A:$A,1,0)</f>
        <v>303111</v>
      </c>
      <c r="H348" s="1048">
        <f>+VLOOKUP(B348,Composición!$C$4:$H$1742,5,0)-D348</f>
        <v>-158458361</v>
      </c>
      <c r="I348" s="1214">
        <f>+VLOOKUP(B348,Composición!$C$4:$H$1742,6,0)-E348</f>
        <v>-21168.400000000001</v>
      </c>
      <c r="J348" s="1054">
        <f t="shared" si="10"/>
        <v>-158479529.40000001</v>
      </c>
      <c r="M348" s="14"/>
      <c r="N348" s="14"/>
      <c r="O348" s="14"/>
      <c r="P348" s="14"/>
    </row>
    <row r="349" spans="1:16" s="31" customFormat="1" ht="16.5" customHeight="1">
      <c r="A349" s="31" t="str">
        <f t="shared" si="11"/>
        <v>NI</v>
      </c>
      <c r="B349" s="1220">
        <v>3031111</v>
      </c>
      <c r="C349" s="1221" t="s">
        <v>592</v>
      </c>
      <c r="D349" s="1222">
        <v>158458361</v>
      </c>
      <c r="E349" s="1223">
        <v>21168.400000000001</v>
      </c>
      <c r="F349" s="1058"/>
      <c r="G349" s="1058">
        <f>+VLOOKUP(B349,'CA FE'!$A:$A,1,0)</f>
        <v>3031111</v>
      </c>
      <c r="H349" s="31">
        <f>+VLOOKUP(B349,Composición!$C$4:$H$1742,5,0)</f>
        <v>0</v>
      </c>
      <c r="I349" s="31">
        <f>+VLOOKUP(B349,Composición!$C$4:$H$1742,6,0)</f>
        <v>0</v>
      </c>
      <c r="J349" s="1054"/>
      <c r="M349" s="1056"/>
      <c r="N349" s="1056"/>
      <c r="O349" s="1056"/>
      <c r="P349" s="1056"/>
    </row>
    <row r="350" spans="1:16" s="31" customFormat="1" ht="16.5" customHeight="1">
      <c r="A350" s="31" t="str">
        <f t="shared" si="11"/>
        <v>NI</v>
      </c>
      <c r="B350" s="1220">
        <v>30311111</v>
      </c>
      <c r="C350" s="1221" t="s">
        <v>592</v>
      </c>
      <c r="D350" s="1222">
        <v>158458361</v>
      </c>
      <c r="E350" s="1223">
        <v>21168.400000000001</v>
      </c>
      <c r="F350" s="1058">
        <f>+VLOOKUP(B350,Composición!$C$5:$D$1768,1,0)</f>
        <v>30311111</v>
      </c>
      <c r="G350" s="1058">
        <f>+VLOOKUP(B350,'CA FE'!$A:$A,1,0)</f>
        <v>30311111</v>
      </c>
      <c r="H350" s="31">
        <f>+VLOOKUP(B350,Composición!$C$4:$H$1742,5,0)</f>
        <v>0</v>
      </c>
      <c r="I350" s="31">
        <f>+VLOOKUP(B350,Composición!$C$4:$H$1742,6,0)</f>
        <v>0</v>
      </c>
      <c r="J350" s="827">
        <f t="shared" si="10"/>
        <v>-158458361</v>
      </c>
      <c r="M350" s="1056"/>
      <c r="N350" s="1056"/>
      <c r="O350" s="1056"/>
      <c r="P350" s="1056"/>
    </row>
    <row r="351" spans="1:16" s="14" customFormat="1" ht="16.5" customHeight="1">
      <c r="A351" s="14" t="str">
        <f t="shared" si="11"/>
        <v>I</v>
      </c>
      <c r="B351" s="1203">
        <v>3031111101</v>
      </c>
      <c r="C351" t="s">
        <v>593</v>
      </c>
      <c r="D351" s="1308">
        <v>158458361</v>
      </c>
      <c r="E351" s="1309">
        <v>21168.400000000001</v>
      </c>
      <c r="F351" s="818">
        <f>+VLOOKUP(B351,Composición!$C$5:$D$1768,1,0)</f>
        <v>3031111101</v>
      </c>
      <c r="G351" s="818">
        <f>+VLOOKUP(B351,'CA FE'!$A:$A,1,0)</f>
        <v>3031111101</v>
      </c>
      <c r="H351" s="14">
        <f>+VLOOKUP(B351,Composición!$C$4:$H$1742,5,0)</f>
        <v>158458361</v>
      </c>
      <c r="I351" s="14">
        <f>+VLOOKUP(B351,Composición!$C$4:$H$1742,6,0)</f>
        <v>21168.400000000001</v>
      </c>
      <c r="J351" s="1053">
        <f t="shared" si="10"/>
        <v>-158437192.59999999</v>
      </c>
      <c r="M351" s="1056"/>
      <c r="N351" s="1056"/>
      <c r="O351" s="1056"/>
      <c r="P351" s="1056"/>
    </row>
    <row r="352" spans="1:16" s="31" customFormat="1" ht="16.5" customHeight="1">
      <c r="A352" s="31" t="str">
        <f t="shared" si="11"/>
        <v>NI</v>
      </c>
      <c r="B352" s="1220">
        <v>304</v>
      </c>
      <c r="C352" s="1221" t="s">
        <v>245</v>
      </c>
      <c r="D352" s="1222">
        <v>14534055816</v>
      </c>
      <c r="E352" s="1223">
        <v>1199513.9400000002</v>
      </c>
      <c r="F352" s="1058">
        <f>+VLOOKUP(B352,Composición!$C$5:$D$1768,1,0)</f>
        <v>304</v>
      </c>
      <c r="G352" s="1058">
        <f>+VLOOKUP(B352,'CA FE'!$A:$A,1,0)</f>
        <v>304</v>
      </c>
      <c r="H352" s="31">
        <f>+VLOOKUP(B352,Composición!$C$4:$H$1742,5,0)</f>
        <v>0</v>
      </c>
      <c r="I352" s="31">
        <f>+VLOOKUP(B352,Composición!$C$4:$H$1742,6,0)</f>
        <v>0</v>
      </c>
      <c r="J352" s="827">
        <f t="shared" si="10"/>
        <v>-14534055816</v>
      </c>
      <c r="M352" s="1056"/>
      <c r="N352" s="1056"/>
      <c r="O352" s="1056"/>
      <c r="P352" s="1056"/>
    </row>
    <row r="353" spans="1:16" s="31" customFormat="1" ht="16.5" customHeight="1">
      <c r="A353" s="31" t="str">
        <f t="shared" si="11"/>
        <v>NI</v>
      </c>
      <c r="B353" s="1220">
        <v>3041</v>
      </c>
      <c r="C353" s="1221" t="s">
        <v>246</v>
      </c>
      <c r="D353" s="1222">
        <v>14534055816</v>
      </c>
      <c r="E353" s="1223">
        <v>1199513.9400000002</v>
      </c>
      <c r="F353" s="1058">
        <f>+VLOOKUP(B353,Composición!$C$5:$D$1768,1,0)</f>
        <v>3041</v>
      </c>
      <c r="G353" s="1058">
        <f>+VLOOKUP(B353,'CA FE'!$A:$A,1,0)</f>
        <v>3041</v>
      </c>
      <c r="H353" s="31">
        <f>+VLOOKUP(B353,Composición!$C$4:$H$1742,5,0)</f>
        <v>0</v>
      </c>
      <c r="I353" s="31">
        <f>+VLOOKUP(B353,Composición!$C$4:$H$1742,6,0)</f>
        <v>0</v>
      </c>
      <c r="J353" s="1054">
        <f t="shared" si="10"/>
        <v>-14534055816</v>
      </c>
      <c r="M353" s="1056"/>
      <c r="N353" s="1056"/>
      <c r="O353" s="1056"/>
      <c r="P353" s="1056"/>
    </row>
    <row r="354" spans="1:16" s="31" customFormat="1" ht="16.5" customHeight="1">
      <c r="A354" s="31" t="str">
        <f t="shared" si="11"/>
        <v>NI</v>
      </c>
      <c r="B354" s="1220">
        <v>30411</v>
      </c>
      <c r="C354" s="1221" t="s">
        <v>246</v>
      </c>
      <c r="D354" s="1222">
        <v>14534055816</v>
      </c>
      <c r="E354" s="1223">
        <v>1199513.9400000002</v>
      </c>
      <c r="F354" s="1058">
        <f>+VLOOKUP(B354,Composición!$C$5:$D$1768,1,0)</f>
        <v>30411</v>
      </c>
      <c r="G354" s="1058">
        <f>+VLOOKUP(B354,'CA FE'!$A:$A,1,0)</f>
        <v>30411</v>
      </c>
      <c r="H354" s="31">
        <f>+VLOOKUP(B354,Composición!$C$4:$H$1742,5,0)</f>
        <v>0</v>
      </c>
      <c r="I354" s="31">
        <f>+VLOOKUP(B354,Composición!$C$4:$H$1742,6,0)</f>
        <v>0</v>
      </c>
      <c r="J354" s="1054">
        <f t="shared" si="10"/>
        <v>-14534055816</v>
      </c>
      <c r="M354" s="1056"/>
      <c r="N354" s="1056"/>
      <c r="O354" s="1056"/>
      <c r="P354" s="1056"/>
    </row>
    <row r="355" spans="1:16" s="31" customFormat="1" ht="16.5" customHeight="1">
      <c r="A355" s="31" t="str">
        <f t="shared" si="11"/>
        <v>NI</v>
      </c>
      <c r="B355" s="1220">
        <v>304111</v>
      </c>
      <c r="C355" s="1221" t="s">
        <v>246</v>
      </c>
      <c r="D355" s="1222">
        <v>14534055816</v>
      </c>
      <c r="E355" s="1223">
        <v>1199513.9400000002</v>
      </c>
      <c r="F355" s="1058">
        <f>+VLOOKUP(B355,Composición!$C$5:$D$1768,1,0)</f>
        <v>304111</v>
      </c>
      <c r="G355" s="1058">
        <f>+VLOOKUP(B355,'CA FE'!$A:$A,1,0)</f>
        <v>304111</v>
      </c>
      <c r="H355" s="31">
        <f>+VLOOKUP(B355,Composición!$C$4:$H$1742,5,0)</f>
        <v>0</v>
      </c>
      <c r="I355" s="31">
        <f>+VLOOKUP(B355,Composición!$C$4:$H$1742,6,0)</f>
        <v>0</v>
      </c>
      <c r="J355" s="827">
        <f t="shared" si="10"/>
        <v>-14534055816</v>
      </c>
      <c r="M355" s="1056"/>
      <c r="N355" s="1056"/>
      <c r="O355" s="1056"/>
      <c r="P355" s="1056"/>
    </row>
    <row r="356" spans="1:16" s="31" customFormat="1" ht="16.5" customHeight="1">
      <c r="A356" s="31" t="str">
        <f t="shared" si="11"/>
        <v>NI</v>
      </c>
      <c r="B356" s="1220">
        <v>3041111</v>
      </c>
      <c r="C356" s="1221" t="s">
        <v>246</v>
      </c>
      <c r="D356" s="1222">
        <v>14534055816</v>
      </c>
      <c r="E356" s="1223">
        <v>1199513.9400000002</v>
      </c>
      <c r="F356" s="1058">
        <f>+VLOOKUP(B356,Composición!$C$5:$D$1768,1,0)</f>
        <v>3041111</v>
      </c>
      <c r="G356" s="1058">
        <f>+VLOOKUP(B356,'CA FE'!$A:$A,1,0)</f>
        <v>3041111</v>
      </c>
      <c r="H356" s="1048">
        <f>+VLOOKUP(B356,Composición!$C$4:$H$1742,5,0)-D356</f>
        <v>-14534055816</v>
      </c>
      <c r="I356" s="1214">
        <f>+VLOOKUP(B356,Composición!$C$4:$H$1742,6,0)-E356</f>
        <v>-1199513.9400000002</v>
      </c>
      <c r="J356" s="1054">
        <f t="shared" si="10"/>
        <v>-14535255329.940001</v>
      </c>
      <c r="M356" s="1056"/>
      <c r="N356" s="1056"/>
      <c r="O356" s="1056"/>
      <c r="P356" s="1056"/>
    </row>
    <row r="357" spans="1:16" s="31" customFormat="1" ht="16.5" customHeight="1">
      <c r="A357" s="31" t="str">
        <f t="shared" si="11"/>
        <v>NI</v>
      </c>
      <c r="B357" s="1220">
        <v>30411111</v>
      </c>
      <c r="C357" s="1221" t="s">
        <v>246</v>
      </c>
      <c r="D357" s="1222">
        <v>14534055816</v>
      </c>
      <c r="E357" s="1223">
        <v>1199513.9400000002</v>
      </c>
      <c r="F357" s="1058">
        <f>+VLOOKUP(B357,Composición!$C$5:$D$1768,1,0)</f>
        <v>30411111</v>
      </c>
      <c r="G357" s="1058">
        <f>+VLOOKUP(B357,'CA FE'!$A:$A,1,0)</f>
        <v>30411111</v>
      </c>
      <c r="H357" s="31">
        <f>+VLOOKUP(B357,Composición!$C$4:$H$1742,5,0)</f>
        <v>0</v>
      </c>
      <c r="I357" s="31">
        <f>+VLOOKUP(B357,Composición!$C$4:$H$1742,6,0)</f>
        <v>0</v>
      </c>
      <c r="J357" s="1054">
        <f t="shared" si="10"/>
        <v>-14534055816</v>
      </c>
      <c r="M357" s="1056"/>
      <c r="N357" s="1056"/>
      <c r="O357" s="1056"/>
      <c r="P357" s="1056"/>
    </row>
    <row r="358" spans="1:16" s="14" customFormat="1" ht="16.5" customHeight="1">
      <c r="A358" s="14" t="str">
        <f t="shared" si="11"/>
        <v>I</v>
      </c>
      <c r="B358" s="1203">
        <v>3041111101</v>
      </c>
      <c r="C358" t="s">
        <v>247</v>
      </c>
      <c r="D358" s="1308">
        <v>-2930842608</v>
      </c>
      <c r="E358" s="1309">
        <v>-517340.1</v>
      </c>
      <c r="F358" s="818">
        <f>+VLOOKUP(B358,Composición!$C$5:$D$1768,1,0)</f>
        <v>3041111101</v>
      </c>
      <c r="G358" s="818">
        <f>+VLOOKUP(B358,'CA FE'!$A:$A,1,0)</f>
        <v>3041111101</v>
      </c>
      <c r="H358" s="1049">
        <f>+VLOOKUP(B358,Composición!$C$4:$H$1742,5,0)-D358</f>
        <v>0</v>
      </c>
      <c r="I358" s="1311">
        <f>+VLOOKUP(B358,Composición!$C$4:$H$1742,6,0)-E358</f>
        <v>0</v>
      </c>
      <c r="J358" s="1053">
        <f t="shared" si="10"/>
        <v>2930842608</v>
      </c>
      <c r="M358" s="1056"/>
      <c r="N358" s="1056"/>
      <c r="O358" s="1056"/>
      <c r="P358" s="1056"/>
    </row>
    <row r="359" spans="1:16" s="14" customFormat="1" ht="16.5" customHeight="1">
      <c r="A359" s="14" t="str">
        <f t="shared" si="11"/>
        <v>I</v>
      </c>
      <c r="B359" s="1203">
        <v>3041111102</v>
      </c>
      <c r="C359" t="s">
        <v>248</v>
      </c>
      <c r="D359" s="1308">
        <v>17464898424</v>
      </c>
      <c r="E359" s="1309">
        <v>1716854.04</v>
      </c>
      <c r="F359" s="818">
        <f>+VLOOKUP(B359,Composición!$C$5:$D$1768,1,0)</f>
        <v>3041111102</v>
      </c>
      <c r="G359" s="818">
        <f>+VLOOKUP(B359,'CA FE'!$A:$A,1,0)</f>
        <v>3041111102</v>
      </c>
      <c r="H359" s="14">
        <f>+VLOOKUP(B359,Composición!$C$4:$H$1742,5,0)</f>
        <v>17464898424</v>
      </c>
      <c r="I359" s="14">
        <f>+VLOOKUP(B359,Composición!$C$4:$H$1742,6,0)</f>
        <v>1716854.04</v>
      </c>
      <c r="J359" s="1053">
        <f t="shared" si="10"/>
        <v>-17463181569.959999</v>
      </c>
      <c r="M359" s="1056"/>
      <c r="N359" s="1056"/>
      <c r="O359" s="1056"/>
      <c r="P359" s="1056"/>
    </row>
    <row r="360" spans="1:16" s="31" customFormat="1" ht="16.5" customHeight="1">
      <c r="A360" s="31" t="str">
        <f t="shared" si="11"/>
        <v>NI</v>
      </c>
      <c r="B360" s="1220">
        <v>6</v>
      </c>
      <c r="C360" s="1221" t="s">
        <v>249</v>
      </c>
      <c r="D360" s="1222">
        <v>2949569752954</v>
      </c>
      <c r="E360" s="1223">
        <v>376640509.04999995</v>
      </c>
      <c r="F360" s="1058">
        <f>+VLOOKUP(B360,Composición!$C$5:$D$1768,1,0)</f>
        <v>6</v>
      </c>
      <c r="G360" s="1058" t="e">
        <f>+VLOOKUP(B360,'CA FE'!$A:$A,1,0)</f>
        <v>#N/A</v>
      </c>
      <c r="H360" s="1048">
        <f>+VLOOKUP(B360,Composición!$C$4:$H$1742,5,0)-D360</f>
        <v>-2949569752954</v>
      </c>
      <c r="I360" s="1214">
        <f>+VLOOKUP(B360,Composición!$C$4:$H$1742,6,0)-E360</f>
        <v>-376640509.04999995</v>
      </c>
      <c r="J360" s="1054">
        <f t="shared" si="10"/>
        <v>-2949946393463.0498</v>
      </c>
      <c r="M360" s="1056"/>
      <c r="N360" s="1056"/>
      <c r="O360" s="1056"/>
      <c r="P360" s="1056"/>
    </row>
    <row r="361" spans="1:16" s="31" customFormat="1" ht="16.5" customHeight="1">
      <c r="A361" s="31" t="str">
        <f t="shared" si="11"/>
        <v>NI</v>
      </c>
      <c r="B361" s="1220">
        <v>61</v>
      </c>
      <c r="C361" s="1221" t="s">
        <v>250</v>
      </c>
      <c r="D361" s="1222">
        <v>2949569752954</v>
      </c>
      <c r="E361" s="1223">
        <v>376640509.04999995</v>
      </c>
      <c r="F361" s="1058">
        <f>+VLOOKUP(B361,Composición!$C$5:$D$1768,1,0)</f>
        <v>61</v>
      </c>
      <c r="G361" s="1058" t="e">
        <f>+VLOOKUP(B361,'CA FE'!$A:$A,1,0)</f>
        <v>#N/A</v>
      </c>
      <c r="H361" s="31">
        <f>+VLOOKUP(B361,Composición!$C$4:$H$1742,5,0)</f>
        <v>0</v>
      </c>
      <c r="I361" s="31">
        <f>+VLOOKUP(B361,Composición!$C$4:$H$1742,6,0)</f>
        <v>0</v>
      </c>
      <c r="J361" s="827">
        <f t="shared" si="10"/>
        <v>-2949569752954</v>
      </c>
      <c r="M361" s="1056"/>
      <c r="N361" s="1056"/>
      <c r="O361" s="1056"/>
      <c r="P361" s="1056"/>
    </row>
    <row r="362" spans="1:16" s="31" customFormat="1" ht="16.5" customHeight="1">
      <c r="A362" s="31" t="str">
        <f t="shared" si="11"/>
        <v>NI</v>
      </c>
      <c r="B362" s="1220">
        <v>611</v>
      </c>
      <c r="C362" s="1221" t="s">
        <v>251</v>
      </c>
      <c r="D362" s="1222">
        <v>2949567617828.9995</v>
      </c>
      <c r="E362" s="1223">
        <v>376640236.40999991</v>
      </c>
      <c r="F362" s="1058">
        <f>+VLOOKUP(B362,Composición!$C$5:$D$1768,1,0)</f>
        <v>611</v>
      </c>
      <c r="G362" s="1058" t="e">
        <f>+VLOOKUP(B362,'CA FE'!$A:$A,1,0)</f>
        <v>#N/A</v>
      </c>
      <c r="H362" s="1048">
        <f>+VLOOKUP(B362,Composición!$C$4:$H$1742,5,0)-D362</f>
        <v>-2949567617828.9995</v>
      </c>
      <c r="I362" s="1214">
        <f>+VLOOKUP(B362,Composición!$C$4:$H$1742,6,0)-E362</f>
        <v>-376640236.40999991</v>
      </c>
      <c r="J362" s="1054">
        <f t="shared" si="10"/>
        <v>-2949944258065.4097</v>
      </c>
      <c r="M362" s="1056"/>
      <c r="N362" s="1056"/>
      <c r="O362" s="1056"/>
      <c r="P362" s="1056"/>
    </row>
    <row r="363" spans="1:16" s="31" customFormat="1" ht="16.5" customHeight="1">
      <c r="A363" s="31" t="str">
        <f t="shared" si="11"/>
        <v>NI</v>
      </c>
      <c r="B363" s="1220">
        <v>61101</v>
      </c>
      <c r="C363" s="1221" t="s">
        <v>251</v>
      </c>
      <c r="D363" s="1222">
        <v>2949567617828.9995</v>
      </c>
      <c r="E363" s="1223">
        <v>376640236.40999991</v>
      </c>
      <c r="F363" s="1058">
        <f>+VLOOKUP(B363,Composición!$C$5:$D$1768,1,0)</f>
        <v>61101</v>
      </c>
      <c r="G363" s="1058" t="e">
        <f>+VLOOKUP(B363,'CA FE'!$A:$A,1,0)</f>
        <v>#N/A</v>
      </c>
      <c r="H363" s="31">
        <f>+VLOOKUP(B363,Composición!$C$4:$H$1742,5,0)</f>
        <v>0</v>
      </c>
      <c r="I363" s="31">
        <f>+VLOOKUP(B363,Composición!$C$4:$H$1742,6,0)</f>
        <v>0</v>
      </c>
      <c r="J363" s="1054">
        <f t="shared" si="10"/>
        <v>-2949567617828.9995</v>
      </c>
      <c r="M363" s="1056"/>
      <c r="N363" s="1056"/>
      <c r="O363" s="1056"/>
      <c r="P363" s="1056"/>
    </row>
    <row r="364" spans="1:16" s="31" customFormat="1" ht="16.5" customHeight="1">
      <c r="A364" s="31" t="str">
        <f t="shared" si="11"/>
        <v>NI</v>
      </c>
      <c r="B364" s="1220">
        <v>611011</v>
      </c>
      <c r="C364" s="1221" t="s">
        <v>251</v>
      </c>
      <c r="D364" s="1222">
        <v>2949567617828.9995</v>
      </c>
      <c r="E364" s="1223">
        <v>376640236.40999991</v>
      </c>
      <c r="F364" s="1058">
        <f>+VLOOKUP(B364,Composición!$C$5:$D$1768,1,0)</f>
        <v>611011</v>
      </c>
      <c r="G364" s="1058" t="e">
        <f>+VLOOKUP(B364,'CA FE'!$A:$A,1,0)</f>
        <v>#N/A</v>
      </c>
      <c r="H364" s="1048">
        <f>+VLOOKUP(B364,Composición!$C$4:$H$1742,5,0)-D364</f>
        <v>-2949567617828.9995</v>
      </c>
      <c r="I364" s="1214">
        <f>+VLOOKUP(B364,Composición!$C$4:$H$1742,6,0)-E364</f>
        <v>-376640236.40999991</v>
      </c>
      <c r="J364" s="1054">
        <f t="shared" si="10"/>
        <v>-2949944258065.4097</v>
      </c>
      <c r="M364" s="1056"/>
      <c r="N364" s="1056"/>
      <c r="O364" s="1056"/>
      <c r="P364" s="1056"/>
    </row>
    <row r="365" spans="1:16" s="31" customFormat="1" ht="16.5" customHeight="1">
      <c r="A365" s="31" t="str">
        <f t="shared" si="11"/>
        <v>NI</v>
      </c>
      <c r="B365" s="1220">
        <v>6110110</v>
      </c>
      <c r="C365" s="1221" t="s">
        <v>252</v>
      </c>
      <c r="D365" s="1222">
        <v>2469237083448</v>
      </c>
      <c r="E365" s="1223">
        <v>315305210.57999998</v>
      </c>
      <c r="F365" s="1058">
        <f>+VLOOKUP(B365,Composición!$C$5:$D$1768,1,0)</f>
        <v>6110110</v>
      </c>
      <c r="G365" s="1058" t="e">
        <f>+VLOOKUP(B365,'CA FE'!$A:$A,1,0)</f>
        <v>#N/A</v>
      </c>
      <c r="H365" s="1048">
        <f>+VLOOKUP(B365,Composición!$C$4:$H$1742,5,0)-D365</f>
        <v>-2469237083448</v>
      </c>
      <c r="I365" s="1214">
        <f>+VLOOKUP(B365,Composición!$C$4:$H$1742,6,0)-E365</f>
        <v>-315305210.57999998</v>
      </c>
      <c r="J365" s="1054">
        <f t="shared" si="10"/>
        <v>-2469552388658.5801</v>
      </c>
      <c r="M365" s="1056"/>
      <c r="N365" s="1056"/>
      <c r="O365" s="1056"/>
      <c r="P365" s="1056"/>
    </row>
    <row r="366" spans="1:16" s="31" customFormat="1" ht="16.5" customHeight="1">
      <c r="A366" s="31" t="str">
        <f t="shared" si="11"/>
        <v>NI</v>
      </c>
      <c r="B366" s="1220">
        <v>61101101</v>
      </c>
      <c r="C366" s="1221" t="s">
        <v>57</v>
      </c>
      <c r="D366" s="1222">
        <v>33595403587</v>
      </c>
      <c r="E366" s="1223">
        <v>4289910.38</v>
      </c>
      <c r="F366" s="1058">
        <f>+VLOOKUP(B366,Composición!$C$5:$D$1768,1,0)</f>
        <v>61101101</v>
      </c>
      <c r="G366" s="1058" t="e">
        <f>+VLOOKUP(B366,'CA FE'!$A:$A,1,0)</f>
        <v>#N/A</v>
      </c>
      <c r="H366" s="31">
        <f>+VLOOKUP(B366,Composición!$C$4:$H$1742,5,0)</f>
        <v>0</v>
      </c>
      <c r="I366" s="31">
        <f>+VLOOKUP(B366,Composición!$C$4:$H$1742,6,0)</f>
        <v>0</v>
      </c>
      <c r="J366" s="1054">
        <f t="shared" si="10"/>
        <v>-33595403587</v>
      </c>
      <c r="M366" s="1056"/>
      <c r="N366" s="1056"/>
      <c r="O366" s="1056"/>
      <c r="P366" s="1056"/>
    </row>
    <row r="367" spans="1:16" s="14" customFormat="1" ht="16.5" customHeight="1">
      <c r="A367" s="14" t="str">
        <f t="shared" si="11"/>
        <v>I</v>
      </c>
      <c r="B367" s="1203">
        <v>6110110101</v>
      </c>
      <c r="C367" t="s">
        <v>253</v>
      </c>
      <c r="D367" s="1308">
        <v>33595403587</v>
      </c>
      <c r="E367" s="1309">
        <v>4289910.38</v>
      </c>
      <c r="F367" s="818">
        <f>+VLOOKUP(B367,Composición!$C$5:$D$1768,1,0)</f>
        <v>6110110101</v>
      </c>
      <c r="G367" s="818" t="e">
        <f>+VLOOKUP(B367,'CA FE'!$A:$A,1,0)</f>
        <v>#N/A</v>
      </c>
      <c r="H367" s="1049">
        <f>+VLOOKUP(B367,Composición!$C$4:$H$1742,5,0)-D367</f>
        <v>-19794401662</v>
      </c>
      <c r="I367" s="1311">
        <f>+VLOOKUP(B367,Composición!$C$4:$H$1742,6,0)-E367</f>
        <v>-2395110.5499999998</v>
      </c>
      <c r="J367" s="1053">
        <f t="shared" si="10"/>
        <v>-33597798697.549999</v>
      </c>
      <c r="M367" s="1056"/>
      <c r="N367" s="1056"/>
      <c r="O367" s="1056"/>
      <c r="P367" s="1056"/>
    </row>
    <row r="368" spans="1:16" s="31" customFormat="1" ht="16.5" customHeight="1">
      <c r="A368" s="31" t="str">
        <f t="shared" si="11"/>
        <v>NI</v>
      </c>
      <c r="B368" s="1220">
        <v>61101102</v>
      </c>
      <c r="C368" s="1221" t="s">
        <v>254</v>
      </c>
      <c r="D368" s="1222">
        <v>11628508758</v>
      </c>
      <c r="E368" s="1223">
        <v>1484883.5</v>
      </c>
      <c r="F368" s="1058">
        <f>+VLOOKUP(B368,Composición!$C$5:$D$1768,1,0)</f>
        <v>61101102</v>
      </c>
      <c r="G368" s="1058" t="e">
        <f>+VLOOKUP(B368,'CA FE'!$A:$A,1,0)</f>
        <v>#N/A</v>
      </c>
      <c r="H368" s="1048">
        <f>+VLOOKUP(B368,Composición!$C$4:$H$1742,5,0)-D368</f>
        <v>-11628508758</v>
      </c>
      <c r="I368" s="1214">
        <f>+VLOOKUP(B368,Composición!$C$4:$H$1742,6,0)-E368</f>
        <v>-1484883.5</v>
      </c>
      <c r="J368" s="1054">
        <f t="shared" si="10"/>
        <v>-11629993641.5</v>
      </c>
      <c r="M368" s="1056"/>
      <c r="N368" s="1056"/>
      <c r="O368" s="1056"/>
      <c r="P368" s="1056"/>
    </row>
    <row r="369" spans="1:16" s="14" customFormat="1" ht="16.5" customHeight="1">
      <c r="A369" s="14" t="str">
        <f t="shared" si="11"/>
        <v>I</v>
      </c>
      <c r="B369" s="1203">
        <v>6110110201</v>
      </c>
      <c r="C369" t="s">
        <v>255</v>
      </c>
      <c r="D369" s="1308">
        <v>11628508758</v>
      </c>
      <c r="E369" s="1309">
        <v>1484883.5</v>
      </c>
      <c r="F369" s="818">
        <f>+VLOOKUP(B369,Composición!$C$5:$D$1768,1,0)</f>
        <v>6110110201</v>
      </c>
      <c r="G369" s="818" t="e">
        <f>+VLOOKUP(B369,'CA FE'!$A:$A,1,0)</f>
        <v>#N/A</v>
      </c>
      <c r="H369" s="14">
        <f>+VLOOKUP(B369,Composición!$C$4:$H$1742,5,0)</f>
        <v>15131873288</v>
      </c>
      <c r="I369" s="14">
        <f>+VLOOKUP(B369,Composición!$C$4:$H$1742,6,0)</f>
        <v>2077520.9699999997</v>
      </c>
      <c r="J369" s="1053">
        <f t="shared" si="10"/>
        <v>-11626431237.030001</v>
      </c>
      <c r="M369" s="1056"/>
      <c r="N369" s="1056"/>
      <c r="O369" s="1056"/>
      <c r="P369" s="1056"/>
    </row>
    <row r="370" spans="1:16" s="31" customFormat="1" ht="16.5" customHeight="1">
      <c r="A370" s="31" t="str">
        <f t="shared" si="11"/>
        <v>NI</v>
      </c>
      <c r="B370" s="1220">
        <v>61101103</v>
      </c>
      <c r="C370" s="1221" t="s">
        <v>256</v>
      </c>
      <c r="D370" s="1222">
        <v>10233550094</v>
      </c>
      <c r="E370" s="1223">
        <v>1306756.52</v>
      </c>
      <c r="F370" s="1058">
        <f>+VLOOKUP(B370,Composición!$C$5:$D$1768,1,0)</f>
        <v>61101103</v>
      </c>
      <c r="G370" s="1058" t="e">
        <f>+VLOOKUP(B370,'CA FE'!$A:$A,1,0)</f>
        <v>#N/A</v>
      </c>
      <c r="H370" s="1048">
        <f>+VLOOKUP(B370,Composición!$C$4:$H$1742,5,0)-D370</f>
        <v>-10233550094</v>
      </c>
      <c r="I370" s="1214">
        <f>+VLOOKUP(B370,Composición!$C$4:$H$1742,6,0)-E370</f>
        <v>-1306756.52</v>
      </c>
      <c r="J370" s="827">
        <f t="shared" si="10"/>
        <v>-10234856850.52</v>
      </c>
      <c r="M370" s="1056"/>
      <c r="N370" s="1056"/>
      <c r="O370" s="1056"/>
      <c r="P370" s="1056"/>
    </row>
    <row r="371" spans="1:16" s="14" customFormat="1" ht="16.5" customHeight="1">
      <c r="A371" s="14" t="str">
        <f t="shared" si="11"/>
        <v>I</v>
      </c>
      <c r="B371" s="1203">
        <v>6110110301</v>
      </c>
      <c r="C371" t="s">
        <v>257</v>
      </c>
      <c r="D371" s="1308">
        <v>10233550094</v>
      </c>
      <c r="E371" s="1309">
        <v>1306756.52</v>
      </c>
      <c r="F371" s="818">
        <f>+VLOOKUP(B371,Composición!$C$5:$D$1768,1,0)</f>
        <v>6110110301</v>
      </c>
      <c r="G371" s="818" t="e">
        <f>+VLOOKUP(B371,'CA FE'!$A:$A,1,0)</f>
        <v>#N/A</v>
      </c>
      <c r="H371" s="14">
        <f>+VLOOKUP(B371,Composición!$C$4:$H$1742,5,0)</f>
        <v>53744915</v>
      </c>
      <c r="I371" s="14">
        <f>+VLOOKUP(B371,Composición!$C$4:$H$1742,6,0)</f>
        <v>7378.8699999999944</v>
      </c>
      <c r="J371" s="830">
        <f t="shared" si="10"/>
        <v>-10233542715.129999</v>
      </c>
      <c r="M371" s="1056"/>
      <c r="N371" s="1056"/>
      <c r="O371" s="1056"/>
      <c r="P371" s="1056"/>
    </row>
    <row r="372" spans="1:16" s="31" customFormat="1" ht="16.5" customHeight="1">
      <c r="A372" s="31" t="str">
        <f t="shared" si="11"/>
        <v>NI</v>
      </c>
      <c r="B372" s="1220">
        <v>61101104</v>
      </c>
      <c r="C372" s="1221" t="s">
        <v>258</v>
      </c>
      <c r="D372" s="1222">
        <v>49234276995</v>
      </c>
      <c r="E372" s="1223">
        <v>6286890.8699999992</v>
      </c>
      <c r="F372" s="1058">
        <f>+VLOOKUP(B372,Composición!$C$5:$D$1768,1,0)</f>
        <v>61101104</v>
      </c>
      <c r="G372" s="1058" t="e">
        <f>+VLOOKUP(B372,'CA FE'!$A:$A,1,0)</f>
        <v>#N/A</v>
      </c>
      <c r="H372" s="1048">
        <f>+VLOOKUP(B372,Composición!$C$4:$H$1742,5,0)-D372</f>
        <v>-49234276995</v>
      </c>
      <c r="I372" s="1214">
        <f>+VLOOKUP(B372,Composición!$C$4:$H$1742,6,0)-E372</f>
        <v>-6286890.8699999992</v>
      </c>
      <c r="J372" s="1054">
        <f t="shared" si="10"/>
        <v>-49240563885.870003</v>
      </c>
      <c r="M372" s="1056"/>
      <c r="N372" s="1056"/>
      <c r="O372" s="1056"/>
      <c r="P372" s="1056"/>
    </row>
    <row r="373" spans="1:16" s="14" customFormat="1" ht="16.5" customHeight="1">
      <c r="A373" s="14" t="str">
        <f t="shared" si="11"/>
        <v>I</v>
      </c>
      <c r="B373" s="1203">
        <v>6110110401</v>
      </c>
      <c r="C373" t="s">
        <v>259</v>
      </c>
      <c r="D373" s="1308">
        <v>49234276995</v>
      </c>
      <c r="E373" s="1309">
        <v>6286890.8699999992</v>
      </c>
      <c r="F373" s="818">
        <f>+VLOOKUP(B373,Composición!$C$5:$D$1768,1,0)</f>
        <v>6110110401</v>
      </c>
      <c r="G373" s="818" t="e">
        <f>+VLOOKUP(B373,'CA FE'!$A:$A,1,0)</f>
        <v>#N/A</v>
      </c>
      <c r="H373" s="14">
        <f>+VLOOKUP(B373,Composición!$C$4:$H$1742,5,0)</f>
        <v>43517650832</v>
      </c>
      <c r="I373" s="14">
        <f>+VLOOKUP(B373,Composición!$C$4:$H$1742,6,0)</f>
        <v>5974728.3399999999</v>
      </c>
      <c r="J373" s="1053">
        <f t="shared" si="10"/>
        <v>-49228302266.660004</v>
      </c>
      <c r="M373" s="1056"/>
      <c r="N373" s="1056"/>
      <c r="O373" s="1056"/>
      <c r="P373" s="1056"/>
    </row>
    <row r="374" spans="1:16" s="31" customFormat="1" ht="16.5" customHeight="1">
      <c r="A374" s="31" t="str">
        <f t="shared" si="11"/>
        <v>NI</v>
      </c>
      <c r="B374" s="1220">
        <v>61101105</v>
      </c>
      <c r="C374" s="1221" t="s">
        <v>59</v>
      </c>
      <c r="D374" s="1222">
        <v>287138452515</v>
      </c>
      <c r="E374" s="1223">
        <v>36665677.369999997</v>
      </c>
      <c r="F374" s="1058">
        <f>+VLOOKUP(B374,Composición!$C$5:$D$1768,1,0)</f>
        <v>61101105</v>
      </c>
      <c r="G374" s="1058" t="e">
        <f>+VLOOKUP(B374,'CA FE'!$A:$A,1,0)</f>
        <v>#N/A</v>
      </c>
      <c r="H374" s="1048">
        <f>+VLOOKUP(B374,Composición!$C$4:$H$1742,5,0)-D374</f>
        <v>-287138452515</v>
      </c>
      <c r="I374" s="1214">
        <f>+VLOOKUP(B374,Composición!$C$4:$H$1742,6,0)-E374</f>
        <v>-36665677.369999997</v>
      </c>
      <c r="J374" s="827">
        <f t="shared" si="10"/>
        <v>-287175118192.37</v>
      </c>
      <c r="M374" s="1056"/>
      <c r="N374" s="1056"/>
      <c r="O374" s="1056"/>
      <c r="P374" s="1056"/>
    </row>
    <row r="375" spans="1:16" s="14" customFormat="1" ht="16.5" customHeight="1">
      <c r="A375" s="14" t="str">
        <f t="shared" si="11"/>
        <v>I</v>
      </c>
      <c r="B375" s="1203">
        <v>6110110501</v>
      </c>
      <c r="C375" t="s">
        <v>260</v>
      </c>
      <c r="D375" s="1308">
        <v>253761500000</v>
      </c>
      <c r="E375" s="1309">
        <v>32403661.739999998</v>
      </c>
      <c r="F375" s="818">
        <f>+VLOOKUP(B375,Composición!$C$5:$D$1768,1,0)</f>
        <v>6110110501</v>
      </c>
      <c r="G375" s="818" t="e">
        <f>+VLOOKUP(B375,'CA FE'!$A:$A,1,0)</f>
        <v>#N/A</v>
      </c>
      <c r="H375" s="14">
        <f>+VLOOKUP(B375,Composición!$C$4:$H$1742,5,0)</f>
        <v>93840000000</v>
      </c>
      <c r="I375" s="14">
        <f>+VLOOKUP(B375,Composición!$C$4:$H$1742,6,0)</f>
        <v>12883703.43</v>
      </c>
      <c r="J375" s="830">
        <f t="shared" si="10"/>
        <v>-253748616296.57001</v>
      </c>
      <c r="M375" s="1056"/>
      <c r="N375" s="1056"/>
      <c r="O375" s="1056"/>
      <c r="P375" s="1056"/>
    </row>
    <row r="376" spans="1:16" s="14" customFormat="1" ht="16.5" customHeight="1">
      <c r="A376" s="14" t="str">
        <f t="shared" si="11"/>
        <v>I</v>
      </c>
      <c r="B376" s="1203">
        <v>6110110502</v>
      </c>
      <c r="C376" t="s">
        <v>261</v>
      </c>
      <c r="D376" s="1308">
        <v>33376952515</v>
      </c>
      <c r="E376" s="1309">
        <v>4262015.63</v>
      </c>
      <c r="F376" s="818">
        <f>+VLOOKUP(B376,Composición!$C$5:$D$1768,1,0)</f>
        <v>6110110502</v>
      </c>
      <c r="G376" s="818" t="e">
        <f>+VLOOKUP(B376,'CA FE'!$A:$A,1,0)</f>
        <v>#N/A</v>
      </c>
      <c r="H376" s="1049">
        <f>+VLOOKUP(B376,Composición!$C$4:$H$1742,5,0)-D376</f>
        <v>-19933121269</v>
      </c>
      <c r="I376" s="1311">
        <f>+VLOOKUP(B376,Composición!$C$4:$H$1742,6,0)-E376</f>
        <v>-2416253.3299999996</v>
      </c>
      <c r="J376" s="830">
        <f t="shared" si="10"/>
        <v>-33379368768.330002</v>
      </c>
      <c r="M376" s="1056"/>
      <c r="N376" s="1056"/>
      <c r="O376" s="1056"/>
      <c r="P376" s="1056"/>
    </row>
    <row r="377" spans="1:16" s="31" customFormat="1" ht="16.5" customHeight="1">
      <c r="A377" s="31" t="str">
        <f t="shared" si="11"/>
        <v>NI</v>
      </c>
      <c r="B377" s="1220">
        <v>61101106</v>
      </c>
      <c r="C377" s="1221" t="s">
        <v>60</v>
      </c>
      <c r="D377" s="1222">
        <v>311632589803</v>
      </c>
      <c r="E377" s="1223">
        <v>39793416.359999985</v>
      </c>
      <c r="F377" s="1058">
        <f>+VLOOKUP(B377,Composición!$C$5:$D$1768,1,0)</f>
        <v>61101106</v>
      </c>
      <c r="G377" s="1058" t="e">
        <f>+VLOOKUP(B377,'CA FE'!$A:$A,1,0)</f>
        <v>#N/A</v>
      </c>
      <c r="H377" s="31">
        <f>+VLOOKUP(B377,Composición!$C$4:$H$1742,5,0)</f>
        <v>0</v>
      </c>
      <c r="I377" s="31">
        <f>+VLOOKUP(B377,Composición!$C$4:$H$1742,6,0)</f>
        <v>0</v>
      </c>
      <c r="J377" s="827">
        <f t="shared" si="10"/>
        <v>-311632589803</v>
      </c>
      <c r="M377" s="1056"/>
      <c r="N377" s="1056"/>
      <c r="O377" s="1056"/>
      <c r="P377" s="1056"/>
    </row>
    <row r="378" spans="1:16" s="14" customFormat="1" ht="16.5" customHeight="1">
      <c r="A378" s="14" t="str">
        <f t="shared" si="11"/>
        <v>I</v>
      </c>
      <c r="B378" s="1203">
        <v>6110110601</v>
      </c>
      <c r="C378" t="s">
        <v>262</v>
      </c>
      <c r="D378" s="1308">
        <v>275621195700</v>
      </c>
      <c r="E378" s="1309">
        <v>35195000</v>
      </c>
      <c r="F378" s="818">
        <f>+VLOOKUP(B378,Composición!$C$5:$D$1768,1,0)</f>
        <v>6110110601</v>
      </c>
      <c r="G378" s="818" t="e">
        <f>+VLOOKUP(B378,'CA FE'!$A:$A,1,0)</f>
        <v>#N/A</v>
      </c>
      <c r="H378" s="1049">
        <f>+VLOOKUP(B378,Composición!$C$4:$H$1742,5,0)-D378</f>
        <v>-231934042940</v>
      </c>
      <c r="I378" s="1311">
        <f>+VLOOKUP(B378,Composición!$C$4:$H$1742,6,0)-E378</f>
        <v>-29197000</v>
      </c>
      <c r="J378" s="1053">
        <f t="shared" si="10"/>
        <v>-275650392700</v>
      </c>
      <c r="M378" s="1056"/>
      <c r="N378" s="1056"/>
      <c r="O378" s="1056"/>
      <c r="P378" s="1056"/>
    </row>
    <row r="379" spans="1:16" s="14" customFormat="1" ht="16.5" customHeight="1">
      <c r="A379" s="14" t="str">
        <f t="shared" si="11"/>
        <v>I</v>
      </c>
      <c r="B379" s="1203">
        <v>6110110602</v>
      </c>
      <c r="C379" t="s">
        <v>263</v>
      </c>
      <c r="D379" s="1308">
        <v>36011394103</v>
      </c>
      <c r="E379" s="1309">
        <v>4598416.3600000003</v>
      </c>
      <c r="F379" s="818">
        <f>+VLOOKUP(B379,Composición!$C$5:$D$1768,1,0)</f>
        <v>6110110602</v>
      </c>
      <c r="G379" s="818" t="e">
        <f>+VLOOKUP(B379,'CA FE'!$A:$A,1,0)</f>
        <v>#N/A</v>
      </c>
      <c r="H379" s="14">
        <f>+VLOOKUP(B379,Composición!$C$4:$H$1742,5,0)</f>
        <v>4088833437</v>
      </c>
      <c r="I379" s="14">
        <f>+VLOOKUP(B379,Composición!$C$4:$H$1742,6,0)</f>
        <v>561373.80000000005</v>
      </c>
      <c r="J379" s="830">
        <f t="shared" si="10"/>
        <v>-36010832729.199997</v>
      </c>
      <c r="M379" s="1056"/>
      <c r="N379" s="1056"/>
      <c r="O379" s="1056"/>
      <c r="P379" s="1056"/>
    </row>
    <row r="380" spans="1:16" s="31" customFormat="1" ht="16.5" customHeight="1">
      <c r="A380" s="31" t="str">
        <f t="shared" si="11"/>
        <v>NI</v>
      </c>
      <c r="B380" s="1220">
        <v>61101107</v>
      </c>
      <c r="C380" s="1221" t="s">
        <v>63</v>
      </c>
      <c r="D380" s="1222">
        <v>211689537014</v>
      </c>
      <c r="E380" s="1223">
        <v>27031350.899999999</v>
      </c>
      <c r="F380" s="1058">
        <f>+VLOOKUP(B380,Composición!$C$5:$D$1768,1,0)</f>
        <v>61101107</v>
      </c>
      <c r="G380" s="1058" t="e">
        <f>+VLOOKUP(B380,'CA FE'!$A:$A,1,0)</f>
        <v>#N/A</v>
      </c>
      <c r="H380" s="1048">
        <f>+VLOOKUP(B380,Composición!$C$4:$H$1742,5,0)-D380</f>
        <v>-211689537014</v>
      </c>
      <c r="I380" s="1214">
        <f>+VLOOKUP(B380,Composición!$C$4:$H$1742,6,0)-E380</f>
        <v>-27031350.899999999</v>
      </c>
      <c r="J380" s="827">
        <f t="shared" si="10"/>
        <v>-211716568364.89999</v>
      </c>
      <c r="M380" s="1056"/>
      <c r="N380" s="1056"/>
      <c r="O380" s="1056"/>
      <c r="P380" s="1056"/>
    </row>
    <row r="381" spans="1:16" s="14" customFormat="1" ht="16.5" customHeight="1">
      <c r="A381" s="14" t="str">
        <f t="shared" si="11"/>
        <v>I</v>
      </c>
      <c r="B381" s="1203">
        <v>6110110701</v>
      </c>
      <c r="C381" t="s">
        <v>264</v>
      </c>
      <c r="D381" s="1308">
        <v>211689537014</v>
      </c>
      <c r="E381" s="1309">
        <v>27031350.899999999</v>
      </c>
      <c r="F381" s="818">
        <f>+VLOOKUP(B381,Composición!$C$5:$D$1768,1,0)</f>
        <v>6110110701</v>
      </c>
      <c r="G381" s="818" t="e">
        <f>+VLOOKUP(B381,'CA FE'!$A:$A,1,0)</f>
        <v>#N/A</v>
      </c>
      <c r="H381" s="1049">
        <f>+VLOOKUP(B381,Composición!$C$4:$H$1742,5,0)-D381</f>
        <v>-96846591014</v>
      </c>
      <c r="I381" s="1311">
        <f>+VLOOKUP(B381,Composición!$C$4:$H$1742,6,0)-E381</f>
        <v>-11264061.279999999</v>
      </c>
      <c r="J381" s="830">
        <f t="shared" si="10"/>
        <v>-211700801075.28</v>
      </c>
      <c r="M381" s="1056"/>
      <c r="N381" s="1056"/>
      <c r="O381" s="1056"/>
      <c r="P381" s="1056"/>
    </row>
    <row r="382" spans="1:16" s="31" customFormat="1" ht="16.5" customHeight="1">
      <c r="A382" s="31" t="str">
        <f t="shared" si="11"/>
        <v>NI</v>
      </c>
      <c r="B382" s="1220">
        <v>61101108</v>
      </c>
      <c r="C382" s="1221" t="s">
        <v>64</v>
      </c>
      <c r="D382" s="1222">
        <v>122171654250</v>
      </c>
      <c r="E382" s="1223">
        <v>15600510.550000001</v>
      </c>
      <c r="F382" s="1058">
        <f>+VLOOKUP(B382,Composición!$C$5:$D$1768,1,0)</f>
        <v>61101108</v>
      </c>
      <c r="G382" s="1058" t="e">
        <f>+VLOOKUP(B382,'CA FE'!$A:$A,1,0)</f>
        <v>#N/A</v>
      </c>
      <c r="H382" s="31">
        <f>+VLOOKUP(B382,Composición!$C$4:$H$1742,5,0)</f>
        <v>0</v>
      </c>
      <c r="I382" s="31">
        <f>+VLOOKUP(B382,Composición!$C$4:$H$1742,6,0)</f>
        <v>0</v>
      </c>
      <c r="J382" s="827">
        <f t="shared" si="10"/>
        <v>-122171654250</v>
      </c>
      <c r="M382" s="1056"/>
      <c r="N382" s="1056"/>
      <c r="O382" s="1056"/>
      <c r="P382" s="1056"/>
    </row>
    <row r="383" spans="1:16" s="14" customFormat="1" ht="16.5" customHeight="1">
      <c r="A383" s="14" t="str">
        <f t="shared" si="11"/>
        <v>I</v>
      </c>
      <c r="B383" s="1203">
        <v>6110110801</v>
      </c>
      <c r="C383" t="s">
        <v>265</v>
      </c>
      <c r="D383" s="1308">
        <v>122171654250</v>
      </c>
      <c r="E383" s="1309">
        <v>15600510.550000001</v>
      </c>
      <c r="F383" s="818">
        <f>+VLOOKUP(B383,Composición!$C$5:$D$1768,1,0)</f>
        <v>6110110801</v>
      </c>
      <c r="G383" s="818" t="e">
        <f>+VLOOKUP(B383,'CA FE'!$A:$A,1,0)</f>
        <v>#N/A</v>
      </c>
      <c r="H383" s="1049">
        <f>+VLOOKUP(B383,Composición!$C$4:$H$1742,5,0)-D383</f>
        <v>-53017361525</v>
      </c>
      <c r="I383" s="1311">
        <f>+VLOOKUP(B383,Composición!$C$4:$H$1742,6,0)-E383</f>
        <v>-6106015.6799999997</v>
      </c>
      <c r="J383" s="830">
        <f t="shared" si="10"/>
        <v>-122177760265.67999</v>
      </c>
      <c r="M383" s="1056"/>
      <c r="N383" s="1056"/>
      <c r="O383" s="1056"/>
      <c r="P383" s="1056"/>
    </row>
    <row r="384" spans="1:16" s="31" customFormat="1" ht="16.5" customHeight="1">
      <c r="A384" s="31" t="str">
        <f t="shared" si="11"/>
        <v>NI</v>
      </c>
      <c r="B384" s="1220">
        <v>61101113</v>
      </c>
      <c r="C384" s="1221" t="s">
        <v>267</v>
      </c>
      <c r="D384" s="1222">
        <v>663114760092.99988</v>
      </c>
      <c r="E384" s="1223">
        <v>84675360.040000007</v>
      </c>
      <c r="F384" s="1058">
        <f>+VLOOKUP(B384,Composición!$C$5:$D$1768,1,0)</f>
        <v>61101113</v>
      </c>
      <c r="G384" s="1058" t="e">
        <f>+VLOOKUP(B384,'CA FE'!$A:$A,1,0)</f>
        <v>#N/A</v>
      </c>
      <c r="H384" s="1048">
        <f>+VLOOKUP(B384,Composición!$C$4:$H$1742,5,0)-D384</f>
        <v>-663114760092.99988</v>
      </c>
      <c r="I384" s="1214">
        <f>+VLOOKUP(B384,Composición!$C$4:$H$1742,6,0)-E384</f>
        <v>-84675360.040000007</v>
      </c>
      <c r="J384" s="1054">
        <f t="shared" si="10"/>
        <v>-663199435453.03992</v>
      </c>
      <c r="M384" s="1056"/>
      <c r="N384" s="1056"/>
      <c r="O384" s="1056"/>
      <c r="P384" s="1056"/>
    </row>
    <row r="385" spans="1:16" s="14" customFormat="1" ht="16.5" customHeight="1">
      <c r="A385" s="14" t="str">
        <f t="shared" si="11"/>
        <v>I</v>
      </c>
      <c r="B385" s="1203">
        <v>6110111301</v>
      </c>
      <c r="C385" t="s">
        <v>268</v>
      </c>
      <c r="D385" s="1308">
        <v>663114760092.99988</v>
      </c>
      <c r="E385" s="1309">
        <v>84675360.040000007</v>
      </c>
      <c r="F385" s="818">
        <f>+VLOOKUP(B385,Composición!$C$5:$D$1768,1,0)</f>
        <v>6110111301</v>
      </c>
      <c r="G385" s="818" t="e">
        <f>+VLOOKUP(B385,'CA FE'!$A:$A,1,0)</f>
        <v>#N/A</v>
      </c>
      <c r="H385" s="14">
        <f>+VLOOKUP(B385,Composición!$C$4:$H$1742,5,0)</f>
        <v>767167686046</v>
      </c>
      <c r="I385" s="14">
        <f>+VLOOKUP(B385,Composición!$C$4:$H$1742,6,0)</f>
        <v>105327802.11999999</v>
      </c>
      <c r="J385" s="1053">
        <f t="shared" si="10"/>
        <v>-663009432290.87988</v>
      </c>
      <c r="M385" s="1056"/>
      <c r="N385" s="1056"/>
      <c r="O385" s="1056"/>
      <c r="P385" s="1056"/>
    </row>
    <row r="386" spans="1:16" s="31" customFormat="1" ht="16.5" customHeight="1">
      <c r="A386" s="31" t="str">
        <f t="shared" si="11"/>
        <v>NI</v>
      </c>
      <c r="B386" s="1220">
        <v>61101114</v>
      </c>
      <c r="C386" s="1221" t="s">
        <v>269</v>
      </c>
      <c r="D386" s="1222">
        <v>266789275387</v>
      </c>
      <c r="E386" s="1223">
        <v>34067222.309999995</v>
      </c>
      <c r="F386" s="1058">
        <f>+VLOOKUP(B386,Composición!$C$5:$D$1768,1,0)</f>
        <v>61101114</v>
      </c>
      <c r="G386" s="1058" t="e">
        <f>+VLOOKUP(B386,'CA FE'!$A:$A,1,0)</f>
        <v>#N/A</v>
      </c>
      <c r="H386" s="1048">
        <f>+VLOOKUP(B386,Composición!$C$4:$H$1742,5,0)-D386</f>
        <v>-266789275387</v>
      </c>
      <c r="I386" s="1214">
        <f>+VLOOKUP(B386,Composición!$C$4:$H$1742,6,0)-E386</f>
        <v>-34067222.309999995</v>
      </c>
      <c r="J386" s="827">
        <f t="shared" si="10"/>
        <v>-266823342609.31</v>
      </c>
      <c r="M386" s="1056"/>
      <c r="N386" s="1056"/>
      <c r="O386" s="1056"/>
      <c r="P386" s="1056"/>
    </row>
    <row r="387" spans="1:16" s="14" customFormat="1" ht="16.5" customHeight="1">
      <c r="A387" s="14" t="str">
        <f t="shared" si="11"/>
        <v>I</v>
      </c>
      <c r="B387" s="1203">
        <v>6110111401</v>
      </c>
      <c r="C387" t="s">
        <v>270</v>
      </c>
      <c r="D387" s="1308">
        <v>266789275387</v>
      </c>
      <c r="E387" s="1309">
        <v>34067222.309999995</v>
      </c>
      <c r="F387" s="818">
        <f>+VLOOKUP(B387,Composición!$C$5:$D$1768,1,0)</f>
        <v>6110111401</v>
      </c>
      <c r="G387" s="818" t="e">
        <f>+VLOOKUP(B387,'CA FE'!$A:$A,1,0)</f>
        <v>#N/A</v>
      </c>
      <c r="H387" s="14">
        <f>+VLOOKUP(B387,Composición!$C$4:$H$1742,5,0)</f>
        <v>138433955852</v>
      </c>
      <c r="I387" s="14">
        <f>+VLOOKUP(B387,Composición!$C$4:$H$1742,6,0)</f>
        <v>19006202.390000001</v>
      </c>
      <c r="J387" s="830">
        <f t="shared" si="10"/>
        <v>-266770269184.60999</v>
      </c>
      <c r="M387" s="1056"/>
      <c r="N387" s="1056"/>
      <c r="O387" s="1056"/>
      <c r="P387" s="1056"/>
    </row>
    <row r="388" spans="1:16" s="31" customFormat="1" ht="16.5" customHeight="1">
      <c r="A388" s="31" t="str">
        <f t="shared" si="11"/>
        <v>NI</v>
      </c>
      <c r="B388" s="1220">
        <v>61101117</v>
      </c>
      <c r="C388" s="1221" t="s">
        <v>271</v>
      </c>
      <c r="D388" s="1222">
        <v>1998260828</v>
      </c>
      <c r="E388" s="1223">
        <v>255164.65999999997</v>
      </c>
      <c r="F388" s="1058">
        <f>+VLOOKUP(B388,Composición!$C$5:$D$1768,1,0)</f>
        <v>61101117</v>
      </c>
      <c r="G388" s="1058" t="e">
        <f>+VLOOKUP(B388,'CA FE'!$A:$A,1,0)</f>
        <v>#N/A</v>
      </c>
      <c r="H388" s="1048">
        <f>+VLOOKUP(B388,Composición!$C$4:$H$1742,5,0)-D388</f>
        <v>-1998260828</v>
      </c>
      <c r="I388" s="1214">
        <f>+VLOOKUP(B388,Composición!$C$4:$H$1742,6,0)-E388</f>
        <v>-255164.65999999997</v>
      </c>
      <c r="J388" s="1054">
        <f t="shared" si="10"/>
        <v>-1998515992.6600001</v>
      </c>
      <c r="M388" s="1056"/>
      <c r="N388" s="1056"/>
      <c r="O388" s="1056"/>
      <c r="P388" s="1056"/>
    </row>
    <row r="389" spans="1:16" s="14" customFormat="1" ht="16.5" customHeight="1">
      <c r="A389" s="14" t="str">
        <f t="shared" si="11"/>
        <v>I</v>
      </c>
      <c r="B389" s="1203">
        <v>6110111701</v>
      </c>
      <c r="C389" t="s">
        <v>272</v>
      </c>
      <c r="D389" s="1308">
        <v>1700000000</v>
      </c>
      <c r="E389" s="1309">
        <v>217078.73</v>
      </c>
      <c r="F389" s="818">
        <f>+VLOOKUP(B389,Composición!$C$5:$D$1768,1,0)</f>
        <v>6110111701</v>
      </c>
      <c r="G389" s="818" t="e">
        <f>+VLOOKUP(B389,'CA FE'!$A:$A,1,0)</f>
        <v>#N/A</v>
      </c>
      <c r="H389" s="14">
        <f>+VLOOKUP(B389,Composición!$C$4:$H$1742,5,0)</f>
        <v>950000000</v>
      </c>
      <c r="I389" s="14">
        <f>+VLOOKUP(B389,Composición!$C$4:$H$1742,6,0)</f>
        <v>130429.65000000001</v>
      </c>
      <c r="J389" s="1053">
        <f t="shared" si="10"/>
        <v>-1699869570.3499999</v>
      </c>
      <c r="M389" s="1056"/>
      <c r="N389" s="1056"/>
      <c r="O389" s="1056"/>
      <c r="P389" s="1056"/>
    </row>
    <row r="390" spans="1:16" s="14" customFormat="1" ht="16.5" customHeight="1">
      <c r="A390" s="14" t="str">
        <f t="shared" si="11"/>
        <v>I</v>
      </c>
      <c r="B390" s="1203">
        <v>6110111702</v>
      </c>
      <c r="C390" t="s">
        <v>273</v>
      </c>
      <c r="D390" s="1308">
        <v>298260828</v>
      </c>
      <c r="E390" s="1309">
        <v>38085.93</v>
      </c>
      <c r="F390" s="818">
        <f>+VLOOKUP(B390,Composición!$C$5:$D$1768,1,0)</f>
        <v>6110111702</v>
      </c>
      <c r="G390" s="818" t="e">
        <f>+VLOOKUP(B390,'CA FE'!$A:$A,1,0)</f>
        <v>#N/A</v>
      </c>
      <c r="H390" s="1049">
        <f>+VLOOKUP(B390,Composición!$C$4:$H$1742,5,0)-D390</f>
        <v>-1525160</v>
      </c>
      <c r="I390" s="1311">
        <f>+VLOOKUP(B390,Composición!$C$4:$H$1742,6,0)-E390</f>
        <v>2654.2099999999991</v>
      </c>
      <c r="J390" s="1053">
        <f t="shared" si="10"/>
        <v>-298258173.79000002</v>
      </c>
      <c r="M390" s="1056"/>
      <c r="N390" s="1056"/>
      <c r="O390" s="1056"/>
      <c r="P390" s="1056"/>
    </row>
    <row r="391" spans="1:16" s="31" customFormat="1" ht="16.5" customHeight="1">
      <c r="A391" s="31" t="str">
        <f t="shared" si="11"/>
        <v>NI</v>
      </c>
      <c r="B391" s="1220">
        <v>61101118</v>
      </c>
      <c r="C391" s="1221" t="s">
        <v>274</v>
      </c>
      <c r="D391" s="1222">
        <v>52323111774</v>
      </c>
      <c r="E391" s="1223">
        <v>6681314.5999999996</v>
      </c>
      <c r="F391" s="1058">
        <f>+VLOOKUP(B391,Composición!$C$5:$D$1768,1,0)</f>
        <v>61101118</v>
      </c>
      <c r="G391" s="1058" t="e">
        <f>+VLOOKUP(B391,'CA FE'!$A:$A,1,0)</f>
        <v>#N/A</v>
      </c>
      <c r="H391" s="31">
        <f>+VLOOKUP(B391,Composición!$C$4:$H$1742,5,0)</f>
        <v>0</v>
      </c>
      <c r="I391" s="31">
        <f>+VLOOKUP(B391,Composición!$C$4:$H$1742,6,0)</f>
        <v>0</v>
      </c>
      <c r="J391" s="827">
        <f t="shared" si="10"/>
        <v>-52323111774</v>
      </c>
      <c r="M391" s="1056"/>
      <c r="N391" s="1056"/>
      <c r="O391" s="1056"/>
      <c r="P391" s="1056"/>
    </row>
    <row r="392" spans="1:16" s="14" customFormat="1" ht="16.5" customHeight="1">
      <c r="A392" s="14" t="str">
        <f t="shared" si="11"/>
        <v>I</v>
      </c>
      <c r="B392" s="1203">
        <v>6110111801</v>
      </c>
      <c r="C392" t="s">
        <v>275</v>
      </c>
      <c r="D392" s="1308">
        <v>51647159700</v>
      </c>
      <c r="E392" s="1309">
        <v>6595000</v>
      </c>
      <c r="F392" s="818">
        <f>+VLOOKUP(B392,Composición!$C$5:$D$1768,1,0)</f>
        <v>6110111801</v>
      </c>
      <c r="G392" s="818" t="e">
        <f>+VLOOKUP(B392,'CA FE'!$A:$A,1,0)</f>
        <v>#N/A</v>
      </c>
      <c r="H392" s="14">
        <f>+VLOOKUP(B392,Composición!$C$4:$H$1742,5,0)</f>
        <v>40737439616</v>
      </c>
      <c r="I392" s="14">
        <f>+VLOOKUP(B392,Composición!$C$4:$H$1742,6,0)</f>
        <v>5593021</v>
      </c>
      <c r="J392" s="830">
        <f t="shared" si="10"/>
        <v>-51641566679</v>
      </c>
      <c r="M392" s="1056"/>
      <c r="N392" s="1056"/>
      <c r="O392" s="1056"/>
      <c r="P392" s="1056"/>
    </row>
    <row r="393" spans="1:16" s="14" customFormat="1" ht="16.5" customHeight="1">
      <c r="A393" s="14" t="str">
        <f t="shared" si="11"/>
        <v>I</v>
      </c>
      <c r="B393" s="1203">
        <v>6110111802</v>
      </c>
      <c r="C393" t="s">
        <v>276</v>
      </c>
      <c r="D393" s="1308">
        <v>675952074</v>
      </c>
      <c r="E393" s="1309">
        <v>86314.60000000002</v>
      </c>
      <c r="F393" s="818">
        <f>+VLOOKUP(B393,Composición!$C$5:$D$1768,1,0)</f>
        <v>6110111802</v>
      </c>
      <c r="G393" s="818" t="e">
        <f>+VLOOKUP(B393,'CA FE'!$A:$A,1,0)</f>
        <v>#N/A</v>
      </c>
      <c r="H393" s="1049">
        <f>+VLOOKUP(B393,Composición!$C$4:$H$1742,5,0)-D393</f>
        <v>-396030102</v>
      </c>
      <c r="I393" s="1311">
        <f>+VLOOKUP(B393,Composición!$C$4:$H$1742,6,0)-E393</f>
        <v>-47882.890000000029</v>
      </c>
      <c r="J393" s="1053">
        <f t="shared" si="10"/>
        <v>-675999956.88999999</v>
      </c>
      <c r="M393" s="1056"/>
      <c r="N393" s="1056"/>
      <c r="O393" s="1056"/>
      <c r="P393" s="1056"/>
    </row>
    <row r="394" spans="1:16" s="31" customFormat="1" ht="16.5" customHeight="1">
      <c r="A394" s="31" t="str">
        <f t="shared" si="11"/>
        <v>NI</v>
      </c>
      <c r="B394" s="1220">
        <v>61101128</v>
      </c>
      <c r="C394" s="1221" t="s">
        <v>2955</v>
      </c>
      <c r="D394" s="1222">
        <v>9593293500</v>
      </c>
      <c r="E394" s="1223">
        <v>1225000</v>
      </c>
      <c r="F394" s="1058">
        <f>+VLOOKUP(B394,Composición!$C$5:$D$1768,1,0)</f>
        <v>61101128</v>
      </c>
      <c r="G394" s="1058" t="e">
        <f>+VLOOKUP(B394,'CA FE'!$A:$A,1,0)</f>
        <v>#N/A</v>
      </c>
      <c r="H394" s="31">
        <f>+VLOOKUP(B394,Composición!$C$4:$H$1742,5,0)</f>
        <v>0</v>
      </c>
      <c r="I394" s="31">
        <f>+VLOOKUP(B394,Composición!$C$4:$H$1742,6,0)</f>
        <v>0</v>
      </c>
      <c r="J394" s="827">
        <f t="shared" si="10"/>
        <v>-9593293500</v>
      </c>
      <c r="M394" s="1056"/>
      <c r="N394" s="1056"/>
      <c r="O394" s="1056"/>
      <c r="P394" s="1056"/>
    </row>
    <row r="395" spans="1:16" s="14" customFormat="1" ht="16.5" customHeight="1">
      <c r="A395" s="14" t="str">
        <f t="shared" si="11"/>
        <v>I</v>
      </c>
      <c r="B395" s="1203">
        <v>6110112801</v>
      </c>
      <c r="C395" t="s">
        <v>2956</v>
      </c>
      <c r="D395" s="1308">
        <v>9593293500</v>
      </c>
      <c r="E395" s="1309">
        <v>1225000</v>
      </c>
      <c r="F395" s="818">
        <f>+VLOOKUP(B395,Composición!$C$5:$D$1768,1,0)</f>
        <v>6110112801</v>
      </c>
      <c r="G395" s="818" t="e">
        <f>+VLOOKUP(B395,'CA FE'!$A:$A,1,0)</f>
        <v>#N/A</v>
      </c>
      <c r="H395" s="14">
        <f>+VLOOKUP(B395,Composición!$C$4:$H$1742,5,0)</f>
        <v>0</v>
      </c>
      <c r="I395" s="14">
        <f>+VLOOKUP(B395,Composición!$C$4:$H$1742,6,0)</f>
        <v>0</v>
      </c>
      <c r="J395" s="830">
        <f t="shared" si="10"/>
        <v>-9593293500</v>
      </c>
      <c r="M395" s="1056"/>
      <c r="N395" s="1056"/>
      <c r="O395" s="1056"/>
      <c r="P395" s="1056"/>
    </row>
    <row r="396" spans="1:16" s="31" customFormat="1" ht="16.5" customHeight="1">
      <c r="A396" s="31" t="str">
        <f t="shared" si="11"/>
        <v>NI</v>
      </c>
      <c r="B396" s="1220">
        <v>61101129</v>
      </c>
      <c r="C396" s="1221" t="s">
        <v>277</v>
      </c>
      <c r="D396" s="1222">
        <v>39926462861</v>
      </c>
      <c r="E396" s="1223">
        <v>5098344.6899999995</v>
      </c>
      <c r="F396" s="1058">
        <f>+VLOOKUP(B396,Composición!$C$5:$D$1768,1,0)</f>
        <v>61101129</v>
      </c>
      <c r="G396" s="1058" t="e">
        <f>+VLOOKUP(B396,'CA FE'!$A:$A,1,0)</f>
        <v>#N/A</v>
      </c>
      <c r="H396" s="31">
        <f>+VLOOKUP(B396,Composición!$C$4:$H$1742,5,0)</f>
        <v>0</v>
      </c>
      <c r="I396" s="31">
        <f>+VLOOKUP(B396,Composición!$C$4:$H$1742,6,0)</f>
        <v>0</v>
      </c>
      <c r="J396" s="1054">
        <f t="shared" si="10"/>
        <v>-39926462861</v>
      </c>
      <c r="M396" s="1056"/>
      <c r="N396" s="1056"/>
      <c r="O396" s="1056"/>
      <c r="P396" s="1056"/>
    </row>
    <row r="397" spans="1:16" s="14" customFormat="1" ht="16.5" customHeight="1">
      <c r="A397" s="14" t="str">
        <f t="shared" si="11"/>
        <v>I</v>
      </c>
      <c r="B397" s="1203">
        <v>6110112901</v>
      </c>
      <c r="C397" t="s">
        <v>278</v>
      </c>
      <c r="D397" s="1308">
        <v>39926462861</v>
      </c>
      <c r="E397" s="1309">
        <v>5098344.6899999995</v>
      </c>
      <c r="F397" s="818">
        <f>+VLOOKUP(B397,Composición!$C$5:$D$1768,1,0)</f>
        <v>6110112901</v>
      </c>
      <c r="G397" s="818" t="e">
        <f>+VLOOKUP(B397,'CA FE'!$A:$A,1,0)</f>
        <v>#N/A</v>
      </c>
      <c r="H397" s="14">
        <f>+VLOOKUP(B397,Composición!$C$4:$H$1742,5,0)</f>
        <v>26589769792</v>
      </c>
      <c r="I397" s="14">
        <f>+VLOOKUP(B397,Composición!$C$4:$H$1742,6,0)</f>
        <v>3650625.62</v>
      </c>
      <c r="J397" s="1053">
        <f t="shared" si="10"/>
        <v>-39922812235.379997</v>
      </c>
      <c r="M397" s="1056"/>
      <c r="N397" s="1056"/>
      <c r="O397" s="1056"/>
      <c r="P397" s="1056"/>
    </row>
    <row r="398" spans="1:16" s="31" customFormat="1" ht="16.5" customHeight="1">
      <c r="A398" s="31" t="str">
        <f t="shared" si="11"/>
        <v>NI</v>
      </c>
      <c r="B398" s="1220">
        <v>61101131</v>
      </c>
      <c r="C398" s="1221" t="s">
        <v>279</v>
      </c>
      <c r="D398" s="1222">
        <v>397367945989</v>
      </c>
      <c r="E398" s="1223">
        <v>50741253.129999995</v>
      </c>
      <c r="F398" s="1058">
        <f>+VLOOKUP(B398,Composición!$C$5:$D$1768,1,0)</f>
        <v>61101131</v>
      </c>
      <c r="G398" s="1058" t="e">
        <f>+VLOOKUP(B398,'CA FE'!$A:$A,1,0)</f>
        <v>#N/A</v>
      </c>
      <c r="H398" s="31">
        <f>+VLOOKUP(B398,Composición!$C$4:$H$1742,5,0)</f>
        <v>0</v>
      </c>
      <c r="I398" s="31">
        <f>+VLOOKUP(B398,Composición!$C$4:$H$1742,6,0)</f>
        <v>0</v>
      </c>
      <c r="J398" s="1054">
        <f t="shared" si="10"/>
        <v>-397367945989</v>
      </c>
      <c r="M398" s="1056"/>
      <c r="N398" s="1056"/>
      <c r="O398" s="1056"/>
      <c r="P398" s="1056"/>
    </row>
    <row r="399" spans="1:16" s="14" customFormat="1" ht="16.5" customHeight="1">
      <c r="A399" s="14" t="str">
        <f t="shared" ref="A399:A489" si="13">IF(LEN(B399)&gt;8,"I","NI")</f>
        <v>I</v>
      </c>
      <c r="B399" s="1203">
        <v>6110113101</v>
      </c>
      <c r="C399" t="s">
        <v>280</v>
      </c>
      <c r="D399" s="1308">
        <v>397367945989</v>
      </c>
      <c r="E399" s="1309">
        <v>50741253.129999995</v>
      </c>
      <c r="F399" s="818">
        <f>+VLOOKUP(B399,Composición!$C$5:$D$1768,1,0)</f>
        <v>6110113101</v>
      </c>
      <c r="G399" s="818" t="e">
        <f>+VLOOKUP(B399,'CA FE'!$A:$A,1,0)</f>
        <v>#N/A</v>
      </c>
      <c r="H399" s="14">
        <f>+VLOOKUP(B399,Composición!$C$4:$H$1742,5,0)</f>
        <v>87792251744</v>
      </c>
      <c r="I399" s="14">
        <f>+VLOOKUP(B399,Composición!$C$4:$H$1742,6,0)</f>
        <v>12053381.66</v>
      </c>
      <c r="J399" s="830">
        <f t="shared" si="10"/>
        <v>-397355892607.34003</v>
      </c>
      <c r="M399" s="1056"/>
      <c r="N399" s="1056"/>
      <c r="O399" s="1056"/>
      <c r="P399" s="1056"/>
    </row>
    <row r="400" spans="1:16" s="31" customFormat="1" ht="16.5" customHeight="1">
      <c r="A400" s="31" t="str">
        <f t="shared" si="13"/>
        <v>NI</v>
      </c>
      <c r="B400" s="1220">
        <v>61101133</v>
      </c>
      <c r="C400" s="1221" t="s">
        <v>132</v>
      </c>
      <c r="D400" s="1222">
        <v>800000000</v>
      </c>
      <c r="E400" s="1223">
        <v>102154.69999999995</v>
      </c>
      <c r="F400" s="1058">
        <f>+VLOOKUP(B400,Composición!$C$5:$D$1768,1,0)</f>
        <v>61101133</v>
      </c>
      <c r="G400" s="1058" t="e">
        <f>+VLOOKUP(B400,'CA FE'!$A:$A,1,0)</f>
        <v>#N/A</v>
      </c>
      <c r="H400" s="1048">
        <f>+VLOOKUP(B400,Composición!$C$4:$H$1742,5,0)-D400</f>
        <v>-800000000</v>
      </c>
      <c r="I400" s="1214">
        <f>+VLOOKUP(B400,Composición!$C$4:$H$1742,6,0)-E400</f>
        <v>-102154.69999999995</v>
      </c>
      <c r="J400" s="827">
        <f t="shared" si="10"/>
        <v>-800102154.70000005</v>
      </c>
      <c r="M400" s="1056"/>
      <c r="N400" s="1056"/>
      <c r="O400" s="1056"/>
      <c r="P400" s="1056"/>
    </row>
    <row r="401" spans="1:16" s="14" customFormat="1" ht="16.5" customHeight="1">
      <c r="A401" s="14" t="str">
        <f t="shared" si="13"/>
        <v>I</v>
      </c>
      <c r="B401" s="1203">
        <v>6110113301</v>
      </c>
      <c r="C401" t="s">
        <v>2957</v>
      </c>
      <c r="D401" s="1308">
        <v>800000000</v>
      </c>
      <c r="E401" s="1309">
        <v>102154.69999999995</v>
      </c>
      <c r="F401" s="818">
        <f>+VLOOKUP(B401,Composición!$C$5:$D$1768,1,0)</f>
        <v>6110113301</v>
      </c>
      <c r="G401" s="818" t="e">
        <f>+VLOOKUP(B401,'CA FE'!$A:$A,1,0)</f>
        <v>#N/A</v>
      </c>
      <c r="H401" s="14">
        <f>+VLOOKUP(B401,Composición!$C$4:$H$1742,5,0)</f>
        <v>9500000000</v>
      </c>
      <c r="I401" s="14">
        <f>+VLOOKUP(B401,Composición!$C$4:$H$1742,6,0)</f>
        <v>1304296.4900000002</v>
      </c>
      <c r="J401" s="1053">
        <f t="shared" si="10"/>
        <v>-798695703.50999999</v>
      </c>
      <c r="M401" s="1056"/>
      <c r="N401" s="1056"/>
      <c r="O401" s="1056"/>
      <c r="P401" s="1056"/>
    </row>
    <row r="402" spans="1:16" s="31" customFormat="1" ht="16.5" customHeight="1">
      <c r="A402" s="31" t="str">
        <f t="shared" si="13"/>
        <v>NI</v>
      </c>
      <c r="B402" s="1220">
        <v>6110120</v>
      </c>
      <c r="C402" s="1221" t="s">
        <v>281</v>
      </c>
      <c r="D402" s="1222">
        <v>480330534381</v>
      </c>
      <c r="E402" s="1223">
        <v>61335025.829999998</v>
      </c>
      <c r="F402" s="1058">
        <f>+VLOOKUP(B402,Composición!$C$5:$D$1768,1,0)</f>
        <v>6110120</v>
      </c>
      <c r="G402" s="1058" t="e">
        <f>+VLOOKUP(B402,'CA FE'!$A:$A,1,0)</f>
        <v>#N/A</v>
      </c>
      <c r="H402" s="1048">
        <f>+VLOOKUP(B402,Composición!$C$4:$H$1742,5,0)-D402</f>
        <v>-480330534381</v>
      </c>
      <c r="I402" s="1214">
        <f>+VLOOKUP(B402,Composición!$C$4:$H$1742,6,0)-E402</f>
        <v>-61335025.829999998</v>
      </c>
      <c r="J402" s="827">
        <f t="shared" si="10"/>
        <v>-480391869406.83002</v>
      </c>
      <c r="M402" s="1056"/>
      <c r="N402" s="1056"/>
      <c r="O402" s="1056"/>
      <c r="P402" s="1056"/>
    </row>
    <row r="403" spans="1:16" s="31" customFormat="1" ht="16.5" customHeight="1">
      <c r="A403" s="31" t="str">
        <f t="shared" si="13"/>
        <v>NI</v>
      </c>
      <c r="B403" s="1220">
        <v>61101201</v>
      </c>
      <c r="C403" s="1221" t="s">
        <v>282</v>
      </c>
      <c r="D403" s="1222">
        <v>480330534381</v>
      </c>
      <c r="E403" s="1223">
        <v>61335025.829999998</v>
      </c>
      <c r="F403" s="1058">
        <f>+VLOOKUP(B403,Composición!$C$5:$D$1768,1,0)</f>
        <v>61101201</v>
      </c>
      <c r="G403" s="1058" t="e">
        <f>+VLOOKUP(B403,'CA FE'!$A:$A,1,0)</f>
        <v>#N/A</v>
      </c>
      <c r="H403" s="31">
        <f>+VLOOKUP(B403,Composición!$C$4:$H$1742,5,0)</f>
        <v>0</v>
      </c>
      <c r="I403" s="31">
        <f>+VLOOKUP(B403,Composición!$C$4:$H$1742,6,0)</f>
        <v>0</v>
      </c>
      <c r="J403" s="827">
        <f t="shared" si="10"/>
        <v>-480330534381</v>
      </c>
      <c r="M403" s="1056"/>
      <c r="N403" s="1056"/>
      <c r="O403" s="1056"/>
      <c r="P403" s="1056"/>
    </row>
    <row r="404" spans="1:16" s="14" customFormat="1" ht="16.5" customHeight="1">
      <c r="A404" s="14" t="str">
        <f t="shared" si="13"/>
        <v>I</v>
      </c>
      <c r="B404" s="1203">
        <v>6110120101</v>
      </c>
      <c r="C404" t="s">
        <v>283</v>
      </c>
      <c r="D404" s="1308">
        <v>480330534381</v>
      </c>
      <c r="E404" s="1309">
        <v>61335025.829999998</v>
      </c>
      <c r="F404" s="818">
        <f>+VLOOKUP(B404,Composición!$C$5:$D$1768,1,0)</f>
        <v>6110120101</v>
      </c>
      <c r="G404" s="818" t="e">
        <f>+VLOOKUP(B404,'CA FE'!$A:$A,1,0)</f>
        <v>#N/A</v>
      </c>
      <c r="H404" s="1049">
        <f>+VLOOKUP(B404,Composición!$C$4:$H$1742,5,0)-D404</f>
        <v>-111487773580</v>
      </c>
      <c r="I404" s="1311">
        <f>+VLOOKUP(B404,Composición!$C$4:$H$1742,6,0)-E404</f>
        <v>-10694992.329999998</v>
      </c>
      <c r="J404" s="1053">
        <f t="shared" ref="J404:J496" si="14">+I404-D404</f>
        <v>-480341229373.33002</v>
      </c>
      <c r="M404" s="1056"/>
      <c r="N404" s="1056"/>
      <c r="O404" s="1056"/>
      <c r="P404" s="1056"/>
    </row>
    <row r="405" spans="1:16" s="31" customFormat="1" ht="16.5" customHeight="1">
      <c r="A405" s="31" t="str">
        <f t="shared" si="13"/>
        <v>NI</v>
      </c>
      <c r="B405" s="1220">
        <v>615</v>
      </c>
      <c r="C405" s="1221" t="s">
        <v>2958</v>
      </c>
      <c r="D405" s="1222">
        <v>2135125</v>
      </c>
      <c r="E405" s="1223">
        <v>272.64</v>
      </c>
      <c r="F405" s="1058">
        <f>+VLOOKUP(B405,Composición!$C$5:$D$1768,1,0)</f>
        <v>615</v>
      </c>
      <c r="G405" s="1058" t="e">
        <f>+VLOOKUP(B405,'CA FE'!$A:$A,1,0)</f>
        <v>#N/A</v>
      </c>
      <c r="H405" s="31">
        <f>+VLOOKUP(B405,Composición!$C$4:$H$1742,5,0)</f>
        <v>0</v>
      </c>
      <c r="I405" s="31">
        <f>+VLOOKUP(B405,Composición!$C$4:$H$1742,6,0)</f>
        <v>0</v>
      </c>
      <c r="J405" s="1054">
        <f t="shared" si="14"/>
        <v>-2135125</v>
      </c>
      <c r="M405" s="1056"/>
      <c r="N405" s="1056"/>
      <c r="O405" s="1056"/>
      <c r="P405" s="1056"/>
    </row>
    <row r="406" spans="1:16" s="31" customFormat="1" ht="16.5" customHeight="1">
      <c r="A406" s="31" t="str">
        <f t="shared" si="13"/>
        <v>NI</v>
      </c>
      <c r="B406" s="1220">
        <v>61501</v>
      </c>
      <c r="C406" s="1221" t="s">
        <v>2958</v>
      </c>
      <c r="D406" s="1222">
        <v>2135125</v>
      </c>
      <c r="E406" s="1223">
        <v>272.64</v>
      </c>
      <c r="F406" s="1058">
        <f>+VLOOKUP(B406,Composición!$C$5:$D$1768,1,0)</f>
        <v>61501</v>
      </c>
      <c r="G406" s="1058" t="e">
        <f>+VLOOKUP(B406,'CA FE'!$A:$A,1,0)</f>
        <v>#N/A</v>
      </c>
      <c r="H406" s="1048">
        <f>+VLOOKUP(B406,Composición!$C$4:$H$1742,5,0)-D406</f>
        <v>-2135125</v>
      </c>
      <c r="I406" s="1214">
        <f>+VLOOKUP(B406,Composición!$C$4:$H$1742,6,0)-E406</f>
        <v>-272.64</v>
      </c>
      <c r="J406" s="827">
        <f t="shared" si="14"/>
        <v>-2135397.64</v>
      </c>
      <c r="M406" s="1056"/>
      <c r="N406" s="1056"/>
      <c r="O406" s="1056"/>
      <c r="P406" s="1056"/>
    </row>
    <row r="407" spans="1:16" s="31" customFormat="1" ht="16.5" customHeight="1">
      <c r="A407" s="31" t="str">
        <f t="shared" si="13"/>
        <v>NI</v>
      </c>
      <c r="B407" s="1220">
        <v>615011</v>
      </c>
      <c r="C407" s="1221" t="s">
        <v>2958</v>
      </c>
      <c r="D407" s="1222">
        <v>2135125</v>
      </c>
      <c r="E407" s="1223">
        <v>272.64</v>
      </c>
      <c r="F407" s="1058">
        <f>+VLOOKUP(B407,Composición!$C$5:$D$1768,1,0)</f>
        <v>615011</v>
      </c>
      <c r="G407" s="1058" t="e">
        <f>+VLOOKUP(B407,'CA FE'!$A:$A,1,0)</f>
        <v>#N/A</v>
      </c>
      <c r="H407" s="31">
        <f>+VLOOKUP(B407,Composición!$C$4:$H$1742,5,0)</f>
        <v>0</v>
      </c>
      <c r="I407" s="31">
        <f>+VLOOKUP(B407,Composición!$C$4:$H$1742,6,0)</f>
        <v>0</v>
      </c>
      <c r="J407" s="1054">
        <f t="shared" si="14"/>
        <v>-2135125</v>
      </c>
      <c r="M407" s="1056"/>
      <c r="N407" s="1056"/>
      <c r="O407" s="1056"/>
      <c r="P407" s="1056"/>
    </row>
    <row r="408" spans="1:16" s="31" customFormat="1" ht="16.5" customHeight="1">
      <c r="A408" s="31" t="str">
        <f t="shared" si="13"/>
        <v>NI</v>
      </c>
      <c r="B408" s="1220">
        <v>6150110</v>
      </c>
      <c r="C408" s="1221" t="s">
        <v>2958</v>
      </c>
      <c r="D408" s="1222">
        <v>2135125</v>
      </c>
      <c r="E408" s="1223">
        <v>272.64</v>
      </c>
      <c r="F408" s="1058">
        <f>+VLOOKUP(B408,Composición!$C$5:$D$1768,1,0)</f>
        <v>6150110</v>
      </c>
      <c r="G408" s="1058"/>
      <c r="H408" s="1048">
        <f>+VLOOKUP(B408,Composición!$C$4:$H$1742,5,0)-D408</f>
        <v>-2135125</v>
      </c>
      <c r="I408" s="1214">
        <f>+VLOOKUP(B408,Composición!$C$4:$H$1742,6,0)-E408</f>
        <v>-272.64</v>
      </c>
      <c r="J408" s="1054">
        <f t="shared" si="14"/>
        <v>-2135397.64</v>
      </c>
      <c r="M408" s="1056"/>
      <c r="N408" s="1056"/>
      <c r="O408" s="1056"/>
      <c r="P408" s="1056"/>
    </row>
    <row r="409" spans="1:16" s="31" customFormat="1" ht="16.5" customHeight="1">
      <c r="A409" s="31" t="str">
        <f t="shared" si="13"/>
        <v>NI</v>
      </c>
      <c r="B409" s="1220">
        <v>61501101</v>
      </c>
      <c r="C409" s="1221" t="s">
        <v>2959</v>
      </c>
      <c r="D409" s="1222">
        <v>1351999</v>
      </c>
      <c r="E409" s="1223">
        <v>172.64</v>
      </c>
      <c r="F409" s="1058">
        <f>+VLOOKUP(B409,Composición!$C$5:$D$1768,1,0)</f>
        <v>61501101</v>
      </c>
      <c r="G409" s="1058"/>
      <c r="H409" s="1048">
        <f>+VLOOKUP(B409,Composición!$C$4:$H$1742,5,0)-D409</f>
        <v>-1351999</v>
      </c>
      <c r="I409" s="1214">
        <f>+VLOOKUP(B409,Composición!$C$4:$H$1742,6,0)-E409</f>
        <v>-172.64</v>
      </c>
      <c r="J409" s="1054">
        <f t="shared" si="14"/>
        <v>-1352171.64</v>
      </c>
      <c r="M409" s="1056"/>
      <c r="N409" s="1056"/>
      <c r="O409" s="1056"/>
      <c r="P409" s="1056"/>
    </row>
    <row r="410" spans="1:16" s="14" customFormat="1" ht="16.5" customHeight="1">
      <c r="A410" s="14" t="str">
        <f t="shared" si="13"/>
        <v>I</v>
      </c>
      <c r="B410" s="1203">
        <v>6150110101</v>
      </c>
      <c r="C410" t="s">
        <v>2960</v>
      </c>
      <c r="D410" s="1308">
        <v>1351999</v>
      </c>
      <c r="E410" s="1309">
        <v>172.64</v>
      </c>
      <c r="F410" s="818">
        <f>+VLOOKUP(B410,Composición!$C$5:$D$1768,1,0)</f>
        <v>6150110101</v>
      </c>
      <c r="G410" s="818"/>
      <c r="H410" s="14">
        <f>+VLOOKUP(B410,Composición!$C$4:$H$1742,5,0)</f>
        <v>0</v>
      </c>
      <c r="I410" s="14">
        <f>+VLOOKUP(B410,Composición!$C$4:$H$1742,6,0)</f>
        <v>0</v>
      </c>
      <c r="J410" s="1053">
        <f t="shared" si="14"/>
        <v>-1351999</v>
      </c>
      <c r="M410" s="1056"/>
      <c r="N410" s="1056"/>
      <c r="O410" s="1056"/>
      <c r="P410" s="1056"/>
    </row>
    <row r="411" spans="1:16" s="31" customFormat="1" ht="16.5" customHeight="1">
      <c r="A411" s="31" t="str">
        <f t="shared" ref="A411:A456" si="15">IF(LEN(B411)&gt;8,"I","NI")</f>
        <v>I</v>
      </c>
      <c r="B411" s="1220">
        <v>6150110102</v>
      </c>
      <c r="C411" s="1221" t="s">
        <v>2961</v>
      </c>
      <c r="D411" s="1222">
        <v>783126</v>
      </c>
      <c r="E411" s="1223">
        <v>100</v>
      </c>
      <c r="F411" s="1058" t="e">
        <f>+VLOOKUP(B411,Composición!$C$5:$D$1768,1,0)</f>
        <v>#N/A</v>
      </c>
      <c r="G411" s="1058"/>
      <c r="H411" s="1048" t="e">
        <f>+VLOOKUP(B411,Composición!$C$4:$H$1742,5,0)-D411</f>
        <v>#N/A</v>
      </c>
      <c r="I411" s="1214" t="e">
        <f>+VLOOKUP(B411,Composición!$C$4:$H$1742,6,0)-E411</f>
        <v>#N/A</v>
      </c>
      <c r="J411" s="827" t="e">
        <f t="shared" ref="J411:J456" si="16">+I411-D411</f>
        <v>#N/A</v>
      </c>
      <c r="M411" s="1056"/>
      <c r="N411" s="1056"/>
      <c r="O411" s="1056"/>
      <c r="P411" s="1056"/>
    </row>
    <row r="412" spans="1:16" s="14" customFormat="1" ht="16.5" customHeight="1">
      <c r="A412" s="14" t="str">
        <f t="shared" si="15"/>
        <v>NI</v>
      </c>
      <c r="B412" s="1203">
        <v>61501102</v>
      </c>
      <c r="C412" t="s">
        <v>2962</v>
      </c>
      <c r="D412" s="1308">
        <v>783126</v>
      </c>
      <c r="E412" s="1309">
        <v>100</v>
      </c>
      <c r="F412" s="818">
        <f>+VLOOKUP(B412,Composición!$C$5:$D$1768,1,0)</f>
        <v>61501102</v>
      </c>
      <c r="G412" s="818"/>
      <c r="H412" s="1049">
        <f>+VLOOKUP(B412,Composición!$C$4:$H$1742,5,0)-D412</f>
        <v>-783126</v>
      </c>
      <c r="I412" s="1311">
        <f>+VLOOKUP(B412,Composición!$C$4:$H$1742,6,0)-E412</f>
        <v>-100</v>
      </c>
      <c r="J412" s="1053">
        <f t="shared" si="16"/>
        <v>-783226</v>
      </c>
      <c r="M412" s="1056"/>
      <c r="N412" s="1056"/>
      <c r="O412" s="1056"/>
      <c r="P412" s="1056"/>
    </row>
    <row r="413" spans="1:16" s="31" customFormat="1" ht="16.5" customHeight="1">
      <c r="A413" s="31" t="str">
        <f t="shared" si="15"/>
        <v>NI</v>
      </c>
      <c r="B413" s="1220">
        <v>62</v>
      </c>
      <c r="C413" s="1221" t="s">
        <v>284</v>
      </c>
      <c r="D413" s="1222">
        <v>2949569752954</v>
      </c>
      <c r="E413" s="1223">
        <v>376640509.04999995</v>
      </c>
      <c r="F413" s="1058">
        <f>+VLOOKUP(B413,Composición!$C$5:$D$1768,1,0)</f>
        <v>62</v>
      </c>
      <c r="G413" s="1058"/>
      <c r="H413" s="31">
        <f>+VLOOKUP(B413,Composición!$C$4:$H$1742,5,0)</f>
        <v>0</v>
      </c>
      <c r="I413" s="31">
        <f>+VLOOKUP(B413,Composición!$C$4:$H$1742,6,0)</f>
        <v>0</v>
      </c>
      <c r="J413" s="827">
        <f t="shared" si="16"/>
        <v>-2949569752954</v>
      </c>
      <c r="M413" s="1056"/>
      <c r="N413" s="1056"/>
      <c r="O413" s="1056"/>
      <c r="P413" s="1056"/>
    </row>
    <row r="414" spans="1:16" s="31" customFormat="1" ht="16.5" customHeight="1">
      <c r="A414" s="31" t="str">
        <f t="shared" si="15"/>
        <v>NI</v>
      </c>
      <c r="B414" s="1220">
        <v>621</v>
      </c>
      <c r="C414" s="1221" t="s">
        <v>251</v>
      </c>
      <c r="D414" s="1222">
        <v>2949567617828.9995</v>
      </c>
      <c r="E414" s="1223">
        <v>376640236.40999991</v>
      </c>
      <c r="F414" s="1058">
        <f>+VLOOKUP(B414,Composición!$C$5:$D$1768,1,0)</f>
        <v>621</v>
      </c>
      <c r="G414" s="1058"/>
      <c r="H414" s="1048">
        <f>+VLOOKUP(B414,Composición!$C$4:$H$1742,5,0)-D414</f>
        <v>-2949567617828.9995</v>
      </c>
      <c r="I414" s="1214">
        <f>+VLOOKUP(B414,Composición!$C$4:$H$1742,6,0)-E414</f>
        <v>-376640236.40999991</v>
      </c>
      <c r="J414" s="827">
        <f t="shared" si="16"/>
        <v>-2949944258065.4097</v>
      </c>
      <c r="M414" s="1056"/>
      <c r="N414" s="1056"/>
      <c r="O414" s="1056"/>
      <c r="P414" s="1056"/>
    </row>
    <row r="415" spans="1:16" s="31" customFormat="1" ht="16.5" customHeight="1">
      <c r="A415" s="31" t="str">
        <f t="shared" si="15"/>
        <v>NI</v>
      </c>
      <c r="B415" s="1220">
        <v>62101</v>
      </c>
      <c r="C415" s="1221" t="s">
        <v>251</v>
      </c>
      <c r="D415" s="1222">
        <v>2949567617828.9995</v>
      </c>
      <c r="E415" s="1223">
        <v>376640236.40999991</v>
      </c>
      <c r="F415" s="1058">
        <f>+VLOOKUP(B415,Composición!$C$5:$D$1768,1,0)</f>
        <v>62101</v>
      </c>
      <c r="G415" s="1058"/>
      <c r="H415" s="31">
        <f>+VLOOKUP(B415,Composición!$C$4:$H$1742,5,0)</f>
        <v>0</v>
      </c>
      <c r="I415" s="31">
        <f>+VLOOKUP(B415,Composición!$C$4:$H$1742,6,0)</f>
        <v>0</v>
      </c>
      <c r="J415" s="1054">
        <f t="shared" si="16"/>
        <v>-2949567617828.9995</v>
      </c>
      <c r="M415" s="1056"/>
      <c r="N415" s="1056"/>
      <c r="O415" s="1056"/>
      <c r="P415" s="1056"/>
    </row>
    <row r="416" spans="1:16" s="31" customFormat="1" ht="16.5" customHeight="1">
      <c r="A416" s="31" t="str">
        <f t="shared" si="15"/>
        <v>NI</v>
      </c>
      <c r="B416" s="1220">
        <v>621011</v>
      </c>
      <c r="C416" s="1221" t="s">
        <v>251</v>
      </c>
      <c r="D416" s="1222">
        <v>2949567617828.9995</v>
      </c>
      <c r="E416" s="1223">
        <v>376640236.40999991</v>
      </c>
      <c r="F416" s="1058">
        <f>+VLOOKUP(B416,Composición!$C$5:$D$1768,1,0)</f>
        <v>621011</v>
      </c>
      <c r="G416" s="1058"/>
      <c r="H416" s="1048">
        <f>+VLOOKUP(B416,Composición!$C$4:$H$1742,5,0)-D416</f>
        <v>-2949567617828.9995</v>
      </c>
      <c r="I416" s="1214">
        <f>+VLOOKUP(B416,Composición!$C$4:$H$1742,6,0)-E416</f>
        <v>-376640236.40999991</v>
      </c>
      <c r="J416" s="827">
        <f t="shared" si="16"/>
        <v>-2949944258065.4097</v>
      </c>
      <c r="M416" s="1056"/>
      <c r="N416" s="1056"/>
      <c r="O416" s="1056"/>
      <c r="P416" s="1056"/>
    </row>
    <row r="417" spans="1:16" s="31" customFormat="1" ht="16.5" customHeight="1">
      <c r="A417" s="31" t="str">
        <f t="shared" si="15"/>
        <v>NI</v>
      </c>
      <c r="B417" s="1220">
        <v>6210110</v>
      </c>
      <c r="C417" s="1221" t="s">
        <v>252</v>
      </c>
      <c r="D417" s="1222">
        <v>2469237083448</v>
      </c>
      <c r="E417" s="1223">
        <v>315305210.57999998</v>
      </c>
      <c r="F417" s="1058">
        <f>+VLOOKUP(B417,Composición!$C$5:$D$1768,1,0)</f>
        <v>6210110</v>
      </c>
      <c r="G417" s="1058"/>
      <c r="H417" s="31">
        <f>+VLOOKUP(B417,Composición!$C$4:$H$1742,5,0)</f>
        <v>0</v>
      </c>
      <c r="I417" s="31">
        <f>+VLOOKUP(B417,Composición!$C$4:$H$1742,6,0)</f>
        <v>0</v>
      </c>
      <c r="J417" s="827">
        <f t="shared" si="16"/>
        <v>-2469237083448</v>
      </c>
      <c r="M417" s="1056"/>
      <c r="N417" s="1056"/>
      <c r="O417" s="1056"/>
      <c r="P417" s="1056"/>
    </row>
    <row r="418" spans="1:16" s="31" customFormat="1" ht="16.5" customHeight="1">
      <c r="A418" s="31" t="str">
        <f t="shared" si="15"/>
        <v>NI</v>
      </c>
      <c r="B418" s="1220">
        <v>62101101</v>
      </c>
      <c r="C418" s="1221" t="s">
        <v>57</v>
      </c>
      <c r="D418" s="1222">
        <v>33595403587</v>
      </c>
      <c r="E418" s="1223">
        <v>4289910.38</v>
      </c>
      <c r="F418" s="1058">
        <f>+VLOOKUP(B418,Composición!$C$5:$D$1768,1,0)</f>
        <v>62101101</v>
      </c>
      <c r="G418" s="1058"/>
      <c r="H418" s="1048">
        <f>+VLOOKUP(B418,Composición!$C$4:$H$1742,5,0)-D418</f>
        <v>-33595403587</v>
      </c>
      <c r="I418" s="1214">
        <f>+VLOOKUP(B418,Composición!$C$4:$H$1742,6,0)-E418</f>
        <v>-4289910.38</v>
      </c>
      <c r="J418" s="827">
        <f t="shared" si="16"/>
        <v>-33599693497.380001</v>
      </c>
      <c r="M418" s="1056"/>
      <c r="N418" s="1056"/>
      <c r="O418" s="1056"/>
      <c r="P418" s="1056"/>
    </row>
    <row r="419" spans="1:16" s="1353" customFormat="1" ht="16.5" customHeight="1">
      <c r="A419" s="1353" t="str">
        <f t="shared" si="15"/>
        <v>I</v>
      </c>
      <c r="B419" s="1354">
        <v>6210110101</v>
      </c>
      <c r="C419" s="1340" t="s">
        <v>253</v>
      </c>
      <c r="D419" s="1355">
        <v>33595403587</v>
      </c>
      <c r="E419" s="1356">
        <v>4289910.38</v>
      </c>
      <c r="F419" s="1357">
        <f>+VLOOKUP(B419,Composición!$C$5:$D$1768,1,0)</f>
        <v>6210110101</v>
      </c>
      <c r="G419" s="1357"/>
      <c r="H419" s="1353">
        <f>+VLOOKUP(B419,Composición!$C$4:$H$1742,5,0)</f>
        <v>13801001925</v>
      </c>
      <c r="I419" s="1353">
        <f>+VLOOKUP(B419,Composición!$C$4:$H$1742,6,0)</f>
        <v>1894799.83</v>
      </c>
      <c r="J419" s="1358">
        <f t="shared" si="16"/>
        <v>-33593508787.169998</v>
      </c>
      <c r="M419" s="1359"/>
      <c r="N419" s="1359"/>
      <c r="O419" s="1359"/>
      <c r="P419" s="1359"/>
    </row>
    <row r="420" spans="1:16" s="31" customFormat="1" ht="16.5" customHeight="1">
      <c r="A420" s="31" t="str">
        <f t="shared" si="15"/>
        <v>NI</v>
      </c>
      <c r="B420" s="1220">
        <v>62101102</v>
      </c>
      <c r="C420" s="1221" t="s">
        <v>254</v>
      </c>
      <c r="D420" s="1222">
        <v>11628508758</v>
      </c>
      <c r="E420" s="1223">
        <v>1484883.5</v>
      </c>
      <c r="F420" s="1058">
        <f>+VLOOKUP(B420,Composición!$C$5:$D$1768,1,0)</f>
        <v>62101102</v>
      </c>
      <c r="G420" s="1058"/>
      <c r="H420" s="1048">
        <f>+VLOOKUP(B420,Composición!$C$4:$H$1742,5,0)-D420</f>
        <v>-11628508758</v>
      </c>
      <c r="I420" s="1214">
        <f>+VLOOKUP(B420,Composición!$C$4:$H$1742,6,0)-E420</f>
        <v>-1484883.5</v>
      </c>
      <c r="J420" s="1054">
        <f t="shared" si="16"/>
        <v>-11629993641.5</v>
      </c>
      <c r="M420" s="1056"/>
      <c r="N420" s="1056"/>
      <c r="O420" s="1056"/>
      <c r="P420" s="1056"/>
    </row>
    <row r="421" spans="1:16" s="1353" customFormat="1" ht="16.5" customHeight="1">
      <c r="A421" s="1353" t="str">
        <f t="shared" si="15"/>
        <v>I</v>
      </c>
      <c r="B421" s="1354">
        <v>6210110201</v>
      </c>
      <c r="C421" s="1340" t="s">
        <v>255</v>
      </c>
      <c r="D421" s="1355">
        <v>11628508758</v>
      </c>
      <c r="E421" s="1356">
        <v>1484883.5</v>
      </c>
      <c r="F421" s="1357">
        <f>+VLOOKUP(B421,Composición!$C$5:$D$1768,1,0)</f>
        <v>6210110201</v>
      </c>
      <c r="G421" s="1357"/>
      <c r="H421" s="1353">
        <f>+VLOOKUP(B421,Composición!$C$4:$H$1742,5,0)</f>
        <v>15131873288</v>
      </c>
      <c r="I421" s="1353">
        <f>+VLOOKUP(B421,Composición!$C$4:$H$1742,6,0)</f>
        <v>2077520.9699999997</v>
      </c>
      <c r="J421" s="1360">
        <f t="shared" si="16"/>
        <v>-11626431237.030001</v>
      </c>
      <c r="M421" s="1359"/>
      <c r="N421" s="1359"/>
      <c r="O421" s="1359"/>
      <c r="P421" s="1359"/>
    </row>
    <row r="422" spans="1:16" s="31" customFormat="1" ht="16.5" customHeight="1">
      <c r="A422" s="31" t="str">
        <f t="shared" si="15"/>
        <v>NI</v>
      </c>
      <c r="B422" s="1220">
        <v>62101103</v>
      </c>
      <c r="C422" s="1221" t="s">
        <v>256</v>
      </c>
      <c r="D422" s="1222">
        <v>10233550094</v>
      </c>
      <c r="E422" s="1223">
        <v>1306756.52</v>
      </c>
      <c r="F422" s="1058">
        <f>+VLOOKUP(B422,Composición!$C$5:$D$1768,1,0)</f>
        <v>62101103</v>
      </c>
      <c r="G422" s="1058"/>
      <c r="H422" s="1048">
        <f>+VLOOKUP(B422,Composición!$C$4:$H$1742,5,0)-D422</f>
        <v>-10233550094</v>
      </c>
      <c r="I422" s="1214">
        <f>+VLOOKUP(B422,Composición!$C$4:$H$1742,6,0)-E422</f>
        <v>-1306756.52</v>
      </c>
      <c r="J422" s="827">
        <f t="shared" si="16"/>
        <v>-10234856850.52</v>
      </c>
      <c r="M422" s="1056"/>
      <c r="N422" s="1056"/>
      <c r="O422" s="1056"/>
      <c r="P422" s="1056"/>
    </row>
    <row r="423" spans="1:16" s="14" customFormat="1" ht="16.5" customHeight="1">
      <c r="A423" s="14" t="str">
        <f t="shared" si="15"/>
        <v>I</v>
      </c>
      <c r="B423" s="1203">
        <v>6210110301</v>
      </c>
      <c r="C423" t="s">
        <v>257</v>
      </c>
      <c r="D423" s="1308">
        <v>10233550094</v>
      </c>
      <c r="E423" s="1309">
        <v>1306756.52</v>
      </c>
      <c r="F423" s="818">
        <f>+VLOOKUP(B423,Composición!$C$5:$D$1768,1,0)</f>
        <v>6210110301</v>
      </c>
      <c r="G423" s="818"/>
      <c r="H423" s="14">
        <f>+VLOOKUP(B423,Composición!$C$4:$H$1742,5,0)</f>
        <v>53744915</v>
      </c>
      <c r="I423" s="14">
        <f>+VLOOKUP(B423,Composición!$C$4:$H$1742,6,0)</f>
        <v>7378.8699999999944</v>
      </c>
      <c r="J423" s="830">
        <f t="shared" si="16"/>
        <v>-10233542715.129999</v>
      </c>
      <c r="M423" s="1056"/>
      <c r="N423" s="1056"/>
      <c r="O423" s="1056"/>
      <c r="P423" s="1056"/>
    </row>
    <row r="424" spans="1:16" s="31" customFormat="1" ht="16.5" customHeight="1">
      <c r="A424" s="31" t="str">
        <f t="shared" si="15"/>
        <v>NI</v>
      </c>
      <c r="B424" s="1220">
        <v>62101104</v>
      </c>
      <c r="C424" s="1221" t="s">
        <v>258</v>
      </c>
      <c r="D424" s="1222">
        <v>49234276995</v>
      </c>
      <c r="E424" s="1223">
        <v>6286890.8699999992</v>
      </c>
      <c r="F424" s="1058">
        <f>+VLOOKUP(B424,Composición!$C$5:$D$1768,1,0)</f>
        <v>62101104</v>
      </c>
      <c r="G424" s="1058"/>
      <c r="H424" s="1048">
        <f>+VLOOKUP(B424,Composición!$C$4:$H$1742,5,0)-D424</f>
        <v>-49234276995</v>
      </c>
      <c r="I424" s="1214">
        <f>+VLOOKUP(B424,Composición!$C$4:$H$1742,6,0)-E424</f>
        <v>-6286890.8699999992</v>
      </c>
      <c r="J424" s="827">
        <f t="shared" si="16"/>
        <v>-49240563885.870003</v>
      </c>
      <c r="M424" s="1056"/>
      <c r="N424" s="1056"/>
      <c r="O424" s="1056"/>
      <c r="P424" s="1056"/>
    </row>
    <row r="425" spans="1:16" s="14" customFormat="1" ht="16.5" customHeight="1">
      <c r="A425" s="14" t="str">
        <f t="shared" si="15"/>
        <v>I</v>
      </c>
      <c r="B425" s="1203">
        <v>6210110401</v>
      </c>
      <c r="C425" t="s">
        <v>259</v>
      </c>
      <c r="D425" s="1308">
        <v>49234276995</v>
      </c>
      <c r="E425" s="1309">
        <v>6286890.8699999992</v>
      </c>
      <c r="F425" s="818">
        <f>+VLOOKUP(B425,Composición!$C$5:$D$1768,1,0)</f>
        <v>6210110401</v>
      </c>
      <c r="G425" s="818"/>
      <c r="H425" s="1049">
        <f>+VLOOKUP(B425,Composición!$C$4:$H$1742,5,0)-D425</f>
        <v>-5716626163</v>
      </c>
      <c r="I425" s="1311">
        <f>+VLOOKUP(B425,Composición!$C$4:$H$1742,6,0)-E425</f>
        <v>-312162.53199999873</v>
      </c>
      <c r="J425" s="830">
        <f t="shared" si="16"/>
        <v>-49234589157.531998</v>
      </c>
      <c r="M425" s="1056"/>
      <c r="N425" s="1056"/>
      <c r="O425" s="1056"/>
      <c r="P425" s="1056"/>
    </row>
    <row r="426" spans="1:16" s="31" customFormat="1" ht="16.5" customHeight="1">
      <c r="A426" s="31" t="str">
        <f t="shared" si="15"/>
        <v>NI</v>
      </c>
      <c r="B426" s="1220">
        <v>62101105</v>
      </c>
      <c r="C426" s="1221" t="s">
        <v>59</v>
      </c>
      <c r="D426" s="1222">
        <v>287138452515</v>
      </c>
      <c r="E426" s="1223">
        <v>36572151.780000001</v>
      </c>
      <c r="F426" s="1058">
        <f>+VLOOKUP(B426,Composición!$C$5:$D$1768,1,0)</f>
        <v>62101105</v>
      </c>
      <c r="G426" s="1058"/>
      <c r="H426" s="31">
        <f>+VLOOKUP(B426,Composición!$C$4:$H$1742,5,0)</f>
        <v>0</v>
      </c>
      <c r="I426" s="31">
        <f>+VLOOKUP(B426,Composición!$C$4:$H$1742,6,0)</f>
        <v>0</v>
      </c>
      <c r="J426" s="827">
        <f t="shared" si="16"/>
        <v>-287138452515</v>
      </c>
      <c r="M426" s="1056"/>
      <c r="N426" s="1056"/>
      <c r="O426" s="1056"/>
      <c r="P426" s="1056"/>
    </row>
    <row r="427" spans="1:16" s="14" customFormat="1" ht="16.5" customHeight="1">
      <c r="A427" s="14" t="str">
        <f t="shared" ref="A427:A451" si="17">IF(LEN(B427)&gt;8,"I","NI")</f>
        <v>I</v>
      </c>
      <c r="B427" s="1203">
        <v>6210110501</v>
      </c>
      <c r="C427" t="s">
        <v>260</v>
      </c>
      <c r="D427" s="1308">
        <v>253761500000</v>
      </c>
      <c r="E427" s="1309">
        <v>32403661.739999998</v>
      </c>
      <c r="F427" s="818">
        <f>+VLOOKUP(B427,Composición!$C$5:$D$1768,1,0)</f>
        <v>6210110501</v>
      </c>
      <c r="G427" s="818"/>
      <c r="H427" s="1049">
        <f>+VLOOKUP(B427,Composición!$C$4:$H$1742,5,0)-D427</f>
        <v>-159921500000</v>
      </c>
      <c r="I427" s="1311">
        <f>+VLOOKUP(B427,Composición!$C$4:$H$1742,6,0)-E427</f>
        <v>-19519958.309999999</v>
      </c>
      <c r="J427" s="1053">
        <f t="shared" ref="J427:J451" si="18">+I427-D427</f>
        <v>-253781019958.31</v>
      </c>
      <c r="M427" s="1056"/>
      <c r="N427" s="1056"/>
      <c r="O427" s="1056"/>
      <c r="P427" s="1056"/>
    </row>
    <row r="428" spans="1:16" s="14" customFormat="1" ht="16.5" customHeight="1">
      <c r="A428" s="14" t="str">
        <f t="shared" si="17"/>
        <v>I</v>
      </c>
      <c r="B428" s="1203">
        <v>6210110502</v>
      </c>
      <c r="C428" t="s">
        <v>261</v>
      </c>
      <c r="D428" s="1308">
        <v>33376952515</v>
      </c>
      <c r="E428" s="1309">
        <v>4168490.0399999996</v>
      </c>
      <c r="F428" s="818">
        <f>+VLOOKUP(B428,Composición!$C$5:$D$1768,1,0)</f>
        <v>6210110502</v>
      </c>
      <c r="G428" s="818"/>
      <c r="H428" s="1049">
        <f>+VLOOKUP(B428,Composición!$C$4:$H$1742,5,0)-D428</f>
        <v>-19933121269</v>
      </c>
      <c r="I428" s="1311">
        <f>+VLOOKUP(B428,Composición!$C$4:$H$1742,6,0)-E428</f>
        <v>-2322727.7399999993</v>
      </c>
      <c r="J428" s="1053">
        <f t="shared" si="18"/>
        <v>-33379275242.740002</v>
      </c>
      <c r="M428" s="1056"/>
      <c r="N428" s="1056"/>
      <c r="O428" s="1056"/>
      <c r="P428" s="1056"/>
    </row>
    <row r="429" spans="1:16" s="31" customFormat="1" ht="16.5" customHeight="1">
      <c r="A429" s="31" t="str">
        <f t="shared" si="17"/>
        <v>NI</v>
      </c>
      <c r="B429" s="1220">
        <v>62101106</v>
      </c>
      <c r="C429" s="1221" t="s">
        <v>60</v>
      </c>
      <c r="D429" s="1222">
        <v>311632589803</v>
      </c>
      <c r="E429" s="1223">
        <v>39793416.359999985</v>
      </c>
      <c r="F429" s="1058">
        <f>+VLOOKUP(B429,Composición!$C$5:$D$1768,1,0)</f>
        <v>62101106</v>
      </c>
      <c r="G429" s="1058"/>
      <c r="H429" s="31">
        <f>+VLOOKUP(B429,Composición!$C$4:$H$1742,5,0)</f>
        <v>0</v>
      </c>
      <c r="I429" s="31">
        <f>+VLOOKUP(B429,Composición!$C$4:$H$1742,6,0)</f>
        <v>0</v>
      </c>
      <c r="J429" s="1054">
        <f t="shared" si="18"/>
        <v>-311632589803</v>
      </c>
      <c r="M429" s="1056"/>
      <c r="N429" s="1056"/>
      <c r="O429" s="1056"/>
      <c r="P429" s="1056"/>
    </row>
    <row r="430" spans="1:16" s="14" customFormat="1" ht="16.5" customHeight="1">
      <c r="A430" s="14" t="str">
        <f t="shared" si="17"/>
        <v>I</v>
      </c>
      <c r="B430" s="1203">
        <v>6210110601</v>
      </c>
      <c r="C430" t="s">
        <v>262</v>
      </c>
      <c r="D430" s="1308">
        <v>275621195700</v>
      </c>
      <c r="E430" s="1309">
        <v>35195000</v>
      </c>
      <c r="F430" s="818">
        <f>+VLOOKUP(B430,Composición!$C$5:$D$1768,1,0)</f>
        <v>6210110601</v>
      </c>
      <c r="G430" s="818"/>
      <c r="H430" s="1049">
        <f>+VLOOKUP(B430,Composición!$C$4:$H$1742,5,0)-D430</f>
        <v>-231934042940</v>
      </c>
      <c r="I430" s="1311">
        <f>+VLOOKUP(B430,Composición!$C$4:$H$1742,6,0)-E430</f>
        <v>-29197000</v>
      </c>
      <c r="J430" s="1053">
        <f t="shared" si="18"/>
        <v>-275650392700</v>
      </c>
      <c r="M430" s="1056"/>
      <c r="N430" s="1056"/>
      <c r="O430" s="1056"/>
      <c r="P430" s="1056"/>
    </row>
    <row r="431" spans="1:16" s="14" customFormat="1" ht="16.5" customHeight="1">
      <c r="A431" s="14" t="str">
        <f t="shared" si="17"/>
        <v>I</v>
      </c>
      <c r="B431" s="1203">
        <v>6210110602</v>
      </c>
      <c r="C431" t="s">
        <v>263</v>
      </c>
      <c r="D431" s="1308">
        <v>36011394103</v>
      </c>
      <c r="E431" s="1309">
        <v>4598416.3600000003</v>
      </c>
      <c r="F431" s="818">
        <f>+VLOOKUP(B431,Composición!$C$5:$D$1768,1,0)</f>
        <v>6210110602</v>
      </c>
      <c r="G431" s="818"/>
      <c r="H431" s="14">
        <f>+VLOOKUP(B431,Composición!$C$4:$H$1742,5,0)</f>
        <v>4088833437</v>
      </c>
      <c r="I431" s="14">
        <f>+VLOOKUP(B431,Composición!$C$4:$H$1742,6,0)</f>
        <v>561373.79999999993</v>
      </c>
      <c r="J431" s="1053">
        <f t="shared" si="18"/>
        <v>-36010832729.199997</v>
      </c>
      <c r="M431" s="1056"/>
      <c r="N431" s="1056"/>
      <c r="O431" s="1056"/>
      <c r="P431" s="1056"/>
    </row>
    <row r="432" spans="1:16" s="31" customFormat="1" ht="16.5" customHeight="1">
      <c r="A432" s="31" t="str">
        <f t="shared" si="17"/>
        <v>NI</v>
      </c>
      <c r="B432" s="1220">
        <v>62101107</v>
      </c>
      <c r="C432" s="1221" t="s">
        <v>63</v>
      </c>
      <c r="D432" s="1222">
        <v>211689537014</v>
      </c>
      <c r="E432" s="1223">
        <v>27124876.490000002</v>
      </c>
      <c r="F432" s="1058">
        <f>+VLOOKUP(B432,Composición!$C$5:$D$1768,1,0)</f>
        <v>62101107</v>
      </c>
      <c r="G432" s="1058"/>
      <c r="H432" s="1048">
        <f>+VLOOKUP(B432,Composición!$C$4:$H$1742,5,0)-D432</f>
        <v>-211689537014</v>
      </c>
      <c r="I432" s="1214">
        <f>+VLOOKUP(B432,Composición!$C$4:$H$1742,6,0)-E432</f>
        <v>-27124876.490000002</v>
      </c>
      <c r="J432" s="827">
        <f t="shared" si="18"/>
        <v>-211716661890.48999</v>
      </c>
      <c r="M432" s="1056"/>
      <c r="N432" s="1056"/>
      <c r="O432" s="1056"/>
      <c r="P432" s="1056"/>
    </row>
    <row r="433" spans="1:16" s="14" customFormat="1" ht="16.5" customHeight="1">
      <c r="A433" s="14" t="str">
        <f t="shared" si="17"/>
        <v>I</v>
      </c>
      <c r="B433" s="1203">
        <v>6210110701</v>
      </c>
      <c r="C433" t="s">
        <v>264</v>
      </c>
      <c r="D433" s="1308">
        <v>211689537014</v>
      </c>
      <c r="E433" s="1309">
        <v>27124876.490000002</v>
      </c>
      <c r="F433" s="818">
        <f>+VLOOKUP(B433,Composición!$C$5:$D$1768,1,0)</f>
        <v>6210110701</v>
      </c>
      <c r="G433" s="818"/>
      <c r="H433" s="14">
        <f>+VLOOKUP(B433,Composición!$C$4:$H$1742,5,0)</f>
        <v>114842946000</v>
      </c>
      <c r="I433" s="14">
        <f>+VLOOKUP(B433,Composición!$C$4:$H$1742,6,0)</f>
        <v>15767289.619999999</v>
      </c>
      <c r="J433" s="830">
        <f t="shared" si="18"/>
        <v>-211673769724.38</v>
      </c>
      <c r="M433" s="1056"/>
      <c r="N433" s="1056"/>
      <c r="O433" s="1056"/>
      <c r="P433" s="1056"/>
    </row>
    <row r="434" spans="1:16" s="31" customFormat="1" ht="16.5" customHeight="1">
      <c r="A434" s="31" t="str">
        <f t="shared" si="17"/>
        <v>NI</v>
      </c>
      <c r="B434" s="1220">
        <v>62101108</v>
      </c>
      <c r="C434" s="1221" t="s">
        <v>64</v>
      </c>
      <c r="D434" s="1222">
        <v>122171654250</v>
      </c>
      <c r="E434" s="1223">
        <v>15600510.550000001</v>
      </c>
      <c r="F434" s="1058">
        <f>+VLOOKUP(B434,Composición!$C$5:$D$1768,1,0)</f>
        <v>62101108</v>
      </c>
      <c r="G434" s="1058"/>
      <c r="H434" s="1048">
        <f>+VLOOKUP(B434,Composición!$C$4:$H$1742,5,0)-D434</f>
        <v>-122171654250</v>
      </c>
      <c r="I434" s="1214">
        <f>+VLOOKUP(B434,Composición!$C$4:$H$1742,6,0)-E434</f>
        <v>-15600510.550000001</v>
      </c>
      <c r="J434" s="827">
        <f t="shared" si="18"/>
        <v>-122187254760.55</v>
      </c>
      <c r="M434" s="1056"/>
      <c r="N434" s="1056"/>
      <c r="O434" s="1056"/>
      <c r="P434" s="1056"/>
    </row>
    <row r="435" spans="1:16" s="14" customFormat="1" ht="16.5" customHeight="1">
      <c r="A435" s="14" t="str">
        <f t="shared" si="17"/>
        <v>I</v>
      </c>
      <c r="B435" s="1203">
        <v>6210110801</v>
      </c>
      <c r="C435" t="s">
        <v>265</v>
      </c>
      <c r="D435" s="1308">
        <v>122171654250</v>
      </c>
      <c r="E435" s="1309">
        <v>15600510.550000001</v>
      </c>
      <c r="F435" s="818">
        <f>+VLOOKUP(B435,Composición!$C$5:$D$1768,1,0)</f>
        <v>6210110801</v>
      </c>
      <c r="G435" s="818"/>
      <c r="H435" s="14">
        <f>+VLOOKUP(B435,Composición!$C$4:$H$1742,5,0)</f>
        <v>69154292725</v>
      </c>
      <c r="I435" s="14">
        <f>+VLOOKUP(B435,Composición!$C$4:$H$1742,6,0)</f>
        <v>9494494.870000001</v>
      </c>
      <c r="J435" s="1053">
        <f t="shared" si="18"/>
        <v>-122162159755.13</v>
      </c>
      <c r="M435" s="1056"/>
      <c r="N435" s="1056"/>
      <c r="O435" s="1056"/>
      <c r="P435" s="1056"/>
    </row>
    <row r="436" spans="1:16" s="31" customFormat="1" ht="16.5" customHeight="1">
      <c r="A436" s="31" t="str">
        <f t="shared" si="17"/>
        <v>NI</v>
      </c>
      <c r="B436" s="1220">
        <v>62101113</v>
      </c>
      <c r="C436" s="1221" t="s">
        <v>267</v>
      </c>
      <c r="D436" s="1222">
        <v>663114760092.99988</v>
      </c>
      <c r="E436" s="1223">
        <v>84675360.040000007</v>
      </c>
      <c r="F436" s="1058">
        <f>+VLOOKUP(B436,Composición!$C$5:$D$1768,1,0)</f>
        <v>62101113</v>
      </c>
      <c r="G436" s="1058"/>
      <c r="H436" s="1048">
        <f>+VLOOKUP(B436,Composición!$C$4:$H$1742,5,0)-D436</f>
        <v>-663114760092.99988</v>
      </c>
      <c r="I436" s="1214">
        <f>+VLOOKUP(B436,Composición!$C$4:$H$1742,6,0)-E436</f>
        <v>-84675360.040000007</v>
      </c>
      <c r="J436" s="827">
        <f t="shared" si="18"/>
        <v>-663199435453.03992</v>
      </c>
      <c r="M436" s="1056"/>
      <c r="N436" s="1056"/>
      <c r="O436" s="1056"/>
      <c r="P436" s="1056"/>
    </row>
    <row r="437" spans="1:16" s="1353" customFormat="1" ht="16.5" customHeight="1">
      <c r="A437" s="1353" t="str">
        <f t="shared" si="17"/>
        <v>I</v>
      </c>
      <c r="B437" s="1354">
        <v>6210111301</v>
      </c>
      <c r="C437" s="1340" t="s">
        <v>268</v>
      </c>
      <c r="D437" s="1355">
        <v>663114760092.99988</v>
      </c>
      <c r="E437" s="1356">
        <v>84675360.040000007</v>
      </c>
      <c r="F437" s="1357">
        <f>+VLOOKUP(B437,Composición!$C$5:$D$1768,1,0)</f>
        <v>6210111301</v>
      </c>
      <c r="G437" s="1357"/>
      <c r="H437" s="1353">
        <f>+VLOOKUP(B437,Composición!$C$4:$H$1742,5,0)</f>
        <v>767167686046</v>
      </c>
      <c r="I437" s="1353">
        <f>+VLOOKUP(B437,Composición!$C$4:$H$1742,6,0)</f>
        <v>105327802.11999999</v>
      </c>
      <c r="J437" s="1358">
        <f t="shared" si="18"/>
        <v>-663009432290.87988</v>
      </c>
      <c r="M437" s="1359"/>
      <c r="N437" s="1359"/>
      <c r="O437" s="1359"/>
      <c r="P437" s="1359"/>
    </row>
    <row r="438" spans="1:16" s="31" customFormat="1" ht="16.5" customHeight="1">
      <c r="A438" s="31" t="str">
        <f t="shared" si="17"/>
        <v>NI</v>
      </c>
      <c r="B438" s="1220">
        <v>62101114</v>
      </c>
      <c r="C438" s="1221" t="s">
        <v>269</v>
      </c>
      <c r="D438" s="1222">
        <v>266789275387</v>
      </c>
      <c r="E438" s="1223">
        <v>34067222.309999995</v>
      </c>
      <c r="F438" s="1058">
        <f>+VLOOKUP(B438,Composición!$C$5:$D$1768,1,0)</f>
        <v>62101114</v>
      </c>
      <c r="G438" s="1058"/>
      <c r="H438" s="1048">
        <f>+VLOOKUP(B438,Composición!$C$4:$H$1742,5,0)-D438</f>
        <v>-266789275387</v>
      </c>
      <c r="I438" s="1214">
        <f>+VLOOKUP(B438,Composición!$C$4:$H$1742,6,0)-E438</f>
        <v>-34067222.309999995</v>
      </c>
      <c r="J438" s="827">
        <f t="shared" si="18"/>
        <v>-266823342609.31</v>
      </c>
      <c r="M438" s="1056"/>
      <c r="N438" s="1056"/>
      <c r="O438" s="1056"/>
      <c r="P438" s="1056"/>
    </row>
    <row r="439" spans="1:16" s="1353" customFormat="1" ht="16.5" customHeight="1">
      <c r="A439" s="1353" t="str">
        <f t="shared" si="17"/>
        <v>I</v>
      </c>
      <c r="B439" s="1354">
        <v>6210111401</v>
      </c>
      <c r="C439" s="1340" t="s">
        <v>270</v>
      </c>
      <c r="D439" s="1355">
        <v>266789275387</v>
      </c>
      <c r="E439" s="1356">
        <v>34067222.309999995</v>
      </c>
      <c r="F439" s="1357">
        <f>+VLOOKUP(B439,Composición!$C$5:$D$1768,1,0)</f>
        <v>6210111401</v>
      </c>
      <c r="G439" s="1357"/>
      <c r="H439" s="1353">
        <f>+VLOOKUP(B439,Composición!$C$4:$H$1742,5,0)</f>
        <v>138433955852</v>
      </c>
      <c r="I439" s="1353">
        <f>+VLOOKUP(B439,Composición!$C$4:$H$1742,6,0)</f>
        <v>19006202.386</v>
      </c>
      <c r="J439" s="1358">
        <f t="shared" si="18"/>
        <v>-266770269184.61401</v>
      </c>
      <c r="M439" s="1359"/>
      <c r="N439" s="1359"/>
      <c r="O439" s="1359"/>
      <c r="P439" s="1359"/>
    </row>
    <row r="440" spans="1:16" s="31" customFormat="1" ht="16.5" customHeight="1">
      <c r="A440" s="31" t="str">
        <f t="shared" si="17"/>
        <v>NI</v>
      </c>
      <c r="B440" s="1220">
        <v>62101117</v>
      </c>
      <c r="C440" s="1221" t="s">
        <v>271</v>
      </c>
      <c r="D440" s="1222">
        <v>1998260828</v>
      </c>
      <c r="E440" s="1223">
        <v>255164.65999999997</v>
      </c>
      <c r="F440" s="1058">
        <f>+VLOOKUP(B440,Composición!$C$5:$D$1768,1,0)</f>
        <v>62101117</v>
      </c>
      <c r="G440" s="1058"/>
      <c r="H440" s="1048">
        <f>+VLOOKUP(B440,Composición!$C$4:$H$1742,5,0)-D440</f>
        <v>-1998260828</v>
      </c>
      <c r="I440" s="1214">
        <f>+VLOOKUP(B440,Composición!$C$4:$H$1742,6,0)-E440</f>
        <v>-255164.65999999997</v>
      </c>
      <c r="J440" s="1054">
        <f t="shared" si="18"/>
        <v>-1998515992.6600001</v>
      </c>
      <c r="M440" s="1056"/>
      <c r="N440" s="1056"/>
      <c r="O440" s="1056"/>
      <c r="P440" s="1056"/>
    </row>
    <row r="441" spans="1:16" s="14" customFormat="1" ht="16.5" customHeight="1">
      <c r="A441" s="14" t="str">
        <f t="shared" si="17"/>
        <v>I</v>
      </c>
      <c r="B441" s="1203">
        <v>6210111701</v>
      </c>
      <c r="C441" t="s">
        <v>272</v>
      </c>
      <c r="D441" s="1308">
        <v>1700000000</v>
      </c>
      <c r="E441" s="1309">
        <v>217078.73</v>
      </c>
      <c r="F441" s="818">
        <f>+VLOOKUP(B441,Composición!$C$5:$D$1768,1,0)</f>
        <v>6210111701</v>
      </c>
      <c r="G441" s="818"/>
      <c r="H441" s="14">
        <f>+VLOOKUP(B441,Composición!$C$4:$H$1742,5,0)</f>
        <v>950000000</v>
      </c>
      <c r="I441" s="14">
        <f>+VLOOKUP(B441,Composición!$C$4:$H$1742,6,0)</f>
        <v>130429.65000000001</v>
      </c>
      <c r="J441" s="1053">
        <f t="shared" si="18"/>
        <v>-1699869570.3499999</v>
      </c>
      <c r="M441" s="1056"/>
      <c r="N441" s="1056"/>
      <c r="O441" s="1056"/>
      <c r="P441" s="1056"/>
    </row>
    <row r="442" spans="1:16" s="14" customFormat="1" ht="16.5" customHeight="1">
      <c r="A442" s="14" t="str">
        <f t="shared" si="17"/>
        <v>I</v>
      </c>
      <c r="B442" s="1203">
        <v>6210111702</v>
      </c>
      <c r="C442" t="s">
        <v>273</v>
      </c>
      <c r="D442" s="1308">
        <v>298260828</v>
      </c>
      <c r="E442" s="1309">
        <v>38085.93</v>
      </c>
      <c r="F442" s="818">
        <f>+VLOOKUP(B442,Composición!$C$5:$D$1768,1,0)</f>
        <v>6210111702</v>
      </c>
      <c r="G442" s="818"/>
      <c r="H442" s="1049">
        <f>+VLOOKUP(B442,Composición!$C$4:$H$1742,5,0)-D442</f>
        <v>-1525160</v>
      </c>
      <c r="I442" s="1311">
        <f>+VLOOKUP(B442,Composición!$C$4:$H$1742,6,0)-E442</f>
        <v>2654.2099999999991</v>
      </c>
      <c r="J442" s="830">
        <f t="shared" si="18"/>
        <v>-298258173.79000002</v>
      </c>
      <c r="M442" s="1056"/>
      <c r="N442" s="1056"/>
      <c r="O442" s="1056"/>
      <c r="P442" s="1056"/>
    </row>
    <row r="443" spans="1:16" s="31" customFormat="1" ht="16.5" customHeight="1">
      <c r="A443" s="31" t="str">
        <f t="shared" si="17"/>
        <v>NI</v>
      </c>
      <c r="B443" s="1220">
        <v>62101118</v>
      </c>
      <c r="C443" s="1221" t="s">
        <v>274</v>
      </c>
      <c r="D443" s="1222">
        <v>52323111774</v>
      </c>
      <c r="E443" s="1223">
        <v>6681314.5999999996</v>
      </c>
      <c r="F443" s="1058">
        <f>+VLOOKUP(B443,Composición!$C$5:$D$1768,1,0)</f>
        <v>62101118</v>
      </c>
      <c r="G443" s="1058"/>
      <c r="H443" s="31">
        <f>+VLOOKUP(B443,Composición!$C$4:$H$1742,5,0)</f>
        <v>0</v>
      </c>
      <c r="I443" s="31">
        <f>+VLOOKUP(B443,Composición!$C$4:$H$1742,6,0)</f>
        <v>0</v>
      </c>
      <c r="J443" s="827">
        <f t="shared" si="18"/>
        <v>-52323111774</v>
      </c>
      <c r="M443" s="1056"/>
      <c r="N443" s="1056"/>
      <c r="O443" s="1056"/>
      <c r="P443" s="1056"/>
    </row>
    <row r="444" spans="1:16" s="14" customFormat="1" ht="16.5" customHeight="1">
      <c r="A444" s="14" t="str">
        <f t="shared" si="17"/>
        <v>I</v>
      </c>
      <c r="B444" s="1203">
        <v>6210111801</v>
      </c>
      <c r="C444" t="s">
        <v>275</v>
      </c>
      <c r="D444" s="1308">
        <v>51647159700</v>
      </c>
      <c r="E444" s="1309">
        <v>6595000</v>
      </c>
      <c r="F444" s="818">
        <f>+VLOOKUP(B444,Composición!$C$5:$D$1768,1,0)</f>
        <v>6210111801</v>
      </c>
      <c r="G444" s="818"/>
      <c r="H444" s="1049">
        <f>+VLOOKUP(B444,Composición!$C$4:$H$1742,5,0)-D444</f>
        <v>-10909720084</v>
      </c>
      <c r="I444" s="1311">
        <f>+VLOOKUP(B444,Composición!$C$4:$H$1742,6,0)-E444</f>
        <v>-1001979</v>
      </c>
      <c r="J444" s="830">
        <f t="shared" si="18"/>
        <v>-51648161679</v>
      </c>
      <c r="M444" s="1056"/>
      <c r="N444" s="1056"/>
      <c r="O444" s="1056"/>
      <c r="P444" s="1056"/>
    </row>
    <row r="445" spans="1:16" s="14" customFormat="1" ht="16.5" customHeight="1">
      <c r="A445" s="14" t="str">
        <f t="shared" si="17"/>
        <v>I</v>
      </c>
      <c r="B445" s="1203">
        <v>6210111802</v>
      </c>
      <c r="C445" t="s">
        <v>276</v>
      </c>
      <c r="D445" s="1308">
        <v>675952074</v>
      </c>
      <c r="E445" s="1309">
        <v>86314.60000000002</v>
      </c>
      <c r="F445" s="818">
        <f>+VLOOKUP(B445,Composición!$C$5:$D$1768,1,0)</f>
        <v>6210111802</v>
      </c>
      <c r="G445" s="818"/>
      <c r="H445" s="1049">
        <f>+VLOOKUP(B445,Composición!$C$4:$H$1742,5,0)-D445</f>
        <v>-396030102</v>
      </c>
      <c r="I445" s="1311">
        <f>+VLOOKUP(B445,Composición!$C$4:$H$1742,6,0)-E445</f>
        <v>-47882.890000000029</v>
      </c>
      <c r="J445" s="830">
        <f t="shared" si="18"/>
        <v>-675999956.88999999</v>
      </c>
      <c r="M445" s="1056"/>
      <c r="N445" s="1056"/>
      <c r="O445" s="1056"/>
      <c r="P445" s="1056"/>
    </row>
    <row r="446" spans="1:16" s="31" customFormat="1" ht="16.5" customHeight="1">
      <c r="A446" s="31" t="str">
        <f t="shared" si="17"/>
        <v>NI</v>
      </c>
      <c r="B446" s="1220">
        <v>62101128</v>
      </c>
      <c r="C446" s="1221" t="s">
        <v>2963</v>
      </c>
      <c r="D446" s="1222">
        <v>9593293500</v>
      </c>
      <c r="E446" s="1223">
        <v>1225000</v>
      </c>
      <c r="F446" s="1058">
        <f>+VLOOKUP(B446,Composición!$C$5:$D$1768,1,0)</f>
        <v>62101128</v>
      </c>
      <c r="G446" s="1058"/>
      <c r="H446" s="31">
        <f>+VLOOKUP(B446,Composición!$C$4:$H$1742,5,0)</f>
        <v>0</v>
      </c>
      <c r="I446" s="31">
        <f>+VLOOKUP(B446,Composición!$C$4:$H$1742,6,0)</f>
        <v>0</v>
      </c>
      <c r="J446" s="827">
        <f t="shared" si="18"/>
        <v>-9593293500</v>
      </c>
      <c r="M446" s="1056"/>
      <c r="N446" s="1056"/>
      <c r="O446" s="1056"/>
      <c r="P446" s="1056"/>
    </row>
    <row r="447" spans="1:16" s="14" customFormat="1" ht="16.5" customHeight="1">
      <c r="A447" s="14" t="str">
        <f t="shared" si="17"/>
        <v>I</v>
      </c>
      <c r="B447" s="1203">
        <v>6210112801</v>
      </c>
      <c r="C447" t="s">
        <v>2964</v>
      </c>
      <c r="D447" s="1308">
        <v>9593293500</v>
      </c>
      <c r="E447" s="1309">
        <v>1225000</v>
      </c>
      <c r="F447" s="818">
        <f>+VLOOKUP(B447,Composición!$C$5:$D$1768,1,0)</f>
        <v>6210112801</v>
      </c>
      <c r="G447" s="818"/>
      <c r="H447" s="1049">
        <f>+VLOOKUP(B447,Composición!$C$4:$H$1742,5,0)-D447</f>
        <v>-9593293500</v>
      </c>
      <c r="I447" s="1311">
        <f>+VLOOKUP(B447,Composición!$C$4:$H$1742,6,0)-E447</f>
        <v>-1225000</v>
      </c>
      <c r="J447" s="1053">
        <f t="shared" si="18"/>
        <v>-9594518500</v>
      </c>
      <c r="M447" s="1056"/>
      <c r="N447" s="1056"/>
      <c r="O447" s="1056"/>
      <c r="P447" s="1056"/>
    </row>
    <row r="448" spans="1:16" s="31" customFormat="1" ht="16.5" customHeight="1">
      <c r="A448" s="31" t="str">
        <f t="shared" si="17"/>
        <v>NI</v>
      </c>
      <c r="B448" s="1220">
        <v>62101129</v>
      </c>
      <c r="C448" s="1221" t="s">
        <v>277</v>
      </c>
      <c r="D448" s="1222">
        <v>39926462861</v>
      </c>
      <c r="E448" s="1223">
        <v>5098344.6899999995</v>
      </c>
      <c r="F448" s="1058">
        <f>+VLOOKUP(B448,Composición!$C$5:$D$1768,1,0)</f>
        <v>62101129</v>
      </c>
      <c r="G448" s="1058"/>
      <c r="H448" s="1048">
        <f>+VLOOKUP(B448,Composición!$C$4:$H$1742,5,0)-D448</f>
        <v>-39926462861</v>
      </c>
      <c r="I448" s="1214">
        <f>+VLOOKUP(B448,Composición!$C$4:$H$1742,6,0)-E448</f>
        <v>-5098344.6899999995</v>
      </c>
      <c r="J448" s="1054">
        <f t="shared" si="18"/>
        <v>-39931561205.690002</v>
      </c>
      <c r="M448" s="1056"/>
      <c r="N448" s="1056"/>
      <c r="O448" s="1056"/>
      <c r="P448" s="1056"/>
    </row>
    <row r="449" spans="1:16" s="14" customFormat="1" ht="16.5" customHeight="1">
      <c r="A449" s="14" t="str">
        <f t="shared" si="17"/>
        <v>I</v>
      </c>
      <c r="B449" s="1203">
        <v>6210112901</v>
      </c>
      <c r="C449" t="s">
        <v>278</v>
      </c>
      <c r="D449" s="1308">
        <v>39926462861</v>
      </c>
      <c r="E449" s="1309">
        <v>5098344.6899999995</v>
      </c>
      <c r="F449" s="818">
        <f>+VLOOKUP(B449,Composición!$C$5:$D$1768,1,0)</f>
        <v>6210112901</v>
      </c>
      <c r="G449" s="818"/>
      <c r="H449" s="14">
        <f>+VLOOKUP(B449,Composición!$C$4:$H$1742,5,0)</f>
        <v>26589769792</v>
      </c>
      <c r="I449" s="14">
        <f>+VLOOKUP(B449,Composición!$C$4:$H$1742,6,0)</f>
        <v>3650625.62</v>
      </c>
      <c r="J449" s="1053">
        <f t="shared" si="18"/>
        <v>-39922812235.379997</v>
      </c>
      <c r="M449" s="1056"/>
      <c r="N449" s="1056"/>
      <c r="O449" s="1056"/>
      <c r="P449" s="1056"/>
    </row>
    <row r="450" spans="1:16" s="31" customFormat="1" ht="16.5" customHeight="1">
      <c r="A450" s="31" t="str">
        <f t="shared" si="17"/>
        <v>NI</v>
      </c>
      <c r="B450" s="1220">
        <v>62101131</v>
      </c>
      <c r="C450" s="1221" t="s">
        <v>279</v>
      </c>
      <c r="D450" s="1222">
        <v>397367945989</v>
      </c>
      <c r="E450" s="1223">
        <v>50741253.129999995</v>
      </c>
      <c r="F450" s="1058">
        <f>+VLOOKUP(B450,Composición!$C$5:$D$1768,1,0)</f>
        <v>62101131</v>
      </c>
      <c r="G450" s="1058"/>
      <c r="H450" s="1048">
        <f>+VLOOKUP(B450,Composición!$C$4:$H$1742,5,0)-D450</f>
        <v>-397367945989</v>
      </c>
      <c r="I450" s="1214">
        <f>+VLOOKUP(B450,Composición!$C$4:$H$1742,6,0)-E450</f>
        <v>-50741253.129999995</v>
      </c>
      <c r="J450" s="1054">
        <f t="shared" si="18"/>
        <v>-397418687242.13</v>
      </c>
      <c r="M450" s="1056"/>
      <c r="N450" s="1056"/>
      <c r="O450" s="1056"/>
      <c r="P450" s="1056"/>
    </row>
    <row r="451" spans="1:16" s="14" customFormat="1" ht="16.5" customHeight="1">
      <c r="A451" s="14" t="str">
        <f t="shared" si="17"/>
        <v>I</v>
      </c>
      <c r="B451" s="1203">
        <v>6210113101</v>
      </c>
      <c r="C451" t="s">
        <v>280</v>
      </c>
      <c r="D451" s="1308">
        <v>397367945989</v>
      </c>
      <c r="E451" s="1309">
        <v>50741253.129999995</v>
      </c>
      <c r="F451" s="818">
        <f>+VLOOKUP(B451,Composición!$C$5:$D$1768,1,0)</f>
        <v>6210113101</v>
      </c>
      <c r="G451" s="818"/>
      <c r="H451" s="14">
        <f>+VLOOKUP(B451,Composición!$C$4:$H$1742,5,0)</f>
        <v>87792251744</v>
      </c>
      <c r="I451" s="14">
        <f>+VLOOKUP(B451,Composición!$C$4:$H$1742,6,0)</f>
        <v>12053381.66</v>
      </c>
      <c r="J451" s="1053">
        <f t="shared" si="18"/>
        <v>-397355892607.34003</v>
      </c>
      <c r="M451" s="1056"/>
      <c r="N451" s="1056"/>
      <c r="O451" s="1056"/>
      <c r="P451" s="1056"/>
    </row>
    <row r="452" spans="1:16" s="31" customFormat="1" ht="16.5" customHeight="1">
      <c r="A452" s="31" t="str">
        <f t="shared" si="15"/>
        <v>NI</v>
      </c>
      <c r="B452" s="1220">
        <v>62101133</v>
      </c>
      <c r="C452" s="1221" t="s">
        <v>132</v>
      </c>
      <c r="D452" s="1222">
        <v>800000000</v>
      </c>
      <c r="E452" s="1223">
        <v>102154.69999999995</v>
      </c>
      <c r="F452" s="1058">
        <f>+VLOOKUP(B452,Composición!$C$5:$D$1768,1,0)</f>
        <v>62101133</v>
      </c>
      <c r="G452" s="1058"/>
      <c r="H452" s="1048">
        <f>+VLOOKUP(B452,Composición!$C$4:$H$1742,5,0)-D452</f>
        <v>-800000000</v>
      </c>
      <c r="I452" s="1214">
        <f>+VLOOKUP(B452,Composición!$C$4:$H$1742,6,0)-E452</f>
        <v>-102154.69999999995</v>
      </c>
      <c r="J452" s="1054">
        <f t="shared" si="16"/>
        <v>-800102154.70000005</v>
      </c>
      <c r="M452" s="1056"/>
      <c r="N452" s="1056"/>
      <c r="O452" s="1056"/>
      <c r="P452" s="1056"/>
    </row>
    <row r="453" spans="1:16" s="14" customFormat="1" ht="16.5" customHeight="1">
      <c r="A453" s="14" t="str">
        <f t="shared" si="15"/>
        <v>I</v>
      </c>
      <c r="B453" s="1203">
        <v>6210113301</v>
      </c>
      <c r="C453" t="s">
        <v>2957</v>
      </c>
      <c r="D453" s="1308">
        <v>800000000</v>
      </c>
      <c r="E453" s="1309">
        <v>102154.69999999995</v>
      </c>
      <c r="F453" s="818">
        <f>+VLOOKUP(B453,Composición!$C$5:$D$1768,1,0)</f>
        <v>6210113301</v>
      </c>
      <c r="G453" s="818"/>
      <c r="H453" s="1049">
        <f>+VLOOKUP(B453,Composición!$C$4:$H$1742,5,0)-D453</f>
        <v>8700000000</v>
      </c>
      <c r="I453" s="1311">
        <f>+VLOOKUP(B453,Composición!$C$4:$H$1742,6,0)-E453</f>
        <v>1202141.7900000003</v>
      </c>
      <c r="J453" s="1053">
        <f t="shared" si="16"/>
        <v>-798797858.21000004</v>
      </c>
      <c r="M453" s="1056"/>
      <c r="N453" s="1056"/>
      <c r="O453" s="1056"/>
      <c r="P453" s="1056"/>
    </row>
    <row r="454" spans="1:16" s="31" customFormat="1" ht="16.5" customHeight="1">
      <c r="A454" s="31" t="str">
        <f t="shared" si="15"/>
        <v>NI</v>
      </c>
      <c r="B454" s="1220">
        <v>6210120</v>
      </c>
      <c r="C454" s="1221" t="s">
        <v>285</v>
      </c>
      <c r="D454" s="1222">
        <v>480330534381</v>
      </c>
      <c r="E454" s="1223">
        <v>61335025.829999998</v>
      </c>
      <c r="F454" s="1058">
        <f>+VLOOKUP(B454,Composición!$C$5:$D$1768,1,0)</f>
        <v>6210120</v>
      </c>
      <c r="G454" s="1058"/>
      <c r="H454" s="31" t="e">
        <f>+VLOOKUP(B454,Composición!$C$4:$H$1742,5,0)</f>
        <v>#N/A</v>
      </c>
      <c r="I454" s="31" t="e">
        <f>+VLOOKUP(B454,Composición!$C$4:$H$1742,6,0)</f>
        <v>#N/A</v>
      </c>
      <c r="J454" s="1054" t="e">
        <f t="shared" si="16"/>
        <v>#N/A</v>
      </c>
      <c r="M454" s="1056"/>
      <c r="N454" s="1056"/>
      <c r="O454" s="1056"/>
      <c r="P454" s="1056"/>
    </row>
    <row r="455" spans="1:16" s="31" customFormat="1" ht="16.5" customHeight="1">
      <c r="A455" s="31" t="str">
        <f t="shared" si="15"/>
        <v>NI</v>
      </c>
      <c r="B455" s="1220">
        <v>62101201</v>
      </c>
      <c r="C455" s="1221" t="s">
        <v>282</v>
      </c>
      <c r="D455" s="1222">
        <v>480330534381</v>
      </c>
      <c r="E455" s="1223">
        <v>61335025.829999998</v>
      </c>
      <c r="F455" s="1058">
        <f>+VLOOKUP(B455,Composición!$C$5:$D$1768,1,0)</f>
        <v>62101201</v>
      </c>
      <c r="G455" s="1058"/>
      <c r="H455" s="1048" t="e">
        <f>+VLOOKUP(B455,Composición!$C$4:$H$1742,5,0)-D455</f>
        <v>#N/A</v>
      </c>
      <c r="I455" s="1214" t="e">
        <f>+VLOOKUP(B455,Composición!$C$4:$H$1742,6,0)-E455</f>
        <v>#N/A</v>
      </c>
      <c r="J455" s="1054" t="e">
        <f t="shared" si="16"/>
        <v>#N/A</v>
      </c>
      <c r="M455" s="1056"/>
      <c r="N455" s="1056"/>
      <c r="O455" s="1056"/>
      <c r="P455" s="1056"/>
    </row>
    <row r="456" spans="1:16" s="14" customFormat="1" ht="16.5" customHeight="1">
      <c r="A456" s="14" t="str">
        <f t="shared" si="15"/>
        <v>I</v>
      </c>
      <c r="B456" s="1203">
        <v>6210120101</v>
      </c>
      <c r="C456" t="s">
        <v>283</v>
      </c>
      <c r="D456" s="1308">
        <v>480330534381</v>
      </c>
      <c r="E456" s="1309">
        <v>61335025.829999998</v>
      </c>
      <c r="F456" s="818">
        <f>+VLOOKUP(B456,Composición!$C$5:$D$1768,1,0)</f>
        <v>6210120101</v>
      </c>
      <c r="G456" s="818"/>
      <c r="H456" s="14" t="e">
        <f>+VLOOKUP(B456,Composición!$C$4:$H$1742,5,0)</f>
        <v>#N/A</v>
      </c>
      <c r="I456" s="14" t="e">
        <f>+VLOOKUP(B456,Composición!$C$4:$H$1742,6,0)</f>
        <v>#N/A</v>
      </c>
      <c r="J456" s="1053" t="e">
        <f t="shared" si="16"/>
        <v>#N/A</v>
      </c>
      <c r="M456" s="1056"/>
      <c r="N456" s="1056"/>
      <c r="O456" s="1056"/>
      <c r="P456" s="1056"/>
    </row>
    <row r="457" spans="1:16" s="31" customFormat="1" ht="16.5" customHeight="1">
      <c r="A457" s="31" t="str">
        <f t="shared" si="13"/>
        <v>NI</v>
      </c>
      <c r="B457" s="1220">
        <v>625</v>
      </c>
      <c r="C457" s="1221" t="s">
        <v>2958</v>
      </c>
      <c r="D457" s="1222">
        <v>2135125</v>
      </c>
      <c r="E457" s="1223">
        <v>272.64</v>
      </c>
      <c r="F457" s="1058">
        <f>+VLOOKUP(B457,Composición!$C$5:$D$1768,1,0)</f>
        <v>625</v>
      </c>
      <c r="G457" s="1058"/>
      <c r="H457" s="1048" t="e">
        <f>+VLOOKUP(B457,Composición!$C$4:$H$1742,5,0)-D457</f>
        <v>#N/A</v>
      </c>
      <c r="I457" s="1214" t="e">
        <f>+VLOOKUP(B457,Composición!$C$4:$H$1742,6,0)-E457</f>
        <v>#N/A</v>
      </c>
      <c r="J457" s="827" t="e">
        <f t="shared" si="14"/>
        <v>#N/A</v>
      </c>
      <c r="M457" s="1056"/>
      <c r="N457" s="1056"/>
      <c r="O457" s="1056"/>
      <c r="P457" s="1056"/>
    </row>
    <row r="458" spans="1:16" s="31" customFormat="1" ht="16.5" customHeight="1">
      <c r="A458" s="31" t="str">
        <f t="shared" si="13"/>
        <v>NI</v>
      </c>
      <c r="B458" s="1220">
        <v>62501</v>
      </c>
      <c r="C458" s="1221" t="s">
        <v>2958</v>
      </c>
      <c r="D458" s="1222">
        <v>2135125</v>
      </c>
      <c r="E458" s="1223">
        <v>272.64</v>
      </c>
      <c r="F458" s="1058">
        <f>+VLOOKUP(B458,Composición!$C$5:$D$1768,1,0)</f>
        <v>62501</v>
      </c>
      <c r="G458" s="1058"/>
      <c r="H458" s="31" t="e">
        <f>+VLOOKUP(B458,Composición!$C$4:$H$1742,5,0)</f>
        <v>#N/A</v>
      </c>
      <c r="I458" s="31" t="e">
        <f>+VLOOKUP(B458,Composición!$C$4:$H$1742,6,0)</f>
        <v>#N/A</v>
      </c>
      <c r="J458" s="827" t="e">
        <f t="shared" si="14"/>
        <v>#N/A</v>
      </c>
      <c r="M458" s="1056"/>
      <c r="N458" s="1056"/>
      <c r="O458" s="1056"/>
      <c r="P458" s="1056"/>
    </row>
    <row r="459" spans="1:16" s="31" customFormat="1" ht="16.5" customHeight="1">
      <c r="A459" s="31" t="str">
        <f t="shared" si="13"/>
        <v>NI</v>
      </c>
      <c r="B459" s="1220">
        <v>625011</v>
      </c>
      <c r="C459" s="1221" t="s">
        <v>2958</v>
      </c>
      <c r="D459" s="1222">
        <v>2135125</v>
      </c>
      <c r="E459" s="1223">
        <v>272.64</v>
      </c>
      <c r="F459" s="1058">
        <f>+VLOOKUP(B459,Composición!$C$5:$D$1768,1,0)</f>
        <v>625011</v>
      </c>
      <c r="G459" s="1058"/>
      <c r="H459" s="1048" t="e">
        <f>+VLOOKUP(B459,Composición!$C$4:$H$1742,5,0)-D459</f>
        <v>#N/A</v>
      </c>
      <c r="I459" s="1214" t="e">
        <f>+VLOOKUP(B459,Composición!$C$4:$H$1742,6,0)-E459</f>
        <v>#N/A</v>
      </c>
      <c r="J459" s="827" t="e">
        <f t="shared" si="14"/>
        <v>#N/A</v>
      </c>
      <c r="M459" s="1056"/>
      <c r="N459" s="1056"/>
      <c r="O459" s="1056"/>
      <c r="P459" s="1056"/>
    </row>
    <row r="460" spans="1:16" s="31" customFormat="1" ht="16.5" customHeight="1">
      <c r="A460" s="31" t="str">
        <f t="shared" si="13"/>
        <v>NI</v>
      </c>
      <c r="B460" s="1220">
        <v>6250110</v>
      </c>
      <c r="C460" s="1221" t="s">
        <v>2958</v>
      </c>
      <c r="D460" s="1222">
        <v>2135125</v>
      </c>
      <c r="E460" s="1223">
        <v>272.64</v>
      </c>
      <c r="F460" s="1058">
        <f>+VLOOKUP(B460,Composición!$C$5:$D$1768,1,0)</f>
        <v>6250110</v>
      </c>
      <c r="G460" s="1058"/>
      <c r="H460" s="31" t="e">
        <f>+VLOOKUP(B460,Composición!$C$4:$H$1742,5,0)</f>
        <v>#N/A</v>
      </c>
      <c r="I460" s="31" t="e">
        <f>+VLOOKUP(B460,Composición!$C$4:$H$1742,6,0)</f>
        <v>#N/A</v>
      </c>
      <c r="J460" s="1054" t="e">
        <f t="shared" si="14"/>
        <v>#N/A</v>
      </c>
      <c r="M460" s="1056"/>
      <c r="N460" s="1056"/>
      <c r="O460" s="1056"/>
      <c r="P460" s="1056"/>
    </row>
    <row r="461" spans="1:16" s="31" customFormat="1" ht="16.5" customHeight="1">
      <c r="A461" s="31" t="str">
        <f t="shared" si="13"/>
        <v>NI</v>
      </c>
      <c r="B461" s="1220">
        <v>62501101</v>
      </c>
      <c r="C461" s="1221" t="s">
        <v>2959</v>
      </c>
      <c r="D461" s="1222">
        <v>1351999</v>
      </c>
      <c r="E461" s="1223">
        <v>172.64</v>
      </c>
      <c r="F461" s="1058">
        <f>+VLOOKUP(B461,Composición!$C$5:$D$1768,1,0)</f>
        <v>62501101</v>
      </c>
      <c r="G461" s="1058"/>
      <c r="H461" s="1048" t="e">
        <f>+VLOOKUP(B461,Composición!$C$4:$H$1742,5,0)-D461</f>
        <v>#N/A</v>
      </c>
      <c r="I461" s="1214" t="e">
        <f>+VLOOKUP(B461,Composición!$C$4:$H$1742,6,0)-E461</f>
        <v>#N/A</v>
      </c>
      <c r="J461" s="827" t="e">
        <f t="shared" si="14"/>
        <v>#N/A</v>
      </c>
      <c r="M461" s="1056"/>
      <c r="N461" s="1056"/>
      <c r="O461" s="1056"/>
      <c r="P461" s="1056"/>
    </row>
    <row r="462" spans="1:16" s="14" customFormat="1" ht="16.5" customHeight="1">
      <c r="A462" s="14" t="str">
        <f t="shared" si="13"/>
        <v>I</v>
      </c>
      <c r="B462" s="1203">
        <v>6250110101</v>
      </c>
      <c r="C462" t="s">
        <v>2960</v>
      </c>
      <c r="D462" s="1308">
        <v>1351999</v>
      </c>
      <c r="E462" s="1309">
        <v>172.64</v>
      </c>
      <c r="F462" s="818">
        <f>+VLOOKUP(B462,Composición!$C$5:$D$1768,1,0)</f>
        <v>6250110101</v>
      </c>
      <c r="G462" s="818"/>
      <c r="H462" s="14" t="e">
        <f>+VLOOKUP(B462,Composición!$C$4:$H$1742,5,0)</f>
        <v>#N/A</v>
      </c>
      <c r="I462" s="14" t="e">
        <f>+VLOOKUP(B462,Composición!$C$4:$H$1742,6,0)</f>
        <v>#N/A</v>
      </c>
      <c r="J462" s="830" t="e">
        <f t="shared" si="14"/>
        <v>#N/A</v>
      </c>
      <c r="M462" s="1056"/>
      <c r="N462" s="1056"/>
      <c r="O462" s="1056"/>
      <c r="P462" s="1056"/>
    </row>
    <row r="463" spans="1:16" s="31" customFormat="1" ht="16.5" customHeight="1">
      <c r="A463" s="31" t="str">
        <f t="shared" si="13"/>
        <v>NI</v>
      </c>
      <c r="B463" s="1220">
        <v>62501102</v>
      </c>
      <c r="C463" s="1221" t="s">
        <v>2962</v>
      </c>
      <c r="D463" s="1222">
        <v>783126</v>
      </c>
      <c r="E463" s="1223">
        <v>100</v>
      </c>
      <c r="F463" s="1058">
        <f>+VLOOKUP(B463,Composición!$C$5:$D$1768,1,0)</f>
        <v>62501102</v>
      </c>
      <c r="G463" s="1058"/>
      <c r="H463" s="31" t="e">
        <f>+VLOOKUP(B463,Composición!$C$4:$H$1742,5,0)</f>
        <v>#N/A</v>
      </c>
      <c r="I463" s="31" t="e">
        <f>+VLOOKUP(B463,Composición!$C$4:$H$1742,6,0)</f>
        <v>#N/A</v>
      </c>
      <c r="J463" s="827" t="e">
        <f t="shared" si="14"/>
        <v>#N/A</v>
      </c>
      <c r="M463" s="1056"/>
      <c r="N463" s="1056"/>
      <c r="O463" s="1056"/>
      <c r="P463" s="1056"/>
    </row>
    <row r="464" spans="1:16" s="14" customFormat="1" ht="16.5" customHeight="1">
      <c r="A464" s="14" t="str">
        <f>IF(LEN(B464)&gt;8,"I","NI")</f>
        <v>I</v>
      </c>
      <c r="B464" s="1203">
        <v>6250110202</v>
      </c>
      <c r="C464" t="s">
        <v>2961</v>
      </c>
      <c r="D464" s="1308">
        <v>783126</v>
      </c>
      <c r="E464" s="1309">
        <v>100</v>
      </c>
      <c r="F464" s="818">
        <f>+VLOOKUP(B464,Composición!$C$5:$D$1768,1,0)</f>
        <v>6250110202</v>
      </c>
      <c r="G464" s="818"/>
      <c r="H464" s="1049" t="e">
        <f>+VLOOKUP(B464,Composición!$C$4:$H$1742,5,0)-D464</f>
        <v>#N/A</v>
      </c>
      <c r="I464" s="1311" t="e">
        <f>+VLOOKUP(B464,Composición!$C$4:$H$1742,6,0)-E464</f>
        <v>#N/A</v>
      </c>
      <c r="J464" s="830" t="e">
        <f>+I464-D464</f>
        <v>#N/A</v>
      </c>
      <c r="M464" s="1056"/>
      <c r="N464" s="1056"/>
      <c r="O464" s="1056"/>
      <c r="P464" s="1056"/>
    </row>
    <row r="465" spans="1:16" s="31" customFormat="1" ht="16.5" customHeight="1">
      <c r="A465" s="31" t="str">
        <f t="shared" si="13"/>
        <v>NI</v>
      </c>
      <c r="B465" s="1220"/>
      <c r="C465" s="1221"/>
      <c r="D465" s="1222"/>
      <c r="E465" s="1223"/>
      <c r="F465" s="1058"/>
      <c r="G465" s="1058"/>
      <c r="H465" s="31" t="e">
        <f>+VLOOKUP(B465,Composición!$C$4:$H$1742,5,0)</f>
        <v>#N/A</v>
      </c>
      <c r="I465" s="31" t="e">
        <f>+VLOOKUP(B465,Composición!$C$4:$H$1742,6,0)</f>
        <v>#N/A</v>
      </c>
      <c r="J465" s="827" t="e">
        <f t="shared" si="14"/>
        <v>#N/A</v>
      </c>
      <c r="M465" s="1056"/>
      <c r="N465" s="1056"/>
      <c r="O465" s="1056"/>
      <c r="P465" s="1056"/>
    </row>
    <row r="466" spans="1:16" s="31" customFormat="1" ht="16.5" customHeight="1">
      <c r="A466" s="31" t="str">
        <f t="shared" si="13"/>
        <v>NI</v>
      </c>
      <c r="B466" s="1220">
        <v>4</v>
      </c>
      <c r="C466" s="1221" t="s">
        <v>286</v>
      </c>
      <c r="D466" s="1222">
        <v>57203568027</v>
      </c>
      <c r="E466" s="1223">
        <v>35714995.079999998</v>
      </c>
      <c r="F466" s="1058"/>
      <c r="G466" s="1058"/>
      <c r="H466" s="31">
        <f>+VLOOKUP(B466,Composición!$C$4:$H$1742,5,0)</f>
        <v>0</v>
      </c>
      <c r="I466" s="31">
        <f>+VLOOKUP(B466,Composición!$C$4:$H$1742,6,0)</f>
        <v>0</v>
      </c>
      <c r="J466" s="827">
        <f t="shared" si="14"/>
        <v>-57203568027</v>
      </c>
      <c r="M466" s="14"/>
      <c r="N466" s="14"/>
      <c r="O466" s="14"/>
      <c r="P466" s="14"/>
    </row>
    <row r="467" spans="1:16" s="31" customFormat="1" ht="16.5" customHeight="1">
      <c r="A467" s="31" t="str">
        <f t="shared" si="13"/>
        <v>NI</v>
      </c>
      <c r="B467" s="1220">
        <v>41</v>
      </c>
      <c r="C467" s="1221" t="s">
        <v>287</v>
      </c>
      <c r="D467" s="1222">
        <v>39933891741</v>
      </c>
      <c r="E467" s="1223">
        <v>4837021.3800000008</v>
      </c>
      <c r="F467" s="1058"/>
      <c r="G467" s="1058"/>
      <c r="H467" s="31">
        <f>+VLOOKUP(B467,Composición!$C$4:$H$1742,5,0)</f>
        <v>0</v>
      </c>
      <c r="I467" s="31">
        <f>+VLOOKUP(B467,Composición!$C$4:$H$1742,6,0)</f>
        <v>0</v>
      </c>
      <c r="J467" s="827">
        <f t="shared" si="14"/>
        <v>-39933891741</v>
      </c>
      <c r="M467" s="14"/>
      <c r="N467" s="14"/>
      <c r="O467" s="14"/>
      <c r="P467" s="14"/>
    </row>
    <row r="468" spans="1:16" s="31" customFormat="1" ht="16.5" customHeight="1">
      <c r="A468" s="31" t="str">
        <f t="shared" si="13"/>
        <v>NI</v>
      </c>
      <c r="B468" s="1220">
        <v>411</v>
      </c>
      <c r="C468" s="1221" t="s">
        <v>288</v>
      </c>
      <c r="D468" s="1222">
        <v>4811783043</v>
      </c>
      <c r="E468" s="1223">
        <v>627357.6</v>
      </c>
      <c r="F468" s="1058">
        <f>+VLOOKUP(B468,Composición!$C$5:$D$1768,1,0)</f>
        <v>411</v>
      </c>
      <c r="G468" s="1058">
        <f>+VLOOKUP(B468,'CA FE'!$A:$A,1,0)</f>
        <v>411</v>
      </c>
      <c r="H468" s="31">
        <f>+VLOOKUP(B468,Composición!$C$4:$H$1742,5,0)</f>
        <v>0</v>
      </c>
      <c r="I468" s="31">
        <f>+VLOOKUP(B468,Composición!$C$4:$H$1742,6,0)</f>
        <v>0</v>
      </c>
      <c r="J468" s="827">
        <f t="shared" si="14"/>
        <v>-4811783043</v>
      </c>
      <c r="M468" s="14"/>
      <c r="N468" s="14"/>
      <c r="O468" s="14"/>
      <c r="P468" s="14"/>
    </row>
    <row r="469" spans="1:16" s="31" customFormat="1" ht="16.5" customHeight="1">
      <c r="A469" s="31" t="str">
        <f t="shared" si="13"/>
        <v>NI</v>
      </c>
      <c r="B469" s="1220">
        <v>41101</v>
      </c>
      <c r="C469" s="1221" t="s">
        <v>288</v>
      </c>
      <c r="D469" s="1222">
        <v>3019524132</v>
      </c>
      <c r="E469" s="1223">
        <v>389783.64</v>
      </c>
      <c r="F469" s="1058">
        <f>+VLOOKUP(B469,Composición!$C$5:$D$1768,1,0)</f>
        <v>41101</v>
      </c>
      <c r="G469" s="1058">
        <f>+VLOOKUP(B469,'CA FE'!$A:$A,1,0)</f>
        <v>41101</v>
      </c>
      <c r="H469" s="31">
        <f>+VLOOKUP(B469,Composición!$C$4:$H$1742,5,0)</f>
        <v>0</v>
      </c>
      <c r="I469" s="31">
        <f>+VLOOKUP(B469,Composición!$C$4:$H$1742,6,0)</f>
        <v>0</v>
      </c>
      <c r="J469" s="827">
        <f t="shared" si="14"/>
        <v>-3019524132</v>
      </c>
      <c r="M469" s="14"/>
      <c r="N469" s="14"/>
      <c r="O469" s="14"/>
      <c r="P469" s="14"/>
    </row>
    <row r="470" spans="1:16" s="31" customFormat="1" ht="16.5" customHeight="1">
      <c r="A470" s="31" t="str">
        <f t="shared" si="13"/>
        <v>NI</v>
      </c>
      <c r="B470" s="1220">
        <v>411011</v>
      </c>
      <c r="C470" s="1221" t="s">
        <v>289</v>
      </c>
      <c r="D470" s="1222">
        <v>1457454012</v>
      </c>
      <c r="E470" s="1223">
        <v>189833.82</v>
      </c>
      <c r="F470" s="1058">
        <f>+VLOOKUP(B470,Composición!$C$5:$D$1768,1,0)</f>
        <v>411011</v>
      </c>
      <c r="G470" s="1058">
        <f>+VLOOKUP(B470,'CA FE'!$A:$A,1,0)</f>
        <v>411011</v>
      </c>
      <c r="H470" s="31">
        <f>+VLOOKUP(B470,Composición!$C$4:$H$1742,5,0)</f>
        <v>0</v>
      </c>
      <c r="I470" s="31">
        <f>+VLOOKUP(B470,Composición!$C$4:$H$1742,6,0)</f>
        <v>0</v>
      </c>
      <c r="J470" s="827">
        <f t="shared" si="14"/>
        <v>-1457454012</v>
      </c>
      <c r="M470" s="14"/>
      <c r="N470" s="14"/>
      <c r="O470" s="14"/>
      <c r="P470" s="14"/>
    </row>
    <row r="471" spans="1:16" s="31" customFormat="1" ht="16.5" customHeight="1">
      <c r="A471" s="31" t="str">
        <f t="shared" si="13"/>
        <v>NI</v>
      </c>
      <c r="B471" s="1220">
        <v>4110111</v>
      </c>
      <c r="C471" s="1221" t="s">
        <v>290</v>
      </c>
      <c r="D471" s="1222">
        <v>25583019</v>
      </c>
      <c r="E471" s="1223">
        <v>3337.12</v>
      </c>
      <c r="F471" s="1058">
        <f>+VLOOKUP(B471,Composición!$C$5:$D$1768,1,0)</f>
        <v>4110111</v>
      </c>
      <c r="G471" s="1058">
        <f>+VLOOKUP(B471,'CA FE'!$A:$A,1,0)</f>
        <v>4110111</v>
      </c>
      <c r="H471" s="31">
        <f>+VLOOKUP(B471,Composición!$C$4:$H$1742,5,0)</f>
        <v>0</v>
      </c>
      <c r="I471" s="31">
        <f>+VLOOKUP(B471,Composición!$C$4:$H$1742,6,0)</f>
        <v>0</v>
      </c>
      <c r="J471" s="1054">
        <f t="shared" si="14"/>
        <v>-25583019</v>
      </c>
      <c r="M471" s="14"/>
      <c r="N471" s="14"/>
      <c r="O471" s="14"/>
      <c r="P471" s="14"/>
    </row>
    <row r="472" spans="1:16" s="31" customFormat="1" ht="16.5" customHeight="1">
      <c r="A472" s="31" t="str">
        <f t="shared" si="13"/>
        <v>NI</v>
      </c>
      <c r="B472" s="1220">
        <v>41101111</v>
      </c>
      <c r="C472" s="1221" t="s">
        <v>291</v>
      </c>
      <c r="D472" s="1222">
        <v>25583019</v>
      </c>
      <c r="E472" s="1223">
        <v>3337.12</v>
      </c>
      <c r="F472" s="1058">
        <f>+VLOOKUP(B472,Composición!$C$5:$D$1768,1,0)</f>
        <v>41101111</v>
      </c>
      <c r="G472" s="1058">
        <f>+VLOOKUP(B472,'CA FE'!$A:$A,1,0)</f>
        <v>41101111</v>
      </c>
      <c r="H472" s="31">
        <f>+VLOOKUP(B472,Composición!$C$4:$H$1742,5,0)</f>
        <v>0</v>
      </c>
      <c r="I472" s="31">
        <f>+VLOOKUP(B472,Composición!$C$4:$H$1742,6,0)</f>
        <v>0</v>
      </c>
      <c r="J472" s="1054">
        <f t="shared" si="14"/>
        <v>-25583019</v>
      </c>
      <c r="M472" s="14"/>
      <c r="N472" s="14"/>
      <c r="O472" s="14"/>
      <c r="P472" s="14"/>
    </row>
    <row r="473" spans="1:16" s="14" customFormat="1" ht="16.5" customHeight="1">
      <c r="A473" s="14" t="str">
        <f t="shared" si="13"/>
        <v>I</v>
      </c>
      <c r="B473" s="1203">
        <v>4110111101</v>
      </c>
      <c r="C473" t="s">
        <v>292</v>
      </c>
      <c r="D473" s="1308">
        <v>21281581</v>
      </c>
      <c r="E473" s="1309">
        <v>2786.33</v>
      </c>
      <c r="F473" s="818">
        <f>+VLOOKUP(B473,Composición!$C$5:$D$1768,1,0)</f>
        <v>4110111101</v>
      </c>
      <c r="G473" s="818">
        <f>+VLOOKUP(B473,'CA FE'!$A:$A,1,0)</f>
        <v>4110111101</v>
      </c>
      <c r="H473" s="1049">
        <f>+VLOOKUP(B473,Composición!$C$4:$H$1742,5,0)-D473</f>
        <v>0</v>
      </c>
      <c r="I473" s="1311">
        <f>+VLOOKUP(B473,Composición!$C$4:$H$1742,6,0)-E473</f>
        <v>0</v>
      </c>
      <c r="J473" s="830">
        <f t="shared" si="14"/>
        <v>-21281581</v>
      </c>
    </row>
    <row r="474" spans="1:16" s="14" customFormat="1" ht="16.5" customHeight="1">
      <c r="A474" s="14" t="str">
        <f t="shared" si="13"/>
        <v>I</v>
      </c>
      <c r="B474" s="1203">
        <v>4110111102</v>
      </c>
      <c r="C474" t="s">
        <v>2965</v>
      </c>
      <c r="D474" s="1308">
        <v>4301438</v>
      </c>
      <c r="E474" s="1309">
        <v>550.79</v>
      </c>
      <c r="F474" s="818">
        <f>+VLOOKUP(B474,Composición!$C$5:$D$1768,1,0)</f>
        <v>4110111102</v>
      </c>
      <c r="G474" s="818">
        <f>+VLOOKUP(B474,'CA FE'!$A:$A,1,0)</f>
        <v>4110111102</v>
      </c>
      <c r="H474" s="14">
        <f>+VLOOKUP(B474,Composición!$C$4:$H$1742,5,0)</f>
        <v>4301438</v>
      </c>
      <c r="I474" s="14">
        <f>+VLOOKUP(B474,Composición!$C$4:$H$1742,6,0)</f>
        <v>550.79</v>
      </c>
      <c r="J474" s="830">
        <f t="shared" si="14"/>
        <v>-4300887.21</v>
      </c>
    </row>
    <row r="475" spans="1:16" s="31" customFormat="1" ht="16.5" customHeight="1">
      <c r="A475" s="31" t="str">
        <f t="shared" si="13"/>
        <v>NI</v>
      </c>
      <c r="B475" s="1220">
        <v>4110112</v>
      </c>
      <c r="C475" s="1221" t="s">
        <v>294</v>
      </c>
      <c r="D475" s="1222">
        <v>1402090051</v>
      </c>
      <c r="E475" s="1223">
        <v>182528.4</v>
      </c>
      <c r="F475" s="1058">
        <f>+VLOOKUP(B475,Composición!$C$5:$D$1768,1,0)</f>
        <v>4110112</v>
      </c>
      <c r="G475" s="1058">
        <f>+VLOOKUP(B475,'CA FE'!$A:$A,1,0)</f>
        <v>4110112</v>
      </c>
      <c r="H475" s="31">
        <f>+VLOOKUP(B475,Composición!$C$4:$H$1742,5,0)</f>
        <v>0</v>
      </c>
      <c r="I475" s="31">
        <f>+VLOOKUP(B475,Composición!$C$4:$H$1742,6,0)</f>
        <v>0</v>
      </c>
      <c r="J475" s="827">
        <f t="shared" si="14"/>
        <v>-1402090051</v>
      </c>
      <c r="M475" s="14"/>
      <c r="N475" s="14"/>
      <c r="O475" s="14"/>
      <c r="P475" s="14"/>
    </row>
    <row r="476" spans="1:16" s="31" customFormat="1" ht="16.5" customHeight="1">
      <c r="A476" s="31" t="str">
        <f t="shared" si="13"/>
        <v>NI</v>
      </c>
      <c r="B476" s="1220">
        <v>41101121</v>
      </c>
      <c r="C476" s="1221" t="s">
        <v>295</v>
      </c>
      <c r="D476" s="1222">
        <v>595251039</v>
      </c>
      <c r="E476" s="1223">
        <v>77752.34</v>
      </c>
      <c r="F476" s="1058">
        <f>+VLOOKUP(B476,Composición!$C$5:$D$1768,1,0)</f>
        <v>41101121</v>
      </c>
      <c r="G476" s="1058">
        <f>+VLOOKUP(B476,'CA FE'!$A:$A,1,0)</f>
        <v>41101121</v>
      </c>
      <c r="H476" s="1048">
        <f>+VLOOKUP(B476,Composición!$C$4:$H$1742,5,0)-D476</f>
        <v>-595251039</v>
      </c>
      <c r="I476" s="1214">
        <f>+VLOOKUP(B476,Composición!$C$4:$H$1742,6,0)-E476</f>
        <v>-77752.34</v>
      </c>
      <c r="J476" s="827">
        <f t="shared" si="14"/>
        <v>-595328791.34000003</v>
      </c>
      <c r="M476" s="14"/>
      <c r="N476" s="14"/>
      <c r="O476" s="14"/>
      <c r="P476" s="14"/>
    </row>
    <row r="477" spans="1:16" s="14" customFormat="1" ht="16.5" customHeight="1">
      <c r="A477" s="14" t="str">
        <f t="shared" si="13"/>
        <v>I</v>
      </c>
      <c r="B477" s="1203">
        <v>4110112101</v>
      </c>
      <c r="C477" t="s">
        <v>296</v>
      </c>
      <c r="D477" s="1308">
        <v>431419474</v>
      </c>
      <c r="E477" s="1309">
        <v>56505.479999999996</v>
      </c>
      <c r="F477" s="818">
        <f>+VLOOKUP(B477,Composición!$C$5:$D$1768,1,0)</f>
        <v>4110112101</v>
      </c>
      <c r="G477" s="818">
        <f>+VLOOKUP(B477,'CA FE'!$A:$A,1,0)</f>
        <v>4110112101</v>
      </c>
      <c r="H477" s="1049">
        <f>+VLOOKUP(B477,Composición!$C$4:$H$1742,5,0)-D477</f>
        <v>0</v>
      </c>
      <c r="I477" s="1311">
        <f>+VLOOKUP(B477,Composición!$C$4:$H$1742,6,0)-E477</f>
        <v>0</v>
      </c>
      <c r="J477" s="830">
        <f t="shared" si="14"/>
        <v>-431419474</v>
      </c>
    </row>
    <row r="478" spans="1:16" s="14" customFormat="1" ht="16.5" customHeight="1">
      <c r="A478" s="14" t="str">
        <f t="shared" si="13"/>
        <v>I</v>
      </c>
      <c r="B478" s="1203">
        <v>4110112102</v>
      </c>
      <c r="C478" t="s">
        <v>297</v>
      </c>
      <c r="D478" s="1308">
        <v>114778093</v>
      </c>
      <c r="E478" s="1309">
        <v>14892.780000000002</v>
      </c>
      <c r="F478" s="818">
        <f>+VLOOKUP(B478,Composición!$C$5:$D$1768,1,0)</f>
        <v>4110112102</v>
      </c>
      <c r="G478" s="818">
        <f>+VLOOKUP(B478,'CA FE'!$A:$A,1,0)</f>
        <v>4110112102</v>
      </c>
      <c r="H478" s="1049">
        <f>+VLOOKUP(B478,Composición!$C$4:$H$1742,5,0)-D478</f>
        <v>0</v>
      </c>
      <c r="I478" s="1311">
        <f>+VLOOKUP(B478,Composición!$C$4:$H$1742,6,0)-E478</f>
        <v>0</v>
      </c>
      <c r="J478" s="830">
        <f t="shared" si="14"/>
        <v>-114778093</v>
      </c>
    </row>
    <row r="479" spans="1:16" s="14" customFormat="1" ht="16.5" customHeight="1">
      <c r="A479" s="14" t="str">
        <f t="shared" si="13"/>
        <v>I</v>
      </c>
      <c r="B479" s="1203">
        <v>4110112103</v>
      </c>
      <c r="C479" t="s">
        <v>298</v>
      </c>
      <c r="D479" s="1308">
        <v>11870244</v>
      </c>
      <c r="E479" s="1309">
        <v>1519.2999999999993</v>
      </c>
      <c r="F479" s="818">
        <f>+VLOOKUP(B479,Composición!$C$5:$D$1768,1,0)</f>
        <v>4110112103</v>
      </c>
      <c r="G479" s="818">
        <f>+VLOOKUP(B479,'CA FE'!$A:$A,1,0)</f>
        <v>4110112103</v>
      </c>
      <c r="H479" s="1049">
        <f>+VLOOKUP(B479,Composición!$C$4:$H$1742,5,0)-D479</f>
        <v>0</v>
      </c>
      <c r="I479" s="1311">
        <f>+VLOOKUP(B479,Composición!$C$4:$H$1742,6,0)-E479</f>
        <v>0</v>
      </c>
      <c r="J479" s="830">
        <f t="shared" si="14"/>
        <v>-11870244</v>
      </c>
    </row>
    <row r="480" spans="1:16" s="14" customFormat="1" ht="16.5" customHeight="1">
      <c r="A480" s="14" t="str">
        <f t="shared" si="13"/>
        <v>I</v>
      </c>
      <c r="B480" s="1203">
        <v>4110112104</v>
      </c>
      <c r="C480" t="s">
        <v>299</v>
      </c>
      <c r="D480" s="1308">
        <v>23718652</v>
      </c>
      <c r="E480" s="1309">
        <v>3040.35</v>
      </c>
      <c r="F480" s="818">
        <f>+VLOOKUP(B480,Composición!$C$5:$D$1768,1,0)</f>
        <v>4110112104</v>
      </c>
      <c r="G480" s="818">
        <f>+VLOOKUP(B480,'CA FE'!$A:$A,1,0)</f>
        <v>4110112104</v>
      </c>
      <c r="H480" s="1049">
        <f>+VLOOKUP(B480,Composición!$C$4:$H$1742,5,0)-D480</f>
        <v>0</v>
      </c>
      <c r="I480" s="1311">
        <f>+VLOOKUP(B480,Composición!$C$4:$H$1742,6,0)-E480</f>
        <v>0</v>
      </c>
      <c r="J480" s="830">
        <f t="shared" si="14"/>
        <v>-23718652</v>
      </c>
    </row>
    <row r="481" spans="1:16" s="14" customFormat="1" ht="16.5" customHeight="1">
      <c r="A481" s="14" t="str">
        <f t="shared" si="13"/>
        <v>I</v>
      </c>
      <c r="B481" s="1203">
        <v>4110112105</v>
      </c>
      <c r="C481" t="s">
        <v>300</v>
      </c>
      <c r="D481" s="1308">
        <v>6435019</v>
      </c>
      <c r="E481" s="1309">
        <v>860.1</v>
      </c>
      <c r="F481" s="818">
        <f>+VLOOKUP(B481,Composición!$C$5:$D$1768,1,0)</f>
        <v>4110112105</v>
      </c>
      <c r="G481" s="818">
        <f>+VLOOKUP(B481,'CA FE'!$A:$A,1,0)</f>
        <v>4110112105</v>
      </c>
      <c r="H481" s="14">
        <f>+VLOOKUP(B481,Composición!$C$4:$H$1742,5,0)</f>
        <v>6435019</v>
      </c>
      <c r="I481" s="14">
        <f>+VLOOKUP(B481,Composición!$C$4:$H$1742,6,0)</f>
        <v>860.1</v>
      </c>
      <c r="J481" s="1053">
        <f t="shared" si="14"/>
        <v>-6434158.9000000004</v>
      </c>
    </row>
    <row r="482" spans="1:16" s="14" customFormat="1" ht="16.5" customHeight="1">
      <c r="A482" s="14" t="str">
        <f t="shared" si="13"/>
        <v>I</v>
      </c>
      <c r="B482" s="1203">
        <v>4110112108</v>
      </c>
      <c r="C482" t="s">
        <v>301</v>
      </c>
      <c r="D482" s="1308">
        <v>7029557</v>
      </c>
      <c r="E482" s="1309">
        <v>934.33</v>
      </c>
      <c r="F482" s="818">
        <f>+VLOOKUP(B482,Composición!$C$5:$D$1768,1,0)</f>
        <v>4110112108</v>
      </c>
      <c r="G482" s="818">
        <f>+VLOOKUP(B482,'CA FE'!$A:$A,1,0)</f>
        <v>4110112108</v>
      </c>
      <c r="H482" s="1049">
        <f>+VLOOKUP(B482,Composición!$C$4:$H$1742,5,0)-D482</f>
        <v>0</v>
      </c>
      <c r="I482" s="1311">
        <f>+VLOOKUP(B482,Composición!$C$4:$H$1742,6,0)-E482</f>
        <v>0</v>
      </c>
      <c r="J482" s="830">
        <f t="shared" si="14"/>
        <v>-7029557</v>
      </c>
    </row>
    <row r="483" spans="1:16" s="31" customFormat="1" ht="16.5" customHeight="1">
      <c r="A483" s="31" t="str">
        <f t="shared" si="13"/>
        <v>NI</v>
      </c>
      <c r="B483" s="1220">
        <v>41101122</v>
      </c>
      <c r="C483" s="1221" t="s">
        <v>302</v>
      </c>
      <c r="D483" s="1222">
        <v>806839012</v>
      </c>
      <c r="E483" s="1223">
        <v>104776.06</v>
      </c>
      <c r="F483" s="1058">
        <f>+VLOOKUP(B483,Composición!$C$5:$D$1768,1,0)</f>
        <v>41101122</v>
      </c>
      <c r="G483" s="1058">
        <f>+VLOOKUP(B483,'CA FE'!$A:$A,1,0)</f>
        <v>41101122</v>
      </c>
      <c r="H483" s="1048">
        <f>+VLOOKUP(B483,Composición!$C$4:$H$1742,5,0)-D483</f>
        <v>-806839012</v>
      </c>
      <c r="I483" s="1214">
        <f>+VLOOKUP(B483,Composición!$C$4:$H$1742,6,0)-E483</f>
        <v>-104776.06</v>
      </c>
      <c r="J483" s="827">
        <f t="shared" si="14"/>
        <v>-806943788.05999994</v>
      </c>
      <c r="M483" s="14"/>
      <c r="N483" s="14"/>
      <c r="O483" s="14"/>
      <c r="P483" s="14"/>
    </row>
    <row r="484" spans="1:16" s="14" customFormat="1" ht="16.5" customHeight="1">
      <c r="A484" s="14" t="str">
        <f t="shared" si="13"/>
        <v>I</v>
      </c>
      <c r="B484" s="1203">
        <v>4110112201</v>
      </c>
      <c r="C484" t="s">
        <v>303</v>
      </c>
      <c r="D484" s="1308">
        <v>564589719</v>
      </c>
      <c r="E484" s="1309">
        <v>73634.320000000007</v>
      </c>
      <c r="F484" s="818">
        <f>+VLOOKUP(B484,Composición!$C$5:$D$1768,1,0)</f>
        <v>4110112201</v>
      </c>
      <c r="G484" s="818">
        <f>+VLOOKUP(B484,'CA FE'!$A:$A,1,0)</f>
        <v>4110112201</v>
      </c>
      <c r="H484" s="1049">
        <f>+VLOOKUP(B484,Composición!$C$4:$H$1742,5,0)-D484</f>
        <v>0</v>
      </c>
      <c r="I484" s="1311">
        <f>+VLOOKUP(B484,Composición!$C$4:$H$1742,6,0)-E484</f>
        <v>0</v>
      </c>
      <c r="J484" s="830">
        <f t="shared" si="14"/>
        <v>-564589719</v>
      </c>
    </row>
    <row r="485" spans="1:16" s="14" customFormat="1" ht="16.5" customHeight="1">
      <c r="A485" s="14" t="str">
        <f t="shared" si="13"/>
        <v>I</v>
      </c>
      <c r="B485" s="1203">
        <v>4110112202</v>
      </c>
      <c r="C485" t="s">
        <v>304</v>
      </c>
      <c r="D485" s="1308">
        <v>239009985</v>
      </c>
      <c r="E485" s="1309">
        <v>30703.5</v>
      </c>
      <c r="F485" s="818">
        <f>+VLOOKUP(B485,Composición!$C$5:$D$1768,1,0)</f>
        <v>4110112202</v>
      </c>
      <c r="G485" s="818">
        <f>+VLOOKUP(B485,'CA FE'!$A:$A,1,0)</f>
        <v>4110112202</v>
      </c>
      <c r="H485" s="14">
        <f>+VLOOKUP(B485,Composición!$C$4:$H$1742,5,0)</f>
        <v>239009985</v>
      </c>
      <c r="I485" s="14">
        <f>+VLOOKUP(B485,Composición!$C$4:$H$1742,6,0)</f>
        <v>30703.5</v>
      </c>
      <c r="J485" s="830">
        <f t="shared" si="14"/>
        <v>-238979281.5</v>
      </c>
    </row>
    <row r="486" spans="1:16" s="14" customFormat="1" ht="16.5" customHeight="1">
      <c r="A486" s="14" t="str">
        <f t="shared" si="13"/>
        <v>I</v>
      </c>
      <c r="B486" s="1203">
        <v>4110112203</v>
      </c>
      <c r="C486" t="s">
        <v>594</v>
      </c>
      <c r="D486" s="1308">
        <v>3239308</v>
      </c>
      <c r="E486" s="1309">
        <v>438.24</v>
      </c>
      <c r="F486" s="818">
        <f>+VLOOKUP(B486,Composición!$C$5:$D$1768,1,0)</f>
        <v>4110112203</v>
      </c>
      <c r="G486" s="818">
        <f>+VLOOKUP(B486,'CA FE'!$A:$A,1,0)</f>
        <v>4110112203</v>
      </c>
      <c r="H486" s="14">
        <f>+VLOOKUP(B486,Composición!$C$4:$H$1742,5,0)</f>
        <v>3239308</v>
      </c>
      <c r="I486" s="14">
        <f>+VLOOKUP(B486,Composición!$C$4:$H$1742,6,0)</f>
        <v>438.24</v>
      </c>
      <c r="J486" s="830">
        <f t="shared" si="14"/>
        <v>-3238869.76</v>
      </c>
    </row>
    <row r="487" spans="1:16" s="31" customFormat="1" ht="16.5" customHeight="1">
      <c r="A487" s="31" t="str">
        <f t="shared" si="13"/>
        <v>NI</v>
      </c>
      <c r="B487" s="1220">
        <v>4110114</v>
      </c>
      <c r="C487" s="1221" t="s">
        <v>595</v>
      </c>
      <c r="D487" s="1222">
        <v>29780942</v>
      </c>
      <c r="E487" s="1223">
        <v>3968.3</v>
      </c>
      <c r="F487" s="1058">
        <f>+VLOOKUP(B487,Composición!$C$5:$D$1768,1,0)</f>
        <v>4110114</v>
      </c>
      <c r="G487" s="1058">
        <f>+VLOOKUP(B487,'CA FE'!$A:$A,1,0)</f>
        <v>4110114</v>
      </c>
      <c r="H487" s="1048">
        <f>+VLOOKUP(B487,Composición!$C$4:$H$1742,5,0)-D487</f>
        <v>-29780942</v>
      </c>
      <c r="I487" s="1214">
        <f>+VLOOKUP(B487,Composición!$C$4:$H$1742,6,0)-E487</f>
        <v>-3968.3</v>
      </c>
      <c r="J487" s="827">
        <f t="shared" si="14"/>
        <v>-29784910.300000001</v>
      </c>
      <c r="M487" s="14"/>
      <c r="N487" s="14"/>
      <c r="O487" s="14"/>
      <c r="P487" s="14"/>
    </row>
    <row r="488" spans="1:16" s="31" customFormat="1" ht="16.5" customHeight="1">
      <c r="A488" s="31" t="str">
        <f t="shared" si="13"/>
        <v>NI</v>
      </c>
      <c r="B488" s="1220">
        <v>41101141</v>
      </c>
      <c r="C488" s="1221" t="s">
        <v>595</v>
      </c>
      <c r="D488" s="1222">
        <v>29780942</v>
      </c>
      <c r="E488" s="1223">
        <v>3968.3</v>
      </c>
      <c r="F488" s="1058">
        <f>+VLOOKUP(B488,Composición!$C$5:$D$1768,1,0)</f>
        <v>41101141</v>
      </c>
      <c r="G488" s="1058">
        <f>+VLOOKUP(B488,'CA FE'!$A:$A,1,0)</f>
        <v>41101141</v>
      </c>
      <c r="H488" s="1048">
        <f>+VLOOKUP(B488,Composición!$C$4:$H$1742,5,0)-D488</f>
        <v>-29780942</v>
      </c>
      <c r="I488" s="1214">
        <f>+VLOOKUP(B488,Composición!$C$4:$H$1742,6,0)-E488</f>
        <v>-3968.3</v>
      </c>
      <c r="J488" s="827">
        <f t="shared" si="14"/>
        <v>-29784910.300000001</v>
      </c>
      <c r="M488" s="14"/>
      <c r="N488" s="14"/>
      <c r="O488" s="14"/>
      <c r="P488" s="14"/>
    </row>
    <row r="489" spans="1:16" s="14" customFormat="1" ht="16.5" customHeight="1">
      <c r="A489" s="14" t="str">
        <f t="shared" si="13"/>
        <v>I</v>
      </c>
      <c r="B489" s="1203">
        <v>4110114103</v>
      </c>
      <c r="C489" t="s">
        <v>596</v>
      </c>
      <c r="D489" s="1308">
        <v>28280000</v>
      </c>
      <c r="E489" s="1309">
        <v>3768.3</v>
      </c>
      <c r="F489" s="818">
        <f>+VLOOKUP(B489,Composición!$C$5:$D$1768,1,0)</f>
        <v>4110114103</v>
      </c>
      <c r="G489" s="818">
        <f>+VLOOKUP(B489,'CA FE'!$A:$A,1,0)</f>
        <v>4110114103</v>
      </c>
      <c r="H489" s="14">
        <f>+VLOOKUP(B489,Composición!$C$4:$H$1742,5,0)</f>
        <v>28280000</v>
      </c>
      <c r="I489" s="14">
        <f>+VLOOKUP(B489,Composición!$C$4:$H$1742,6,0)</f>
        <v>3768.3</v>
      </c>
      <c r="J489" s="830">
        <f t="shared" si="14"/>
        <v>-28276231.699999999</v>
      </c>
    </row>
    <row r="490" spans="1:16" s="14" customFormat="1" ht="16.5" customHeight="1">
      <c r="A490" s="14" t="str">
        <f t="shared" ref="A490:A553" si="19">IF(LEN(B490)&gt;8,"I","NI")</f>
        <v>I</v>
      </c>
      <c r="B490" s="1203">
        <v>4110114104</v>
      </c>
      <c r="C490" t="s">
        <v>597</v>
      </c>
      <c r="D490" s="1308">
        <v>1500942</v>
      </c>
      <c r="E490" s="1309">
        <v>200</v>
      </c>
      <c r="F490" s="818">
        <f>+VLOOKUP(B490,Composición!$C$5:$D$1768,1,0)</f>
        <v>4110114104</v>
      </c>
      <c r="G490" s="818">
        <f>+VLOOKUP(B490,'CA FE'!$A:$A,1,0)</f>
        <v>4110114104</v>
      </c>
      <c r="H490" s="14">
        <f>+VLOOKUP(B490,Composición!$C$4:$H$1742,5,0)</f>
        <v>1500942</v>
      </c>
      <c r="I490" s="14">
        <f>+VLOOKUP(B490,Composición!$C$4:$H$1742,6,0)</f>
        <v>200</v>
      </c>
      <c r="J490" s="830">
        <f t="shared" si="14"/>
        <v>-1500742</v>
      </c>
    </row>
    <row r="491" spans="1:16" s="31" customFormat="1" ht="16.5" customHeight="1">
      <c r="A491" s="31" t="str">
        <f t="shared" si="19"/>
        <v>NI</v>
      </c>
      <c r="B491" s="1220">
        <v>411013</v>
      </c>
      <c r="C491" s="1221" t="s">
        <v>305</v>
      </c>
      <c r="D491" s="1222">
        <v>1562070120</v>
      </c>
      <c r="E491" s="1223">
        <v>199949.82</v>
      </c>
      <c r="F491" s="1058">
        <f>+VLOOKUP(B491,Composición!$C$5:$D$1768,1,0)</f>
        <v>411013</v>
      </c>
      <c r="G491" s="1058">
        <f>+VLOOKUP(B491,'CA FE'!$A:$A,1,0)</f>
        <v>411013</v>
      </c>
      <c r="H491" s="31">
        <f>+VLOOKUP(B491,Composición!$C$4:$H$1742,5,0)</f>
        <v>0</v>
      </c>
      <c r="I491" s="31">
        <f>+VLOOKUP(B491,Composición!$C$4:$H$1742,6,0)</f>
        <v>0</v>
      </c>
      <c r="J491" s="827">
        <f t="shared" si="14"/>
        <v>-1562070120</v>
      </c>
      <c r="M491" s="14"/>
      <c r="N491" s="14"/>
      <c r="O491" s="14"/>
      <c r="P491" s="14"/>
    </row>
    <row r="492" spans="1:16" s="31" customFormat="1" ht="16.5" customHeight="1">
      <c r="A492" s="31" t="str">
        <f t="shared" si="19"/>
        <v>NI</v>
      </c>
      <c r="B492" s="1220">
        <v>4110131</v>
      </c>
      <c r="C492" s="1221" t="s">
        <v>306</v>
      </c>
      <c r="D492" s="1222">
        <v>1562070120</v>
      </c>
      <c r="E492" s="1223">
        <v>199949.82</v>
      </c>
      <c r="F492" s="1058">
        <f>+VLOOKUP(B492,Composición!$C$5:$D$1768,1,0)</f>
        <v>4110131</v>
      </c>
      <c r="G492" s="1058">
        <f>+VLOOKUP(B492,'CA FE'!$A:$A,1,0)</f>
        <v>4110131</v>
      </c>
      <c r="H492" s="1048">
        <f>+VLOOKUP(B492,Composición!$C$4:$H$1742,5,0)-D492</f>
        <v>-1562070120</v>
      </c>
      <c r="I492" s="1214">
        <f>+VLOOKUP(B492,Composición!$C$4:$H$1742,6,0)-E492</f>
        <v>-199949.82</v>
      </c>
      <c r="J492" s="827">
        <f t="shared" si="14"/>
        <v>-1562270069.8199999</v>
      </c>
      <c r="M492" s="14"/>
      <c r="N492" s="14"/>
      <c r="O492" s="14"/>
      <c r="P492" s="14"/>
    </row>
    <row r="493" spans="1:16" s="31" customFormat="1" ht="16.5" customHeight="1">
      <c r="A493" s="31" t="str">
        <f t="shared" si="19"/>
        <v>NI</v>
      </c>
      <c r="B493" s="1220">
        <v>41101311</v>
      </c>
      <c r="C493" s="1221" t="s">
        <v>306</v>
      </c>
      <c r="D493" s="1222">
        <v>1254232807</v>
      </c>
      <c r="E493" s="1223">
        <v>160368.37</v>
      </c>
      <c r="F493" s="1058">
        <f>+VLOOKUP(B493,Composición!$C$5:$D$1768,1,0)</f>
        <v>41101311</v>
      </c>
      <c r="G493" s="1058">
        <f>+VLOOKUP(B493,'CA FE'!$A:$A,1,0)</f>
        <v>41101311</v>
      </c>
      <c r="H493" s="1048">
        <f>+VLOOKUP(B493,Composición!$C$4:$H$1742,5,0)-D493</f>
        <v>-1254232807</v>
      </c>
      <c r="I493" s="1214">
        <f>+VLOOKUP(B493,Composición!$C$4:$H$1742,6,0)-E493</f>
        <v>-160368.37</v>
      </c>
      <c r="J493" s="827">
        <f t="shared" si="14"/>
        <v>-1254393175.3699999</v>
      </c>
      <c r="M493" s="14"/>
      <c r="N493" s="14"/>
      <c r="O493" s="14"/>
      <c r="P493" s="14"/>
    </row>
    <row r="494" spans="1:16" s="14" customFormat="1" ht="16.5" customHeight="1">
      <c r="A494" s="14" t="str">
        <f t="shared" si="19"/>
        <v>I</v>
      </c>
      <c r="B494" s="1203">
        <v>4110131101</v>
      </c>
      <c r="C494" t="s">
        <v>598</v>
      </c>
      <c r="D494" s="1308">
        <v>1812807</v>
      </c>
      <c r="E494" s="1309">
        <v>250</v>
      </c>
      <c r="F494" s="818">
        <f>+VLOOKUP(B494,Composición!$C$5:$D$1768,1,0)</f>
        <v>4110131101</v>
      </c>
      <c r="G494" s="818">
        <f>+VLOOKUP(B494,'CA FE'!$A:$A,1,0)</f>
        <v>4110131101</v>
      </c>
      <c r="H494" s="14">
        <f>+VLOOKUP(B494,Composición!$C$4:$H$1742,5,0)</f>
        <v>1812807</v>
      </c>
      <c r="I494" s="14">
        <f>+VLOOKUP(B494,Composición!$C$4:$H$1742,6,0)</f>
        <v>250</v>
      </c>
      <c r="J494" s="830">
        <f t="shared" si="14"/>
        <v>-1812557</v>
      </c>
    </row>
    <row r="495" spans="1:16" s="14" customFormat="1" ht="16.5" customHeight="1">
      <c r="A495" s="14" t="str">
        <f t="shared" si="19"/>
        <v>I</v>
      </c>
      <c r="B495" s="1203">
        <v>4110131102</v>
      </c>
      <c r="C495" t="s">
        <v>307</v>
      </c>
      <c r="D495" s="1308">
        <v>103000000</v>
      </c>
      <c r="E495" s="1309">
        <v>13194.66</v>
      </c>
      <c r="F495" s="818">
        <f>+VLOOKUP(B495,Composición!$C$5:$D$1768,1,0)</f>
        <v>4110131102</v>
      </c>
      <c r="G495" s="818">
        <f>+VLOOKUP(B495,'CA FE'!$A:$A,1,0)</f>
        <v>4110131102</v>
      </c>
      <c r="H495" s="1049">
        <f>+VLOOKUP(B495,Composición!$C$4:$H$1742,5,0)-D495</f>
        <v>0</v>
      </c>
      <c r="I495" s="1311">
        <f>+VLOOKUP(B495,Composición!$C$4:$H$1742,6,0)-E495</f>
        <v>0</v>
      </c>
      <c r="J495" s="830">
        <f t="shared" si="14"/>
        <v>-103000000</v>
      </c>
    </row>
    <row r="496" spans="1:16" s="14" customFormat="1" ht="16.5" customHeight="1">
      <c r="A496" s="14" t="str">
        <f t="shared" si="19"/>
        <v>I</v>
      </c>
      <c r="B496" s="1203">
        <v>4110131103</v>
      </c>
      <c r="C496" t="s">
        <v>958</v>
      </c>
      <c r="D496" s="1308">
        <v>1149420000</v>
      </c>
      <c r="E496" s="1309">
        <v>146923.71000000002</v>
      </c>
      <c r="F496" s="818">
        <f>+VLOOKUP(B496,Composición!$C$5:$D$1768,1,0)</f>
        <v>4110131103</v>
      </c>
      <c r="G496" s="818">
        <f>+VLOOKUP(B496,'CA FE'!$A:$A,1,0)</f>
        <v>4110131103</v>
      </c>
      <c r="H496" s="14">
        <f>+VLOOKUP(B496,Composición!$C$4:$H$1742,5,0)</f>
        <v>1149420000</v>
      </c>
      <c r="I496" s="14">
        <f>+VLOOKUP(B496,Composición!$C$4:$H$1742,6,0)</f>
        <v>146923.71000000002</v>
      </c>
      <c r="J496" s="1053">
        <f t="shared" si="14"/>
        <v>-1149273076.29</v>
      </c>
    </row>
    <row r="497" spans="1:16" s="31" customFormat="1" ht="16.5" customHeight="1">
      <c r="A497" s="31" t="str">
        <f t="shared" si="19"/>
        <v>NI</v>
      </c>
      <c r="B497" s="1220">
        <v>41101312</v>
      </c>
      <c r="C497" s="1221" t="s">
        <v>306</v>
      </c>
      <c r="D497" s="1222">
        <v>307837313</v>
      </c>
      <c r="E497" s="1223">
        <v>39581.450000000004</v>
      </c>
      <c r="F497" s="1058">
        <f>+VLOOKUP(B497,Composición!$C$5:$D$1768,1,0)</f>
        <v>41101312</v>
      </c>
      <c r="G497" s="1058">
        <f>+VLOOKUP(B497,'CA FE'!$A:$A,1,0)</f>
        <v>41101312</v>
      </c>
      <c r="H497" s="31">
        <f>+VLOOKUP(B497,Composición!$C$4:$H$1742,5,0)</f>
        <v>0</v>
      </c>
      <c r="I497" s="31">
        <f>+VLOOKUP(B497,Composición!$C$4:$H$1742,6,0)</f>
        <v>0</v>
      </c>
      <c r="J497" s="1054">
        <f t="shared" ref="J497:J560" si="20">+I497-D497</f>
        <v>-307837313</v>
      </c>
      <c r="M497" s="14"/>
      <c r="N497" s="14"/>
      <c r="O497" s="14"/>
      <c r="P497" s="14"/>
    </row>
    <row r="498" spans="1:16" s="14" customFormat="1" ht="16.5" customHeight="1">
      <c r="A498" s="14" t="str">
        <f t="shared" si="19"/>
        <v>I</v>
      </c>
      <c r="B498" s="1203">
        <v>4110131202</v>
      </c>
      <c r="C498" t="s">
        <v>307</v>
      </c>
      <c r="D498" s="1308">
        <v>99189397</v>
      </c>
      <c r="E498" s="1309">
        <v>12881.45</v>
      </c>
      <c r="F498" s="818">
        <f>+VLOOKUP(B498,Composición!$C$5:$D$1768,1,0)</f>
        <v>4110131202</v>
      </c>
      <c r="G498" s="818">
        <f>+VLOOKUP(B498,'CA FE'!$A:$A,1,0)</f>
        <v>4110131202</v>
      </c>
      <c r="H498" s="14">
        <f>+VLOOKUP(B498,Composición!$C$4:$H$1742,5,0)</f>
        <v>99189397</v>
      </c>
      <c r="I498" s="14">
        <f>+VLOOKUP(B498,Composición!$C$4:$H$1742,6,0)</f>
        <v>12881.45</v>
      </c>
      <c r="J498" s="1053">
        <f t="shared" si="20"/>
        <v>-99176515.549999997</v>
      </c>
    </row>
    <row r="499" spans="1:16" s="14" customFormat="1" ht="16.5" customHeight="1">
      <c r="A499" s="14" t="str">
        <f t="shared" si="19"/>
        <v>I</v>
      </c>
      <c r="B499" s="1203">
        <v>4110131203</v>
      </c>
      <c r="C499" t="s">
        <v>958</v>
      </c>
      <c r="D499" s="1308">
        <v>208647916</v>
      </c>
      <c r="E499" s="1309">
        <v>26700</v>
      </c>
      <c r="F499" s="818">
        <f>+VLOOKUP(B499,Composición!$C$5:$D$1768,1,0)</f>
        <v>4110131203</v>
      </c>
      <c r="G499" s="818">
        <f>+VLOOKUP(B499,'CA FE'!$A:$A,1,0)</f>
        <v>4110131203</v>
      </c>
      <c r="H499" s="1049">
        <f>+VLOOKUP(B499,Composición!$C$4:$H$1742,5,0)-D499</f>
        <v>0</v>
      </c>
      <c r="I499" s="1311">
        <f>+VLOOKUP(B499,Composición!$C$4:$H$1742,6,0)-E499</f>
        <v>0</v>
      </c>
      <c r="J499" s="1053">
        <f t="shared" si="20"/>
        <v>-208647916</v>
      </c>
    </row>
    <row r="500" spans="1:16" s="31" customFormat="1" ht="16.5" customHeight="1">
      <c r="A500" s="31" t="str">
        <f t="shared" si="19"/>
        <v>NI</v>
      </c>
      <c r="B500" s="1220">
        <v>411014</v>
      </c>
      <c r="C500" s="1221" t="s">
        <v>308</v>
      </c>
      <c r="D500" s="1222">
        <v>1792258911</v>
      </c>
      <c r="E500" s="1223">
        <v>237573.96</v>
      </c>
      <c r="F500" s="1058">
        <f>+VLOOKUP(B500,Composición!$C$5:$D$1768,1,0)</f>
        <v>411014</v>
      </c>
      <c r="G500" s="1058">
        <f>+VLOOKUP(B500,'CA FE'!$A:$A,1,0)</f>
        <v>411014</v>
      </c>
      <c r="H500" s="1048">
        <f>+VLOOKUP(B500,Composición!$C$4:$H$1742,5,0)-D500</f>
        <v>-1792258911</v>
      </c>
      <c r="I500" s="1214">
        <f>+VLOOKUP(B500,Composición!$C$4:$H$1742,6,0)-E500</f>
        <v>-237573.96</v>
      </c>
      <c r="J500" s="1054">
        <f t="shared" si="20"/>
        <v>-1792496484.96</v>
      </c>
      <c r="M500" s="14"/>
      <c r="N500" s="14"/>
      <c r="O500" s="14"/>
      <c r="P500" s="14"/>
    </row>
    <row r="501" spans="1:16" s="31" customFormat="1" ht="16.5" customHeight="1">
      <c r="A501" s="31" t="str">
        <f t="shared" si="19"/>
        <v>NI</v>
      </c>
      <c r="B501" s="1220">
        <v>4110141</v>
      </c>
      <c r="C501" s="1221" t="s">
        <v>309</v>
      </c>
      <c r="D501" s="1222">
        <v>1672317964</v>
      </c>
      <c r="E501" s="1223">
        <v>221912.91999999995</v>
      </c>
      <c r="F501" s="1058">
        <f>+VLOOKUP(B501,Composición!$C$5:$D$1768,1,0)</f>
        <v>4110141</v>
      </c>
      <c r="G501" s="1058">
        <f>+VLOOKUP(B501,'CA FE'!$A:$A,1,0)</f>
        <v>4110141</v>
      </c>
      <c r="H501" s="1048">
        <f>+VLOOKUP(B501,Composición!$C$4:$H$1742,5,0)-D501</f>
        <v>-1672317964</v>
      </c>
      <c r="I501" s="1214">
        <f>+VLOOKUP(B501,Composición!$C$4:$H$1742,6,0)-E501</f>
        <v>-221912.91999999995</v>
      </c>
      <c r="J501" s="827">
        <f t="shared" si="20"/>
        <v>-1672539876.9200001</v>
      </c>
      <c r="M501" s="14"/>
      <c r="N501" s="14"/>
      <c r="O501" s="14"/>
      <c r="P501" s="14"/>
    </row>
    <row r="502" spans="1:16" s="31" customFormat="1" ht="16.5" customHeight="1">
      <c r="A502" s="31" t="str">
        <f t="shared" si="19"/>
        <v>NI</v>
      </c>
      <c r="B502" s="1220">
        <v>41101411</v>
      </c>
      <c r="C502" s="1221" t="s">
        <v>310</v>
      </c>
      <c r="D502" s="1222">
        <v>388335436</v>
      </c>
      <c r="E502" s="1223">
        <v>51663.64</v>
      </c>
      <c r="F502" s="1058">
        <f>+VLOOKUP(B502,Composición!$C$5:$D$1768,1,0)</f>
        <v>41101411</v>
      </c>
      <c r="G502" s="1058">
        <f>+VLOOKUP(B502,'CA FE'!$A:$A,1,0)</f>
        <v>41101411</v>
      </c>
      <c r="H502" s="31">
        <f>+VLOOKUP(B502,Composición!$C$4:$H$1742,5,0)</f>
        <v>0</v>
      </c>
      <c r="I502" s="31">
        <f>+VLOOKUP(B502,Composición!$C$4:$H$1742,6,0)</f>
        <v>0</v>
      </c>
      <c r="J502" s="1054">
        <f t="shared" si="20"/>
        <v>-388335436</v>
      </c>
      <c r="M502" s="14"/>
      <c r="N502" s="14"/>
      <c r="O502" s="14"/>
      <c r="P502" s="14"/>
    </row>
    <row r="503" spans="1:16" s="14" customFormat="1" ht="16.5" customHeight="1">
      <c r="A503" s="14" t="str">
        <f t="shared" si="19"/>
        <v>I</v>
      </c>
      <c r="B503" s="1203">
        <v>4110141101</v>
      </c>
      <c r="C503" t="s">
        <v>311</v>
      </c>
      <c r="D503" s="1308">
        <v>342051152</v>
      </c>
      <c r="E503" s="1309">
        <v>45501.53</v>
      </c>
      <c r="F503" s="818">
        <f>+VLOOKUP(B503,Composición!$C$5:$D$1768,1,0)</f>
        <v>4110141101</v>
      </c>
      <c r="G503" s="818">
        <f>+VLOOKUP(B503,'CA FE'!$A:$A,1,0)</f>
        <v>4110141101</v>
      </c>
      <c r="H503" s="1049">
        <f>+VLOOKUP(B503,Composición!$C$4:$H$1742,5,0)-D503</f>
        <v>0</v>
      </c>
      <c r="I503" s="1311">
        <f>+VLOOKUP(B503,Composición!$C$4:$H$1742,6,0)-E503</f>
        <v>0</v>
      </c>
      <c r="J503" s="1053">
        <f t="shared" si="20"/>
        <v>-342051152</v>
      </c>
    </row>
    <row r="504" spans="1:16" s="14" customFormat="1" ht="16.5" customHeight="1">
      <c r="A504" s="14" t="str">
        <f t="shared" si="19"/>
        <v>I</v>
      </c>
      <c r="B504" s="1203">
        <v>4110141102</v>
      </c>
      <c r="C504" t="s">
        <v>312</v>
      </c>
      <c r="D504" s="1308">
        <v>39233830</v>
      </c>
      <c r="E504" s="1309">
        <v>5194.05</v>
      </c>
      <c r="F504" s="818">
        <f>+VLOOKUP(B504,Composición!$C$5:$D$1768,1,0)</f>
        <v>4110141102</v>
      </c>
      <c r="G504" s="818">
        <f>+VLOOKUP(B504,'CA FE'!$A:$A,1,0)</f>
        <v>4110141102</v>
      </c>
      <c r="H504" s="1049">
        <f>+VLOOKUP(B504,Composición!$C$4:$H$1742,5,0)-D504</f>
        <v>0</v>
      </c>
      <c r="I504" s="1311">
        <f>+VLOOKUP(B504,Composición!$C$4:$H$1742,6,0)-E504</f>
        <v>0</v>
      </c>
      <c r="J504" s="1053">
        <f t="shared" si="20"/>
        <v>-39233830</v>
      </c>
    </row>
    <row r="505" spans="1:16" s="14" customFormat="1" ht="16.5" customHeight="1">
      <c r="A505" s="14" t="str">
        <f t="shared" si="19"/>
        <v>I</v>
      </c>
      <c r="B505" s="1203">
        <v>4110141106</v>
      </c>
      <c r="C505" t="s">
        <v>314</v>
      </c>
      <c r="D505" s="1308">
        <v>7050454</v>
      </c>
      <c r="E505" s="1309">
        <v>968.06</v>
      </c>
      <c r="F505" s="818">
        <f>+VLOOKUP(B505,Composición!$C$5:$D$1768,1,0)</f>
        <v>4110141106</v>
      </c>
      <c r="G505" s="818">
        <f>+VLOOKUP(B505,'CA FE'!$A:$A,1,0)</f>
        <v>4110141106</v>
      </c>
      <c r="H505" s="14">
        <f>+VLOOKUP(B505,Composición!$C$4:$H$1742,5,0)</f>
        <v>7050454</v>
      </c>
      <c r="I505" s="14">
        <f>+VLOOKUP(B505,Composición!$C$4:$H$1742,6,0)</f>
        <v>968.06</v>
      </c>
      <c r="J505" s="1053">
        <f t="shared" si="20"/>
        <v>-7049485.9400000004</v>
      </c>
    </row>
    <row r="506" spans="1:16" s="31" customFormat="1" ht="16.5" customHeight="1">
      <c r="A506" s="31" t="str">
        <f t="shared" si="19"/>
        <v>NI</v>
      </c>
      <c r="B506" s="1220">
        <v>41101412</v>
      </c>
      <c r="C506" s="1221" t="s">
        <v>315</v>
      </c>
      <c r="D506" s="1222">
        <v>1283982528</v>
      </c>
      <c r="E506" s="1223">
        <v>170249.28</v>
      </c>
      <c r="F506" s="1058">
        <f>+VLOOKUP(B506,Composición!$C$5:$D$1768,1,0)</f>
        <v>41101412</v>
      </c>
      <c r="G506" s="1058">
        <f>+VLOOKUP(B506,'CA FE'!$A:$A,1,0)</f>
        <v>41101412</v>
      </c>
      <c r="H506" s="31">
        <f>+VLOOKUP(B506,Composición!$C$4:$H$1742,5,0)</f>
        <v>0</v>
      </c>
      <c r="I506" s="31">
        <f>+VLOOKUP(B506,Composición!$C$4:$H$1742,6,0)</f>
        <v>0</v>
      </c>
      <c r="J506" s="1054">
        <f t="shared" si="20"/>
        <v>-1283982528</v>
      </c>
      <c r="M506" s="14"/>
      <c r="N506" s="14"/>
      <c r="O506" s="14"/>
      <c r="P506" s="14"/>
    </row>
    <row r="507" spans="1:16" s="14" customFormat="1" ht="16.5" customHeight="1">
      <c r="A507" s="14" t="str">
        <f t="shared" si="19"/>
        <v>I</v>
      </c>
      <c r="B507" s="1203">
        <v>4110141201</v>
      </c>
      <c r="C507" t="s">
        <v>316</v>
      </c>
      <c r="D507" s="1308">
        <v>907329397</v>
      </c>
      <c r="E507" s="1309">
        <v>120392.47</v>
      </c>
      <c r="F507" s="818">
        <f>+VLOOKUP(B507,Composición!$C$5:$D$1768,1,0)</f>
        <v>4110141201</v>
      </c>
      <c r="G507" s="818">
        <f>+VLOOKUP(B507,'CA FE'!$A:$A,1,0)</f>
        <v>4110141201</v>
      </c>
      <c r="H507" s="1049">
        <f>+VLOOKUP(B507,Composición!$C$4:$H$1742,5,0)-D507</f>
        <v>0</v>
      </c>
      <c r="I507" s="1311">
        <f>+VLOOKUP(B507,Composición!$C$4:$H$1742,6,0)-E507</f>
        <v>0</v>
      </c>
      <c r="J507" s="830">
        <f t="shared" si="20"/>
        <v>-907329397</v>
      </c>
    </row>
    <row r="508" spans="1:16" s="14" customFormat="1" ht="16.5" customHeight="1">
      <c r="A508" s="14" t="str">
        <f t="shared" si="19"/>
        <v>I</v>
      </c>
      <c r="B508" s="1203">
        <v>4110141202</v>
      </c>
      <c r="C508" t="s">
        <v>317</v>
      </c>
      <c r="D508" s="1308">
        <v>376653131</v>
      </c>
      <c r="E508" s="1309">
        <v>49856.81</v>
      </c>
      <c r="F508" s="818">
        <f>+VLOOKUP(B508,Composición!$C$5:$D$1768,1,0)</f>
        <v>4110141202</v>
      </c>
      <c r="G508" s="818">
        <f>+VLOOKUP(B508,'CA FE'!$A:$A,1,0)</f>
        <v>4110141202</v>
      </c>
      <c r="H508" s="1049">
        <f>+VLOOKUP(B508,Composición!$C$4:$H$1742,5,0)-D508</f>
        <v>0</v>
      </c>
      <c r="I508" s="1311">
        <f>+VLOOKUP(B508,Composición!$C$4:$H$1742,6,0)-E508</f>
        <v>0</v>
      </c>
      <c r="J508" s="830">
        <f t="shared" si="20"/>
        <v>-376653131</v>
      </c>
    </row>
    <row r="509" spans="1:16" s="31" customFormat="1" ht="16.5" customHeight="1">
      <c r="A509" s="31" t="str">
        <f t="shared" si="19"/>
        <v>NI</v>
      </c>
      <c r="B509" s="1220">
        <v>4110142</v>
      </c>
      <c r="C509" s="1221" t="s">
        <v>318</v>
      </c>
      <c r="D509" s="1222">
        <v>119940947</v>
      </c>
      <c r="E509" s="1223">
        <v>15661.04</v>
      </c>
      <c r="F509" s="1058">
        <f>+VLOOKUP(B509,Composición!$C$5:$D$1768,1,0)</f>
        <v>4110142</v>
      </c>
      <c r="G509" s="1058">
        <f>+VLOOKUP(B509,'CA FE'!$A:$A,1,0)</f>
        <v>4110142</v>
      </c>
      <c r="H509" s="31">
        <f>+VLOOKUP(B509,Composición!$C$4:$H$1742,5,0)</f>
        <v>0</v>
      </c>
      <c r="I509" s="31">
        <f>+VLOOKUP(B509,Composición!$C$4:$H$1742,6,0)</f>
        <v>0</v>
      </c>
      <c r="J509" s="827">
        <f t="shared" si="20"/>
        <v>-119940947</v>
      </c>
      <c r="M509" s="14"/>
      <c r="N509" s="14"/>
      <c r="O509" s="14"/>
      <c r="P509" s="14"/>
    </row>
    <row r="510" spans="1:16" s="31" customFormat="1" ht="16.5" customHeight="1">
      <c r="A510" s="31" t="str">
        <f t="shared" si="19"/>
        <v>NI</v>
      </c>
      <c r="B510" s="1220">
        <v>41101421</v>
      </c>
      <c r="C510" s="1221" t="s">
        <v>319</v>
      </c>
      <c r="D510" s="1222">
        <v>119940947</v>
      </c>
      <c r="E510" s="1223">
        <v>15661.04</v>
      </c>
      <c r="F510" s="1058">
        <f>+VLOOKUP(B510,Composición!$C$5:$D$1768,1,0)</f>
        <v>41101421</v>
      </c>
      <c r="G510" s="1058">
        <f>+VLOOKUP(B510,'CA FE'!$A:$A,1,0)</f>
        <v>41101421</v>
      </c>
      <c r="H510" s="31">
        <f>+VLOOKUP(B510,Composición!$C$4:$H$1742,5,0)</f>
        <v>0</v>
      </c>
      <c r="I510" s="31">
        <f>+VLOOKUP(B510,Composición!$C$4:$H$1742,6,0)</f>
        <v>0</v>
      </c>
      <c r="J510" s="827">
        <f t="shared" si="20"/>
        <v>-119940947</v>
      </c>
      <c r="M510" s="14"/>
      <c r="N510" s="14"/>
      <c r="O510" s="14"/>
      <c r="P510" s="14"/>
    </row>
    <row r="511" spans="1:16" s="14" customFormat="1" ht="16.5" customHeight="1">
      <c r="A511" s="14" t="str">
        <f t="shared" si="19"/>
        <v>I</v>
      </c>
      <c r="B511" s="1203">
        <v>4110142101</v>
      </c>
      <c r="C511" t="s">
        <v>320</v>
      </c>
      <c r="D511" s="1308">
        <v>114528731</v>
      </c>
      <c r="E511" s="1309">
        <v>14938.04</v>
      </c>
      <c r="F511" s="818">
        <f>+VLOOKUP(B511,Composición!$C$5:$D$1768,1,0)</f>
        <v>4110142101</v>
      </c>
      <c r="G511" s="818">
        <f>+VLOOKUP(B511,'CA FE'!$A:$A,1,0)</f>
        <v>4110142101</v>
      </c>
      <c r="H511" s="14">
        <f>+VLOOKUP(B511,Composición!$C$4:$H$1742,5,0)</f>
        <v>114528731</v>
      </c>
      <c r="I511" s="14">
        <f>+VLOOKUP(B511,Composición!$C$4:$H$1742,6,0)</f>
        <v>14938.04</v>
      </c>
      <c r="J511" s="830">
        <f t="shared" si="20"/>
        <v>-114513792.95999999</v>
      </c>
    </row>
    <row r="512" spans="1:16" s="14" customFormat="1" ht="16.5" customHeight="1">
      <c r="A512" s="14" t="str">
        <f t="shared" si="19"/>
        <v>I</v>
      </c>
      <c r="B512" s="1203">
        <v>4110142102</v>
      </c>
      <c r="C512" t="s">
        <v>321</v>
      </c>
      <c r="D512" s="1308">
        <v>5412216</v>
      </c>
      <c r="E512" s="1309">
        <v>723</v>
      </c>
      <c r="F512" s="818">
        <f>+VLOOKUP(B512,Composición!$C$5:$D$1768,1,0)</f>
        <v>4110142102</v>
      </c>
      <c r="G512" s="818">
        <f>+VLOOKUP(B512,'CA FE'!$A:$A,1,0)</f>
        <v>4110142102</v>
      </c>
      <c r="H512" s="14">
        <f>+VLOOKUP(B512,Composición!$C$4:$H$1742,5,0)</f>
        <v>5412216</v>
      </c>
      <c r="I512" s="14">
        <f>+VLOOKUP(B512,Composición!$C$4:$H$1742,6,0)</f>
        <v>723</v>
      </c>
      <c r="J512" s="830">
        <f t="shared" si="20"/>
        <v>-5411493</v>
      </c>
    </row>
    <row r="513" spans="1:16" s="31" customFormat="1" ht="16.5" customHeight="1">
      <c r="A513" s="31" t="str">
        <f t="shared" si="19"/>
        <v>NI</v>
      </c>
      <c r="B513" s="1220">
        <v>412</v>
      </c>
      <c r="C513" s="1221" t="s">
        <v>322</v>
      </c>
      <c r="D513" s="1222">
        <v>20743030601</v>
      </c>
      <c r="E513" s="1223">
        <v>2730432.49</v>
      </c>
      <c r="F513" s="1058">
        <f>+VLOOKUP(B513,Composición!$C$5:$D$1768,1,0)</f>
        <v>412</v>
      </c>
      <c r="G513" s="1058">
        <f>+VLOOKUP(B513,'CA FE'!$A:$A,1,0)</f>
        <v>412</v>
      </c>
      <c r="H513" s="31">
        <f>+VLOOKUP(B513,Composición!$C$4:$H$1742,5,0)</f>
        <v>0</v>
      </c>
      <c r="I513" s="31">
        <f>+VLOOKUP(B513,Composición!$C$4:$H$1742,6,0)</f>
        <v>0</v>
      </c>
      <c r="J513" s="827">
        <f t="shared" si="20"/>
        <v>-20743030601</v>
      </c>
      <c r="M513" s="14"/>
      <c r="N513" s="14"/>
      <c r="O513" s="14"/>
      <c r="P513" s="14"/>
    </row>
    <row r="514" spans="1:16" s="31" customFormat="1" ht="16.5" customHeight="1">
      <c r="A514" s="31" t="str">
        <f t="shared" si="19"/>
        <v>NI</v>
      </c>
      <c r="B514" s="1220">
        <v>41201</v>
      </c>
      <c r="C514" s="1221" t="s">
        <v>322</v>
      </c>
      <c r="D514" s="1222">
        <v>20743030601</v>
      </c>
      <c r="E514" s="1223">
        <v>2730432.49</v>
      </c>
      <c r="F514" s="1058">
        <f>+VLOOKUP(B514,Composición!$C$5:$D$1768,1,0)</f>
        <v>41201</v>
      </c>
      <c r="G514" s="1058">
        <f>+VLOOKUP(B514,'CA FE'!$A:$A,1,0)</f>
        <v>41201</v>
      </c>
      <c r="H514" s="1048">
        <f>+VLOOKUP(B514,Composición!$C$4:$H$1742,5,0)-D514</f>
        <v>-20743030601</v>
      </c>
      <c r="I514" s="1214">
        <f>+VLOOKUP(B514,Composición!$C$4:$H$1742,6,0)-E514</f>
        <v>-2730432.49</v>
      </c>
      <c r="J514" s="1054">
        <f t="shared" si="20"/>
        <v>-20745761033.490002</v>
      </c>
      <c r="M514" s="14"/>
      <c r="N514" s="14"/>
      <c r="O514" s="14"/>
      <c r="P514" s="14"/>
    </row>
    <row r="515" spans="1:16" s="31" customFormat="1" ht="16.5" customHeight="1">
      <c r="A515" s="31" t="str">
        <f t="shared" si="19"/>
        <v>NI</v>
      </c>
      <c r="B515" s="1220">
        <v>412011</v>
      </c>
      <c r="C515" s="1221" t="s">
        <v>322</v>
      </c>
      <c r="D515" s="1222">
        <v>20743030601</v>
      </c>
      <c r="E515" s="1223">
        <v>2730432.49</v>
      </c>
      <c r="F515" s="1058">
        <f>+VLOOKUP(B515,Composición!$C$5:$D$1768,1,0)</f>
        <v>412011</v>
      </c>
      <c r="G515" s="1058">
        <f>+VLOOKUP(B515,'CA FE'!$A:$A,1,0)</f>
        <v>412011</v>
      </c>
      <c r="H515" s="1048">
        <f>+VLOOKUP(B515,Composición!$C$4:$H$1742,5,0)-D515</f>
        <v>-20743030601</v>
      </c>
      <c r="I515" s="1214">
        <f>+VLOOKUP(B515,Composición!$C$4:$H$1742,6,0)-E515</f>
        <v>-2730432.49</v>
      </c>
      <c r="J515" s="827">
        <f t="shared" si="20"/>
        <v>-20745761033.490002</v>
      </c>
      <c r="M515" s="14"/>
      <c r="N515" s="14"/>
      <c r="O515" s="14"/>
      <c r="P515" s="14"/>
    </row>
    <row r="516" spans="1:16" s="31" customFormat="1" ht="16.5" customHeight="1">
      <c r="A516" s="31" t="str">
        <f t="shared" si="19"/>
        <v>NI</v>
      </c>
      <c r="B516" s="1220">
        <v>4120112</v>
      </c>
      <c r="C516" s="1221" t="s">
        <v>323</v>
      </c>
      <c r="D516" s="1222">
        <v>505079365</v>
      </c>
      <c r="E516" s="1223">
        <v>65945.97</v>
      </c>
      <c r="F516" s="1058">
        <f>+VLOOKUP(B516,Composición!$C$5:$D$1768,1,0)</f>
        <v>4120112</v>
      </c>
      <c r="G516" s="1058">
        <f>+VLOOKUP(B516,'CA FE'!$A:$A,1,0)</f>
        <v>4120112</v>
      </c>
      <c r="H516" s="1048">
        <f>+VLOOKUP(B516,Composición!$C$4:$H$1742,5,0)-D516</f>
        <v>-505079365</v>
      </c>
      <c r="I516" s="1214">
        <f>+VLOOKUP(B516,Composición!$C$4:$H$1742,6,0)-E516</f>
        <v>-65945.97</v>
      </c>
      <c r="J516" s="827">
        <f t="shared" si="20"/>
        <v>-505145310.97000003</v>
      </c>
      <c r="M516" s="14"/>
      <c r="N516" s="14"/>
      <c r="O516" s="14"/>
      <c r="P516" s="14"/>
    </row>
    <row r="517" spans="1:16" s="31" customFormat="1" ht="16.5" customHeight="1">
      <c r="A517" s="31" t="str">
        <f t="shared" si="19"/>
        <v>NI</v>
      </c>
      <c r="B517" s="1220">
        <v>41201121</v>
      </c>
      <c r="C517" s="1221" t="s">
        <v>324</v>
      </c>
      <c r="D517" s="1222">
        <v>217597398</v>
      </c>
      <c r="E517" s="1223">
        <v>28407.649999999998</v>
      </c>
      <c r="F517" s="1058">
        <f>+VLOOKUP(B517,Composición!$C$5:$D$1768,1,0)</f>
        <v>41201121</v>
      </c>
      <c r="G517" s="1058">
        <f>+VLOOKUP(B517,'CA FE'!$A:$A,1,0)</f>
        <v>41201121</v>
      </c>
      <c r="H517" s="1048">
        <f>+VLOOKUP(B517,Composición!$C$4:$H$1742,5,0)-D517</f>
        <v>-217597398</v>
      </c>
      <c r="I517" s="1214">
        <f>+VLOOKUP(B517,Composición!$C$4:$H$1742,6,0)-E517</f>
        <v>-28407.649999999998</v>
      </c>
      <c r="J517" s="827">
        <f t="shared" si="20"/>
        <v>-217625805.65000001</v>
      </c>
      <c r="M517" s="14"/>
      <c r="N517" s="14"/>
      <c r="O517" s="14"/>
      <c r="P517" s="14"/>
    </row>
    <row r="518" spans="1:16" s="14" customFormat="1" ht="16.5" customHeight="1">
      <c r="A518" s="14" t="str">
        <f t="shared" si="19"/>
        <v>I</v>
      </c>
      <c r="B518" s="1203">
        <v>4120112101</v>
      </c>
      <c r="C518" t="s">
        <v>325</v>
      </c>
      <c r="D518" s="1308">
        <v>64318988</v>
      </c>
      <c r="E518" s="1309">
        <v>8397.869999999999</v>
      </c>
      <c r="F518" s="818">
        <f>+VLOOKUP(B518,Composición!$C$5:$D$1768,1,0)</f>
        <v>4120112101</v>
      </c>
      <c r="G518" s="818">
        <f>+VLOOKUP(B518,'CA FE'!$A:$A,1,0)</f>
        <v>4120112101</v>
      </c>
      <c r="H518" s="14">
        <f>+VLOOKUP(B518,Composición!$C$4:$H$1742,5,0)</f>
        <v>64318988</v>
      </c>
      <c r="I518" s="14">
        <f>+VLOOKUP(B518,Composición!$C$4:$H$1742,6,0)</f>
        <v>8397.869999999999</v>
      </c>
      <c r="J518" s="830">
        <f t="shared" si="20"/>
        <v>-64310590.130000003</v>
      </c>
    </row>
    <row r="519" spans="1:16" s="14" customFormat="1" ht="16.5" customHeight="1">
      <c r="A519" s="14" t="str">
        <f t="shared" si="19"/>
        <v>I</v>
      </c>
      <c r="B519" s="1203">
        <v>4120112102</v>
      </c>
      <c r="C519" t="s">
        <v>326</v>
      </c>
      <c r="D519" s="1308">
        <v>5523664</v>
      </c>
      <c r="E519" s="1309">
        <v>732.04000000000008</v>
      </c>
      <c r="F519" s="818">
        <f>+VLOOKUP(B519,Composición!$C$5:$D$1768,1,0)</f>
        <v>4120112102</v>
      </c>
      <c r="G519" s="818">
        <f>+VLOOKUP(B519,'CA FE'!$A:$A,1,0)</f>
        <v>4120112102</v>
      </c>
      <c r="H519" s="1049">
        <f>+VLOOKUP(B519,Composición!$C$4:$H$1742,5,0)-D519</f>
        <v>0</v>
      </c>
      <c r="I519" s="1311">
        <f>+VLOOKUP(B519,Composición!$C$4:$H$1742,6,0)-E519</f>
        <v>0</v>
      </c>
      <c r="J519" s="830">
        <f t="shared" si="20"/>
        <v>-5523664</v>
      </c>
    </row>
    <row r="520" spans="1:16" s="14" customFormat="1" ht="16.5" customHeight="1">
      <c r="A520" s="14" t="str">
        <f t="shared" si="19"/>
        <v>I</v>
      </c>
      <c r="B520" s="1203">
        <v>4120112104</v>
      </c>
      <c r="C520" t="s">
        <v>327</v>
      </c>
      <c r="D520" s="1308">
        <v>126762105</v>
      </c>
      <c r="E520" s="1309">
        <v>16507.04</v>
      </c>
      <c r="F520" s="818">
        <f>+VLOOKUP(B520,Composición!$C$5:$D$1768,1,0)</f>
        <v>4120112104</v>
      </c>
      <c r="G520" s="818">
        <f>+VLOOKUP(B520,'CA FE'!$A:$A,1,0)</f>
        <v>4120112104</v>
      </c>
      <c r="H520" s="1049">
        <f>+VLOOKUP(B520,Composición!$C$4:$H$1742,5,0)-D520</f>
        <v>0</v>
      </c>
      <c r="I520" s="1311">
        <f>+VLOOKUP(B520,Composición!$C$4:$H$1742,6,0)-E520</f>
        <v>0</v>
      </c>
      <c r="J520" s="830">
        <f t="shared" si="20"/>
        <v>-126762105</v>
      </c>
    </row>
    <row r="521" spans="1:16" s="14" customFormat="1" ht="16.5" customHeight="1">
      <c r="A521" s="14" t="str">
        <f t="shared" si="19"/>
        <v>I</v>
      </c>
      <c r="B521" s="1203">
        <v>4120112107</v>
      </c>
      <c r="C521" t="s">
        <v>328</v>
      </c>
      <c r="D521" s="1308">
        <v>20992641</v>
      </c>
      <c r="E521" s="1309">
        <v>2770.7</v>
      </c>
      <c r="F521" s="818">
        <f>+VLOOKUP(B521,Composición!$C$5:$D$1768,1,0)</f>
        <v>4120112107</v>
      </c>
      <c r="G521" s="818">
        <f>+VLOOKUP(B521,'CA FE'!$A:$A,1,0)</f>
        <v>4120112107</v>
      </c>
      <c r="H521" s="1049">
        <f>+VLOOKUP(B521,Composición!$C$4:$H$1742,5,0)-D521</f>
        <v>0</v>
      </c>
      <c r="I521" s="1311">
        <f>+VLOOKUP(B521,Composición!$C$4:$H$1742,6,0)-E521</f>
        <v>0</v>
      </c>
      <c r="J521" s="830">
        <f t="shared" si="20"/>
        <v>-20992641</v>
      </c>
    </row>
    <row r="522" spans="1:16" s="31" customFormat="1" ht="16.5" customHeight="1">
      <c r="A522" s="31" t="str">
        <f t="shared" si="19"/>
        <v>NI</v>
      </c>
      <c r="B522" s="1220">
        <v>41201122</v>
      </c>
      <c r="C522" s="1221" t="s">
        <v>329</v>
      </c>
      <c r="D522" s="1222">
        <v>287481967</v>
      </c>
      <c r="E522" s="1223">
        <v>37538.32</v>
      </c>
      <c r="F522" s="1058">
        <f>+VLOOKUP(B522,Composición!$C$5:$D$1768,1,0)</f>
        <v>41201122</v>
      </c>
      <c r="G522" s="1058">
        <f>+VLOOKUP(B522,'CA FE'!$A:$A,1,0)</f>
        <v>41201122</v>
      </c>
      <c r="H522" s="31">
        <f>+VLOOKUP(B522,Composición!$C$4:$H$1742,5,0)</f>
        <v>0</v>
      </c>
      <c r="I522" s="31">
        <f>+VLOOKUP(B522,Composición!$C$4:$H$1742,6,0)</f>
        <v>0</v>
      </c>
      <c r="J522" s="1054">
        <f t="shared" si="20"/>
        <v>-287481967</v>
      </c>
      <c r="M522" s="14"/>
      <c r="N522" s="14"/>
      <c r="O522" s="14"/>
      <c r="P522" s="14"/>
    </row>
    <row r="523" spans="1:16" s="14" customFormat="1" ht="16.5" customHeight="1">
      <c r="A523" s="14" t="str">
        <f t="shared" si="19"/>
        <v>I</v>
      </c>
      <c r="B523" s="1203">
        <v>4120112201</v>
      </c>
      <c r="C523" t="s">
        <v>325</v>
      </c>
      <c r="D523" s="1308">
        <v>224159102</v>
      </c>
      <c r="E523" s="1309">
        <v>29277.08</v>
      </c>
      <c r="F523" s="818">
        <f>+VLOOKUP(B523,Composición!$C$5:$D$1768,1,0)</f>
        <v>4120112201</v>
      </c>
      <c r="G523" s="818">
        <f>+VLOOKUP(B523,'CA FE'!$A:$A,1,0)</f>
        <v>4120112201</v>
      </c>
      <c r="H523" s="14">
        <f>+VLOOKUP(B523,Composición!$C$4:$H$1742,5,0)</f>
        <v>224159102</v>
      </c>
      <c r="I523" s="14">
        <f>+VLOOKUP(B523,Composición!$C$4:$H$1742,6,0)</f>
        <v>29277.08</v>
      </c>
      <c r="J523" s="830">
        <f t="shared" si="20"/>
        <v>-224129824.91999999</v>
      </c>
    </row>
    <row r="524" spans="1:16" s="14" customFormat="1" ht="16.5" customHeight="1">
      <c r="A524" s="14" t="str">
        <f t="shared" si="19"/>
        <v>I</v>
      </c>
      <c r="B524" s="1203">
        <v>4120112202</v>
      </c>
      <c r="C524" t="s">
        <v>326</v>
      </c>
      <c r="D524" s="1308">
        <v>62673360</v>
      </c>
      <c r="E524" s="1309">
        <v>8172.48</v>
      </c>
      <c r="F524" s="818">
        <f>+VLOOKUP(B524,Composición!$C$5:$D$1768,1,0)</f>
        <v>4120112202</v>
      </c>
      <c r="G524" s="818">
        <f>+VLOOKUP(B524,'CA FE'!$A:$A,1,0)</f>
        <v>4120112202</v>
      </c>
      <c r="H524" s="1049">
        <f>+VLOOKUP(B524,Composición!$C$4:$H$1742,5,0)-D524</f>
        <v>0</v>
      </c>
      <c r="I524" s="1311">
        <f>+VLOOKUP(B524,Composición!$C$4:$H$1742,6,0)-E524</f>
        <v>0</v>
      </c>
      <c r="J524" s="830">
        <f t="shared" si="20"/>
        <v>-62673360</v>
      </c>
    </row>
    <row r="525" spans="1:16" s="14" customFormat="1" ht="16.5" customHeight="1">
      <c r="A525" s="14" t="str">
        <f t="shared" si="19"/>
        <v>I</v>
      </c>
      <c r="B525" s="1203">
        <v>4120112204</v>
      </c>
      <c r="C525" t="s">
        <v>327</v>
      </c>
      <c r="D525" s="1308">
        <v>649505</v>
      </c>
      <c r="E525" s="1309">
        <v>88.759999999999991</v>
      </c>
      <c r="F525" s="818">
        <f>+VLOOKUP(B525,Composición!$C$5:$D$1768,1,0)</f>
        <v>4120112204</v>
      </c>
      <c r="G525" s="818">
        <f>+VLOOKUP(B525,'CA FE'!$A:$A,1,0)</f>
        <v>4120112204</v>
      </c>
      <c r="H525" s="1049">
        <f>+VLOOKUP(B525,Composición!$C$4:$H$1742,5,0)-D525</f>
        <v>0</v>
      </c>
      <c r="I525" s="1311">
        <f>+VLOOKUP(B525,Composición!$C$4:$H$1742,6,0)-E525</f>
        <v>0</v>
      </c>
      <c r="J525" s="1053">
        <f t="shared" si="20"/>
        <v>-649505</v>
      </c>
    </row>
    <row r="526" spans="1:16" s="31" customFormat="1" ht="16.5" customHeight="1">
      <c r="A526" s="31" t="str">
        <f t="shared" si="19"/>
        <v>NI</v>
      </c>
      <c r="B526" s="1220">
        <v>4120113</v>
      </c>
      <c r="C526" s="1221" t="s">
        <v>330</v>
      </c>
      <c r="D526" s="1222">
        <v>20237951236</v>
      </c>
      <c r="E526" s="1223">
        <v>2664486.5199999996</v>
      </c>
      <c r="F526" s="1058">
        <f>+VLOOKUP(B526,Composición!$C$5:$D$1768,1,0)</f>
        <v>4120113</v>
      </c>
      <c r="G526" s="1058">
        <f>+VLOOKUP(B526,'CA FE'!$A:$A,1,0)</f>
        <v>4120113</v>
      </c>
      <c r="H526" s="1048">
        <f>+VLOOKUP(B526,Composición!$C$4:$H$1742,5,0)-D526</f>
        <v>-20237951236</v>
      </c>
      <c r="I526" s="1214">
        <f>+VLOOKUP(B526,Composición!$C$4:$H$1742,6,0)-E526</f>
        <v>-2664486.5199999996</v>
      </c>
      <c r="J526" s="1054">
        <f t="shared" si="20"/>
        <v>-20240615722.52</v>
      </c>
      <c r="M526" s="14"/>
      <c r="N526" s="14"/>
      <c r="O526" s="14"/>
      <c r="P526" s="14"/>
    </row>
    <row r="527" spans="1:16" s="31" customFormat="1" ht="16.5" customHeight="1">
      <c r="A527" s="31" t="str">
        <f t="shared" si="19"/>
        <v>NI</v>
      </c>
      <c r="B527" s="1220">
        <v>41201131</v>
      </c>
      <c r="C527" s="1221" t="s">
        <v>330</v>
      </c>
      <c r="D527" s="1222">
        <v>20237951236</v>
      </c>
      <c r="E527" s="1223">
        <v>2664486.5199999996</v>
      </c>
      <c r="F527" s="1058">
        <f>+VLOOKUP(B527,Composición!$C$5:$D$1768,1,0)</f>
        <v>41201131</v>
      </c>
      <c r="G527" s="1058">
        <f>+VLOOKUP(B527,'CA FE'!$A:$A,1,0)</f>
        <v>41201131</v>
      </c>
      <c r="H527" s="1048">
        <f>+VLOOKUP(B527,Composición!$C$4:$H$1742,5,0)-D527</f>
        <v>-20237951236</v>
      </c>
      <c r="I527" s="1214">
        <f>+VLOOKUP(B527,Composición!$C$4:$H$1742,6,0)-E527</f>
        <v>-2664486.5199999996</v>
      </c>
      <c r="J527" s="827">
        <f t="shared" si="20"/>
        <v>-20240615722.52</v>
      </c>
      <c r="M527" s="14"/>
      <c r="N527" s="14"/>
      <c r="O527" s="14"/>
      <c r="P527" s="14"/>
    </row>
    <row r="528" spans="1:16" s="14" customFormat="1" ht="16.5" customHeight="1">
      <c r="A528" s="14" t="str">
        <f t="shared" si="19"/>
        <v>I</v>
      </c>
      <c r="B528" s="1203">
        <v>4120113101</v>
      </c>
      <c r="C528" t="s">
        <v>331</v>
      </c>
      <c r="D528" s="1308">
        <v>1485314532</v>
      </c>
      <c r="E528" s="1309">
        <v>193060.44999999998</v>
      </c>
      <c r="F528" s="818">
        <f>+VLOOKUP(B528,Composición!$C$5:$D$1768,1,0)</f>
        <v>4120113101</v>
      </c>
      <c r="G528" s="818">
        <f>+VLOOKUP(B528,'CA FE'!$A:$A,1,0)</f>
        <v>4120113101</v>
      </c>
      <c r="H528" s="1049">
        <f>+VLOOKUP(B528,Composición!$C$4:$H$1742,5,0)-D528</f>
        <v>0</v>
      </c>
      <c r="I528" s="1311">
        <f>+VLOOKUP(B528,Composición!$C$4:$H$1742,6,0)-E528</f>
        <v>0</v>
      </c>
      <c r="J528" s="830">
        <f t="shared" si="20"/>
        <v>-1485314532</v>
      </c>
    </row>
    <row r="529" spans="1:16" s="14" customFormat="1" ht="16.5" customHeight="1">
      <c r="A529" s="14" t="str">
        <f t="shared" si="19"/>
        <v>I</v>
      </c>
      <c r="B529" s="1203">
        <v>4120113103</v>
      </c>
      <c r="C529" t="s">
        <v>36</v>
      </c>
      <c r="D529" s="1308">
        <v>8526429227</v>
      </c>
      <c r="E529" s="1309">
        <v>1132669.56</v>
      </c>
      <c r="F529" s="818">
        <f>+VLOOKUP(B529,Composición!$C$5:$D$1768,1,0)</f>
        <v>4120113103</v>
      </c>
      <c r="G529" s="818">
        <f>+VLOOKUP(B529,'CA FE'!$A:$A,1,0)</f>
        <v>4120113103</v>
      </c>
      <c r="H529" s="14">
        <f>+VLOOKUP(B529,Composición!$C$4:$H$1742,5,0)</f>
        <v>8526429227</v>
      </c>
      <c r="I529" s="14">
        <f>+VLOOKUP(B529,Composición!$C$4:$H$1742,6,0)</f>
        <v>1132669.56</v>
      </c>
      <c r="J529" s="830">
        <f t="shared" si="20"/>
        <v>-8525296557.4399996</v>
      </c>
    </row>
    <row r="530" spans="1:16" s="14" customFormat="1" ht="16.5" customHeight="1">
      <c r="A530" s="14" t="str">
        <f t="shared" si="19"/>
        <v>I</v>
      </c>
      <c r="B530" s="1203">
        <v>4120113104</v>
      </c>
      <c r="C530" t="s">
        <v>37</v>
      </c>
      <c r="D530" s="1308">
        <v>4588785989</v>
      </c>
      <c r="E530" s="1309">
        <v>609325.89</v>
      </c>
      <c r="F530" s="818">
        <f>+VLOOKUP(B530,Composición!$C$5:$D$1768,1,0)</f>
        <v>4120113104</v>
      </c>
      <c r="G530" s="818">
        <f>+VLOOKUP(B530,'CA FE'!$A:$A,1,0)</f>
        <v>4120113104</v>
      </c>
      <c r="H530" s="14">
        <f>+VLOOKUP(B530,Composición!$C$4:$H$1742,5,0)</f>
        <v>4588785989</v>
      </c>
      <c r="I530" s="14">
        <f>+VLOOKUP(B530,Composición!$C$4:$H$1742,6,0)</f>
        <v>609325.89</v>
      </c>
      <c r="J530" s="830">
        <f t="shared" si="20"/>
        <v>-4588176663.1099997</v>
      </c>
    </row>
    <row r="531" spans="1:16" s="14" customFormat="1" ht="16.5" customHeight="1">
      <c r="A531" s="14" t="str">
        <f t="shared" si="19"/>
        <v>I</v>
      </c>
      <c r="B531" s="1203">
        <v>4120113105</v>
      </c>
      <c r="C531" t="s">
        <v>38</v>
      </c>
      <c r="D531" s="1308">
        <v>3863694699</v>
      </c>
      <c r="E531" s="1309">
        <v>501266.03</v>
      </c>
      <c r="F531" s="818">
        <f>+VLOOKUP(B531,Composición!$C$5:$D$1768,1,0)</f>
        <v>4120113105</v>
      </c>
      <c r="G531" s="818">
        <f>+VLOOKUP(B531,'CA FE'!$A:$A,1,0)</f>
        <v>4120113105</v>
      </c>
      <c r="H531" s="14">
        <f>+VLOOKUP(B531,Composición!$C$4:$H$1742,5,0)</f>
        <v>3863694699</v>
      </c>
      <c r="I531" s="14">
        <f>+VLOOKUP(B531,Composición!$C$4:$H$1742,6,0)</f>
        <v>501266.03</v>
      </c>
      <c r="J531" s="830">
        <f t="shared" si="20"/>
        <v>-3863193432.9699998</v>
      </c>
    </row>
    <row r="532" spans="1:16" s="14" customFormat="1" ht="16.5" customHeight="1">
      <c r="A532" s="14" t="str">
        <f t="shared" si="19"/>
        <v>I</v>
      </c>
      <c r="B532" s="1203">
        <v>4120113106</v>
      </c>
      <c r="C532" t="s">
        <v>39</v>
      </c>
      <c r="D532" s="1308">
        <v>1773726789</v>
      </c>
      <c r="E532" s="1309">
        <v>228164.59</v>
      </c>
      <c r="F532" s="818">
        <f>+VLOOKUP(B532,Composición!$C$5:$D$1768,1,0)</f>
        <v>4120113106</v>
      </c>
      <c r="G532" s="818">
        <f>+VLOOKUP(B532,'CA FE'!$A:$A,1,0)</f>
        <v>4120113106</v>
      </c>
      <c r="H532" s="14">
        <f>+VLOOKUP(B532,Composición!$C$4:$H$1742,5,0)</f>
        <v>1773726789</v>
      </c>
      <c r="I532" s="14">
        <f>+VLOOKUP(B532,Composición!$C$4:$H$1742,6,0)</f>
        <v>228164.59</v>
      </c>
      <c r="J532" s="830">
        <f t="shared" si="20"/>
        <v>-1773498624.4100001</v>
      </c>
    </row>
    <row r="533" spans="1:16" s="31" customFormat="1" ht="16.5" customHeight="1">
      <c r="A533" s="31" t="str">
        <f t="shared" si="19"/>
        <v>NI</v>
      </c>
      <c r="B533" s="1220">
        <v>413</v>
      </c>
      <c r="C533" s="1221" t="s">
        <v>332</v>
      </c>
      <c r="D533" s="1222">
        <v>10522651903</v>
      </c>
      <c r="E533" s="1223">
        <v>1388561.82</v>
      </c>
      <c r="F533" s="1058">
        <f>+VLOOKUP(B533,Composición!$C$5:$D$1768,1,0)</f>
        <v>413</v>
      </c>
      <c r="G533" s="1058">
        <f>+VLOOKUP(B533,'CA FE'!$A:$A,1,0)</f>
        <v>413</v>
      </c>
      <c r="H533" s="31">
        <f>+VLOOKUP(B533,Composición!$C$4:$H$1742,5,0)</f>
        <v>0</v>
      </c>
      <c r="I533" s="31">
        <f>+VLOOKUP(B533,Composición!$C$4:$H$1742,6,0)</f>
        <v>0</v>
      </c>
      <c r="J533" s="827">
        <f t="shared" si="20"/>
        <v>-10522651903</v>
      </c>
      <c r="M533" s="14"/>
      <c r="N533" s="14"/>
      <c r="O533" s="14"/>
      <c r="P533" s="14"/>
    </row>
    <row r="534" spans="1:16" s="31" customFormat="1" ht="16.5" customHeight="1">
      <c r="A534" s="31" t="str">
        <f t="shared" si="19"/>
        <v>NI</v>
      </c>
      <c r="B534" s="1220">
        <v>41301</v>
      </c>
      <c r="C534" s="1221" t="s">
        <v>333</v>
      </c>
      <c r="D534" s="1222">
        <v>10522651903</v>
      </c>
      <c r="E534" s="1223">
        <v>1388561.82</v>
      </c>
      <c r="F534" s="1058">
        <f>+VLOOKUP(B534,Composición!$C$5:$D$1768,1,0)</f>
        <v>41301</v>
      </c>
      <c r="G534" s="1058">
        <f>+VLOOKUP(B534,'CA FE'!$A:$A,1,0)</f>
        <v>41301</v>
      </c>
      <c r="H534" s="1048">
        <f>+VLOOKUP(B534,Composición!$C$4:$H$1742,5,0)-D534</f>
        <v>-10522651903</v>
      </c>
      <c r="I534" s="1214">
        <f>+VLOOKUP(B534,Composición!$C$4:$H$1742,6,0)-E534</f>
        <v>-1388561.82</v>
      </c>
      <c r="J534" s="1054">
        <f t="shared" si="20"/>
        <v>-10524040464.82</v>
      </c>
      <c r="M534" s="14"/>
      <c r="N534" s="14"/>
      <c r="O534" s="14"/>
      <c r="P534" s="14"/>
    </row>
    <row r="535" spans="1:16" s="31" customFormat="1" ht="16.5" customHeight="1">
      <c r="A535" s="31" t="str">
        <f t="shared" si="19"/>
        <v>NI</v>
      </c>
      <c r="B535" s="1220">
        <v>413011</v>
      </c>
      <c r="C535" s="1221" t="s">
        <v>333</v>
      </c>
      <c r="D535" s="1222">
        <v>10522651903</v>
      </c>
      <c r="E535" s="1223">
        <v>1388561.82</v>
      </c>
      <c r="F535" s="1058">
        <f>+VLOOKUP(B535,Composición!$C$5:$D$1768,1,0)</f>
        <v>413011</v>
      </c>
      <c r="G535" s="1058">
        <f>+VLOOKUP(B535,'CA FE'!$A:$A,1,0)</f>
        <v>413011</v>
      </c>
      <c r="H535" s="1048">
        <f>+VLOOKUP(B535,Composición!$C$4:$H$1742,5,0)-D535</f>
        <v>-10522651903</v>
      </c>
      <c r="I535" s="1214">
        <f>+VLOOKUP(B535,Composición!$C$4:$H$1742,6,0)-E535</f>
        <v>-1388561.82</v>
      </c>
      <c r="J535" s="827">
        <f t="shared" si="20"/>
        <v>-10524040464.82</v>
      </c>
      <c r="M535" s="14"/>
      <c r="N535" s="14"/>
      <c r="O535" s="14"/>
      <c r="P535" s="14"/>
    </row>
    <row r="536" spans="1:16" s="31" customFormat="1" ht="16.5" customHeight="1">
      <c r="A536" s="31" t="str">
        <f t="shared" si="19"/>
        <v>NI</v>
      </c>
      <c r="B536" s="1220">
        <v>4130111</v>
      </c>
      <c r="C536" s="1221" t="s">
        <v>333</v>
      </c>
      <c r="D536" s="1222">
        <v>6330594262</v>
      </c>
      <c r="E536" s="1223">
        <v>832160.91999999993</v>
      </c>
      <c r="F536" s="1058">
        <f>+VLOOKUP(B536,Composición!$C$5:$D$1768,1,0)</f>
        <v>4130111</v>
      </c>
      <c r="G536" s="1058">
        <f>+VLOOKUP(B536,'CA FE'!$A:$A,1,0)</f>
        <v>4130111</v>
      </c>
      <c r="H536" s="1048">
        <f>+VLOOKUP(B536,Composición!$C$4:$H$1742,5,0)-D536</f>
        <v>-6330594262</v>
      </c>
      <c r="I536" s="1214">
        <f>+VLOOKUP(B536,Composición!$C$4:$H$1742,6,0)-E536</f>
        <v>-832160.91999999993</v>
      </c>
      <c r="J536" s="827">
        <f t="shared" si="20"/>
        <v>-6331426422.9200001</v>
      </c>
      <c r="M536" s="14"/>
      <c r="N536" s="14"/>
      <c r="O536" s="14"/>
      <c r="P536" s="14"/>
    </row>
    <row r="537" spans="1:16" s="31" customFormat="1" ht="16.5" customHeight="1">
      <c r="A537" s="31" t="str">
        <f t="shared" si="19"/>
        <v>NI</v>
      </c>
      <c r="B537" s="1220">
        <v>41301111</v>
      </c>
      <c r="C537" s="1221" t="s">
        <v>333</v>
      </c>
      <c r="D537" s="1222">
        <v>6126455808</v>
      </c>
      <c r="E537" s="1223">
        <v>804917.02</v>
      </c>
      <c r="F537" s="1058">
        <f>+VLOOKUP(B537,Composición!$C$5:$D$1768,1,0)</f>
        <v>41301111</v>
      </c>
      <c r="G537" s="1058">
        <f>+VLOOKUP(B537,'CA FE'!$A:$A,1,0)</f>
        <v>41301111</v>
      </c>
      <c r="H537" s="1048">
        <f>+VLOOKUP(B537,Composición!$C$4:$H$1742,5,0)-D537</f>
        <v>-6126455808</v>
      </c>
      <c r="I537" s="1214">
        <f>+VLOOKUP(B537,Composición!$C$4:$H$1742,6,0)-E537</f>
        <v>-804917.02</v>
      </c>
      <c r="J537" s="827">
        <f t="shared" si="20"/>
        <v>-6127260725.0200005</v>
      </c>
      <c r="M537" s="14"/>
      <c r="N537" s="14"/>
      <c r="O537" s="14"/>
      <c r="P537" s="14"/>
    </row>
    <row r="538" spans="1:16" s="14" customFormat="1" ht="16.5" customHeight="1">
      <c r="A538" s="14" t="str">
        <f t="shared" si="19"/>
        <v>I</v>
      </c>
      <c r="B538" s="1203">
        <v>4130111101</v>
      </c>
      <c r="C538" t="s">
        <v>57</v>
      </c>
      <c r="D538" s="1308">
        <v>339818209</v>
      </c>
      <c r="E538" s="1309">
        <v>44771.729999999996</v>
      </c>
      <c r="F538" s="818">
        <f>+VLOOKUP(B538,Composición!$C$5:$D$1768,1,0)</f>
        <v>4130111101</v>
      </c>
      <c r="G538" s="818">
        <f>+VLOOKUP(B538,'CA FE'!$A:$A,1,0)</f>
        <v>4130111101</v>
      </c>
      <c r="H538" s="1049">
        <f>+VLOOKUP(B538,Composición!$C$4:$H$1742,5,0)-D538</f>
        <v>0</v>
      </c>
      <c r="I538" s="1311">
        <f>+VLOOKUP(B538,Composición!$C$4:$H$1742,6,0)-E538</f>
        <v>0</v>
      </c>
      <c r="J538" s="830">
        <f t="shared" si="20"/>
        <v>-339818209</v>
      </c>
    </row>
    <row r="539" spans="1:16" s="14" customFormat="1" ht="16.5" customHeight="1">
      <c r="A539" s="14" t="str">
        <f t="shared" si="19"/>
        <v>I</v>
      </c>
      <c r="B539" s="1203">
        <v>4130111102</v>
      </c>
      <c r="C539" t="s">
        <v>254</v>
      </c>
      <c r="D539" s="1308">
        <v>16993272</v>
      </c>
      <c r="E539" s="1309">
        <v>2205.62</v>
      </c>
      <c r="F539" s="818">
        <f>+VLOOKUP(B539,Composición!$C$5:$D$1768,1,0)</f>
        <v>4130111102</v>
      </c>
      <c r="G539" s="818">
        <f>+VLOOKUP(B539,'CA FE'!$A:$A,1,0)</f>
        <v>4130111102</v>
      </c>
      <c r="H539" s="1049">
        <f>+VLOOKUP(B539,Composición!$C$4:$H$1742,5,0)-D539</f>
        <v>0</v>
      </c>
      <c r="I539" s="1311">
        <f>+VLOOKUP(B539,Composición!$C$4:$H$1742,6,0)-E539</f>
        <v>0</v>
      </c>
      <c r="J539" s="830">
        <f t="shared" si="20"/>
        <v>-16993272</v>
      </c>
    </row>
    <row r="540" spans="1:16" s="14" customFormat="1" ht="16.5" customHeight="1">
      <c r="A540" s="14" t="str">
        <f t="shared" si="19"/>
        <v>I</v>
      </c>
      <c r="B540" s="1203">
        <v>4130111103</v>
      </c>
      <c r="C540" t="s">
        <v>256</v>
      </c>
      <c r="D540" s="1308">
        <v>215586807</v>
      </c>
      <c r="E540" s="1309">
        <v>28719.89</v>
      </c>
      <c r="F540" s="818">
        <f>+VLOOKUP(B540,Composición!$C$5:$D$1768,1,0)</f>
        <v>4130111103</v>
      </c>
      <c r="G540" s="818">
        <f>+VLOOKUP(B540,'CA FE'!$A:$A,1,0)</f>
        <v>4130111103</v>
      </c>
      <c r="H540" s="1049">
        <f>+VLOOKUP(B540,Composición!$C$4:$H$1742,5,0)-D540</f>
        <v>0</v>
      </c>
      <c r="I540" s="1311">
        <f>+VLOOKUP(B540,Composición!$C$4:$H$1742,6,0)-E540</f>
        <v>0</v>
      </c>
      <c r="J540" s="830">
        <f t="shared" si="20"/>
        <v>-215586807</v>
      </c>
    </row>
    <row r="541" spans="1:16" s="14" customFormat="1" ht="16.5" customHeight="1">
      <c r="A541" s="14" t="str">
        <f t="shared" si="19"/>
        <v>I</v>
      </c>
      <c r="B541" s="1203">
        <v>4130111104</v>
      </c>
      <c r="C541" t="s">
        <v>258</v>
      </c>
      <c r="D541" s="1308">
        <v>14842381</v>
      </c>
      <c r="E541" s="1309">
        <v>1998.88</v>
      </c>
      <c r="F541" s="818">
        <f>+VLOOKUP(B541,Composición!$C$5:$D$1768,1,0)</f>
        <v>4130111104</v>
      </c>
      <c r="G541" s="818">
        <f>+VLOOKUP(B541,'CA FE'!$A:$A,1,0)</f>
        <v>4130111104</v>
      </c>
      <c r="H541" s="1049">
        <f>+VLOOKUP(B541,Composición!$C$4:$H$1742,5,0)-D541</f>
        <v>0</v>
      </c>
      <c r="I541" s="1311">
        <f>+VLOOKUP(B541,Composición!$C$4:$H$1742,6,0)-E541</f>
        <v>0</v>
      </c>
      <c r="J541" s="1053">
        <f t="shared" si="20"/>
        <v>-14842381</v>
      </c>
    </row>
    <row r="542" spans="1:16" s="14" customFormat="1" ht="16.5" customHeight="1">
      <c r="A542" s="14" t="str">
        <f t="shared" si="19"/>
        <v>I</v>
      </c>
      <c r="B542" s="1203">
        <v>4130111105</v>
      </c>
      <c r="C542" t="s">
        <v>59</v>
      </c>
      <c r="D542" s="1308">
        <v>3308029150</v>
      </c>
      <c r="E542" s="1309">
        <v>433817.68</v>
      </c>
      <c r="F542" s="818">
        <f>+VLOOKUP(B542,Composición!$C$5:$D$1768,1,0)</f>
        <v>4130111105</v>
      </c>
      <c r="G542" s="818">
        <f>+VLOOKUP(B542,'CA FE'!$A:$A,1,0)</f>
        <v>4130111105</v>
      </c>
      <c r="H542" s="1049">
        <f>+VLOOKUP(B542,Composición!$C$4:$H$1742,5,0)-D542</f>
        <v>0</v>
      </c>
      <c r="I542" s="1311">
        <f>+VLOOKUP(B542,Composición!$C$4:$H$1742,6,0)-E542</f>
        <v>0</v>
      </c>
      <c r="J542" s="1053">
        <f t="shared" si="20"/>
        <v>-3308029150</v>
      </c>
    </row>
    <row r="543" spans="1:16" s="14" customFormat="1" ht="16.5" customHeight="1">
      <c r="A543" s="14" t="str">
        <f t="shared" si="19"/>
        <v>I</v>
      </c>
      <c r="B543" s="1203">
        <v>4130111106</v>
      </c>
      <c r="C543" t="s">
        <v>60</v>
      </c>
      <c r="D543" s="1308">
        <v>498615811</v>
      </c>
      <c r="E543" s="1309">
        <v>65936.63</v>
      </c>
      <c r="F543" s="818">
        <f>+VLOOKUP(B543,Composición!$C$5:$D$1768,1,0)</f>
        <v>4130111106</v>
      </c>
      <c r="G543" s="818">
        <f>+VLOOKUP(B543,'CA FE'!$A:$A,1,0)</f>
        <v>4130111106</v>
      </c>
      <c r="H543" s="1049">
        <f>+VLOOKUP(B543,Composición!$C$4:$H$1742,5,0)-D543</f>
        <v>0</v>
      </c>
      <c r="I543" s="1311">
        <f>+VLOOKUP(B543,Composición!$C$4:$H$1742,6,0)-E543</f>
        <v>0</v>
      </c>
      <c r="J543" s="1053">
        <f t="shared" si="20"/>
        <v>-498615811</v>
      </c>
    </row>
    <row r="544" spans="1:16" s="14" customFormat="1" ht="16.5" customHeight="1">
      <c r="A544" s="14" t="str">
        <f t="shared" si="19"/>
        <v>I</v>
      </c>
      <c r="B544" s="1203">
        <v>4130111107</v>
      </c>
      <c r="C544" t="s">
        <v>63</v>
      </c>
      <c r="D544" s="1308">
        <v>86236485</v>
      </c>
      <c r="E544" s="1309">
        <v>11366.99</v>
      </c>
      <c r="F544" s="818">
        <f>+VLOOKUP(B544,Composición!$C$5:$D$1768,1,0)</f>
        <v>4130111107</v>
      </c>
      <c r="G544" s="818">
        <f>+VLOOKUP(B544,'CA FE'!$A:$A,1,0)</f>
        <v>4130111107</v>
      </c>
      <c r="H544" s="1049">
        <f>+VLOOKUP(B544,Composición!$C$4:$H$1742,5,0)-D544</f>
        <v>0</v>
      </c>
      <c r="I544" s="1311">
        <f>+VLOOKUP(B544,Composición!$C$4:$H$1742,6,0)-E544</f>
        <v>0</v>
      </c>
      <c r="J544" s="1053">
        <f t="shared" si="20"/>
        <v>-86236485</v>
      </c>
    </row>
    <row r="545" spans="1:16" s="14" customFormat="1" ht="16.5" customHeight="1">
      <c r="A545" s="14" t="str">
        <f t="shared" si="19"/>
        <v>I</v>
      </c>
      <c r="B545" s="1203">
        <v>4130111108</v>
      </c>
      <c r="C545" t="s">
        <v>64</v>
      </c>
      <c r="D545" s="1308">
        <v>725692294</v>
      </c>
      <c r="E545" s="1309">
        <v>96121.87000000001</v>
      </c>
      <c r="F545" s="818">
        <f>+VLOOKUP(B545,Composición!$C$5:$D$1768,1,0)</f>
        <v>4130111108</v>
      </c>
      <c r="G545" s="818">
        <f>+VLOOKUP(B545,'CA FE'!$A:$A,1,0)</f>
        <v>4130111108</v>
      </c>
      <c r="H545" s="1049">
        <f>+VLOOKUP(B545,Composición!$C$4:$H$1742,5,0)-D545</f>
        <v>0</v>
      </c>
      <c r="I545" s="1311">
        <f>+VLOOKUP(B545,Composición!$C$4:$H$1742,6,0)-E545</f>
        <v>0</v>
      </c>
      <c r="J545" s="1053">
        <f t="shared" si="20"/>
        <v>-725692294</v>
      </c>
    </row>
    <row r="546" spans="1:16" s="14" customFormat="1" ht="16.5" customHeight="1">
      <c r="A546" s="14" t="str">
        <f t="shared" si="19"/>
        <v>I</v>
      </c>
      <c r="B546" s="1203">
        <v>4130111113</v>
      </c>
      <c r="C546" t="s">
        <v>267</v>
      </c>
      <c r="D546" s="1308">
        <v>376089673</v>
      </c>
      <c r="E546" s="1309">
        <v>49106.329999999994</v>
      </c>
      <c r="F546" s="818">
        <f>+VLOOKUP(B546,Composición!$C$5:$D$1768,1,0)</f>
        <v>4130111113</v>
      </c>
      <c r="G546" s="818">
        <f>+VLOOKUP(B546,'CA FE'!$A:$A,1,0)</f>
        <v>4130111113</v>
      </c>
      <c r="H546" s="1049">
        <f>+VLOOKUP(B546,Composición!$C$4:$H$1742,5,0)-D546</f>
        <v>0</v>
      </c>
      <c r="I546" s="1311">
        <f>+VLOOKUP(B546,Composición!$C$4:$H$1742,6,0)-E546</f>
        <v>0</v>
      </c>
      <c r="J546" s="1053">
        <f t="shared" si="20"/>
        <v>-376089673</v>
      </c>
    </row>
    <row r="547" spans="1:16" s="14" customFormat="1" ht="16.5" customHeight="1">
      <c r="A547" s="14" t="str">
        <f t="shared" si="19"/>
        <v>I</v>
      </c>
      <c r="B547" s="1203">
        <v>4130111114</v>
      </c>
      <c r="C547" t="s">
        <v>269</v>
      </c>
      <c r="D547" s="1308">
        <v>21622059</v>
      </c>
      <c r="E547" s="1309">
        <v>2776.77</v>
      </c>
      <c r="F547" s="818">
        <f>+VLOOKUP(B547,Composición!$C$5:$D$1768,1,0)</f>
        <v>4130111114</v>
      </c>
      <c r="G547" s="818">
        <f>+VLOOKUP(B547,'CA FE'!$A:$A,1,0)</f>
        <v>4130111114</v>
      </c>
      <c r="H547" s="14">
        <f>+VLOOKUP(B547,Composición!$C$4:$H$1742,5,0)</f>
        <v>21622059</v>
      </c>
      <c r="I547" s="14">
        <f>+VLOOKUP(B547,Composición!$C$4:$H$1742,6,0)</f>
        <v>2776.77</v>
      </c>
      <c r="J547" s="830">
        <f t="shared" si="20"/>
        <v>-21619282.23</v>
      </c>
    </row>
    <row r="548" spans="1:16" s="14" customFormat="1" ht="16.5" customHeight="1">
      <c r="A548" s="14" t="str">
        <f t="shared" si="19"/>
        <v>I</v>
      </c>
      <c r="B548" s="1203">
        <v>4130111117</v>
      </c>
      <c r="C548" t="s">
        <v>271</v>
      </c>
      <c r="D548" s="1308">
        <v>38659164</v>
      </c>
      <c r="E548" s="1309">
        <v>5008.6000000000004</v>
      </c>
      <c r="F548" s="818">
        <f>+VLOOKUP(B548,Composición!$C$5:$D$1768,1,0)</f>
        <v>4130111117</v>
      </c>
      <c r="G548" s="818">
        <f>+VLOOKUP(B548,'CA FE'!$A:$A,1,0)</f>
        <v>4130111117</v>
      </c>
      <c r="H548" s="1049">
        <f>+VLOOKUP(B548,Composición!$C$4:$H$1742,5,0)-D548</f>
        <v>0</v>
      </c>
      <c r="I548" s="1311">
        <f>+VLOOKUP(B548,Composición!$C$4:$H$1742,6,0)-E548</f>
        <v>0</v>
      </c>
      <c r="J548" s="1053">
        <f t="shared" si="20"/>
        <v>-38659164</v>
      </c>
    </row>
    <row r="549" spans="1:16" s="14" customFormat="1" ht="16.5" customHeight="1">
      <c r="A549" s="14" t="str">
        <f t="shared" si="19"/>
        <v>I</v>
      </c>
      <c r="B549" s="1203">
        <v>4130111118</v>
      </c>
      <c r="C549" t="s">
        <v>274</v>
      </c>
      <c r="D549" s="1308">
        <v>14313224</v>
      </c>
      <c r="E549" s="1309">
        <v>1917.39</v>
      </c>
      <c r="F549" s="818">
        <f>+VLOOKUP(B549,Composición!$C$5:$D$1768,1,0)</f>
        <v>4130111118</v>
      </c>
      <c r="G549" s="818">
        <f>+VLOOKUP(B549,'CA FE'!$A:$A,1,0)</f>
        <v>4130111118</v>
      </c>
      <c r="H549" s="14">
        <f>+VLOOKUP(B549,Composición!$C$4:$H$1742,5,0)</f>
        <v>14313224</v>
      </c>
      <c r="I549" s="14">
        <f>+VLOOKUP(B549,Composición!$C$4:$H$1742,6,0)</f>
        <v>1917.39</v>
      </c>
      <c r="J549" s="1053">
        <f t="shared" si="20"/>
        <v>-14311306.609999999</v>
      </c>
    </row>
    <row r="550" spans="1:16" s="14" customFormat="1" ht="16.5" customHeight="1">
      <c r="A550" s="14" t="str">
        <f t="shared" si="19"/>
        <v>I</v>
      </c>
      <c r="B550" s="1203">
        <v>4130111129</v>
      </c>
      <c r="C550" t="s">
        <v>279</v>
      </c>
      <c r="D550" s="1308">
        <v>469957279</v>
      </c>
      <c r="E550" s="1309">
        <v>61168.639999999999</v>
      </c>
      <c r="F550" s="818">
        <f>+VLOOKUP(B550,Composición!$C$5:$D$1768,1,0)</f>
        <v>4130111129</v>
      </c>
      <c r="G550" s="818">
        <f>+VLOOKUP(B550,'CA FE'!$A:$A,1,0)</f>
        <v>4130111129</v>
      </c>
      <c r="H550" s="14">
        <f>+VLOOKUP(B550,Composición!$C$4:$H$1742,5,0)</f>
        <v>469957279</v>
      </c>
      <c r="I550" s="14">
        <f>+VLOOKUP(B550,Composición!$C$4:$H$1742,6,0)</f>
        <v>61168.639999999999</v>
      </c>
      <c r="J550" s="1053">
        <f t="shared" si="20"/>
        <v>-469896110.36000001</v>
      </c>
    </row>
    <row r="551" spans="1:16" s="31" customFormat="1" ht="16.5" customHeight="1">
      <c r="A551" s="31" t="str">
        <f t="shared" si="19"/>
        <v>NI</v>
      </c>
      <c r="B551" s="1220">
        <v>41301112</v>
      </c>
      <c r="C551" s="1221" t="s">
        <v>334</v>
      </c>
      <c r="D551" s="1222">
        <v>204138454</v>
      </c>
      <c r="E551" s="1223">
        <v>27243.9</v>
      </c>
      <c r="F551" s="1058">
        <f>+VLOOKUP(B551,Composición!$C$5:$D$1768,1,0)</f>
        <v>41301112</v>
      </c>
      <c r="G551" s="1058">
        <f>+VLOOKUP(B551,'CA FE'!$A:$A,1,0)</f>
        <v>41301112</v>
      </c>
      <c r="H551" s="1048">
        <f>+VLOOKUP(B551,Composición!$C$4:$H$1742,5,0)-D551</f>
        <v>-204138454</v>
      </c>
      <c r="I551" s="1214">
        <f>+VLOOKUP(B551,Composición!$C$4:$H$1742,6,0)-E551</f>
        <v>-27243.9</v>
      </c>
      <c r="J551" s="1054">
        <f t="shared" si="20"/>
        <v>-204165697.90000001</v>
      </c>
      <c r="M551" s="14"/>
      <c r="N551" s="14"/>
      <c r="O551" s="14"/>
      <c r="P551" s="14"/>
    </row>
    <row r="552" spans="1:16" s="14" customFormat="1" ht="16.5" customHeight="1">
      <c r="A552" s="14" t="str">
        <f t="shared" si="19"/>
        <v>I</v>
      </c>
      <c r="B552" s="1203">
        <v>4130111201</v>
      </c>
      <c r="C552" t="s">
        <v>335</v>
      </c>
      <c r="D552" s="1308">
        <v>204138454</v>
      </c>
      <c r="E552" s="1309">
        <v>27243.9</v>
      </c>
      <c r="F552" s="818">
        <f>+VLOOKUP(B552,Composición!$C$5:$D$1768,1,0)</f>
        <v>4130111201</v>
      </c>
      <c r="G552" s="818">
        <f>+VLOOKUP(B552,'CA FE'!$A:$A,1,0)</f>
        <v>4130111201</v>
      </c>
      <c r="H552" s="1049">
        <f>+VLOOKUP(B552,Composición!$C$4:$H$1742,5,0)-D552</f>
        <v>0</v>
      </c>
      <c r="I552" s="1311">
        <f>+VLOOKUP(B552,Composición!$C$4:$H$1742,6,0)-E552</f>
        <v>0</v>
      </c>
      <c r="J552" s="1053">
        <f t="shared" si="20"/>
        <v>-204138454</v>
      </c>
    </row>
    <row r="553" spans="1:16" s="31" customFormat="1" ht="16.5" customHeight="1">
      <c r="A553" s="31" t="str">
        <f t="shared" si="19"/>
        <v>NI</v>
      </c>
      <c r="B553" s="1220">
        <v>4130112</v>
      </c>
      <c r="C553" s="1221" t="s">
        <v>336</v>
      </c>
      <c r="D553" s="1222">
        <v>4192057641</v>
      </c>
      <c r="E553" s="1223">
        <v>556400.9</v>
      </c>
      <c r="F553" s="1058">
        <f>+VLOOKUP(B553,Composición!$C$5:$D$1768,1,0)</f>
        <v>4130112</v>
      </c>
      <c r="G553" s="1058">
        <f>+VLOOKUP(B553,'CA FE'!$A:$A,1,0)</f>
        <v>4130112</v>
      </c>
      <c r="H553" s="1048">
        <f>+VLOOKUP(B553,Composición!$C$4:$H$1742,5,0)-D553</f>
        <v>-4192057641</v>
      </c>
      <c r="I553" s="1214">
        <f>+VLOOKUP(B553,Composición!$C$4:$H$1742,6,0)-E553</f>
        <v>-556400.9</v>
      </c>
      <c r="J553" s="827">
        <f t="shared" si="20"/>
        <v>-4192614041.9000001</v>
      </c>
      <c r="M553" s="14"/>
      <c r="N553" s="14"/>
      <c r="O553" s="14"/>
      <c r="P553" s="14"/>
    </row>
    <row r="554" spans="1:16" s="31" customFormat="1" ht="16.5" customHeight="1">
      <c r="A554" s="31" t="str">
        <f t="shared" ref="A554:A617" si="21">IF(LEN(B554)&gt;8,"I","NI")</f>
        <v>NI</v>
      </c>
      <c r="B554" s="1220">
        <v>41301121</v>
      </c>
      <c r="C554" s="1221" t="s">
        <v>337</v>
      </c>
      <c r="D554" s="1222">
        <v>407131907</v>
      </c>
      <c r="E554" s="1223">
        <v>54269.04</v>
      </c>
      <c r="F554" s="1058">
        <f>+VLOOKUP(B554,Composición!$C$5:$D$1768,1,0)</f>
        <v>41301121</v>
      </c>
      <c r="G554" s="1058">
        <f>+VLOOKUP(B554,'CA FE'!$A:$A,1,0)</f>
        <v>41301121</v>
      </c>
      <c r="H554" s="1048">
        <f>+VLOOKUP(B554,Composición!$C$4:$H$1742,5,0)-D554</f>
        <v>-407131907</v>
      </c>
      <c r="I554" s="1214">
        <f>+VLOOKUP(B554,Composición!$C$4:$H$1742,6,0)-E554</f>
        <v>-54269.04</v>
      </c>
      <c r="J554" s="827">
        <f t="shared" si="20"/>
        <v>-407186176.04000002</v>
      </c>
      <c r="M554" s="14"/>
      <c r="N554" s="14"/>
      <c r="O554" s="14"/>
      <c r="P554" s="14"/>
    </row>
    <row r="555" spans="1:16" s="14" customFormat="1" ht="16.5" customHeight="1">
      <c r="A555" s="14" t="str">
        <f t="shared" si="21"/>
        <v>I</v>
      </c>
      <c r="B555" s="1203">
        <v>4130112101</v>
      </c>
      <c r="C555" t="s">
        <v>57</v>
      </c>
      <c r="D555" s="1308">
        <v>34415221</v>
      </c>
      <c r="E555" s="1309">
        <v>4478.6099999999997</v>
      </c>
      <c r="F555" s="818">
        <f>+VLOOKUP(B555,Composición!$C$5:$D$1768,1,0)</f>
        <v>4130112101</v>
      </c>
      <c r="G555" s="818">
        <f>+VLOOKUP(B555,'CA FE'!$A:$A,1,0)</f>
        <v>4130112101</v>
      </c>
      <c r="H555" s="1049">
        <f>+VLOOKUP(B555,Composición!$C$4:$H$1742,5,0)-D555</f>
        <v>0</v>
      </c>
      <c r="I555" s="1311">
        <f>+VLOOKUP(B555,Composición!$C$4:$H$1742,6,0)-E555</f>
        <v>0</v>
      </c>
      <c r="J555" s="1053">
        <f t="shared" si="20"/>
        <v>-34415221</v>
      </c>
    </row>
    <row r="556" spans="1:16" s="14" customFormat="1" ht="16.5" customHeight="1">
      <c r="A556" s="14" t="str">
        <f t="shared" si="21"/>
        <v>I</v>
      </c>
      <c r="B556" s="1203">
        <v>4130112102</v>
      </c>
      <c r="C556" t="s">
        <v>254</v>
      </c>
      <c r="D556" s="1308">
        <v>206953</v>
      </c>
      <c r="E556" s="1309">
        <v>27.709999999999997</v>
      </c>
      <c r="F556" s="818">
        <f>+VLOOKUP(B556,Composición!$C$5:$D$1768,1,0)</f>
        <v>4130112102</v>
      </c>
      <c r="G556" s="818">
        <f>+VLOOKUP(B556,'CA FE'!$A:$A,1,0)</f>
        <v>4130112102</v>
      </c>
      <c r="H556" s="1049">
        <f>+VLOOKUP(B556,Composición!$C$4:$H$1742,5,0)-D556</f>
        <v>0</v>
      </c>
      <c r="I556" s="1311">
        <f>+VLOOKUP(B556,Composición!$C$4:$H$1742,6,0)-E556</f>
        <v>0</v>
      </c>
      <c r="J556" s="1053">
        <f t="shared" si="20"/>
        <v>-206953</v>
      </c>
    </row>
    <row r="557" spans="1:16" s="14" customFormat="1" ht="16.5" customHeight="1">
      <c r="A557" s="14" t="str">
        <f t="shared" si="21"/>
        <v>I</v>
      </c>
      <c r="B557" s="1203">
        <v>4130112104</v>
      </c>
      <c r="C557" t="s">
        <v>258</v>
      </c>
      <c r="D557" s="1308">
        <v>143120</v>
      </c>
      <c r="E557" s="1309">
        <v>18.41</v>
      </c>
      <c r="F557" s="818">
        <f>+VLOOKUP(B557,Composición!$C$5:$D$1768,1,0)</f>
        <v>4130112104</v>
      </c>
      <c r="G557" s="818">
        <f>+VLOOKUP(B557,'CA FE'!$A:$A,1,0)</f>
        <v>4130112104</v>
      </c>
      <c r="H557" s="1049">
        <f>+VLOOKUP(B557,Composición!$C$4:$H$1742,5,0)-D557</f>
        <v>0</v>
      </c>
      <c r="I557" s="1311">
        <f>+VLOOKUP(B557,Composición!$C$4:$H$1742,6,0)-E557</f>
        <v>0</v>
      </c>
      <c r="J557" s="1053">
        <f t="shared" si="20"/>
        <v>-143120</v>
      </c>
    </row>
    <row r="558" spans="1:16" s="14" customFormat="1" ht="16.5" customHeight="1">
      <c r="A558" s="14" t="str">
        <f t="shared" si="21"/>
        <v>I</v>
      </c>
      <c r="B558" s="1203">
        <v>4130112105</v>
      </c>
      <c r="C558" t="s">
        <v>59</v>
      </c>
      <c r="D558" s="1308">
        <v>13354695</v>
      </c>
      <c r="E558" s="1309">
        <v>1747.1899999999996</v>
      </c>
      <c r="F558" s="818">
        <f>+VLOOKUP(B558,Composición!$C$5:$D$1768,1,0)</f>
        <v>4130112105</v>
      </c>
      <c r="G558" s="818">
        <f>+VLOOKUP(B558,'CA FE'!$A:$A,1,0)</f>
        <v>4130112105</v>
      </c>
      <c r="H558" s="1049">
        <f>+VLOOKUP(B558,Composición!$C$4:$H$1742,5,0)-D558</f>
        <v>0</v>
      </c>
      <c r="I558" s="1311">
        <f>+VLOOKUP(B558,Composición!$C$4:$H$1742,6,0)-E558</f>
        <v>0</v>
      </c>
      <c r="J558" s="1053">
        <f t="shared" si="20"/>
        <v>-13354695</v>
      </c>
    </row>
    <row r="559" spans="1:16" s="14" customFormat="1" ht="16.5" customHeight="1">
      <c r="A559" s="14" t="str">
        <f t="shared" si="21"/>
        <v>I</v>
      </c>
      <c r="B559" s="1203">
        <v>4130112106</v>
      </c>
      <c r="C559" t="s">
        <v>60</v>
      </c>
      <c r="D559" s="1308">
        <v>7373291</v>
      </c>
      <c r="E559" s="1309">
        <v>1013.82</v>
      </c>
      <c r="F559" s="818">
        <f>+VLOOKUP(B559,Composición!$C$5:$D$1768,1,0)</f>
        <v>4130112106</v>
      </c>
      <c r="G559" s="818">
        <f>+VLOOKUP(B559,'CA FE'!$A:$A,1,0)</f>
        <v>4130112106</v>
      </c>
      <c r="H559" s="1049">
        <f>+VLOOKUP(B559,Composición!$C$4:$H$1742,5,0)-D559</f>
        <v>0</v>
      </c>
      <c r="I559" s="1311">
        <f>+VLOOKUP(B559,Composición!$C$4:$H$1742,6,0)-E559</f>
        <v>0</v>
      </c>
      <c r="J559" s="1053">
        <f t="shared" si="20"/>
        <v>-7373291</v>
      </c>
    </row>
    <row r="560" spans="1:16" s="14" customFormat="1" ht="16.5" customHeight="1">
      <c r="A560" s="14" t="str">
        <f t="shared" si="21"/>
        <v>I</v>
      </c>
      <c r="B560" s="1203">
        <v>4130112107</v>
      </c>
      <c r="C560" t="s">
        <v>63</v>
      </c>
      <c r="D560" s="1308">
        <v>1231293</v>
      </c>
      <c r="E560" s="1309">
        <v>164.37</v>
      </c>
      <c r="F560" s="818">
        <f>+VLOOKUP(B560,Composición!$C$5:$D$1768,1,0)</f>
        <v>4130112107</v>
      </c>
      <c r="G560" s="818">
        <f>+VLOOKUP(B560,'CA FE'!$A:$A,1,0)</f>
        <v>4130112107</v>
      </c>
      <c r="H560" s="1049">
        <f>+VLOOKUP(B560,Composición!$C$4:$H$1742,5,0)-D560</f>
        <v>0</v>
      </c>
      <c r="I560" s="1311">
        <f>+VLOOKUP(B560,Composición!$C$4:$H$1742,6,0)-E560</f>
        <v>0</v>
      </c>
      <c r="J560" s="1053">
        <f t="shared" si="20"/>
        <v>-1231293</v>
      </c>
    </row>
    <row r="561" spans="1:16" s="14" customFormat="1" ht="16.5" customHeight="1">
      <c r="A561" s="14" t="str">
        <f t="shared" si="21"/>
        <v>I</v>
      </c>
      <c r="B561" s="1203">
        <v>4130112109</v>
      </c>
      <c r="C561" t="s">
        <v>66</v>
      </c>
      <c r="D561" s="1308">
        <v>121801636</v>
      </c>
      <c r="E561" s="1309">
        <v>16199.03</v>
      </c>
      <c r="F561" s="818">
        <f>+VLOOKUP(B561,Composición!$C$5:$D$1768,1,0)</f>
        <v>4130112109</v>
      </c>
      <c r="G561" s="818">
        <f>+VLOOKUP(B561,'CA FE'!$A:$A,1,0)</f>
        <v>4130112109</v>
      </c>
      <c r="H561" s="1049">
        <f>+VLOOKUP(B561,Composición!$C$4:$H$1742,5,0)-D561</f>
        <v>0</v>
      </c>
      <c r="I561" s="1311">
        <f>+VLOOKUP(B561,Composición!$C$4:$H$1742,6,0)-E561</f>
        <v>0</v>
      </c>
      <c r="J561" s="830">
        <f t="shared" ref="J561:J642" si="22">+I561-D561</f>
        <v>-121801636</v>
      </c>
    </row>
    <row r="562" spans="1:16" s="14" customFormat="1" ht="16.5" customHeight="1">
      <c r="A562" s="14" t="str">
        <f t="shared" si="21"/>
        <v>I</v>
      </c>
      <c r="B562" s="1203">
        <v>4130112117</v>
      </c>
      <c r="C562" t="s">
        <v>271</v>
      </c>
      <c r="D562" s="1308">
        <v>9865050</v>
      </c>
      <c r="E562" s="1309">
        <v>1337.96</v>
      </c>
      <c r="F562" s="818">
        <f>+VLOOKUP(B562,Composición!$C$5:$D$1768,1,0)</f>
        <v>4130112117</v>
      </c>
      <c r="G562" s="818">
        <f>+VLOOKUP(B562,'CA FE'!$A:$A,1,0)</f>
        <v>4130112117</v>
      </c>
      <c r="H562" s="14">
        <f>+VLOOKUP(B562,Composición!$C$4:$H$1742,5,0)</f>
        <v>9865050</v>
      </c>
      <c r="I562" s="14">
        <f>+VLOOKUP(B562,Composición!$C$4:$H$1742,6,0)</f>
        <v>1337.96</v>
      </c>
      <c r="J562" s="830">
        <f t="shared" si="22"/>
        <v>-9863712.0399999991</v>
      </c>
    </row>
    <row r="563" spans="1:16" s="14" customFormat="1" ht="16.5" customHeight="1">
      <c r="A563" s="14" t="str">
        <f t="shared" si="21"/>
        <v>I</v>
      </c>
      <c r="B563" s="1203">
        <v>4130112129</v>
      </c>
      <c r="C563" t="s">
        <v>279</v>
      </c>
      <c r="D563" s="1308">
        <v>3226749</v>
      </c>
      <c r="E563" s="1309">
        <v>424.38</v>
      </c>
      <c r="F563" s="818">
        <f>+VLOOKUP(B563,Composición!$C$5:$D$1768,1,0)</f>
        <v>4130112129</v>
      </c>
      <c r="G563" s="818">
        <f>+VLOOKUP(B563,'CA FE'!$A:$A,1,0)</f>
        <v>4130112129</v>
      </c>
      <c r="H563" s="1049">
        <f>+VLOOKUP(B563,Composición!$C$4:$H$1742,5,0)-D563</f>
        <v>0</v>
      </c>
      <c r="I563" s="1311">
        <f>+VLOOKUP(B563,Composición!$C$4:$H$1742,6,0)-E563</f>
        <v>0</v>
      </c>
      <c r="J563" s="830">
        <f t="shared" si="22"/>
        <v>-3226749</v>
      </c>
    </row>
    <row r="564" spans="1:16" s="14" customFormat="1" ht="16.5" customHeight="1">
      <c r="A564" s="14" t="str">
        <f t="shared" si="21"/>
        <v>I</v>
      </c>
      <c r="B564" s="1203">
        <v>4130112131</v>
      </c>
      <c r="C564" t="s">
        <v>599</v>
      </c>
      <c r="D564" s="1308">
        <v>2679</v>
      </c>
      <c r="E564" s="1309">
        <v>0.16</v>
      </c>
      <c r="F564" s="818">
        <f>+VLOOKUP(B564,Composición!$C$5:$D$1768,1,0)</f>
        <v>4130112131</v>
      </c>
      <c r="G564" s="818">
        <f>+VLOOKUP(B564,'CA FE'!$A:$A,1,0)</f>
        <v>4130112131</v>
      </c>
      <c r="H564" s="1049">
        <f>+VLOOKUP(B564,Composición!$C$4:$H$1742,5,0)-D564</f>
        <v>0</v>
      </c>
      <c r="I564" s="1311">
        <f>+VLOOKUP(B564,Composición!$C$4:$H$1742,6,0)-E564</f>
        <v>0</v>
      </c>
      <c r="J564" s="830">
        <f t="shared" si="22"/>
        <v>-2679</v>
      </c>
    </row>
    <row r="565" spans="1:16" s="14" customFormat="1" ht="16.5" customHeight="1">
      <c r="A565" s="14" t="str">
        <f t="shared" si="21"/>
        <v>I</v>
      </c>
      <c r="B565" s="1203">
        <v>4130112134</v>
      </c>
      <c r="C565" t="s">
        <v>338</v>
      </c>
      <c r="D565" s="1308">
        <v>215511220</v>
      </c>
      <c r="E565" s="1309">
        <v>28857.4</v>
      </c>
      <c r="F565" s="818">
        <f>+VLOOKUP(B565,Composición!$C$5:$D$1768,1,0)</f>
        <v>4130112134</v>
      </c>
      <c r="G565" s="818">
        <f>+VLOOKUP(B565,'CA FE'!$A:$A,1,0)</f>
        <v>4130112134</v>
      </c>
      <c r="H565" s="14">
        <f>+VLOOKUP(B565,Composición!$C$4:$H$1742,5,0)</f>
        <v>215511220</v>
      </c>
      <c r="I565" s="14">
        <f>+VLOOKUP(B565,Composición!$C$4:$H$1742,6,0)</f>
        <v>28857.4</v>
      </c>
      <c r="J565" s="1053">
        <f t="shared" si="22"/>
        <v>-215482362.59999999</v>
      </c>
    </row>
    <row r="566" spans="1:16" s="31" customFormat="1" ht="16.5" customHeight="1">
      <c r="A566" s="31" t="str">
        <f t="shared" si="21"/>
        <v>NI</v>
      </c>
      <c r="B566" s="1220">
        <v>41301122</v>
      </c>
      <c r="C566" s="1221" t="s">
        <v>339</v>
      </c>
      <c r="D566" s="1222">
        <v>222848950</v>
      </c>
      <c r="E566" s="1223">
        <v>28905.79</v>
      </c>
      <c r="F566" s="1058">
        <f>+VLOOKUP(B566,Composición!$C$5:$D$1768,1,0)</f>
        <v>41301122</v>
      </c>
      <c r="G566" s="1058">
        <f>+VLOOKUP(B566,'CA FE'!$A:$A,1,0)</f>
        <v>41301122</v>
      </c>
      <c r="H566" s="1048">
        <f>+VLOOKUP(B566,Composición!$C$4:$H$1742,5,0)-D566</f>
        <v>-222848950</v>
      </c>
      <c r="I566" s="1214">
        <f>+VLOOKUP(B566,Composición!$C$4:$H$1742,6,0)-E566</f>
        <v>-28905.79</v>
      </c>
      <c r="J566" s="1054">
        <f t="shared" si="22"/>
        <v>-222877855.78999999</v>
      </c>
      <c r="M566" s="14"/>
      <c r="N566" s="14"/>
      <c r="O566" s="14"/>
      <c r="P566" s="14"/>
    </row>
    <row r="567" spans="1:16" s="14" customFormat="1" ht="16.5" customHeight="1">
      <c r="A567" s="14" t="str">
        <f t="shared" si="21"/>
        <v>I</v>
      </c>
      <c r="B567" s="1203">
        <v>4130112201</v>
      </c>
      <c r="C567" t="s">
        <v>339</v>
      </c>
      <c r="D567" s="1308">
        <v>198786668</v>
      </c>
      <c r="E567" s="1309">
        <v>25737.25</v>
      </c>
      <c r="F567" s="818">
        <f>+VLOOKUP(B567,Composición!$C$5:$D$1768,1,0)</f>
        <v>4130112201</v>
      </c>
      <c r="G567" s="818">
        <f>+VLOOKUP(B567,'CA FE'!$A:$A,1,0)</f>
        <v>4130112201</v>
      </c>
      <c r="H567" s="1049">
        <f>+VLOOKUP(B567,Composición!$C$4:$H$1742,5,0)-D567</f>
        <v>0</v>
      </c>
      <c r="I567" s="1311">
        <f>+VLOOKUP(B567,Composición!$C$4:$H$1742,6,0)-E567</f>
        <v>0</v>
      </c>
      <c r="J567" s="1053">
        <f t="shared" si="22"/>
        <v>-198786668</v>
      </c>
    </row>
    <row r="568" spans="1:16" s="14" customFormat="1" ht="16.5" customHeight="1">
      <c r="A568" s="14" t="str">
        <f t="shared" si="21"/>
        <v>I</v>
      </c>
      <c r="B568" s="1203">
        <v>4130112202</v>
      </c>
      <c r="C568" t="s">
        <v>340</v>
      </c>
      <c r="D568" s="1308">
        <v>21985662</v>
      </c>
      <c r="E568" s="1309">
        <v>2902.35</v>
      </c>
      <c r="F568" s="818">
        <f>+VLOOKUP(B568,Composición!$C$5:$D$1768,1,0)</f>
        <v>4130112202</v>
      </c>
      <c r="G568" s="818">
        <f>+VLOOKUP(B568,'CA FE'!$A:$A,1,0)</f>
        <v>4130112202</v>
      </c>
      <c r="H568" s="1049">
        <f>+VLOOKUP(B568,Composición!$C$4:$H$1742,5,0)-D568</f>
        <v>0</v>
      </c>
      <c r="I568" s="1311">
        <f>+VLOOKUP(B568,Composición!$C$4:$H$1742,6,0)-E568</f>
        <v>0</v>
      </c>
      <c r="J568" s="1053">
        <f t="shared" si="22"/>
        <v>-21985662</v>
      </c>
    </row>
    <row r="569" spans="1:16" s="14" customFormat="1" ht="16.5" customHeight="1">
      <c r="A569" s="14" t="str">
        <f t="shared" si="21"/>
        <v>I</v>
      </c>
      <c r="B569" s="1203">
        <v>4130112203</v>
      </c>
      <c r="C569" t="s">
        <v>340</v>
      </c>
      <c r="D569" s="1308">
        <v>2076620</v>
      </c>
      <c r="E569" s="1309">
        <v>266.19</v>
      </c>
      <c r="F569" s="818">
        <f>+VLOOKUP(B569,Composición!$C$5:$D$1768,1,0)</f>
        <v>4130112203</v>
      </c>
      <c r="G569" s="818">
        <f>+VLOOKUP(B569,'CA FE'!$A:$A,1,0)</f>
        <v>4130112203</v>
      </c>
      <c r="H569" s="1049">
        <f>+VLOOKUP(B569,Composición!$C$4:$H$1742,5,0)-D569</f>
        <v>0</v>
      </c>
      <c r="I569" s="1311">
        <f>+VLOOKUP(B569,Composición!$C$4:$H$1742,6,0)-E569</f>
        <v>0</v>
      </c>
      <c r="J569" s="1053">
        <f t="shared" si="22"/>
        <v>-2076620</v>
      </c>
    </row>
    <row r="570" spans="1:16" s="31" customFormat="1" ht="16.5" customHeight="1">
      <c r="A570" s="31" t="str">
        <f t="shared" si="21"/>
        <v>NI</v>
      </c>
      <c r="B570" s="1220">
        <v>41301123</v>
      </c>
      <c r="C570" s="1221" t="s">
        <v>341</v>
      </c>
      <c r="D570" s="1222">
        <v>3562076784</v>
      </c>
      <c r="E570" s="1223">
        <v>473226.07</v>
      </c>
      <c r="F570" s="1058">
        <f>+VLOOKUP(B570,Composición!$C$5:$D$1768,1,0)</f>
        <v>41301123</v>
      </c>
      <c r="G570" s="1058">
        <f>+VLOOKUP(B570,'CA FE'!$A:$A,1,0)</f>
        <v>41301123</v>
      </c>
      <c r="H570" s="1048">
        <f>+VLOOKUP(B570,Composición!$C$4:$H$1742,5,0)-D570</f>
        <v>-3562076784</v>
      </c>
      <c r="I570" s="1214">
        <f>+VLOOKUP(B570,Composición!$C$4:$H$1742,6,0)-E570</f>
        <v>-473226.07</v>
      </c>
      <c r="J570" s="1054">
        <f t="shared" si="22"/>
        <v>-3562550010.0700002</v>
      </c>
      <c r="M570" s="14"/>
      <c r="N570" s="14"/>
      <c r="O570" s="14"/>
      <c r="P570" s="14"/>
    </row>
    <row r="571" spans="1:16" s="14" customFormat="1" ht="16.5" customHeight="1">
      <c r="A571" s="14" t="str">
        <f t="shared" si="21"/>
        <v>I</v>
      </c>
      <c r="B571" s="1203">
        <v>4130112301</v>
      </c>
      <c r="C571" t="s">
        <v>57</v>
      </c>
      <c r="D571" s="1308">
        <v>134997169</v>
      </c>
      <c r="E571" s="1309">
        <v>17234.900000000001</v>
      </c>
      <c r="F571" s="818">
        <f>+VLOOKUP(B571,Composición!$C$5:$D$1768,1,0)</f>
        <v>4130112301</v>
      </c>
      <c r="G571" s="818">
        <f>+VLOOKUP(B571,'CA FE'!$A:$A,1,0)</f>
        <v>4130112301</v>
      </c>
      <c r="H571" s="1049">
        <f>+VLOOKUP(B571,Composición!$C$4:$H$1742,5,0)-D571</f>
        <v>0</v>
      </c>
      <c r="I571" s="1311">
        <f>+VLOOKUP(B571,Composición!$C$4:$H$1742,6,0)-E571</f>
        <v>0</v>
      </c>
      <c r="J571" s="1053">
        <f t="shared" si="22"/>
        <v>-134997169</v>
      </c>
    </row>
    <row r="572" spans="1:16" s="14" customFormat="1" ht="16.5" customHeight="1">
      <c r="A572" s="14" t="str">
        <f t="shared" si="21"/>
        <v>I</v>
      </c>
      <c r="B572" s="1203">
        <v>4130112302</v>
      </c>
      <c r="C572" t="s">
        <v>254</v>
      </c>
      <c r="D572" s="1308">
        <v>22737581</v>
      </c>
      <c r="E572" s="1309">
        <v>2988.19</v>
      </c>
      <c r="F572" s="818">
        <f>+VLOOKUP(B572,Composición!$C$5:$D$1768,1,0)</f>
        <v>4130112302</v>
      </c>
      <c r="G572" s="818">
        <f>+VLOOKUP(B572,'CA FE'!$A:$A,1,0)</f>
        <v>4130112302</v>
      </c>
      <c r="H572" s="1049">
        <f>+VLOOKUP(B572,Composición!$C$4:$H$1742,5,0)-D572</f>
        <v>0</v>
      </c>
      <c r="I572" s="1311">
        <f>+VLOOKUP(B572,Composición!$C$4:$H$1742,6,0)-E572</f>
        <v>0</v>
      </c>
      <c r="J572" s="1053">
        <f t="shared" si="22"/>
        <v>-22737581</v>
      </c>
    </row>
    <row r="573" spans="1:16" s="14" customFormat="1" ht="16.5" customHeight="1">
      <c r="A573" s="14" t="str">
        <f t="shared" si="21"/>
        <v>I</v>
      </c>
      <c r="B573" s="1203">
        <v>4130112303</v>
      </c>
      <c r="C573" t="s">
        <v>256</v>
      </c>
      <c r="D573" s="1308">
        <v>139513221</v>
      </c>
      <c r="E573" s="1309">
        <v>18182.150000000001</v>
      </c>
      <c r="F573" s="818">
        <f>+VLOOKUP(B573,Composición!$C$5:$D$1768,1,0)</f>
        <v>4130112303</v>
      </c>
      <c r="G573" s="818">
        <f>+VLOOKUP(B573,'CA FE'!$A:$A,1,0)</f>
        <v>4130112303</v>
      </c>
      <c r="H573" s="1049">
        <f>+VLOOKUP(B573,Composición!$C$4:$H$1742,5,0)-D573</f>
        <v>0</v>
      </c>
      <c r="I573" s="1311">
        <f>+VLOOKUP(B573,Composición!$C$4:$H$1742,6,0)-E573</f>
        <v>0</v>
      </c>
      <c r="J573" s="830">
        <f t="shared" si="22"/>
        <v>-139513221</v>
      </c>
    </row>
    <row r="574" spans="1:16" s="14" customFormat="1" ht="16.5" customHeight="1">
      <c r="A574" s="14" t="str">
        <f t="shared" si="21"/>
        <v>I</v>
      </c>
      <c r="B574" s="1203">
        <v>4130112304</v>
      </c>
      <c r="C574" t="s">
        <v>258</v>
      </c>
      <c r="D574" s="1308">
        <v>36994213</v>
      </c>
      <c r="E574" s="1309">
        <v>4775.33</v>
      </c>
      <c r="F574" s="818">
        <f>+VLOOKUP(B574,Composición!$C$5:$D$1768,1,0)</f>
        <v>4130112304</v>
      </c>
      <c r="G574" s="818">
        <f>+VLOOKUP(B574,'CA FE'!$A:$A,1,0)</f>
        <v>4130112304</v>
      </c>
      <c r="H574" s="1049">
        <f>+VLOOKUP(B574,Composición!$C$4:$H$1742,5,0)-D574</f>
        <v>0</v>
      </c>
      <c r="I574" s="1311">
        <f>+VLOOKUP(B574,Composición!$C$4:$H$1742,6,0)-E574</f>
        <v>0</v>
      </c>
      <c r="J574" s="1053">
        <f t="shared" si="22"/>
        <v>-36994213</v>
      </c>
    </row>
    <row r="575" spans="1:16" s="14" customFormat="1" ht="16.5" customHeight="1">
      <c r="A575" s="14" t="str">
        <f t="shared" si="21"/>
        <v>I</v>
      </c>
      <c r="B575" s="1203">
        <v>4130112305</v>
      </c>
      <c r="C575" t="s">
        <v>59</v>
      </c>
      <c r="D575" s="1308">
        <v>858259316</v>
      </c>
      <c r="E575" s="1309">
        <v>115499.62000000001</v>
      </c>
      <c r="F575" s="818">
        <f>+VLOOKUP(B575,Composición!$C$5:$D$1768,1,0)</f>
        <v>4130112305</v>
      </c>
      <c r="G575" s="818">
        <f>+VLOOKUP(B575,'CA FE'!$A:$A,1,0)</f>
        <v>4130112305</v>
      </c>
      <c r="H575" s="1049">
        <f>+VLOOKUP(B575,Composición!$C$4:$H$1742,5,0)-D575</f>
        <v>0</v>
      </c>
      <c r="I575" s="1311">
        <f>+VLOOKUP(B575,Composición!$C$4:$H$1742,6,0)-E575</f>
        <v>0</v>
      </c>
      <c r="J575" s="1053">
        <f t="shared" si="22"/>
        <v>-858259316</v>
      </c>
    </row>
    <row r="576" spans="1:16" s="14" customFormat="1" ht="16.5" customHeight="1">
      <c r="A576" s="14" t="str">
        <f t="shared" si="21"/>
        <v>I</v>
      </c>
      <c r="B576" s="1203">
        <v>4130112306</v>
      </c>
      <c r="C576" t="s">
        <v>60</v>
      </c>
      <c r="D576" s="1308">
        <v>1169187264</v>
      </c>
      <c r="E576" s="1309">
        <v>155054.93999999997</v>
      </c>
      <c r="F576" s="818">
        <f>+VLOOKUP(B576,Composición!$C$5:$D$1768,1,0)</f>
        <v>4130112306</v>
      </c>
      <c r="G576" s="818">
        <f>+VLOOKUP(B576,'CA FE'!$A:$A,1,0)</f>
        <v>4130112306</v>
      </c>
      <c r="H576" s="1049">
        <f>+VLOOKUP(B576,Composición!$C$4:$H$1742,5,0)-D576</f>
        <v>0</v>
      </c>
      <c r="I576" s="1311">
        <f>+VLOOKUP(B576,Composición!$C$4:$H$1742,6,0)-E576</f>
        <v>0</v>
      </c>
      <c r="J576" s="1053">
        <f t="shared" si="22"/>
        <v>-1169187264</v>
      </c>
    </row>
    <row r="577" spans="1:16" s="14" customFormat="1" ht="16.5" customHeight="1">
      <c r="A577" s="14" t="str">
        <f t="shared" si="21"/>
        <v>I</v>
      </c>
      <c r="B577" s="1203">
        <v>4130112307</v>
      </c>
      <c r="C577" t="s">
        <v>63</v>
      </c>
      <c r="D577" s="1308">
        <v>61384403</v>
      </c>
      <c r="E577" s="1309">
        <v>8068.49</v>
      </c>
      <c r="F577" s="818">
        <f>+VLOOKUP(B577,Composición!$C$5:$D$1768,1,0)</f>
        <v>4130112307</v>
      </c>
      <c r="G577" s="818">
        <f>+VLOOKUP(B577,'CA FE'!$A:$A,1,0)</f>
        <v>4130112307</v>
      </c>
      <c r="H577" s="1049">
        <f>+VLOOKUP(B577,Composición!$C$4:$H$1742,5,0)-D577</f>
        <v>0</v>
      </c>
      <c r="I577" s="1311">
        <f>+VLOOKUP(B577,Composición!$C$4:$H$1742,6,0)-E577</f>
        <v>0</v>
      </c>
      <c r="J577" s="1053">
        <f t="shared" si="22"/>
        <v>-61384403</v>
      </c>
    </row>
    <row r="578" spans="1:16" s="14" customFormat="1" ht="16.5" customHeight="1">
      <c r="A578" s="14" t="str">
        <f t="shared" si="21"/>
        <v>I</v>
      </c>
      <c r="B578" s="1203">
        <v>4130112309</v>
      </c>
      <c r="C578" t="s">
        <v>66</v>
      </c>
      <c r="D578" s="1308">
        <v>6121821</v>
      </c>
      <c r="E578" s="1309">
        <v>835.12</v>
      </c>
      <c r="F578" s="818">
        <f>+VLOOKUP(B578,Composición!$C$5:$D$1768,1,0)</f>
        <v>4130112309</v>
      </c>
      <c r="G578" s="818">
        <f>+VLOOKUP(B578,'CA FE'!$A:$A,1,0)</f>
        <v>4130112309</v>
      </c>
      <c r="H578" s="1049">
        <f>+VLOOKUP(B578,Composición!$C$4:$H$1742,5,0)-D578</f>
        <v>0</v>
      </c>
      <c r="I578" s="1311">
        <f>+VLOOKUP(B578,Composición!$C$4:$H$1742,6,0)-E578</f>
        <v>0</v>
      </c>
      <c r="J578" s="830">
        <f t="shared" si="22"/>
        <v>-6121821</v>
      </c>
    </row>
    <row r="579" spans="1:16" s="14" customFormat="1" ht="16.5" customHeight="1">
      <c r="A579" s="14" t="str">
        <f t="shared" si="21"/>
        <v>I</v>
      </c>
      <c r="B579" s="1203">
        <v>4130112317</v>
      </c>
      <c r="C579" t="s">
        <v>271</v>
      </c>
      <c r="D579" s="1308">
        <v>38735601</v>
      </c>
      <c r="E579" s="1309">
        <v>5277.73</v>
      </c>
      <c r="F579" s="818">
        <f>+VLOOKUP(B579,Composición!$C$5:$D$1768,1,0)</f>
        <v>4130112317</v>
      </c>
      <c r="G579" s="818">
        <f>+VLOOKUP(B579,'CA FE'!$A:$A,1,0)</f>
        <v>4130112317</v>
      </c>
      <c r="H579" s="1049">
        <f>+VLOOKUP(B579,Composición!$C$4:$H$1742,5,0)-D579</f>
        <v>0</v>
      </c>
      <c r="I579" s="1311">
        <f>+VLOOKUP(B579,Composición!$C$4:$H$1742,6,0)-E579</f>
        <v>0</v>
      </c>
      <c r="J579" s="830">
        <f t="shared" si="22"/>
        <v>-38735601</v>
      </c>
    </row>
    <row r="580" spans="1:16" s="14" customFormat="1" ht="16.5" customHeight="1">
      <c r="A580" s="14" t="str">
        <f t="shared" si="21"/>
        <v>I</v>
      </c>
      <c r="B580" s="1203">
        <v>4130112329</v>
      </c>
      <c r="C580" t="s">
        <v>279</v>
      </c>
      <c r="D580" s="1308">
        <v>146730882</v>
      </c>
      <c r="E580" s="1309">
        <v>19579.13</v>
      </c>
      <c r="F580" s="818">
        <f>+VLOOKUP(B580,Composición!$C$5:$D$1768,1,0)</f>
        <v>4130112329</v>
      </c>
      <c r="G580" s="818">
        <f>+VLOOKUP(B580,'CA FE'!$A:$A,1,0)</f>
        <v>4130112329</v>
      </c>
      <c r="H580" s="1049">
        <f>+VLOOKUP(B580,Composición!$C$4:$H$1742,5,0)-D580</f>
        <v>0</v>
      </c>
      <c r="I580" s="1311">
        <f>+VLOOKUP(B580,Composición!$C$4:$H$1742,6,0)-E580</f>
        <v>0</v>
      </c>
      <c r="J580" s="1053">
        <f t="shared" si="22"/>
        <v>-146730882</v>
      </c>
    </row>
    <row r="581" spans="1:16" s="14" customFormat="1" ht="16.5" customHeight="1">
      <c r="A581" s="14" t="str">
        <f t="shared" si="21"/>
        <v>I</v>
      </c>
      <c r="B581" s="1203">
        <v>4130112331</v>
      </c>
      <c r="C581" t="s">
        <v>53</v>
      </c>
      <c r="D581" s="1308">
        <v>604284542</v>
      </c>
      <c r="E581" s="1309">
        <v>79270.83</v>
      </c>
      <c r="F581" s="818">
        <f>+VLOOKUP(B581,Composición!$C$5:$D$1768,1,0)</f>
        <v>4130112331</v>
      </c>
      <c r="G581" s="818">
        <f>+VLOOKUP(B581,'CA FE'!$A:$A,1,0)</f>
        <v>4130112331</v>
      </c>
      <c r="H581" s="1049">
        <f>+VLOOKUP(B581,Composición!$C$4:$H$1742,5,0)-D581</f>
        <v>0</v>
      </c>
      <c r="I581" s="1311">
        <f>+VLOOKUP(B581,Composición!$C$4:$H$1742,6,0)-E581</f>
        <v>0</v>
      </c>
      <c r="J581" s="830">
        <f t="shared" si="22"/>
        <v>-604284542</v>
      </c>
    </row>
    <row r="582" spans="1:16" s="14" customFormat="1" ht="16.5" customHeight="1">
      <c r="A582" s="14" t="str">
        <f t="shared" si="21"/>
        <v>I</v>
      </c>
      <c r="B582" s="1203">
        <v>4130112333</v>
      </c>
      <c r="C582" t="s">
        <v>342</v>
      </c>
      <c r="D582" s="1308">
        <v>69111666</v>
      </c>
      <c r="E582" s="1309">
        <v>9266.77</v>
      </c>
      <c r="F582" s="818">
        <f>+VLOOKUP(B582,Composición!$C$5:$D$1768,1,0)</f>
        <v>4130112333</v>
      </c>
      <c r="G582" s="818">
        <f>+VLOOKUP(B582,'CA FE'!$A:$A,1,0)</f>
        <v>4130112333</v>
      </c>
      <c r="H582" s="1049">
        <f>+VLOOKUP(B582,Composición!$C$4:$H$1742,5,0)-D582</f>
        <v>0</v>
      </c>
      <c r="I582" s="1311">
        <f>+VLOOKUP(B582,Composición!$C$4:$H$1742,6,0)-E582</f>
        <v>0</v>
      </c>
      <c r="J582" s="830">
        <f t="shared" si="22"/>
        <v>-69111666</v>
      </c>
    </row>
    <row r="583" spans="1:16" s="14" customFormat="1" ht="16.5" customHeight="1">
      <c r="A583" s="14" t="str">
        <f t="shared" si="21"/>
        <v>I</v>
      </c>
      <c r="B583" s="1203">
        <v>4130112341</v>
      </c>
      <c r="C583" t="s">
        <v>600</v>
      </c>
      <c r="D583" s="1308">
        <v>13879155</v>
      </c>
      <c r="E583" s="1309">
        <v>1828.86</v>
      </c>
      <c r="F583" s="818">
        <f>+VLOOKUP(B583,Composición!$C$5:$D$1768,1,0)</f>
        <v>4130112341</v>
      </c>
      <c r="G583" s="818">
        <f>+VLOOKUP(B583,'CA FE'!$A:$A,1,0)</f>
        <v>4130112341</v>
      </c>
      <c r="H583" s="1049">
        <f>+VLOOKUP(B583,Composición!$C$4:$H$1742,5,0)-D583</f>
        <v>0</v>
      </c>
      <c r="I583" s="1311">
        <f>+VLOOKUP(B583,Composición!$C$4:$H$1742,6,0)-E583</f>
        <v>0</v>
      </c>
      <c r="J583" s="1053">
        <f t="shared" si="22"/>
        <v>-13879155</v>
      </c>
    </row>
    <row r="584" spans="1:16" s="14" customFormat="1" ht="16.5" customHeight="1">
      <c r="A584" s="14" t="str">
        <f t="shared" si="21"/>
        <v>I</v>
      </c>
      <c r="B584" s="1203">
        <v>4130112346</v>
      </c>
      <c r="C584" t="s">
        <v>1000</v>
      </c>
      <c r="D584" s="1308">
        <v>1433416</v>
      </c>
      <c r="E584" s="1309">
        <v>183.82000000000002</v>
      </c>
      <c r="F584" s="818">
        <f>+VLOOKUP(B584,Composición!$C$5:$D$1768,1,0)</f>
        <v>4130112346</v>
      </c>
      <c r="G584" s="818">
        <f>+VLOOKUP(B584,'CA FE'!$A:$A,1,0)</f>
        <v>4130112346</v>
      </c>
      <c r="H584" s="1049">
        <f>+VLOOKUP(B584,Composición!$C$4:$H$1742,5,0)-D584</f>
        <v>0</v>
      </c>
      <c r="I584" s="1311">
        <f>+VLOOKUP(B584,Composición!$C$4:$H$1742,6,0)-E584</f>
        <v>0</v>
      </c>
      <c r="J584" s="1053">
        <f t="shared" si="22"/>
        <v>-1433416</v>
      </c>
    </row>
    <row r="585" spans="1:16" s="14" customFormat="1" ht="16.5" customHeight="1">
      <c r="A585" s="14" t="str">
        <f t="shared" si="21"/>
        <v>I</v>
      </c>
      <c r="B585" s="1203">
        <v>4130112348</v>
      </c>
      <c r="C585" t="s">
        <v>344</v>
      </c>
      <c r="D585" s="1308">
        <v>5</v>
      </c>
      <c r="E585" s="1309">
        <v>0</v>
      </c>
      <c r="F585" s="818">
        <f>+VLOOKUP(B585,Composición!$C$5:$D$1768,1,0)</f>
        <v>4130112348</v>
      </c>
      <c r="G585" s="818">
        <f>+VLOOKUP(B585,'CA FE'!$A:$A,1,0)</f>
        <v>4130112348</v>
      </c>
      <c r="H585" s="1049">
        <f>+VLOOKUP(B585,Composición!$C$4:$H$1742,5,0)-D585</f>
        <v>0</v>
      </c>
      <c r="I585" s="1311">
        <f>+VLOOKUP(B585,Composición!$C$4:$H$1742,6,0)-E585</f>
        <v>0</v>
      </c>
      <c r="J585" s="1053">
        <f t="shared" si="22"/>
        <v>-5</v>
      </c>
    </row>
    <row r="586" spans="1:16" s="14" customFormat="1" ht="16.5" customHeight="1">
      <c r="A586" s="14" t="str">
        <f t="shared" si="21"/>
        <v>I</v>
      </c>
      <c r="B586" s="1203">
        <v>4130112354</v>
      </c>
      <c r="C586" t="s">
        <v>348</v>
      </c>
      <c r="D586" s="1308">
        <v>22491029</v>
      </c>
      <c r="E586" s="1309">
        <v>3042.86</v>
      </c>
      <c r="F586" s="818">
        <f>+VLOOKUP(B586,Composición!$C$5:$D$1768,1,0)</f>
        <v>4130112354</v>
      </c>
      <c r="G586" s="818">
        <f>+VLOOKUP(B586,'CA FE'!$A:$A,1,0)</f>
        <v>4130112354</v>
      </c>
      <c r="H586" s="14">
        <f>+VLOOKUP(B586,Composición!$C$4:$H$1742,5,0)</f>
        <v>22491029</v>
      </c>
      <c r="I586" s="14">
        <f>+VLOOKUP(B586,Composición!$C$4:$H$1742,6,0)</f>
        <v>3042.86</v>
      </c>
      <c r="J586" s="1053">
        <f t="shared" si="22"/>
        <v>-22487986.140000001</v>
      </c>
    </row>
    <row r="587" spans="1:16" s="14" customFormat="1" ht="16.5" customHeight="1">
      <c r="A587" s="14" t="str">
        <f t="shared" si="21"/>
        <v>I</v>
      </c>
      <c r="B587" s="1203">
        <v>4130112357</v>
      </c>
      <c r="C587" t="s">
        <v>338</v>
      </c>
      <c r="D587" s="1308">
        <v>47232440</v>
      </c>
      <c r="E587" s="1309">
        <v>6408.09</v>
      </c>
      <c r="F587" s="818">
        <f>+VLOOKUP(B587,Composición!$C$5:$D$1768,1,0)</f>
        <v>4130112357</v>
      </c>
      <c r="G587" s="818">
        <f>+VLOOKUP(B587,'CA FE'!$A:$A,1,0)</f>
        <v>4130112357</v>
      </c>
      <c r="H587" s="14">
        <f>+VLOOKUP(B587,Composición!$C$4:$H$1742,5,0)</f>
        <v>47232440</v>
      </c>
      <c r="I587" s="14">
        <f>+VLOOKUP(B587,Composición!$C$4:$H$1742,6,0)</f>
        <v>6408.09</v>
      </c>
      <c r="J587" s="830">
        <f t="shared" si="22"/>
        <v>-47226031.909999996</v>
      </c>
    </row>
    <row r="588" spans="1:16" s="14" customFormat="1" ht="16.5" customHeight="1">
      <c r="A588" s="14" t="str">
        <f t="shared" si="21"/>
        <v>I</v>
      </c>
      <c r="B588" s="1203">
        <v>4130112359</v>
      </c>
      <c r="C588" t="s">
        <v>601</v>
      </c>
      <c r="D588" s="1308">
        <v>18909111</v>
      </c>
      <c r="E588" s="1309">
        <v>2599.33</v>
      </c>
      <c r="F588" s="818">
        <f>+VLOOKUP(B588,Composición!$C$5:$D$1768,1,0)</f>
        <v>4130112359</v>
      </c>
      <c r="G588" s="818">
        <f>+VLOOKUP(B588,'CA FE'!$A:$A,1,0)</f>
        <v>4130112359</v>
      </c>
      <c r="H588" s="14">
        <f>+VLOOKUP(B588,Composición!$C$4:$H$1742,5,0)</f>
        <v>18909111</v>
      </c>
      <c r="I588" s="14">
        <f>+VLOOKUP(B588,Composición!$C$4:$H$1742,6,0)</f>
        <v>2599.33</v>
      </c>
      <c r="J588" s="830">
        <f t="shared" si="22"/>
        <v>-18906511.670000002</v>
      </c>
    </row>
    <row r="589" spans="1:16" s="14" customFormat="1" ht="16.5" customHeight="1">
      <c r="A589" s="14" t="str">
        <f t="shared" si="21"/>
        <v>I</v>
      </c>
      <c r="B589" s="1203">
        <v>4130112360</v>
      </c>
      <c r="C589" t="s">
        <v>602</v>
      </c>
      <c r="D589" s="1308">
        <v>165471322</v>
      </c>
      <c r="E589" s="1309">
        <v>22500.28</v>
      </c>
      <c r="F589" s="818">
        <f>+VLOOKUP(B589,Composición!$C$5:$D$1768,1,0)</f>
        <v>4130112360</v>
      </c>
      <c r="G589" s="818">
        <f>+VLOOKUP(B589,'CA FE'!$A:$A,1,0)</f>
        <v>4130112360</v>
      </c>
      <c r="H589" s="14">
        <f>+VLOOKUP(B589,Composición!$C$4:$H$1742,5,0)</f>
        <v>165471322</v>
      </c>
      <c r="I589" s="14">
        <f>+VLOOKUP(B589,Composición!$C$4:$H$1742,6,0)</f>
        <v>22500.28</v>
      </c>
      <c r="J589" s="1053">
        <f t="shared" si="22"/>
        <v>-165448821.72</v>
      </c>
    </row>
    <row r="590" spans="1:16" s="14" customFormat="1" ht="16.5" customHeight="1">
      <c r="A590" s="14" t="str">
        <f t="shared" si="21"/>
        <v>I</v>
      </c>
      <c r="B590" s="1203">
        <v>4130112362</v>
      </c>
      <c r="C590" t="s">
        <v>603</v>
      </c>
      <c r="D590" s="1308">
        <v>1048450</v>
      </c>
      <c r="E590" s="1309">
        <v>142.9</v>
      </c>
      <c r="F590" s="818">
        <f>+VLOOKUP(B590,Composición!$C$5:$D$1768,1,0)</f>
        <v>4130112362</v>
      </c>
      <c r="G590" s="818">
        <f>+VLOOKUP(B590,'CA FE'!$A:$A,1,0)</f>
        <v>4130112362</v>
      </c>
      <c r="H590" s="14">
        <f>+VLOOKUP(B590,Composición!$C$4:$H$1742,5,0)</f>
        <v>1048450</v>
      </c>
      <c r="I590" s="14">
        <f>+VLOOKUP(B590,Composición!$C$4:$H$1742,6,0)</f>
        <v>142.9</v>
      </c>
      <c r="J590" s="830">
        <f t="shared" si="22"/>
        <v>-1048307.1</v>
      </c>
    </row>
    <row r="591" spans="1:16" s="14" customFormat="1" ht="16.5" customHeight="1">
      <c r="A591" s="14" t="str">
        <f t="shared" si="21"/>
        <v>I</v>
      </c>
      <c r="B591" s="1203">
        <v>4130112363</v>
      </c>
      <c r="C591" t="s">
        <v>604</v>
      </c>
      <c r="D591" s="1308">
        <v>3554177</v>
      </c>
      <c r="E591" s="1309">
        <v>486.73</v>
      </c>
      <c r="F591" s="818">
        <f>+VLOOKUP(B591,Composición!$C$5:$D$1768,1,0)</f>
        <v>4130112363</v>
      </c>
      <c r="G591" s="818">
        <f>+VLOOKUP(B591,'CA FE'!$A:$A,1,0)</f>
        <v>4130112363</v>
      </c>
      <c r="H591" s="1049">
        <f>+VLOOKUP(B591,Composición!$C$4:$H$1742,5,0)-D591</f>
        <v>0</v>
      </c>
      <c r="I591" s="1311">
        <f>+VLOOKUP(B591,Composición!$C$4:$H$1742,6,0)-E591</f>
        <v>0</v>
      </c>
      <c r="J591" s="830">
        <f t="shared" si="22"/>
        <v>-3554177</v>
      </c>
    </row>
    <row r="592" spans="1:16" s="31" customFormat="1" ht="16.5" customHeight="1">
      <c r="A592" s="31" t="str">
        <f t="shared" si="21"/>
        <v>NI</v>
      </c>
      <c r="B592" s="1220">
        <v>416</v>
      </c>
      <c r="C592" s="1221" t="s">
        <v>349</v>
      </c>
      <c r="D592" s="1222">
        <v>3856426194</v>
      </c>
      <c r="E592" s="1223">
        <v>90669.47</v>
      </c>
      <c r="F592" s="1058">
        <f>+VLOOKUP(B592,Composición!$C$5:$D$1768,1,0)</f>
        <v>416</v>
      </c>
      <c r="G592" s="1058">
        <f>+VLOOKUP(B592,'CA FE'!$A:$A,1,0)</f>
        <v>416</v>
      </c>
      <c r="H592" s="31">
        <f>+VLOOKUP(B592,Composición!$C$4:$H$1742,5,0)</f>
        <v>0</v>
      </c>
      <c r="I592" s="31">
        <f>+VLOOKUP(B592,Composición!$C$4:$H$1742,6,0)</f>
        <v>0</v>
      </c>
      <c r="J592" s="827">
        <f t="shared" si="22"/>
        <v>-3856426194</v>
      </c>
      <c r="M592" s="14"/>
      <c r="N592" s="14"/>
      <c r="O592" s="14"/>
      <c r="P592" s="14"/>
    </row>
    <row r="593" spans="1:16" s="31" customFormat="1" ht="16.5" customHeight="1">
      <c r="A593" s="31" t="str">
        <f t="shared" si="21"/>
        <v>NI</v>
      </c>
      <c r="B593" s="1220">
        <v>41601</v>
      </c>
      <c r="C593" s="1221" t="s">
        <v>350</v>
      </c>
      <c r="D593" s="1222">
        <v>3856426194</v>
      </c>
      <c r="E593" s="1223">
        <v>90669.47</v>
      </c>
      <c r="F593" s="1058">
        <f>+VLOOKUP(B593,Composición!$C$5:$D$1768,1,0)</f>
        <v>41601</v>
      </c>
      <c r="G593" s="1058">
        <f>+VLOOKUP(B593,'CA FE'!$A:$A,1,0)</f>
        <v>41601</v>
      </c>
      <c r="H593" s="31">
        <f>+VLOOKUP(B593,Composición!$C$4:$H$1742,5,0)</f>
        <v>0</v>
      </c>
      <c r="I593" s="31">
        <f>+VLOOKUP(B593,Composición!$C$4:$H$1742,6,0)</f>
        <v>0</v>
      </c>
      <c r="J593" s="827">
        <f t="shared" si="22"/>
        <v>-3856426194</v>
      </c>
      <c r="M593" s="14"/>
      <c r="N593" s="14"/>
      <c r="O593" s="14"/>
      <c r="P593" s="14"/>
    </row>
    <row r="594" spans="1:16" s="31" customFormat="1" ht="16.5" customHeight="1">
      <c r="A594" s="31" t="str">
        <f t="shared" si="21"/>
        <v>NI</v>
      </c>
      <c r="B594" s="1220">
        <v>416011</v>
      </c>
      <c r="C594" s="1221" t="s">
        <v>350</v>
      </c>
      <c r="D594" s="1222">
        <v>3856426194</v>
      </c>
      <c r="E594" s="1223">
        <v>90669.47</v>
      </c>
      <c r="F594" s="1058">
        <f>+VLOOKUP(B594,Composición!$C$5:$D$1768,1,0)</f>
        <v>416011</v>
      </c>
      <c r="G594" s="1058">
        <f>+VLOOKUP(B594,'CA FE'!$A:$A,1,0)</f>
        <v>416011</v>
      </c>
      <c r="H594" s="1048">
        <f>+VLOOKUP(B594,Composición!$C$4:$H$1742,5,0)-D594</f>
        <v>-3856426194</v>
      </c>
      <c r="I594" s="1214">
        <f>+VLOOKUP(B594,Composición!$C$4:$H$1742,6,0)-E594</f>
        <v>-90669.47</v>
      </c>
      <c r="J594" s="827">
        <f t="shared" si="22"/>
        <v>-3856516863.4699998</v>
      </c>
      <c r="M594" s="14"/>
      <c r="N594" s="14"/>
      <c r="O594" s="14"/>
      <c r="P594" s="14"/>
    </row>
    <row r="595" spans="1:16" s="31" customFormat="1" ht="16.5" customHeight="1">
      <c r="A595" s="31" t="str">
        <f t="shared" si="21"/>
        <v>NI</v>
      </c>
      <c r="B595" s="1220">
        <v>4160112</v>
      </c>
      <c r="C595" s="1221" t="s">
        <v>605</v>
      </c>
      <c r="D595" s="1222">
        <v>4320000</v>
      </c>
      <c r="E595" s="1223">
        <v>571.55999999999995</v>
      </c>
      <c r="F595" s="1058" t="e">
        <f>+VLOOKUP(B595,Composición!$C$5:$D$1768,1,0)</f>
        <v>#N/A</v>
      </c>
      <c r="G595" s="1058" t="e">
        <f>+VLOOKUP(B595,'CA FE'!$A:$A,1,0)</f>
        <v>#N/A</v>
      </c>
      <c r="H595" s="1048" t="e">
        <f>+VLOOKUP(B595,Composición!$C$4:$H$1742,5,0)-D595</f>
        <v>#N/A</v>
      </c>
      <c r="I595" s="1214" t="e">
        <f>+VLOOKUP(B595,Composición!$C$4:$H$1742,6,0)-E595</f>
        <v>#N/A</v>
      </c>
      <c r="J595" s="827" t="e">
        <f t="shared" si="22"/>
        <v>#N/A</v>
      </c>
      <c r="M595" s="14"/>
      <c r="N595" s="14"/>
      <c r="O595" s="14"/>
      <c r="P595" s="14"/>
    </row>
    <row r="596" spans="1:16" s="31" customFormat="1" ht="16.5" customHeight="1">
      <c r="A596" s="31" t="str">
        <f t="shared" si="21"/>
        <v>NI</v>
      </c>
      <c r="B596" s="1220">
        <v>41601121</v>
      </c>
      <c r="C596" s="1221" t="s">
        <v>606</v>
      </c>
      <c r="D596" s="1222">
        <v>4320000</v>
      </c>
      <c r="E596" s="1223">
        <v>571.55999999999995</v>
      </c>
      <c r="F596" s="1058">
        <f>+VLOOKUP(B596,Composición!$C$5:$D$1768,1,0)</f>
        <v>41601121</v>
      </c>
      <c r="G596" s="1058" t="e">
        <f>+VLOOKUP(B596,'CA FE'!$A:$A,1,0)</f>
        <v>#N/A</v>
      </c>
      <c r="H596" s="1048">
        <f>+VLOOKUP(B596,Composición!$C$4:$H$1742,5,0)-D596</f>
        <v>-4320000</v>
      </c>
      <c r="I596" s="1214">
        <f>+VLOOKUP(B596,Composición!$C$4:$H$1742,6,0)-E596</f>
        <v>-571.55999999999995</v>
      </c>
      <c r="J596" s="827">
        <f t="shared" si="22"/>
        <v>-4320571.5599999996</v>
      </c>
      <c r="M596" s="14"/>
      <c r="N596" s="14"/>
      <c r="O596" s="14"/>
      <c r="P596" s="14"/>
    </row>
    <row r="597" spans="1:16" s="14" customFormat="1" ht="16.5" customHeight="1">
      <c r="A597" s="14" t="str">
        <f t="shared" si="21"/>
        <v>I</v>
      </c>
      <c r="B597" s="1203">
        <v>4160112101</v>
      </c>
      <c r="C597" t="s">
        <v>607</v>
      </c>
      <c r="D597" s="1308">
        <v>4320000</v>
      </c>
      <c r="E597" s="1309">
        <v>571.55999999999995</v>
      </c>
      <c r="F597" s="818">
        <f>+VLOOKUP(B597,Composición!$C$5:$D$1768,1,0)</f>
        <v>4160112101</v>
      </c>
      <c r="G597" s="818">
        <f>+VLOOKUP(B597,'CA FE'!$A:$A,1,0)</f>
        <v>4160112101</v>
      </c>
      <c r="H597" s="1049">
        <f>+VLOOKUP(B597,Composición!$C$4:$H$1742,5,0)-D597</f>
        <v>0</v>
      </c>
      <c r="I597" s="1311">
        <f>+VLOOKUP(B597,Composición!$C$4:$H$1742,6,0)-E597</f>
        <v>0</v>
      </c>
      <c r="J597" s="830">
        <f t="shared" si="22"/>
        <v>-4320000</v>
      </c>
    </row>
    <row r="598" spans="1:16" s="31" customFormat="1" ht="16.5" customHeight="1">
      <c r="A598" s="31" t="str">
        <f t="shared" si="21"/>
        <v>NI</v>
      </c>
      <c r="B598" s="1220">
        <v>4160115</v>
      </c>
      <c r="C598" s="1221" t="s">
        <v>351</v>
      </c>
      <c r="D598" s="1222">
        <v>585609137</v>
      </c>
      <c r="E598" s="1223">
        <v>75128.929999999993</v>
      </c>
      <c r="F598" s="1058">
        <f>+VLOOKUP(B598,Composición!$C$5:$D$1768,1,0)</f>
        <v>4160115</v>
      </c>
      <c r="G598" s="1058">
        <f>+VLOOKUP(B598,'CA FE'!$A:$A,1,0)</f>
        <v>4160115</v>
      </c>
      <c r="H598" s="1048">
        <f>+VLOOKUP(B598,Composición!$C$4:$H$1742,5,0)-D598</f>
        <v>-585609137</v>
      </c>
      <c r="I598" s="1214">
        <f>+VLOOKUP(B598,Composición!$C$4:$H$1742,6,0)-E598</f>
        <v>-75128.929999999993</v>
      </c>
      <c r="J598" s="827">
        <f t="shared" si="22"/>
        <v>-585684265.92999995</v>
      </c>
      <c r="M598" s="14"/>
      <c r="N598" s="14"/>
      <c r="O598" s="14"/>
      <c r="P598" s="14"/>
    </row>
    <row r="599" spans="1:16" s="31" customFormat="1" ht="16.5" customHeight="1">
      <c r="A599" s="31" t="str">
        <f t="shared" si="21"/>
        <v>NI</v>
      </c>
      <c r="B599" s="1220">
        <v>41601151</v>
      </c>
      <c r="C599" s="1221" t="s">
        <v>352</v>
      </c>
      <c r="D599" s="1222">
        <v>393442027</v>
      </c>
      <c r="E599" s="1223">
        <v>49847.59</v>
      </c>
      <c r="F599" s="1058">
        <f>+VLOOKUP(B599,Composición!$C$5:$D$1768,1,0)</f>
        <v>41601151</v>
      </c>
      <c r="G599" s="1058">
        <f>+VLOOKUP(B599,'CA FE'!$A:$A,1,0)</f>
        <v>41601151</v>
      </c>
      <c r="H599" s="1048">
        <f>+VLOOKUP(B599,Composición!$C$4:$H$1742,5,0)-D599</f>
        <v>-393442027</v>
      </c>
      <c r="I599" s="1214">
        <f>+VLOOKUP(B599,Composición!$C$4:$H$1742,6,0)-E599</f>
        <v>-49847.59</v>
      </c>
      <c r="J599" s="827">
        <f t="shared" ref="J599:J620" si="23">+I599-D599</f>
        <v>-393491874.58999997</v>
      </c>
      <c r="M599" s="14"/>
      <c r="N599" s="14"/>
      <c r="O599" s="14"/>
      <c r="P599" s="14"/>
    </row>
    <row r="600" spans="1:16" s="14" customFormat="1" ht="16.5" customHeight="1">
      <c r="A600" s="14" t="str">
        <f t="shared" si="21"/>
        <v>I</v>
      </c>
      <c r="B600" s="1203">
        <v>4160115101</v>
      </c>
      <c r="C600" t="s">
        <v>353</v>
      </c>
      <c r="D600" s="1308">
        <v>29091884</v>
      </c>
      <c r="E600" s="1309">
        <v>3806.07</v>
      </c>
      <c r="F600" s="818">
        <f>+VLOOKUP(B600,Composición!$C$5:$D$1768,1,0)</f>
        <v>4160115101</v>
      </c>
      <c r="G600" s="818">
        <f>+VLOOKUP(B600,'CA FE'!$A:$A,1,0)</f>
        <v>4160115101</v>
      </c>
      <c r="H600" s="14">
        <f>+VLOOKUP(B600,Composición!$C$4:$H$1742,5,0)</f>
        <v>29091884</v>
      </c>
      <c r="I600" s="14">
        <f>+VLOOKUP(B600,Composición!$C$4:$H$1742,6,0)</f>
        <v>3806.07</v>
      </c>
      <c r="J600" s="1053">
        <f t="shared" si="23"/>
        <v>-29088077.93</v>
      </c>
    </row>
    <row r="601" spans="1:16" s="14" customFormat="1" ht="16.5" customHeight="1">
      <c r="A601" s="14" t="str">
        <f t="shared" si="21"/>
        <v>I</v>
      </c>
      <c r="B601" s="1203">
        <v>4160115102</v>
      </c>
      <c r="C601" t="s">
        <v>354</v>
      </c>
      <c r="D601" s="1308">
        <v>109888439</v>
      </c>
      <c r="E601" s="1309">
        <v>14255.730000000001</v>
      </c>
      <c r="F601" s="818">
        <f>+VLOOKUP(B601,Composición!$C$5:$D$1768,1,0)</f>
        <v>4160115102</v>
      </c>
      <c r="G601" s="818">
        <f>+VLOOKUP(B601,'CA FE'!$A:$A,1,0)</f>
        <v>4160115102</v>
      </c>
      <c r="H601" s="1049">
        <f>+VLOOKUP(B601,Composición!$C$4:$H$1742,5,0)-D601</f>
        <v>0</v>
      </c>
      <c r="I601" s="1311">
        <f>+VLOOKUP(B601,Composición!$C$4:$H$1742,6,0)-E601</f>
        <v>0</v>
      </c>
      <c r="J601" s="830">
        <f t="shared" si="23"/>
        <v>-109888439</v>
      </c>
    </row>
    <row r="602" spans="1:16" s="14" customFormat="1" ht="16.5" customHeight="1">
      <c r="A602" s="14" t="str">
        <f t="shared" si="21"/>
        <v>I</v>
      </c>
      <c r="B602" s="1203">
        <v>4160115103</v>
      </c>
      <c r="C602" t="s">
        <v>355</v>
      </c>
      <c r="D602" s="1308">
        <v>97986474</v>
      </c>
      <c r="E602" s="1309">
        <v>11772.670000000002</v>
      </c>
      <c r="F602" s="818">
        <f>+VLOOKUP(B602,Composición!$C$5:$D$1768,1,0)</f>
        <v>4160115103</v>
      </c>
      <c r="G602" s="818">
        <f>+VLOOKUP(B602,'CA FE'!$A:$A,1,0)</f>
        <v>4160115103</v>
      </c>
      <c r="H602" s="1049">
        <f>+VLOOKUP(B602,Composición!$C$4:$H$1742,5,0)-D602</f>
        <v>0</v>
      </c>
      <c r="I602" s="1311">
        <f>+VLOOKUP(B602,Composición!$C$4:$H$1742,6,0)-E602</f>
        <v>0</v>
      </c>
      <c r="J602" s="830">
        <f t="shared" si="23"/>
        <v>-97986474</v>
      </c>
    </row>
    <row r="603" spans="1:16" s="14" customFormat="1" ht="16.5" customHeight="1">
      <c r="A603" s="14" t="str">
        <f t="shared" si="21"/>
        <v>I</v>
      </c>
      <c r="B603" s="1203">
        <v>4160115104</v>
      </c>
      <c r="C603" t="s">
        <v>356</v>
      </c>
      <c r="D603" s="1308">
        <v>6025533</v>
      </c>
      <c r="E603" s="1309">
        <v>772.84</v>
      </c>
      <c r="F603" s="818">
        <f>+VLOOKUP(B603,Composición!$C$5:$D$1768,1,0)</f>
        <v>4160115104</v>
      </c>
      <c r="G603" s="818">
        <f>+VLOOKUP(B603,'CA FE'!$A:$A,1,0)</f>
        <v>4160115104</v>
      </c>
      <c r="H603" s="1049">
        <f>+VLOOKUP(B603,Composición!$C$4:$H$1742,5,0)-D603</f>
        <v>0</v>
      </c>
      <c r="I603" s="1311">
        <f>+VLOOKUP(B603,Composición!$C$4:$H$1742,6,0)-E603</f>
        <v>0</v>
      </c>
      <c r="J603" s="830">
        <f t="shared" si="23"/>
        <v>-6025533</v>
      </c>
    </row>
    <row r="604" spans="1:16" s="14" customFormat="1" ht="16.5" customHeight="1">
      <c r="A604" s="14" t="str">
        <f t="shared" si="21"/>
        <v>I</v>
      </c>
      <c r="B604" s="1203">
        <v>4160115105</v>
      </c>
      <c r="C604" t="s">
        <v>357</v>
      </c>
      <c r="D604" s="1308">
        <v>12814030</v>
      </c>
      <c r="E604" s="1309">
        <v>1657.95</v>
      </c>
      <c r="F604" s="818">
        <f>+VLOOKUP(B604,Composición!$C$5:$D$1768,1,0)</f>
        <v>4160115105</v>
      </c>
      <c r="G604" s="818">
        <f>+VLOOKUP(B604,'CA FE'!$A:$A,1,0)</f>
        <v>4160115105</v>
      </c>
      <c r="H604" s="14">
        <f>+VLOOKUP(B604,Composición!$C$4:$H$1742,5,0)</f>
        <v>12814030</v>
      </c>
      <c r="I604" s="14">
        <f>+VLOOKUP(B604,Composición!$C$4:$H$1742,6,0)</f>
        <v>1657.95</v>
      </c>
      <c r="J604" s="830">
        <f t="shared" si="23"/>
        <v>-12812372.050000001</v>
      </c>
    </row>
    <row r="605" spans="1:16" s="14" customFormat="1" ht="16.5" customHeight="1">
      <c r="A605" s="14" t="str">
        <f t="shared" si="21"/>
        <v>I</v>
      </c>
      <c r="B605" s="1203">
        <v>4160115106</v>
      </c>
      <c r="C605" t="s">
        <v>1009</v>
      </c>
      <c r="D605" s="1308">
        <v>137168000</v>
      </c>
      <c r="E605" s="1309">
        <v>17520.150000000001</v>
      </c>
      <c r="F605" s="818">
        <f>+VLOOKUP(B605,Composición!$C$5:$D$1768,1,0)</f>
        <v>4160115106</v>
      </c>
      <c r="G605" s="818">
        <f>+VLOOKUP(B605,'CA FE'!$A:$A,1,0)</f>
        <v>4160115106</v>
      </c>
      <c r="H605" s="1049">
        <f>+VLOOKUP(B605,Composición!$C$4:$H$1742,5,0)-D605</f>
        <v>0</v>
      </c>
      <c r="I605" s="1311">
        <f>+VLOOKUP(B605,Composición!$C$4:$H$1742,6,0)-E605</f>
        <v>0</v>
      </c>
      <c r="J605" s="830">
        <f t="shared" si="23"/>
        <v>-137168000</v>
      </c>
    </row>
    <row r="606" spans="1:16" s="14" customFormat="1" ht="16.5" customHeight="1">
      <c r="A606" s="14" t="str">
        <f t="shared" si="21"/>
        <v>I</v>
      </c>
      <c r="B606" s="1203">
        <v>4160115109</v>
      </c>
      <c r="C606" t="s">
        <v>358</v>
      </c>
      <c r="D606" s="1308">
        <v>467667</v>
      </c>
      <c r="E606" s="1309">
        <v>62.18</v>
      </c>
      <c r="F606" s="818">
        <f>+VLOOKUP(B606,Composición!$C$5:$D$1768,1,0)</f>
        <v>4160115109</v>
      </c>
      <c r="G606" s="818">
        <f>+VLOOKUP(B606,'CA FE'!$A:$A,1,0)</f>
        <v>4160115109</v>
      </c>
      <c r="H606" s="1049">
        <f>+VLOOKUP(B606,Composición!$C$4:$H$1742,5,0)-D606</f>
        <v>0</v>
      </c>
      <c r="I606" s="1311">
        <f>+VLOOKUP(B606,Composición!$C$4:$H$1742,6,0)-E606</f>
        <v>0</v>
      </c>
      <c r="J606" s="830">
        <f t="shared" si="23"/>
        <v>-467667</v>
      </c>
    </row>
    <row r="607" spans="1:16" s="31" customFormat="1" ht="16.5" customHeight="1">
      <c r="A607" s="31" t="str">
        <f t="shared" si="21"/>
        <v>NI</v>
      </c>
      <c r="B607" s="1220">
        <v>41601152</v>
      </c>
      <c r="C607" s="1221" t="s">
        <v>359</v>
      </c>
      <c r="D607" s="1222">
        <v>101579235</v>
      </c>
      <c r="E607" s="1223">
        <v>13098.86</v>
      </c>
      <c r="F607" s="1058">
        <f>+VLOOKUP(B607,Composición!$C$5:$D$1768,1,0)</f>
        <v>41601152</v>
      </c>
      <c r="G607" s="1058">
        <f>+VLOOKUP(B607,'CA FE'!$A:$A,1,0)</f>
        <v>41601152</v>
      </c>
      <c r="H607" s="31">
        <f>+VLOOKUP(B607,Composición!$C$4:$H$1742,5,0)</f>
        <v>0</v>
      </c>
      <c r="I607" s="31">
        <f>+VLOOKUP(B607,Composición!$C$4:$H$1742,6,0)</f>
        <v>0</v>
      </c>
      <c r="J607" s="827">
        <f t="shared" si="23"/>
        <v>-101579235</v>
      </c>
      <c r="M607" s="14"/>
      <c r="N607" s="14"/>
      <c r="O607" s="14"/>
      <c r="P607" s="14"/>
    </row>
    <row r="608" spans="1:16" s="14" customFormat="1" ht="16.5" customHeight="1">
      <c r="A608" s="14" t="str">
        <f t="shared" si="21"/>
        <v>I</v>
      </c>
      <c r="B608" s="1203">
        <v>4160115201</v>
      </c>
      <c r="C608" t="s">
        <v>360</v>
      </c>
      <c r="D608" s="1308">
        <v>32554435</v>
      </c>
      <c r="E608" s="1309">
        <v>4226</v>
      </c>
      <c r="F608" s="818">
        <f>+VLOOKUP(B608,Composición!$C$5:$D$1768,1,0)</f>
        <v>4160115201</v>
      </c>
      <c r="G608" s="818">
        <f>+VLOOKUP(B608,'CA FE'!$A:$A,1,0)</f>
        <v>4160115201</v>
      </c>
      <c r="H608" s="14">
        <f>+VLOOKUP(B608,Composición!$C$4:$H$1742,5,0)</f>
        <v>32554435</v>
      </c>
      <c r="I608" s="14">
        <f>+VLOOKUP(B608,Composición!$C$4:$H$1742,6,0)</f>
        <v>4226</v>
      </c>
      <c r="J608" s="830">
        <f t="shared" si="23"/>
        <v>-32550209</v>
      </c>
    </row>
    <row r="609" spans="1:16" s="14" customFormat="1" ht="16.5" customHeight="1">
      <c r="A609" s="14" t="str">
        <f t="shared" si="21"/>
        <v>I</v>
      </c>
      <c r="B609" s="1203">
        <v>4160115202</v>
      </c>
      <c r="C609" t="s">
        <v>361</v>
      </c>
      <c r="D609" s="1308">
        <v>26030868</v>
      </c>
      <c r="E609" s="1309">
        <v>3359.1</v>
      </c>
      <c r="F609" s="818">
        <f>+VLOOKUP(B609,Composición!$C$5:$D$1768,1,0)</f>
        <v>4160115202</v>
      </c>
      <c r="G609" s="818">
        <f>+VLOOKUP(B609,'CA FE'!$A:$A,1,0)</f>
        <v>4160115202</v>
      </c>
      <c r="H609" s="1049">
        <f>+VLOOKUP(B609,Composición!$C$4:$H$1742,5,0)-D609</f>
        <v>0</v>
      </c>
      <c r="I609" s="1311">
        <f>+VLOOKUP(B609,Composición!$C$4:$H$1742,6,0)-E609</f>
        <v>0</v>
      </c>
      <c r="J609" s="1053">
        <f t="shared" si="23"/>
        <v>-26030868</v>
      </c>
    </row>
    <row r="610" spans="1:16" s="14" customFormat="1" ht="16.5" customHeight="1">
      <c r="A610" s="14" t="str">
        <f t="shared" si="21"/>
        <v>I</v>
      </c>
      <c r="B610" s="1203">
        <v>4160115203</v>
      </c>
      <c r="C610" t="s">
        <v>362</v>
      </c>
      <c r="D610" s="1308">
        <v>1264349</v>
      </c>
      <c r="E610" s="1309">
        <v>173.76</v>
      </c>
      <c r="F610" s="818">
        <f>+VLOOKUP(B610,Composición!$C$5:$D$1768,1,0)</f>
        <v>4160115203</v>
      </c>
      <c r="G610" s="818">
        <f>+VLOOKUP(B610,'CA FE'!$A:$A,1,0)</f>
        <v>4160115203</v>
      </c>
      <c r="H610" s="1049">
        <f>+VLOOKUP(B610,Composición!$C$4:$H$1742,5,0)-D610</f>
        <v>0</v>
      </c>
      <c r="I610" s="1311">
        <f>+VLOOKUP(B610,Composición!$C$4:$H$1742,6,0)-E610</f>
        <v>0</v>
      </c>
      <c r="J610" s="830">
        <f t="shared" si="23"/>
        <v>-1264349</v>
      </c>
    </row>
    <row r="611" spans="1:16" s="14" customFormat="1" ht="16.5" customHeight="1">
      <c r="A611" s="14" t="str">
        <f t="shared" si="21"/>
        <v>I</v>
      </c>
      <c r="B611" s="1203">
        <v>4160115206</v>
      </c>
      <c r="C611" t="s">
        <v>1012</v>
      </c>
      <c r="D611" s="1308">
        <v>41729583</v>
      </c>
      <c r="E611" s="1309">
        <v>5340</v>
      </c>
      <c r="F611" s="818">
        <f>+VLOOKUP(B611,Composición!$C$5:$D$1768,1,0)</f>
        <v>4160115206</v>
      </c>
      <c r="G611" s="818">
        <f>+VLOOKUP(B611,'CA FE'!$A:$A,1,0)</f>
        <v>4160115206</v>
      </c>
      <c r="H611" s="1049">
        <f>+VLOOKUP(B611,Composición!$C$4:$H$1742,5,0)-D611</f>
        <v>0</v>
      </c>
      <c r="I611" s="1311">
        <f>+VLOOKUP(B611,Composición!$C$4:$H$1742,6,0)-E611</f>
        <v>0</v>
      </c>
      <c r="J611" s="1053">
        <f t="shared" si="23"/>
        <v>-41729583</v>
      </c>
    </row>
    <row r="612" spans="1:16" s="31" customFormat="1" ht="16.5" customHeight="1">
      <c r="A612" s="31" t="str">
        <f t="shared" si="21"/>
        <v>NI</v>
      </c>
      <c r="B612" s="1220">
        <v>41601153</v>
      </c>
      <c r="C612" s="1221" t="s">
        <v>363</v>
      </c>
      <c r="D612" s="1222">
        <v>90587875</v>
      </c>
      <c r="E612" s="1223">
        <v>12182.48</v>
      </c>
      <c r="F612" s="1058">
        <f>+VLOOKUP(B612,Composición!$C$5:$D$1768,1,0)</f>
        <v>41601153</v>
      </c>
      <c r="G612" s="1058">
        <f>+VLOOKUP(B612,'CA FE'!$A:$A,1,0)</f>
        <v>41601153</v>
      </c>
      <c r="H612" s="1048">
        <f>+VLOOKUP(B612,Composición!$C$4:$H$1742,5,0)-D612</f>
        <v>-90587875</v>
      </c>
      <c r="I612" s="1214">
        <f>+VLOOKUP(B612,Composición!$C$4:$H$1742,6,0)-E612</f>
        <v>-12182.48</v>
      </c>
      <c r="J612" s="1054">
        <f t="shared" si="23"/>
        <v>-90600057.480000004</v>
      </c>
      <c r="M612" s="14"/>
      <c r="N612" s="14"/>
      <c r="O612" s="14"/>
      <c r="P612" s="14"/>
    </row>
    <row r="613" spans="1:16" s="14" customFormat="1" ht="16.5" customHeight="1">
      <c r="A613" s="14" t="str">
        <f t="shared" si="21"/>
        <v>I</v>
      </c>
      <c r="B613" s="1203">
        <v>4160115301</v>
      </c>
      <c r="C613" t="s">
        <v>364</v>
      </c>
      <c r="D613" s="1308">
        <v>78006595</v>
      </c>
      <c r="E613" s="1309">
        <v>10489.35</v>
      </c>
      <c r="F613" s="818">
        <f>+VLOOKUP(B613,Composición!$C$5:$D$1768,1,0)</f>
        <v>4160115301</v>
      </c>
      <c r="G613" s="818">
        <f>+VLOOKUP(B613,'CA FE'!$A:$A,1,0)</f>
        <v>4160115301</v>
      </c>
      <c r="H613" s="1049">
        <f>+VLOOKUP(B613,Composición!$C$4:$H$1742,5,0)-D613</f>
        <v>0</v>
      </c>
      <c r="I613" s="1311">
        <f>+VLOOKUP(B613,Composición!$C$4:$H$1742,6,0)-E613</f>
        <v>0</v>
      </c>
      <c r="J613" s="1053">
        <f t="shared" si="23"/>
        <v>-78006595</v>
      </c>
    </row>
    <row r="614" spans="1:16" s="14" customFormat="1" ht="16.5" customHeight="1">
      <c r="A614" s="14" t="str">
        <f t="shared" si="21"/>
        <v>I</v>
      </c>
      <c r="B614" s="1203">
        <v>4160115302</v>
      </c>
      <c r="C614" t="s">
        <v>365</v>
      </c>
      <c r="D614" s="1308">
        <v>12581280</v>
      </c>
      <c r="E614" s="1309">
        <v>1693.13</v>
      </c>
      <c r="F614" s="818">
        <f>+VLOOKUP(B614,Composición!$C$5:$D$1768,1,0)</f>
        <v>4160115302</v>
      </c>
      <c r="G614" s="818">
        <f>+VLOOKUP(B614,'CA FE'!$A:$A,1,0)</f>
        <v>4160115302</v>
      </c>
      <c r="H614" s="1049">
        <f>+VLOOKUP(B614,Composición!$C$4:$H$1742,5,0)-D614</f>
        <v>0</v>
      </c>
      <c r="I614" s="1311">
        <f>+VLOOKUP(B614,Composición!$C$4:$H$1742,6,0)-E614</f>
        <v>0</v>
      </c>
      <c r="J614" s="1053">
        <f t="shared" si="23"/>
        <v>-12581280</v>
      </c>
    </row>
    <row r="615" spans="1:16" s="31" customFormat="1" ht="16.5" customHeight="1">
      <c r="A615" s="31" t="str">
        <f t="shared" si="21"/>
        <v>NI</v>
      </c>
      <c r="B615" s="1220">
        <v>4160116</v>
      </c>
      <c r="C615" s="1221" t="s">
        <v>366</v>
      </c>
      <c r="D615" s="1222">
        <v>105621337</v>
      </c>
      <c r="E615" s="1223">
        <v>13665.720000000001</v>
      </c>
      <c r="F615" s="1058">
        <f>+VLOOKUP(B615,Composición!$C$5:$D$1768,1,0)</f>
        <v>4160116</v>
      </c>
      <c r="G615" s="1058">
        <f>+VLOOKUP(B615,'CA FE'!$A:$A,1,0)</f>
        <v>4160116</v>
      </c>
      <c r="H615" s="31">
        <f>+VLOOKUP(B615,Composición!$C$4:$H$1742,5,0)</f>
        <v>0</v>
      </c>
      <c r="I615" s="31">
        <f>+VLOOKUP(B615,Composición!$C$4:$H$1742,6,0)</f>
        <v>0</v>
      </c>
      <c r="J615" s="827">
        <f t="shared" si="23"/>
        <v>-105621337</v>
      </c>
      <c r="M615" s="14"/>
      <c r="N615" s="14"/>
      <c r="O615" s="14"/>
      <c r="P615" s="14"/>
    </row>
    <row r="616" spans="1:16" s="31" customFormat="1" ht="16.5" customHeight="1">
      <c r="A616" s="31" t="str">
        <f t="shared" si="21"/>
        <v>NI</v>
      </c>
      <c r="B616" s="1220">
        <v>41601161</v>
      </c>
      <c r="C616" s="1221" t="s">
        <v>367</v>
      </c>
      <c r="D616" s="1222">
        <v>81219641</v>
      </c>
      <c r="E616" s="1223">
        <v>10521.550000000003</v>
      </c>
      <c r="F616" s="1058">
        <f>+VLOOKUP(B616,Composición!$C$5:$D$1768,1,0)</f>
        <v>41601161</v>
      </c>
      <c r="G616" s="1058">
        <f>+VLOOKUP(B616,'CA FE'!$A:$A,1,0)</f>
        <v>41601161</v>
      </c>
      <c r="H616" s="1048">
        <f>+VLOOKUP(B616,Composición!$C$4:$H$1742,5,0)-D616</f>
        <v>-81219641</v>
      </c>
      <c r="I616" s="1214">
        <f>+VLOOKUP(B616,Composición!$C$4:$H$1742,6,0)-E616</f>
        <v>-10521.550000000003</v>
      </c>
      <c r="J616" s="1054">
        <f t="shared" si="23"/>
        <v>-81230162.549999997</v>
      </c>
      <c r="M616" s="14"/>
      <c r="N616" s="14"/>
      <c r="O616" s="14"/>
      <c r="P616" s="14"/>
    </row>
    <row r="617" spans="1:16" s="14" customFormat="1" ht="16.5" customHeight="1">
      <c r="A617" s="14" t="str">
        <f t="shared" si="21"/>
        <v>I</v>
      </c>
      <c r="B617" s="1203">
        <v>4160116101</v>
      </c>
      <c r="C617" t="s">
        <v>368</v>
      </c>
      <c r="D617" s="1308">
        <v>6311501</v>
      </c>
      <c r="E617" s="1309">
        <v>804.7399999999999</v>
      </c>
      <c r="F617" s="818">
        <f>+VLOOKUP(B617,Composición!$C$5:$D$1768,1,0)</f>
        <v>4160116101</v>
      </c>
      <c r="G617" s="818">
        <f>+VLOOKUP(B617,'CA FE'!$A:$A,1,0)</f>
        <v>4160116101</v>
      </c>
      <c r="H617" s="1049">
        <f>+VLOOKUP(B617,Composición!$C$4:$H$1742,5,0)-D617</f>
        <v>0</v>
      </c>
      <c r="I617" s="1311">
        <f>+VLOOKUP(B617,Composición!$C$4:$H$1742,6,0)-E617</f>
        <v>0</v>
      </c>
      <c r="J617" s="1053">
        <f t="shared" si="23"/>
        <v>-6311501</v>
      </c>
    </row>
    <row r="618" spans="1:16" s="14" customFormat="1" ht="16.5" customHeight="1">
      <c r="A618" s="14" t="str">
        <f t="shared" ref="A618:A681" si="24">IF(LEN(B618)&gt;8,"I","NI")</f>
        <v>I</v>
      </c>
      <c r="B618" s="1203">
        <v>4160116102</v>
      </c>
      <c r="C618" t="s">
        <v>369</v>
      </c>
      <c r="D618" s="1308">
        <v>14141656</v>
      </c>
      <c r="E618" s="1309">
        <v>1845.4899999999998</v>
      </c>
      <c r="F618" s="818">
        <f>+VLOOKUP(B618,Composición!$C$5:$D$1768,1,0)</f>
        <v>4160116102</v>
      </c>
      <c r="G618" s="818">
        <f>+VLOOKUP(B618,'CA FE'!$A:$A,1,0)</f>
        <v>4160116102</v>
      </c>
      <c r="H618" s="1049">
        <f>+VLOOKUP(B618,Composición!$C$4:$H$1742,5,0)-D618</f>
        <v>0</v>
      </c>
      <c r="I618" s="1311">
        <f>+VLOOKUP(B618,Composición!$C$4:$H$1742,6,0)-E618</f>
        <v>0</v>
      </c>
      <c r="J618" s="1053">
        <f t="shared" si="23"/>
        <v>-14141656</v>
      </c>
    </row>
    <row r="619" spans="1:16" s="14" customFormat="1" ht="16.5" customHeight="1">
      <c r="A619" s="14" t="str">
        <f t="shared" si="24"/>
        <v>I</v>
      </c>
      <c r="B619" s="1203">
        <v>4160116103</v>
      </c>
      <c r="C619" t="s">
        <v>370</v>
      </c>
      <c r="D619" s="1308">
        <v>21775989</v>
      </c>
      <c r="E619" s="1309">
        <v>2885.0800000000017</v>
      </c>
      <c r="F619" s="818">
        <f>+VLOOKUP(B619,Composición!$C$5:$D$1768,1,0)</f>
        <v>4160116103</v>
      </c>
      <c r="G619" s="818">
        <f>+VLOOKUP(B619,'CA FE'!$A:$A,1,0)</f>
        <v>4160116103</v>
      </c>
      <c r="H619" s="14">
        <f>+VLOOKUP(B619,Composición!$C$4:$H$1742,5,0)</f>
        <v>21775989</v>
      </c>
      <c r="I619" s="14">
        <f>+VLOOKUP(B619,Composición!$C$4:$H$1742,6,0)</f>
        <v>2885.0800000000017</v>
      </c>
      <c r="J619" s="1053">
        <f t="shared" si="23"/>
        <v>-21773103.920000002</v>
      </c>
    </row>
    <row r="620" spans="1:16" s="14" customFormat="1" ht="16.5" customHeight="1">
      <c r="A620" s="14" t="str">
        <f t="shared" si="24"/>
        <v>I</v>
      </c>
      <c r="B620" s="1203">
        <v>4160116104</v>
      </c>
      <c r="C620" t="s">
        <v>371</v>
      </c>
      <c r="D620" s="1308">
        <v>1506384</v>
      </c>
      <c r="E620" s="1309">
        <v>193.21</v>
      </c>
      <c r="F620" s="818">
        <f>+VLOOKUP(B620,Composición!$C$5:$D$1768,1,0)</f>
        <v>4160116104</v>
      </c>
      <c r="G620" s="818">
        <f>+VLOOKUP(B620,'CA FE'!$A:$A,1,0)</f>
        <v>4160116104</v>
      </c>
      <c r="H620" s="14">
        <f>+VLOOKUP(B620,Composición!$C$4:$H$1742,5,0)</f>
        <v>1506384</v>
      </c>
      <c r="I620" s="14">
        <f>+VLOOKUP(B620,Composición!$C$4:$H$1742,6,0)</f>
        <v>193.21</v>
      </c>
      <c r="J620" s="1053">
        <f t="shared" si="23"/>
        <v>-1506190.79</v>
      </c>
    </row>
    <row r="621" spans="1:16" s="14" customFormat="1" ht="16.5" customHeight="1">
      <c r="A621" s="14" t="str">
        <f t="shared" si="24"/>
        <v>I</v>
      </c>
      <c r="B621" s="1203">
        <v>4160116105</v>
      </c>
      <c r="C621" t="s">
        <v>372</v>
      </c>
      <c r="D621" s="1308">
        <v>3140978</v>
      </c>
      <c r="E621" s="1309">
        <v>406.14</v>
      </c>
      <c r="F621" s="818">
        <f>+VLOOKUP(B621,Composición!$C$5:$D$1768,1,0)</f>
        <v>4160116105</v>
      </c>
      <c r="G621" s="818">
        <f>+VLOOKUP(B621,'CA FE'!$A:$A,1,0)</f>
        <v>4160116105</v>
      </c>
      <c r="H621" s="1049">
        <f>+VLOOKUP(B621,Composición!$C$4:$H$1742,5,0)-D621</f>
        <v>0</v>
      </c>
      <c r="I621" s="1311">
        <f>+VLOOKUP(B621,Composición!$C$4:$H$1742,6,0)-E621</f>
        <v>0</v>
      </c>
      <c r="J621" s="830">
        <f t="shared" si="22"/>
        <v>-3140978</v>
      </c>
    </row>
    <row r="622" spans="1:16" s="14" customFormat="1" ht="16.5" customHeight="1">
      <c r="A622" s="14" t="str">
        <f t="shared" si="24"/>
        <v>I</v>
      </c>
      <c r="B622" s="1203">
        <v>4160116106</v>
      </c>
      <c r="C622" t="s">
        <v>1018</v>
      </c>
      <c r="D622" s="1308">
        <v>34292000</v>
      </c>
      <c r="E622" s="1309">
        <v>4380.0200000000004</v>
      </c>
      <c r="F622" s="818">
        <f>+VLOOKUP(B622,Composición!$C$5:$D$1768,1,0)</f>
        <v>4160116106</v>
      </c>
      <c r="G622" s="818">
        <f>+VLOOKUP(B622,'CA FE'!$A:$A,1,0)</f>
        <v>4160116106</v>
      </c>
      <c r="H622" s="1049">
        <f>+VLOOKUP(B622,Composición!$C$4:$H$1742,5,0)-D622</f>
        <v>0</v>
      </c>
      <c r="I622" s="1311">
        <f>+VLOOKUP(B622,Composición!$C$4:$H$1742,6,0)-E622</f>
        <v>0</v>
      </c>
      <c r="J622" s="1053">
        <f t="shared" si="22"/>
        <v>-34292000</v>
      </c>
    </row>
    <row r="623" spans="1:16" s="14" customFormat="1" ht="16.5" customHeight="1">
      <c r="A623" s="14" t="str">
        <f t="shared" si="24"/>
        <v>I</v>
      </c>
      <c r="B623" s="1203">
        <v>4160116109</v>
      </c>
      <c r="C623" t="s">
        <v>373</v>
      </c>
      <c r="D623" s="1308">
        <v>51133</v>
      </c>
      <c r="E623" s="1309">
        <v>6.87</v>
      </c>
      <c r="F623" s="818">
        <f>+VLOOKUP(B623,Composición!$C$5:$D$1768,1,0)</f>
        <v>4160116109</v>
      </c>
      <c r="G623" s="818">
        <f>+VLOOKUP(B623,'CA FE'!$A:$A,1,0)</f>
        <v>4160116109</v>
      </c>
      <c r="H623" s="14">
        <f>+VLOOKUP(B623,Composición!$C$4:$H$1742,5,0)</f>
        <v>51133</v>
      </c>
      <c r="I623" s="14">
        <f>+VLOOKUP(B623,Composición!$C$4:$H$1742,6,0)</f>
        <v>6.87</v>
      </c>
      <c r="J623" s="830">
        <f t="shared" si="22"/>
        <v>-51126.13</v>
      </c>
    </row>
    <row r="624" spans="1:16" s="31" customFormat="1" ht="16.5" customHeight="1">
      <c r="A624" s="31" t="str">
        <f t="shared" si="24"/>
        <v>NI</v>
      </c>
      <c r="B624" s="1220">
        <v>41601162</v>
      </c>
      <c r="C624" s="1221" t="s">
        <v>374</v>
      </c>
      <c r="D624" s="1222">
        <v>24401696</v>
      </c>
      <c r="E624" s="1223">
        <v>3144.17</v>
      </c>
      <c r="F624" s="1058">
        <f>+VLOOKUP(B624,Composición!$C$5:$D$1768,1,0)</f>
        <v>41601162</v>
      </c>
      <c r="G624" s="1058">
        <f>+VLOOKUP(B624,'CA FE'!$A:$A,1,0)</f>
        <v>41601162</v>
      </c>
      <c r="H624" s="31">
        <f>+VLOOKUP(B624,Composición!$C$4:$H$1742,5,0)</f>
        <v>0</v>
      </c>
      <c r="I624" s="31">
        <f>+VLOOKUP(B624,Composición!$C$4:$H$1742,6,0)</f>
        <v>0</v>
      </c>
      <c r="J624" s="827">
        <f t="shared" si="22"/>
        <v>-24401696</v>
      </c>
      <c r="M624" s="14"/>
      <c r="N624" s="14"/>
      <c r="O624" s="14"/>
      <c r="P624" s="14"/>
    </row>
    <row r="625" spans="1:16" s="14" customFormat="1" ht="16.5" customHeight="1">
      <c r="A625" s="14" t="str">
        <f t="shared" si="24"/>
        <v>I</v>
      </c>
      <c r="B625" s="1203">
        <v>4160116201</v>
      </c>
      <c r="C625" t="s">
        <v>375</v>
      </c>
      <c r="D625" s="1308">
        <v>7428680</v>
      </c>
      <c r="E625" s="1309">
        <v>963.22</v>
      </c>
      <c r="F625" s="818">
        <f>+VLOOKUP(B625,Composición!$C$5:$D$1768,1,0)</f>
        <v>4160116201</v>
      </c>
      <c r="G625" s="818">
        <f>+VLOOKUP(B625,'CA FE'!$A:$A,1,0)</f>
        <v>4160116201</v>
      </c>
      <c r="H625" s="14">
        <f>+VLOOKUP(B625,Composición!$C$4:$H$1742,5,0)</f>
        <v>7428680</v>
      </c>
      <c r="I625" s="14">
        <f>+VLOOKUP(B625,Composición!$C$4:$H$1742,6,0)</f>
        <v>963.22</v>
      </c>
      <c r="J625" s="830">
        <f t="shared" si="22"/>
        <v>-7427716.7800000003</v>
      </c>
    </row>
    <row r="626" spans="1:16" s="14" customFormat="1" ht="16.5" customHeight="1">
      <c r="A626" s="14" t="str">
        <f t="shared" si="24"/>
        <v>I</v>
      </c>
      <c r="B626" s="1203">
        <v>4160116202</v>
      </c>
      <c r="C626" t="s">
        <v>376</v>
      </c>
      <c r="D626" s="1308">
        <v>6224533</v>
      </c>
      <c r="E626" s="1309">
        <v>802.51</v>
      </c>
      <c r="F626" s="818">
        <f>+VLOOKUP(B626,Composición!$C$5:$D$1768,1,0)</f>
        <v>4160116202</v>
      </c>
      <c r="G626" s="818">
        <f>+VLOOKUP(B626,'CA FE'!$A:$A,1,0)</f>
        <v>4160116202</v>
      </c>
      <c r="H626" s="14">
        <f>+VLOOKUP(B626,Composición!$C$4:$H$1742,5,0)</f>
        <v>6224533</v>
      </c>
      <c r="I626" s="14">
        <f>+VLOOKUP(B626,Composición!$C$4:$H$1742,6,0)</f>
        <v>802.51</v>
      </c>
      <c r="J626" s="830">
        <f t="shared" si="22"/>
        <v>-6223730.4900000002</v>
      </c>
    </row>
    <row r="627" spans="1:16" s="14" customFormat="1" ht="16.5" customHeight="1">
      <c r="A627" s="14" t="str">
        <f t="shared" si="24"/>
        <v>I</v>
      </c>
      <c r="B627" s="1203">
        <v>4160116203</v>
      </c>
      <c r="C627" t="s">
        <v>377</v>
      </c>
      <c r="D627" s="1308">
        <v>316087</v>
      </c>
      <c r="E627" s="1309">
        <v>43.44</v>
      </c>
      <c r="F627" s="818">
        <f>+VLOOKUP(B627,Composición!$C$5:$D$1768,1,0)</f>
        <v>4160116203</v>
      </c>
      <c r="G627" s="818">
        <f>+VLOOKUP(B627,'CA FE'!$A:$A,1,0)</f>
        <v>4160116203</v>
      </c>
      <c r="H627" s="14">
        <f>+VLOOKUP(B627,Composición!$C$4:$H$1742,5,0)</f>
        <v>316087</v>
      </c>
      <c r="I627" s="14">
        <f>+VLOOKUP(B627,Composición!$C$4:$H$1742,6,0)</f>
        <v>43.44</v>
      </c>
      <c r="J627" s="830">
        <f t="shared" si="22"/>
        <v>-316043.56</v>
      </c>
    </row>
    <row r="628" spans="1:16" s="14" customFormat="1" ht="16.5" customHeight="1">
      <c r="A628" s="14" t="str">
        <f t="shared" si="24"/>
        <v>I</v>
      </c>
      <c r="B628" s="1203">
        <v>4160116206</v>
      </c>
      <c r="C628" t="s">
        <v>1021</v>
      </c>
      <c r="D628" s="1308">
        <v>10432396</v>
      </c>
      <c r="E628" s="1309">
        <v>1335</v>
      </c>
      <c r="F628" s="818">
        <f>+VLOOKUP(B628,Composición!$C$5:$D$1768,1,0)</f>
        <v>4160116206</v>
      </c>
      <c r="G628" s="818">
        <f>+VLOOKUP(B628,'CA FE'!$A:$A,1,0)</f>
        <v>4160116206</v>
      </c>
      <c r="H628" s="14">
        <f>+VLOOKUP(B628,Composición!$C$4:$H$1742,5,0)</f>
        <v>10432396</v>
      </c>
      <c r="I628" s="14">
        <f>+VLOOKUP(B628,Composición!$C$4:$H$1742,6,0)</f>
        <v>1335</v>
      </c>
      <c r="J628" s="830">
        <f t="shared" si="22"/>
        <v>-10431061</v>
      </c>
    </row>
    <row r="629" spans="1:16" s="31" customFormat="1" ht="16.5" customHeight="1">
      <c r="A629" s="31" t="str">
        <f t="shared" si="24"/>
        <v>NI</v>
      </c>
      <c r="B629" s="1220">
        <v>4160117</v>
      </c>
      <c r="C629" s="1221" t="s">
        <v>378</v>
      </c>
      <c r="D629" s="1222">
        <v>3160875720</v>
      </c>
      <c r="E629" s="1223">
        <v>1303.26</v>
      </c>
      <c r="F629" s="1058">
        <f>+VLOOKUP(B629,Composición!$C$5:$D$1768,1,0)</f>
        <v>4160117</v>
      </c>
      <c r="G629" s="1058">
        <f>+VLOOKUP(B629,'CA FE'!$A:$A,1,0)</f>
        <v>4160117</v>
      </c>
      <c r="H629" s="1048">
        <f>+VLOOKUP(B629,Composición!$C$4:$H$1742,5,0)-D629</f>
        <v>-3160875720</v>
      </c>
      <c r="I629" s="1214">
        <f>+VLOOKUP(B629,Composición!$C$4:$H$1742,6,0)-E629</f>
        <v>-1303.26</v>
      </c>
      <c r="J629" s="827">
        <f t="shared" si="22"/>
        <v>-3160877023.2600002</v>
      </c>
      <c r="M629" s="14"/>
      <c r="N629" s="14"/>
      <c r="O629" s="14"/>
      <c r="P629" s="14"/>
    </row>
    <row r="630" spans="1:16" s="31" customFormat="1" ht="16.5" customHeight="1">
      <c r="A630" s="31" t="str">
        <f t="shared" si="24"/>
        <v>NI</v>
      </c>
      <c r="B630" s="1220">
        <v>41601171</v>
      </c>
      <c r="C630" s="1221" t="s">
        <v>378</v>
      </c>
      <c r="D630" s="1222">
        <v>3160875720</v>
      </c>
      <c r="E630" s="1223">
        <v>1303.26</v>
      </c>
      <c r="F630" s="1058">
        <f>+VLOOKUP(B630,Composición!$C$5:$D$1768,1,0)</f>
        <v>41601171</v>
      </c>
      <c r="G630" s="1058">
        <f>+VLOOKUP(B630,'CA FE'!$A:$A,1,0)</f>
        <v>41601171</v>
      </c>
      <c r="H630" s="31">
        <f>+VLOOKUP(B630,Composición!$C$4:$H$1742,5,0)</f>
        <v>0</v>
      </c>
      <c r="I630" s="31">
        <f>+VLOOKUP(B630,Composición!$C$4:$H$1742,6,0)</f>
        <v>0</v>
      </c>
      <c r="J630" s="827">
        <f t="shared" si="22"/>
        <v>-3160875720</v>
      </c>
      <c r="M630" s="14"/>
      <c r="N630" s="14"/>
      <c r="O630" s="14"/>
      <c r="P630" s="14"/>
    </row>
    <row r="631" spans="1:16" s="14" customFormat="1" ht="16.5" customHeight="1">
      <c r="A631" s="14" t="str">
        <f t="shared" si="24"/>
        <v>I</v>
      </c>
      <c r="B631" s="1203">
        <v>4160117101</v>
      </c>
      <c r="C631" t="s">
        <v>379</v>
      </c>
      <c r="D631" s="1308">
        <v>1281509060</v>
      </c>
      <c r="E631" s="1309">
        <v>1303.26</v>
      </c>
      <c r="F631" s="818">
        <f>+VLOOKUP(B631,Composición!$C$5:$D$1768,1,0)</f>
        <v>4160117101</v>
      </c>
      <c r="G631" s="818">
        <f>+VLOOKUP(B631,'CA FE'!$A:$A,1,0)</f>
        <v>4160117101</v>
      </c>
      <c r="H631" s="14">
        <f>+VLOOKUP(B631,Composición!$C$4:$H$1742,5,0)</f>
        <v>1281509060</v>
      </c>
      <c r="I631" s="14">
        <f>+VLOOKUP(B631,Composición!$C$4:$H$1742,6,0)</f>
        <v>1303.26</v>
      </c>
      <c r="J631" s="1053">
        <f t="shared" si="22"/>
        <v>-1281507756.74</v>
      </c>
    </row>
    <row r="632" spans="1:16" s="14" customFormat="1" ht="16.5" customHeight="1">
      <c r="A632" s="14" t="str">
        <f t="shared" si="24"/>
        <v>I</v>
      </c>
      <c r="B632" s="1203">
        <v>4160117102</v>
      </c>
      <c r="C632" t="s">
        <v>380</v>
      </c>
      <c r="D632" s="1308">
        <v>1879366660</v>
      </c>
      <c r="E632" s="1309">
        <v>0</v>
      </c>
      <c r="F632" s="818">
        <f>+VLOOKUP(B632,Composición!$C$5:$D$1768,1,0)</f>
        <v>4160117102</v>
      </c>
      <c r="G632" s="818">
        <f>+VLOOKUP(B632,'CA FE'!$A:$A,1,0)</f>
        <v>4160117102</v>
      </c>
      <c r="H632" s="14">
        <f>+VLOOKUP(B632,Composición!$C$4:$H$1742,5,0)</f>
        <v>1879366660</v>
      </c>
      <c r="I632" s="14">
        <f>+VLOOKUP(B632,Composición!$C$4:$H$1742,6,0)</f>
        <v>0</v>
      </c>
      <c r="J632" s="830">
        <f t="shared" si="22"/>
        <v>-1879366660</v>
      </c>
    </row>
    <row r="633" spans="1:16" s="31" customFormat="1" ht="16.5" customHeight="1">
      <c r="A633" s="31" t="str">
        <f t="shared" si="24"/>
        <v>NI</v>
      </c>
      <c r="B633" s="1220">
        <v>42</v>
      </c>
      <c r="C633" s="1221" t="s">
        <v>381</v>
      </c>
      <c r="D633" s="1222">
        <v>16975572187</v>
      </c>
      <c r="E633" s="1223">
        <v>30838516.25</v>
      </c>
      <c r="F633" s="1058">
        <f>+VLOOKUP(B633,Composición!$C$5:$D$1768,1,0)</f>
        <v>42</v>
      </c>
      <c r="G633" s="1058">
        <f>+VLOOKUP(B633,'CA FE'!$A:$A,1,0)</f>
        <v>42</v>
      </c>
      <c r="H633" s="31">
        <f>+VLOOKUP(B633,Composición!$C$4:$H$1742,5,0)</f>
        <v>0</v>
      </c>
      <c r="I633" s="31">
        <f>+VLOOKUP(B633,Composición!$C$4:$H$1742,6,0)</f>
        <v>0</v>
      </c>
      <c r="J633" s="1054">
        <f t="shared" si="22"/>
        <v>-16975572187</v>
      </c>
      <c r="M633" s="14"/>
      <c r="N633" s="14"/>
      <c r="O633" s="14"/>
      <c r="P633" s="14"/>
    </row>
    <row r="634" spans="1:16" s="31" customFormat="1" ht="16.5" customHeight="1">
      <c r="A634" s="31" t="str">
        <f t="shared" si="24"/>
        <v>NI</v>
      </c>
      <c r="B634" s="1220">
        <v>421</v>
      </c>
      <c r="C634" s="1221" t="s">
        <v>382</v>
      </c>
      <c r="D634" s="1222">
        <v>20539558</v>
      </c>
      <c r="E634" s="1223">
        <v>2679.81</v>
      </c>
      <c r="F634" s="1058">
        <f>+VLOOKUP(B634,Composición!$C$5:$D$1768,1,0)</f>
        <v>421</v>
      </c>
      <c r="G634" s="1058">
        <f>+VLOOKUP(B634,'CA FE'!$A:$A,1,0)</f>
        <v>421</v>
      </c>
      <c r="H634" s="31">
        <f>+VLOOKUP(B634,Composición!$C$4:$H$1742,5,0)</f>
        <v>0</v>
      </c>
      <c r="I634" s="31">
        <f>+VLOOKUP(B634,Composición!$C$4:$H$1742,6,0)</f>
        <v>0</v>
      </c>
      <c r="J634" s="1054">
        <f t="shared" si="22"/>
        <v>-20539558</v>
      </c>
      <c r="M634" s="14"/>
      <c r="N634" s="14"/>
      <c r="O634" s="14"/>
      <c r="P634" s="14"/>
    </row>
    <row r="635" spans="1:16" s="31" customFormat="1" ht="16.5" customHeight="1">
      <c r="A635" s="31" t="str">
        <f t="shared" si="24"/>
        <v>NI</v>
      </c>
      <c r="B635" s="1220">
        <v>42101</v>
      </c>
      <c r="C635" s="1221" t="s">
        <v>382</v>
      </c>
      <c r="D635" s="1222">
        <v>20539558</v>
      </c>
      <c r="E635" s="1223">
        <v>2679.81</v>
      </c>
      <c r="F635" s="1058">
        <f>+VLOOKUP(B635,Composición!$C$5:$D$1768,1,0)</f>
        <v>42101</v>
      </c>
      <c r="G635" s="1058">
        <f>+VLOOKUP(B635,'CA FE'!$A:$A,1,0)</f>
        <v>42101</v>
      </c>
      <c r="H635" s="1048">
        <f>+VLOOKUP(B635,Composición!$C$4:$H$1742,5,0)-D635</f>
        <v>-20539558</v>
      </c>
      <c r="I635" s="1214">
        <f>+VLOOKUP(B635,Composición!$C$4:$H$1742,6,0)-E635</f>
        <v>-2679.81</v>
      </c>
      <c r="J635" s="1054">
        <f t="shared" si="22"/>
        <v>-20542237.809999999</v>
      </c>
      <c r="M635" s="14"/>
      <c r="N635" s="14"/>
      <c r="O635" s="14"/>
      <c r="P635" s="14"/>
    </row>
    <row r="636" spans="1:16" s="31" customFormat="1" ht="16.5" customHeight="1">
      <c r="A636" s="31" t="str">
        <f t="shared" si="24"/>
        <v>NI</v>
      </c>
      <c r="B636" s="1220">
        <v>421011</v>
      </c>
      <c r="C636" s="1221" t="s">
        <v>382</v>
      </c>
      <c r="D636" s="1222">
        <v>20539558</v>
      </c>
      <c r="E636" s="1223">
        <v>2679.81</v>
      </c>
      <c r="F636" s="1058">
        <f>+VLOOKUP(B636,Composición!$C$5:$D$1768,1,0)</f>
        <v>421011</v>
      </c>
      <c r="G636" s="1058">
        <f>+VLOOKUP(B636,'CA FE'!$A:$A,1,0)</f>
        <v>421011</v>
      </c>
      <c r="H636" s="1048">
        <f>+VLOOKUP(B636,Composición!$C$4:$H$1742,5,0)-D636</f>
        <v>-20539558</v>
      </c>
      <c r="I636" s="1214">
        <f>+VLOOKUP(B636,Composición!$C$4:$H$1742,6,0)-E636</f>
        <v>-2679.81</v>
      </c>
      <c r="J636" s="1054">
        <f t="shared" si="22"/>
        <v>-20542237.809999999</v>
      </c>
      <c r="M636" s="14"/>
      <c r="N636" s="14"/>
      <c r="O636" s="14"/>
      <c r="P636" s="14"/>
    </row>
    <row r="637" spans="1:16" s="31" customFormat="1" ht="16.5" customHeight="1">
      <c r="A637" s="31" t="str">
        <f t="shared" si="24"/>
        <v>NI</v>
      </c>
      <c r="B637" s="1220">
        <v>4210111</v>
      </c>
      <c r="C637" s="1221" t="s">
        <v>382</v>
      </c>
      <c r="D637" s="1222">
        <v>20539558</v>
      </c>
      <c r="E637" s="1223">
        <v>2679.81</v>
      </c>
      <c r="F637" s="1058">
        <f>+VLOOKUP(B637,Composición!$C$5:$D$1768,1,0)</f>
        <v>4210111</v>
      </c>
      <c r="G637" s="1058">
        <f>+VLOOKUP(B637,'CA FE'!$A:$A,1,0)</f>
        <v>4210111</v>
      </c>
      <c r="H637" s="31">
        <f>+VLOOKUP(B637,Composición!$C$4:$H$1742,5,0)</f>
        <v>0</v>
      </c>
      <c r="I637" s="31">
        <f>+VLOOKUP(B637,Composición!$C$4:$H$1742,6,0)</f>
        <v>0</v>
      </c>
      <c r="J637" s="827">
        <f t="shared" si="22"/>
        <v>-20539558</v>
      </c>
      <c r="M637" s="14"/>
      <c r="N637" s="14"/>
      <c r="O637" s="14"/>
      <c r="P637" s="14"/>
    </row>
    <row r="638" spans="1:16" s="31" customFormat="1" ht="16.5" customHeight="1">
      <c r="A638" s="31" t="str">
        <f t="shared" si="24"/>
        <v>NI</v>
      </c>
      <c r="B638" s="1220">
        <v>42101111</v>
      </c>
      <c r="C638" s="1221" t="s">
        <v>383</v>
      </c>
      <c r="D638" s="1222">
        <v>20539558</v>
      </c>
      <c r="E638" s="1223">
        <v>2679.81</v>
      </c>
      <c r="F638" s="1058">
        <f>+VLOOKUP(B638,Composición!$C$5:$D$1768,1,0)</f>
        <v>42101111</v>
      </c>
      <c r="G638" s="1058">
        <f>+VLOOKUP(B638,'CA FE'!$A:$A,1,0)</f>
        <v>42101111</v>
      </c>
      <c r="H638" s="31">
        <f>+VLOOKUP(B638,Composición!$C$4:$H$1742,5,0)</f>
        <v>0</v>
      </c>
      <c r="I638" s="31">
        <f>+VLOOKUP(B638,Composición!$C$4:$H$1742,6,0)</f>
        <v>0</v>
      </c>
      <c r="J638" s="1054">
        <f t="shared" si="22"/>
        <v>-20539558</v>
      </c>
      <c r="M638" s="14"/>
      <c r="N638" s="14"/>
      <c r="O638" s="14"/>
      <c r="P638" s="14"/>
    </row>
    <row r="639" spans="1:16" s="14" customFormat="1" ht="16.5" customHeight="1">
      <c r="A639" s="14" t="str">
        <f t="shared" si="24"/>
        <v>I</v>
      </c>
      <c r="B639" s="1203">
        <v>4210111101</v>
      </c>
      <c r="C639" t="s">
        <v>383</v>
      </c>
      <c r="D639" s="1308">
        <v>18076441</v>
      </c>
      <c r="E639" s="1309">
        <v>2363.98</v>
      </c>
      <c r="F639" s="818">
        <f>+VLOOKUP(B639,Composición!$C$5:$D$1768,1,0)</f>
        <v>4210111101</v>
      </c>
      <c r="G639" s="818">
        <f>+VLOOKUP(B639,'CA FE'!$A:$A,1,0)</f>
        <v>4210111101</v>
      </c>
      <c r="H639" s="14">
        <f>+VLOOKUP(B639,Composición!$C$4:$H$1742,5,0)</f>
        <v>18076441</v>
      </c>
      <c r="I639" s="14">
        <f>+VLOOKUP(B639,Composición!$C$4:$H$1742,6,0)</f>
        <v>2363.98</v>
      </c>
      <c r="J639" s="1053">
        <f t="shared" si="22"/>
        <v>-18074077.02</v>
      </c>
    </row>
    <row r="640" spans="1:16" s="14" customFormat="1" ht="16.5" customHeight="1">
      <c r="A640" s="14" t="str">
        <f t="shared" si="24"/>
        <v>I</v>
      </c>
      <c r="B640" s="1203">
        <v>4210111102</v>
      </c>
      <c r="C640" t="s">
        <v>1026</v>
      </c>
      <c r="D640" s="1308">
        <v>2463117</v>
      </c>
      <c r="E640" s="1309">
        <v>315.83</v>
      </c>
      <c r="F640" s="818">
        <f>+VLOOKUP(B640,Composición!$C$5:$D$1768,1,0)</f>
        <v>4210111102</v>
      </c>
      <c r="G640" s="818">
        <f>+VLOOKUP(B640,'CA FE'!$A:$A,1,0)</f>
        <v>4210111102</v>
      </c>
      <c r="H640" s="14">
        <f>+VLOOKUP(B640,Composición!$C$4:$H$1742,5,0)</f>
        <v>2463117</v>
      </c>
      <c r="I640" s="14">
        <f>+VLOOKUP(B640,Composición!$C$4:$H$1742,6,0)</f>
        <v>315.83</v>
      </c>
      <c r="J640" s="1053">
        <f t="shared" si="22"/>
        <v>-2462801.17</v>
      </c>
    </row>
    <row r="641" spans="1:16" s="31" customFormat="1" ht="16.5" customHeight="1">
      <c r="A641" s="31" t="str">
        <f t="shared" si="24"/>
        <v>NI</v>
      </c>
      <c r="B641" s="1220">
        <v>422</v>
      </c>
      <c r="C641" s="1221" t="s">
        <v>384</v>
      </c>
      <c r="D641" s="1222">
        <v>16955032629</v>
      </c>
      <c r="E641" s="1223">
        <v>30835836.440000001</v>
      </c>
      <c r="F641" s="1058">
        <f>+VLOOKUP(B641,Composición!$C$5:$D$1768,1,0)</f>
        <v>422</v>
      </c>
      <c r="G641" s="1058">
        <f>+VLOOKUP(B641,'CA FE'!$A:$A,1,0)</f>
        <v>422</v>
      </c>
      <c r="H641" s="31">
        <f>+VLOOKUP(B641,Composición!$C$4:$H$1742,5,0)</f>
        <v>0</v>
      </c>
      <c r="I641" s="31">
        <f>+VLOOKUP(B641,Composición!$C$4:$H$1742,6,0)</f>
        <v>0</v>
      </c>
      <c r="J641" s="1054">
        <f t="shared" si="22"/>
        <v>-16955032629</v>
      </c>
      <c r="M641" s="14"/>
      <c r="N641" s="14"/>
      <c r="O641" s="14"/>
      <c r="P641" s="14"/>
    </row>
    <row r="642" spans="1:16" s="31" customFormat="1" ht="16.5" customHeight="1">
      <c r="A642" s="31" t="str">
        <f t="shared" si="24"/>
        <v>NI</v>
      </c>
      <c r="B642" s="1220">
        <v>42201</v>
      </c>
      <c r="C642" s="1221" t="s">
        <v>384</v>
      </c>
      <c r="D642" s="1222">
        <v>16955032629</v>
      </c>
      <c r="E642" s="1223">
        <v>30835836.440000001</v>
      </c>
      <c r="F642" s="1058">
        <f>+VLOOKUP(B642,Composición!$C$5:$D$1768,1,0)</f>
        <v>42201</v>
      </c>
      <c r="G642" s="1058">
        <f>+VLOOKUP(B642,'CA FE'!$A:$A,1,0)</f>
        <v>42201</v>
      </c>
      <c r="H642" s="31">
        <f>+VLOOKUP(B642,Composición!$C$4:$H$1742,5,0)</f>
        <v>0</v>
      </c>
      <c r="I642" s="31">
        <f>+VLOOKUP(B642,Composición!$C$4:$H$1742,6,0)</f>
        <v>0</v>
      </c>
      <c r="J642" s="1054">
        <f t="shared" si="22"/>
        <v>-16955032629</v>
      </c>
      <c r="M642" s="14"/>
      <c r="N642" s="14"/>
      <c r="O642" s="14"/>
      <c r="P642" s="14"/>
    </row>
    <row r="643" spans="1:16" s="31" customFormat="1" ht="16.5" customHeight="1">
      <c r="A643" s="31" t="str">
        <f t="shared" si="24"/>
        <v>NI</v>
      </c>
      <c r="B643" s="1220">
        <v>422011</v>
      </c>
      <c r="C643" s="1221" t="s">
        <v>384</v>
      </c>
      <c r="D643" s="1222">
        <v>16955032629</v>
      </c>
      <c r="E643" s="1223">
        <v>30835836.440000001</v>
      </c>
      <c r="F643" s="1058">
        <f>+VLOOKUP(B643,Composición!$C$5:$D$1768,1,0)</f>
        <v>422011</v>
      </c>
      <c r="G643" s="1058">
        <f>+VLOOKUP(B643,'CA FE'!$A:$A,1,0)</f>
        <v>422011</v>
      </c>
      <c r="H643" s="1048">
        <f>+VLOOKUP(B643,Composición!$C$4:$H$1742,5,0)</f>
        <v>0</v>
      </c>
      <c r="I643" s="31">
        <f>+VLOOKUP(B643,Composición!$C$4:$H$1742,6,0)</f>
        <v>0</v>
      </c>
      <c r="J643" s="1054"/>
      <c r="M643" s="14"/>
      <c r="N643" s="14"/>
      <c r="O643" s="14"/>
      <c r="P643" s="14"/>
    </row>
    <row r="644" spans="1:16" s="31" customFormat="1" ht="16.5" customHeight="1">
      <c r="A644" s="31" t="str">
        <f t="shared" si="24"/>
        <v>NI</v>
      </c>
      <c r="B644" s="1220">
        <v>4220111</v>
      </c>
      <c r="C644" s="1221" t="s">
        <v>384</v>
      </c>
      <c r="D644" s="1222">
        <v>16955032629</v>
      </c>
      <c r="E644" s="1223">
        <v>30835836.440000001</v>
      </c>
      <c r="F644" s="1058">
        <f>+VLOOKUP(B644,Composición!$C$5:$D$1768,1,0)</f>
        <v>4220111</v>
      </c>
      <c r="G644" s="1058">
        <f>+VLOOKUP(B644,'CA FE'!$A:$A,1,0)</f>
        <v>4220111</v>
      </c>
      <c r="H644" s="1048">
        <f>+VLOOKUP(B644,Composición!$C$4:$H$1742,5,0)-D644</f>
        <v>-16955032629</v>
      </c>
      <c r="I644" s="1214">
        <f>+VLOOKUP(B644,Composición!$C$4:$H$1742,6,0)-E644</f>
        <v>-30835836.440000001</v>
      </c>
      <c r="J644" s="827">
        <f t="shared" ref="J644:J703" si="25">+I644-D644</f>
        <v>-16985868465.440001</v>
      </c>
      <c r="M644" s="14"/>
      <c r="N644" s="14"/>
      <c r="O644" s="14"/>
      <c r="P644" s="14"/>
    </row>
    <row r="645" spans="1:16" s="31" customFormat="1" ht="16.5" customHeight="1">
      <c r="A645" s="31" t="str">
        <f t="shared" si="24"/>
        <v>NI</v>
      </c>
      <c r="B645" s="1220">
        <v>42201111</v>
      </c>
      <c r="C645" s="1221" t="s">
        <v>384</v>
      </c>
      <c r="D645" s="1222">
        <v>16955032629</v>
      </c>
      <c r="E645" s="1223">
        <v>30835836.440000001</v>
      </c>
      <c r="F645" s="1058">
        <f>+VLOOKUP(B645,Composición!$C$5:$D$1768,1,0)</f>
        <v>42201111</v>
      </c>
      <c r="G645" s="1058">
        <f>+VLOOKUP(B645,'CA FE'!$A:$A,1,0)</f>
        <v>42201111</v>
      </c>
      <c r="H645" s="1048">
        <f>+VLOOKUP(B645,Composición!$C$4:$H$1742,5,0)-D645</f>
        <v>-16955032629</v>
      </c>
      <c r="I645" s="1214">
        <f>+VLOOKUP(B645,Composición!$C$4:$H$1742,6,0)-E645</f>
        <v>-30835836.440000001</v>
      </c>
      <c r="J645" s="827">
        <f t="shared" si="25"/>
        <v>-16985868465.440001</v>
      </c>
      <c r="M645" s="14"/>
      <c r="N645" s="14"/>
      <c r="O645" s="14"/>
      <c r="P645" s="14"/>
    </row>
    <row r="646" spans="1:16" s="14" customFormat="1" ht="16.5" customHeight="1">
      <c r="A646" s="14" t="str">
        <f t="shared" si="24"/>
        <v>I</v>
      </c>
      <c r="B646" s="1203">
        <v>4220111101</v>
      </c>
      <c r="C646" t="s">
        <v>385</v>
      </c>
      <c r="D646" s="1308">
        <v>13030597785</v>
      </c>
      <c r="E646" s="1309">
        <v>14616979.390000001</v>
      </c>
      <c r="F646" s="818">
        <f>+VLOOKUP(B646,Composición!$C$5:$D$1768,1,0)</f>
        <v>4220111101</v>
      </c>
      <c r="G646" s="818">
        <f>+VLOOKUP(B646,'CA FE'!$A:$A,1,0)</f>
        <v>4220111101</v>
      </c>
      <c r="H646" s="1049">
        <f>+VLOOKUP(B646,Composición!$C$4:$H$1742,5,0)-D646</f>
        <v>0</v>
      </c>
      <c r="I646" s="1311">
        <f>+VLOOKUP(B646,Composición!$C$4:$H$1742,6,0)-E646</f>
        <v>0</v>
      </c>
      <c r="J646" s="830">
        <f t="shared" si="25"/>
        <v>-13030597785</v>
      </c>
    </row>
    <row r="647" spans="1:16" s="14" customFormat="1" ht="16.5" customHeight="1">
      <c r="A647" s="14" t="str">
        <f t="shared" si="24"/>
        <v>I</v>
      </c>
      <c r="B647" s="1203">
        <v>4220111102</v>
      </c>
      <c r="C647" t="s">
        <v>386</v>
      </c>
      <c r="D647" s="1308">
        <v>3924434844</v>
      </c>
      <c r="E647" s="1309">
        <v>16218857.050000001</v>
      </c>
      <c r="F647" s="818">
        <f>+VLOOKUP(B647,Composición!$C$5:$D$1768,1,0)</f>
        <v>4220111102</v>
      </c>
      <c r="G647" s="818">
        <f>+VLOOKUP(B647,'CA FE'!$A:$A,1,0)</f>
        <v>4220111102</v>
      </c>
      <c r="H647" s="14">
        <f>+VLOOKUP(B647,Composición!$C$4:$H$1742,5,0)</f>
        <v>3924434844</v>
      </c>
      <c r="I647" s="14">
        <f>+VLOOKUP(B647,Composición!$C$4:$H$1742,6,0)</f>
        <v>16218857.050000001</v>
      </c>
      <c r="J647" s="830">
        <f t="shared" si="25"/>
        <v>-3908215986.9499998</v>
      </c>
    </row>
    <row r="648" spans="1:16" s="31" customFormat="1" ht="16.5" customHeight="1">
      <c r="A648" s="31" t="str">
        <f t="shared" si="24"/>
        <v>NI</v>
      </c>
      <c r="B648" s="1220">
        <v>48</v>
      </c>
      <c r="C648" s="1221" t="s">
        <v>387</v>
      </c>
      <c r="D648" s="1222">
        <v>294104099</v>
      </c>
      <c r="E648" s="1223">
        <v>39457.450000000004</v>
      </c>
      <c r="F648" s="1058">
        <f>+VLOOKUP(B648,Composición!$C$5:$D$1768,1,0)</f>
        <v>48</v>
      </c>
      <c r="G648" s="1058">
        <f>+VLOOKUP(B648,'CA FE'!$A:$A,1,0)</f>
        <v>48</v>
      </c>
      <c r="H648" s="31">
        <f>+VLOOKUP(B648,Composición!$C$4:$H$1742,5,0)</f>
        <v>0</v>
      </c>
      <c r="I648" s="31">
        <f>+VLOOKUP(B648,Composición!$C$4:$H$1742,6,0)</f>
        <v>0</v>
      </c>
      <c r="J648" s="827">
        <f t="shared" si="25"/>
        <v>-294104099</v>
      </c>
      <c r="M648" s="14"/>
      <c r="N648" s="14"/>
      <c r="O648" s="14"/>
      <c r="P648" s="14"/>
    </row>
    <row r="649" spans="1:16" s="31" customFormat="1" ht="16.5" customHeight="1">
      <c r="A649" s="31" t="str">
        <f t="shared" si="24"/>
        <v>NI</v>
      </c>
      <c r="B649" s="1220">
        <v>481</v>
      </c>
      <c r="C649" s="1221" t="s">
        <v>388</v>
      </c>
      <c r="D649" s="1222">
        <v>294104099</v>
      </c>
      <c r="E649" s="1223">
        <v>39457.450000000004</v>
      </c>
      <c r="F649" s="1058">
        <f>+VLOOKUP(B649,Composición!$C$5:$D$1768,1,0)</f>
        <v>481</v>
      </c>
      <c r="G649" s="1058">
        <f>+VLOOKUP(B649,'CA FE'!$A:$A,1,0)</f>
        <v>481</v>
      </c>
      <c r="H649" s="31">
        <f>+VLOOKUP(B649,Composición!$C$4:$H$1742,5,0)</f>
        <v>0</v>
      </c>
      <c r="I649" s="31">
        <f>+VLOOKUP(B649,Composición!$C$4:$H$1742,6,0)</f>
        <v>0</v>
      </c>
      <c r="J649" s="827">
        <f t="shared" si="25"/>
        <v>-294104099</v>
      </c>
      <c r="M649" s="14"/>
      <c r="N649" s="14"/>
      <c r="O649" s="14"/>
      <c r="P649" s="14"/>
    </row>
    <row r="650" spans="1:16" s="31" customFormat="1" ht="16.5" customHeight="1">
      <c r="A650" s="31" t="str">
        <f t="shared" si="24"/>
        <v>NI</v>
      </c>
      <c r="B650" s="1220">
        <v>48101</v>
      </c>
      <c r="C650" s="1221" t="s">
        <v>388</v>
      </c>
      <c r="D650" s="1222">
        <v>294104099</v>
      </c>
      <c r="E650" s="1223">
        <v>39457.450000000004</v>
      </c>
      <c r="F650" s="1058">
        <f>+VLOOKUP(B650,Composición!$C$5:$D$1768,1,0)</f>
        <v>48101</v>
      </c>
      <c r="G650" s="1058">
        <f>+VLOOKUP(B650,'CA FE'!$A:$A,1,0)</f>
        <v>48101</v>
      </c>
      <c r="H650" s="31">
        <f>+VLOOKUP(B650,Composición!$C$4:$H$1742,5,0)</f>
        <v>0</v>
      </c>
      <c r="I650" s="31">
        <f>+VLOOKUP(B650,Composición!$C$4:$H$1742,6,0)</f>
        <v>0</v>
      </c>
      <c r="J650" s="1054">
        <f t="shared" si="25"/>
        <v>-294104099</v>
      </c>
      <c r="M650" s="14"/>
      <c r="N650" s="14"/>
      <c r="O650" s="14"/>
      <c r="P650" s="14"/>
    </row>
    <row r="651" spans="1:16" s="31" customFormat="1" ht="16.5" customHeight="1">
      <c r="A651" s="31" t="str">
        <f t="shared" si="24"/>
        <v>NI</v>
      </c>
      <c r="B651" s="1220">
        <v>481011</v>
      </c>
      <c r="C651" s="1221" t="s">
        <v>388</v>
      </c>
      <c r="D651" s="1222">
        <v>294104099</v>
      </c>
      <c r="E651" s="1223">
        <v>39457.450000000004</v>
      </c>
      <c r="F651" s="1058">
        <f>+VLOOKUP(B651,Composición!$C$5:$D$1768,1,0)</f>
        <v>481011</v>
      </c>
      <c r="G651" s="1058">
        <f>+VLOOKUP(B651,'CA FE'!$A:$A,1,0)</f>
        <v>481011</v>
      </c>
      <c r="H651" s="31">
        <f>+VLOOKUP(B651,Composición!$C$4:$H$1742,5,0)</f>
        <v>0</v>
      </c>
      <c r="I651" s="31">
        <f>+VLOOKUP(B651,Composición!$C$4:$H$1742,6,0)</f>
        <v>0</v>
      </c>
      <c r="J651" s="1054">
        <f t="shared" si="25"/>
        <v>-294104099</v>
      </c>
      <c r="M651" s="14"/>
      <c r="N651" s="14"/>
      <c r="O651" s="14"/>
      <c r="P651" s="14"/>
    </row>
    <row r="652" spans="1:16" s="31" customFormat="1" ht="16.5" customHeight="1">
      <c r="A652" s="31" t="str">
        <f t="shared" si="24"/>
        <v>NI</v>
      </c>
      <c r="B652" s="1220">
        <v>4810111</v>
      </c>
      <c r="C652" s="1221" t="s">
        <v>388</v>
      </c>
      <c r="D652" s="1222">
        <v>294104099</v>
      </c>
      <c r="E652" s="1223">
        <v>39457.450000000004</v>
      </c>
      <c r="F652" s="1058">
        <f>+VLOOKUP(B652,Composición!$C$5:$D$1768,1,0)</f>
        <v>4810111</v>
      </c>
      <c r="G652" s="1058">
        <f>+VLOOKUP(B652,'CA FE'!$A:$A,1,0)</f>
        <v>4810111</v>
      </c>
      <c r="H652" s="31">
        <f>+VLOOKUP(B652,Composición!$C$4:$H$1742,5,0)</f>
        <v>0</v>
      </c>
      <c r="I652" s="31">
        <f>+VLOOKUP(B652,Composición!$C$4:$H$1742,6,0)</f>
        <v>0</v>
      </c>
      <c r="J652" s="1054">
        <f t="shared" si="25"/>
        <v>-294104099</v>
      </c>
      <c r="M652" s="14"/>
      <c r="N652" s="14"/>
      <c r="O652" s="14"/>
      <c r="P652" s="14"/>
    </row>
    <row r="653" spans="1:16" s="31" customFormat="1" ht="16.5" customHeight="1">
      <c r="A653" s="31" t="str">
        <f t="shared" si="24"/>
        <v>NI</v>
      </c>
      <c r="B653" s="1220">
        <v>48101111</v>
      </c>
      <c r="C653" s="1221" t="s">
        <v>388</v>
      </c>
      <c r="D653" s="1222">
        <v>294104099</v>
      </c>
      <c r="E653" s="1223">
        <v>39457.450000000004</v>
      </c>
      <c r="F653" s="1058">
        <f>+VLOOKUP(B653,Composición!$C$5:$D$1768,1,0)</f>
        <v>48101111</v>
      </c>
      <c r="G653" s="1058">
        <f>+VLOOKUP(B653,'CA FE'!$A:$A,1,0)</f>
        <v>48101111</v>
      </c>
      <c r="H653" s="31">
        <f>+VLOOKUP(B653,Composición!$C$4:$H$1742,5,0)</f>
        <v>0</v>
      </c>
      <c r="I653" s="31">
        <f>+VLOOKUP(B653,Composición!$C$4:$H$1742,6,0)</f>
        <v>0</v>
      </c>
      <c r="J653" s="1054">
        <f t="shared" si="25"/>
        <v>-294104099</v>
      </c>
      <c r="M653" s="14"/>
      <c r="N653" s="14"/>
      <c r="O653" s="14"/>
      <c r="P653" s="14"/>
    </row>
    <row r="654" spans="1:16" s="14" customFormat="1" ht="16.5" customHeight="1">
      <c r="A654" s="14" t="str">
        <f t="shared" si="24"/>
        <v>I</v>
      </c>
      <c r="B654" s="1203">
        <v>4810111102</v>
      </c>
      <c r="C654" t="s">
        <v>390</v>
      </c>
      <c r="D654" s="1308">
        <v>93054</v>
      </c>
      <c r="E654" s="1309">
        <v>23.259999999999998</v>
      </c>
      <c r="F654" s="818">
        <f>+VLOOKUP(B654,Composición!$C$5:$D$1768,1,0)</f>
        <v>4810111102</v>
      </c>
      <c r="G654" s="818">
        <f>+VLOOKUP(B654,'CA FE'!$A:$A,1,0)</f>
        <v>4810111102</v>
      </c>
      <c r="H654" s="1049">
        <f>+VLOOKUP(B654,Composición!$C$4:$H$1742,5,0)-D654</f>
        <v>0</v>
      </c>
      <c r="I654" s="1311">
        <f>+VLOOKUP(B654,Composición!$C$4:$H$1742,6,0)-E654</f>
        <v>0</v>
      </c>
      <c r="J654" s="830">
        <f t="shared" si="25"/>
        <v>-93054</v>
      </c>
    </row>
    <row r="655" spans="1:16" s="14" customFormat="1" ht="16.5" customHeight="1">
      <c r="A655" s="14" t="str">
        <f t="shared" si="24"/>
        <v>I</v>
      </c>
      <c r="B655" s="1203">
        <v>4810111103</v>
      </c>
      <c r="C655" t="s">
        <v>391</v>
      </c>
      <c r="D655" s="1308">
        <v>120953603</v>
      </c>
      <c r="E655" s="1309">
        <v>16561.43</v>
      </c>
      <c r="F655" s="818">
        <f>+VLOOKUP(B655,Composición!$C$5:$D$1768,1,0)</f>
        <v>4810111103</v>
      </c>
      <c r="G655" s="818">
        <f>+VLOOKUP(B655,'CA FE'!$A:$A,1,0)</f>
        <v>4810111103</v>
      </c>
      <c r="H655" s="14">
        <f>+VLOOKUP(B655,Composición!$C$4:$H$1742,5,0)</f>
        <v>120953603</v>
      </c>
      <c r="I655" s="14">
        <f>+VLOOKUP(B655,Composición!$C$4:$H$1742,6,0)</f>
        <v>16561.43</v>
      </c>
      <c r="J655" s="830">
        <f t="shared" si="25"/>
        <v>-120937041.56999999</v>
      </c>
    </row>
    <row r="656" spans="1:16" s="14" customFormat="1" ht="16.5" customHeight="1">
      <c r="A656" s="14" t="str">
        <f t="shared" si="24"/>
        <v>I</v>
      </c>
      <c r="B656" s="1203">
        <v>4810111105</v>
      </c>
      <c r="C656" t="s">
        <v>392</v>
      </c>
      <c r="D656" s="1308">
        <v>10398402</v>
      </c>
      <c r="E656" s="1309">
        <v>1394.74</v>
      </c>
      <c r="F656" s="818">
        <f>+VLOOKUP(B656,Composición!$C$5:$D$1768,1,0)</f>
        <v>4810111105</v>
      </c>
      <c r="G656" s="818">
        <f>+VLOOKUP(B656,'CA FE'!$A:$A,1,0)</f>
        <v>4810111105</v>
      </c>
      <c r="H656" s="14">
        <f>+VLOOKUP(B656,Composición!$C$4:$H$1742,5,0)</f>
        <v>10398402</v>
      </c>
      <c r="I656" s="14">
        <f>+VLOOKUP(B656,Composición!$C$4:$H$1742,6,0)</f>
        <v>1394.74</v>
      </c>
      <c r="J656" s="830">
        <f t="shared" si="25"/>
        <v>-10397007.26</v>
      </c>
    </row>
    <row r="657" spans="1:16" s="14" customFormat="1" ht="16.5" customHeight="1">
      <c r="A657" s="14" t="str">
        <f t="shared" si="24"/>
        <v>I</v>
      </c>
      <c r="B657" s="1203">
        <v>4810111106</v>
      </c>
      <c r="C657" t="s">
        <v>393</v>
      </c>
      <c r="D657" s="1308">
        <v>162659040</v>
      </c>
      <c r="E657" s="1309">
        <v>21478.02</v>
      </c>
      <c r="F657" s="818">
        <f>+VLOOKUP(B657,Composición!$C$5:$D$1768,1,0)</f>
        <v>4810111106</v>
      </c>
      <c r="G657" s="818">
        <f>+VLOOKUP(B657,'CA FE'!$A:$A,1,0)</f>
        <v>4810111106</v>
      </c>
      <c r="H657" s="14">
        <f>+VLOOKUP(B657,Composición!$C$4:$H$1742,5,0)</f>
        <v>162659040</v>
      </c>
      <c r="I657" s="14">
        <f>+VLOOKUP(B657,Composición!$C$4:$H$1742,6,0)</f>
        <v>21478.02</v>
      </c>
      <c r="J657" s="830">
        <f t="shared" si="25"/>
        <v>-162637561.97999999</v>
      </c>
    </row>
    <row r="658" spans="1:16" s="31" customFormat="1" ht="16.5" customHeight="1">
      <c r="A658" s="31" t="str">
        <f t="shared" si="24"/>
        <v>NI</v>
      </c>
      <c r="B658" s="1220">
        <v>5</v>
      </c>
      <c r="C658" s="1221" t="s">
        <v>395</v>
      </c>
      <c r="D658" s="1222">
        <v>39738669603</v>
      </c>
      <c r="E658" s="1223">
        <v>33998141.039999999</v>
      </c>
      <c r="F658" s="1058">
        <f>+VLOOKUP(B658,Composición!$C$5:$D$1768,1,0)</f>
        <v>5</v>
      </c>
      <c r="G658" s="1058">
        <f>+VLOOKUP(B658,'CA FE'!$A:$A,1,0)</f>
        <v>5</v>
      </c>
      <c r="H658" s="31">
        <f>+VLOOKUP(B658,Composición!$C$4:$H$1742,5,0)</f>
        <v>0</v>
      </c>
      <c r="I658" s="31">
        <f>+VLOOKUP(B658,Composición!$C$4:$H$1742,6,0)</f>
        <v>0</v>
      </c>
      <c r="J658" s="827">
        <f t="shared" si="25"/>
        <v>-39738669603</v>
      </c>
      <c r="M658" s="14"/>
      <c r="N658" s="14"/>
      <c r="O658" s="14"/>
      <c r="P658" s="14"/>
    </row>
    <row r="659" spans="1:16" s="31" customFormat="1" ht="16.5" customHeight="1">
      <c r="A659" s="31" t="str">
        <f t="shared" si="24"/>
        <v>NI</v>
      </c>
      <c r="B659" s="1220">
        <v>51</v>
      </c>
      <c r="C659" s="1221" t="s">
        <v>396</v>
      </c>
      <c r="D659" s="1222">
        <v>39706334838</v>
      </c>
      <c r="E659" s="1223">
        <v>33993885.57</v>
      </c>
      <c r="F659" s="1058">
        <f>+VLOOKUP(B659,Composición!$C$5:$D$1768,1,0)</f>
        <v>51</v>
      </c>
      <c r="G659" s="1058">
        <f>+VLOOKUP(B659,'CA FE'!$A:$A,1,0)</f>
        <v>51</v>
      </c>
      <c r="H659" s="1048">
        <f>+VLOOKUP(B659,Composición!$C$4:$H$1742,5,0)-D659</f>
        <v>-39706334838</v>
      </c>
      <c r="I659" s="1214">
        <f>+VLOOKUP(B659,Composición!$C$4:$H$1742,6,0)-E659</f>
        <v>-33993885.57</v>
      </c>
      <c r="J659" s="827">
        <f t="shared" si="25"/>
        <v>-39740328723.57</v>
      </c>
      <c r="M659" s="14"/>
      <c r="N659" s="14"/>
      <c r="O659" s="14"/>
      <c r="P659" s="14"/>
    </row>
    <row r="660" spans="1:16" s="31" customFormat="1" ht="16.5" customHeight="1">
      <c r="A660" s="31" t="str">
        <f t="shared" si="24"/>
        <v>NI</v>
      </c>
      <c r="B660" s="1220">
        <v>511</v>
      </c>
      <c r="C660" s="1221" t="s">
        <v>397</v>
      </c>
      <c r="D660" s="1222">
        <v>5367041519</v>
      </c>
      <c r="E660" s="1223">
        <v>355940.8</v>
      </c>
      <c r="F660" s="1058">
        <f>+VLOOKUP(B660,Composición!$C$5:$D$1768,1,0)</f>
        <v>511</v>
      </c>
      <c r="G660" s="1058">
        <f>+VLOOKUP(B660,'CA FE'!$A:$A,1,0)</f>
        <v>511</v>
      </c>
      <c r="H660" s="1048">
        <f>+VLOOKUP(B660,Composición!$C$4:$H$1742,5,0)-D660</f>
        <v>-5367041519</v>
      </c>
      <c r="I660" s="1214">
        <f>+VLOOKUP(B660,Composición!$C$4:$H$1742,6,0)-E660</f>
        <v>-355940.8</v>
      </c>
      <c r="J660" s="827">
        <f t="shared" si="25"/>
        <v>-5367397459.8000002</v>
      </c>
      <c r="M660" s="14"/>
      <c r="N660" s="14"/>
      <c r="O660" s="14"/>
      <c r="P660" s="14"/>
    </row>
    <row r="661" spans="1:16" s="31" customFormat="1" ht="16.5" customHeight="1">
      <c r="A661" s="31" t="str">
        <f t="shared" si="24"/>
        <v>NI</v>
      </c>
      <c r="B661" s="1220">
        <v>51101</v>
      </c>
      <c r="C661" s="1221" t="s">
        <v>398</v>
      </c>
      <c r="D661" s="1222">
        <v>446163677</v>
      </c>
      <c r="E661" s="1223">
        <v>58399.54</v>
      </c>
      <c r="F661" s="1058">
        <f>+VLOOKUP(B661,Composición!$C$5:$D$1768,1,0)</f>
        <v>51101</v>
      </c>
      <c r="G661" s="1058">
        <f>+VLOOKUP(B661,'CA FE'!$A:$A,1,0)</f>
        <v>51101</v>
      </c>
      <c r="H661" s="31">
        <f>+VLOOKUP(B661,Composición!$C$4:$H$1742,5,0)</f>
        <v>0</v>
      </c>
      <c r="I661" s="31">
        <f>+VLOOKUP(B661,Composición!$C$4:$H$1742,6,0)</f>
        <v>0</v>
      </c>
      <c r="J661" s="827">
        <f t="shared" si="25"/>
        <v>-446163677</v>
      </c>
      <c r="M661" s="14"/>
      <c r="N661" s="14"/>
      <c r="O661" s="14"/>
      <c r="P661" s="14"/>
    </row>
    <row r="662" spans="1:16" s="31" customFormat="1" ht="16.5" customHeight="1">
      <c r="A662" s="31" t="str">
        <f t="shared" si="24"/>
        <v>NI</v>
      </c>
      <c r="B662" s="1220">
        <v>511011</v>
      </c>
      <c r="C662" s="1221" t="s">
        <v>398</v>
      </c>
      <c r="D662" s="1222">
        <v>446163677</v>
      </c>
      <c r="E662" s="1223">
        <v>58399.54</v>
      </c>
      <c r="F662" s="1058">
        <f>+VLOOKUP(B662,Composición!$C$5:$D$1768,1,0)</f>
        <v>511011</v>
      </c>
      <c r="G662" s="1058">
        <f>+VLOOKUP(B662,'CA FE'!$A:$A,1,0)</f>
        <v>511011</v>
      </c>
      <c r="H662" s="1048">
        <f>+VLOOKUP(B662,Composición!$C$4:$H$1742,5,0)-D662</f>
        <v>-446163677</v>
      </c>
      <c r="I662" s="1214">
        <f>+VLOOKUP(B662,Composición!$C$4:$H$1742,6,0)-E662</f>
        <v>-58399.54</v>
      </c>
      <c r="J662" s="827">
        <f t="shared" si="25"/>
        <v>-446222076.54000002</v>
      </c>
      <c r="M662" s="14"/>
      <c r="N662" s="14"/>
      <c r="O662" s="14"/>
      <c r="P662" s="14"/>
    </row>
    <row r="663" spans="1:16" s="31" customFormat="1" ht="16.5" customHeight="1">
      <c r="A663" s="31" t="str">
        <f t="shared" si="24"/>
        <v>NI</v>
      </c>
      <c r="B663" s="1220">
        <v>5110111</v>
      </c>
      <c r="C663" s="1221" t="s">
        <v>398</v>
      </c>
      <c r="D663" s="1222">
        <v>446163677</v>
      </c>
      <c r="E663" s="1223">
        <v>58399.54</v>
      </c>
      <c r="F663" s="1058">
        <f>+VLOOKUP(B663,Composición!$C$5:$D$1768,1,0)</f>
        <v>5110111</v>
      </c>
      <c r="G663" s="1058">
        <f>+VLOOKUP(B663,'CA FE'!$A:$A,1,0)</f>
        <v>5110111</v>
      </c>
      <c r="H663" s="1048">
        <f>+VLOOKUP(B663,Composición!$C$4:$H$1742,5,0)-D663</f>
        <v>-446163677</v>
      </c>
      <c r="I663" s="1214">
        <f>+VLOOKUP(B663,Composición!$C$4:$H$1742,6,0)-E663</f>
        <v>-58399.54</v>
      </c>
      <c r="J663" s="1054">
        <f t="shared" si="25"/>
        <v>-446222076.54000002</v>
      </c>
      <c r="M663" s="14"/>
      <c r="N663" s="14"/>
      <c r="O663" s="14"/>
      <c r="P663" s="14"/>
    </row>
    <row r="664" spans="1:16" s="31" customFormat="1" ht="16.5" customHeight="1">
      <c r="A664" s="31" t="str">
        <f t="shared" si="24"/>
        <v>NI</v>
      </c>
      <c r="B664" s="1220">
        <v>51101113</v>
      </c>
      <c r="C664" s="1221" t="s">
        <v>403</v>
      </c>
      <c r="D664" s="1222">
        <v>446163677</v>
      </c>
      <c r="E664" s="1223">
        <v>58399.54</v>
      </c>
      <c r="F664" s="1058">
        <f>+VLOOKUP(B664,Composición!$C$5:$D$1768,1,0)</f>
        <v>51101113</v>
      </c>
      <c r="G664" s="1058">
        <f>+VLOOKUP(B664,'CA FE'!$A:$A,1,0)</f>
        <v>51101113</v>
      </c>
      <c r="H664" s="31">
        <f>+VLOOKUP(B664,Composición!$C$4:$H$1742,5,0)</f>
        <v>0</v>
      </c>
      <c r="I664" s="31">
        <f>+VLOOKUP(B664,Composición!$C$4:$H$1742,6,0)</f>
        <v>0</v>
      </c>
      <c r="J664" s="1054">
        <f t="shared" si="25"/>
        <v>-446163677</v>
      </c>
      <c r="M664" s="14"/>
      <c r="N664" s="14"/>
      <c r="O664" s="14"/>
      <c r="P664" s="14"/>
    </row>
    <row r="665" spans="1:16" s="14" customFormat="1" ht="16.5" customHeight="1">
      <c r="A665" s="14" t="str">
        <f t="shared" si="24"/>
        <v>I</v>
      </c>
      <c r="B665" s="1203">
        <v>5110111301</v>
      </c>
      <c r="C665" t="s">
        <v>404</v>
      </c>
      <c r="D665" s="1308">
        <v>446163677</v>
      </c>
      <c r="E665" s="1309">
        <v>58399.54</v>
      </c>
      <c r="F665" s="818">
        <f>+VLOOKUP(B665,Composición!$C$5:$D$1768,1,0)</f>
        <v>5110111301</v>
      </c>
      <c r="G665" s="818">
        <f>+VLOOKUP(B665,'CA FE'!$A:$A,1,0)</f>
        <v>5110111301</v>
      </c>
      <c r="H665" s="14">
        <f>+VLOOKUP(B665,Composición!$C$4:$H$1742,5,0)</f>
        <v>446163677</v>
      </c>
      <c r="I665" s="14">
        <f>+VLOOKUP(B665,Composición!$C$4:$H$1742,6,0)</f>
        <v>58399.54</v>
      </c>
      <c r="J665" s="1053">
        <f t="shared" si="25"/>
        <v>-446105277.45999998</v>
      </c>
    </row>
    <row r="666" spans="1:16" s="31" customFormat="1" ht="16.5" customHeight="1">
      <c r="A666" s="31" t="str">
        <f t="shared" si="24"/>
        <v>NI</v>
      </c>
      <c r="B666" s="1220">
        <v>51102</v>
      </c>
      <c r="C666" s="1221" t="s">
        <v>405</v>
      </c>
      <c r="D666" s="1222">
        <v>913242865</v>
      </c>
      <c r="E666" s="1223">
        <v>119706.75999999998</v>
      </c>
      <c r="F666" s="1058">
        <f>+VLOOKUP(B666,Composición!$C$5:$D$1768,1,0)</f>
        <v>51102</v>
      </c>
      <c r="G666" s="1058">
        <f>+VLOOKUP(B666,'CA FE'!$A:$A,1,0)</f>
        <v>51102</v>
      </c>
      <c r="H666" s="31">
        <f>+VLOOKUP(B666,Composición!$C$4:$H$1742,5,0)</f>
        <v>0</v>
      </c>
      <c r="I666" s="31">
        <f>+VLOOKUP(B666,Composición!$C$4:$H$1742,6,0)</f>
        <v>0</v>
      </c>
      <c r="J666" s="1054">
        <f t="shared" si="25"/>
        <v>-913242865</v>
      </c>
      <c r="M666" s="14"/>
      <c r="N666" s="14"/>
      <c r="O666" s="14"/>
      <c r="P666" s="14"/>
    </row>
    <row r="667" spans="1:16" s="31" customFormat="1" ht="16.5" customHeight="1">
      <c r="A667" s="31" t="str">
        <f t="shared" si="24"/>
        <v>NI</v>
      </c>
      <c r="B667" s="1220">
        <v>511021</v>
      </c>
      <c r="C667" s="1221" t="s">
        <v>405</v>
      </c>
      <c r="D667" s="1222">
        <v>913242865</v>
      </c>
      <c r="E667" s="1223">
        <v>119706.75999999998</v>
      </c>
      <c r="F667" s="1058">
        <f>+VLOOKUP(B667,Composición!$C$5:$D$1768,1,0)</f>
        <v>511021</v>
      </c>
      <c r="G667" s="1058">
        <f>+VLOOKUP(B667,'CA FE'!$A:$A,1,0)</f>
        <v>511021</v>
      </c>
      <c r="H667" s="31">
        <f>+VLOOKUP(B667,Composición!$C$4:$H$1742,5,0)</f>
        <v>0</v>
      </c>
      <c r="I667" s="31">
        <f>+VLOOKUP(B667,Composición!$C$4:$H$1742,6,0)</f>
        <v>0</v>
      </c>
      <c r="J667" s="827">
        <f t="shared" si="25"/>
        <v>-913242865</v>
      </c>
      <c r="M667" s="14"/>
      <c r="N667" s="14"/>
      <c r="O667" s="14"/>
      <c r="P667" s="14"/>
    </row>
    <row r="668" spans="1:16" s="31" customFormat="1" ht="16.5" customHeight="1">
      <c r="A668" s="31" t="str">
        <f t="shared" si="24"/>
        <v>NI</v>
      </c>
      <c r="B668" s="1220">
        <v>5110211</v>
      </c>
      <c r="C668" s="1221" t="s">
        <v>405</v>
      </c>
      <c r="D668" s="1222">
        <v>913242865</v>
      </c>
      <c r="E668" s="1223">
        <v>119706.75999999998</v>
      </c>
      <c r="F668" s="1058">
        <f>+VLOOKUP(B668,Composición!$C$5:$D$1768,1,0)</f>
        <v>5110211</v>
      </c>
      <c r="G668" s="1058">
        <f>+VLOOKUP(B668,'CA FE'!$A:$A,1,0)</f>
        <v>5110211</v>
      </c>
      <c r="H668" s="1048">
        <f>+VLOOKUP(B668,Composición!$C$4:$H$1742,5,0)-D668</f>
        <v>-913242865</v>
      </c>
      <c r="I668" s="1214">
        <f>+VLOOKUP(B668,Composición!$C$4:$H$1742,6,0)-E668</f>
        <v>-119706.75999999998</v>
      </c>
      <c r="J668" s="827">
        <f t="shared" si="25"/>
        <v>-913362571.75999999</v>
      </c>
      <c r="M668" s="14"/>
      <c r="N668" s="14"/>
      <c r="O668" s="14"/>
      <c r="P668" s="14"/>
    </row>
    <row r="669" spans="1:16" s="31" customFormat="1" ht="16.5" customHeight="1">
      <c r="A669" s="31" t="str">
        <f t="shared" si="24"/>
        <v>NI</v>
      </c>
      <c r="B669" s="1220">
        <v>51102111</v>
      </c>
      <c r="C669" s="1221" t="s">
        <v>405</v>
      </c>
      <c r="D669" s="1222">
        <v>738197399</v>
      </c>
      <c r="E669" s="1223">
        <v>96677.359999999986</v>
      </c>
      <c r="F669" s="1058">
        <f>+VLOOKUP(B669,Composición!$C$5:$D$1768,1,0)</f>
        <v>51102111</v>
      </c>
      <c r="G669" s="1058">
        <f>+VLOOKUP(B669,'CA FE'!$A:$A,1,0)</f>
        <v>51102111</v>
      </c>
      <c r="H669" s="1048">
        <f>+VLOOKUP(B669,Composición!$C$4:$H$1742,5,0)-D669</f>
        <v>-738197399</v>
      </c>
      <c r="I669" s="1214">
        <f>+VLOOKUP(B669,Composición!$C$4:$H$1742,6,0)-E669</f>
        <v>-96677.359999999986</v>
      </c>
      <c r="J669" s="827">
        <f t="shared" si="25"/>
        <v>-738294076.36000001</v>
      </c>
      <c r="M669" s="14"/>
      <c r="N669" s="14"/>
      <c r="O669" s="14"/>
      <c r="P669" s="14"/>
    </row>
    <row r="670" spans="1:16" s="14" customFormat="1" ht="16.5" customHeight="1">
      <c r="A670" s="14" t="str">
        <f t="shared" si="24"/>
        <v>I</v>
      </c>
      <c r="B670" s="1203">
        <v>5110211101</v>
      </c>
      <c r="C670" t="s">
        <v>406</v>
      </c>
      <c r="D670" s="1308">
        <v>486103677</v>
      </c>
      <c r="E670" s="1309">
        <v>63354.69</v>
      </c>
      <c r="F670" s="818">
        <f>+VLOOKUP(B670,Composición!$C$5:$D$1768,1,0)</f>
        <v>5110211101</v>
      </c>
      <c r="G670" s="818">
        <f>+VLOOKUP(B670,'CA FE'!$A:$A,1,0)</f>
        <v>5110211101</v>
      </c>
      <c r="H670" s="1049">
        <f>+VLOOKUP(B670,Composición!$C$4:$H$1742,5,0)-D670</f>
        <v>0</v>
      </c>
      <c r="I670" s="1311">
        <f>+VLOOKUP(B670,Composición!$C$4:$H$1742,6,0)-E670</f>
        <v>0</v>
      </c>
      <c r="J670" s="1053">
        <f t="shared" si="25"/>
        <v>-486103677</v>
      </c>
    </row>
    <row r="671" spans="1:16" s="14" customFormat="1" ht="16.5" customHeight="1">
      <c r="A671" s="14" t="str">
        <f t="shared" si="24"/>
        <v>I</v>
      </c>
      <c r="B671" s="1203">
        <v>5110211102</v>
      </c>
      <c r="C671" t="s">
        <v>407</v>
      </c>
      <c r="D671" s="1308">
        <v>252093722</v>
      </c>
      <c r="E671" s="1309">
        <v>33322.67</v>
      </c>
      <c r="F671" s="818">
        <f>+VLOOKUP(B671,Composición!$C$5:$D$1768,1,0)</f>
        <v>5110211102</v>
      </c>
      <c r="G671" s="818">
        <f>+VLOOKUP(B671,'CA FE'!$A:$A,1,0)</f>
        <v>5110211102</v>
      </c>
      <c r="H671" s="1049">
        <f>+VLOOKUP(B671,Composición!$C$4:$H$1742,5,0)-D671</f>
        <v>0</v>
      </c>
      <c r="I671" s="1311">
        <f>+VLOOKUP(B671,Composición!$C$4:$H$1742,6,0)-E671</f>
        <v>0</v>
      </c>
      <c r="J671" s="1053">
        <f t="shared" si="25"/>
        <v>-252093722</v>
      </c>
    </row>
    <row r="672" spans="1:16" s="31" customFormat="1" ht="16.5" customHeight="1">
      <c r="A672" s="31" t="str">
        <f t="shared" si="24"/>
        <v>NI</v>
      </c>
      <c r="B672" s="1220">
        <v>51102112</v>
      </c>
      <c r="C672" s="1221" t="s">
        <v>366</v>
      </c>
      <c r="D672" s="1222">
        <v>175045466</v>
      </c>
      <c r="E672" s="1223">
        <v>23029.4</v>
      </c>
      <c r="F672" s="1058">
        <f>+VLOOKUP(B672,Composición!$C$5:$D$1768,1,0)</f>
        <v>51102112</v>
      </c>
      <c r="G672" s="1058">
        <f>+VLOOKUP(B672,'CA FE'!$A:$A,1,0)</f>
        <v>51102112</v>
      </c>
      <c r="H672" s="1048">
        <f>+VLOOKUP(B672,Composición!$C$4:$H$1742,5,0)-D672</f>
        <v>-175045466</v>
      </c>
      <c r="I672" s="1214">
        <f>+VLOOKUP(B672,Composición!$C$4:$H$1742,6,0)-E672</f>
        <v>-23029.4</v>
      </c>
      <c r="J672" s="1054">
        <f t="shared" si="25"/>
        <v>-175068495.40000001</v>
      </c>
      <c r="M672" s="14"/>
      <c r="N672" s="14"/>
      <c r="O672" s="14"/>
      <c r="P672" s="14"/>
    </row>
    <row r="673" spans="1:16" s="14" customFormat="1" ht="16.5" customHeight="1">
      <c r="A673" s="14" t="str">
        <f t="shared" si="24"/>
        <v>I</v>
      </c>
      <c r="B673" s="1203">
        <v>5110211201</v>
      </c>
      <c r="C673" t="s">
        <v>408</v>
      </c>
      <c r="D673" s="1308">
        <v>144894320</v>
      </c>
      <c r="E673" s="1309">
        <v>19148.88</v>
      </c>
      <c r="F673" s="818">
        <f>+VLOOKUP(B673,Composición!$C$5:$D$1768,1,0)</f>
        <v>5110211201</v>
      </c>
      <c r="G673" s="818">
        <f>+VLOOKUP(B673,'CA FE'!$A:$A,1,0)</f>
        <v>5110211201</v>
      </c>
      <c r="H673" s="1049">
        <f>+VLOOKUP(B673,Composición!$C$4:$H$1742,5,0)-D673</f>
        <v>0</v>
      </c>
      <c r="I673" s="1311">
        <f>+VLOOKUP(B673,Composición!$C$4:$H$1742,6,0)-E673</f>
        <v>0</v>
      </c>
      <c r="J673" s="1053">
        <f t="shared" si="25"/>
        <v>-144894320</v>
      </c>
    </row>
    <row r="674" spans="1:16" s="14" customFormat="1" ht="16.5" customHeight="1">
      <c r="A674" s="14" t="str">
        <f t="shared" si="24"/>
        <v>I</v>
      </c>
      <c r="B674" s="1203">
        <v>5110211202</v>
      </c>
      <c r="C674" t="s">
        <v>409</v>
      </c>
      <c r="D674" s="1308">
        <v>30151146</v>
      </c>
      <c r="E674" s="1309">
        <v>3880.52</v>
      </c>
      <c r="F674" s="818">
        <f>+VLOOKUP(B674,Composición!$C$5:$D$1768,1,0)</f>
        <v>5110211202</v>
      </c>
      <c r="G674" s="818">
        <f>+VLOOKUP(B674,'CA FE'!$A:$A,1,0)</f>
        <v>5110211202</v>
      </c>
      <c r="H674" s="14">
        <f>+VLOOKUP(B674,Composición!$C$4:$H$1742,5,0)</f>
        <v>30151146</v>
      </c>
      <c r="I674" s="14">
        <f>+VLOOKUP(B674,Composición!$C$4:$H$1742,6,0)</f>
        <v>3880.52</v>
      </c>
      <c r="J674" s="830">
        <f t="shared" si="25"/>
        <v>-30147265.48</v>
      </c>
    </row>
    <row r="675" spans="1:16" s="31" customFormat="1" ht="16.5" customHeight="1">
      <c r="A675" s="31" t="str">
        <f t="shared" si="24"/>
        <v>NI</v>
      </c>
      <c r="B675" s="1220">
        <v>51103</v>
      </c>
      <c r="C675" s="1221" t="s">
        <v>410</v>
      </c>
      <c r="D675" s="1222">
        <v>1364188527</v>
      </c>
      <c r="E675" s="1223">
        <v>177409.36</v>
      </c>
      <c r="F675" s="1058">
        <f>+VLOOKUP(B675,Composición!$C$5:$D$1768,1,0)</f>
        <v>51103</v>
      </c>
      <c r="G675" s="1058">
        <f>+VLOOKUP(B675,'CA FE'!$A:$A,1,0)</f>
        <v>51103</v>
      </c>
      <c r="H675" s="1048">
        <f>+VLOOKUP(B675,Composición!$C$4:$H$1742,5,0)-D675</f>
        <v>-1364188527</v>
      </c>
      <c r="I675" s="1214">
        <f>+VLOOKUP(B675,Composición!$C$4:$H$1742,6,0)-E675</f>
        <v>-177409.36</v>
      </c>
      <c r="J675" s="827">
        <f t="shared" si="25"/>
        <v>-1364365936.3599999</v>
      </c>
      <c r="M675" s="14"/>
      <c r="N675" s="14"/>
      <c r="O675" s="14"/>
      <c r="P675" s="14"/>
    </row>
    <row r="676" spans="1:16" s="31" customFormat="1" ht="16.5" customHeight="1">
      <c r="A676" s="31" t="str">
        <f t="shared" si="24"/>
        <v>NI</v>
      </c>
      <c r="B676" s="1220">
        <v>511031</v>
      </c>
      <c r="C676" s="1221" t="s">
        <v>336</v>
      </c>
      <c r="D676" s="1222">
        <v>1135787177</v>
      </c>
      <c r="E676" s="1223">
        <v>147977.29999999999</v>
      </c>
      <c r="F676" s="1058">
        <f>+VLOOKUP(B676,Composición!$C$5:$D$1768,1,0)</f>
        <v>511031</v>
      </c>
      <c r="G676" s="1058">
        <f>+VLOOKUP(B676,'CA FE'!$A:$A,1,0)</f>
        <v>511031</v>
      </c>
      <c r="H676" s="1048">
        <f>+VLOOKUP(B676,Composición!$C$4:$H$1742,5,0)-D676</f>
        <v>-1135787177</v>
      </c>
      <c r="I676" s="1214">
        <f>+VLOOKUP(B676,Composición!$C$4:$H$1742,6,0)-E676</f>
        <v>-147977.29999999999</v>
      </c>
      <c r="J676" s="827">
        <f t="shared" si="25"/>
        <v>-1135935154.3</v>
      </c>
      <c r="M676" s="14"/>
      <c r="N676" s="14"/>
      <c r="O676" s="14"/>
      <c r="P676" s="14"/>
    </row>
    <row r="677" spans="1:16" s="31" customFormat="1" ht="16.5" customHeight="1">
      <c r="A677" s="31" t="str">
        <f t="shared" si="24"/>
        <v>NI</v>
      </c>
      <c r="B677" s="1220">
        <v>5110311</v>
      </c>
      <c r="C677" s="1221" t="s">
        <v>336</v>
      </c>
      <c r="D677" s="1222">
        <v>1135787177</v>
      </c>
      <c r="E677" s="1223">
        <v>147977.29999999999</v>
      </c>
      <c r="F677" s="1058">
        <f>+VLOOKUP(B677,Composición!$C$5:$D$1768,1,0)</f>
        <v>5110311</v>
      </c>
      <c r="G677" s="1058">
        <f>+VLOOKUP(B677,'CA FE'!$A:$A,1,0)</f>
        <v>5110311</v>
      </c>
      <c r="H677" s="1048">
        <f>+VLOOKUP(B677,Composición!$C$4:$H$1742,5,0)-D677</f>
        <v>-1135787177</v>
      </c>
      <c r="I677" s="1214">
        <f>+VLOOKUP(B677,Composición!$C$4:$H$1742,6,0)-E677</f>
        <v>-147977.29999999999</v>
      </c>
      <c r="J677" s="827">
        <f t="shared" si="25"/>
        <v>-1135935154.3</v>
      </c>
      <c r="M677" s="14"/>
      <c r="N677" s="14"/>
      <c r="O677" s="14"/>
      <c r="P677" s="14"/>
    </row>
    <row r="678" spans="1:16" s="31" customFormat="1" ht="16.5" customHeight="1">
      <c r="A678" s="31" t="str">
        <f t="shared" si="24"/>
        <v>NI</v>
      </c>
      <c r="B678" s="1220">
        <v>51103111</v>
      </c>
      <c r="C678" s="1221" t="s">
        <v>339</v>
      </c>
      <c r="D678" s="1222">
        <v>632930842</v>
      </c>
      <c r="E678" s="1223">
        <v>83209.37</v>
      </c>
      <c r="F678" s="1058">
        <f>+VLOOKUP(B678,Composición!$C$5:$D$1768,1,0)</f>
        <v>51103111</v>
      </c>
      <c r="G678" s="1058">
        <f>+VLOOKUP(B678,'CA FE'!$A:$A,1,0)</f>
        <v>51103111</v>
      </c>
      <c r="H678" s="1048">
        <f>+VLOOKUP(B678,Composición!$C$4:$H$1742,5,0)-D678</f>
        <v>-632930842</v>
      </c>
      <c r="I678" s="1214">
        <f>+VLOOKUP(B678,Composición!$C$4:$H$1742,6,0)-E678</f>
        <v>-83209.37</v>
      </c>
      <c r="J678" s="827">
        <f t="shared" si="25"/>
        <v>-633014051.37</v>
      </c>
      <c r="M678" s="14"/>
      <c r="N678" s="14"/>
      <c r="O678" s="14"/>
      <c r="P678" s="14"/>
    </row>
    <row r="679" spans="1:16" s="14" customFormat="1" ht="16.5" customHeight="1">
      <c r="A679" s="14" t="str">
        <f t="shared" si="24"/>
        <v>I</v>
      </c>
      <c r="B679" s="1203">
        <v>5110311101</v>
      </c>
      <c r="C679" t="s">
        <v>267</v>
      </c>
      <c r="D679" s="1308">
        <v>43330903</v>
      </c>
      <c r="E679" s="1309">
        <v>5459.7599999999993</v>
      </c>
      <c r="F679" s="818">
        <f>+VLOOKUP(B679,Composición!$C$5:$D$1768,1,0)</f>
        <v>5110311101</v>
      </c>
      <c r="G679" s="818">
        <f>+VLOOKUP(B679,'CA FE'!$A:$A,1,0)</f>
        <v>5110311101</v>
      </c>
      <c r="H679" s="1049">
        <f>+VLOOKUP(B679,Composición!$C$4:$H$1742,5,0)-D679</f>
        <v>0</v>
      </c>
      <c r="I679" s="1311">
        <f>+VLOOKUP(B679,Composición!$C$4:$H$1742,6,0)-E679</f>
        <v>0</v>
      </c>
      <c r="J679" s="830">
        <f t="shared" si="25"/>
        <v>-43330903</v>
      </c>
    </row>
    <row r="680" spans="1:16" s="14" customFormat="1" ht="16.5" customHeight="1">
      <c r="A680" s="14" t="str">
        <f t="shared" si="24"/>
        <v>I</v>
      </c>
      <c r="B680" s="1203">
        <v>5110311102</v>
      </c>
      <c r="C680" t="s">
        <v>63</v>
      </c>
      <c r="D680" s="1308">
        <v>1846668</v>
      </c>
      <c r="E680" s="1309">
        <v>245.67</v>
      </c>
      <c r="F680" s="818">
        <f>+VLOOKUP(B680,Composición!$C$5:$D$1768,1,0)</f>
        <v>5110311102</v>
      </c>
      <c r="G680" s="818">
        <f>+VLOOKUP(B680,'CA FE'!$A:$A,1,0)</f>
        <v>5110311102</v>
      </c>
      <c r="H680" s="1049">
        <f>+VLOOKUP(B680,Composición!$C$4:$H$1742,5,0)-D680</f>
        <v>0</v>
      </c>
      <c r="I680" s="1311">
        <f>+VLOOKUP(B680,Composición!$C$4:$H$1742,6,0)-E680</f>
        <v>0</v>
      </c>
      <c r="J680" s="830">
        <f t="shared" si="25"/>
        <v>-1846668</v>
      </c>
    </row>
    <row r="681" spans="1:16" s="14" customFormat="1" ht="16.5" customHeight="1">
      <c r="A681" s="14" t="str">
        <f t="shared" si="24"/>
        <v>I</v>
      </c>
      <c r="B681" s="1203">
        <v>5110311103</v>
      </c>
      <c r="C681" t="s">
        <v>64</v>
      </c>
      <c r="D681" s="1308">
        <v>528246578</v>
      </c>
      <c r="E681" s="1309">
        <v>69879.95</v>
      </c>
      <c r="F681" s="818">
        <f>+VLOOKUP(B681,Composición!$C$5:$D$1768,1,0)</f>
        <v>5110311103</v>
      </c>
      <c r="G681" s="818">
        <f>+VLOOKUP(B681,'CA FE'!$A:$A,1,0)</f>
        <v>5110311103</v>
      </c>
      <c r="H681" s="1049">
        <f>+VLOOKUP(B681,Composición!$C$4:$H$1742,5,0)-D681</f>
        <v>0</v>
      </c>
      <c r="I681" s="1311">
        <f>+VLOOKUP(B681,Composición!$C$4:$H$1742,6,0)-E681</f>
        <v>0</v>
      </c>
      <c r="J681" s="1053">
        <f t="shared" si="25"/>
        <v>-528246578</v>
      </c>
    </row>
    <row r="682" spans="1:16" s="14" customFormat="1" ht="16.5" customHeight="1">
      <c r="A682" s="14" t="str">
        <f t="shared" ref="A682:A745" si="26">IF(LEN(B682)&gt;8,"I","NI")</f>
        <v>I</v>
      </c>
      <c r="B682" s="1203">
        <v>5110311105</v>
      </c>
      <c r="C682" t="s">
        <v>411</v>
      </c>
      <c r="D682" s="1308">
        <v>13892369</v>
      </c>
      <c r="E682" s="1309">
        <v>1795.38</v>
      </c>
      <c r="F682" s="818">
        <f>+VLOOKUP(B682,Composición!$C$5:$D$1768,1,0)</f>
        <v>5110311105</v>
      </c>
      <c r="G682" s="818">
        <f>+VLOOKUP(B682,'CA FE'!$A:$A,1,0)</f>
        <v>5110311105</v>
      </c>
      <c r="H682" s="1049">
        <f>+VLOOKUP(B682,Composición!$C$4:$H$1742,5,0)-D682</f>
        <v>0</v>
      </c>
      <c r="I682" s="1311">
        <f>+VLOOKUP(B682,Composición!$C$4:$H$1742,6,0)-E682</f>
        <v>0</v>
      </c>
      <c r="J682" s="1053">
        <f t="shared" si="25"/>
        <v>-13892369</v>
      </c>
    </row>
    <row r="683" spans="1:16" s="14" customFormat="1" ht="16.5" customHeight="1">
      <c r="A683" s="14" t="str">
        <f t="shared" si="26"/>
        <v>I</v>
      </c>
      <c r="B683" s="1203">
        <v>5110311106</v>
      </c>
      <c r="C683" t="s">
        <v>608</v>
      </c>
      <c r="D683" s="1308">
        <v>2898478</v>
      </c>
      <c r="E683" s="1309">
        <v>383.7</v>
      </c>
      <c r="F683" s="818">
        <f>+VLOOKUP(B683,Composición!$C$5:$D$1768,1,0)</f>
        <v>5110311106</v>
      </c>
      <c r="G683" s="818">
        <f>+VLOOKUP(B683,'CA FE'!$A:$A,1,0)</f>
        <v>5110311106</v>
      </c>
      <c r="H683" s="1049">
        <f>+VLOOKUP(B683,Composición!$C$4:$H$1742,5,0)-D683</f>
        <v>0</v>
      </c>
      <c r="I683" s="1311">
        <f>+VLOOKUP(B683,Composición!$C$4:$H$1742,6,0)-E683</f>
        <v>0</v>
      </c>
      <c r="J683" s="1053">
        <f t="shared" si="25"/>
        <v>-2898478</v>
      </c>
    </row>
    <row r="684" spans="1:16" s="14" customFormat="1" ht="16.5" customHeight="1">
      <c r="A684" s="14" t="str">
        <f t="shared" si="26"/>
        <v>I</v>
      </c>
      <c r="B684" s="1203">
        <v>5110311107</v>
      </c>
      <c r="C684" t="s">
        <v>609</v>
      </c>
      <c r="D684" s="1308">
        <v>42667128</v>
      </c>
      <c r="E684" s="1309">
        <v>5438.68</v>
      </c>
      <c r="F684" s="818">
        <f>+VLOOKUP(B684,Composición!$C$5:$D$1768,1,0)</f>
        <v>5110311107</v>
      </c>
      <c r="G684" s="818">
        <f>+VLOOKUP(B684,'CA FE'!$A:$A,1,0)</f>
        <v>5110311107</v>
      </c>
      <c r="H684" s="1049">
        <f>+VLOOKUP(B684,Composición!$C$4:$H$1742,5,0)-D684</f>
        <v>0</v>
      </c>
      <c r="I684" s="1311">
        <f>+VLOOKUP(B684,Composición!$C$4:$H$1742,6,0)-E684</f>
        <v>0</v>
      </c>
      <c r="J684" s="1053">
        <f t="shared" si="25"/>
        <v>-42667128</v>
      </c>
    </row>
    <row r="685" spans="1:16" s="14" customFormat="1" ht="16.5" customHeight="1">
      <c r="A685" s="14" t="str">
        <f t="shared" si="26"/>
        <v>I</v>
      </c>
      <c r="B685" s="1203">
        <v>5110311108</v>
      </c>
      <c r="C685" t="s">
        <v>2966</v>
      </c>
      <c r="D685" s="1308">
        <v>9589040</v>
      </c>
      <c r="E685" s="1309">
        <v>1228.43</v>
      </c>
      <c r="F685" s="818">
        <f>+VLOOKUP(B685,Composición!$C$5:$D$1768,1,0)</f>
        <v>5110311108</v>
      </c>
      <c r="G685" s="818">
        <f>+VLOOKUP(B685,'CA FE'!$A:$A,1,0)</f>
        <v>5110311108</v>
      </c>
      <c r="H685" s="1049">
        <f>+VLOOKUP(B685,Composición!$C$4:$H$1742,5,0)-D685</f>
        <v>0</v>
      </c>
      <c r="I685" s="1311">
        <f>+VLOOKUP(B685,Composición!$C$4:$H$1742,6,0)-E685</f>
        <v>0</v>
      </c>
      <c r="J685" s="830">
        <f t="shared" si="25"/>
        <v>-9589040</v>
      </c>
    </row>
    <row r="686" spans="1:16" s="14" customFormat="1" ht="16.5" customHeight="1">
      <c r="A686" s="14" t="str">
        <f t="shared" si="26"/>
        <v>I</v>
      </c>
      <c r="B686" s="1203">
        <v>5110311109</v>
      </c>
      <c r="C686" t="s">
        <v>2967</v>
      </c>
      <c r="D686" s="1308">
        <v>48718</v>
      </c>
      <c r="E686" s="1309">
        <v>6.23</v>
      </c>
      <c r="F686" s="818">
        <f>+VLOOKUP(B686,Composición!$C$5:$D$1768,1,0)</f>
        <v>5110311109</v>
      </c>
      <c r="G686" s="818">
        <f>+VLOOKUP(B686,'CA FE'!$A:$A,1,0)</f>
        <v>5110311109</v>
      </c>
      <c r="H686" s="1049">
        <f>+VLOOKUP(B686,Composición!$C$4:$H$1742,5,0)-D686</f>
        <v>0</v>
      </c>
      <c r="I686" s="1311">
        <f>+VLOOKUP(B686,Composición!$C$4:$H$1742,6,0)-E686</f>
        <v>0</v>
      </c>
      <c r="J686" s="830">
        <f t="shared" si="25"/>
        <v>-48718</v>
      </c>
    </row>
    <row r="687" spans="1:16" s="31" customFormat="1" ht="16.5" customHeight="1">
      <c r="A687" s="31" t="str">
        <f t="shared" si="26"/>
        <v>NI</v>
      </c>
      <c r="B687" s="1220">
        <v>51103112</v>
      </c>
      <c r="C687" s="1221" t="s">
        <v>412</v>
      </c>
      <c r="D687" s="1222">
        <v>421184640</v>
      </c>
      <c r="E687" s="1223">
        <v>54254.659999999996</v>
      </c>
      <c r="F687" s="1058">
        <f>+VLOOKUP(B687,Composición!$C$5:$D$1768,1,0)</f>
        <v>51103112</v>
      </c>
      <c r="G687" s="1058">
        <f>+VLOOKUP(B687,'CA FE'!$A:$A,1,0)</f>
        <v>51103112</v>
      </c>
      <c r="H687" s="31">
        <f>+VLOOKUP(B687,Composición!$C$4:$H$1742,5,0)</f>
        <v>0</v>
      </c>
      <c r="I687" s="31">
        <f>+VLOOKUP(B687,Composición!$C$4:$H$1742,6,0)</f>
        <v>0</v>
      </c>
      <c r="J687" s="827">
        <f t="shared" si="25"/>
        <v>-421184640</v>
      </c>
      <c r="M687" s="14"/>
      <c r="N687" s="14"/>
      <c r="O687" s="14"/>
      <c r="P687" s="14"/>
    </row>
    <row r="688" spans="1:16" s="14" customFormat="1" ht="16.5" customHeight="1">
      <c r="A688" s="14" t="str">
        <f t="shared" si="26"/>
        <v>I</v>
      </c>
      <c r="B688" s="1203">
        <v>5110311201</v>
      </c>
      <c r="C688" t="s">
        <v>57</v>
      </c>
      <c r="D688" s="1308">
        <v>16167355</v>
      </c>
      <c r="E688" s="1309">
        <v>2134.5400000000004</v>
      </c>
      <c r="F688" s="818">
        <f>+VLOOKUP(B688,Composición!$C$5:$D$1768,1,0)</f>
        <v>5110311201</v>
      </c>
      <c r="G688" s="818">
        <f>+VLOOKUP(B688,'CA FE'!$A:$A,1,0)</f>
        <v>5110311201</v>
      </c>
      <c r="H688" s="1049">
        <f>+VLOOKUP(B688,Composición!$C$4:$H$1742,5,0)-D688</f>
        <v>0</v>
      </c>
      <c r="I688" s="1311">
        <f>+VLOOKUP(B688,Composición!$C$4:$H$1742,6,0)-E688</f>
        <v>0</v>
      </c>
      <c r="J688" s="1053">
        <f t="shared" si="25"/>
        <v>-16167355</v>
      </c>
    </row>
    <row r="689" spans="1:16" s="14" customFormat="1" ht="16.5" customHeight="1">
      <c r="A689" s="14" t="str">
        <f t="shared" si="26"/>
        <v>I</v>
      </c>
      <c r="B689" s="1203">
        <v>5110311202</v>
      </c>
      <c r="C689" t="s">
        <v>254</v>
      </c>
      <c r="D689" s="1308">
        <v>193285</v>
      </c>
      <c r="E689" s="1309">
        <v>25.15</v>
      </c>
      <c r="F689" s="818">
        <f>+VLOOKUP(B689,Composición!$C$5:$D$1768,1,0)</f>
        <v>5110311202</v>
      </c>
      <c r="G689" s="818">
        <f>+VLOOKUP(B689,'CA FE'!$A:$A,1,0)</f>
        <v>5110311202</v>
      </c>
      <c r="H689" s="1049">
        <f>+VLOOKUP(B689,Composición!$C$4:$H$1742,5,0)-D689</f>
        <v>0</v>
      </c>
      <c r="I689" s="1311">
        <f>+VLOOKUP(B689,Composición!$C$4:$H$1742,6,0)-E689</f>
        <v>0</v>
      </c>
      <c r="J689" s="1053">
        <f t="shared" si="25"/>
        <v>-193285</v>
      </c>
    </row>
    <row r="690" spans="1:16" s="14" customFormat="1" ht="16.5" customHeight="1">
      <c r="A690" s="14" t="str">
        <f t="shared" si="26"/>
        <v>I</v>
      </c>
      <c r="B690" s="1203">
        <v>5110311203</v>
      </c>
      <c r="C690" t="s">
        <v>256</v>
      </c>
      <c r="D690" s="1308">
        <v>9195274</v>
      </c>
      <c r="E690" s="1309">
        <v>1231.95</v>
      </c>
      <c r="F690" s="818">
        <f>+VLOOKUP(B690,Composición!$C$5:$D$1768,1,0)</f>
        <v>5110311203</v>
      </c>
      <c r="G690" s="818">
        <f>+VLOOKUP(B690,'CA FE'!$A:$A,1,0)</f>
        <v>5110311203</v>
      </c>
      <c r="H690" s="1049">
        <f>+VLOOKUP(B690,Composición!$C$4:$H$1742,5,0)-D690</f>
        <v>0</v>
      </c>
      <c r="I690" s="1311">
        <f>+VLOOKUP(B690,Composición!$C$4:$H$1742,6,0)-E690</f>
        <v>0</v>
      </c>
      <c r="J690" s="1053">
        <f t="shared" si="25"/>
        <v>-9195274</v>
      </c>
    </row>
    <row r="691" spans="1:16" s="14" customFormat="1" ht="16.5" customHeight="1">
      <c r="A691" s="14" t="str">
        <f t="shared" si="26"/>
        <v>I</v>
      </c>
      <c r="B691" s="1203">
        <v>5110311204</v>
      </c>
      <c r="C691" t="s">
        <v>258</v>
      </c>
      <c r="D691" s="1308">
        <v>66050</v>
      </c>
      <c r="E691" s="1309">
        <v>8.4499999999999993</v>
      </c>
      <c r="F691" s="818">
        <f>+VLOOKUP(B691,Composición!$C$5:$D$1768,1,0)</f>
        <v>5110311204</v>
      </c>
      <c r="G691" s="818">
        <f>+VLOOKUP(B691,'CA FE'!$A:$A,1,0)</f>
        <v>5110311204</v>
      </c>
      <c r="H691" s="1049">
        <f>+VLOOKUP(B691,Composición!$C$4:$H$1742,5,0)-D691</f>
        <v>0</v>
      </c>
      <c r="I691" s="1311">
        <f>+VLOOKUP(B691,Composición!$C$4:$H$1742,6,0)-E691</f>
        <v>0</v>
      </c>
      <c r="J691" s="1053">
        <f t="shared" si="25"/>
        <v>-66050</v>
      </c>
    </row>
    <row r="692" spans="1:16" s="14" customFormat="1" ht="16.5" customHeight="1">
      <c r="A692" s="14" t="str">
        <f t="shared" si="26"/>
        <v>I</v>
      </c>
      <c r="B692" s="1203">
        <v>5110311205</v>
      </c>
      <c r="C692" t="s">
        <v>59</v>
      </c>
      <c r="D692" s="1308">
        <v>122729834</v>
      </c>
      <c r="E692" s="1309">
        <v>15691.16</v>
      </c>
      <c r="F692" s="818">
        <f>+VLOOKUP(B692,Composición!$C$5:$D$1768,1,0)</f>
        <v>5110311205</v>
      </c>
      <c r="G692" s="818">
        <f>+VLOOKUP(B692,'CA FE'!$A:$A,1,0)</f>
        <v>5110311205</v>
      </c>
      <c r="H692" s="1049">
        <f>+VLOOKUP(B692,Composición!$C$4:$H$1742,5,0)-D692</f>
        <v>0</v>
      </c>
      <c r="I692" s="1311">
        <f>+VLOOKUP(B692,Composición!$C$4:$H$1742,6,0)-E692</f>
        <v>0</v>
      </c>
      <c r="J692" s="830">
        <f t="shared" si="25"/>
        <v>-122729834</v>
      </c>
    </row>
    <row r="693" spans="1:16" s="14" customFormat="1" ht="16.5" customHeight="1">
      <c r="A693" s="14" t="str">
        <f t="shared" si="26"/>
        <v>I</v>
      </c>
      <c r="B693" s="1203">
        <v>5110311206</v>
      </c>
      <c r="C693" t="s">
        <v>60</v>
      </c>
      <c r="D693" s="1308">
        <v>2508987</v>
      </c>
      <c r="E693" s="1309">
        <v>334.82</v>
      </c>
      <c r="F693" s="818">
        <f>+VLOOKUP(B693,Composición!$C$5:$D$1768,1,0)</f>
        <v>5110311206</v>
      </c>
      <c r="G693" s="818">
        <f>+VLOOKUP(B693,'CA FE'!$A:$A,1,0)</f>
        <v>5110311206</v>
      </c>
      <c r="H693" s="1049">
        <f>+VLOOKUP(B693,Composición!$C$4:$H$1742,5,0)-D693</f>
        <v>0</v>
      </c>
      <c r="I693" s="1311">
        <f>+VLOOKUP(B693,Composición!$C$4:$H$1742,6,0)-E693</f>
        <v>0</v>
      </c>
      <c r="J693" s="1053">
        <f t="shared" si="25"/>
        <v>-2508987</v>
      </c>
    </row>
    <row r="694" spans="1:16" s="14" customFormat="1" ht="16.5" customHeight="1">
      <c r="A694" s="14" t="str">
        <f t="shared" si="26"/>
        <v>I</v>
      </c>
      <c r="B694" s="1203">
        <v>5110311207</v>
      </c>
      <c r="C694" t="s">
        <v>63</v>
      </c>
      <c r="D694" s="1308">
        <v>6281537</v>
      </c>
      <c r="E694" s="1309">
        <v>827.21</v>
      </c>
      <c r="F694" s="818">
        <f>+VLOOKUP(B694,Composición!$C$5:$D$1768,1,0)</f>
        <v>5110311207</v>
      </c>
      <c r="G694" s="818">
        <f>+VLOOKUP(B694,'CA FE'!$A:$A,1,0)</f>
        <v>5110311207</v>
      </c>
      <c r="H694" s="1049">
        <f>+VLOOKUP(B694,Composición!$C$4:$H$1742,5,0)-D694</f>
        <v>0</v>
      </c>
      <c r="I694" s="1311">
        <f>+VLOOKUP(B694,Composición!$C$4:$H$1742,6,0)-E694</f>
        <v>0</v>
      </c>
      <c r="J694" s="1053">
        <f t="shared" si="25"/>
        <v>-6281537</v>
      </c>
    </row>
    <row r="695" spans="1:16" s="14" customFormat="1" ht="16.5" customHeight="1">
      <c r="A695" s="14" t="str">
        <f t="shared" si="26"/>
        <v>I</v>
      </c>
      <c r="B695" s="1203">
        <v>5110311208</v>
      </c>
      <c r="C695" t="s">
        <v>64</v>
      </c>
      <c r="D695" s="1308">
        <v>5544723</v>
      </c>
      <c r="E695" s="1309">
        <v>737.47</v>
      </c>
      <c r="F695" s="818">
        <f>+VLOOKUP(B695,Composición!$C$5:$D$1768,1,0)</f>
        <v>5110311208</v>
      </c>
      <c r="G695" s="818">
        <f>+VLOOKUP(B695,'CA FE'!$A:$A,1,0)</f>
        <v>5110311208</v>
      </c>
      <c r="H695" s="14">
        <f>+VLOOKUP(B695,Composición!$C$4:$H$1742,5,0)</f>
        <v>5544723</v>
      </c>
      <c r="I695" s="14">
        <f>+VLOOKUP(B695,Composición!$C$4:$H$1742,6,0)</f>
        <v>737.47</v>
      </c>
      <c r="J695" s="1053">
        <f t="shared" si="25"/>
        <v>-5543985.5300000003</v>
      </c>
    </row>
    <row r="696" spans="1:16" s="14" customFormat="1" ht="16.5" customHeight="1">
      <c r="A696" s="14" t="str">
        <f t="shared" si="26"/>
        <v>I</v>
      </c>
      <c r="B696" s="1203">
        <v>5110311217</v>
      </c>
      <c r="C696" t="s">
        <v>271</v>
      </c>
      <c r="D696" s="1308">
        <v>34891064</v>
      </c>
      <c r="E696" s="1309">
        <v>4520.75</v>
      </c>
      <c r="F696" s="818">
        <f>+VLOOKUP(B696,Composición!$C$5:$D$1768,1,0)</f>
        <v>5110311217</v>
      </c>
      <c r="G696" s="818">
        <f>+VLOOKUP(B696,'CA FE'!$A:$A,1,0)</f>
        <v>5110311217</v>
      </c>
      <c r="H696" s="14">
        <f>+VLOOKUP(B696,Composición!$C$4:$H$1742,5,0)</f>
        <v>34891064</v>
      </c>
      <c r="I696" s="14">
        <f>+VLOOKUP(B696,Composición!$C$4:$H$1742,6,0)</f>
        <v>4520.75</v>
      </c>
      <c r="J696" s="1053">
        <f t="shared" si="25"/>
        <v>-34886543.25</v>
      </c>
    </row>
    <row r="697" spans="1:16" s="14" customFormat="1" ht="16.5" customHeight="1">
      <c r="A697" s="14" t="str">
        <f t="shared" si="26"/>
        <v>I</v>
      </c>
      <c r="B697" s="1203">
        <v>5110311218</v>
      </c>
      <c r="C697" t="s">
        <v>274</v>
      </c>
      <c r="D697" s="1308">
        <v>1259045</v>
      </c>
      <c r="E697" s="1309">
        <v>169.33</v>
      </c>
      <c r="F697" s="818">
        <f>+VLOOKUP(B697,Composición!$C$5:$D$1768,1,0)</f>
        <v>5110311218</v>
      </c>
      <c r="G697" s="818">
        <f>+VLOOKUP(B697,'CA FE'!$A:$A,1,0)</f>
        <v>5110311218</v>
      </c>
      <c r="H697" s="14">
        <f>+VLOOKUP(B697,Composición!$C$4:$H$1742,5,0)</f>
        <v>1259045</v>
      </c>
      <c r="I697" s="14">
        <f>+VLOOKUP(B697,Composición!$C$4:$H$1742,6,0)</f>
        <v>169.33</v>
      </c>
      <c r="J697" s="830">
        <f t="shared" si="25"/>
        <v>-1258875.67</v>
      </c>
    </row>
    <row r="698" spans="1:16" s="14" customFormat="1" ht="16.5" customHeight="1">
      <c r="A698" s="14" t="str">
        <f t="shared" si="26"/>
        <v>I</v>
      </c>
      <c r="B698" s="1203">
        <v>5110311229</v>
      </c>
      <c r="C698" t="s">
        <v>414</v>
      </c>
      <c r="D698" s="1308">
        <v>32021865</v>
      </c>
      <c r="E698" s="1309">
        <v>4160.08</v>
      </c>
      <c r="F698" s="818">
        <f>+VLOOKUP(B698,Composición!$C$5:$D$1768,1,0)</f>
        <v>5110311229</v>
      </c>
      <c r="G698" s="818">
        <f>+VLOOKUP(B698,'CA FE'!$A:$A,1,0)</f>
        <v>5110311229</v>
      </c>
      <c r="H698" s="1049">
        <f>+VLOOKUP(B698,Composición!$C$4:$H$1742,5,0)-D698</f>
        <v>0</v>
      </c>
      <c r="I698" s="1311">
        <f>+VLOOKUP(B698,Composición!$C$4:$H$1742,6,0)-E698</f>
        <v>0</v>
      </c>
      <c r="J698" s="830">
        <f t="shared" si="25"/>
        <v>-32021865</v>
      </c>
    </row>
    <row r="699" spans="1:16" s="14" customFormat="1" ht="16.5" customHeight="1">
      <c r="A699" s="14" t="str">
        <f t="shared" si="26"/>
        <v>I</v>
      </c>
      <c r="B699" s="1203">
        <v>5110311231</v>
      </c>
      <c r="C699" t="s">
        <v>599</v>
      </c>
      <c r="D699" s="1308">
        <v>3743491</v>
      </c>
      <c r="E699" s="1309">
        <v>506.3</v>
      </c>
      <c r="F699" s="818">
        <f>+VLOOKUP(B699,Composición!$C$5:$D$1768,1,0)</f>
        <v>5110311231</v>
      </c>
      <c r="G699" s="818">
        <f>+VLOOKUP(B699,'CA FE'!$A:$A,1,0)</f>
        <v>5110311231</v>
      </c>
      <c r="H699" s="14">
        <f>+VLOOKUP(B699,Composición!$C$4:$H$1742,5,0)</f>
        <v>3743491</v>
      </c>
      <c r="I699" s="14">
        <f>+VLOOKUP(B699,Composición!$C$4:$H$1742,6,0)</f>
        <v>506.3</v>
      </c>
      <c r="J699" s="830">
        <f t="shared" si="25"/>
        <v>-3742984.7</v>
      </c>
    </row>
    <row r="700" spans="1:16" s="14" customFormat="1" ht="16.5" customHeight="1">
      <c r="A700" s="14" t="str">
        <f t="shared" si="26"/>
        <v>I</v>
      </c>
      <c r="B700" s="1203">
        <v>5110311232</v>
      </c>
      <c r="C700" t="s">
        <v>415</v>
      </c>
      <c r="D700" s="1308">
        <v>186582130</v>
      </c>
      <c r="E700" s="1309">
        <v>23907.45</v>
      </c>
      <c r="F700" s="818">
        <f>+VLOOKUP(B700,Composición!$C$5:$D$1768,1,0)</f>
        <v>5110311232</v>
      </c>
      <c r="G700" s="818">
        <f>+VLOOKUP(B700,'CA FE'!$A:$A,1,0)</f>
        <v>5110311232</v>
      </c>
      <c r="H700" s="14">
        <f>+VLOOKUP(B700,Composición!$C$4:$H$1742,5,0)</f>
        <v>186582130</v>
      </c>
      <c r="I700" s="14">
        <f>+VLOOKUP(B700,Composición!$C$4:$H$1742,6,0)</f>
        <v>23907.45</v>
      </c>
      <c r="J700" s="1053">
        <f t="shared" si="25"/>
        <v>-186558222.55000001</v>
      </c>
    </row>
    <row r="701" spans="1:16" s="31" customFormat="1" ht="16.5" customHeight="1">
      <c r="A701" s="31" t="str">
        <f t="shared" si="26"/>
        <v>NI</v>
      </c>
      <c r="B701" s="1220">
        <v>51103113</v>
      </c>
      <c r="C701" s="1221" t="s">
        <v>416</v>
      </c>
      <c r="D701" s="1222">
        <v>72082655</v>
      </c>
      <c r="E701" s="1223">
        <v>9284.84</v>
      </c>
      <c r="F701" s="1058">
        <f>+VLOOKUP(B701,Composición!$C$5:$D$1768,1,0)</f>
        <v>51103113</v>
      </c>
      <c r="G701" s="1058">
        <f>+VLOOKUP(B701,'CA FE'!$A:$A,1,0)</f>
        <v>51103113</v>
      </c>
      <c r="H701" s="31">
        <f>+VLOOKUP(B701,Composición!$C$4:$H$1742,5,0)</f>
        <v>0</v>
      </c>
      <c r="I701" s="31">
        <f>+VLOOKUP(B701,Composición!$C$4:$H$1742,6,0)</f>
        <v>0</v>
      </c>
      <c r="J701" s="1054">
        <f t="shared" si="25"/>
        <v>-72082655</v>
      </c>
      <c r="M701" s="14"/>
      <c r="N701" s="14"/>
      <c r="O701" s="14"/>
      <c r="P701" s="14"/>
    </row>
    <row r="702" spans="1:16" s="14" customFormat="1" ht="16.5" customHeight="1">
      <c r="A702" s="14" t="str">
        <f t="shared" si="26"/>
        <v>I</v>
      </c>
      <c r="B702" s="1203">
        <v>5110311301</v>
      </c>
      <c r="C702" t="s">
        <v>57</v>
      </c>
      <c r="D702" s="1308">
        <v>182320</v>
      </c>
      <c r="E702" s="1309">
        <v>24.290000000000003</v>
      </c>
      <c r="F702" s="818">
        <f>+VLOOKUP(B702,Composición!$C$5:$D$1768,1,0)</f>
        <v>5110311301</v>
      </c>
      <c r="G702" s="818">
        <f>+VLOOKUP(B702,'CA FE'!$A:$A,1,0)</f>
        <v>5110311301</v>
      </c>
      <c r="H702" s="14">
        <f>+VLOOKUP(B702,Composición!$C$4:$H$1742,5,0)</f>
        <v>182320</v>
      </c>
      <c r="I702" s="14">
        <f>+VLOOKUP(B702,Composición!$C$4:$H$1742,6,0)</f>
        <v>24.290000000000003</v>
      </c>
      <c r="J702" s="1053">
        <f t="shared" si="25"/>
        <v>-182295.71</v>
      </c>
    </row>
    <row r="703" spans="1:16" s="14" customFormat="1" ht="16.5" customHeight="1">
      <c r="A703" s="14" t="str">
        <f t="shared" si="26"/>
        <v>I</v>
      </c>
      <c r="B703" s="1203">
        <v>5110311302</v>
      </c>
      <c r="C703" t="s">
        <v>254</v>
      </c>
      <c r="D703" s="1308">
        <v>810308</v>
      </c>
      <c r="E703" s="1309">
        <v>106.96</v>
      </c>
      <c r="F703" s="818">
        <f>+VLOOKUP(B703,Composición!$C$5:$D$1768,1,0)</f>
        <v>5110311302</v>
      </c>
      <c r="G703" s="818">
        <f>+VLOOKUP(B703,'CA FE'!$A:$A,1,0)</f>
        <v>5110311302</v>
      </c>
      <c r="H703" s="1049">
        <f>+VLOOKUP(B703,Composición!$C$4:$H$1742,5,0)-D703</f>
        <v>0</v>
      </c>
      <c r="I703" s="1311">
        <f>+VLOOKUP(B703,Composición!$C$4:$H$1742,6,0)-E703</f>
        <v>0</v>
      </c>
      <c r="J703" s="1053">
        <f t="shared" si="25"/>
        <v>-810308</v>
      </c>
    </row>
    <row r="704" spans="1:16" s="14" customFormat="1" ht="16.5" customHeight="1">
      <c r="A704" s="14" t="str">
        <f t="shared" si="26"/>
        <v>I</v>
      </c>
      <c r="B704" s="1203">
        <v>5110311305</v>
      </c>
      <c r="C704" t="s">
        <v>59</v>
      </c>
      <c r="D704" s="1308">
        <v>48370044</v>
      </c>
      <c r="E704" s="1309">
        <v>6238.27</v>
      </c>
      <c r="F704" s="818">
        <f>+VLOOKUP(B704,Composición!$C$5:$D$1768,1,0)</f>
        <v>5110311305</v>
      </c>
      <c r="G704" s="818">
        <f>+VLOOKUP(B704,'CA FE'!$A:$A,1,0)</f>
        <v>5110311305</v>
      </c>
      <c r="H704" s="14">
        <f>+VLOOKUP(B704,Composición!$C$4:$H$1742,5,0)</f>
        <v>48370044</v>
      </c>
      <c r="I704" s="14">
        <f>+VLOOKUP(B704,Composición!$C$4:$H$1742,6,0)</f>
        <v>6238.27</v>
      </c>
      <c r="J704" s="830">
        <f t="shared" ref="J704:J765" si="27">+I704-D704</f>
        <v>-48363805.729999997</v>
      </c>
    </row>
    <row r="705" spans="1:16" s="14" customFormat="1" ht="16.5" customHeight="1">
      <c r="A705" s="14" t="str">
        <f t="shared" si="26"/>
        <v>I</v>
      </c>
      <c r="B705" s="1203">
        <v>5110311306</v>
      </c>
      <c r="C705" t="s">
        <v>60</v>
      </c>
      <c r="D705" s="1308">
        <v>2733917</v>
      </c>
      <c r="E705" s="1309">
        <v>362.58999999999992</v>
      </c>
      <c r="F705" s="818">
        <f>+VLOOKUP(B705,Composición!$C$5:$D$1768,1,0)</f>
        <v>5110311306</v>
      </c>
      <c r="G705" s="818">
        <f>+VLOOKUP(B705,'CA FE'!$A:$A,1,0)</f>
        <v>5110311306</v>
      </c>
      <c r="H705" s="14">
        <f>+VLOOKUP(B705,Composición!$C$4:$H$1742,5,0)</f>
        <v>2733917</v>
      </c>
      <c r="I705" s="14">
        <f>+VLOOKUP(B705,Composición!$C$4:$H$1742,6,0)</f>
        <v>362.58999999999992</v>
      </c>
      <c r="J705" s="830">
        <f t="shared" si="27"/>
        <v>-2733554.41</v>
      </c>
    </row>
    <row r="706" spans="1:16" s="14" customFormat="1" ht="16.5" customHeight="1">
      <c r="A706" s="14" t="str">
        <f t="shared" si="26"/>
        <v>I</v>
      </c>
      <c r="B706" s="1203">
        <v>5110311307</v>
      </c>
      <c r="C706" t="s">
        <v>63</v>
      </c>
      <c r="D706" s="1308">
        <v>144590</v>
      </c>
      <c r="E706" s="1309">
        <v>19.41</v>
      </c>
      <c r="F706" s="818">
        <f>+VLOOKUP(B706,Composición!$C$5:$D$1768,1,0)</f>
        <v>5110311307</v>
      </c>
      <c r="G706" s="818">
        <f>+VLOOKUP(B706,'CA FE'!$A:$A,1,0)</f>
        <v>5110311307</v>
      </c>
      <c r="H706" s="14">
        <f>+VLOOKUP(B706,Composición!$C$4:$H$1742,5,0)</f>
        <v>144590</v>
      </c>
      <c r="I706" s="14">
        <f>+VLOOKUP(B706,Composición!$C$4:$H$1742,6,0)</f>
        <v>19.41</v>
      </c>
      <c r="J706" s="830">
        <f t="shared" si="27"/>
        <v>-144570.59</v>
      </c>
    </row>
    <row r="707" spans="1:16" s="14" customFormat="1" ht="16.5" customHeight="1">
      <c r="A707" s="14" t="str">
        <f t="shared" si="26"/>
        <v>I</v>
      </c>
      <c r="B707" s="1203">
        <v>5110311309</v>
      </c>
      <c r="C707" t="s">
        <v>66</v>
      </c>
      <c r="D707" s="1308">
        <v>67791</v>
      </c>
      <c r="E707" s="1309">
        <v>8.98</v>
      </c>
      <c r="F707" s="818">
        <f>+VLOOKUP(B707,Composición!$C$5:$D$1768,1,0)</f>
        <v>5110311309</v>
      </c>
      <c r="G707" s="818">
        <f>+VLOOKUP(B707,'CA FE'!$A:$A,1,0)</f>
        <v>5110311309</v>
      </c>
      <c r="H707" s="14">
        <f>+VLOOKUP(B707,Composición!$C$4:$H$1742,5,0)</f>
        <v>67791</v>
      </c>
      <c r="I707" s="14">
        <f>+VLOOKUP(B707,Composición!$C$4:$H$1742,6,0)</f>
        <v>8.98</v>
      </c>
      <c r="J707" s="1053">
        <f t="shared" si="27"/>
        <v>-67782.02</v>
      </c>
    </row>
    <row r="708" spans="1:16" s="14" customFormat="1" ht="16.5" customHeight="1">
      <c r="A708" s="14" t="str">
        <f t="shared" si="26"/>
        <v>I</v>
      </c>
      <c r="B708" s="1203">
        <v>5110311317</v>
      </c>
      <c r="C708" t="s">
        <v>2968</v>
      </c>
      <c r="D708" s="1308">
        <v>361310</v>
      </c>
      <c r="E708" s="1309">
        <v>45.69</v>
      </c>
      <c r="F708" s="818">
        <f>+VLOOKUP(B708,Composición!$C$5:$D$1768,1,0)</f>
        <v>5110311317</v>
      </c>
      <c r="G708" s="818">
        <f>+VLOOKUP(B708,'CA FE'!$A:$A,1,0)</f>
        <v>5110311317</v>
      </c>
      <c r="H708" s="1049">
        <f>+VLOOKUP(B708,Composición!$C$4:$H$1742,5,0)-D708</f>
        <v>0</v>
      </c>
      <c r="I708" s="1311">
        <f>+VLOOKUP(B708,Composición!$C$4:$H$1742,6,0)-E708</f>
        <v>0</v>
      </c>
      <c r="J708" s="1053">
        <f t="shared" si="27"/>
        <v>-361310</v>
      </c>
    </row>
    <row r="709" spans="1:16" s="14" customFormat="1" ht="16.5" customHeight="1">
      <c r="A709" s="14" t="str">
        <f t="shared" si="26"/>
        <v>I</v>
      </c>
      <c r="B709" s="1203">
        <v>5110311329</v>
      </c>
      <c r="C709" t="s">
        <v>609</v>
      </c>
      <c r="D709" s="1308">
        <v>2574473</v>
      </c>
      <c r="E709" s="1309">
        <v>329.77</v>
      </c>
      <c r="F709" s="818">
        <f>+VLOOKUP(B709,Composición!$C$5:$D$1768,1,0)</f>
        <v>5110311329</v>
      </c>
      <c r="G709" s="818">
        <f>+VLOOKUP(B709,'CA FE'!$A:$A,1,0)</f>
        <v>5110311329</v>
      </c>
      <c r="H709" s="1049">
        <f>+VLOOKUP(B709,Composición!$C$4:$H$1742,5,0)-D709</f>
        <v>0</v>
      </c>
      <c r="I709" s="1311">
        <f>+VLOOKUP(B709,Composición!$C$4:$H$1742,6,0)-E709</f>
        <v>0</v>
      </c>
      <c r="J709" s="1053">
        <f t="shared" si="27"/>
        <v>-2574473</v>
      </c>
    </row>
    <row r="710" spans="1:16" s="14" customFormat="1" ht="16.5" customHeight="1">
      <c r="A710" s="14" t="str">
        <f t="shared" si="26"/>
        <v>I</v>
      </c>
      <c r="B710" s="1203">
        <v>5110311335</v>
      </c>
      <c r="C710" t="s">
        <v>418</v>
      </c>
      <c r="D710" s="1308">
        <v>1</v>
      </c>
      <c r="E710" s="1309">
        <v>0</v>
      </c>
      <c r="F710" s="818">
        <f>+VLOOKUP(B710,Composición!$C$5:$D$1768,1,0)</f>
        <v>5110311335</v>
      </c>
      <c r="G710" s="818">
        <f>+VLOOKUP(B710,'CA FE'!$A:$A,1,0)</f>
        <v>5110311335</v>
      </c>
      <c r="H710" s="14">
        <f>+VLOOKUP(B710,Composición!$C$4:$H$1742,5,0)</f>
        <v>1</v>
      </c>
      <c r="I710" s="14">
        <f>+VLOOKUP(B710,Composición!$C$4:$H$1742,6,0)</f>
        <v>0</v>
      </c>
      <c r="J710" s="830">
        <f t="shared" si="27"/>
        <v>-1</v>
      </c>
    </row>
    <row r="711" spans="1:16" s="14" customFormat="1" ht="16.5" customHeight="1">
      <c r="A711" s="14" t="str">
        <f t="shared" si="26"/>
        <v>I</v>
      </c>
      <c r="B711" s="1203">
        <v>5110311338</v>
      </c>
      <c r="C711" t="s">
        <v>338</v>
      </c>
      <c r="D711" s="1308">
        <v>11254283</v>
      </c>
      <c r="E711" s="1309">
        <v>1429.67</v>
      </c>
      <c r="F711" s="818">
        <f>+VLOOKUP(B711,Composición!$C$5:$D$1768,1,0)</f>
        <v>5110311338</v>
      </c>
      <c r="G711" s="818">
        <f>+VLOOKUP(B711,'CA FE'!$A:$A,1,0)</f>
        <v>5110311338</v>
      </c>
      <c r="H711" s="14">
        <f>+VLOOKUP(B711,Composición!$C$4:$H$1742,5,0)</f>
        <v>11254283</v>
      </c>
      <c r="I711" s="14">
        <f>+VLOOKUP(B711,Composición!$C$4:$H$1742,6,0)</f>
        <v>1429.67</v>
      </c>
      <c r="J711" s="830">
        <f t="shared" si="27"/>
        <v>-11252853.33</v>
      </c>
    </row>
    <row r="712" spans="1:16" s="14" customFormat="1" ht="16.5" customHeight="1">
      <c r="A712" s="14" t="str">
        <f t="shared" si="26"/>
        <v>I</v>
      </c>
      <c r="B712" s="1203">
        <v>5110311339</v>
      </c>
      <c r="C712" t="s">
        <v>2969</v>
      </c>
      <c r="D712" s="1308">
        <v>5583618</v>
      </c>
      <c r="E712" s="1309">
        <v>719.21</v>
      </c>
      <c r="F712" s="818">
        <f>+VLOOKUP(B712,Composición!$C$5:$D$1768,1,0)</f>
        <v>5110311339</v>
      </c>
      <c r="G712" s="818">
        <f>+VLOOKUP(B712,'CA FE'!$A:$A,1,0)</f>
        <v>5110311339</v>
      </c>
      <c r="H712" s="14">
        <f>+VLOOKUP(B712,Composición!$C$4:$H$1742,5,0)</f>
        <v>5583618</v>
      </c>
      <c r="I712" s="14">
        <f>+VLOOKUP(B712,Composición!$C$4:$H$1742,6,0)</f>
        <v>719.21</v>
      </c>
      <c r="J712" s="830">
        <f t="shared" si="27"/>
        <v>-5582898.79</v>
      </c>
    </row>
    <row r="713" spans="1:16" s="31" customFormat="1" ht="16.5" customHeight="1">
      <c r="A713" s="31" t="str">
        <f t="shared" si="26"/>
        <v>NI</v>
      </c>
      <c r="B713" s="1220">
        <v>511032</v>
      </c>
      <c r="C713" s="1221" t="s">
        <v>106</v>
      </c>
      <c r="D713" s="1222">
        <v>228401350</v>
      </c>
      <c r="E713" s="1223">
        <v>29432.06</v>
      </c>
      <c r="F713" s="1058">
        <f>+VLOOKUP(B713,Composición!$C$5:$D$1768,1,0)</f>
        <v>511032</v>
      </c>
      <c r="G713" s="1058">
        <f>+VLOOKUP(B713,'CA FE'!$A:$A,1,0)</f>
        <v>511032</v>
      </c>
      <c r="H713" s="31">
        <f>+VLOOKUP(B713,Composición!$C$4:$H$1742,5,0)</f>
        <v>0</v>
      </c>
      <c r="I713" s="31">
        <f>+VLOOKUP(B713,Composición!$C$4:$H$1742,6,0)</f>
        <v>0</v>
      </c>
      <c r="J713" s="827">
        <f t="shared" si="27"/>
        <v>-228401350</v>
      </c>
      <c r="M713" s="14"/>
      <c r="N713" s="14"/>
      <c r="O713" s="14"/>
      <c r="P713" s="14"/>
    </row>
    <row r="714" spans="1:16" s="31" customFormat="1" ht="16.5" customHeight="1">
      <c r="A714" s="31" t="str">
        <f t="shared" si="26"/>
        <v>NI</v>
      </c>
      <c r="B714" s="1220">
        <v>5110321</v>
      </c>
      <c r="C714" s="1221" t="s">
        <v>106</v>
      </c>
      <c r="D714" s="1222">
        <v>228401350</v>
      </c>
      <c r="E714" s="1223">
        <v>29432.06</v>
      </c>
      <c r="F714" s="1058">
        <f>+VLOOKUP(B714,Composición!$C$5:$D$1768,1,0)</f>
        <v>5110321</v>
      </c>
      <c r="G714" s="1058">
        <f>+VLOOKUP(B714,'CA FE'!$A:$A,1,0)</f>
        <v>5110321</v>
      </c>
      <c r="H714" s="31">
        <f>+VLOOKUP(B714,Composición!$C$4:$H$1742,5,0)</f>
        <v>0</v>
      </c>
      <c r="I714" s="31">
        <f>+VLOOKUP(B714,Composición!$C$4:$H$1742,6,0)</f>
        <v>0</v>
      </c>
      <c r="J714" s="827">
        <f t="shared" si="27"/>
        <v>-228401350</v>
      </c>
      <c r="M714" s="14"/>
      <c r="N714" s="14"/>
      <c r="O714" s="14"/>
      <c r="P714" s="14"/>
    </row>
    <row r="715" spans="1:16" s="31" customFormat="1" ht="16.5" customHeight="1">
      <c r="A715" s="31" t="str">
        <f t="shared" si="26"/>
        <v>NI</v>
      </c>
      <c r="B715" s="1220">
        <v>51103211</v>
      </c>
      <c r="C715" s="1221" t="s">
        <v>106</v>
      </c>
      <c r="D715" s="1222">
        <v>228401350</v>
      </c>
      <c r="E715" s="1223">
        <v>29432.06</v>
      </c>
      <c r="F715" s="1058">
        <f>+VLOOKUP(B715,Composición!$C$5:$D$1768,1,0)</f>
        <v>51103211</v>
      </c>
      <c r="G715" s="1058">
        <f>+VLOOKUP(B715,'CA FE'!$A:$A,1,0)</f>
        <v>51103211</v>
      </c>
      <c r="H715" s="1048">
        <f>+VLOOKUP(B715,Composición!$C$4:$H$1742,5,0)-D715</f>
        <v>-228401350</v>
      </c>
      <c r="I715" s="1214">
        <f>+VLOOKUP(B715,Composición!$C$4:$H$1742,6,0)-E715</f>
        <v>-29432.06</v>
      </c>
      <c r="J715" s="827">
        <f t="shared" si="27"/>
        <v>-228430782.06</v>
      </c>
      <c r="M715" s="14"/>
      <c r="N715" s="14"/>
      <c r="O715" s="14"/>
      <c r="P715" s="14"/>
    </row>
    <row r="716" spans="1:16" s="14" customFormat="1" ht="16.5" customHeight="1">
      <c r="A716" s="14" t="str">
        <f t="shared" si="26"/>
        <v>I</v>
      </c>
      <c r="B716" s="1203">
        <v>5110321102</v>
      </c>
      <c r="C716" t="s">
        <v>421</v>
      </c>
      <c r="D716" s="1308">
        <v>228401350</v>
      </c>
      <c r="E716" s="1309">
        <v>29432.06</v>
      </c>
      <c r="F716" s="818">
        <f>+VLOOKUP(B716,Composición!$C$5:$D$1768,1,0)</f>
        <v>5110321102</v>
      </c>
      <c r="G716" s="818">
        <f>+VLOOKUP(B716,'CA FE'!$A:$A,1,0)</f>
        <v>5110321102</v>
      </c>
      <c r="H716" s="1049">
        <f>+VLOOKUP(B716,Composición!$C$4:$H$1742,5,0)-D716</f>
        <v>0</v>
      </c>
      <c r="I716" s="1311">
        <f>+VLOOKUP(B716,Composición!$C$4:$H$1742,6,0)-E716</f>
        <v>0</v>
      </c>
      <c r="J716" s="830">
        <f t="shared" si="27"/>
        <v>-228401350</v>
      </c>
    </row>
    <row r="717" spans="1:16" s="31" customFormat="1" ht="16.5" customHeight="1">
      <c r="A717" s="31" t="str">
        <f t="shared" si="26"/>
        <v>NI</v>
      </c>
      <c r="B717" s="1220">
        <v>51104</v>
      </c>
      <c r="C717" s="1221" t="s">
        <v>422</v>
      </c>
      <c r="D717" s="1222">
        <v>3092730</v>
      </c>
      <c r="E717" s="1223">
        <v>425.14</v>
      </c>
      <c r="F717" s="1058">
        <f>+VLOOKUP(B717,Composición!$C$5:$D$1768,1,0)</f>
        <v>51104</v>
      </c>
      <c r="G717" s="1058">
        <f>+VLOOKUP(B717,'CA FE'!$A:$A,1,0)</f>
        <v>51104</v>
      </c>
      <c r="H717" s="1048">
        <f>+VLOOKUP(B717,Composición!$C$4:$H$1742,5,0)-D717</f>
        <v>-3092730</v>
      </c>
      <c r="I717" s="1214">
        <f>+VLOOKUP(B717,Composición!$C$4:$H$1742,6,0)-E717</f>
        <v>-425.14</v>
      </c>
      <c r="J717" s="827">
        <f t="shared" si="27"/>
        <v>-3093155.14</v>
      </c>
      <c r="M717" s="14"/>
      <c r="N717" s="14"/>
      <c r="O717" s="14"/>
      <c r="P717" s="14"/>
    </row>
    <row r="718" spans="1:16" s="31" customFormat="1" ht="16.5" customHeight="1">
      <c r="A718" s="31" t="str">
        <f t="shared" si="26"/>
        <v>NI</v>
      </c>
      <c r="B718" s="1220">
        <v>511041</v>
      </c>
      <c r="C718" s="1221" t="s">
        <v>422</v>
      </c>
      <c r="D718" s="1222">
        <v>3092730</v>
      </c>
      <c r="E718" s="1223">
        <v>425.14</v>
      </c>
      <c r="F718" s="1058">
        <f>+VLOOKUP(B718,Composición!$C$5:$D$1768,1,0)</f>
        <v>511041</v>
      </c>
      <c r="G718" s="1058">
        <f>+VLOOKUP(B718,'CA FE'!$A:$A,1,0)</f>
        <v>511041</v>
      </c>
      <c r="H718" s="1048">
        <f>+VLOOKUP(B718,Composición!$C$4:$H$1742,5,0)-D718</f>
        <v>-3092730</v>
      </c>
      <c r="I718" s="1214">
        <f>+VLOOKUP(B718,Composición!$C$4:$H$1742,6,0)-E718</f>
        <v>-425.14</v>
      </c>
      <c r="J718" s="827">
        <f t="shared" si="27"/>
        <v>-3093155.14</v>
      </c>
      <c r="M718" s="14"/>
      <c r="N718" s="14"/>
      <c r="O718" s="14"/>
      <c r="P718" s="14"/>
    </row>
    <row r="719" spans="1:16" s="31" customFormat="1" ht="16.5" customHeight="1">
      <c r="A719" s="31" t="str">
        <f t="shared" si="26"/>
        <v>NI</v>
      </c>
      <c r="B719" s="1220">
        <v>5110411</v>
      </c>
      <c r="C719" s="1221" t="s">
        <v>422</v>
      </c>
      <c r="D719" s="1222">
        <v>3092730</v>
      </c>
      <c r="E719" s="1223">
        <v>425.14</v>
      </c>
      <c r="F719" s="1058">
        <f>+VLOOKUP(B719,Composición!$C$5:$D$1768,1,0)</f>
        <v>5110411</v>
      </c>
      <c r="G719" s="1058">
        <f>+VLOOKUP(B719,'CA FE'!$A:$A,1,0)</f>
        <v>5110411</v>
      </c>
      <c r="H719" s="31">
        <f>+VLOOKUP(B719,Composición!$C$4:$H$1742,5,0)</f>
        <v>0</v>
      </c>
      <c r="I719" s="31">
        <f>+VLOOKUP(B719,Composición!$C$4:$H$1742,6,0)</f>
        <v>0</v>
      </c>
      <c r="J719" s="827">
        <f t="shared" si="27"/>
        <v>-3092730</v>
      </c>
      <c r="M719" s="14"/>
      <c r="N719" s="14"/>
      <c r="O719" s="14"/>
      <c r="P719" s="14"/>
    </row>
    <row r="720" spans="1:16" s="31" customFormat="1" ht="16.5" customHeight="1">
      <c r="A720" s="31" t="str">
        <f t="shared" si="26"/>
        <v>NI</v>
      </c>
      <c r="B720" s="1220">
        <v>51104111</v>
      </c>
      <c r="C720" s="1221" t="s">
        <v>422</v>
      </c>
      <c r="D720" s="1222">
        <v>3092730</v>
      </c>
      <c r="E720" s="1223">
        <v>425.14</v>
      </c>
      <c r="F720" s="1058">
        <f>+VLOOKUP(B720,Composición!$C$5:$D$1768,1,0)</f>
        <v>51104111</v>
      </c>
      <c r="G720" s="1058">
        <f>+VLOOKUP(B720,'CA FE'!$A:$A,1,0)</f>
        <v>51104111</v>
      </c>
      <c r="H720" s="31">
        <f>+VLOOKUP(B720,Composición!$C$4:$H$1742,5,0)</f>
        <v>0</v>
      </c>
      <c r="I720" s="31">
        <f>+VLOOKUP(B720,Composición!$C$4:$H$1742,6,0)</f>
        <v>0</v>
      </c>
      <c r="J720" s="827">
        <f t="shared" si="27"/>
        <v>-3092730</v>
      </c>
      <c r="M720" s="14"/>
      <c r="N720" s="14"/>
      <c r="O720" s="14"/>
      <c r="P720" s="14"/>
    </row>
    <row r="721" spans="1:16" s="14" customFormat="1" ht="16.5" customHeight="1">
      <c r="A721" s="14" t="str">
        <f t="shared" si="26"/>
        <v>I</v>
      </c>
      <c r="B721" s="1203">
        <v>5110411101</v>
      </c>
      <c r="C721" t="s">
        <v>423</v>
      </c>
      <c r="D721" s="1308">
        <v>3092730</v>
      </c>
      <c r="E721" s="1309">
        <v>425.14</v>
      </c>
      <c r="F721" s="818">
        <f>+VLOOKUP(B721,Composición!$C$5:$D$1768,1,0)</f>
        <v>5110411101</v>
      </c>
      <c r="G721" s="818">
        <f>+VLOOKUP(B721,'CA FE'!$A:$A,1,0)</f>
        <v>5110411101</v>
      </c>
      <c r="H721" s="14">
        <f>+VLOOKUP(B721,Composición!$C$4:$H$1742,5,0)</f>
        <v>3092730</v>
      </c>
      <c r="I721" s="14">
        <f>+VLOOKUP(B721,Composición!$C$4:$H$1742,6,0)</f>
        <v>425.14</v>
      </c>
      <c r="J721" s="830">
        <f t="shared" si="27"/>
        <v>-3092304.86</v>
      </c>
    </row>
    <row r="722" spans="1:16" s="31" customFormat="1" ht="16.5" customHeight="1">
      <c r="A722" s="31" t="str">
        <f t="shared" si="26"/>
        <v>NI</v>
      </c>
      <c r="B722" s="1220">
        <v>51105</v>
      </c>
      <c r="C722" s="1221" t="s">
        <v>424</v>
      </c>
      <c r="D722" s="1222">
        <v>2640353720</v>
      </c>
      <c r="E722" s="1223">
        <v>0</v>
      </c>
      <c r="F722" s="1058">
        <f>+VLOOKUP(B722,Composición!$C$5:$D$1768,1,0)</f>
        <v>51105</v>
      </c>
      <c r="G722" s="1058">
        <f>+VLOOKUP(B722,'CA FE'!$A:$A,1,0)</f>
        <v>51105</v>
      </c>
      <c r="H722" s="31">
        <f>+VLOOKUP(B722,Composición!$C$4:$H$1742,5,0)</f>
        <v>0</v>
      </c>
      <c r="I722" s="31">
        <f>+VLOOKUP(B722,Composición!$C$4:$H$1742,6,0)</f>
        <v>0</v>
      </c>
      <c r="J722" s="827">
        <f t="shared" si="27"/>
        <v>-2640353720</v>
      </c>
      <c r="M722" s="14"/>
      <c r="N722" s="14"/>
      <c r="O722" s="14"/>
      <c r="P722" s="14"/>
    </row>
    <row r="723" spans="1:16" s="31" customFormat="1" ht="16.5" customHeight="1">
      <c r="A723" s="31" t="str">
        <f t="shared" si="26"/>
        <v>NI</v>
      </c>
      <c r="B723" s="1220">
        <v>511051</v>
      </c>
      <c r="C723" s="1221" t="s">
        <v>424</v>
      </c>
      <c r="D723" s="1222">
        <v>2640353720</v>
      </c>
      <c r="E723" s="1223">
        <v>0</v>
      </c>
      <c r="F723" s="1058">
        <f>+VLOOKUP(B723,Composición!$C$5:$D$1768,1,0)</f>
        <v>511051</v>
      </c>
      <c r="G723" s="1058">
        <f>+VLOOKUP(B723,'CA FE'!$A:$A,1,0)</f>
        <v>511051</v>
      </c>
      <c r="H723" s="31">
        <f>+VLOOKUP(B723,Composición!$C$4:$H$1742,5,0)</f>
        <v>0</v>
      </c>
      <c r="I723" s="31">
        <f>+VLOOKUP(B723,Composición!$C$4:$H$1742,6,0)</f>
        <v>0</v>
      </c>
      <c r="J723" s="827">
        <f t="shared" si="27"/>
        <v>-2640353720</v>
      </c>
      <c r="M723" s="14"/>
      <c r="N723" s="14"/>
      <c r="O723" s="14"/>
      <c r="P723" s="14"/>
    </row>
    <row r="724" spans="1:16" s="31" customFormat="1" ht="16.5" customHeight="1">
      <c r="A724" s="31" t="str">
        <f t="shared" si="26"/>
        <v>NI</v>
      </c>
      <c r="B724" s="1220">
        <v>5110511</v>
      </c>
      <c r="C724" s="1221" t="s">
        <v>424</v>
      </c>
      <c r="D724" s="1222">
        <v>2640353720</v>
      </c>
      <c r="E724" s="1223">
        <v>0</v>
      </c>
      <c r="F724" s="1058">
        <f>+VLOOKUP(B724,Composición!$C$5:$D$1768,1,0)</f>
        <v>5110511</v>
      </c>
      <c r="G724" s="1058">
        <f>+VLOOKUP(B724,'CA FE'!$A:$A,1,0)</f>
        <v>5110511</v>
      </c>
      <c r="H724" s="1048">
        <f>+VLOOKUP(B724,Composición!$C$4:$H$1742,5,0)-D724</f>
        <v>-2640353720</v>
      </c>
      <c r="I724" s="1214">
        <f>+VLOOKUP(B724,Composición!$C$4:$H$1742,6,0)-E724</f>
        <v>0</v>
      </c>
      <c r="J724" s="827">
        <f t="shared" si="27"/>
        <v>-2640353720</v>
      </c>
      <c r="M724" s="14"/>
      <c r="N724" s="14"/>
      <c r="O724" s="14"/>
      <c r="P724" s="14"/>
    </row>
    <row r="725" spans="1:16" s="31" customFormat="1" ht="16.5" customHeight="1">
      <c r="A725" s="31" t="str">
        <f t="shared" si="26"/>
        <v>NI</v>
      </c>
      <c r="B725" s="1220">
        <v>51105111</v>
      </c>
      <c r="C725" s="1221" t="s">
        <v>424</v>
      </c>
      <c r="D725" s="1222">
        <v>2640353720</v>
      </c>
      <c r="E725" s="1223">
        <v>0</v>
      </c>
      <c r="F725" s="1058">
        <f>+VLOOKUP(B725,Composición!$C$5:$D$1768,1,0)</f>
        <v>51105111</v>
      </c>
      <c r="G725" s="1058">
        <f>+VLOOKUP(B725,'CA FE'!$A:$A,1,0)</f>
        <v>51105111</v>
      </c>
      <c r="H725" s="1048">
        <f>+VLOOKUP(B725,Composición!$C$4:$H$1742,5,0)-D725</f>
        <v>-2640353720</v>
      </c>
      <c r="I725" s="1214">
        <f>+VLOOKUP(B725,Composición!$C$4:$H$1742,6,0)-E725</f>
        <v>0</v>
      </c>
      <c r="J725" s="827">
        <f t="shared" si="27"/>
        <v>-2640353720</v>
      </c>
      <c r="M725" s="14"/>
      <c r="N725" s="14"/>
      <c r="O725" s="14"/>
      <c r="P725" s="14"/>
    </row>
    <row r="726" spans="1:16" s="14" customFormat="1" ht="16.5" customHeight="1">
      <c r="A726" s="14" t="str">
        <f t="shared" si="26"/>
        <v>I</v>
      </c>
      <c r="B726" s="1203">
        <v>5110511101</v>
      </c>
      <c r="C726" t="s">
        <v>379</v>
      </c>
      <c r="D726" s="1308">
        <v>229370770</v>
      </c>
      <c r="E726" s="1309">
        <v>0</v>
      </c>
      <c r="F726" s="818">
        <f>+VLOOKUP(B726,Composición!$C$5:$D$1768,1,0)</f>
        <v>5110511101</v>
      </c>
      <c r="G726" s="818">
        <f>+VLOOKUP(B726,'CA FE'!$A:$A,1,0)</f>
        <v>5110511101</v>
      </c>
      <c r="H726" s="1049">
        <f>+VLOOKUP(B726,Composición!$C$4:$H$1742,5,0)-D726</f>
        <v>0</v>
      </c>
      <c r="I726" s="1311">
        <f>+VLOOKUP(B726,Composición!$C$4:$H$1742,6,0)-E726</f>
        <v>0</v>
      </c>
      <c r="J726" s="830">
        <f t="shared" si="27"/>
        <v>-229370770</v>
      </c>
    </row>
    <row r="727" spans="1:16" s="14" customFormat="1" ht="16.5" customHeight="1">
      <c r="A727" s="14" t="str">
        <f t="shared" si="26"/>
        <v>I</v>
      </c>
      <c r="B727" s="1203">
        <v>5110511102</v>
      </c>
      <c r="C727" t="s">
        <v>380</v>
      </c>
      <c r="D727" s="1308">
        <v>2410982950</v>
      </c>
      <c r="E727" s="1309">
        <v>0</v>
      </c>
      <c r="F727" s="818">
        <f>+VLOOKUP(B727,Composición!$C$5:$D$1768,1,0)</f>
        <v>5110511102</v>
      </c>
      <c r="G727" s="818">
        <f>+VLOOKUP(B727,'CA FE'!$A:$A,1,0)</f>
        <v>5110511102</v>
      </c>
      <c r="H727" s="1049">
        <f>+VLOOKUP(B727,Composición!$C$4:$H$1742,5,0)-D727</f>
        <v>0</v>
      </c>
      <c r="I727" s="1311">
        <f>+VLOOKUP(B727,Composición!$C$4:$H$1742,6,0)-E727</f>
        <v>0</v>
      </c>
      <c r="J727" s="830">
        <f t="shared" si="27"/>
        <v>-2410982950</v>
      </c>
    </row>
    <row r="728" spans="1:16" s="31" customFormat="1" ht="16.5" customHeight="1">
      <c r="A728" s="31" t="str">
        <f t="shared" si="26"/>
        <v>NI</v>
      </c>
      <c r="B728" s="1220">
        <v>512</v>
      </c>
      <c r="C728" s="1221" t="s">
        <v>425</v>
      </c>
      <c r="D728" s="1222">
        <v>399255835</v>
      </c>
      <c r="E728" s="1223">
        <v>51998.559999999998</v>
      </c>
      <c r="F728" s="1058">
        <f>+VLOOKUP(B728,Composición!$C$5:$D$1768,1,0)</f>
        <v>512</v>
      </c>
      <c r="G728" s="1058">
        <f>+VLOOKUP(B728,'CA FE'!$A:$A,1,0)</f>
        <v>512</v>
      </c>
      <c r="H728" s="1048">
        <f>+VLOOKUP(B728,Composición!$C$4:$H$1742,5,0)-D728</f>
        <v>-399255835</v>
      </c>
      <c r="I728" s="1214">
        <f>+VLOOKUP(B728,Composición!$C$4:$H$1742,6,0)-E728</f>
        <v>-51998.559999999998</v>
      </c>
      <c r="J728" s="1054">
        <f t="shared" si="27"/>
        <v>-399307833.56</v>
      </c>
      <c r="M728" s="14"/>
      <c r="N728" s="14"/>
      <c r="O728" s="14"/>
      <c r="P728" s="14"/>
    </row>
    <row r="729" spans="1:16" s="31" customFormat="1" ht="16.5" customHeight="1">
      <c r="A729" s="31" t="str">
        <f t="shared" si="26"/>
        <v>NI</v>
      </c>
      <c r="B729" s="1220">
        <v>51201</v>
      </c>
      <c r="C729" s="1221" t="s">
        <v>426</v>
      </c>
      <c r="D729" s="1222">
        <v>399255835</v>
      </c>
      <c r="E729" s="1223">
        <v>51998.559999999998</v>
      </c>
      <c r="F729" s="1058">
        <f>+VLOOKUP(B729,Composición!$C$5:$D$1768,1,0)</f>
        <v>51201</v>
      </c>
      <c r="G729" s="1058">
        <f>+VLOOKUP(B729,'CA FE'!$A:$A,1,0)</f>
        <v>51201</v>
      </c>
      <c r="H729" s="1048">
        <f>+VLOOKUP(B729,Composición!$C$4:$H$1742,5,0)-D729</f>
        <v>-399255835</v>
      </c>
      <c r="I729" s="1214">
        <f>+VLOOKUP(B729,Composición!$C$4:$H$1742,6,0)-E729</f>
        <v>-51998.559999999998</v>
      </c>
      <c r="J729" s="1054">
        <f t="shared" si="27"/>
        <v>-399307833.56</v>
      </c>
      <c r="M729" s="14"/>
      <c r="N729" s="14"/>
      <c r="O729" s="14"/>
      <c r="P729" s="14"/>
    </row>
    <row r="730" spans="1:16" s="31" customFormat="1" ht="16.5" customHeight="1">
      <c r="A730" s="31" t="str">
        <f t="shared" si="26"/>
        <v>NI</v>
      </c>
      <c r="B730" s="1220">
        <v>512011</v>
      </c>
      <c r="C730" s="1221" t="s">
        <v>426</v>
      </c>
      <c r="D730" s="1222">
        <v>399255835</v>
      </c>
      <c r="E730" s="1223">
        <v>51998.559999999998</v>
      </c>
      <c r="F730" s="1058">
        <f>+VLOOKUP(B730,Composición!$C$5:$D$1768,1,0)</f>
        <v>512011</v>
      </c>
      <c r="G730" s="1058">
        <f>+VLOOKUP(B730,'CA FE'!$A:$A,1,0)</f>
        <v>512011</v>
      </c>
      <c r="H730" s="31">
        <f>+VLOOKUP(B730,Composición!$C$4:$H$1742,5,0)</f>
        <v>0</v>
      </c>
      <c r="I730" s="31">
        <f>+VLOOKUP(B730,Composición!$C$4:$H$1742,6,0)</f>
        <v>0</v>
      </c>
      <c r="J730" s="1054">
        <f t="shared" si="27"/>
        <v>-399255835</v>
      </c>
      <c r="M730" s="14"/>
      <c r="N730" s="14"/>
      <c r="O730" s="14"/>
      <c r="P730" s="14"/>
    </row>
    <row r="731" spans="1:16" s="31" customFormat="1" ht="16.5" customHeight="1">
      <c r="A731" s="31" t="str">
        <f t="shared" si="26"/>
        <v>NI</v>
      </c>
      <c r="B731" s="1220">
        <v>5120111</v>
      </c>
      <c r="C731" s="1221" t="s">
        <v>426</v>
      </c>
      <c r="D731" s="1222">
        <v>399255835</v>
      </c>
      <c r="E731" s="1223">
        <v>51998.559999999998</v>
      </c>
      <c r="F731" s="1058">
        <f>+VLOOKUP(B731,Composición!$C$5:$D$1768,1,0)</f>
        <v>5120111</v>
      </c>
      <c r="G731" s="1058">
        <f>+VLOOKUP(B731,'CA FE'!$A:$A,1,0)</f>
        <v>5120111</v>
      </c>
      <c r="H731" s="31">
        <f>+VLOOKUP(B731,Composición!$C$4:$H$1742,5,0)</f>
        <v>0</v>
      </c>
      <c r="I731" s="31">
        <f>+VLOOKUP(B731,Composición!$C$4:$H$1742,6,0)</f>
        <v>0</v>
      </c>
      <c r="J731" s="1054">
        <f t="shared" si="27"/>
        <v>-399255835</v>
      </c>
      <c r="M731" s="14"/>
      <c r="N731" s="14"/>
      <c r="O731" s="14"/>
      <c r="P731" s="14"/>
    </row>
    <row r="732" spans="1:16" s="31" customFormat="1" ht="16.5" customHeight="1">
      <c r="A732" s="31" t="str">
        <f t="shared" si="26"/>
        <v>NI</v>
      </c>
      <c r="B732" s="1220">
        <v>51201111</v>
      </c>
      <c r="C732" s="1221" t="s">
        <v>426</v>
      </c>
      <c r="D732" s="1222">
        <v>399255835</v>
      </c>
      <c r="E732" s="1223">
        <v>51998.559999999998</v>
      </c>
      <c r="F732" s="1058">
        <f>+VLOOKUP(B732,Composición!$C$5:$D$1768,1,0)</f>
        <v>51201111</v>
      </c>
      <c r="G732" s="1058">
        <f>+VLOOKUP(B732,'CA FE'!$A:$A,1,0)</f>
        <v>51201111</v>
      </c>
      <c r="H732" s="31">
        <f>+VLOOKUP(B732,Composición!$C$4:$H$1742,5,0)</f>
        <v>0</v>
      </c>
      <c r="I732" s="31">
        <f>+VLOOKUP(B732,Composición!$C$4:$H$1742,6,0)</f>
        <v>0</v>
      </c>
      <c r="J732" s="1054">
        <f t="shared" si="27"/>
        <v>-399255835</v>
      </c>
      <c r="M732" s="14"/>
      <c r="N732" s="14"/>
      <c r="O732" s="14"/>
      <c r="P732" s="14"/>
    </row>
    <row r="733" spans="1:16" s="14" customFormat="1" ht="16.5" customHeight="1">
      <c r="A733" s="14" t="str">
        <f t="shared" si="26"/>
        <v>I</v>
      </c>
      <c r="B733" s="1203">
        <v>5120111101</v>
      </c>
      <c r="C733" t="s">
        <v>427</v>
      </c>
      <c r="D733" s="1308">
        <v>300115636</v>
      </c>
      <c r="E733" s="1309">
        <v>38980.339999999997</v>
      </c>
      <c r="F733" s="818">
        <f>+VLOOKUP(B733,Composición!$C$5:$D$1768,1,0)</f>
        <v>5120111101</v>
      </c>
      <c r="G733" s="818">
        <f>+VLOOKUP(B733,'CA FE'!$A:$A,1,0)</f>
        <v>5120111101</v>
      </c>
      <c r="H733" s="14">
        <f>+VLOOKUP(B733,Composición!$C$4:$H$1742,5,0)</f>
        <v>300115636</v>
      </c>
      <c r="I733" s="14">
        <f>+VLOOKUP(B733,Composición!$C$4:$H$1742,6,0)</f>
        <v>38980.339999999997</v>
      </c>
      <c r="J733" s="830">
        <f t="shared" si="27"/>
        <v>-300076655.66000003</v>
      </c>
    </row>
    <row r="734" spans="1:16" s="14" customFormat="1" ht="16.5" customHeight="1">
      <c r="A734" s="14" t="str">
        <f t="shared" si="26"/>
        <v>I</v>
      </c>
      <c r="B734" s="1203">
        <v>5120111103</v>
      </c>
      <c r="C734" t="s">
        <v>428</v>
      </c>
      <c r="D734" s="1308">
        <v>48127656</v>
      </c>
      <c r="E734" s="1309">
        <v>6375.7</v>
      </c>
      <c r="F734" s="818">
        <f>+VLOOKUP(B734,Composición!$C$5:$D$1768,1,0)</f>
        <v>5120111103</v>
      </c>
      <c r="G734" s="818">
        <f>+VLOOKUP(B734,'CA FE'!$A:$A,1,0)</f>
        <v>5120111103</v>
      </c>
      <c r="H734" s="1049">
        <f>+VLOOKUP(B734,Composición!$C$4:$H$1742,5,0)-D734</f>
        <v>0</v>
      </c>
      <c r="I734" s="1311">
        <f>+VLOOKUP(B734,Composición!$C$4:$H$1742,6,0)-E734</f>
        <v>0</v>
      </c>
      <c r="J734" s="1053">
        <f t="shared" si="27"/>
        <v>-48127656</v>
      </c>
    </row>
    <row r="735" spans="1:16" s="14" customFormat="1" ht="16.5" customHeight="1">
      <c r="A735" s="14" t="str">
        <f t="shared" si="26"/>
        <v>I</v>
      </c>
      <c r="B735" s="1203">
        <v>5120111104</v>
      </c>
      <c r="C735" t="s">
        <v>429</v>
      </c>
      <c r="D735" s="1308">
        <v>41412543</v>
      </c>
      <c r="E735" s="1309">
        <v>5409.58</v>
      </c>
      <c r="F735" s="818">
        <f>+VLOOKUP(B735,Composición!$C$5:$D$1768,1,0)</f>
        <v>5120111104</v>
      </c>
      <c r="G735" s="818">
        <f>+VLOOKUP(B735,'CA FE'!$A:$A,1,0)</f>
        <v>5120111104</v>
      </c>
      <c r="H735" s="1049">
        <f>+VLOOKUP(B735,Composición!$C$4:$H$1742,5,0)-D735</f>
        <v>0</v>
      </c>
      <c r="I735" s="1311">
        <f>+VLOOKUP(B735,Composición!$C$4:$H$1742,6,0)-E735</f>
        <v>0</v>
      </c>
      <c r="J735" s="830">
        <f t="shared" si="27"/>
        <v>-41412543</v>
      </c>
    </row>
    <row r="736" spans="1:16" s="14" customFormat="1" ht="16.5" customHeight="1">
      <c r="A736" s="14" t="str">
        <f t="shared" si="26"/>
        <v>I</v>
      </c>
      <c r="B736" s="1203">
        <v>5120111105</v>
      </c>
      <c r="C736" t="s">
        <v>430</v>
      </c>
      <c r="D736" s="1308">
        <v>9600000</v>
      </c>
      <c r="E736" s="1309">
        <v>1232.94</v>
      </c>
      <c r="F736" s="818">
        <f>+VLOOKUP(B736,Composición!$C$5:$D$1768,1,0)</f>
        <v>5120111105</v>
      </c>
      <c r="G736" s="818">
        <f>+VLOOKUP(B736,'CA FE'!$A:$A,1,0)</f>
        <v>5120111105</v>
      </c>
      <c r="H736" s="1049">
        <f>+VLOOKUP(B736,Composición!$C$4:$H$1742,5,0)-D736</f>
        <v>0</v>
      </c>
      <c r="I736" s="1311">
        <f>+VLOOKUP(B736,Composición!$C$4:$H$1742,6,0)-E736</f>
        <v>0</v>
      </c>
      <c r="J736" s="830">
        <f t="shared" si="27"/>
        <v>-9600000</v>
      </c>
    </row>
    <row r="737" spans="1:16" s="31" customFormat="1" ht="16.5" customHeight="1">
      <c r="A737" s="31" t="str">
        <f t="shared" si="26"/>
        <v>NI</v>
      </c>
      <c r="B737" s="1220">
        <v>513</v>
      </c>
      <c r="C737" s="1221" t="s">
        <v>431</v>
      </c>
      <c r="D737" s="1222">
        <v>13653938395</v>
      </c>
      <c r="E737" s="1223">
        <v>1806009.7</v>
      </c>
      <c r="F737" s="1058">
        <f>+VLOOKUP(B737,Composición!$C$5:$D$1768,1,0)</f>
        <v>513</v>
      </c>
      <c r="G737" s="1058">
        <f>+VLOOKUP(B737,'CA FE'!$A:$A,1,0)</f>
        <v>513</v>
      </c>
      <c r="H737" s="1048">
        <f>+VLOOKUP(B737,Composición!$C$4:$H$1742,5,0)-D737</f>
        <v>-13653938395</v>
      </c>
      <c r="I737" s="1214">
        <f>+VLOOKUP(B737,Composición!$C$4:$H$1742,6,0)-E737</f>
        <v>-1806009.7</v>
      </c>
      <c r="J737" s="827">
        <f t="shared" si="27"/>
        <v>-13655744404.700001</v>
      </c>
      <c r="M737" s="14"/>
      <c r="N737" s="14"/>
      <c r="O737" s="14"/>
      <c r="P737" s="14"/>
    </row>
    <row r="738" spans="1:16" s="31" customFormat="1" ht="16.5" customHeight="1">
      <c r="A738" s="31" t="str">
        <f t="shared" si="26"/>
        <v>NI</v>
      </c>
      <c r="B738" s="1220">
        <v>51301</v>
      </c>
      <c r="C738" s="1221" t="s">
        <v>432</v>
      </c>
      <c r="D738" s="1222">
        <v>4699268224</v>
      </c>
      <c r="E738" s="1223">
        <v>621096.21</v>
      </c>
      <c r="F738" s="1058">
        <f>+VLOOKUP(B738,Composición!$C$5:$D$1768,1,0)</f>
        <v>51301</v>
      </c>
      <c r="G738" s="1058">
        <f>+VLOOKUP(B738,'CA FE'!$A:$A,1,0)</f>
        <v>51301</v>
      </c>
      <c r="H738" s="1048">
        <f>+VLOOKUP(B738,Composición!$C$4:$H$1742,5,0)-D738</f>
        <v>-4699268224</v>
      </c>
      <c r="I738" s="1214">
        <f>+VLOOKUP(B738,Composición!$C$4:$H$1742,6,0)-E738</f>
        <v>-621096.21</v>
      </c>
      <c r="J738" s="827">
        <f t="shared" si="27"/>
        <v>-4699889320.21</v>
      </c>
      <c r="M738" s="14"/>
      <c r="N738" s="14"/>
      <c r="O738" s="14"/>
      <c r="P738" s="14"/>
    </row>
    <row r="739" spans="1:16" s="31" customFormat="1" ht="16.5" customHeight="1">
      <c r="A739" s="31" t="str">
        <f t="shared" si="26"/>
        <v>NI</v>
      </c>
      <c r="B739" s="1220">
        <v>513011</v>
      </c>
      <c r="C739" s="1221" t="s">
        <v>432</v>
      </c>
      <c r="D739" s="1222">
        <v>4699268224</v>
      </c>
      <c r="E739" s="1223">
        <v>621096.21</v>
      </c>
      <c r="F739" s="1058">
        <f>+VLOOKUP(B739,Composición!$C$5:$D$1768,1,0)</f>
        <v>513011</v>
      </c>
      <c r="G739" s="1058">
        <f>+VLOOKUP(B739,'CA FE'!$A:$A,1,0)</f>
        <v>513011</v>
      </c>
      <c r="H739" s="1048">
        <f>+VLOOKUP(B739,Composición!$C$4:$H$1742,5,0)-D739</f>
        <v>-4699268224</v>
      </c>
      <c r="I739" s="1214">
        <f>+VLOOKUP(B739,Composición!$C$4:$H$1742,6,0)-E739</f>
        <v>-621096.21</v>
      </c>
      <c r="J739" s="1054">
        <f t="shared" si="27"/>
        <v>-4699889320.21</v>
      </c>
      <c r="M739" s="14"/>
      <c r="N739" s="14"/>
      <c r="O739" s="14"/>
      <c r="P739" s="14"/>
    </row>
    <row r="740" spans="1:16" s="31" customFormat="1" ht="16.5" customHeight="1">
      <c r="A740" s="31" t="str">
        <f t="shared" si="26"/>
        <v>NI</v>
      </c>
      <c r="B740" s="1220">
        <v>5130111</v>
      </c>
      <c r="C740" s="1221" t="s">
        <v>432</v>
      </c>
      <c r="D740" s="1222">
        <v>4699268224</v>
      </c>
      <c r="E740" s="1223">
        <v>621096.21</v>
      </c>
      <c r="F740" s="1058">
        <f>+VLOOKUP(B740,Composición!$C$5:$D$1768,1,0)</f>
        <v>5130111</v>
      </c>
      <c r="G740" s="1058">
        <f>+VLOOKUP(B740,'CA FE'!$A:$A,1,0)</f>
        <v>5130111</v>
      </c>
      <c r="H740" s="1048">
        <f>+VLOOKUP(B740,Composición!$C$4:$H$1742,5,0)-D740</f>
        <v>-4699268224</v>
      </c>
      <c r="I740" s="1214">
        <f>+VLOOKUP(B740,Composición!$C$4:$H$1742,6,0)-E740</f>
        <v>-621096.21</v>
      </c>
      <c r="J740" s="827">
        <f t="shared" si="27"/>
        <v>-4699889320.21</v>
      </c>
      <c r="M740" s="14"/>
      <c r="N740" s="14"/>
      <c r="O740" s="14"/>
      <c r="P740" s="14"/>
    </row>
    <row r="741" spans="1:16" s="31" customFormat="1" ht="16.5" customHeight="1">
      <c r="A741" s="31" t="str">
        <f t="shared" si="26"/>
        <v>NI</v>
      </c>
      <c r="B741" s="1220">
        <v>51301111</v>
      </c>
      <c r="C741" s="1221" t="s">
        <v>432</v>
      </c>
      <c r="D741" s="1222">
        <v>4699268224</v>
      </c>
      <c r="E741" s="1223">
        <v>621096.21</v>
      </c>
      <c r="F741" s="1058">
        <f>+VLOOKUP(B741,Composición!$C$5:$D$1768,1,0)</f>
        <v>51301111</v>
      </c>
      <c r="G741" s="1058">
        <f>+VLOOKUP(B741,'CA FE'!$A:$A,1,0)</f>
        <v>51301111</v>
      </c>
      <c r="H741" s="1048">
        <f>+VLOOKUP(B741,Composición!$C$4:$H$1742,5,0)-D741</f>
        <v>-4699268224</v>
      </c>
      <c r="I741" s="1214">
        <f>+VLOOKUP(B741,Composición!$C$4:$H$1742,6,0)-E741</f>
        <v>-621096.21</v>
      </c>
      <c r="J741" s="827">
        <f t="shared" si="27"/>
        <v>-4699889320.21</v>
      </c>
      <c r="M741" s="14"/>
      <c r="N741" s="14"/>
      <c r="O741" s="14"/>
      <c r="P741" s="14"/>
    </row>
    <row r="742" spans="1:16" s="14" customFormat="1" ht="16.5" customHeight="1">
      <c r="A742" s="14" t="str">
        <f t="shared" si="26"/>
        <v>I</v>
      </c>
      <c r="B742" s="1203">
        <v>5130111101</v>
      </c>
      <c r="C742" t="s">
        <v>433</v>
      </c>
      <c r="D742" s="1308">
        <v>3934043262</v>
      </c>
      <c r="E742" s="1309">
        <v>519691.56</v>
      </c>
      <c r="F742" s="818">
        <f>+VLOOKUP(B742,Composición!$C$5:$D$1768,1,0)</f>
        <v>5130111101</v>
      </c>
      <c r="G742" s="818">
        <f>+VLOOKUP(B742,'CA FE'!$A:$A,1,0)</f>
        <v>5130111101</v>
      </c>
      <c r="H742" s="14">
        <f>+VLOOKUP(B742,Composición!$C$4:$H$1742,5,0)</f>
        <v>2456520949</v>
      </c>
      <c r="I742" s="14">
        <f>+VLOOKUP(B742,Composición!$C$4:$H$1742,6,0)</f>
        <v>519691.56</v>
      </c>
      <c r="J742" s="1053">
        <f t="shared" si="27"/>
        <v>-3933523570.4400001</v>
      </c>
    </row>
    <row r="743" spans="1:16" s="14" customFormat="1" ht="16.5" customHeight="1">
      <c r="A743" s="14" t="str">
        <f t="shared" si="26"/>
        <v>I</v>
      </c>
      <c r="B743" s="1203">
        <v>5130111102</v>
      </c>
      <c r="C743" t="s">
        <v>434</v>
      </c>
      <c r="D743" s="1308">
        <v>16479689</v>
      </c>
      <c r="E743" s="1309">
        <v>2154.0300000000002</v>
      </c>
      <c r="F743" s="818">
        <f>+VLOOKUP(B743,Composición!$C$5:$D$1768,1,0)</f>
        <v>5130111102</v>
      </c>
      <c r="G743" s="818">
        <f>+VLOOKUP(B743,'CA FE'!$A:$A,1,0)</f>
        <v>5130111102</v>
      </c>
      <c r="H743" s="14">
        <f>+VLOOKUP(B743,Composición!$C$4:$H$1742,5,0)</f>
        <v>16479689</v>
      </c>
      <c r="I743" s="14">
        <f>+VLOOKUP(B743,Composición!$C$4:$H$1742,6,0)</f>
        <v>2154.0300000000002</v>
      </c>
      <c r="J743" s="1053">
        <f t="shared" si="27"/>
        <v>-16477534.970000001</v>
      </c>
    </row>
    <row r="744" spans="1:16" s="14" customFormat="1" ht="16.5" customHeight="1">
      <c r="A744" s="14" t="str">
        <f t="shared" si="26"/>
        <v>I</v>
      </c>
      <c r="B744" s="1203">
        <v>5130111104</v>
      </c>
      <c r="C744" t="s">
        <v>435</v>
      </c>
      <c r="D744" s="1308">
        <v>446350028</v>
      </c>
      <c r="E744" s="1309">
        <v>59224.93</v>
      </c>
      <c r="F744" s="818">
        <f>+VLOOKUP(B744,Composición!$C$5:$D$1768,1,0)</f>
        <v>5130111104</v>
      </c>
      <c r="G744" s="818">
        <f>+VLOOKUP(B744,'CA FE'!$A:$A,1,0)</f>
        <v>5130111104</v>
      </c>
      <c r="H744" s="14">
        <f>+VLOOKUP(B744,Composición!$C$4:$H$1742,5,0)</f>
        <v>265743168.58333331</v>
      </c>
      <c r="I744" s="14">
        <f>+VLOOKUP(B744,Composición!$C$4:$H$1742,6,0)</f>
        <v>59224.93</v>
      </c>
      <c r="J744" s="1053">
        <f t="shared" si="27"/>
        <v>-446290803.06999999</v>
      </c>
    </row>
    <row r="745" spans="1:16" s="14" customFormat="1" ht="16.5" customHeight="1">
      <c r="A745" s="14" t="str">
        <f t="shared" si="26"/>
        <v>I</v>
      </c>
      <c r="B745" s="1203">
        <v>5130111105</v>
      </c>
      <c r="C745" t="s">
        <v>436</v>
      </c>
      <c r="D745" s="1308">
        <v>173148034</v>
      </c>
      <c r="E745" s="1309">
        <v>23082.03</v>
      </c>
      <c r="F745" s="818">
        <f>+VLOOKUP(B745,Composición!$C$5:$D$1768,1,0)</f>
        <v>5130111105</v>
      </c>
      <c r="G745" s="818">
        <f>+VLOOKUP(B745,'CA FE'!$A:$A,1,0)</f>
        <v>5130111105</v>
      </c>
      <c r="H745" s="14">
        <f>+VLOOKUP(B745,Composición!$C$4:$H$1742,5,0)</f>
        <v>82068781.295833319</v>
      </c>
      <c r="I745" s="14">
        <f>+VLOOKUP(B745,Composición!$C$4:$H$1742,6,0)</f>
        <v>23082.03</v>
      </c>
      <c r="J745" s="1053">
        <f t="shared" si="27"/>
        <v>-173124951.97</v>
      </c>
    </row>
    <row r="746" spans="1:16" s="14" customFormat="1" ht="16.5" customHeight="1">
      <c r="A746" s="14" t="str">
        <f t="shared" ref="A746:A809" si="28">IF(LEN(B746)&gt;8,"I","NI")</f>
        <v>I</v>
      </c>
      <c r="B746" s="1203">
        <v>5130111106</v>
      </c>
      <c r="C746" t="s">
        <v>437</v>
      </c>
      <c r="D746" s="1308">
        <v>15846897</v>
      </c>
      <c r="E746" s="1309">
        <v>2104.5300000000002</v>
      </c>
      <c r="F746" s="818">
        <f>+VLOOKUP(B746,Composición!$C$5:$D$1768,1,0)</f>
        <v>5130111106</v>
      </c>
      <c r="G746" s="818">
        <f>+VLOOKUP(B746,'CA FE'!$A:$A,1,0)</f>
        <v>5130111106</v>
      </c>
      <c r="H746" s="1049">
        <f>+VLOOKUP(B746,Composición!$C$4:$H$1742,5,0)-D746</f>
        <v>-10385905.299999997</v>
      </c>
      <c r="I746" s="1311">
        <f>+VLOOKUP(B746,Composición!$C$4:$H$1742,6,0)-E746</f>
        <v>0</v>
      </c>
      <c r="J746" s="1053">
        <f t="shared" si="27"/>
        <v>-15846897</v>
      </c>
    </row>
    <row r="747" spans="1:16" s="14" customFormat="1" ht="16.5" customHeight="1">
      <c r="A747" s="14" t="str">
        <f t="shared" si="28"/>
        <v>I</v>
      </c>
      <c r="B747" s="1203">
        <v>5130111107</v>
      </c>
      <c r="C747" t="s">
        <v>438</v>
      </c>
      <c r="D747" s="1308">
        <v>113400314</v>
      </c>
      <c r="E747" s="1309">
        <v>14839.13</v>
      </c>
      <c r="F747" s="818">
        <f>+VLOOKUP(B747,Composición!$C$5:$D$1768,1,0)</f>
        <v>5130111107</v>
      </c>
      <c r="G747" s="818">
        <f>+VLOOKUP(B747,'CA FE'!$A:$A,1,0)</f>
        <v>5130111107</v>
      </c>
      <c r="H747" s="1049">
        <f>+VLOOKUP(B747,Composición!$C$4:$H$1742,5,0)-D747</f>
        <v>0</v>
      </c>
      <c r="I747" s="1311">
        <f>+VLOOKUP(B747,Composición!$C$4:$H$1742,6,0)-E747</f>
        <v>0</v>
      </c>
      <c r="J747" s="830">
        <f t="shared" si="27"/>
        <v>-113400314</v>
      </c>
    </row>
    <row r="748" spans="1:16" s="31" customFormat="1" ht="16.5" customHeight="1">
      <c r="A748" s="31" t="str">
        <f t="shared" si="28"/>
        <v>NI</v>
      </c>
      <c r="B748" s="1220">
        <v>51302</v>
      </c>
      <c r="C748" s="1221" t="s">
        <v>224</v>
      </c>
      <c r="D748" s="1222">
        <v>1689130157</v>
      </c>
      <c r="E748" s="1223">
        <v>223539.89</v>
      </c>
      <c r="F748" s="1058">
        <f>+VLOOKUP(B748,Composición!$C$5:$D$1768,1,0)</f>
        <v>51302</v>
      </c>
      <c r="G748" s="1058">
        <f>+VLOOKUP(B748,'CA FE'!$A:$A,1,0)</f>
        <v>51302</v>
      </c>
      <c r="H748" s="1048">
        <f>+VLOOKUP(B748,Composición!$C$4:$H$1742,5,0)-D748</f>
        <v>-1689130157</v>
      </c>
      <c r="I748" s="1214">
        <f>+VLOOKUP(B748,Composición!$C$4:$H$1742,6,0)-E748</f>
        <v>-223539.89</v>
      </c>
      <c r="J748" s="827">
        <f t="shared" si="27"/>
        <v>-1689353696.8900001</v>
      </c>
      <c r="M748" s="14"/>
      <c r="N748" s="14"/>
      <c r="O748" s="14"/>
      <c r="P748" s="14"/>
    </row>
    <row r="749" spans="1:16" s="31" customFormat="1" ht="16.5" customHeight="1">
      <c r="A749" s="31" t="str">
        <f t="shared" si="28"/>
        <v>NI</v>
      </c>
      <c r="B749" s="1220">
        <v>513021</v>
      </c>
      <c r="C749" s="1221" t="s">
        <v>224</v>
      </c>
      <c r="D749" s="1222">
        <v>1689130157</v>
      </c>
      <c r="E749" s="1223">
        <v>223539.89</v>
      </c>
      <c r="F749" s="1058">
        <f>+VLOOKUP(B749,Composición!$C$5:$D$1768,1,0)</f>
        <v>513021</v>
      </c>
      <c r="G749" s="1058">
        <f>+VLOOKUP(B749,'CA FE'!$A:$A,1,0)</f>
        <v>513021</v>
      </c>
      <c r="H749" s="1048">
        <f>+VLOOKUP(B749,Composición!$C$4:$H$1742,5,0)-D749</f>
        <v>-1689130157</v>
      </c>
      <c r="I749" s="1214">
        <f>+VLOOKUP(B749,Composición!$C$4:$H$1742,6,0)-E749</f>
        <v>-223539.89</v>
      </c>
      <c r="J749" s="827">
        <f t="shared" si="27"/>
        <v>-1689353696.8900001</v>
      </c>
      <c r="M749" s="14"/>
      <c r="N749" s="14"/>
      <c r="O749" s="14"/>
      <c r="P749" s="14"/>
    </row>
    <row r="750" spans="1:16" s="31" customFormat="1" ht="16.5" customHeight="1">
      <c r="A750" s="31" t="str">
        <f t="shared" si="28"/>
        <v>NI</v>
      </c>
      <c r="B750" s="1220">
        <v>5130211</v>
      </c>
      <c r="C750" s="1221" t="s">
        <v>224</v>
      </c>
      <c r="D750" s="1222">
        <v>1689130157</v>
      </c>
      <c r="E750" s="1223">
        <v>223539.89</v>
      </c>
      <c r="F750" s="1058">
        <f>+VLOOKUP(B750,Composición!$C$5:$D$1768,1,0)</f>
        <v>5130211</v>
      </c>
      <c r="G750" s="1058">
        <f>+VLOOKUP(B750,'CA FE'!$A:$A,1,0)</f>
        <v>5130211</v>
      </c>
      <c r="H750" s="31">
        <f>+VLOOKUP(B750,Composición!$C$4:$H$1742,5,0)</f>
        <v>0</v>
      </c>
      <c r="I750" s="31">
        <f>+VLOOKUP(B750,Composición!$C$4:$H$1742,6,0)</f>
        <v>0</v>
      </c>
      <c r="J750" s="1054">
        <f t="shared" si="27"/>
        <v>-1689130157</v>
      </c>
      <c r="M750" s="14"/>
      <c r="N750" s="14"/>
      <c r="O750" s="14"/>
      <c r="P750" s="14"/>
    </row>
    <row r="751" spans="1:16" s="31" customFormat="1" ht="16.5" customHeight="1">
      <c r="A751" s="31" t="str">
        <f t="shared" si="28"/>
        <v>NI</v>
      </c>
      <c r="B751" s="1220">
        <v>51302111</v>
      </c>
      <c r="C751" s="1221" t="s">
        <v>224</v>
      </c>
      <c r="D751" s="1222">
        <v>1689130157</v>
      </c>
      <c r="E751" s="1223">
        <v>223539.89</v>
      </c>
      <c r="F751" s="1058">
        <f>+VLOOKUP(B751,Composición!$C$5:$D$1768,1,0)</f>
        <v>51302111</v>
      </c>
      <c r="G751" s="1058">
        <f>+VLOOKUP(B751,'CA FE'!$A:$A,1,0)</f>
        <v>51302111</v>
      </c>
      <c r="H751" s="31">
        <f>+VLOOKUP(B751,Composición!$C$4:$H$1742,5,0)</f>
        <v>0</v>
      </c>
      <c r="I751" s="31">
        <f>+VLOOKUP(B751,Composición!$C$4:$H$1742,6,0)</f>
        <v>0</v>
      </c>
      <c r="J751" s="827">
        <f t="shared" si="27"/>
        <v>-1689130157</v>
      </c>
      <c r="M751" s="14"/>
      <c r="N751" s="14"/>
      <c r="O751" s="14"/>
      <c r="P751" s="14"/>
    </row>
    <row r="752" spans="1:16" s="14" customFormat="1" ht="16.5" customHeight="1">
      <c r="A752" s="14" t="str">
        <f t="shared" si="28"/>
        <v>I</v>
      </c>
      <c r="B752" s="1203">
        <v>5130211101</v>
      </c>
      <c r="C752" t="s">
        <v>439</v>
      </c>
      <c r="D752" s="1308">
        <v>834071649</v>
      </c>
      <c r="E752" s="1309">
        <v>110397.43</v>
      </c>
      <c r="F752" s="818">
        <f>+VLOOKUP(B752,Composición!$C$5:$D$1768,1,0)</f>
        <v>5130211101</v>
      </c>
      <c r="G752" s="818">
        <f>+VLOOKUP(B752,'CA FE'!$A:$A,1,0)</f>
        <v>5130211101</v>
      </c>
      <c r="H752" s="14">
        <f>+VLOOKUP(B752,Composición!$C$4:$H$1742,5,0)</f>
        <v>834071649</v>
      </c>
      <c r="I752" s="14">
        <f>+VLOOKUP(B752,Composición!$C$4:$H$1742,6,0)</f>
        <v>110397.43</v>
      </c>
      <c r="J752" s="830">
        <f t="shared" si="27"/>
        <v>-833961251.57000005</v>
      </c>
    </row>
    <row r="753" spans="1:16" s="14" customFormat="1" ht="16.5" customHeight="1">
      <c r="A753" s="14" t="str">
        <f t="shared" si="28"/>
        <v>I</v>
      </c>
      <c r="B753" s="1203">
        <v>5130211102</v>
      </c>
      <c r="C753" t="s">
        <v>440</v>
      </c>
      <c r="D753" s="1308">
        <v>41534116</v>
      </c>
      <c r="E753" s="1309">
        <v>5498.83</v>
      </c>
      <c r="F753" s="818">
        <f>+VLOOKUP(B753,Composición!$C$5:$D$1768,1,0)</f>
        <v>5130211102</v>
      </c>
      <c r="G753" s="818">
        <f>+VLOOKUP(B753,'CA FE'!$A:$A,1,0)</f>
        <v>5130211102</v>
      </c>
      <c r="H753" s="14">
        <f>+VLOOKUP(B753,Composición!$C$4:$H$1742,5,0)</f>
        <v>41534116</v>
      </c>
      <c r="I753" s="14">
        <f>+VLOOKUP(B753,Composición!$C$4:$H$1742,6,0)</f>
        <v>5498.83</v>
      </c>
      <c r="J753" s="830">
        <f t="shared" si="27"/>
        <v>-41528617.170000002</v>
      </c>
    </row>
    <row r="754" spans="1:16" s="14" customFormat="1" ht="16.5" customHeight="1">
      <c r="A754" s="14" t="str">
        <f t="shared" si="28"/>
        <v>I</v>
      </c>
      <c r="B754" s="1203">
        <v>5130211104</v>
      </c>
      <c r="C754" t="s">
        <v>442</v>
      </c>
      <c r="D754" s="1308">
        <v>81955683</v>
      </c>
      <c r="E754" s="1309">
        <v>10895.85</v>
      </c>
      <c r="F754" s="818">
        <f>+VLOOKUP(B754,Composición!$C$5:$D$1768,1,0)</f>
        <v>5130211104</v>
      </c>
      <c r="G754" s="818">
        <f>+VLOOKUP(B754,'CA FE'!$A:$A,1,0)</f>
        <v>5130211104</v>
      </c>
      <c r="H754" s="1049">
        <f>+VLOOKUP(B754,Composición!$C$4:$H$1742,5,0)-D754</f>
        <v>0</v>
      </c>
      <c r="I754" s="1311">
        <f>+VLOOKUP(B754,Composición!$C$4:$H$1742,6,0)-E754</f>
        <v>0</v>
      </c>
      <c r="J754" s="830">
        <f t="shared" si="27"/>
        <v>-81955683</v>
      </c>
    </row>
    <row r="755" spans="1:16" s="14" customFormat="1" ht="16.5" customHeight="1">
      <c r="A755" s="14" t="str">
        <f t="shared" si="28"/>
        <v>I</v>
      </c>
      <c r="B755" s="1203">
        <v>5130211106</v>
      </c>
      <c r="C755" t="s">
        <v>444</v>
      </c>
      <c r="D755" s="1308">
        <v>92194574</v>
      </c>
      <c r="E755" s="1309">
        <v>12121.87</v>
      </c>
      <c r="F755" s="818">
        <f>+VLOOKUP(B755,Composición!$C$5:$D$1768,1,0)</f>
        <v>5130211106</v>
      </c>
      <c r="G755" s="818">
        <f>+VLOOKUP(B755,'CA FE'!$A:$A,1,0)</f>
        <v>5130211106</v>
      </c>
      <c r="H755" s="1049">
        <f>+VLOOKUP(B755,Composición!$C$4:$H$1742,5,0)-D755</f>
        <v>0</v>
      </c>
      <c r="I755" s="1311">
        <f>+VLOOKUP(B755,Composición!$C$4:$H$1742,6,0)-E755</f>
        <v>0</v>
      </c>
      <c r="J755" s="1053">
        <f t="shared" si="27"/>
        <v>-92194574</v>
      </c>
    </row>
    <row r="756" spans="1:16" s="14" customFormat="1" ht="16.5" customHeight="1">
      <c r="A756" s="14" t="str">
        <f t="shared" si="28"/>
        <v>I</v>
      </c>
      <c r="B756" s="1203">
        <v>5130211107</v>
      </c>
      <c r="C756" t="s">
        <v>445</v>
      </c>
      <c r="D756" s="1308">
        <v>236113852</v>
      </c>
      <c r="E756" s="1309">
        <v>31339.230000000007</v>
      </c>
      <c r="F756" s="818">
        <f>+VLOOKUP(B756,Composición!$C$5:$D$1768,1,0)</f>
        <v>5130211107</v>
      </c>
      <c r="G756" s="818">
        <f>+VLOOKUP(B756,'CA FE'!$A:$A,1,0)</f>
        <v>5130211107</v>
      </c>
      <c r="H756" s="1049">
        <f>+VLOOKUP(B756,Composición!$C$4:$H$1742,5,0)-D756</f>
        <v>-47095660</v>
      </c>
      <c r="I756" s="1311">
        <f>+VLOOKUP(B756,Composición!$C$4:$H$1742,6,0)-E756</f>
        <v>0</v>
      </c>
      <c r="J756" s="830">
        <f t="shared" si="27"/>
        <v>-236113852</v>
      </c>
    </row>
    <row r="757" spans="1:16" s="14" customFormat="1" ht="16.5" customHeight="1">
      <c r="A757" s="14" t="str">
        <f t="shared" si="28"/>
        <v>I</v>
      </c>
      <c r="B757" s="1203">
        <v>5130211108</v>
      </c>
      <c r="C757" t="s">
        <v>446</v>
      </c>
      <c r="D757" s="1308">
        <v>380342101</v>
      </c>
      <c r="E757" s="1309">
        <v>50230.36</v>
      </c>
      <c r="F757" s="818">
        <f>+VLOOKUP(B757,Composición!$C$5:$D$1768,1,0)</f>
        <v>5130211108</v>
      </c>
      <c r="G757" s="818">
        <f>+VLOOKUP(B757,'CA FE'!$A:$A,1,0)</f>
        <v>5130211108</v>
      </c>
      <c r="H757" s="1049">
        <f>+VLOOKUP(B757,Composición!$C$4:$H$1742,5,0)-D757</f>
        <v>0</v>
      </c>
      <c r="I757" s="1311">
        <f>+VLOOKUP(B757,Composición!$C$4:$H$1742,6,0)-E757</f>
        <v>0</v>
      </c>
      <c r="J757" s="830">
        <f t="shared" si="27"/>
        <v>-380342101</v>
      </c>
    </row>
    <row r="758" spans="1:16" s="14" customFormat="1" ht="16.5" customHeight="1">
      <c r="A758" s="14" t="str">
        <f t="shared" si="28"/>
        <v>I</v>
      </c>
      <c r="B758" s="1203">
        <v>5130211109</v>
      </c>
      <c r="C758" t="s">
        <v>447</v>
      </c>
      <c r="D758" s="1308">
        <v>818182</v>
      </c>
      <c r="E758" s="1309">
        <v>110.94</v>
      </c>
      <c r="F758" s="818">
        <f>+VLOOKUP(B758,Composición!$C$5:$D$1768,1,0)</f>
        <v>5130211109</v>
      </c>
      <c r="G758" s="818">
        <f>+VLOOKUP(B758,'CA FE'!$A:$A,1,0)</f>
        <v>5130211109</v>
      </c>
      <c r="H758" s="1049">
        <f>+VLOOKUP(B758,Composición!$C$4:$H$1742,5,0)-D758</f>
        <v>0</v>
      </c>
      <c r="I758" s="1311">
        <f>+VLOOKUP(B758,Composición!$C$4:$H$1742,6,0)-E758</f>
        <v>0</v>
      </c>
      <c r="J758" s="1053">
        <f t="shared" si="27"/>
        <v>-818182</v>
      </c>
    </row>
    <row r="759" spans="1:16" s="14" customFormat="1" ht="16.5" customHeight="1">
      <c r="A759" s="14" t="str">
        <f t="shared" si="28"/>
        <v>I</v>
      </c>
      <c r="B759" s="1203">
        <v>5130211111</v>
      </c>
      <c r="C759" t="s">
        <v>448</v>
      </c>
      <c r="D759" s="1308">
        <v>22100000</v>
      </c>
      <c r="E759" s="1309">
        <v>2945.38</v>
      </c>
      <c r="F759" s="818">
        <f>+VLOOKUP(B759,Composición!$C$5:$D$1768,1,0)</f>
        <v>5130211111</v>
      </c>
      <c r="G759" s="818">
        <f>+VLOOKUP(B759,'CA FE'!$A:$A,1,0)</f>
        <v>5130211111</v>
      </c>
      <c r="H759" s="1049">
        <f>+VLOOKUP(B759,Composición!$C$4:$H$1742,5,0)-D759</f>
        <v>-10200000</v>
      </c>
      <c r="I759" s="1311">
        <f>+VLOOKUP(B759,Composición!$C$4:$H$1742,6,0)-E759</f>
        <v>0</v>
      </c>
      <c r="J759" s="1053">
        <f t="shared" si="27"/>
        <v>-22100000</v>
      </c>
    </row>
    <row r="760" spans="1:16" s="31" customFormat="1" ht="16.5" customHeight="1">
      <c r="A760" s="31" t="str">
        <f t="shared" si="28"/>
        <v>NI</v>
      </c>
      <c r="B760" s="1220">
        <v>51303</v>
      </c>
      <c r="C760" s="1221" t="s">
        <v>438</v>
      </c>
      <c r="D760" s="1222">
        <v>2141110094</v>
      </c>
      <c r="E760" s="1223">
        <v>282317.74</v>
      </c>
      <c r="F760" s="1058">
        <f>+VLOOKUP(B760,Composición!$C$5:$D$1768,1,0)</f>
        <v>51303</v>
      </c>
      <c r="G760" s="1058">
        <f>+VLOOKUP(B760,'CA FE'!$A:$A,1,0)</f>
        <v>51303</v>
      </c>
      <c r="H760" s="1048">
        <f>+VLOOKUP(B760,Composición!$C$4:$H$1742,5,0)-D760</f>
        <v>-2141110094</v>
      </c>
      <c r="I760" s="1214">
        <f>+VLOOKUP(B760,Composición!$C$4:$H$1742,6,0)-E760</f>
        <v>-282317.74</v>
      </c>
      <c r="J760" s="1054">
        <f t="shared" si="27"/>
        <v>-2141392411.74</v>
      </c>
      <c r="M760" s="14"/>
      <c r="N760" s="14"/>
      <c r="O760" s="14"/>
      <c r="P760" s="14"/>
    </row>
    <row r="761" spans="1:16" s="31" customFormat="1" ht="16.5" customHeight="1">
      <c r="A761" s="31" t="str">
        <f t="shared" si="28"/>
        <v>NI</v>
      </c>
      <c r="B761" s="1220">
        <v>513031</v>
      </c>
      <c r="C761" s="1221" t="s">
        <v>438</v>
      </c>
      <c r="D761" s="1222">
        <v>2141110094</v>
      </c>
      <c r="E761" s="1223">
        <v>282317.74</v>
      </c>
      <c r="F761" s="1058">
        <f>+VLOOKUP(B761,Composición!$C$5:$D$1768,1,0)</f>
        <v>513031</v>
      </c>
      <c r="G761" s="1058">
        <f>+VLOOKUP(B761,'CA FE'!$A:$A,1,0)</f>
        <v>513031</v>
      </c>
      <c r="H761" s="31">
        <f>+VLOOKUP(B761,Composición!$C$4:$H$1742,5,0)</f>
        <v>0</v>
      </c>
      <c r="I761" s="31">
        <f>+VLOOKUP(B761,Composición!$C$4:$H$1742,6,0)</f>
        <v>0</v>
      </c>
      <c r="J761" s="1054">
        <f t="shared" si="27"/>
        <v>-2141110094</v>
      </c>
      <c r="M761" s="14"/>
      <c r="N761" s="14"/>
      <c r="O761" s="14"/>
      <c r="P761" s="14"/>
    </row>
    <row r="762" spans="1:16" s="31" customFormat="1" ht="16.5" customHeight="1">
      <c r="A762" s="31" t="str">
        <f t="shared" si="28"/>
        <v>NI</v>
      </c>
      <c r="B762" s="1220">
        <v>5130311</v>
      </c>
      <c r="C762" s="1221" t="s">
        <v>438</v>
      </c>
      <c r="D762" s="1222">
        <v>2141110094</v>
      </c>
      <c r="E762" s="1223">
        <v>282317.74</v>
      </c>
      <c r="F762" s="1058">
        <f>+VLOOKUP(B762,Composición!$C$5:$D$1768,1,0)</f>
        <v>5130311</v>
      </c>
      <c r="G762" s="1058">
        <f>+VLOOKUP(B762,'CA FE'!$A:$A,1,0)</f>
        <v>5130311</v>
      </c>
      <c r="H762" s="31">
        <f>+VLOOKUP(B762,Composición!$C$4:$H$1742,5,0)</f>
        <v>0</v>
      </c>
      <c r="I762" s="31">
        <f>+VLOOKUP(B762,Composición!$C$4:$H$1742,6,0)</f>
        <v>0</v>
      </c>
      <c r="J762" s="1054">
        <f t="shared" si="27"/>
        <v>-2141110094</v>
      </c>
      <c r="M762" s="14"/>
      <c r="N762" s="14"/>
      <c r="O762" s="14"/>
      <c r="P762" s="14"/>
    </row>
    <row r="763" spans="1:16" s="31" customFormat="1" ht="16.5" customHeight="1">
      <c r="A763" s="31" t="str">
        <f t="shared" si="28"/>
        <v>NI</v>
      </c>
      <c r="B763" s="1220">
        <v>51303111</v>
      </c>
      <c r="C763" s="1221" t="s">
        <v>438</v>
      </c>
      <c r="D763" s="1222">
        <v>2141110094</v>
      </c>
      <c r="E763" s="1223">
        <v>282317.74</v>
      </c>
      <c r="F763" s="1058">
        <f>+VLOOKUP(B763,Composición!$C$5:$D$1768,1,0)</f>
        <v>51303111</v>
      </c>
      <c r="G763" s="1058">
        <f>+VLOOKUP(B763,'CA FE'!$A:$A,1,0)</f>
        <v>51303111</v>
      </c>
      <c r="H763" s="31">
        <f>+VLOOKUP(B763,Composición!$C$4:$H$1742,5,0)</f>
        <v>0</v>
      </c>
      <c r="I763" s="31">
        <f>+VLOOKUP(B763,Composición!$C$4:$H$1742,6,0)</f>
        <v>0</v>
      </c>
      <c r="J763" s="1054">
        <f t="shared" si="27"/>
        <v>-2141110094</v>
      </c>
      <c r="M763" s="14"/>
      <c r="N763" s="14"/>
      <c r="O763" s="14"/>
      <c r="P763" s="14"/>
    </row>
    <row r="764" spans="1:16" s="14" customFormat="1" ht="16.5" customHeight="1">
      <c r="A764" s="14" t="str">
        <f t="shared" si="28"/>
        <v>I</v>
      </c>
      <c r="B764" s="1203">
        <v>5130311102</v>
      </c>
      <c r="C764" t="s">
        <v>449</v>
      </c>
      <c r="D764" s="1308">
        <v>665464000</v>
      </c>
      <c r="E764" s="1309">
        <v>88224.639999999999</v>
      </c>
      <c r="F764" s="818">
        <f>+VLOOKUP(B764,Composición!$C$5:$D$1768,1,0)</f>
        <v>5130311102</v>
      </c>
      <c r="G764" s="818">
        <f>+VLOOKUP(B764,'CA FE'!$A:$A,1,0)</f>
        <v>5130311102</v>
      </c>
      <c r="H764" s="14">
        <f>+VLOOKUP(B764,Composición!$C$4:$H$1742,5,0)</f>
        <v>665464000</v>
      </c>
      <c r="I764" s="14">
        <f>+VLOOKUP(B764,Composición!$C$4:$H$1742,6,0)</f>
        <v>88224.639999999999</v>
      </c>
      <c r="J764" s="830">
        <f t="shared" si="27"/>
        <v>-665375775.36000001</v>
      </c>
    </row>
    <row r="765" spans="1:16" s="14" customFormat="1" ht="16.5" customHeight="1">
      <c r="A765" s="14" t="str">
        <f t="shared" si="28"/>
        <v>I</v>
      </c>
      <c r="B765" s="1203">
        <v>5130311103</v>
      </c>
      <c r="C765" t="s">
        <v>450</v>
      </c>
      <c r="D765" s="1308">
        <v>60000000</v>
      </c>
      <c r="E765" s="1309">
        <v>7956.08</v>
      </c>
      <c r="F765" s="818">
        <f>+VLOOKUP(B765,Composición!$C$5:$D$1768,1,0)</f>
        <v>5130311103</v>
      </c>
      <c r="G765" s="818">
        <f>+VLOOKUP(B765,'CA FE'!$A:$A,1,0)</f>
        <v>5130311103</v>
      </c>
      <c r="H765" s="1049">
        <f>+VLOOKUP(B765,Composición!$C$4:$H$1742,5,0)-D765</f>
        <v>0</v>
      </c>
      <c r="I765" s="1311">
        <f>+VLOOKUP(B765,Composición!$C$4:$H$1742,6,0)-E765</f>
        <v>0</v>
      </c>
      <c r="J765" s="1053">
        <f t="shared" si="27"/>
        <v>-60000000</v>
      </c>
    </row>
    <row r="766" spans="1:16" s="14" customFormat="1" ht="16.5" customHeight="1">
      <c r="A766" s="14" t="str">
        <f t="shared" si="28"/>
        <v>I</v>
      </c>
      <c r="B766" s="1203">
        <v>5130311104</v>
      </c>
      <c r="C766" t="s">
        <v>451</v>
      </c>
      <c r="D766" s="1308">
        <v>1319754167</v>
      </c>
      <c r="E766" s="1309">
        <v>173637.02000000002</v>
      </c>
      <c r="F766" s="818">
        <f>+VLOOKUP(B766,Composición!$C$5:$D$1768,1,0)</f>
        <v>5130311104</v>
      </c>
      <c r="G766" s="818">
        <f>+VLOOKUP(B766,'CA FE'!$A:$A,1,0)</f>
        <v>5130311104</v>
      </c>
      <c r="H766" s="1049">
        <f>+VLOOKUP(B766,Composición!$C$4:$H$1742,5,0)-D766</f>
        <v>0</v>
      </c>
      <c r="I766" s="1311">
        <f>+VLOOKUP(B766,Composición!$C$4:$H$1742,6,0)-E766</f>
        <v>0</v>
      </c>
      <c r="J766" s="1053"/>
    </row>
    <row r="767" spans="1:16" s="14" customFormat="1" ht="16.5" customHeight="1">
      <c r="A767" s="14" t="str">
        <f t="shared" si="28"/>
        <v>I</v>
      </c>
      <c r="B767" s="1203">
        <v>5130311105</v>
      </c>
      <c r="C767" t="s">
        <v>610</v>
      </c>
      <c r="D767" s="1308">
        <v>95891927</v>
      </c>
      <c r="E767" s="1309">
        <v>12500</v>
      </c>
      <c r="F767" s="818">
        <f>+VLOOKUP(B767,Composición!$C$5:$D$1768,1,0)</f>
        <v>5130311105</v>
      </c>
      <c r="G767" s="818">
        <f>+VLOOKUP(B767,'CA FE'!$A:$A,1,0)</f>
        <v>5130311105</v>
      </c>
      <c r="H767" s="14">
        <f>+VLOOKUP(B767,Composición!$C$4:$H$1742,5,0)</f>
        <v>95891927</v>
      </c>
      <c r="I767" s="14">
        <f>+VLOOKUP(B767,Composición!$C$4:$H$1742,6,0)</f>
        <v>12500</v>
      </c>
      <c r="J767" s="1053"/>
    </row>
    <row r="768" spans="1:16" s="31" customFormat="1" ht="16.5" customHeight="1">
      <c r="A768" s="31" t="str">
        <f t="shared" si="28"/>
        <v>NI</v>
      </c>
      <c r="B768" s="1220">
        <v>51304</v>
      </c>
      <c r="C768" s="1221" t="s">
        <v>452</v>
      </c>
      <c r="D768" s="1222">
        <v>2368573462</v>
      </c>
      <c r="E768" s="1223">
        <v>309893.21999999997</v>
      </c>
      <c r="F768" s="1058">
        <f>+VLOOKUP(B768,Composición!$C$5:$D$1768,1,0)</f>
        <v>51304</v>
      </c>
      <c r="G768" s="1058">
        <f>+VLOOKUP(B768,'CA FE'!$A:$A,1,0)</f>
        <v>51304</v>
      </c>
      <c r="H768" s="31">
        <f>+VLOOKUP(B768,Composición!$C$4:$H$1742,5,0)</f>
        <v>0</v>
      </c>
      <c r="I768" s="31">
        <f>+VLOOKUP(B768,Composición!$C$4:$H$1742,6,0)</f>
        <v>0</v>
      </c>
      <c r="J768" s="827"/>
      <c r="M768" s="14"/>
      <c r="N768" s="14"/>
      <c r="O768" s="14"/>
      <c r="P768" s="14"/>
    </row>
    <row r="769" spans="1:16" s="31" customFormat="1" ht="16.5" customHeight="1">
      <c r="A769" s="31" t="str">
        <f t="shared" si="28"/>
        <v>NI</v>
      </c>
      <c r="B769" s="1220">
        <v>513041</v>
      </c>
      <c r="C769" s="1221" t="s">
        <v>452</v>
      </c>
      <c r="D769" s="1222">
        <v>2368573462</v>
      </c>
      <c r="E769" s="1223">
        <v>309893.21999999997</v>
      </c>
      <c r="F769" s="1058">
        <f>+VLOOKUP(B769,Composición!$C$5:$D$1768,1,0)</f>
        <v>513041</v>
      </c>
      <c r="G769" s="1058">
        <f>+VLOOKUP(B769,'CA FE'!$A:$A,1,0)</f>
        <v>513041</v>
      </c>
      <c r="H769" s="31">
        <f>+VLOOKUP(B769,Composición!$C$4:$H$1742,5,0)</f>
        <v>0</v>
      </c>
      <c r="I769" s="31">
        <f>+VLOOKUP(B769,Composición!$C$4:$H$1742,6,0)</f>
        <v>0</v>
      </c>
      <c r="J769" s="827"/>
      <c r="M769" s="14"/>
      <c r="N769" s="14"/>
      <c r="O769" s="14"/>
      <c r="P769" s="14"/>
    </row>
    <row r="770" spans="1:16" s="31" customFormat="1" ht="16.5" customHeight="1">
      <c r="A770" s="31" t="str">
        <f t="shared" si="28"/>
        <v>NI</v>
      </c>
      <c r="B770" s="1220">
        <v>5130411</v>
      </c>
      <c r="C770" s="1221" t="s">
        <v>452</v>
      </c>
      <c r="D770" s="1222">
        <v>2368573462</v>
      </c>
      <c r="E770" s="1223">
        <v>309893.21999999997</v>
      </c>
      <c r="F770" s="1058">
        <f>+VLOOKUP(B770,Composición!$C$5:$D$1768,1,0)</f>
        <v>5130411</v>
      </c>
      <c r="G770" s="1058">
        <f>+VLOOKUP(B770,'CA FE'!$A:$A,1,0)</f>
        <v>5130411</v>
      </c>
      <c r="H770" s="31">
        <f>+VLOOKUP(B770,Composición!$C$4:$H$1742,5,0)</f>
        <v>0</v>
      </c>
      <c r="I770" s="31">
        <f>+VLOOKUP(B770,Composición!$C$4:$H$1742,6,0)</f>
        <v>0</v>
      </c>
      <c r="J770" s="827"/>
      <c r="M770" s="14"/>
      <c r="N770" s="14"/>
      <c r="O770" s="14"/>
      <c r="P770" s="14"/>
    </row>
    <row r="771" spans="1:16" s="31" customFormat="1" ht="16.5" customHeight="1">
      <c r="A771" s="31" t="str">
        <f t="shared" si="28"/>
        <v>NI</v>
      </c>
      <c r="B771" s="1220">
        <v>51304111</v>
      </c>
      <c r="C771" s="1221" t="s">
        <v>452</v>
      </c>
      <c r="D771" s="1222">
        <v>2368573462</v>
      </c>
      <c r="E771" s="1223">
        <v>309893.21999999997</v>
      </c>
      <c r="F771" s="1058">
        <f>+VLOOKUP(B771,Composición!$C$5:$D$1768,1,0)</f>
        <v>51304111</v>
      </c>
      <c r="G771" s="1058">
        <f>+VLOOKUP(B771,'CA FE'!$A:$A,1,0)</f>
        <v>51304111</v>
      </c>
      <c r="H771" s="1048">
        <f>+VLOOKUP(B771,Composición!$C$4:$H$1742,5,0)-D771</f>
        <v>-2368573462</v>
      </c>
      <c r="I771" s="1214">
        <f>+VLOOKUP(B771,Composición!$C$4:$H$1742,6,0)-E771</f>
        <v>-309893.21999999997</v>
      </c>
      <c r="J771" s="827"/>
      <c r="M771" s="14"/>
      <c r="N771" s="14"/>
      <c r="O771" s="14"/>
      <c r="P771" s="14"/>
    </row>
    <row r="772" spans="1:16" s="14" customFormat="1" ht="16.5" customHeight="1">
      <c r="A772" s="14" t="str">
        <f t="shared" si="28"/>
        <v>I</v>
      </c>
      <c r="B772" s="1203">
        <v>5130411101</v>
      </c>
      <c r="C772" t="s">
        <v>453</v>
      </c>
      <c r="D772" s="1308">
        <v>237432629</v>
      </c>
      <c r="E772" s="1309">
        <v>30708.35</v>
      </c>
      <c r="F772" s="818">
        <f>+VLOOKUP(B772,Composición!$C$5:$D$1768,1,0)</f>
        <v>5130411101</v>
      </c>
      <c r="G772" s="818">
        <f>+VLOOKUP(B772,'CA FE'!$A:$A,1,0)</f>
        <v>5130411101</v>
      </c>
      <c r="H772" s="14">
        <f>+VLOOKUP(B772,Composición!$C$4:$H$1742,5,0)</f>
        <v>237432629</v>
      </c>
      <c r="I772" s="14">
        <f>+VLOOKUP(B772,Composición!$C$4:$H$1742,6,0)</f>
        <v>30708.35</v>
      </c>
      <c r="J772" s="830"/>
    </row>
    <row r="773" spans="1:16" s="14" customFormat="1" ht="16.5" customHeight="1">
      <c r="A773" s="14" t="str">
        <f t="shared" si="28"/>
        <v>I</v>
      </c>
      <c r="B773" s="1203">
        <v>5130411103</v>
      </c>
      <c r="C773" t="s">
        <v>454</v>
      </c>
      <c r="D773" s="1308">
        <v>35525284</v>
      </c>
      <c r="E773" s="1309">
        <v>4825.2</v>
      </c>
      <c r="F773" s="818">
        <f>+VLOOKUP(B773,Composición!$C$5:$D$1768,1,0)</f>
        <v>5130411103</v>
      </c>
      <c r="G773" s="818">
        <f>+VLOOKUP(B773,'CA FE'!$A:$A,1,0)</f>
        <v>5130411103</v>
      </c>
      <c r="H773" s="14">
        <f>+VLOOKUP(B773,Composición!$C$4:$H$1742,5,0)</f>
        <v>35525284</v>
      </c>
      <c r="I773" s="14">
        <f>+VLOOKUP(B773,Composición!$C$4:$H$1742,6,0)</f>
        <v>4825.2</v>
      </c>
      <c r="J773" s="830"/>
    </row>
    <row r="774" spans="1:16" s="14" customFormat="1" ht="16.5" customHeight="1">
      <c r="A774" s="14" t="str">
        <f t="shared" si="28"/>
        <v>I</v>
      </c>
      <c r="B774" s="1203">
        <v>5130411104</v>
      </c>
      <c r="C774" t="s">
        <v>455</v>
      </c>
      <c r="D774" s="1308">
        <v>9530953</v>
      </c>
      <c r="E774" s="1309">
        <v>1231.8399999999999</v>
      </c>
      <c r="F774" s="818">
        <f>+VLOOKUP(B774,Composición!$C$5:$D$1768,1,0)</f>
        <v>5130411104</v>
      </c>
      <c r="G774" s="818">
        <f>+VLOOKUP(B774,'CA FE'!$A:$A,1,0)</f>
        <v>5130411104</v>
      </c>
      <c r="H774" s="14">
        <f>+VLOOKUP(B774,Composición!$C$4:$H$1742,5,0)</f>
        <v>9530953</v>
      </c>
      <c r="I774" s="14">
        <f>+VLOOKUP(B774,Composición!$C$4:$H$1742,6,0)</f>
        <v>1231.8399999999999</v>
      </c>
      <c r="J774" s="830"/>
    </row>
    <row r="775" spans="1:16" s="14" customFormat="1" ht="16.5" customHeight="1">
      <c r="A775" s="14" t="str">
        <f t="shared" si="28"/>
        <v>I</v>
      </c>
      <c r="B775" s="1203">
        <v>5130411105</v>
      </c>
      <c r="C775" t="s">
        <v>456</v>
      </c>
      <c r="D775" s="1308">
        <v>294499271</v>
      </c>
      <c r="E775" s="1309">
        <v>38818.17</v>
      </c>
      <c r="F775" s="818">
        <f>+VLOOKUP(B775,Composición!$C$5:$D$1768,1,0)</f>
        <v>5130411105</v>
      </c>
      <c r="G775" s="818">
        <f>+VLOOKUP(B775,'CA FE'!$A:$A,1,0)</f>
        <v>5130411105</v>
      </c>
      <c r="H775" s="14">
        <f>+VLOOKUP(B775,Composición!$C$4:$H$1742,5,0)</f>
        <v>294499271</v>
      </c>
      <c r="I775" s="14">
        <f>+VLOOKUP(B775,Composición!$C$4:$H$1742,6,0)</f>
        <v>38818.17</v>
      </c>
      <c r="J775" s="830"/>
    </row>
    <row r="776" spans="1:16" s="14" customFormat="1" ht="16.5" customHeight="1">
      <c r="A776" s="14" t="str">
        <f t="shared" si="28"/>
        <v>I</v>
      </c>
      <c r="B776" s="1203">
        <v>5130411106</v>
      </c>
      <c r="C776" t="s">
        <v>457</v>
      </c>
      <c r="D776" s="1308">
        <v>482961688</v>
      </c>
      <c r="E776" s="1309">
        <v>62670.47</v>
      </c>
      <c r="F776" s="818">
        <f>+VLOOKUP(B776,Composición!$C$5:$D$1768,1,0)</f>
        <v>5130411106</v>
      </c>
      <c r="G776" s="818">
        <f>+VLOOKUP(B776,'CA FE'!$A:$A,1,0)</f>
        <v>5130411106</v>
      </c>
      <c r="H776" s="1049">
        <f>+VLOOKUP(B776,Composición!$C$4:$H$1742,5,0)-D776</f>
        <v>0</v>
      </c>
      <c r="I776" s="1311">
        <f>+VLOOKUP(B776,Composición!$C$4:$H$1742,6,0)-E776</f>
        <v>0</v>
      </c>
      <c r="J776" s="830"/>
    </row>
    <row r="777" spans="1:16" s="14" customFormat="1" ht="16.5" customHeight="1">
      <c r="A777" s="14" t="str">
        <f t="shared" si="28"/>
        <v>I</v>
      </c>
      <c r="B777" s="1203">
        <v>5130411107</v>
      </c>
      <c r="C777" t="s">
        <v>458</v>
      </c>
      <c r="D777" s="1308">
        <v>979190159</v>
      </c>
      <c r="E777" s="1309">
        <v>129032.25000000001</v>
      </c>
      <c r="F777" s="818">
        <f>+VLOOKUP(B777,Composición!$C$5:$D$1768,1,0)</f>
        <v>5130411107</v>
      </c>
      <c r="G777" s="818">
        <f>+VLOOKUP(B777,'CA FE'!$A:$A,1,0)</f>
        <v>5130411107</v>
      </c>
      <c r="H777" s="1049">
        <f>+VLOOKUP(B777,Composición!$C$4:$H$1742,5,0)-D777</f>
        <v>0</v>
      </c>
      <c r="I777" s="1311">
        <f>+VLOOKUP(B777,Composición!$C$4:$H$1742,6,0)-E777</f>
        <v>0</v>
      </c>
      <c r="J777" s="830"/>
    </row>
    <row r="778" spans="1:16" s="14" customFormat="1" ht="16.5" customHeight="1">
      <c r="A778" s="14" t="str">
        <f t="shared" si="28"/>
        <v>I</v>
      </c>
      <c r="B778" s="1203">
        <v>5130411109</v>
      </c>
      <c r="C778" t="s">
        <v>459</v>
      </c>
      <c r="D778" s="1308">
        <v>329433478</v>
      </c>
      <c r="E778" s="1309">
        <v>42606.94</v>
      </c>
      <c r="F778" s="818">
        <f>+VLOOKUP(B778,Composición!$C$5:$D$1768,1,0)</f>
        <v>5130411109</v>
      </c>
      <c r="G778" s="818">
        <f>+VLOOKUP(B778,'CA FE'!$A:$A,1,0)</f>
        <v>5130411109</v>
      </c>
      <c r="H778" s="1049">
        <f>+VLOOKUP(B778,Composición!$C$4:$H$1742,5,0)-D778</f>
        <v>0</v>
      </c>
      <c r="I778" s="1311">
        <f>+VLOOKUP(B778,Composición!$C$4:$H$1742,6,0)-E778</f>
        <v>0</v>
      </c>
      <c r="J778" s="830"/>
    </row>
    <row r="779" spans="1:16" s="31" customFormat="1" ht="16.5" customHeight="1">
      <c r="A779" s="31" t="str">
        <f t="shared" si="28"/>
        <v>NI</v>
      </c>
      <c r="B779" s="1220">
        <v>51305</v>
      </c>
      <c r="C779" s="1221" t="s">
        <v>461</v>
      </c>
      <c r="D779" s="1222">
        <v>984786710</v>
      </c>
      <c r="E779" s="1223">
        <v>135030.97</v>
      </c>
      <c r="F779" s="1058">
        <f>+VLOOKUP(B779,Composición!$C$5:$D$1768,1,0)</f>
        <v>51305</v>
      </c>
      <c r="G779" s="1058">
        <f>+VLOOKUP(B779,'CA FE'!$A:$A,1,0)</f>
        <v>51305</v>
      </c>
      <c r="H779" s="31">
        <f>+VLOOKUP(B779,Composición!$C$4:$H$1742,5,0)</f>
        <v>0</v>
      </c>
      <c r="I779" s="31">
        <f>+VLOOKUP(B779,Composición!$C$4:$H$1742,6,0)</f>
        <v>0</v>
      </c>
      <c r="J779" s="827"/>
      <c r="M779" s="14"/>
      <c r="N779" s="14"/>
      <c r="O779" s="14"/>
      <c r="P779" s="14"/>
    </row>
    <row r="780" spans="1:16" s="31" customFormat="1" ht="16.5" customHeight="1">
      <c r="A780" s="31" t="str">
        <f t="shared" si="28"/>
        <v>NI</v>
      </c>
      <c r="B780" s="1220">
        <v>513052</v>
      </c>
      <c r="C780" s="1221" t="s">
        <v>462</v>
      </c>
      <c r="D780" s="1222">
        <v>984786710</v>
      </c>
      <c r="E780" s="1223">
        <v>135030.97</v>
      </c>
      <c r="F780" s="1058">
        <f>+VLOOKUP(B780,Composición!$C$5:$D$1768,1,0)</f>
        <v>513052</v>
      </c>
      <c r="G780" s="1058">
        <f>+VLOOKUP(B780,'CA FE'!$A:$A,1,0)</f>
        <v>513052</v>
      </c>
      <c r="H780" s="31">
        <f>+VLOOKUP(B780,Composición!$C$4:$H$1742,5,0)</f>
        <v>0</v>
      </c>
      <c r="I780" s="31">
        <f>+VLOOKUP(B780,Composición!$C$4:$H$1742,6,0)</f>
        <v>0</v>
      </c>
      <c r="J780" s="827"/>
      <c r="M780" s="14"/>
      <c r="N780" s="14"/>
      <c r="O780" s="14"/>
      <c r="P780" s="14"/>
    </row>
    <row r="781" spans="1:16" s="31" customFormat="1" ht="16.5" customHeight="1">
      <c r="A781" s="31" t="str">
        <f t="shared" si="28"/>
        <v>NI</v>
      </c>
      <c r="B781" s="1220">
        <v>5130521</v>
      </c>
      <c r="C781" s="1221" t="s">
        <v>462</v>
      </c>
      <c r="D781" s="1222">
        <v>984786710</v>
      </c>
      <c r="E781" s="1223">
        <v>135030.97</v>
      </c>
      <c r="F781" s="1058">
        <f>+VLOOKUP(B781,Composición!$C$5:$D$1768,1,0)</f>
        <v>5130521</v>
      </c>
      <c r="G781" s="1058">
        <f>+VLOOKUP(B781,'CA FE'!$A:$A,1,0)</f>
        <v>5130521</v>
      </c>
      <c r="H781" s="31">
        <f>+VLOOKUP(B781,Composición!$C$4:$H$1742,5,0)</f>
        <v>0</v>
      </c>
      <c r="I781" s="31">
        <f>+VLOOKUP(B781,Composición!$C$4:$H$1742,6,0)</f>
        <v>0</v>
      </c>
      <c r="J781" s="827"/>
      <c r="M781" s="14"/>
      <c r="N781" s="14"/>
      <c r="O781" s="14"/>
      <c r="P781" s="14"/>
    </row>
    <row r="782" spans="1:16" s="31" customFormat="1" ht="16.5" customHeight="1">
      <c r="A782" s="31" t="str">
        <f t="shared" si="28"/>
        <v>NI</v>
      </c>
      <c r="B782" s="1220">
        <v>51305211</v>
      </c>
      <c r="C782" s="1221" t="s">
        <v>462</v>
      </c>
      <c r="D782" s="1222">
        <v>984786710</v>
      </c>
      <c r="E782" s="1223">
        <v>135030.97</v>
      </c>
      <c r="F782" s="1058">
        <f>+VLOOKUP(B782,Composición!$C$5:$D$1768,1,0)</f>
        <v>51305211</v>
      </c>
      <c r="G782" s="1058">
        <f>+VLOOKUP(B782,'CA FE'!$A:$A,1,0)</f>
        <v>51305211</v>
      </c>
      <c r="H782" s="31">
        <f>+VLOOKUP(B782,Composición!$C$4:$H$1742,5,0)</f>
        <v>0</v>
      </c>
      <c r="I782" s="31">
        <f>+VLOOKUP(B782,Composición!$C$4:$H$1742,6,0)</f>
        <v>0</v>
      </c>
      <c r="J782" s="827"/>
      <c r="M782" s="14"/>
      <c r="N782" s="14"/>
      <c r="O782" s="14"/>
      <c r="P782" s="14"/>
    </row>
    <row r="783" spans="1:16" s="14" customFormat="1" ht="16.5" customHeight="1">
      <c r="A783" s="14" t="str">
        <f t="shared" si="28"/>
        <v>I</v>
      </c>
      <c r="B783" s="1203">
        <v>5130521102</v>
      </c>
      <c r="C783" t="s">
        <v>463</v>
      </c>
      <c r="D783" s="1308">
        <v>388269778</v>
      </c>
      <c r="E783" s="1309">
        <v>52850</v>
      </c>
      <c r="F783" s="818">
        <f>+VLOOKUP(B783,Composición!$C$5:$D$1768,1,0)</f>
        <v>5130521102</v>
      </c>
      <c r="G783" s="818">
        <f>+VLOOKUP(B783,'CA FE'!$A:$A,1,0)</f>
        <v>5130521102</v>
      </c>
      <c r="H783" s="1049">
        <f>+VLOOKUP(B783,Composición!$C$4:$H$1742,5,0)-D783</f>
        <v>0</v>
      </c>
      <c r="I783" s="1311">
        <f>+VLOOKUP(B783,Composición!$C$4:$H$1742,6,0)-E783</f>
        <v>0</v>
      </c>
      <c r="J783" s="830"/>
    </row>
    <row r="784" spans="1:16" s="14" customFormat="1" ht="16.5" customHeight="1">
      <c r="A784" s="14" t="str">
        <f t="shared" si="28"/>
        <v>I</v>
      </c>
      <c r="B784" s="1203">
        <v>5130521104</v>
      </c>
      <c r="C784" t="s">
        <v>464</v>
      </c>
      <c r="D784" s="1308">
        <v>596516932</v>
      </c>
      <c r="E784" s="1309">
        <v>82180.97</v>
      </c>
      <c r="F784" s="818">
        <f>+VLOOKUP(B784,Composición!$C$5:$D$1768,1,0)</f>
        <v>5130521104</v>
      </c>
      <c r="G784" s="818">
        <f>+VLOOKUP(B784,'CA FE'!$A:$A,1,0)</f>
        <v>5130521104</v>
      </c>
      <c r="H784" s="1049">
        <f>+VLOOKUP(B784,Composición!$C$4:$H$1742,5,0)-D784</f>
        <v>0</v>
      </c>
      <c r="I784" s="1311">
        <f>+VLOOKUP(B784,Composición!$C$4:$H$1742,6,0)-E784</f>
        <v>0</v>
      </c>
      <c r="J784" s="830"/>
    </row>
    <row r="785" spans="1:16" s="31" customFormat="1" ht="16.5" customHeight="1">
      <c r="A785" s="31" t="str">
        <f t="shared" si="28"/>
        <v>NI</v>
      </c>
      <c r="B785" s="1220">
        <v>51306</v>
      </c>
      <c r="C785" s="1221" t="s">
        <v>466</v>
      </c>
      <c r="D785" s="1222">
        <v>7787910</v>
      </c>
      <c r="E785" s="1223">
        <v>1030.2</v>
      </c>
      <c r="F785" s="1058">
        <f>+VLOOKUP(B785,Composición!$C$5:$D$1768,1,0)</f>
        <v>51306</v>
      </c>
      <c r="G785" s="1058">
        <f>+VLOOKUP(B785,'CA FE'!$A:$A,1,0)</f>
        <v>51306</v>
      </c>
      <c r="H785" s="1048">
        <f>+VLOOKUP(B785,Composición!$C$4:$H$1742,5,0)-D785</f>
        <v>-7787910</v>
      </c>
      <c r="I785" s="1214">
        <f>+VLOOKUP(B785,Composición!$C$4:$H$1742,6,0)-E785</f>
        <v>-1030.2</v>
      </c>
      <c r="J785" s="827"/>
      <c r="M785" s="14"/>
      <c r="N785" s="14"/>
      <c r="O785" s="14"/>
      <c r="P785" s="14"/>
    </row>
    <row r="786" spans="1:16" s="31" customFormat="1" ht="16.5" customHeight="1">
      <c r="A786" s="31" t="str">
        <f t="shared" si="28"/>
        <v>NI</v>
      </c>
      <c r="B786" s="1220">
        <v>513061</v>
      </c>
      <c r="C786" s="1221" t="s">
        <v>466</v>
      </c>
      <c r="D786" s="1222">
        <v>7787910</v>
      </c>
      <c r="E786" s="1223">
        <v>1030.2</v>
      </c>
      <c r="F786" s="1058">
        <f>+VLOOKUP(B786,Composición!$C$5:$D$1768,1,0)</f>
        <v>513061</v>
      </c>
      <c r="G786" s="1058">
        <f>+VLOOKUP(B786,'CA FE'!$A:$A,1,0)</f>
        <v>513061</v>
      </c>
      <c r="H786" s="31">
        <f>+VLOOKUP(B786,Composición!$C$4:$H$1742,5,0)</f>
        <v>0</v>
      </c>
      <c r="I786" s="31">
        <f>+VLOOKUP(B786,Composición!$C$4:$H$1742,6,0)</f>
        <v>0</v>
      </c>
      <c r="J786" s="827"/>
      <c r="M786" s="14"/>
      <c r="N786" s="14"/>
      <c r="O786" s="14"/>
      <c r="P786" s="14"/>
    </row>
    <row r="787" spans="1:16" s="31" customFormat="1" ht="16.5" customHeight="1">
      <c r="A787" s="31" t="str">
        <f t="shared" si="28"/>
        <v>NI</v>
      </c>
      <c r="B787" s="1220">
        <v>5130611</v>
      </c>
      <c r="C787" s="1221" t="s">
        <v>466</v>
      </c>
      <c r="D787" s="1222">
        <v>7787910</v>
      </c>
      <c r="E787" s="1223">
        <v>1030.2</v>
      </c>
      <c r="F787" s="1058">
        <f>+VLOOKUP(B787,Composición!$C$5:$D$1768,1,0)</f>
        <v>5130611</v>
      </c>
      <c r="G787" s="1058">
        <f>+VLOOKUP(B787,'CA FE'!$A:$A,1,0)</f>
        <v>5130611</v>
      </c>
      <c r="H787" s="31">
        <f>+VLOOKUP(B787,Composición!$C$4:$H$1742,5,0)</f>
        <v>0</v>
      </c>
      <c r="I787" s="31">
        <f>+VLOOKUP(B787,Composición!$C$4:$H$1742,6,0)</f>
        <v>0</v>
      </c>
      <c r="J787" s="827"/>
      <c r="M787" s="14"/>
      <c r="N787" s="14"/>
      <c r="O787" s="14"/>
      <c r="P787" s="14"/>
    </row>
    <row r="788" spans="1:16" s="31" customFormat="1" ht="16.5" customHeight="1">
      <c r="A788" s="31" t="str">
        <f t="shared" si="28"/>
        <v>NI</v>
      </c>
      <c r="B788" s="1220">
        <v>51306111</v>
      </c>
      <c r="C788" s="1221" t="s">
        <v>466</v>
      </c>
      <c r="D788" s="1222">
        <v>7787910</v>
      </c>
      <c r="E788" s="1223">
        <v>1030.2</v>
      </c>
      <c r="F788" s="1058">
        <f>+VLOOKUP(B788,Composición!$C$5:$D$1768,1,0)</f>
        <v>51306111</v>
      </c>
      <c r="G788" s="1058">
        <f>+VLOOKUP(B788,'CA FE'!$A:$A,1,0)</f>
        <v>51306111</v>
      </c>
      <c r="H788" s="31">
        <f>+VLOOKUP(B788,Composición!$C$4:$H$1742,5,0)</f>
        <v>0</v>
      </c>
      <c r="I788" s="31">
        <f>+VLOOKUP(B788,Composición!$C$4:$H$1742,6,0)</f>
        <v>0</v>
      </c>
      <c r="J788" s="827"/>
      <c r="M788" s="14"/>
      <c r="N788" s="14"/>
      <c r="O788" s="14"/>
      <c r="P788" s="14"/>
    </row>
    <row r="789" spans="1:16" s="14" customFormat="1" ht="16.5" customHeight="1">
      <c r="A789" s="14" t="str">
        <f t="shared" si="28"/>
        <v>I</v>
      </c>
      <c r="B789" s="1203">
        <v>5130611105</v>
      </c>
      <c r="C789" t="s">
        <v>467</v>
      </c>
      <c r="D789" s="1308">
        <v>7787910</v>
      </c>
      <c r="E789" s="1309">
        <v>1030.2</v>
      </c>
      <c r="F789" s="818">
        <f>+VLOOKUP(B789,Composición!$C$5:$D$1768,1,0)</f>
        <v>5130611105</v>
      </c>
      <c r="G789" s="818">
        <f>+VLOOKUP(B789,'CA FE'!$A:$A,1,0)</f>
        <v>5130611105</v>
      </c>
      <c r="H789" s="1049">
        <f>+VLOOKUP(B789,Composición!$C$4:$H$1742,5,0)-D789</f>
        <v>0</v>
      </c>
      <c r="I789" s="1311">
        <f>+VLOOKUP(B789,Composición!$C$4:$H$1742,6,0)-E789</f>
        <v>0</v>
      </c>
      <c r="J789" s="830"/>
    </row>
    <row r="790" spans="1:16" s="31" customFormat="1" ht="16.5" customHeight="1">
      <c r="A790" s="31" t="str">
        <f t="shared" si="28"/>
        <v>NI</v>
      </c>
      <c r="B790" s="1220">
        <v>51307</v>
      </c>
      <c r="C790" s="1221" t="s">
        <v>468</v>
      </c>
      <c r="D790" s="1222">
        <v>732747236</v>
      </c>
      <c r="E790" s="1223">
        <v>96736.91</v>
      </c>
      <c r="F790" s="1058">
        <f>+VLOOKUP(B790,Composición!$C$5:$D$1768,1,0)</f>
        <v>51307</v>
      </c>
      <c r="G790" s="1058">
        <f>+VLOOKUP(B790,'CA FE'!$A:$A,1,0)</f>
        <v>51307</v>
      </c>
      <c r="H790" s="1048">
        <f>+VLOOKUP(B790,Composición!$C$4:$H$1742,5,0)-D790</f>
        <v>-732747236</v>
      </c>
      <c r="I790" s="1214">
        <f>+VLOOKUP(B790,Composición!$C$4:$H$1742,6,0)-E790</f>
        <v>-96736.91</v>
      </c>
      <c r="J790" s="827"/>
      <c r="M790" s="14"/>
      <c r="N790" s="14"/>
      <c r="O790" s="14"/>
      <c r="P790" s="14"/>
    </row>
    <row r="791" spans="1:16" s="31" customFormat="1" ht="16.5" customHeight="1">
      <c r="A791" s="31" t="str">
        <f t="shared" si="28"/>
        <v>NI</v>
      </c>
      <c r="B791" s="1220">
        <v>513071</v>
      </c>
      <c r="C791" s="1221" t="s">
        <v>468</v>
      </c>
      <c r="D791" s="1222">
        <v>732747236</v>
      </c>
      <c r="E791" s="1223">
        <v>96736.91</v>
      </c>
      <c r="F791" s="1058">
        <f>+VLOOKUP(B791,Composición!$C$5:$D$1768,1,0)</f>
        <v>513071</v>
      </c>
      <c r="G791" s="1058">
        <f>+VLOOKUP(B791,'CA FE'!$A:$A,1,0)</f>
        <v>513071</v>
      </c>
      <c r="H791" s="1048">
        <f>+VLOOKUP(B791,Composición!$C$4:$H$1742,5,0)-D791</f>
        <v>-732747236</v>
      </c>
      <c r="I791" s="1214">
        <f>+VLOOKUP(B791,Composición!$C$4:$H$1742,6,0)-E791</f>
        <v>-96736.91</v>
      </c>
      <c r="J791" s="827"/>
      <c r="M791" s="14"/>
      <c r="N791" s="14"/>
      <c r="O791" s="14"/>
      <c r="P791" s="14"/>
    </row>
    <row r="792" spans="1:16" s="31" customFormat="1" ht="16.5" customHeight="1">
      <c r="A792" s="31" t="str">
        <f t="shared" si="28"/>
        <v>NI</v>
      </c>
      <c r="B792" s="1220">
        <v>5130711</v>
      </c>
      <c r="C792" s="1221" t="s">
        <v>468</v>
      </c>
      <c r="D792" s="1222">
        <v>732747236</v>
      </c>
      <c r="E792" s="1223">
        <v>96736.91</v>
      </c>
      <c r="F792" s="1058">
        <f>+VLOOKUP(B792,Composición!$C$5:$D$1768,1,0)</f>
        <v>5130711</v>
      </c>
      <c r="G792" s="1058">
        <f>+VLOOKUP(B792,'CA FE'!$A:$A,1,0)</f>
        <v>5130711</v>
      </c>
      <c r="H792" s="1048">
        <f>+VLOOKUP(B792,Composición!$C$4:$H$1742,5,0)-D792</f>
        <v>-732747236</v>
      </c>
      <c r="I792" s="1214">
        <f>+VLOOKUP(B792,Composición!$C$4:$H$1742,6,0)-E792</f>
        <v>-96736.91</v>
      </c>
      <c r="J792" s="827"/>
      <c r="M792" s="14"/>
      <c r="N792" s="14"/>
      <c r="O792" s="14"/>
      <c r="P792" s="14"/>
    </row>
    <row r="793" spans="1:16" s="31" customFormat="1" ht="16.5" customHeight="1">
      <c r="A793" s="31" t="str">
        <f t="shared" si="28"/>
        <v>NI</v>
      </c>
      <c r="B793" s="1220">
        <v>51307111</v>
      </c>
      <c r="C793" s="1221" t="s">
        <v>469</v>
      </c>
      <c r="D793" s="1222">
        <v>732747236</v>
      </c>
      <c r="E793" s="1223">
        <v>96736.91</v>
      </c>
      <c r="F793" s="1058">
        <f>+VLOOKUP(B793,Composición!$C$5:$D$1768,1,0)</f>
        <v>51307111</v>
      </c>
      <c r="G793" s="1058">
        <f>+VLOOKUP(B793,'CA FE'!$A:$A,1,0)</f>
        <v>51307111</v>
      </c>
      <c r="H793" s="1048">
        <f>+VLOOKUP(B793,Composición!$C$4:$H$1742,5,0)-D793</f>
        <v>-732747236</v>
      </c>
      <c r="I793" s="1214">
        <f>+VLOOKUP(B793,Composición!$C$4:$H$1742,6,0)-E793</f>
        <v>-96736.91</v>
      </c>
      <c r="J793" s="827"/>
      <c r="M793" s="14"/>
      <c r="N793" s="14"/>
      <c r="O793" s="14"/>
      <c r="P793" s="14"/>
    </row>
    <row r="794" spans="1:16" s="14" customFormat="1" ht="16.5" customHeight="1">
      <c r="A794" s="14" t="str">
        <f t="shared" si="28"/>
        <v>I</v>
      </c>
      <c r="B794" s="1203">
        <v>5130711101</v>
      </c>
      <c r="C794" t="s">
        <v>470</v>
      </c>
      <c r="D794" s="1308">
        <v>347896370</v>
      </c>
      <c r="E794" s="1309">
        <v>45880.17</v>
      </c>
      <c r="F794" s="818">
        <f>+VLOOKUP(B794,Composición!$C$5:$D$1768,1,0)</f>
        <v>5130711101</v>
      </c>
      <c r="G794" s="818">
        <f>+VLOOKUP(B794,'CA FE'!$A:$A,1,0)</f>
        <v>5130711101</v>
      </c>
      <c r="H794" s="1049">
        <f>+VLOOKUP(B794,Composición!$C$4:$H$1742,5,0)-D794</f>
        <v>0</v>
      </c>
      <c r="I794" s="1311">
        <f>+VLOOKUP(B794,Composición!$C$4:$H$1742,6,0)-E794</f>
        <v>0</v>
      </c>
      <c r="J794" s="830"/>
    </row>
    <row r="795" spans="1:16" s="14" customFormat="1" ht="16.5" customHeight="1">
      <c r="A795" s="14" t="str">
        <f t="shared" si="28"/>
        <v>I</v>
      </c>
      <c r="B795" s="1203">
        <v>5130711102</v>
      </c>
      <c r="C795" t="s">
        <v>471</v>
      </c>
      <c r="D795" s="1308">
        <v>75397480</v>
      </c>
      <c r="E795" s="1309">
        <v>10057.14</v>
      </c>
      <c r="F795" s="818">
        <f>+VLOOKUP(B795,Composición!$C$5:$D$1768,1,0)</f>
        <v>5130711102</v>
      </c>
      <c r="G795" s="818">
        <f>+VLOOKUP(B795,'CA FE'!$A:$A,1,0)</f>
        <v>5130711102</v>
      </c>
      <c r="H795" s="1049">
        <f>+VLOOKUP(B795,Composición!$C$4:$H$1742,5,0)-D795</f>
        <v>0</v>
      </c>
      <c r="I795" s="1311">
        <f>+VLOOKUP(B795,Composición!$C$4:$H$1742,6,0)-E795</f>
        <v>0</v>
      </c>
      <c r="J795" s="830"/>
    </row>
    <row r="796" spans="1:16" s="14" customFormat="1" ht="16.5" customHeight="1">
      <c r="A796" s="14" t="str">
        <f t="shared" si="28"/>
        <v>I</v>
      </c>
      <c r="B796" s="1203">
        <v>5130711103</v>
      </c>
      <c r="C796" t="s">
        <v>472</v>
      </c>
      <c r="D796" s="1308">
        <v>309453386</v>
      </c>
      <c r="E796" s="1309">
        <v>40799.599999999999</v>
      </c>
      <c r="F796" s="818">
        <f>+VLOOKUP(B796,Composición!$C$5:$D$1768,1,0)</f>
        <v>5130711103</v>
      </c>
      <c r="G796" s="818">
        <f>+VLOOKUP(B796,'CA FE'!$A:$A,1,0)</f>
        <v>5130711103</v>
      </c>
      <c r="H796" s="1049">
        <f>+VLOOKUP(B796,Composición!$C$4:$H$1742,5,0)-D796</f>
        <v>0</v>
      </c>
      <c r="I796" s="1311">
        <f>+VLOOKUP(B796,Composición!$C$4:$H$1742,6,0)-E796</f>
        <v>0</v>
      </c>
      <c r="J796" s="830"/>
    </row>
    <row r="797" spans="1:16" s="31" customFormat="1" ht="16.5" customHeight="1">
      <c r="A797" s="31" t="str">
        <f t="shared" si="28"/>
        <v>NI</v>
      </c>
      <c r="B797" s="1220">
        <v>51309</v>
      </c>
      <c r="C797" s="1221" t="s">
        <v>473</v>
      </c>
      <c r="D797" s="1222">
        <v>24080661</v>
      </c>
      <c r="E797" s="1223">
        <v>3267.51</v>
      </c>
      <c r="F797" s="1058">
        <f>+VLOOKUP(B797,Composición!$C$5:$D$1768,1,0)</f>
        <v>51309</v>
      </c>
      <c r="G797" s="1058">
        <f>+VLOOKUP(B797,'CA FE'!$A:$A,1,0)</f>
        <v>51309</v>
      </c>
      <c r="H797" s="1048">
        <f>+VLOOKUP(B797,Composición!$C$4:$H$1742,5,0)-D797</f>
        <v>-24080661</v>
      </c>
      <c r="I797" s="1214">
        <f>+VLOOKUP(B797,Composición!$C$4:$H$1742,6,0)-E797</f>
        <v>-3267.51</v>
      </c>
      <c r="J797" s="827"/>
      <c r="M797" s="14"/>
      <c r="N797" s="14"/>
      <c r="O797" s="14"/>
      <c r="P797" s="14"/>
    </row>
    <row r="798" spans="1:16" s="31" customFormat="1" ht="16.5" customHeight="1">
      <c r="A798" s="31" t="str">
        <f t="shared" si="28"/>
        <v>NI</v>
      </c>
      <c r="B798" s="1220">
        <v>513091</v>
      </c>
      <c r="C798" s="1221" t="s">
        <v>473</v>
      </c>
      <c r="D798" s="1222">
        <v>24080661</v>
      </c>
      <c r="E798" s="1223">
        <v>3267.51</v>
      </c>
      <c r="F798" s="1058">
        <f>+VLOOKUP(B798,Composición!$C$5:$D$1768,1,0)</f>
        <v>513091</v>
      </c>
      <c r="G798" s="1058">
        <f>+VLOOKUP(B798,'CA FE'!$A:$A,1,0)</f>
        <v>513091</v>
      </c>
      <c r="H798" s="1048">
        <f>+VLOOKUP(B798,Composición!$C$4:$H$1742,5,0)-D798</f>
        <v>-24080661</v>
      </c>
      <c r="I798" s="1214">
        <f>+VLOOKUP(B798,Composición!$C$4:$H$1742,6,0)-E798</f>
        <v>-3267.51</v>
      </c>
      <c r="J798" s="827"/>
      <c r="M798" s="14"/>
      <c r="N798" s="14"/>
      <c r="O798" s="14"/>
      <c r="P798" s="14"/>
    </row>
    <row r="799" spans="1:16" s="31" customFormat="1" ht="16.5" customHeight="1">
      <c r="A799" s="31" t="str">
        <f t="shared" si="28"/>
        <v>NI</v>
      </c>
      <c r="B799" s="1220">
        <v>5130911</v>
      </c>
      <c r="C799" s="1221" t="s">
        <v>473</v>
      </c>
      <c r="D799" s="1222">
        <v>24080661</v>
      </c>
      <c r="E799" s="1223">
        <v>3267.51</v>
      </c>
      <c r="F799" s="1058">
        <f>+VLOOKUP(B799,Composición!$C$5:$D$1768,1,0)</f>
        <v>5130911</v>
      </c>
      <c r="G799" s="1058">
        <f>+VLOOKUP(B799,'CA FE'!$A:$A,1,0)</f>
        <v>5130911</v>
      </c>
      <c r="H799" s="1048">
        <f>+VLOOKUP(B799,Composición!$C$4:$H$1742,5,0)-D799</f>
        <v>-24080661</v>
      </c>
      <c r="I799" s="1214">
        <f>+VLOOKUP(B799,Composición!$C$4:$H$1742,6,0)-E799</f>
        <v>-3267.51</v>
      </c>
      <c r="J799" s="827"/>
      <c r="M799" s="14"/>
      <c r="N799" s="14"/>
      <c r="O799" s="14"/>
      <c r="P799" s="14"/>
    </row>
    <row r="800" spans="1:16" s="31" customFormat="1" ht="16.5" customHeight="1">
      <c r="A800" s="31" t="str">
        <f t="shared" si="28"/>
        <v>NI</v>
      </c>
      <c r="B800" s="1220">
        <v>51309111</v>
      </c>
      <c r="C800" s="1221" t="s">
        <v>473</v>
      </c>
      <c r="D800" s="1222">
        <v>24080661</v>
      </c>
      <c r="E800" s="1223">
        <v>3267.51</v>
      </c>
      <c r="F800" s="1058">
        <f>+VLOOKUP(B800,Composición!$C$5:$D$1768,1,0)</f>
        <v>51309111</v>
      </c>
      <c r="G800" s="1058">
        <f>+VLOOKUP(B800,'CA FE'!$A:$A,1,0)</f>
        <v>51309111</v>
      </c>
      <c r="H800" s="1048">
        <f>+VLOOKUP(B800,Composición!$C$4:$H$1742,5,0)-D800</f>
        <v>-24080661</v>
      </c>
      <c r="I800" s="1214">
        <f>+VLOOKUP(B800,Composición!$C$4:$H$1742,6,0)-E800</f>
        <v>-3267.51</v>
      </c>
      <c r="J800" s="827"/>
      <c r="M800" s="14"/>
      <c r="N800" s="14"/>
      <c r="O800" s="14"/>
      <c r="P800" s="14"/>
    </row>
    <row r="801" spans="1:16" s="14" customFormat="1" ht="16.5" customHeight="1">
      <c r="A801" s="14" t="str">
        <f t="shared" si="28"/>
        <v>I</v>
      </c>
      <c r="B801" s="1203">
        <v>5130911102</v>
      </c>
      <c r="C801" t="s">
        <v>474</v>
      </c>
      <c r="D801" s="1308">
        <v>15266398</v>
      </c>
      <c r="E801" s="1309">
        <v>2056.7399999999998</v>
      </c>
      <c r="F801" s="818">
        <f>+VLOOKUP(B801,Composición!$C$5:$D$1768,1,0)</f>
        <v>5130911102</v>
      </c>
      <c r="G801" s="818">
        <f>+VLOOKUP(B801,'CA FE'!$A:$A,1,0)</f>
        <v>5130911102</v>
      </c>
      <c r="H801" s="1049">
        <f>+VLOOKUP(B801,Composición!$C$4:$H$1742,5,0)-D801</f>
        <v>0</v>
      </c>
      <c r="I801" s="1311">
        <f>+VLOOKUP(B801,Composición!$C$4:$H$1742,6,0)-E801</f>
        <v>0</v>
      </c>
      <c r="J801" s="830"/>
    </row>
    <row r="802" spans="1:16" s="14" customFormat="1" ht="16.5" customHeight="1">
      <c r="A802" s="14" t="str">
        <f t="shared" si="28"/>
        <v>I</v>
      </c>
      <c r="B802" s="1203">
        <v>5130911104</v>
      </c>
      <c r="C802" t="s">
        <v>611</v>
      </c>
      <c r="D802" s="1308">
        <v>4731917</v>
      </c>
      <c r="E802" s="1309">
        <v>648.37</v>
      </c>
      <c r="F802" s="818">
        <f>+VLOOKUP(B802,Composición!$C$5:$D$1768,1,0)</f>
        <v>5130911104</v>
      </c>
      <c r="G802" s="818">
        <f>+VLOOKUP(B802,'CA FE'!$A:$A,1,0)</f>
        <v>5130911104</v>
      </c>
      <c r="H802" s="1049">
        <f>+VLOOKUP(B802,Composición!$C$4:$H$1742,5,0)-D802</f>
        <v>0</v>
      </c>
      <c r="I802" s="1311">
        <f>+VLOOKUP(B802,Composición!$C$4:$H$1742,6,0)-E802</f>
        <v>0</v>
      </c>
      <c r="J802" s="830"/>
    </row>
    <row r="803" spans="1:16" s="14" customFormat="1" ht="16.5" customHeight="1">
      <c r="A803" s="14" t="str">
        <f t="shared" si="28"/>
        <v>I</v>
      </c>
      <c r="B803" s="1203">
        <v>5130911105</v>
      </c>
      <c r="C803" t="s">
        <v>475</v>
      </c>
      <c r="D803" s="1308">
        <v>4082346</v>
      </c>
      <c r="E803" s="1309">
        <v>562.4</v>
      </c>
      <c r="F803" s="818">
        <f>+VLOOKUP(B803,Composición!$C$5:$D$1768,1,0)</f>
        <v>5130911105</v>
      </c>
      <c r="G803" s="818">
        <f>+VLOOKUP(B803,'CA FE'!$A:$A,1,0)</f>
        <v>5130911105</v>
      </c>
      <c r="H803" s="1049">
        <f>+VLOOKUP(B803,Composición!$C$4:$H$1742,5,0)-D803</f>
        <v>0</v>
      </c>
      <c r="I803" s="1311">
        <f>+VLOOKUP(B803,Composición!$C$4:$H$1742,6,0)-E803</f>
        <v>0</v>
      </c>
      <c r="J803" s="830"/>
    </row>
    <row r="804" spans="1:16" s="31" customFormat="1" ht="16.5" customHeight="1">
      <c r="A804" s="31" t="str">
        <f t="shared" si="28"/>
        <v>NI</v>
      </c>
      <c r="B804" s="1220">
        <v>513101</v>
      </c>
      <c r="C804" s="1221" t="s">
        <v>476</v>
      </c>
      <c r="D804" s="1222">
        <v>1006453941</v>
      </c>
      <c r="E804" s="1223">
        <v>133097.05000000002</v>
      </c>
      <c r="F804" s="1058">
        <f>+VLOOKUP(B804,Composición!$C$5:$D$1768,1,0)</f>
        <v>513101</v>
      </c>
      <c r="G804" s="1058">
        <f>+VLOOKUP(B804,'CA FE'!$A:$A,1,0)</f>
        <v>513101</v>
      </c>
      <c r="H804" s="1048">
        <f>+VLOOKUP(B804,Composición!$C$4:$H$1742,5,0)-D804</f>
        <v>-1006453941</v>
      </c>
      <c r="I804" s="1214">
        <f>+VLOOKUP(B804,Composición!$C$4:$H$1742,6,0)-E804</f>
        <v>-133097.05000000002</v>
      </c>
      <c r="J804" s="827"/>
      <c r="M804" s="14"/>
      <c r="N804" s="14"/>
      <c r="O804" s="14"/>
      <c r="P804" s="14"/>
    </row>
    <row r="805" spans="1:16" s="31" customFormat="1" ht="16.5" customHeight="1">
      <c r="A805" s="31" t="str">
        <f t="shared" si="28"/>
        <v>NI</v>
      </c>
      <c r="B805" s="1220">
        <v>5131011</v>
      </c>
      <c r="C805" s="1221" t="s">
        <v>476</v>
      </c>
      <c r="D805" s="1222">
        <v>1006453941</v>
      </c>
      <c r="E805" s="1223">
        <v>133097.05000000002</v>
      </c>
      <c r="F805" s="1058">
        <f>+VLOOKUP(B805,Composición!$C$5:$D$1768,1,0)</f>
        <v>5131011</v>
      </c>
      <c r="G805" s="1058">
        <f>+VLOOKUP(B805,'CA FE'!$A:$A,1,0)</f>
        <v>5131011</v>
      </c>
      <c r="H805" s="1048">
        <f>+VLOOKUP(B805,Composición!$C$4:$H$1742,5,0)-D805</f>
        <v>-1006453941</v>
      </c>
      <c r="I805" s="1214">
        <f>+VLOOKUP(B805,Composición!$C$4:$H$1742,6,0)-E805</f>
        <v>-133097.05000000002</v>
      </c>
      <c r="J805" s="827"/>
      <c r="M805" s="14"/>
      <c r="N805" s="14"/>
      <c r="O805" s="14"/>
      <c r="P805" s="14"/>
    </row>
    <row r="806" spans="1:16" s="31" customFormat="1" ht="16.5" customHeight="1">
      <c r="A806" s="31" t="str">
        <f t="shared" si="28"/>
        <v>NI</v>
      </c>
      <c r="B806" s="1220">
        <v>51310111</v>
      </c>
      <c r="C806" s="1221" t="s">
        <v>476</v>
      </c>
      <c r="D806" s="1222">
        <v>1006453941</v>
      </c>
      <c r="E806" s="1223">
        <v>133097.05000000002</v>
      </c>
      <c r="F806" s="1058">
        <f>+VLOOKUP(B806,Composición!$C$5:$D$1768,1,0)</f>
        <v>51310111</v>
      </c>
      <c r="G806" s="1058">
        <f>+VLOOKUP(B806,'CA FE'!$A:$A,1,0)</f>
        <v>51310111</v>
      </c>
      <c r="H806" s="31">
        <f>+VLOOKUP(B806,Composición!$C$4:$H$1742,5,0)</f>
        <v>0</v>
      </c>
      <c r="I806" s="31">
        <f>+VLOOKUP(B806,Composición!$C$4:$H$1742,6,0)</f>
        <v>0</v>
      </c>
      <c r="J806" s="827"/>
      <c r="M806" s="14"/>
      <c r="N806" s="14"/>
      <c r="O806" s="14"/>
      <c r="P806" s="14"/>
    </row>
    <row r="807" spans="1:16" s="14" customFormat="1" ht="16.5" customHeight="1">
      <c r="A807" s="14" t="str">
        <f t="shared" si="28"/>
        <v>I</v>
      </c>
      <c r="B807" s="1203">
        <v>5131011101</v>
      </c>
      <c r="C807" t="s">
        <v>477</v>
      </c>
      <c r="D807" s="1308">
        <v>13932024</v>
      </c>
      <c r="E807" s="1309">
        <v>1841.49</v>
      </c>
      <c r="F807" s="818">
        <f>+VLOOKUP(B807,Composición!$C$5:$D$1768,1,0)</f>
        <v>5131011101</v>
      </c>
      <c r="G807" s="818">
        <f>+VLOOKUP(B807,'CA FE'!$A:$A,1,0)</f>
        <v>5131011101</v>
      </c>
      <c r="H807" s="14">
        <f>+VLOOKUP(B807,Composición!$C$4:$H$1742,5,0)</f>
        <v>13932024</v>
      </c>
      <c r="I807" s="14">
        <f>+VLOOKUP(B807,Composición!$C$4:$H$1742,6,0)</f>
        <v>1841.49</v>
      </c>
      <c r="J807" s="830"/>
    </row>
    <row r="808" spans="1:16" s="14" customFormat="1" ht="16.5" customHeight="1">
      <c r="A808" s="14" t="str">
        <f t="shared" si="28"/>
        <v>I</v>
      </c>
      <c r="B808" s="1203">
        <v>5131011102</v>
      </c>
      <c r="C808" t="s">
        <v>478</v>
      </c>
      <c r="D808" s="1308">
        <v>26790173</v>
      </c>
      <c r="E808" s="1309">
        <v>3530.09</v>
      </c>
      <c r="F808" s="818">
        <f>+VLOOKUP(B808,Composición!$C$5:$D$1768,1,0)</f>
        <v>5131011102</v>
      </c>
      <c r="G808" s="818">
        <f>+VLOOKUP(B808,'CA FE'!$A:$A,1,0)</f>
        <v>5131011102</v>
      </c>
      <c r="H808" s="14">
        <f>+VLOOKUP(B808,Composición!$C$4:$H$1742,5,0)</f>
        <v>26790173</v>
      </c>
      <c r="I808" s="14">
        <f>+VLOOKUP(B808,Composición!$C$4:$H$1742,6,0)</f>
        <v>3530.09</v>
      </c>
      <c r="J808" s="830"/>
    </row>
    <row r="809" spans="1:16" s="14" customFormat="1" ht="16.5" customHeight="1">
      <c r="A809" s="14" t="str">
        <f t="shared" si="28"/>
        <v>I</v>
      </c>
      <c r="B809" s="1203">
        <v>5131011104</v>
      </c>
      <c r="C809" t="s">
        <v>479</v>
      </c>
      <c r="D809" s="1308">
        <v>132307994</v>
      </c>
      <c r="E809" s="1309">
        <v>17556.46</v>
      </c>
      <c r="F809" s="818">
        <f>+VLOOKUP(B809,Composición!$C$5:$D$1768,1,0)</f>
        <v>5131011104</v>
      </c>
      <c r="G809" s="818">
        <f>+VLOOKUP(B809,'CA FE'!$A:$A,1,0)</f>
        <v>5131011104</v>
      </c>
      <c r="H809" s="14">
        <f>+VLOOKUP(B809,Composición!$C$4:$H$1742,5,0)</f>
        <v>132307994</v>
      </c>
      <c r="I809" s="14">
        <f>+VLOOKUP(B809,Composición!$C$4:$H$1742,6,0)</f>
        <v>17556.46</v>
      </c>
      <c r="J809" s="830"/>
    </row>
    <row r="810" spans="1:16" s="14" customFormat="1" ht="16.5" customHeight="1">
      <c r="A810" s="14" t="str">
        <f t="shared" ref="A810:A864" si="29">IF(LEN(B810)&gt;8,"I","NI")</f>
        <v>I</v>
      </c>
      <c r="B810" s="1203">
        <v>5131011105</v>
      </c>
      <c r="C810" t="s">
        <v>480</v>
      </c>
      <c r="D810" s="1308">
        <v>1872848</v>
      </c>
      <c r="E810" s="1309">
        <v>249.53999999999996</v>
      </c>
      <c r="F810" s="818">
        <f>+VLOOKUP(B810,Composición!$C$5:$D$1768,1,0)</f>
        <v>5131011105</v>
      </c>
      <c r="G810" s="818">
        <f>+VLOOKUP(B810,'CA FE'!$A:$A,1,0)</f>
        <v>5131011105</v>
      </c>
      <c r="H810" s="14">
        <f>+VLOOKUP(B810,Composición!$C$4:$H$1742,5,0)</f>
        <v>1872848</v>
      </c>
      <c r="I810" s="14">
        <f>+VLOOKUP(B810,Composición!$C$4:$H$1742,6,0)</f>
        <v>249.53999999999996</v>
      </c>
      <c r="J810" s="830"/>
    </row>
    <row r="811" spans="1:16" s="14" customFormat="1" ht="16.5" customHeight="1">
      <c r="A811" s="14" t="str">
        <f t="shared" si="29"/>
        <v>I</v>
      </c>
      <c r="B811" s="1203">
        <v>5131011106</v>
      </c>
      <c r="C811" t="s">
        <v>481</v>
      </c>
      <c r="D811" s="1308">
        <v>7913999</v>
      </c>
      <c r="E811" s="1309">
        <v>1041.69</v>
      </c>
      <c r="F811" s="818">
        <f>+VLOOKUP(B811,Composición!$C$5:$D$1768,1,0)</f>
        <v>5131011106</v>
      </c>
      <c r="G811" s="818">
        <f>+VLOOKUP(B811,'CA FE'!$A:$A,1,0)</f>
        <v>5131011106</v>
      </c>
      <c r="H811" s="1049">
        <f>+VLOOKUP(B811,Composición!$C$4:$H$1742,5,0)-D811</f>
        <v>0</v>
      </c>
      <c r="I811" s="1311">
        <f>+VLOOKUP(B811,Composición!$C$4:$H$1742,6,0)-E811</f>
        <v>0</v>
      </c>
      <c r="J811" s="830"/>
    </row>
    <row r="812" spans="1:16" s="14" customFormat="1" ht="16.5" customHeight="1">
      <c r="A812" s="14" t="str">
        <f t="shared" si="29"/>
        <v>I</v>
      </c>
      <c r="B812" s="1203">
        <v>5131011107</v>
      </c>
      <c r="C812" t="s">
        <v>482</v>
      </c>
      <c r="D812" s="1308">
        <v>86364</v>
      </c>
      <c r="E812" s="1309">
        <v>10.91</v>
      </c>
      <c r="F812" s="818">
        <f>+VLOOKUP(B812,Composición!$C$5:$D$1768,1,0)</f>
        <v>5131011107</v>
      </c>
      <c r="G812" s="818">
        <f>+VLOOKUP(B812,'CA FE'!$A:$A,1,0)</f>
        <v>5131011107</v>
      </c>
      <c r="H812" s="1049">
        <f>+VLOOKUP(B812,Composición!$C$4:$H$1742,5,0)-D812</f>
        <v>0</v>
      </c>
      <c r="I812" s="1311">
        <f>+VLOOKUP(B812,Composición!$C$4:$H$1742,6,0)-E812</f>
        <v>0</v>
      </c>
      <c r="J812" s="830"/>
    </row>
    <row r="813" spans="1:16" s="14" customFormat="1" ht="16.5" customHeight="1">
      <c r="A813" s="14" t="str">
        <f t="shared" si="29"/>
        <v>I</v>
      </c>
      <c r="B813" s="1203">
        <v>5131011108</v>
      </c>
      <c r="C813" t="s">
        <v>483</v>
      </c>
      <c r="D813" s="1308">
        <v>26649600</v>
      </c>
      <c r="E813" s="1309">
        <v>3510.24</v>
      </c>
      <c r="F813" s="818">
        <f>+VLOOKUP(B813,Composición!$C$5:$D$1768,1,0)</f>
        <v>5131011108</v>
      </c>
      <c r="G813" s="818">
        <f>+VLOOKUP(B813,'CA FE'!$A:$A,1,0)</f>
        <v>5131011108</v>
      </c>
      <c r="H813" s="14">
        <f>+VLOOKUP(B813,Composición!$C$4:$H$1742,5,0)</f>
        <v>26649600</v>
      </c>
      <c r="I813" s="14">
        <f>+VLOOKUP(B813,Composición!$C$4:$H$1742,6,0)</f>
        <v>3510.24</v>
      </c>
      <c r="J813" s="830"/>
    </row>
    <row r="814" spans="1:16" s="14" customFormat="1" ht="16.5" customHeight="1">
      <c r="A814" s="14" t="str">
        <f t="shared" si="29"/>
        <v>I</v>
      </c>
      <c r="B814" s="1203">
        <v>5131011110</v>
      </c>
      <c r="C814" t="s">
        <v>484</v>
      </c>
      <c r="D814" s="1308">
        <v>57681507</v>
      </c>
      <c r="E814" s="1309">
        <v>7711.34</v>
      </c>
      <c r="F814" s="818">
        <f>+VLOOKUP(B814,Composición!$C$5:$D$1768,1,0)</f>
        <v>5131011110</v>
      </c>
      <c r="G814" s="818">
        <f>+VLOOKUP(B814,'CA FE'!$A:$A,1,0)</f>
        <v>5131011110</v>
      </c>
      <c r="H814" s="1049">
        <f>+VLOOKUP(B814,Composición!$C$4:$H$1742,5,0)-D814</f>
        <v>0</v>
      </c>
      <c r="I814" s="1311">
        <f>+VLOOKUP(B814,Composición!$C$4:$H$1742,6,0)-E814</f>
        <v>0</v>
      </c>
      <c r="J814" s="830"/>
    </row>
    <row r="815" spans="1:16" s="14" customFormat="1" ht="16.5" customHeight="1">
      <c r="A815" s="14" t="str">
        <f t="shared" si="29"/>
        <v>I</v>
      </c>
      <c r="B815" s="1203">
        <v>5131011112</v>
      </c>
      <c r="C815" t="s">
        <v>485</v>
      </c>
      <c r="D815" s="1308">
        <v>65979091</v>
      </c>
      <c r="E815" s="1309">
        <v>8468.2200000000012</v>
      </c>
      <c r="F815" s="818">
        <f>+VLOOKUP(B815,Composición!$C$5:$D$1768,1,0)</f>
        <v>5131011112</v>
      </c>
      <c r="G815" s="818">
        <f>+VLOOKUP(B815,'CA FE'!$A:$A,1,0)</f>
        <v>5131011112</v>
      </c>
      <c r="H815" s="1049">
        <f>+VLOOKUP(B815,Composición!$C$4:$H$1742,5,0)-D815</f>
        <v>0</v>
      </c>
      <c r="I815" s="1311">
        <f>+VLOOKUP(B815,Composición!$C$4:$H$1742,6,0)-E815</f>
        <v>0</v>
      </c>
      <c r="J815" s="830"/>
    </row>
    <row r="816" spans="1:16" s="14" customFormat="1" ht="16.5" customHeight="1">
      <c r="A816" s="14" t="str">
        <f t="shared" si="29"/>
        <v>I</v>
      </c>
      <c r="B816" s="1203">
        <v>5131011113</v>
      </c>
      <c r="C816" t="s">
        <v>486</v>
      </c>
      <c r="D816" s="1308">
        <v>3308073</v>
      </c>
      <c r="E816" s="1309">
        <v>441.58</v>
      </c>
      <c r="F816" s="818">
        <f>+VLOOKUP(B816,Composición!$C$5:$D$1768,1,0)</f>
        <v>5131011113</v>
      </c>
      <c r="G816" s="818">
        <f>+VLOOKUP(B816,'CA FE'!$A:$A,1,0)</f>
        <v>5131011113</v>
      </c>
      <c r="H816" s="1049">
        <f>+VLOOKUP(B816,Composición!$C$4:$H$1742,5,0)-D816</f>
        <v>0</v>
      </c>
      <c r="I816" s="1311">
        <f>+VLOOKUP(B816,Composición!$C$4:$H$1742,6,0)-E816</f>
        <v>0</v>
      </c>
      <c r="J816" s="830"/>
    </row>
    <row r="817" spans="1:16" s="14" customFormat="1" ht="16.5" customHeight="1">
      <c r="A817" s="14" t="str">
        <f t="shared" si="29"/>
        <v>I</v>
      </c>
      <c r="B817" s="1203">
        <v>5131011114</v>
      </c>
      <c r="C817" t="s">
        <v>487</v>
      </c>
      <c r="D817" s="1308">
        <v>7104903</v>
      </c>
      <c r="E817" s="1309">
        <v>937.02</v>
      </c>
      <c r="F817" s="818">
        <f>+VLOOKUP(B817,Composición!$C$5:$D$1768,1,0)</f>
        <v>5131011114</v>
      </c>
      <c r="G817" s="818">
        <f>+VLOOKUP(B817,'CA FE'!$A:$A,1,0)</f>
        <v>5131011114</v>
      </c>
      <c r="H817" s="14">
        <f>+VLOOKUP(B817,Composición!$C$4:$H$1742,5,0)</f>
        <v>7104903</v>
      </c>
      <c r="I817" s="14">
        <f>+VLOOKUP(B817,Composición!$C$4:$H$1742,6,0)</f>
        <v>937.02</v>
      </c>
      <c r="J817" s="830"/>
    </row>
    <row r="818" spans="1:16" s="14" customFormat="1" ht="16.5" customHeight="1">
      <c r="A818" s="14" t="str">
        <f t="shared" si="29"/>
        <v>I</v>
      </c>
      <c r="B818" s="1203">
        <v>5131011115</v>
      </c>
      <c r="C818" t="s">
        <v>488</v>
      </c>
      <c r="D818" s="1308">
        <v>54938090</v>
      </c>
      <c r="E818" s="1309">
        <v>7232.75</v>
      </c>
      <c r="F818" s="818">
        <f>+VLOOKUP(B818,Composición!$C$5:$D$1768,1,0)</f>
        <v>5131011115</v>
      </c>
      <c r="G818" s="818">
        <f>+VLOOKUP(B818,'CA FE'!$A:$A,1,0)</f>
        <v>5131011115</v>
      </c>
      <c r="H818" s="1049">
        <f>+VLOOKUP(B818,Composición!$C$4:$H$1742,5,0)-D818</f>
        <v>0</v>
      </c>
      <c r="I818" s="1311">
        <f>+VLOOKUP(B818,Composición!$C$4:$H$1742,6,0)-E818</f>
        <v>0</v>
      </c>
      <c r="J818" s="830"/>
    </row>
    <row r="819" spans="1:16" s="14" customFormat="1" ht="16.5" customHeight="1">
      <c r="A819" s="14" t="str">
        <f t="shared" si="29"/>
        <v>I</v>
      </c>
      <c r="B819" s="1203">
        <v>5131011116</v>
      </c>
      <c r="C819" t="s">
        <v>489</v>
      </c>
      <c r="D819" s="1308">
        <v>49882726</v>
      </c>
      <c r="E819" s="1309">
        <v>6566.18</v>
      </c>
      <c r="F819" s="818">
        <f>+VLOOKUP(B819,Composición!$C$5:$D$1768,1,0)</f>
        <v>5131011116</v>
      </c>
      <c r="G819" s="818">
        <f>+VLOOKUP(B819,'CA FE'!$A:$A,1,0)</f>
        <v>5131011116</v>
      </c>
      <c r="H819" s="1049">
        <f>+VLOOKUP(B819,Composición!$C$4:$H$1742,5,0)-D819</f>
        <v>0</v>
      </c>
      <c r="I819" s="1311">
        <f>+VLOOKUP(B819,Composición!$C$4:$H$1742,6,0)-E819</f>
        <v>0</v>
      </c>
      <c r="J819" s="830"/>
    </row>
    <row r="820" spans="1:16" s="14" customFormat="1" ht="16.5" customHeight="1">
      <c r="A820" s="14" t="str">
        <f t="shared" si="29"/>
        <v>I</v>
      </c>
      <c r="B820" s="1203">
        <v>5131011117</v>
      </c>
      <c r="C820" t="s">
        <v>612</v>
      </c>
      <c r="D820" s="1308">
        <v>2180700</v>
      </c>
      <c r="E820" s="1309">
        <v>300</v>
      </c>
      <c r="F820" s="818">
        <f>+VLOOKUP(B820,Composición!$C$5:$D$1768,1,0)</f>
        <v>5131011117</v>
      </c>
      <c r="G820" s="818">
        <f>+VLOOKUP(B820,'CA FE'!$A:$A,1,0)</f>
        <v>5131011117</v>
      </c>
      <c r="H820" s="14">
        <f>+VLOOKUP(B820,Composición!$C$4:$H$1742,5,0)</f>
        <v>2180700</v>
      </c>
      <c r="I820" s="14">
        <f>+VLOOKUP(B820,Composición!$C$4:$H$1742,6,0)</f>
        <v>300</v>
      </c>
      <c r="J820" s="830"/>
    </row>
    <row r="821" spans="1:16" s="14" customFormat="1" ht="16.5" customHeight="1">
      <c r="A821" s="14" t="str">
        <f t="shared" si="29"/>
        <v>I</v>
      </c>
      <c r="B821" s="1203">
        <v>5131011119</v>
      </c>
      <c r="C821" t="s">
        <v>490</v>
      </c>
      <c r="D821" s="1308">
        <v>429654525</v>
      </c>
      <c r="E821" s="1309">
        <v>56621</v>
      </c>
      <c r="F821" s="818">
        <f>+VLOOKUP(B821,Composición!$C$5:$D$1768,1,0)</f>
        <v>5131011119</v>
      </c>
      <c r="G821" s="818">
        <f>+VLOOKUP(B821,'CA FE'!$A:$A,1,0)</f>
        <v>5131011119</v>
      </c>
      <c r="H821" s="14">
        <f>+VLOOKUP(B821,Composición!$C$4:$H$1742,5,0)</f>
        <v>429654525</v>
      </c>
      <c r="I821" s="14">
        <f>+VLOOKUP(B821,Composición!$C$4:$H$1742,6,0)</f>
        <v>56621</v>
      </c>
      <c r="J821" s="830"/>
    </row>
    <row r="822" spans="1:16" s="14" customFormat="1" ht="16.5" customHeight="1">
      <c r="A822" s="14" t="str">
        <f t="shared" si="29"/>
        <v>I</v>
      </c>
      <c r="B822" s="1203">
        <v>5131011122</v>
      </c>
      <c r="C822" t="s">
        <v>169</v>
      </c>
      <c r="D822" s="1308">
        <v>97336181</v>
      </c>
      <c r="E822" s="1309">
        <v>13230.44</v>
      </c>
      <c r="F822" s="818">
        <f>+VLOOKUP(B822,Composición!$C$5:$D$1768,1,0)</f>
        <v>5131011122</v>
      </c>
      <c r="G822" s="818">
        <f>+VLOOKUP(B822,'CA FE'!$A:$A,1,0)</f>
        <v>5131011122</v>
      </c>
      <c r="H822" s="14">
        <f>+VLOOKUP(B822,Composición!$C$4:$H$1742,5,0)</f>
        <v>97336181</v>
      </c>
      <c r="I822" s="14">
        <f>+VLOOKUP(B822,Composición!$C$4:$H$1742,6,0)</f>
        <v>13230.44</v>
      </c>
      <c r="J822" s="830"/>
    </row>
    <row r="823" spans="1:16" s="14" customFormat="1" ht="16.5" customHeight="1">
      <c r="A823" s="14" t="str">
        <f t="shared" si="29"/>
        <v>I</v>
      </c>
      <c r="B823" s="1203">
        <v>5131011123</v>
      </c>
      <c r="C823" t="s">
        <v>170</v>
      </c>
      <c r="D823" s="1308">
        <v>11068644</v>
      </c>
      <c r="E823" s="1309">
        <v>1498.63</v>
      </c>
      <c r="F823" s="818">
        <f>+VLOOKUP(B823,Composición!$C$5:$D$1768,1,0)</f>
        <v>5131011123</v>
      </c>
      <c r="G823" s="818">
        <f>+VLOOKUP(B823,'CA FE'!$A:$A,1,0)</f>
        <v>5131011123</v>
      </c>
      <c r="H823" s="14">
        <f>+VLOOKUP(B823,Composición!$C$4:$H$1742,5,0)</f>
        <v>11068644</v>
      </c>
      <c r="I823" s="14">
        <f>+VLOOKUP(B823,Composición!$C$4:$H$1742,6,0)</f>
        <v>1498.63</v>
      </c>
      <c r="J823" s="830"/>
    </row>
    <row r="824" spans="1:16" s="14" customFormat="1" ht="16.5" customHeight="1">
      <c r="A824" s="14" t="str">
        <f t="shared" si="29"/>
        <v>I</v>
      </c>
      <c r="B824" s="1203">
        <v>5131011199</v>
      </c>
      <c r="C824" t="s">
        <v>492</v>
      </c>
      <c r="D824" s="1308">
        <v>17766499</v>
      </c>
      <c r="E824" s="1309">
        <v>2349.4699999999998</v>
      </c>
      <c r="F824" s="818">
        <f>+VLOOKUP(B824,Composición!$C$5:$D$1768,1,0)</f>
        <v>5131011199</v>
      </c>
      <c r="G824" s="818">
        <f>+VLOOKUP(B824,'CA FE'!$A:$A,1,0)</f>
        <v>5131011199</v>
      </c>
      <c r="H824" s="14">
        <f>+VLOOKUP(B824,Composición!$C$4:$H$1742,5,0)</f>
        <v>17766499</v>
      </c>
      <c r="I824" s="14">
        <f>+VLOOKUP(B824,Composición!$C$4:$H$1742,6,0)</f>
        <v>2349.4699999999998</v>
      </c>
      <c r="J824" s="830"/>
    </row>
    <row r="825" spans="1:16" s="31" customFormat="1" ht="16.5" customHeight="1">
      <c r="A825" s="31" t="str">
        <f t="shared" si="29"/>
        <v>NI</v>
      </c>
      <c r="B825" s="1220">
        <v>514</v>
      </c>
      <c r="C825" s="1221" t="s">
        <v>493</v>
      </c>
      <c r="D825" s="1222">
        <v>18124797329</v>
      </c>
      <c r="E825" s="1223">
        <v>31495158.34</v>
      </c>
      <c r="F825" s="1058">
        <f>+VLOOKUP(B825,Composición!$C$5:$D$1768,1,0)</f>
        <v>514</v>
      </c>
      <c r="G825" s="1058">
        <f>+VLOOKUP(B825,'CA FE'!$A:$A,1,0)</f>
        <v>514</v>
      </c>
      <c r="H825" s="1048">
        <f>+VLOOKUP(B825,Composición!$C$4:$H$1742,5,0)-D825</f>
        <v>-18124797329</v>
      </c>
      <c r="I825" s="1214">
        <f>+VLOOKUP(B825,Composición!$C$4:$H$1742,6,0)-E825</f>
        <v>-31495158.34</v>
      </c>
      <c r="J825" s="827"/>
      <c r="M825" s="14"/>
      <c r="N825" s="14"/>
      <c r="O825" s="14"/>
      <c r="P825" s="14"/>
    </row>
    <row r="826" spans="1:16" s="31" customFormat="1" ht="16.5" customHeight="1">
      <c r="A826" s="31" t="str">
        <f t="shared" si="29"/>
        <v>NI</v>
      </c>
      <c r="B826" s="1220">
        <v>51401</v>
      </c>
      <c r="C826" s="1221" t="s">
        <v>494</v>
      </c>
      <c r="D826" s="1222">
        <v>18124797329</v>
      </c>
      <c r="E826" s="1223">
        <v>31495158.34</v>
      </c>
      <c r="F826" s="1058">
        <f>+VLOOKUP(B826,Composición!$C$5:$D$1768,1,0)</f>
        <v>51401</v>
      </c>
      <c r="G826" s="1058">
        <f>+VLOOKUP(B826,'CA FE'!$A:$A,1,0)</f>
        <v>51401</v>
      </c>
      <c r="H826" s="1048">
        <f>+VLOOKUP(B826,Composición!$C$4:$H$1742,5,0)-D826</f>
        <v>-18124797329</v>
      </c>
      <c r="I826" s="1214">
        <f>+VLOOKUP(B826,Composición!$C$4:$H$1742,6,0)-E826</f>
        <v>-31495158.34</v>
      </c>
      <c r="J826" s="827"/>
      <c r="M826" s="14"/>
      <c r="N826" s="14"/>
      <c r="O826" s="14"/>
      <c r="P826" s="14"/>
    </row>
    <row r="827" spans="1:16" s="31" customFormat="1" ht="16.5" customHeight="1">
      <c r="A827" s="31" t="str">
        <f t="shared" si="29"/>
        <v>NI</v>
      </c>
      <c r="B827" s="1220">
        <v>514011</v>
      </c>
      <c r="C827" s="1221" t="s">
        <v>494</v>
      </c>
      <c r="D827" s="1222">
        <v>18124797329</v>
      </c>
      <c r="E827" s="1223">
        <v>31495158.34</v>
      </c>
      <c r="F827" s="1058">
        <f>+VLOOKUP(B827,Composición!$C$5:$D$1768,1,0)</f>
        <v>514011</v>
      </c>
      <c r="G827" s="1058">
        <f>+VLOOKUP(B827,'CA FE'!$A:$A,1,0)</f>
        <v>514011</v>
      </c>
      <c r="H827" s="1048">
        <f>+VLOOKUP(B827,Composición!$C$4:$H$1742,5,0)-D827</f>
        <v>-18124797329</v>
      </c>
      <c r="I827" s="1214">
        <f>+VLOOKUP(B827,Composición!$C$4:$H$1742,6,0)-E827</f>
        <v>-31495158.34</v>
      </c>
      <c r="J827" s="827"/>
      <c r="M827" s="14"/>
      <c r="N827" s="14"/>
      <c r="O827" s="14"/>
      <c r="P827" s="14"/>
    </row>
    <row r="828" spans="1:16" s="31" customFormat="1" ht="16.5" customHeight="1">
      <c r="A828" s="31" t="str">
        <f t="shared" si="29"/>
        <v>NI</v>
      </c>
      <c r="B828" s="1220">
        <v>5140111</v>
      </c>
      <c r="C828" s="1221" t="s">
        <v>494</v>
      </c>
      <c r="D828" s="1222">
        <v>18124797329</v>
      </c>
      <c r="E828" s="1223">
        <v>31495158.34</v>
      </c>
      <c r="F828" s="1058">
        <f>+VLOOKUP(B828,Composición!$C$5:$D$1768,1,0)</f>
        <v>5140111</v>
      </c>
      <c r="G828" s="1058">
        <f>+VLOOKUP(B828,'CA FE'!$A:$A,1,0)</f>
        <v>5140111</v>
      </c>
      <c r="H828" s="31">
        <f>+VLOOKUP(B828,Composición!$C$4:$H$1742,5,0)</f>
        <v>0</v>
      </c>
      <c r="I828" s="31">
        <f>+VLOOKUP(B828,Composición!$C$4:$H$1742,6,0)</f>
        <v>0</v>
      </c>
      <c r="J828" s="827"/>
      <c r="M828" s="14"/>
      <c r="N828" s="14"/>
      <c r="O828" s="14"/>
      <c r="P828" s="14"/>
    </row>
    <row r="829" spans="1:16" s="31" customFormat="1" ht="16.5" customHeight="1">
      <c r="A829" s="31" t="str">
        <f t="shared" si="29"/>
        <v>NI</v>
      </c>
      <c r="B829" s="1220">
        <v>51401111</v>
      </c>
      <c r="C829" s="1221" t="s">
        <v>495</v>
      </c>
      <c r="D829" s="1222">
        <v>1857591523</v>
      </c>
      <c r="E829" s="1223">
        <v>243293.86</v>
      </c>
      <c r="F829" s="1058">
        <f>+VLOOKUP(B829,Composición!$C$5:$D$1768,1,0)</f>
        <v>51401111</v>
      </c>
      <c r="G829" s="1058">
        <f>+VLOOKUP(B829,'CA FE'!$A:$A,1,0)</f>
        <v>51401111</v>
      </c>
      <c r="H829" s="1048">
        <f>+VLOOKUP(B829,Composición!$C$4:$H$1742,5,0)-D829</f>
        <v>-1857591523</v>
      </c>
      <c r="I829" s="1214">
        <f>+VLOOKUP(B829,Composición!$C$4:$H$1742,6,0)-E829</f>
        <v>-243293.86</v>
      </c>
      <c r="J829" s="827"/>
      <c r="M829" s="14"/>
      <c r="N829" s="14"/>
      <c r="O829" s="14"/>
      <c r="P829" s="14"/>
    </row>
    <row r="830" spans="1:16" s="14" customFormat="1" ht="16.5" customHeight="1">
      <c r="A830" s="14" t="str">
        <f t="shared" si="29"/>
        <v>I</v>
      </c>
      <c r="B830" s="1203">
        <v>5140111101</v>
      </c>
      <c r="C830" t="s">
        <v>495</v>
      </c>
      <c r="D830" s="1308">
        <v>93953719</v>
      </c>
      <c r="E830" s="1309">
        <v>12492.519999999997</v>
      </c>
      <c r="F830" s="818">
        <f>+VLOOKUP(B830,Composición!$C$5:$D$1768,1,0)</f>
        <v>5140111101</v>
      </c>
      <c r="G830" s="818">
        <f>+VLOOKUP(B830,'CA FE'!$A:$A,1,0)</f>
        <v>5140111101</v>
      </c>
      <c r="H830" s="1049">
        <f>+VLOOKUP(B830,Composición!$C$4:$H$1742,5,0)-D830</f>
        <v>0</v>
      </c>
      <c r="I830" s="1311">
        <f>+VLOOKUP(B830,Composición!$C$4:$H$1742,6,0)-E830</f>
        <v>0</v>
      </c>
      <c r="J830" s="830"/>
    </row>
    <row r="831" spans="1:16" s="14" customFormat="1" ht="16.5" customHeight="1">
      <c r="A831" s="14" t="str">
        <f t="shared" si="29"/>
        <v>I</v>
      </c>
      <c r="B831" s="1203">
        <v>5140111102</v>
      </c>
      <c r="C831" t="s">
        <v>496</v>
      </c>
      <c r="D831" s="1308">
        <v>1763637804</v>
      </c>
      <c r="E831" s="1309">
        <v>230801.34</v>
      </c>
      <c r="F831" s="818">
        <f>+VLOOKUP(B831,Composición!$C$5:$D$1768,1,0)</f>
        <v>5140111102</v>
      </c>
      <c r="G831" s="818">
        <f>+VLOOKUP(B831,'CA FE'!$A:$A,1,0)</f>
        <v>5140111102</v>
      </c>
      <c r="H831" s="1049">
        <f>+VLOOKUP(B831,Composición!$C$4:$H$1742,5,0)-D831</f>
        <v>0</v>
      </c>
      <c r="I831" s="1311">
        <f>+VLOOKUP(B831,Composición!$C$4:$H$1742,6,0)-E831</f>
        <v>0</v>
      </c>
      <c r="J831" s="830"/>
    </row>
    <row r="832" spans="1:16" s="31" customFormat="1" ht="16.5" customHeight="1">
      <c r="A832" s="31" t="str">
        <f t="shared" ref="A832:A843" si="30">IF(LEN(B832)&gt;8,"I","NI")</f>
        <v>NI</v>
      </c>
      <c r="B832" s="1220">
        <v>51401112</v>
      </c>
      <c r="C832" s="1221" t="s">
        <v>497</v>
      </c>
      <c r="D832" s="1222">
        <v>99391450</v>
      </c>
      <c r="E832" s="1223">
        <v>13148.070000000002</v>
      </c>
      <c r="F832" s="1058">
        <f>+VLOOKUP(B832,Composición!$C$5:$D$1768,1,0)</f>
        <v>51401112</v>
      </c>
      <c r="G832" s="1058">
        <f>+VLOOKUP(B832,'CA FE'!$A:$A,1,0)</f>
        <v>51401112</v>
      </c>
      <c r="H832" s="31">
        <f>+VLOOKUP(B832,Composición!$C$4:$H$1742,5,0)</f>
        <v>0</v>
      </c>
      <c r="I832" s="31">
        <f>+VLOOKUP(B832,Composición!$C$4:$H$1742,6,0)</f>
        <v>0</v>
      </c>
      <c r="J832" s="827"/>
      <c r="M832" s="14"/>
      <c r="N832" s="14"/>
      <c r="O832" s="14"/>
      <c r="P832" s="14"/>
    </row>
    <row r="833" spans="1:16" s="14" customFormat="1" ht="16.5" customHeight="1">
      <c r="A833" s="14" t="str">
        <f t="shared" si="30"/>
        <v>I</v>
      </c>
      <c r="B833" s="1203">
        <v>5140111201</v>
      </c>
      <c r="C833" t="s">
        <v>498</v>
      </c>
      <c r="D833" s="1308">
        <v>60889923</v>
      </c>
      <c r="E833" s="1309">
        <v>8073.18</v>
      </c>
      <c r="F833" s="818">
        <f>+VLOOKUP(B833,Composición!$C$5:$D$1768,1,0)</f>
        <v>5140111201</v>
      </c>
      <c r="G833" s="818">
        <f>+VLOOKUP(B833,'CA FE'!$A:$A,1,0)</f>
        <v>5140111201</v>
      </c>
      <c r="H833" s="1049">
        <f>+VLOOKUP(B833,Composición!$C$4:$H$1742,5,0)-D833</f>
        <v>0</v>
      </c>
      <c r="I833" s="1311">
        <f>+VLOOKUP(B833,Composición!$C$4:$H$1742,6,0)-E833</f>
        <v>0</v>
      </c>
      <c r="J833" s="830"/>
    </row>
    <row r="834" spans="1:16" s="14" customFormat="1" ht="16.5" customHeight="1">
      <c r="A834" s="14" t="str">
        <f t="shared" si="30"/>
        <v>I</v>
      </c>
      <c r="B834" s="1203">
        <v>5140111203</v>
      </c>
      <c r="C834" t="s">
        <v>499</v>
      </c>
      <c r="D834" s="1308">
        <v>21839152</v>
      </c>
      <c r="E834" s="1309">
        <v>2859.85</v>
      </c>
      <c r="F834" s="818">
        <f>+VLOOKUP(B834,Composición!$C$5:$D$1768,1,0)</f>
        <v>5140111203</v>
      </c>
      <c r="G834" s="818">
        <f>+VLOOKUP(B834,'CA FE'!$A:$A,1,0)</f>
        <v>5140111203</v>
      </c>
      <c r="H834" s="14">
        <f>+VLOOKUP(B834,Composición!$C$4:$H$1742,5,0)</f>
        <v>21839152</v>
      </c>
      <c r="I834" s="14">
        <f>+VLOOKUP(B834,Composición!$C$4:$H$1742,6,0)</f>
        <v>2859.85</v>
      </c>
      <c r="J834" s="830"/>
    </row>
    <row r="835" spans="1:16" s="14" customFormat="1" ht="16.5" customHeight="1">
      <c r="A835" s="14" t="str">
        <f t="shared" si="30"/>
        <v>I</v>
      </c>
      <c r="B835" s="1203">
        <v>5140111204</v>
      </c>
      <c r="C835" t="s">
        <v>500</v>
      </c>
      <c r="D835" s="1308">
        <v>16662375</v>
      </c>
      <c r="E835" s="1309">
        <v>2215.04</v>
      </c>
      <c r="F835" s="818">
        <f>+VLOOKUP(B835,Composición!$C$5:$D$1768,1,0)</f>
        <v>5140111204</v>
      </c>
      <c r="G835" s="818">
        <f>+VLOOKUP(B835,'CA FE'!$A:$A,1,0)</f>
        <v>5140111204</v>
      </c>
      <c r="H835" s="14">
        <f>+VLOOKUP(B835,Composición!$C$4:$H$1742,5,0)</f>
        <v>16662375</v>
      </c>
      <c r="I835" s="14">
        <f>+VLOOKUP(B835,Composición!$C$4:$H$1742,6,0)</f>
        <v>2215.04</v>
      </c>
      <c r="J835" s="830"/>
    </row>
    <row r="836" spans="1:16" s="31" customFormat="1" ht="16.5" customHeight="1">
      <c r="A836" s="31" t="str">
        <f t="shared" si="30"/>
        <v>NI</v>
      </c>
      <c r="B836" s="1220">
        <v>51401113</v>
      </c>
      <c r="C836" s="1221" t="s">
        <v>501</v>
      </c>
      <c r="D836" s="1222">
        <v>16167814356</v>
      </c>
      <c r="E836" s="1223">
        <v>31238716.41</v>
      </c>
      <c r="F836" s="1058">
        <f>+VLOOKUP(B836,Composición!$C$5:$D$1768,1,0)</f>
        <v>51401113</v>
      </c>
      <c r="G836" s="1058">
        <f>+VLOOKUP(B836,'CA FE'!$A:$A,1,0)</f>
        <v>51401113</v>
      </c>
      <c r="H836" s="31">
        <f>+VLOOKUP(B836,Composición!$C$4:$H$1742,5,0)</f>
        <v>0</v>
      </c>
      <c r="I836" s="31">
        <f>+VLOOKUP(B836,Composición!$C$4:$H$1742,6,0)</f>
        <v>0</v>
      </c>
      <c r="J836" s="827"/>
      <c r="M836" s="14"/>
      <c r="N836" s="14"/>
      <c r="O836" s="14"/>
      <c r="P836" s="14"/>
    </row>
    <row r="837" spans="1:16" s="14" customFormat="1" ht="16.5" customHeight="1">
      <c r="A837" s="14" t="str">
        <f t="shared" si="30"/>
        <v>I</v>
      </c>
      <c r="B837" s="1203">
        <v>5140111301</v>
      </c>
      <c r="C837" t="s">
        <v>385</v>
      </c>
      <c r="D837" s="1308">
        <v>8825477002</v>
      </c>
      <c r="E837" s="1309">
        <v>19966290.620000001</v>
      </c>
      <c r="F837" s="818">
        <f>+VLOOKUP(B837,Composición!$C$5:$D$1768,1,0)</f>
        <v>5140111301</v>
      </c>
      <c r="G837" s="818">
        <f>+VLOOKUP(B837,'CA FE'!$A:$A,1,0)</f>
        <v>5140111301</v>
      </c>
      <c r="H837" s="14">
        <f>+VLOOKUP(B837,Composición!$C$4:$H$1742,5,0)</f>
        <v>8825477002</v>
      </c>
      <c r="I837" s="14">
        <f>+VLOOKUP(B837,Composición!$C$4:$H$1742,6,0)</f>
        <v>19966290.620000001</v>
      </c>
      <c r="J837" s="830"/>
    </row>
    <row r="838" spans="1:16" s="14" customFormat="1" ht="16.5" customHeight="1">
      <c r="A838" s="14" t="str">
        <f t="shared" si="30"/>
        <v>I</v>
      </c>
      <c r="B838" s="1203">
        <v>5140111302</v>
      </c>
      <c r="C838" t="s">
        <v>386</v>
      </c>
      <c r="D838" s="1308">
        <v>7342337354</v>
      </c>
      <c r="E838" s="1309">
        <v>11272425.789999999</v>
      </c>
      <c r="F838" s="818">
        <f>+VLOOKUP(B838,Composición!$C$5:$D$1768,1,0)</f>
        <v>5140111302</v>
      </c>
      <c r="G838" s="818">
        <f>+VLOOKUP(B838,'CA FE'!$A:$A,1,0)</f>
        <v>5140111302</v>
      </c>
      <c r="H838" s="14">
        <f>+VLOOKUP(B838,Composición!$C$4:$H$1742,5,0)</f>
        <v>7342337354</v>
      </c>
      <c r="I838" s="14">
        <f>+VLOOKUP(B838,Composición!$C$4:$H$1742,6,0)</f>
        <v>11272425.789999999</v>
      </c>
      <c r="J838" s="830"/>
    </row>
    <row r="839" spans="1:16" s="31" customFormat="1" ht="16.5" customHeight="1">
      <c r="A839" s="31" t="str">
        <f t="shared" si="30"/>
        <v>NI</v>
      </c>
      <c r="B839" s="1220">
        <v>515</v>
      </c>
      <c r="C839" s="1221" t="s">
        <v>503</v>
      </c>
      <c r="D839" s="1222">
        <v>2161301760</v>
      </c>
      <c r="E839" s="1223">
        <v>284778.17</v>
      </c>
      <c r="F839" s="1058">
        <f>+VLOOKUP(B839,Composición!$C$5:$D$1768,1,0)</f>
        <v>515</v>
      </c>
      <c r="G839" s="1058">
        <f>+VLOOKUP(B839,'CA FE'!$A:$A,1,0)</f>
        <v>515</v>
      </c>
      <c r="H839" s="31">
        <f>+VLOOKUP(B839,Composición!$C$4:$H$1742,5,0)</f>
        <v>0</v>
      </c>
      <c r="I839" s="31">
        <f>+VLOOKUP(B839,Composición!$C$4:$H$1742,6,0)</f>
        <v>0</v>
      </c>
      <c r="J839" s="827"/>
      <c r="M839" s="14"/>
      <c r="N839" s="14"/>
      <c r="O839" s="14"/>
      <c r="P839" s="14"/>
    </row>
    <row r="840" spans="1:16" s="31" customFormat="1" ht="16.5" customHeight="1">
      <c r="A840" s="31" t="str">
        <f t="shared" si="30"/>
        <v>NI</v>
      </c>
      <c r="B840" s="1220">
        <v>51501</v>
      </c>
      <c r="C840" s="1221" t="s">
        <v>504</v>
      </c>
      <c r="D840" s="1222">
        <v>2161301760</v>
      </c>
      <c r="E840" s="1223">
        <v>284778.17</v>
      </c>
      <c r="F840" s="1058">
        <f>+VLOOKUP(B840,Composición!$C$5:$D$1768,1,0)</f>
        <v>51501</v>
      </c>
      <c r="G840" s="1058">
        <f>+VLOOKUP(B840,'CA FE'!$A:$A,1,0)</f>
        <v>51501</v>
      </c>
      <c r="H840" s="1048">
        <f>+VLOOKUP(B840,Composición!$C$4:$H$1742,5,0)-D840</f>
        <v>-2161301760</v>
      </c>
      <c r="I840" s="1214">
        <f>+VLOOKUP(B840,Composición!$C$4:$H$1742,6,0)-E840</f>
        <v>-284778.17</v>
      </c>
      <c r="J840" s="827"/>
      <c r="M840" s="14"/>
      <c r="N840" s="14"/>
      <c r="O840" s="14"/>
      <c r="P840" s="14"/>
    </row>
    <row r="841" spans="1:16" s="31" customFormat="1" ht="16.5" customHeight="1">
      <c r="A841" s="31" t="str">
        <f t="shared" si="30"/>
        <v>NI</v>
      </c>
      <c r="B841" s="1220">
        <v>515011</v>
      </c>
      <c r="C841" s="1221" t="s">
        <v>504</v>
      </c>
      <c r="D841" s="1222">
        <v>2161301760</v>
      </c>
      <c r="E841" s="1223">
        <v>284778.17</v>
      </c>
      <c r="F841" s="1058">
        <f>+VLOOKUP(B841,Composición!$C$5:$D$1768,1,0)</f>
        <v>515011</v>
      </c>
      <c r="G841" s="1058">
        <f>+VLOOKUP(B841,'CA FE'!$A:$A,1,0)</f>
        <v>515011</v>
      </c>
      <c r="H841" s="1048">
        <f>+VLOOKUP(B841,Composición!$C$4:$H$1742,5,0)-D841</f>
        <v>-2161301760</v>
      </c>
      <c r="I841" s="1214">
        <f>+VLOOKUP(B841,Composición!$C$4:$H$1742,6,0)-E841</f>
        <v>-284778.17</v>
      </c>
      <c r="J841" s="827"/>
      <c r="L841" s="1314">
        <v>5210111103</v>
      </c>
      <c r="M841" s="14"/>
      <c r="N841" s="14"/>
      <c r="O841" s="14"/>
      <c r="P841" s="14"/>
    </row>
    <row r="842" spans="1:16" s="31" customFormat="1" ht="16.5" customHeight="1">
      <c r="A842" s="31" t="str">
        <f t="shared" si="30"/>
        <v>NI</v>
      </c>
      <c r="B842" s="1220">
        <v>5150111</v>
      </c>
      <c r="C842" s="1221" t="s">
        <v>504</v>
      </c>
      <c r="D842" s="1222">
        <v>2161301760</v>
      </c>
      <c r="E842" s="1223">
        <v>284778.17</v>
      </c>
      <c r="F842" s="1058">
        <f>+VLOOKUP(B842,Composición!$C$5:$D$1768,1,0)</f>
        <v>5150111</v>
      </c>
      <c r="G842" s="1058">
        <f>+VLOOKUP(B842,'CA FE'!$A:$A,1,0)</f>
        <v>5150111</v>
      </c>
      <c r="H842" s="1048">
        <f>+VLOOKUP(B842,Composición!$C$4:$H$1742,5,0)-D842</f>
        <v>-2161301760</v>
      </c>
      <c r="I842" s="1214">
        <f>+VLOOKUP(B842,Composición!$C$4:$H$1742,6,0)-E842</f>
        <v>-284778.17</v>
      </c>
      <c r="J842" s="827"/>
      <c r="M842" s="14"/>
      <c r="N842" s="14"/>
      <c r="O842" s="14"/>
      <c r="P842" s="14"/>
    </row>
    <row r="843" spans="1:16" s="31" customFormat="1" ht="16.5" customHeight="1">
      <c r="A843" s="31" t="str">
        <f t="shared" si="30"/>
        <v>NI</v>
      </c>
      <c r="B843" s="1220">
        <v>51501111</v>
      </c>
      <c r="C843" s="1221" t="s">
        <v>505</v>
      </c>
      <c r="D843" s="1222">
        <v>2054166103</v>
      </c>
      <c r="E843" s="1223">
        <v>270890.96000000002</v>
      </c>
      <c r="F843" s="1058">
        <f>+VLOOKUP(B843,Composición!$C$5:$D$1768,1,0)</f>
        <v>51501111</v>
      </c>
      <c r="G843" s="1058">
        <f>+VLOOKUP(B843,'CA FE'!$A:$A,1,0)</f>
        <v>51501111</v>
      </c>
      <c r="H843" s="1048">
        <f>+VLOOKUP(B843,Composición!$C$4:$H$1742,5,0)-D843</f>
        <v>-2054166103</v>
      </c>
      <c r="I843" s="1214">
        <f>+VLOOKUP(B843,Composición!$C$4:$H$1742,6,0)-E843</f>
        <v>-270890.96000000002</v>
      </c>
      <c r="J843" s="827"/>
      <c r="M843" s="14"/>
      <c r="N843" s="14"/>
      <c r="O843" s="14"/>
      <c r="P843" s="14"/>
    </row>
    <row r="844" spans="1:16" s="14" customFormat="1" ht="16.5" customHeight="1">
      <c r="A844" s="14" t="str">
        <f t="shared" si="29"/>
        <v>I</v>
      </c>
      <c r="B844" s="1203">
        <v>5150111101</v>
      </c>
      <c r="C844" t="s">
        <v>506</v>
      </c>
      <c r="D844" s="1308">
        <v>1666191338</v>
      </c>
      <c r="E844" s="1309">
        <v>218748.82</v>
      </c>
      <c r="F844" s="818">
        <f>+VLOOKUP(B844,Composición!$C$5:$D$1768,1,0)</f>
        <v>5150111101</v>
      </c>
      <c r="G844" s="818">
        <f>+VLOOKUP(B844,'CA FE'!$A:$A,1,0)</f>
        <v>5150111101</v>
      </c>
      <c r="H844" s="14">
        <f>+VLOOKUP(B844,Composición!$C$4:$H$1742,5,0)</f>
        <v>1666191338</v>
      </c>
      <c r="I844" s="14">
        <f>+VLOOKUP(B844,Composición!$C$4:$H$1742,6,0)</f>
        <v>218748.82</v>
      </c>
      <c r="J844" s="830"/>
    </row>
    <row r="845" spans="1:16" s="14" customFormat="1" ht="16.5" customHeight="1">
      <c r="A845" s="14" t="str">
        <f t="shared" si="29"/>
        <v>I</v>
      </c>
      <c r="B845" s="1203">
        <v>5150111102</v>
      </c>
      <c r="C845" t="s">
        <v>507</v>
      </c>
      <c r="D845" s="1308">
        <v>35751827</v>
      </c>
      <c r="E845" s="1309">
        <v>5679.3100000000013</v>
      </c>
      <c r="F845" s="818">
        <f>+VLOOKUP(B845,Composición!$C$5:$D$1768,1,0)</f>
        <v>5150111102</v>
      </c>
      <c r="G845" s="818">
        <f>+VLOOKUP(B845,'CA FE'!$A:$A,1,0)</f>
        <v>5150111102</v>
      </c>
      <c r="H845" s="1049">
        <f>+VLOOKUP(B845,Composición!$C$4:$H$1742,5,0)-D845</f>
        <v>0</v>
      </c>
      <c r="I845" s="1311">
        <f>+VLOOKUP(B845,Composición!$C$4:$H$1742,6,0)-E845</f>
        <v>0</v>
      </c>
      <c r="J845" s="830"/>
    </row>
    <row r="846" spans="1:16" s="14" customFormat="1" ht="16.5" customHeight="1">
      <c r="A846" s="14" t="str">
        <f t="shared" si="29"/>
        <v>I</v>
      </c>
      <c r="B846" s="1203">
        <v>5150111103</v>
      </c>
      <c r="C846" t="s">
        <v>508</v>
      </c>
      <c r="D846" s="1308">
        <v>352222938</v>
      </c>
      <c r="E846" s="1309">
        <v>46462.83</v>
      </c>
      <c r="F846" s="818">
        <f>+VLOOKUP(B846,Composición!$C$5:$D$1768,1,0)</f>
        <v>5150111103</v>
      </c>
      <c r="G846" s="818">
        <f>+VLOOKUP(B846,'CA FE'!$A:$A,1,0)</f>
        <v>5150111103</v>
      </c>
      <c r="H846" s="14">
        <f>+VLOOKUP(B846,Composición!$C$4:$H$1742,5,0)</f>
        <v>352222938</v>
      </c>
      <c r="I846" s="14">
        <f>+VLOOKUP(B846,Composición!$C$4:$H$1742,6,0)</f>
        <v>46462.83</v>
      </c>
      <c r="J846" s="830"/>
    </row>
    <row r="847" spans="1:16" s="31" customFormat="1" ht="16.5" customHeight="1">
      <c r="A847" s="31" t="str">
        <f t="shared" ref="A847:A855" si="31">IF(LEN(B847)&gt;8,"I","NI")</f>
        <v>NI</v>
      </c>
      <c r="B847" s="1220">
        <v>51501112</v>
      </c>
      <c r="C847" s="1221" t="s">
        <v>509</v>
      </c>
      <c r="D847" s="1222">
        <v>106770112</v>
      </c>
      <c r="E847" s="1223">
        <v>13839.17</v>
      </c>
      <c r="F847" s="1058">
        <f>+VLOOKUP(B847,Composición!$C$5:$D$1768,1,0)</f>
        <v>51501112</v>
      </c>
      <c r="G847" s="1058">
        <f>+VLOOKUP(B847,'CA FE'!$A:$A,1,0)</f>
        <v>51501112</v>
      </c>
      <c r="H847" s="31">
        <f>+VLOOKUP(B847,Composición!$C$4:$H$1742,5,0)</f>
        <v>0</v>
      </c>
      <c r="I847" s="31">
        <f>+VLOOKUP(B847,Composición!$C$4:$H$1742,6,0)</f>
        <v>0</v>
      </c>
      <c r="J847" s="827"/>
      <c r="M847" s="14"/>
      <c r="N847" s="14"/>
      <c r="O847" s="14"/>
      <c r="P847" s="14"/>
    </row>
    <row r="848" spans="1:16" s="14" customFormat="1" ht="16.5" customHeight="1">
      <c r="A848" s="14" t="str">
        <f t="shared" si="31"/>
        <v>I</v>
      </c>
      <c r="B848" s="1203">
        <v>5150111201</v>
      </c>
      <c r="C848" t="s">
        <v>510</v>
      </c>
      <c r="D848" s="1308">
        <v>58704317</v>
      </c>
      <c r="E848" s="1309">
        <v>7606.49</v>
      </c>
      <c r="F848" s="818">
        <f>+VLOOKUP(B848,Composición!$C$5:$D$1768,1,0)</f>
        <v>5150111201</v>
      </c>
      <c r="G848" s="818">
        <f>+VLOOKUP(B848,'CA FE'!$A:$A,1,0)</f>
        <v>5150111201</v>
      </c>
      <c r="H848" s="14">
        <f>+VLOOKUP(B848,Composición!$C$4:$H$1742,5,0)</f>
        <v>58704317</v>
      </c>
      <c r="I848" s="14">
        <f>+VLOOKUP(B848,Composición!$C$4:$H$1742,6,0)</f>
        <v>7606.49</v>
      </c>
      <c r="J848" s="830"/>
    </row>
    <row r="849" spans="1:16" s="14" customFormat="1" ht="16.5" customHeight="1">
      <c r="A849" s="14" t="str">
        <f t="shared" si="31"/>
        <v>I</v>
      </c>
      <c r="B849" s="1203">
        <v>5150111202</v>
      </c>
      <c r="C849" t="s">
        <v>1106</v>
      </c>
      <c r="D849" s="1308">
        <v>22646</v>
      </c>
      <c r="E849" s="1309">
        <v>2.99</v>
      </c>
      <c r="F849" s="818">
        <f>+VLOOKUP(B849,Composición!$C$5:$D$1768,1,0)</f>
        <v>5150111202</v>
      </c>
      <c r="G849" s="818">
        <f>+VLOOKUP(B849,'CA FE'!$A:$A,1,0)</f>
        <v>5150111202</v>
      </c>
      <c r="H849" s="14">
        <f>+VLOOKUP(B849,Composición!$C$4:$H$1742,5,0)</f>
        <v>22646</v>
      </c>
      <c r="I849" s="14">
        <f>+VLOOKUP(B849,Composición!$C$4:$H$1742,6,0)</f>
        <v>2.99</v>
      </c>
      <c r="J849" s="830"/>
    </row>
    <row r="850" spans="1:16" s="14" customFormat="1" ht="16.5" customHeight="1">
      <c r="A850" s="14" t="str">
        <f t="shared" si="31"/>
        <v>I</v>
      </c>
      <c r="B850" s="1203">
        <v>5150111203</v>
      </c>
      <c r="C850" t="s">
        <v>511</v>
      </c>
      <c r="D850" s="1308">
        <v>39576503</v>
      </c>
      <c r="E850" s="1309">
        <v>5125.79</v>
      </c>
      <c r="F850" s="818">
        <f>+VLOOKUP(B850,Composición!$C$5:$D$1768,1,0)</f>
        <v>5150111203</v>
      </c>
      <c r="G850" s="818">
        <f>+VLOOKUP(B850,'CA FE'!$A:$A,1,0)</f>
        <v>5150111203</v>
      </c>
      <c r="H850" s="14">
        <f>+VLOOKUP(B850,Composición!$C$4:$H$1742,5,0)</f>
        <v>39576503</v>
      </c>
      <c r="I850" s="14">
        <f>+VLOOKUP(B850,Composición!$C$4:$H$1742,6,0)</f>
        <v>5125.79</v>
      </c>
      <c r="J850" s="830"/>
    </row>
    <row r="851" spans="1:16" s="14" customFormat="1" ht="16.5" customHeight="1">
      <c r="A851" s="14" t="str">
        <f t="shared" si="31"/>
        <v>I</v>
      </c>
      <c r="B851" s="1203">
        <v>5150111204</v>
      </c>
      <c r="C851" t="s">
        <v>512</v>
      </c>
      <c r="D851" s="1308">
        <v>8466646</v>
      </c>
      <c r="E851" s="1309">
        <v>1103.9000000000001</v>
      </c>
      <c r="F851" s="818">
        <f>+VLOOKUP(B851,Composición!$C$5:$D$1768,1,0)</f>
        <v>5150111204</v>
      </c>
      <c r="G851" s="818">
        <f>+VLOOKUP(B851,'CA FE'!$A:$A,1,0)</f>
        <v>5150111204</v>
      </c>
      <c r="H851" s="14">
        <f>+VLOOKUP(B851,Composición!$C$4:$H$1742,5,0)</f>
        <v>8466646</v>
      </c>
      <c r="I851" s="14">
        <f>+VLOOKUP(B851,Composición!$C$4:$H$1742,6,0)</f>
        <v>1103.9000000000001</v>
      </c>
      <c r="J851" s="830"/>
    </row>
    <row r="852" spans="1:16" s="31" customFormat="1" ht="16.5" customHeight="1">
      <c r="A852" s="31" t="str">
        <f t="shared" si="31"/>
        <v>NI</v>
      </c>
      <c r="B852" s="1220">
        <v>51501113</v>
      </c>
      <c r="C852" s="1221" t="s">
        <v>513</v>
      </c>
      <c r="D852" s="1222">
        <v>365545</v>
      </c>
      <c r="E852" s="1223">
        <v>48.04</v>
      </c>
      <c r="F852" s="1058">
        <f>+VLOOKUP(B852,Composición!$C$5:$D$1768,1,0)</f>
        <v>51501113</v>
      </c>
      <c r="G852" s="1058">
        <f>+VLOOKUP(B852,'CA FE'!$A:$A,1,0)</f>
        <v>51501113</v>
      </c>
      <c r="H852" s="1048">
        <f>+VLOOKUP(B852,Composición!$C$4:$H$1742,5,0)-D852</f>
        <v>-365545</v>
      </c>
      <c r="I852" s="1214">
        <f>+VLOOKUP(B852,Composición!$C$4:$H$1742,6,0)-E852</f>
        <v>-48.04</v>
      </c>
      <c r="J852" s="827"/>
      <c r="M852" s="14"/>
      <c r="N852" s="14"/>
      <c r="O852" s="14"/>
      <c r="P852" s="14"/>
    </row>
    <row r="853" spans="1:16" s="14" customFormat="1" ht="16.5" customHeight="1">
      <c r="A853" s="14" t="str">
        <f t="shared" si="31"/>
        <v>I</v>
      </c>
      <c r="B853" s="1203">
        <v>5150411103</v>
      </c>
      <c r="C853" t="s">
        <v>515</v>
      </c>
      <c r="D853" s="1308">
        <v>365545</v>
      </c>
      <c r="E853" s="1309">
        <v>48.04</v>
      </c>
      <c r="F853" s="818">
        <f>+VLOOKUP(B853,Composición!$C$5:$D$1768,1,0)</f>
        <v>5150411103</v>
      </c>
      <c r="G853" s="818">
        <f>+VLOOKUP(B853,'CA FE'!$A:$A,1,0)</f>
        <v>5150411103</v>
      </c>
      <c r="H853" s="1049">
        <f>+VLOOKUP(B853,Composición!$C$4:$H$1742,5,0)-D853</f>
        <v>0</v>
      </c>
      <c r="I853" s="1311">
        <f>+VLOOKUP(B853,Composición!$C$4:$H$1742,6,0)-E853</f>
        <v>0</v>
      </c>
      <c r="J853" s="830"/>
      <c r="L853" s="793">
        <v>5210111103</v>
      </c>
    </row>
    <row r="854" spans="1:16" s="31" customFormat="1" ht="16.5" customHeight="1">
      <c r="A854" s="31" t="str">
        <f t="shared" si="31"/>
        <v>NI</v>
      </c>
      <c r="B854" s="1220">
        <v>52</v>
      </c>
      <c r="C854" s="1221" t="s">
        <v>516</v>
      </c>
      <c r="D854" s="1222">
        <v>32334765</v>
      </c>
      <c r="E854" s="1223">
        <v>4255.4699999999993</v>
      </c>
      <c r="F854" s="1058">
        <f>+VLOOKUP(B854,Composición!$C$5:$D$1768,1,0)</f>
        <v>52</v>
      </c>
      <c r="G854" s="1058">
        <f>+VLOOKUP(B854,'CA FE'!$A:$A,1,0)</f>
        <v>52</v>
      </c>
      <c r="H854" s="1048">
        <f>+VLOOKUP(B854,Composición!$C$4:$H$1742,5,0)-D854</f>
        <v>-32334765</v>
      </c>
      <c r="I854" s="1214">
        <f>+VLOOKUP(B854,Composición!$C$4:$H$1742,6,0)-E854</f>
        <v>-4255.4699999999993</v>
      </c>
      <c r="J854" s="827"/>
      <c r="M854" s="14"/>
      <c r="N854" s="14"/>
      <c r="O854" s="14"/>
      <c r="P854" s="14"/>
    </row>
    <row r="855" spans="1:16" s="31" customFormat="1" ht="16.5" customHeight="1">
      <c r="A855" s="31" t="str">
        <f t="shared" si="31"/>
        <v>NI</v>
      </c>
      <c r="B855" s="1220">
        <v>521</v>
      </c>
      <c r="C855" s="1221" t="s">
        <v>516</v>
      </c>
      <c r="D855" s="1222">
        <v>32334765</v>
      </c>
      <c r="E855" s="1223">
        <v>4255.4699999999993</v>
      </c>
      <c r="F855" s="1058">
        <f>+VLOOKUP(B855,Composición!$C$5:$D$1768,1,0)</f>
        <v>521</v>
      </c>
      <c r="G855" s="1058">
        <f>+VLOOKUP(B855,'CA FE'!$A:$A,1,0)</f>
        <v>521</v>
      </c>
      <c r="H855" s="1048">
        <f>+VLOOKUP(B855,Composición!$C$4:$H$1742,5,0)-D855</f>
        <v>-32334765</v>
      </c>
      <c r="I855" s="1214">
        <f>+VLOOKUP(B855,Composición!$C$4:$H$1742,6,0)-E855</f>
        <v>-4255.4699999999993</v>
      </c>
      <c r="J855" s="827"/>
      <c r="M855" s="14"/>
      <c r="N855" s="14"/>
      <c r="O855" s="14"/>
      <c r="P855" s="14"/>
    </row>
    <row r="856" spans="1:16" s="31" customFormat="1" ht="16.5" customHeight="1">
      <c r="A856" s="31" t="str">
        <f t="shared" si="29"/>
        <v>NI</v>
      </c>
      <c r="B856" s="1220">
        <v>52101</v>
      </c>
      <c r="C856" s="1221" t="s">
        <v>516</v>
      </c>
      <c r="D856" s="1222">
        <v>32334765</v>
      </c>
      <c r="E856" s="1223">
        <v>4255.4699999999993</v>
      </c>
      <c r="F856" s="1058">
        <f>+VLOOKUP(B856,Composición!$C$5:$D$1768,1,0)</f>
        <v>52101</v>
      </c>
      <c r="G856" s="1058">
        <f>+VLOOKUP(B856,'CA FE'!$A:$A,1,0)</f>
        <v>52101</v>
      </c>
      <c r="H856" s="31">
        <f>+VLOOKUP(B856,Composición!$C$4:$H$1742,5,0)</f>
        <v>0</v>
      </c>
      <c r="I856" s="31">
        <f>+VLOOKUP(B856,Composición!$C$4:$H$1742,6,0)</f>
        <v>0</v>
      </c>
      <c r="J856" s="827"/>
      <c r="M856" s="14"/>
      <c r="N856" s="14"/>
      <c r="O856" s="14"/>
      <c r="P856" s="14"/>
    </row>
    <row r="857" spans="1:16" s="31" customFormat="1" ht="16.5" customHeight="1">
      <c r="A857" s="31" t="str">
        <f t="shared" si="29"/>
        <v>NI</v>
      </c>
      <c r="B857" s="1220">
        <v>521011</v>
      </c>
      <c r="C857" s="1221" t="s">
        <v>516</v>
      </c>
      <c r="D857" s="1222">
        <v>32334765</v>
      </c>
      <c r="E857" s="1223">
        <v>4255.4699999999993</v>
      </c>
      <c r="F857" s="1058">
        <f>+VLOOKUP(B857,Composición!$C$5:$D$1768,1,0)</f>
        <v>521011</v>
      </c>
      <c r="G857" s="1058">
        <f>+VLOOKUP(B857,'CA FE'!$A:$A,1,0)</f>
        <v>521011</v>
      </c>
      <c r="H857" s="31">
        <f>+VLOOKUP(B857,Composición!$C$4:$H$1742,5,0)</f>
        <v>0</v>
      </c>
      <c r="I857" s="31">
        <f>+VLOOKUP(B857,Composición!$C$4:$H$1742,6,0)</f>
        <v>0</v>
      </c>
      <c r="J857" s="827"/>
      <c r="M857" s="14"/>
      <c r="N857" s="14"/>
      <c r="O857" s="14"/>
      <c r="P857" s="14"/>
    </row>
    <row r="858" spans="1:16" s="31" customFormat="1" ht="16.5" customHeight="1">
      <c r="A858" s="31" t="str">
        <f t="shared" si="29"/>
        <v>NI</v>
      </c>
      <c r="B858" s="1220">
        <v>5210111</v>
      </c>
      <c r="C858" s="1221" t="s">
        <v>516</v>
      </c>
      <c r="D858" s="1222">
        <v>32334765</v>
      </c>
      <c r="E858" s="1223">
        <v>4255.4699999999993</v>
      </c>
      <c r="F858" s="1058">
        <f>+VLOOKUP(B858,Composición!$C$5:$D$1768,1,0)</f>
        <v>5210111</v>
      </c>
      <c r="G858" s="1058">
        <f>+VLOOKUP(B858,'CA FE'!$A:$A,1,0)</f>
        <v>5210111</v>
      </c>
      <c r="H858" s="31">
        <f>+VLOOKUP(B858,Composición!$C$4:$H$1742,5,0)</f>
        <v>0</v>
      </c>
      <c r="I858" s="31">
        <f>+VLOOKUP(B858,Composición!$C$4:$H$1742,6,0)</f>
        <v>0</v>
      </c>
      <c r="J858" s="827"/>
      <c r="M858" s="14"/>
      <c r="N858" s="14"/>
      <c r="O858" s="14"/>
      <c r="P858" s="14"/>
    </row>
    <row r="859" spans="1:16" s="31" customFormat="1" ht="16.5" customHeight="1">
      <c r="A859" s="31" t="str">
        <f t="shared" si="29"/>
        <v>NI</v>
      </c>
      <c r="B859" s="1220">
        <v>52101111</v>
      </c>
      <c r="C859" s="1221" t="s">
        <v>516</v>
      </c>
      <c r="D859" s="1222">
        <v>32334765</v>
      </c>
      <c r="E859" s="1223">
        <v>4255.4699999999993</v>
      </c>
      <c r="F859" s="1058">
        <f>+VLOOKUP(B859,Composición!$C$5:$D$1768,1,0)</f>
        <v>52101111</v>
      </c>
      <c r="G859" s="1058">
        <f>+VLOOKUP(B859,'CA FE'!$A:$A,1,0)</f>
        <v>52101111</v>
      </c>
      <c r="H859" s="31">
        <f>+VLOOKUP(B859,Composición!$C$4:$H$1742,5,0)</f>
        <v>0</v>
      </c>
      <c r="I859" s="31">
        <f>+VLOOKUP(B859,Composición!$C$4:$H$1742,6,0)</f>
        <v>0</v>
      </c>
      <c r="J859" s="827"/>
      <c r="M859" s="14"/>
      <c r="N859" s="14"/>
      <c r="O859" s="14"/>
      <c r="P859" s="14"/>
    </row>
    <row r="860" spans="1:16" s="14" customFormat="1" ht="16.5" customHeight="1">
      <c r="A860" s="14" t="str">
        <f t="shared" si="29"/>
        <v>I</v>
      </c>
      <c r="B860" s="1203">
        <v>5210111101</v>
      </c>
      <c r="C860" t="s">
        <v>517</v>
      </c>
      <c r="D860" s="1308">
        <v>804356</v>
      </c>
      <c r="E860" s="1309">
        <v>22.07</v>
      </c>
      <c r="F860" s="818">
        <f>+VLOOKUP(B860,Composición!$C$5:$D$1768,1,0)</f>
        <v>5210111101</v>
      </c>
      <c r="G860" s="818">
        <f>+VLOOKUP(B860,'CA FE'!$A:$A,1,0)</f>
        <v>5210111101</v>
      </c>
      <c r="H860" s="14">
        <f>+VLOOKUP(B860,Composición!$C$4:$H$1742,5,0)</f>
        <v>804356</v>
      </c>
      <c r="I860" s="14">
        <f>+VLOOKUP(B860,Composición!$C$4:$H$1742,6,0)</f>
        <v>22.07</v>
      </c>
      <c r="J860" s="830"/>
    </row>
    <row r="861" spans="1:16" s="14" customFormat="1" ht="16.5" customHeight="1">
      <c r="A861" s="14" t="str">
        <f t="shared" si="29"/>
        <v>I</v>
      </c>
      <c r="B861" s="1203">
        <v>5210111102</v>
      </c>
      <c r="C861" t="s">
        <v>518</v>
      </c>
      <c r="D861" s="1308">
        <v>20341178</v>
      </c>
      <c r="E861" s="1309">
        <v>2757.29</v>
      </c>
      <c r="F861" s="818">
        <f>+VLOOKUP(B861,Composición!$C$5:$D$1768,1,0)</f>
        <v>5210111102</v>
      </c>
      <c r="G861" s="818">
        <f>+VLOOKUP(B861,'CA FE'!$A:$A,1,0)</f>
        <v>5210111102</v>
      </c>
      <c r="H861" s="1049">
        <f>+VLOOKUP(B861,Composición!$C$4:$H$1742,5,0)-D861</f>
        <v>0</v>
      </c>
      <c r="I861" s="1311">
        <f>+VLOOKUP(B861,Composición!$C$4:$H$1742,6,0)-E861</f>
        <v>0</v>
      </c>
      <c r="J861" s="830"/>
    </row>
    <row r="862" spans="1:16" s="14" customFormat="1" ht="16.5" customHeight="1">
      <c r="A862" s="14" t="str">
        <f t="shared" si="29"/>
        <v>I</v>
      </c>
      <c r="B862" s="1203">
        <v>5210111103</v>
      </c>
      <c r="C862" t="s">
        <v>2716</v>
      </c>
      <c r="D862" s="1308">
        <v>9253594</v>
      </c>
      <c r="E862" s="1309">
        <v>1227.81</v>
      </c>
      <c r="F862" s="818">
        <f>+VLOOKUP(B862,Composición!$C$5:$D$1768,1,0)</f>
        <v>5210111103</v>
      </c>
      <c r="G862" s="818">
        <f>+VLOOKUP(B862,'CA FE'!$A:$A,1,0)</f>
        <v>5210111103</v>
      </c>
      <c r="H862" s="1049">
        <f>+VLOOKUP(B862,Composición!$C$4:$H$1742,5,0)-D862</f>
        <v>0</v>
      </c>
      <c r="I862" s="1311">
        <f>+VLOOKUP(B862,Composición!$C$4:$H$1742,6,0)-E862</f>
        <v>0</v>
      </c>
      <c r="J862" s="830"/>
      <c r="L862" s="793">
        <v>5210111103</v>
      </c>
    </row>
    <row r="863" spans="1:16" s="14" customFormat="1" ht="16.5" customHeight="1">
      <c r="A863" s="14" t="str">
        <f t="shared" si="29"/>
        <v>I</v>
      </c>
      <c r="B863" s="1203">
        <v>5210111104</v>
      </c>
      <c r="C863" t="s">
        <v>2717</v>
      </c>
      <c r="D863" s="1308">
        <v>1541807</v>
      </c>
      <c r="E863" s="1309">
        <v>197.94</v>
      </c>
      <c r="F863" s="818">
        <f>+VLOOKUP(B863,Composición!$C$5:$D$1768,1,0)</f>
        <v>5210111104</v>
      </c>
      <c r="G863" s="818">
        <f>+VLOOKUP(B863,'CA FE'!$A:$A,1,0)</f>
        <v>5210111104</v>
      </c>
      <c r="H863" s="1049">
        <f>+VLOOKUP(B863,Composición!$C$4:$H$1742,5,0)-D863</f>
        <v>0</v>
      </c>
      <c r="I863" s="1311">
        <f>+VLOOKUP(B863,Composición!$C$4:$H$1742,6,0)-E863</f>
        <v>0</v>
      </c>
      <c r="J863" s="830"/>
    </row>
    <row r="864" spans="1:16" s="14" customFormat="1" ht="16.5" customHeight="1">
      <c r="A864" s="14" t="str">
        <f t="shared" si="29"/>
        <v>I</v>
      </c>
      <c r="B864" s="1203">
        <v>5210111106</v>
      </c>
      <c r="C864" t="s">
        <v>2970</v>
      </c>
      <c r="D864" s="1308">
        <v>393830</v>
      </c>
      <c r="E864" s="1309">
        <v>50.36</v>
      </c>
      <c r="F864" s="818">
        <f>+VLOOKUP(B864,Composición!$C$5:$D$1768,1,0)</f>
        <v>5210111106</v>
      </c>
      <c r="G864" s="818">
        <f>+VLOOKUP(B864,'CA FE'!$A:$A,1,0)</f>
        <v>5210111106</v>
      </c>
      <c r="H864" s="1049">
        <f>+VLOOKUP(B864,Composición!$C$4:$H$1742,5,0)-D864</f>
        <v>0</v>
      </c>
      <c r="I864" s="1311">
        <f>+VLOOKUP(B864,Composición!$C$4:$H$1742,6,0)-E864</f>
        <v>0</v>
      </c>
      <c r="J864" s="830"/>
    </row>
    <row r="865" spans="1:10" s="14" customFormat="1" ht="16.5" customHeight="1">
      <c r="A865" s="14" t="str">
        <f t="shared" ref="A865:A866" si="32">IF(LEN(B865)&gt;8,"I","NI")</f>
        <v>NI</v>
      </c>
      <c r="B865" s="1203"/>
      <c r="C865"/>
      <c r="D865" s="1021"/>
      <c r="E865" s="1017"/>
      <c r="F865" s="818"/>
      <c r="G865" s="818"/>
      <c r="H865" s="31"/>
      <c r="I865" s="31"/>
      <c r="J865" s="830"/>
    </row>
    <row r="866" spans="1:10" s="14" customFormat="1" ht="16.5" customHeight="1" thickBot="1">
      <c r="A866" s="14" t="str">
        <f t="shared" si="32"/>
        <v>NI</v>
      </c>
      <c r="B866" s="1205"/>
      <c r="C866" s="350" t="s">
        <v>248</v>
      </c>
      <c r="D866" s="1206">
        <v>17464898424</v>
      </c>
      <c r="E866" s="1206">
        <v>1716854.04</v>
      </c>
      <c r="F866" s="818"/>
      <c r="G866" s="818"/>
      <c r="H866" s="31"/>
      <c r="I866" s="31"/>
      <c r="J866" s="830"/>
    </row>
    <row r="867" spans="1:10" ht="14.4" thickTop="1">
      <c r="H867" s="1048"/>
      <c r="I867" s="31"/>
      <c r="J867" s="13"/>
    </row>
    <row r="868" spans="1:10">
      <c r="H868" s="1048"/>
      <c r="I868" s="31"/>
      <c r="J868" s="13"/>
    </row>
    <row r="869" spans="1:10">
      <c r="H869" s="1048"/>
      <c r="I869" s="31"/>
      <c r="J869" s="13"/>
    </row>
    <row r="870" spans="1:10">
      <c r="H870" s="1048"/>
      <c r="I870" s="31"/>
      <c r="J870" s="13"/>
    </row>
    <row r="871" spans="1:10">
      <c r="H871" s="1048"/>
      <c r="I871" s="31"/>
      <c r="J871" s="13"/>
    </row>
    <row r="872" spans="1:10">
      <c r="H872" s="1048"/>
      <c r="I872" s="31"/>
      <c r="J872" s="13"/>
    </row>
    <row r="873" spans="1:10">
      <c r="H873" s="1048"/>
      <c r="I873" s="31"/>
      <c r="J873" s="13"/>
    </row>
    <row r="874" spans="1:10">
      <c r="H874" s="1048"/>
      <c r="I874" s="31"/>
      <c r="J874" s="13"/>
    </row>
    <row r="875" spans="1:10">
      <c r="H875" s="1048"/>
      <c r="I875" s="31"/>
      <c r="J875" s="13"/>
    </row>
    <row r="876" spans="1:10">
      <c r="H876" s="1048"/>
      <c r="I876" s="31"/>
      <c r="J876" s="13"/>
    </row>
    <row r="877" spans="1:10">
      <c r="H877" s="1048"/>
      <c r="I877" s="31"/>
      <c r="J877" s="13"/>
    </row>
    <row r="878" spans="1:10">
      <c r="H878" s="1048"/>
      <c r="I878" s="31"/>
      <c r="J878" s="13"/>
    </row>
    <row r="879" spans="1:10">
      <c r="H879" s="1048"/>
      <c r="I879" s="31"/>
      <c r="J879" s="13"/>
    </row>
    <row r="880" spans="1:10">
      <c r="H880" s="1048"/>
      <c r="I880" s="31"/>
      <c r="J880" s="13"/>
    </row>
    <row r="881" spans="8:10">
      <c r="H881" s="1048"/>
      <c r="I881" s="31"/>
      <c r="J881" s="13"/>
    </row>
    <row r="882" spans="8:10">
      <c r="H882" s="1048"/>
      <c r="I882" s="31"/>
      <c r="J882" s="13"/>
    </row>
    <row r="883" spans="8:10">
      <c r="H883" s="1048"/>
      <c r="I883" s="31"/>
      <c r="J883" s="13"/>
    </row>
    <row r="884" spans="8:10">
      <c r="H884" s="1048"/>
      <c r="I884" s="31"/>
      <c r="J884" s="13"/>
    </row>
    <row r="885" spans="8:10">
      <c r="H885" s="1048"/>
      <c r="I885" s="31"/>
      <c r="J885" s="13"/>
    </row>
    <row r="886" spans="8:10">
      <c r="H886" s="1048"/>
      <c r="I886" s="31"/>
      <c r="J886" s="13"/>
    </row>
    <row r="887" spans="8:10">
      <c r="H887" s="1048"/>
      <c r="I887" s="31"/>
      <c r="J887" s="13"/>
    </row>
    <row r="888" spans="8:10">
      <c r="H888" s="1048"/>
      <c r="I888" s="31"/>
      <c r="J888" s="13"/>
    </row>
    <row r="889" spans="8:10">
      <c r="H889" s="1048"/>
      <c r="I889" s="31"/>
      <c r="J889" s="13"/>
    </row>
    <row r="890" spans="8:10">
      <c r="H890" s="1048"/>
      <c r="I890" s="31"/>
      <c r="J890" s="13"/>
    </row>
    <row r="891" spans="8:10">
      <c r="H891" s="1048"/>
      <c r="I891" s="31"/>
      <c r="J891" s="13"/>
    </row>
    <row r="892" spans="8:10">
      <c r="H892" s="1048"/>
      <c r="I892" s="31"/>
      <c r="J892" s="13"/>
    </row>
    <row r="893" spans="8:10">
      <c r="H893" s="1048"/>
      <c r="I893" s="31"/>
      <c r="J893" s="13"/>
    </row>
    <row r="894" spans="8:10">
      <c r="H894" s="1048"/>
      <c r="I894" s="31"/>
      <c r="J894" s="13"/>
    </row>
    <row r="895" spans="8:10">
      <c r="H895" s="1048"/>
      <c r="I895" s="31"/>
      <c r="J895" s="13"/>
    </row>
    <row r="896" spans="8:10">
      <c r="H896" s="1048"/>
      <c r="I896" s="31"/>
      <c r="J896" s="13"/>
    </row>
    <row r="897" spans="8:10">
      <c r="H897" s="1048"/>
      <c r="I897" s="31"/>
      <c r="J897" s="13"/>
    </row>
    <row r="898" spans="8:10">
      <c r="H898" s="1048"/>
      <c r="I898" s="31"/>
      <c r="J898" s="13"/>
    </row>
    <row r="899" spans="8:10">
      <c r="H899" s="1048"/>
      <c r="I899" s="31"/>
      <c r="J899" s="13"/>
    </row>
    <row r="900" spans="8:10">
      <c r="H900" s="1048"/>
      <c r="I900" s="31"/>
      <c r="J900" s="13"/>
    </row>
    <row r="901" spans="8:10">
      <c r="H901" s="1048"/>
      <c r="I901" s="31"/>
      <c r="J901" s="13"/>
    </row>
    <row r="902" spans="8:10">
      <c r="H902" s="1048"/>
      <c r="I902" s="31"/>
      <c r="J902" s="13"/>
    </row>
    <row r="903" spans="8:10">
      <c r="H903" s="1048"/>
      <c r="I903" s="31"/>
      <c r="J903" s="13"/>
    </row>
    <row r="904" spans="8:10">
      <c r="H904" s="1048"/>
      <c r="I904" s="31"/>
      <c r="J904" s="13"/>
    </row>
    <row r="905" spans="8:10">
      <c r="H905" s="1048"/>
      <c r="I905" s="31"/>
      <c r="J905" s="13"/>
    </row>
    <row r="906" spans="8:10">
      <c r="H906" s="1048"/>
      <c r="I906" s="31"/>
      <c r="J906" s="13"/>
    </row>
    <row r="907" spans="8:10">
      <c r="H907" s="1048"/>
      <c r="I907" s="31"/>
      <c r="J907" s="13"/>
    </row>
    <row r="908" spans="8:10">
      <c r="H908" s="1048"/>
      <c r="I908" s="31"/>
      <c r="J908" s="13"/>
    </row>
    <row r="909" spans="8:10">
      <c r="H909" s="1048"/>
      <c r="I909" s="31"/>
      <c r="J909" s="13"/>
    </row>
    <row r="910" spans="8:10">
      <c r="H910" s="1048"/>
      <c r="I910" s="31"/>
      <c r="J910" s="13"/>
    </row>
    <row r="911" spans="8:10">
      <c r="H911" s="1048"/>
      <c r="I911" s="31"/>
      <c r="J911" s="13"/>
    </row>
    <row r="912" spans="8:10">
      <c r="H912" s="1048"/>
      <c r="I912" s="31"/>
    </row>
    <row r="913" spans="8:9">
      <c r="H913" s="1048"/>
      <c r="I913" s="31"/>
    </row>
    <row r="914" spans="8:9">
      <c r="H914" s="1048"/>
      <c r="I914" s="31"/>
    </row>
    <row r="915" spans="8:9">
      <c r="H915" s="1048"/>
      <c r="I915" s="31"/>
    </row>
    <row r="916" spans="8:9">
      <c r="H916" s="1048"/>
      <c r="I916" s="31"/>
    </row>
    <row r="917" spans="8:9">
      <c r="H917" s="1048"/>
      <c r="I917" s="31"/>
    </row>
    <row r="918" spans="8:9">
      <c r="H918" s="1048"/>
      <c r="I918" s="31"/>
    </row>
    <row r="919" spans="8:9">
      <c r="H919" s="1048"/>
      <c r="I919" s="31"/>
    </row>
    <row r="920" spans="8:9">
      <c r="H920" s="1048"/>
      <c r="I920" s="31"/>
    </row>
    <row r="921" spans="8:9">
      <c r="H921" s="1048"/>
      <c r="I921" s="31"/>
    </row>
    <row r="922" spans="8:9">
      <c r="H922" s="1048"/>
      <c r="I922" s="31"/>
    </row>
    <row r="923" spans="8:9">
      <c r="H923" s="1048"/>
      <c r="I923" s="31"/>
    </row>
    <row r="924" spans="8:9">
      <c r="H924" s="1048"/>
      <c r="I924" s="31"/>
    </row>
    <row r="925" spans="8:9">
      <c r="H925" s="1048"/>
      <c r="I925" s="31"/>
    </row>
    <row r="926" spans="8:9">
      <c r="H926" s="1048"/>
      <c r="I926" s="31"/>
    </row>
    <row r="927" spans="8:9">
      <c r="H927" s="1048"/>
      <c r="I927" s="31"/>
    </row>
    <row r="928" spans="8:9">
      <c r="H928" s="1048"/>
      <c r="I928" s="31"/>
    </row>
  </sheetData>
  <sheetProtection algorithmName="SHA-512" hashValue="8/L+uuRoQu0lHF03pTqyJNQaD6c2VLR2GI2uag+p+oaqnPbxb8zRvAlsmUpdnKbFCiEmjnEdow3yjE13Hdn+2Q==" saltValue="wW9w8DAS6oqAB6YCqThnbA==" spinCount="100000" sheet="1" objects="1" scenarios="1"/>
  <autoFilter ref="A4:F866" xr:uid="{00000000-0001-0000-0200-000000000000}"/>
  <mergeCells count="2">
    <mergeCell ref="D1:E1"/>
    <mergeCell ref="D2:E2"/>
  </mergeCells>
  <conditionalFormatting sqref="L841">
    <cfRule type="duplicateValues" dxfId="50" priority="4"/>
    <cfRule type="duplicateValues" dxfId="49" priority="5"/>
    <cfRule type="duplicateValues" dxfId="48" priority="6"/>
  </conditionalFormatting>
  <conditionalFormatting sqref="L853">
    <cfRule type="duplicateValues" dxfId="47" priority="1"/>
    <cfRule type="duplicateValues" dxfId="46" priority="2"/>
    <cfRule type="duplicateValues" dxfId="45" priority="3"/>
  </conditionalFormatting>
  <conditionalFormatting sqref="L862">
    <cfRule type="duplicateValues" dxfId="44" priority="7"/>
    <cfRule type="duplicateValues" dxfId="43" priority="8"/>
    <cfRule type="duplicateValues" dxfId="42" priority="9"/>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3">
    <tabColor rgb="FFFF0000"/>
  </sheetPr>
  <dimension ref="A1:S835"/>
  <sheetViews>
    <sheetView showGridLines="0" zoomScale="90" zoomScaleNormal="90" workbookViewId="0">
      <pane xSplit="4" ySplit="8" topLeftCell="I9" activePane="bottomRight" state="frozen"/>
      <selection activeCell="D365" sqref="D365"/>
      <selection pane="topRight" activeCell="D365" sqref="D365"/>
      <selection pane="bottomLeft" activeCell="D365" sqref="D365"/>
      <selection pane="bottomRight" activeCell="D365" sqref="D365"/>
    </sheetView>
  </sheetViews>
  <sheetFormatPr baseColWidth="10" defaultColWidth="11.44140625" defaultRowHeight="15" customHeight="1"/>
  <cols>
    <col min="1" max="1" width="1.109375" customWidth="1"/>
    <col min="2" max="2" width="35.5546875" customWidth="1"/>
    <col min="3" max="3" width="10" customWidth="1"/>
    <col min="4" max="4" width="16.5546875" bestFit="1" customWidth="1"/>
    <col min="5" max="5" width="14.109375" bestFit="1" customWidth="1"/>
    <col min="6" max="6" width="11" customWidth="1"/>
    <col min="7" max="7" width="17.5546875" bestFit="1" customWidth="1"/>
    <col min="8" max="8" width="16.44140625" bestFit="1" customWidth="1"/>
    <col min="9" max="9" width="17.6640625" bestFit="1" customWidth="1"/>
    <col min="10" max="10" width="13.109375" bestFit="1" customWidth="1"/>
    <col min="11" max="11" width="12.5546875" bestFit="1" customWidth="1"/>
    <col min="12" max="12" width="16.6640625" customWidth="1"/>
    <col min="13" max="13" width="13.44140625" bestFit="1" customWidth="1"/>
    <col min="14" max="14" width="17" bestFit="1" customWidth="1"/>
    <col min="15" max="15" width="6" customWidth="1"/>
    <col min="16" max="16" width="16.6640625" bestFit="1" customWidth="1"/>
    <col min="17" max="17" width="11.5546875" bestFit="1" customWidth="1"/>
    <col min="18" max="18" width="14.88671875" bestFit="1" customWidth="1"/>
    <col min="21" max="21" width="11.44140625" customWidth="1"/>
  </cols>
  <sheetData>
    <row r="1" spans="1:18" ht="14.4">
      <c r="A1" s="87"/>
      <c r="B1" s="87"/>
      <c r="C1" s="87"/>
      <c r="D1" s="87"/>
      <c r="E1" s="87"/>
      <c r="F1" s="87"/>
      <c r="G1" s="87"/>
      <c r="H1" s="87"/>
      <c r="I1" s="87"/>
      <c r="J1" s="87"/>
      <c r="K1" s="87"/>
      <c r="L1" s="87"/>
      <c r="M1" s="87"/>
      <c r="N1" s="87"/>
      <c r="O1" s="87"/>
      <c r="P1" s="87"/>
      <c r="Q1" s="87"/>
      <c r="R1" s="87"/>
    </row>
    <row r="2" spans="1:18" ht="14.4">
      <c r="A2" s="87"/>
      <c r="B2" s="87"/>
      <c r="C2" s="87"/>
      <c r="D2" s="87"/>
      <c r="E2" s="87"/>
      <c r="F2" s="87"/>
      <c r="G2" s="87"/>
      <c r="H2" s="87"/>
      <c r="I2" s="82"/>
      <c r="J2" s="82"/>
      <c r="K2" s="82"/>
      <c r="L2" s="87"/>
      <c r="M2" s="87"/>
      <c r="N2" s="87"/>
      <c r="O2" s="87"/>
      <c r="P2" s="87"/>
      <c r="Q2" s="87"/>
      <c r="R2" s="87"/>
    </row>
    <row r="3" spans="1:18" ht="14.4">
      <c r="A3" s="87"/>
      <c r="B3" s="87"/>
      <c r="C3" s="87"/>
      <c r="D3" s="87"/>
      <c r="E3" s="82"/>
      <c r="F3" s="87"/>
      <c r="G3" s="92"/>
      <c r="H3" s="82"/>
      <c r="I3" s="82"/>
      <c r="J3" s="82"/>
      <c r="K3" s="82"/>
      <c r="L3" s="87"/>
      <c r="M3" s="87"/>
      <c r="N3" s="87"/>
      <c r="O3" s="87"/>
      <c r="P3" s="87"/>
      <c r="Q3" s="87"/>
      <c r="R3" s="87"/>
    </row>
    <row r="4" spans="1:18" ht="14.4">
      <c r="A4" s="87"/>
      <c r="B4" s="87"/>
      <c r="C4" s="87"/>
      <c r="D4" s="87"/>
      <c r="E4" s="87"/>
      <c r="F4" s="87"/>
      <c r="G4" s="87"/>
      <c r="H4" s="87"/>
      <c r="I4" s="87"/>
      <c r="J4" s="82"/>
      <c r="K4" s="87"/>
      <c r="L4" s="87"/>
      <c r="M4" s="87"/>
      <c r="N4" s="87"/>
      <c r="O4" s="87"/>
      <c r="P4" s="87"/>
      <c r="Q4" s="87"/>
      <c r="R4" s="87"/>
    </row>
    <row r="5" spans="1:18" ht="16.350000000000001" customHeight="1">
      <c r="A5" s="93"/>
      <c r="B5" s="1472" t="s">
        <v>1486</v>
      </c>
      <c r="C5" s="1472"/>
      <c r="D5" s="1472"/>
      <c r="E5" s="1472"/>
      <c r="F5" s="1472"/>
      <c r="G5" s="1472"/>
      <c r="H5" s="1472"/>
      <c r="I5" s="1472"/>
      <c r="J5" s="1472"/>
      <c r="K5" s="1472"/>
      <c r="L5" s="1472"/>
      <c r="M5" s="1472"/>
      <c r="N5" s="1472"/>
      <c r="O5" s="93"/>
      <c r="P5" s="94"/>
      <c r="Q5" s="94"/>
      <c r="R5" s="94"/>
    </row>
    <row r="6" spans="1:18" ht="16.350000000000001" customHeight="1" thickBot="1">
      <c r="A6" s="93"/>
      <c r="B6" s="1473" t="s">
        <v>1487</v>
      </c>
      <c r="C6" s="1473"/>
      <c r="D6" s="1473"/>
      <c r="E6" s="1473"/>
      <c r="F6" s="1473"/>
      <c r="G6" s="1473"/>
      <c r="H6" s="1473"/>
      <c r="I6" s="1473"/>
      <c r="J6" s="1473"/>
      <c r="K6" s="1473"/>
      <c r="L6" s="1473"/>
      <c r="M6" s="1473"/>
      <c r="N6" s="1473"/>
      <c r="O6" s="94"/>
      <c r="P6" s="94"/>
      <c r="Q6" s="94"/>
      <c r="R6" s="94"/>
    </row>
    <row r="7" spans="1:18" ht="15.6" thickTop="1" thickBot="1">
      <c r="A7" s="95"/>
      <c r="B7" s="79"/>
      <c r="C7" s="79"/>
      <c r="D7" s="79"/>
      <c r="E7" s="79"/>
      <c r="F7" s="79"/>
      <c r="G7" s="96"/>
      <c r="H7" s="87"/>
      <c r="I7" s="87"/>
      <c r="J7" s="87"/>
      <c r="K7" s="87"/>
      <c r="L7" s="87"/>
      <c r="M7" s="87"/>
      <c r="N7" s="87"/>
      <c r="O7" s="87"/>
      <c r="P7" s="87"/>
      <c r="Q7" s="87"/>
      <c r="R7" s="87"/>
    </row>
    <row r="8" spans="1:18" ht="28.2" thickBot="1">
      <c r="A8" s="87"/>
      <c r="B8" s="78" t="s">
        <v>1488</v>
      </c>
      <c r="C8" s="78" t="s">
        <v>631</v>
      </c>
      <c r="D8" s="78" t="s">
        <v>1489</v>
      </c>
      <c r="E8" s="78" t="s">
        <v>1490</v>
      </c>
      <c r="F8" s="78" t="s">
        <v>1491</v>
      </c>
      <c r="G8" s="78" t="s">
        <v>1492</v>
      </c>
      <c r="H8" s="78" t="s">
        <v>1493</v>
      </c>
      <c r="I8" s="78" t="s">
        <v>1494</v>
      </c>
      <c r="J8" s="78" t="s">
        <v>1495</v>
      </c>
      <c r="K8" s="78" t="s">
        <v>1496</v>
      </c>
      <c r="L8" s="78" t="s">
        <v>1497</v>
      </c>
      <c r="M8" s="70" t="s">
        <v>1498</v>
      </c>
      <c r="N8" s="78" t="s">
        <v>1499</v>
      </c>
      <c r="O8" s="87"/>
      <c r="P8" s="112" t="s">
        <v>1500</v>
      </c>
      <c r="Q8" s="112" t="s">
        <v>1501</v>
      </c>
      <c r="R8" s="112" t="s">
        <v>1502</v>
      </c>
    </row>
    <row r="9" spans="1:18" ht="6" customHeight="1">
      <c r="A9" s="87"/>
      <c r="B9" s="87"/>
      <c r="C9" s="68"/>
      <c r="D9" s="55"/>
      <c r="E9" s="88"/>
      <c r="F9" s="65"/>
      <c r="G9" s="55"/>
      <c r="H9" s="55"/>
      <c r="I9" s="56"/>
      <c r="J9" s="56"/>
      <c r="K9" s="56"/>
      <c r="L9" s="55"/>
      <c r="M9" s="55"/>
      <c r="N9" s="55"/>
      <c r="O9" s="87"/>
      <c r="P9" s="87"/>
      <c r="Q9" s="87"/>
      <c r="R9" s="87"/>
    </row>
    <row r="10" spans="1:18" thickBot="1">
      <c r="A10" s="87"/>
      <c r="B10" s="80" t="s">
        <v>1503</v>
      </c>
      <c r="C10" s="67"/>
      <c r="D10" s="53"/>
      <c r="E10" s="67"/>
      <c r="F10" s="67"/>
      <c r="G10" s="126"/>
      <c r="H10" s="53"/>
      <c r="I10" s="53"/>
      <c r="J10" s="53"/>
      <c r="K10" s="53"/>
      <c r="L10" s="53"/>
      <c r="M10" s="124"/>
      <c r="N10" s="53"/>
    </row>
    <row r="11" spans="1:18" ht="14.4">
      <c r="A11" s="87"/>
      <c r="B11" s="77" t="s">
        <v>1504</v>
      </c>
      <c r="C11" s="75" t="s">
        <v>1505</v>
      </c>
      <c r="D11" s="54" t="s">
        <v>1506</v>
      </c>
      <c r="E11" s="69">
        <v>45744</v>
      </c>
      <c r="F11" s="127">
        <v>7.3300000000000004E-2</v>
      </c>
      <c r="G11" s="54">
        <v>3500000000</v>
      </c>
      <c r="H11" s="54">
        <v>0</v>
      </c>
      <c r="I11" s="54">
        <v>0</v>
      </c>
      <c r="J11" s="54">
        <v>-288611916.67120701</v>
      </c>
      <c r="K11" s="54">
        <v>0</v>
      </c>
      <c r="L11" s="54">
        <f>+G11+H11+I11+J11+K11</f>
        <v>3211388083.328793</v>
      </c>
      <c r="M11" s="54">
        <v>0</v>
      </c>
      <c r="N11" s="54">
        <f>+L11</f>
        <v>3211388083.328793</v>
      </c>
      <c r="O11" s="87"/>
    </row>
    <row r="12" spans="1:18" ht="14.4">
      <c r="A12" s="87"/>
      <c r="B12" s="77" t="s">
        <v>1504</v>
      </c>
      <c r="C12" s="75" t="s">
        <v>1505</v>
      </c>
      <c r="D12" s="54" t="s">
        <v>1507</v>
      </c>
      <c r="E12" s="69">
        <v>45317</v>
      </c>
      <c r="F12" s="127">
        <v>7.6700000000000004E-2</v>
      </c>
      <c r="G12" s="54">
        <v>2000000000</v>
      </c>
      <c r="H12" s="54">
        <v>0</v>
      </c>
      <c r="I12" s="54">
        <v>0</v>
      </c>
      <c r="J12" s="54">
        <v>-10748686.329113901</v>
      </c>
      <c r="K12" s="54">
        <v>0</v>
      </c>
      <c r="L12" s="54">
        <f t="shared" ref="L12:L14" si="0">+G12+H12+I12+J12+K12</f>
        <v>1989251313.670886</v>
      </c>
      <c r="M12" s="54"/>
      <c r="N12" s="54">
        <f t="shared" ref="N12:N14" si="1">+L12</f>
        <v>1989251313.670886</v>
      </c>
      <c r="O12" s="87"/>
    </row>
    <row r="13" spans="1:18" ht="14.4">
      <c r="A13" s="87"/>
      <c r="B13" s="77" t="s">
        <v>1504</v>
      </c>
      <c r="C13" s="75" t="s">
        <v>1505</v>
      </c>
      <c r="D13" s="54" t="s">
        <v>1508</v>
      </c>
      <c r="E13" s="69">
        <v>45562</v>
      </c>
      <c r="F13" s="127">
        <v>7.51E-2</v>
      </c>
      <c r="G13" s="54">
        <v>3000000000</v>
      </c>
      <c r="H13" s="54"/>
      <c r="I13" s="54"/>
      <c r="J13" s="54">
        <v>-156671959.01823699</v>
      </c>
      <c r="K13" s="54"/>
      <c r="L13" s="54">
        <f t="shared" si="0"/>
        <v>2843328040.9817629</v>
      </c>
      <c r="M13" s="54"/>
      <c r="N13" s="54">
        <f t="shared" si="1"/>
        <v>2843328040.9817629</v>
      </c>
      <c r="O13" s="87"/>
    </row>
    <row r="14" spans="1:18" ht="14.4">
      <c r="A14" s="87"/>
      <c r="B14" s="77" t="s">
        <v>1504</v>
      </c>
      <c r="C14" s="75" t="s">
        <v>1505</v>
      </c>
      <c r="D14" s="54" t="s">
        <v>1507</v>
      </c>
      <c r="E14" s="69">
        <v>45317</v>
      </c>
      <c r="F14" s="127">
        <v>7.6600000000000001E-2</v>
      </c>
      <c r="G14" s="54">
        <v>1000000000</v>
      </c>
      <c r="H14" s="54">
        <v>0</v>
      </c>
      <c r="I14" s="54">
        <v>0</v>
      </c>
      <c r="J14" s="54">
        <v>-5361915.9285714598</v>
      </c>
      <c r="K14" s="54">
        <v>0</v>
      </c>
      <c r="L14" s="54">
        <f t="shared" si="0"/>
        <v>994638084.07142854</v>
      </c>
      <c r="M14" s="54"/>
      <c r="N14" s="54">
        <f t="shared" si="1"/>
        <v>994638084.07142854</v>
      </c>
      <c r="O14" s="87"/>
    </row>
    <row r="15" spans="1:18" thickBot="1">
      <c r="A15" s="87"/>
      <c r="B15" s="87"/>
      <c r="C15" s="85"/>
      <c r="D15" s="86"/>
      <c r="E15" s="76"/>
      <c r="F15" s="72" t="s">
        <v>1509</v>
      </c>
      <c r="G15" s="90">
        <f>SUM(G11:G14)</f>
        <v>9500000000</v>
      </c>
      <c r="H15" s="90">
        <f t="shared" ref="H15:L15" si="2">SUM(H11:H14)</f>
        <v>0</v>
      </c>
      <c r="I15" s="90">
        <f t="shared" si="2"/>
        <v>0</v>
      </c>
      <c r="J15" s="90">
        <f t="shared" si="2"/>
        <v>-461394477.94712937</v>
      </c>
      <c r="K15" s="90">
        <f t="shared" si="2"/>
        <v>0</v>
      </c>
      <c r="L15" s="90">
        <f t="shared" si="2"/>
        <v>9038605522.0528717</v>
      </c>
      <c r="M15" s="71"/>
      <c r="N15" s="90">
        <f>SUM(N11:N14)</f>
        <v>9038605522.0528717</v>
      </c>
      <c r="O15" s="87"/>
      <c r="P15" s="87"/>
      <c r="Q15" s="87"/>
      <c r="R15" s="87"/>
    </row>
    <row r="16" spans="1:18" thickTop="1">
      <c r="A16" s="87"/>
      <c r="B16" s="87"/>
      <c r="C16" s="68"/>
      <c r="D16" s="55"/>
      <c r="E16" s="88"/>
      <c r="F16" s="65"/>
      <c r="G16" s="55"/>
      <c r="H16" s="55"/>
      <c r="I16" s="56"/>
      <c r="J16" s="56"/>
      <c r="K16" s="56"/>
      <c r="L16" s="55"/>
      <c r="M16" s="55"/>
      <c r="N16" s="55"/>
      <c r="O16" s="87"/>
      <c r="P16" s="87"/>
      <c r="Q16" s="87"/>
      <c r="R16" s="87"/>
    </row>
    <row r="17" spans="1:15" thickBot="1">
      <c r="A17" s="87"/>
      <c r="B17" s="80" t="s">
        <v>1510</v>
      </c>
      <c r="C17" s="67"/>
      <c r="D17" s="53"/>
      <c r="E17" s="67"/>
      <c r="F17" s="67"/>
      <c r="G17" s="126"/>
      <c r="H17" s="53"/>
      <c r="I17" s="53"/>
      <c r="J17" s="53"/>
      <c r="K17" s="53"/>
      <c r="L17" s="53"/>
      <c r="M17" s="124"/>
      <c r="N17" s="53"/>
    </row>
    <row r="18" spans="1:15" ht="14.4">
      <c r="A18" s="87"/>
      <c r="B18" s="77" t="s">
        <v>1511</v>
      </c>
      <c r="C18" s="75" t="s">
        <v>1505</v>
      </c>
      <c r="D18" s="54" t="s">
        <v>1512</v>
      </c>
      <c r="E18" s="69">
        <v>45670</v>
      </c>
      <c r="F18" s="127">
        <v>8.9499999999999996E-2</v>
      </c>
      <c r="G18" s="54">
        <v>100000000</v>
      </c>
      <c r="H18" s="54">
        <v>13535342</v>
      </c>
      <c r="I18" s="54">
        <v>-11549178</v>
      </c>
      <c r="J18" s="54">
        <v>0</v>
      </c>
      <c r="K18" s="54">
        <v>0</v>
      </c>
      <c r="L18" s="54">
        <f>+G18+H18+I18+J18+K18</f>
        <v>101986164</v>
      </c>
      <c r="M18" s="54">
        <v>0</v>
      </c>
      <c r="N18" s="54">
        <f>+L18</f>
        <v>101986164</v>
      </c>
      <c r="O18" s="87"/>
    </row>
    <row r="19" spans="1:15" ht="14.4">
      <c r="A19" s="87"/>
      <c r="B19" s="77" t="s">
        <v>1511</v>
      </c>
      <c r="C19" s="75" t="s">
        <v>1505</v>
      </c>
      <c r="D19" s="54" t="s">
        <v>1513</v>
      </c>
      <c r="E19" s="69">
        <v>45670</v>
      </c>
      <c r="F19" s="127">
        <v>8.9499999999999996E-2</v>
      </c>
      <c r="G19" s="54">
        <v>100000000</v>
      </c>
      <c r="H19" s="54">
        <v>13535342</v>
      </c>
      <c r="I19" s="54">
        <v>-11549178</v>
      </c>
      <c r="J19" s="54">
        <v>0</v>
      </c>
      <c r="K19" s="54">
        <v>0</v>
      </c>
      <c r="L19" s="54">
        <f t="shared" ref="L19:L81" si="3">+G19+H19+I19+J19+K19</f>
        <v>101986164</v>
      </c>
      <c r="M19" s="54"/>
      <c r="N19" s="54">
        <f t="shared" ref="N19:N81" si="4">+L19</f>
        <v>101986164</v>
      </c>
      <c r="O19" s="87"/>
    </row>
    <row r="20" spans="1:15" ht="14.4">
      <c r="A20" s="87"/>
      <c r="B20" s="77" t="s">
        <v>1511</v>
      </c>
      <c r="C20" s="75" t="s">
        <v>1505</v>
      </c>
      <c r="D20" s="54" t="s">
        <v>1514</v>
      </c>
      <c r="E20" s="69">
        <v>45722</v>
      </c>
      <c r="F20" s="127">
        <v>7.0000000000000007E-2</v>
      </c>
      <c r="G20" s="54">
        <v>250000000</v>
      </c>
      <c r="H20" s="54">
        <v>25171233</v>
      </c>
      <c r="I20" s="54">
        <v>-25075342</v>
      </c>
      <c r="J20" s="54">
        <v>-6147244</v>
      </c>
      <c r="K20" s="54">
        <v>0</v>
      </c>
      <c r="L20" s="54">
        <f t="shared" si="3"/>
        <v>243948647</v>
      </c>
      <c r="M20" s="54"/>
      <c r="N20" s="54">
        <f t="shared" si="4"/>
        <v>243948647</v>
      </c>
      <c r="O20" s="87"/>
    </row>
    <row r="21" spans="1:15" ht="14.4">
      <c r="A21" s="87"/>
      <c r="B21" s="77" t="s">
        <v>1515</v>
      </c>
      <c r="C21" s="75" t="s">
        <v>1505</v>
      </c>
      <c r="D21" s="54" t="s">
        <v>1516</v>
      </c>
      <c r="E21" s="69">
        <v>45862</v>
      </c>
      <c r="F21" s="127">
        <v>8.7999999999999995E-2</v>
      </c>
      <c r="G21" s="54">
        <v>500500000</v>
      </c>
      <c r="H21" s="54">
        <v>88208668</v>
      </c>
      <c r="I21" s="54">
        <v>-80003211</v>
      </c>
      <c r="J21" s="54">
        <v>0</v>
      </c>
      <c r="K21" s="54">
        <v>0</v>
      </c>
      <c r="L21" s="54">
        <f t="shared" si="3"/>
        <v>508705457</v>
      </c>
      <c r="M21" s="54"/>
      <c r="N21" s="54">
        <f t="shared" si="4"/>
        <v>508705457</v>
      </c>
      <c r="O21" s="87"/>
    </row>
    <row r="22" spans="1:15" ht="14.4">
      <c r="A22" s="87"/>
      <c r="B22" s="77" t="s">
        <v>1515</v>
      </c>
      <c r="C22" s="75" t="s">
        <v>1505</v>
      </c>
      <c r="D22" s="54" t="s">
        <v>1517</v>
      </c>
      <c r="E22" s="69">
        <v>45862</v>
      </c>
      <c r="F22" s="127">
        <v>8.7999999999999995E-2</v>
      </c>
      <c r="G22" s="54">
        <v>500500000</v>
      </c>
      <c r="H22" s="54">
        <v>88208668</v>
      </c>
      <c r="I22" s="54">
        <v>-80003211</v>
      </c>
      <c r="J22" s="54">
        <v>0</v>
      </c>
      <c r="K22" s="54">
        <v>0</v>
      </c>
      <c r="L22" s="54">
        <f t="shared" si="3"/>
        <v>508705457</v>
      </c>
      <c r="M22" s="54"/>
      <c r="N22" s="54">
        <f t="shared" si="4"/>
        <v>508705457</v>
      </c>
      <c r="O22" s="87"/>
    </row>
    <row r="23" spans="1:15" ht="14.4">
      <c r="A23" s="87"/>
      <c r="B23" s="77" t="s">
        <v>1515</v>
      </c>
      <c r="C23" s="75" t="s">
        <v>1505</v>
      </c>
      <c r="D23" s="54" t="s">
        <v>1518</v>
      </c>
      <c r="E23" s="69">
        <v>45862</v>
      </c>
      <c r="F23" s="127">
        <v>8.7999999999999995E-2</v>
      </c>
      <c r="G23" s="54">
        <v>500500000</v>
      </c>
      <c r="H23" s="54">
        <v>88208668</v>
      </c>
      <c r="I23" s="54">
        <v>-80003211</v>
      </c>
      <c r="J23" s="54">
        <v>0</v>
      </c>
      <c r="K23" s="54">
        <v>0</v>
      </c>
      <c r="L23" s="54">
        <f t="shared" si="3"/>
        <v>508705457</v>
      </c>
      <c r="M23" s="54"/>
      <c r="N23" s="54">
        <f t="shared" si="4"/>
        <v>508705457</v>
      </c>
      <c r="O23" s="87"/>
    </row>
    <row r="24" spans="1:15" ht="14.4">
      <c r="A24" s="87"/>
      <c r="B24" s="77" t="s">
        <v>1519</v>
      </c>
      <c r="C24" s="75" t="s">
        <v>1505</v>
      </c>
      <c r="D24" s="54" t="s">
        <v>1520</v>
      </c>
      <c r="E24" s="69">
        <v>45847</v>
      </c>
      <c r="F24" s="127">
        <v>8.9499999999999996E-2</v>
      </c>
      <c r="G24" s="54">
        <v>500000000</v>
      </c>
      <c r="H24" s="54">
        <v>89500000</v>
      </c>
      <c r="I24" s="54">
        <v>-79446575</v>
      </c>
      <c r="J24" s="54">
        <v>0</v>
      </c>
      <c r="K24" s="54">
        <v>1553892</v>
      </c>
      <c r="L24" s="54">
        <f t="shared" si="3"/>
        <v>511607317</v>
      </c>
      <c r="M24" s="54"/>
      <c r="N24" s="54">
        <f t="shared" si="4"/>
        <v>511607317</v>
      </c>
      <c r="O24" s="87"/>
    </row>
    <row r="25" spans="1:15" ht="14.4">
      <c r="A25" s="87"/>
      <c r="B25" s="77" t="s">
        <v>1519</v>
      </c>
      <c r="C25" s="75" t="s">
        <v>1505</v>
      </c>
      <c r="D25" s="54" t="s">
        <v>1521</v>
      </c>
      <c r="E25" s="69">
        <v>45847</v>
      </c>
      <c r="F25" s="127">
        <v>8.9499999999999996E-2</v>
      </c>
      <c r="G25" s="54">
        <v>500000000</v>
      </c>
      <c r="H25" s="54">
        <v>89500000</v>
      </c>
      <c r="I25" s="54">
        <v>-79446575</v>
      </c>
      <c r="J25" s="54">
        <v>0</v>
      </c>
      <c r="K25" s="54">
        <v>1553892</v>
      </c>
      <c r="L25" s="54">
        <f t="shared" ref="L25:L43" si="5">+G25+H25+I25+J25+K25</f>
        <v>511607317</v>
      </c>
      <c r="M25" s="54"/>
      <c r="N25" s="54">
        <f t="shared" ref="N25:N43" si="6">+L25</f>
        <v>511607317</v>
      </c>
      <c r="O25" s="87"/>
    </row>
    <row r="26" spans="1:15" ht="14.4">
      <c r="A26" s="87"/>
      <c r="B26" s="77" t="s">
        <v>1522</v>
      </c>
      <c r="C26" s="75" t="s">
        <v>1505</v>
      </c>
      <c r="D26" s="54" t="s">
        <v>1523</v>
      </c>
      <c r="E26" s="69">
        <v>45609</v>
      </c>
      <c r="F26" s="127">
        <v>9.5000000000000001E-2</v>
      </c>
      <c r="G26" s="54">
        <v>50000000</v>
      </c>
      <c r="H26" s="54">
        <v>5530821.5</v>
      </c>
      <c r="I26" s="54">
        <v>-5335616</v>
      </c>
      <c r="J26" s="54">
        <v>0</v>
      </c>
      <c r="K26" s="54">
        <v>133035</v>
      </c>
      <c r="L26" s="54">
        <f t="shared" si="5"/>
        <v>50328240.5</v>
      </c>
      <c r="M26" s="54"/>
      <c r="N26" s="54">
        <f t="shared" si="6"/>
        <v>50328240.5</v>
      </c>
      <c r="O26" s="87"/>
    </row>
    <row r="27" spans="1:15" ht="14.4">
      <c r="A27" s="87"/>
      <c r="B27" s="77" t="s">
        <v>1522</v>
      </c>
      <c r="C27" s="75" t="s">
        <v>1505</v>
      </c>
      <c r="D27" s="54" t="s">
        <v>1524</v>
      </c>
      <c r="E27" s="69">
        <v>45609</v>
      </c>
      <c r="F27" s="127">
        <v>9.5000000000000001E-2</v>
      </c>
      <c r="G27" s="54">
        <v>50000000</v>
      </c>
      <c r="H27" s="54">
        <v>5530821.5</v>
      </c>
      <c r="I27" s="54">
        <v>-5335616</v>
      </c>
      <c r="J27" s="54">
        <v>0</v>
      </c>
      <c r="K27" s="54">
        <v>133035</v>
      </c>
      <c r="L27" s="54">
        <f t="shared" si="5"/>
        <v>50328240.5</v>
      </c>
      <c r="M27" s="54"/>
      <c r="N27" s="54">
        <f t="shared" si="6"/>
        <v>50328240.5</v>
      </c>
      <c r="O27" s="87"/>
    </row>
    <row r="28" spans="1:15" ht="14.4">
      <c r="A28" s="87"/>
      <c r="B28" s="77" t="s">
        <v>1515</v>
      </c>
      <c r="C28" s="75" t="s">
        <v>1505</v>
      </c>
      <c r="D28" s="54" t="s">
        <v>1525</v>
      </c>
      <c r="E28" s="69">
        <v>46213</v>
      </c>
      <c r="F28" s="127">
        <v>8.8499999999999995E-2</v>
      </c>
      <c r="G28" s="54">
        <v>100000000</v>
      </c>
      <c r="H28" s="54">
        <v>26574247</v>
      </c>
      <c r="I28" s="54">
        <v>-24586027</v>
      </c>
      <c r="J28" s="54">
        <v>0</v>
      </c>
      <c r="K28" s="54">
        <v>472545</v>
      </c>
      <c r="L28" s="54">
        <f t="shared" si="5"/>
        <v>102460765</v>
      </c>
      <c r="M28" s="54"/>
      <c r="N28" s="54">
        <f t="shared" si="6"/>
        <v>102460765</v>
      </c>
      <c r="O28" s="87"/>
    </row>
    <row r="29" spans="1:15" ht="14.4">
      <c r="A29" s="87"/>
      <c r="B29" s="77" t="s">
        <v>1515</v>
      </c>
      <c r="C29" s="75" t="s">
        <v>1505</v>
      </c>
      <c r="D29" s="54" t="s">
        <v>1526</v>
      </c>
      <c r="E29" s="69">
        <v>46213</v>
      </c>
      <c r="F29" s="127">
        <v>8.8499999999999995E-2</v>
      </c>
      <c r="G29" s="54">
        <v>100000000</v>
      </c>
      <c r="H29" s="54">
        <v>26574247</v>
      </c>
      <c r="I29" s="54">
        <v>-24586027</v>
      </c>
      <c r="J29" s="54">
        <v>0</v>
      </c>
      <c r="K29" s="54">
        <v>472545</v>
      </c>
      <c r="L29" s="54">
        <f t="shared" si="5"/>
        <v>102460765</v>
      </c>
      <c r="M29" s="54">
        <v>0</v>
      </c>
      <c r="N29" s="54">
        <f t="shared" si="6"/>
        <v>102460765</v>
      </c>
      <c r="O29" s="87"/>
    </row>
    <row r="30" spans="1:15" ht="14.4">
      <c r="A30" s="87"/>
      <c r="B30" s="77" t="s">
        <v>1527</v>
      </c>
      <c r="C30" s="75" t="s">
        <v>1505</v>
      </c>
      <c r="D30" s="54" t="s">
        <v>1528</v>
      </c>
      <c r="E30" s="69">
        <v>45916</v>
      </c>
      <c r="F30" s="127">
        <v>9.5000000000000001E-2</v>
      </c>
      <c r="G30" s="54">
        <v>1000000000</v>
      </c>
      <c r="H30" s="54">
        <v>190520548</v>
      </c>
      <c r="I30" s="54">
        <v>-186616438</v>
      </c>
      <c r="J30" s="54">
        <v>-8808631</v>
      </c>
      <c r="K30" s="54">
        <v>0</v>
      </c>
      <c r="L30" s="54">
        <f t="shared" si="5"/>
        <v>995095479</v>
      </c>
      <c r="M30" s="54">
        <v>0</v>
      </c>
      <c r="N30" s="54">
        <f t="shared" si="6"/>
        <v>995095479</v>
      </c>
      <c r="O30" s="87"/>
    </row>
    <row r="31" spans="1:15" ht="14.4">
      <c r="A31" s="87"/>
      <c r="B31" s="77" t="s">
        <v>1527</v>
      </c>
      <c r="C31" s="75" t="s">
        <v>1505</v>
      </c>
      <c r="D31" s="54" t="s">
        <v>1529</v>
      </c>
      <c r="E31" s="69">
        <v>45916</v>
      </c>
      <c r="F31" s="127">
        <v>9.5000000000000001E-2</v>
      </c>
      <c r="G31" s="54">
        <v>2500000000</v>
      </c>
      <c r="H31" s="54">
        <v>476301370</v>
      </c>
      <c r="I31" s="54">
        <v>-466541096</v>
      </c>
      <c r="J31" s="54">
        <v>-22021527</v>
      </c>
      <c r="K31" s="54">
        <v>0</v>
      </c>
      <c r="L31" s="54">
        <f t="shared" si="5"/>
        <v>2487738747</v>
      </c>
      <c r="M31" s="54"/>
      <c r="N31" s="54">
        <f t="shared" si="6"/>
        <v>2487738747</v>
      </c>
      <c r="O31" s="87"/>
    </row>
    <row r="32" spans="1:15" ht="14.4">
      <c r="A32" s="87"/>
      <c r="B32" s="77" t="s">
        <v>1530</v>
      </c>
      <c r="C32" s="75" t="s">
        <v>1505</v>
      </c>
      <c r="D32" s="54" t="s">
        <v>1531</v>
      </c>
      <c r="E32" s="69">
        <v>45653</v>
      </c>
      <c r="F32" s="127">
        <v>0.10299999999999999</v>
      </c>
      <c r="G32" s="54">
        <v>100000000</v>
      </c>
      <c r="H32" s="54">
        <v>15266575.4</v>
      </c>
      <c r="I32" s="54">
        <v>-12811507</v>
      </c>
      <c r="J32" s="54">
        <v>0</v>
      </c>
      <c r="K32" s="54">
        <v>683694</v>
      </c>
      <c r="L32" s="54">
        <f t="shared" si="5"/>
        <v>103138762.40000001</v>
      </c>
      <c r="M32" s="54"/>
      <c r="N32" s="54">
        <f t="shared" si="6"/>
        <v>103138762.40000001</v>
      </c>
      <c r="O32" s="87"/>
    </row>
    <row r="33" spans="1:15" ht="14.4">
      <c r="A33" s="87"/>
      <c r="B33" s="77" t="s">
        <v>1530</v>
      </c>
      <c r="C33" s="75" t="s">
        <v>1505</v>
      </c>
      <c r="D33" s="54" t="s">
        <v>1532</v>
      </c>
      <c r="E33" s="69">
        <v>45653</v>
      </c>
      <c r="F33" s="127">
        <v>0.10299999999999999</v>
      </c>
      <c r="G33" s="54">
        <v>100000000</v>
      </c>
      <c r="H33" s="54">
        <v>15266575.4</v>
      </c>
      <c r="I33" s="54">
        <v>-12811507</v>
      </c>
      <c r="J33" s="54">
        <v>0</v>
      </c>
      <c r="K33" s="54">
        <v>683694</v>
      </c>
      <c r="L33" s="54">
        <f t="shared" si="5"/>
        <v>103138762.40000001</v>
      </c>
      <c r="M33" s="54"/>
      <c r="N33" s="54">
        <f t="shared" si="6"/>
        <v>103138762.40000001</v>
      </c>
      <c r="O33" s="87"/>
    </row>
    <row r="34" spans="1:15" ht="14.4">
      <c r="A34" s="87"/>
      <c r="B34" s="77" t="s">
        <v>1530</v>
      </c>
      <c r="C34" s="75" t="s">
        <v>1505</v>
      </c>
      <c r="D34" s="54" t="s">
        <v>1533</v>
      </c>
      <c r="E34" s="69">
        <v>45653</v>
      </c>
      <c r="F34" s="127">
        <v>0.10299999999999999</v>
      </c>
      <c r="G34" s="54">
        <v>100000000</v>
      </c>
      <c r="H34" s="54">
        <v>15266575.4</v>
      </c>
      <c r="I34" s="54">
        <v>-12811507</v>
      </c>
      <c r="J34" s="54">
        <v>0</v>
      </c>
      <c r="K34" s="54">
        <v>683694</v>
      </c>
      <c r="L34" s="54">
        <f t="shared" si="5"/>
        <v>103138762.40000001</v>
      </c>
      <c r="M34" s="54"/>
      <c r="N34" s="54">
        <f t="shared" si="6"/>
        <v>103138762.40000001</v>
      </c>
      <c r="O34" s="87"/>
    </row>
    <row r="35" spans="1:15" ht="14.4">
      <c r="A35" s="87"/>
      <c r="B35" s="77" t="s">
        <v>1530</v>
      </c>
      <c r="C35" s="75" t="s">
        <v>1505</v>
      </c>
      <c r="D35" s="54" t="s">
        <v>1534</v>
      </c>
      <c r="E35" s="69">
        <v>45653</v>
      </c>
      <c r="F35" s="127">
        <v>0.10299999999999999</v>
      </c>
      <c r="G35" s="54">
        <v>100000000</v>
      </c>
      <c r="H35" s="54">
        <v>15266575.4</v>
      </c>
      <c r="I35" s="54">
        <v>-12811507</v>
      </c>
      <c r="J35" s="54">
        <v>0</v>
      </c>
      <c r="K35" s="54">
        <v>683694</v>
      </c>
      <c r="L35" s="54">
        <f t="shared" si="5"/>
        <v>103138762.40000001</v>
      </c>
      <c r="M35" s="54"/>
      <c r="N35" s="54">
        <f t="shared" si="6"/>
        <v>103138762.40000001</v>
      </c>
      <c r="O35" s="87"/>
    </row>
    <row r="36" spans="1:15" ht="14.4">
      <c r="A36" s="87"/>
      <c r="B36" s="77" t="s">
        <v>1530</v>
      </c>
      <c r="C36" s="75" t="s">
        <v>1505</v>
      </c>
      <c r="D36" s="54" t="s">
        <v>1535</v>
      </c>
      <c r="E36" s="69">
        <v>45653</v>
      </c>
      <c r="F36" s="127">
        <v>0.10299999999999999</v>
      </c>
      <c r="G36" s="54">
        <v>100000000</v>
      </c>
      <c r="H36" s="54">
        <v>15266575.4</v>
      </c>
      <c r="I36" s="54">
        <v>-12811507</v>
      </c>
      <c r="J36" s="54">
        <v>0</v>
      </c>
      <c r="K36" s="54">
        <v>683694</v>
      </c>
      <c r="L36" s="54">
        <f t="shared" si="5"/>
        <v>103138762.40000001</v>
      </c>
      <c r="M36" s="54"/>
      <c r="N36" s="54">
        <f t="shared" si="6"/>
        <v>103138762.40000001</v>
      </c>
      <c r="O36" s="87"/>
    </row>
    <row r="37" spans="1:15" ht="14.4">
      <c r="A37" s="87"/>
      <c r="B37" s="77" t="s">
        <v>1530</v>
      </c>
      <c r="C37" s="75" t="s">
        <v>1505</v>
      </c>
      <c r="D37" s="54" t="s">
        <v>1536</v>
      </c>
      <c r="E37" s="69">
        <v>45653</v>
      </c>
      <c r="F37" s="127">
        <v>0.10299999999999999</v>
      </c>
      <c r="G37" s="54">
        <v>100000000</v>
      </c>
      <c r="H37" s="54">
        <v>15266575.4</v>
      </c>
      <c r="I37" s="54">
        <v>-12811507</v>
      </c>
      <c r="J37" s="54">
        <v>0</v>
      </c>
      <c r="K37" s="54">
        <v>683694</v>
      </c>
      <c r="L37" s="54">
        <f t="shared" si="5"/>
        <v>103138762.40000001</v>
      </c>
      <c r="M37" s="54"/>
      <c r="N37" s="54">
        <f t="shared" si="6"/>
        <v>103138762.40000001</v>
      </c>
      <c r="O37" s="87"/>
    </row>
    <row r="38" spans="1:15" ht="14.4">
      <c r="A38" s="87"/>
      <c r="B38" s="77" t="s">
        <v>1530</v>
      </c>
      <c r="C38" s="75" t="s">
        <v>1505</v>
      </c>
      <c r="D38" s="54" t="s">
        <v>1537</v>
      </c>
      <c r="E38" s="69">
        <v>45653</v>
      </c>
      <c r="F38" s="127">
        <v>0.10299999999999999</v>
      </c>
      <c r="G38" s="54">
        <v>100000000</v>
      </c>
      <c r="H38" s="54">
        <v>15266575.4</v>
      </c>
      <c r="I38" s="54">
        <v>-12811507</v>
      </c>
      <c r="J38" s="54">
        <v>0</v>
      </c>
      <c r="K38" s="54">
        <v>683694</v>
      </c>
      <c r="L38" s="54">
        <f t="shared" si="5"/>
        <v>103138762.40000001</v>
      </c>
      <c r="M38" s="54"/>
      <c r="N38" s="54">
        <f t="shared" si="6"/>
        <v>103138762.40000001</v>
      </c>
      <c r="O38" s="87"/>
    </row>
    <row r="39" spans="1:15" ht="14.4">
      <c r="A39" s="87"/>
      <c r="B39" s="77" t="s">
        <v>1530</v>
      </c>
      <c r="C39" s="75" t="s">
        <v>1505</v>
      </c>
      <c r="D39" s="54" t="s">
        <v>1538</v>
      </c>
      <c r="E39" s="69">
        <v>45653</v>
      </c>
      <c r="F39" s="127">
        <v>0.10299999999999999</v>
      </c>
      <c r="G39" s="54">
        <v>100000000</v>
      </c>
      <c r="H39" s="54">
        <v>15266575.4</v>
      </c>
      <c r="I39" s="54">
        <v>-12811507</v>
      </c>
      <c r="J39" s="54">
        <v>0</v>
      </c>
      <c r="K39" s="54">
        <v>683694</v>
      </c>
      <c r="L39" s="54">
        <f t="shared" si="5"/>
        <v>103138762.40000001</v>
      </c>
      <c r="M39" s="54"/>
      <c r="N39" s="54">
        <f t="shared" si="6"/>
        <v>103138762.40000001</v>
      </c>
      <c r="O39" s="87"/>
    </row>
    <row r="40" spans="1:15" ht="14.4">
      <c r="A40" s="87"/>
      <c r="B40" s="77" t="s">
        <v>1539</v>
      </c>
      <c r="C40" s="75" t="s">
        <v>1505</v>
      </c>
      <c r="D40" s="54" t="s">
        <v>1540</v>
      </c>
      <c r="E40" s="69">
        <v>45642</v>
      </c>
      <c r="F40" s="127">
        <v>0.1</v>
      </c>
      <c r="G40" s="54">
        <v>240000000</v>
      </c>
      <c r="H40" s="426">
        <v>30312328.5</v>
      </c>
      <c r="I40" s="54">
        <v>-29128767</v>
      </c>
      <c r="J40" s="54">
        <v>0</v>
      </c>
      <c r="K40" s="54">
        <v>4076309.5</v>
      </c>
      <c r="L40" s="54">
        <f t="shared" si="5"/>
        <v>245259871</v>
      </c>
      <c r="M40" s="54"/>
      <c r="N40" s="54">
        <f t="shared" si="6"/>
        <v>245259871</v>
      </c>
      <c r="O40" s="87"/>
    </row>
    <row r="41" spans="1:15" ht="14.4">
      <c r="A41" s="87"/>
      <c r="B41" s="77" t="s">
        <v>1539</v>
      </c>
      <c r="C41" s="75" t="s">
        <v>1505</v>
      </c>
      <c r="D41" s="54" t="s">
        <v>1541</v>
      </c>
      <c r="E41" s="69">
        <v>45642</v>
      </c>
      <c r="F41" s="127">
        <v>0.1</v>
      </c>
      <c r="G41" s="54">
        <v>240000000</v>
      </c>
      <c r="H41" s="54">
        <v>30312328.5</v>
      </c>
      <c r="I41" s="54">
        <v>-29128767</v>
      </c>
      <c r="J41" s="54">
        <v>0</v>
      </c>
      <c r="K41" s="54">
        <v>4076309.5</v>
      </c>
      <c r="L41" s="54">
        <f t="shared" si="5"/>
        <v>245259871</v>
      </c>
      <c r="M41" s="54"/>
      <c r="N41" s="54">
        <f t="shared" si="6"/>
        <v>245259871</v>
      </c>
      <c r="O41" s="87"/>
    </row>
    <row r="42" spans="1:15" ht="14.4">
      <c r="A42" s="87"/>
      <c r="B42" s="77" t="s">
        <v>1542</v>
      </c>
      <c r="C42" s="75" t="s">
        <v>1505</v>
      </c>
      <c r="D42" s="54" t="s">
        <v>1543</v>
      </c>
      <c r="E42" s="69">
        <v>45915</v>
      </c>
      <c r="F42" s="127">
        <v>9.9500000000000005E-2</v>
      </c>
      <c r="G42" s="54">
        <v>100000000</v>
      </c>
      <c r="H42" s="54">
        <v>20172602.5</v>
      </c>
      <c r="I42" s="54">
        <v>-19518356</v>
      </c>
      <c r="J42" s="54">
        <v>0</v>
      </c>
      <c r="K42" s="54">
        <v>0</v>
      </c>
      <c r="L42" s="54">
        <f t="shared" si="5"/>
        <v>100654246.5</v>
      </c>
      <c r="M42" s="54"/>
      <c r="N42" s="54">
        <f t="shared" si="6"/>
        <v>100654246.5</v>
      </c>
      <c r="O42" s="87"/>
    </row>
    <row r="43" spans="1:15" ht="14.4">
      <c r="A43" s="87"/>
      <c r="B43" s="77" t="s">
        <v>1542</v>
      </c>
      <c r="C43" s="75" t="s">
        <v>1505</v>
      </c>
      <c r="D43" s="54" t="s">
        <v>1544</v>
      </c>
      <c r="E43" s="69">
        <v>45915</v>
      </c>
      <c r="F43" s="127">
        <v>9.9500000000000005E-2</v>
      </c>
      <c r="G43" s="54">
        <v>100000000</v>
      </c>
      <c r="H43" s="54">
        <v>20172602.5</v>
      </c>
      <c r="I43" s="54">
        <v>-19518356</v>
      </c>
      <c r="J43" s="54">
        <v>0</v>
      </c>
      <c r="K43" s="54">
        <v>0</v>
      </c>
      <c r="L43" s="54">
        <f t="shared" si="5"/>
        <v>100654246.5</v>
      </c>
      <c r="M43" s="54">
        <v>0</v>
      </c>
      <c r="N43" s="54">
        <f t="shared" si="6"/>
        <v>100654246.5</v>
      </c>
      <c r="O43" s="87"/>
    </row>
    <row r="44" spans="1:15" ht="14.4">
      <c r="A44" s="87"/>
      <c r="B44" s="77" t="s">
        <v>1542</v>
      </c>
      <c r="C44" s="75" t="s">
        <v>1505</v>
      </c>
      <c r="D44" s="54" t="s">
        <v>1545</v>
      </c>
      <c r="E44" s="69">
        <v>45915</v>
      </c>
      <c r="F44" s="127">
        <v>9.9500000000000005E-2</v>
      </c>
      <c r="G44" s="54">
        <v>100000000</v>
      </c>
      <c r="H44" s="54">
        <v>20172602.5</v>
      </c>
      <c r="I44" s="54">
        <v>-19518356</v>
      </c>
      <c r="J44" s="54">
        <v>0</v>
      </c>
      <c r="K44" s="54">
        <v>0</v>
      </c>
      <c r="L44" s="54">
        <f>+G44+H44+I44+J44+K44</f>
        <v>100654246.5</v>
      </c>
      <c r="M44" s="54">
        <v>0</v>
      </c>
      <c r="N44" s="54">
        <f>+L44</f>
        <v>100654246.5</v>
      </c>
      <c r="O44" s="87"/>
    </row>
    <row r="45" spans="1:15" ht="14.4">
      <c r="A45" s="87"/>
      <c r="B45" s="77" t="s">
        <v>1542</v>
      </c>
      <c r="C45" s="75" t="s">
        <v>1505</v>
      </c>
      <c r="D45" s="54" t="s">
        <v>1546</v>
      </c>
      <c r="E45" s="69">
        <v>45915</v>
      </c>
      <c r="F45" s="127">
        <v>9.9500000000000005E-2</v>
      </c>
      <c r="G45" s="54">
        <v>100000000</v>
      </c>
      <c r="H45" s="54">
        <v>20172602.5</v>
      </c>
      <c r="I45" s="54">
        <v>-19518356</v>
      </c>
      <c r="J45" s="54">
        <v>0</v>
      </c>
      <c r="K45" s="54">
        <v>0</v>
      </c>
      <c r="L45" s="54">
        <f t="shared" ref="L45" si="7">+G45+H45+I45+J45+K45</f>
        <v>100654246.5</v>
      </c>
      <c r="M45" s="54"/>
      <c r="N45" s="54">
        <f t="shared" ref="N45" si="8">+L45</f>
        <v>100654246.5</v>
      </c>
      <c r="O45" s="87"/>
    </row>
    <row r="46" spans="1:15" ht="14.4">
      <c r="A46" s="87"/>
      <c r="B46" s="77" t="s">
        <v>1542</v>
      </c>
      <c r="C46" s="75" t="s">
        <v>1505</v>
      </c>
      <c r="D46" s="54" t="s">
        <v>1547</v>
      </c>
      <c r="E46" s="69">
        <v>45915</v>
      </c>
      <c r="F46" s="127">
        <v>9.9500000000000005E-2</v>
      </c>
      <c r="G46" s="54">
        <v>100000000</v>
      </c>
      <c r="H46" s="54">
        <v>20172602.5</v>
      </c>
      <c r="I46" s="54">
        <v>-19518356</v>
      </c>
      <c r="J46" s="54">
        <v>0</v>
      </c>
      <c r="K46" s="54">
        <v>0</v>
      </c>
      <c r="L46" s="54">
        <f>+G46+H46+I46+J46+K46</f>
        <v>100654246.5</v>
      </c>
      <c r="M46" s="54">
        <v>0</v>
      </c>
      <c r="N46" s="54">
        <f>+L46</f>
        <v>100654246.5</v>
      </c>
      <c r="O46" s="87"/>
    </row>
    <row r="47" spans="1:15" ht="14.4">
      <c r="A47" s="87"/>
      <c r="B47" s="77" t="s">
        <v>1548</v>
      </c>
      <c r="C47" s="75" t="s">
        <v>1505</v>
      </c>
      <c r="D47" s="54" t="s">
        <v>1549</v>
      </c>
      <c r="E47" s="69">
        <v>45922</v>
      </c>
      <c r="F47" s="127">
        <v>0.1045</v>
      </c>
      <c r="G47" s="54">
        <v>100000000</v>
      </c>
      <c r="H47" s="54">
        <v>21243561.5</v>
      </c>
      <c r="I47" s="54">
        <v>-20699589</v>
      </c>
      <c r="J47" s="54">
        <v>0</v>
      </c>
      <c r="K47" s="54">
        <v>0</v>
      </c>
      <c r="L47" s="54">
        <f>+G47+H47+I47+J47+K47</f>
        <v>100543972.5</v>
      </c>
      <c r="M47" s="54">
        <v>0</v>
      </c>
      <c r="N47" s="54">
        <f>+L47</f>
        <v>100543972.5</v>
      </c>
      <c r="O47" s="87"/>
    </row>
    <row r="48" spans="1:15" ht="14.4">
      <c r="A48" s="87"/>
      <c r="B48" s="77" t="s">
        <v>1550</v>
      </c>
      <c r="C48" s="75" t="s">
        <v>1505</v>
      </c>
      <c r="D48" s="54" t="s">
        <v>1551</v>
      </c>
      <c r="E48" s="69">
        <v>45735</v>
      </c>
      <c r="F48" s="127">
        <v>0.08</v>
      </c>
      <c r="G48" s="54">
        <v>100000000</v>
      </c>
      <c r="H48" s="54">
        <v>12230136.5</v>
      </c>
      <c r="I48" s="54">
        <v>-11747945</v>
      </c>
      <c r="J48" s="54">
        <v>-2225121</v>
      </c>
      <c r="K48" s="54">
        <v>0</v>
      </c>
      <c r="L48" s="54">
        <f>+G48+H48+I48+J48+K48</f>
        <v>98257070.5</v>
      </c>
      <c r="M48" s="54"/>
      <c r="N48" s="54">
        <f>+L48</f>
        <v>98257070.5</v>
      </c>
      <c r="O48" s="87"/>
    </row>
    <row r="49" spans="1:15" ht="14.4">
      <c r="A49" s="87"/>
      <c r="B49" s="77" t="s">
        <v>1515</v>
      </c>
      <c r="C49" s="75" t="s">
        <v>1505</v>
      </c>
      <c r="D49" s="54" t="s">
        <v>1552</v>
      </c>
      <c r="E49" s="69">
        <v>46280</v>
      </c>
      <c r="F49" s="127">
        <v>8.2500000000000004E-2</v>
      </c>
      <c r="G49" s="54">
        <v>100000000</v>
      </c>
      <c r="H49" s="54">
        <v>24772603</v>
      </c>
      <c r="I49" s="54">
        <v>-24433562</v>
      </c>
      <c r="J49" s="54">
        <v>0</v>
      </c>
      <c r="K49" s="54">
        <v>0</v>
      </c>
      <c r="L49" s="54">
        <f>+G49+H49+I49+J49+K49</f>
        <v>100339041</v>
      </c>
      <c r="M49" s="54"/>
      <c r="N49" s="54">
        <f>+L49</f>
        <v>100339041</v>
      </c>
      <c r="O49" s="87"/>
    </row>
    <row r="50" spans="1:15" ht="14.4">
      <c r="A50" s="87"/>
      <c r="B50" s="77" t="s">
        <v>1515</v>
      </c>
      <c r="C50" s="75" t="s">
        <v>1505</v>
      </c>
      <c r="D50" s="54" t="s">
        <v>1553</v>
      </c>
      <c r="E50" s="69">
        <v>46280</v>
      </c>
      <c r="F50" s="127">
        <v>8.2500000000000004E-2</v>
      </c>
      <c r="G50" s="54">
        <v>100000000</v>
      </c>
      <c r="H50" s="54">
        <v>24772603</v>
      </c>
      <c r="I50" s="54">
        <v>-24433562</v>
      </c>
      <c r="J50" s="54">
        <v>0</v>
      </c>
      <c r="K50" s="54">
        <v>0</v>
      </c>
      <c r="L50" s="54">
        <f>+G50+H50+I50+J50+K50</f>
        <v>100339041</v>
      </c>
      <c r="M50" s="54"/>
      <c r="N50" s="54">
        <f>+L50</f>
        <v>100339041</v>
      </c>
      <c r="O50" s="87"/>
    </row>
    <row r="51" spans="1:15" ht="14.4">
      <c r="A51" s="87"/>
      <c r="B51" s="77" t="s">
        <v>1515</v>
      </c>
      <c r="C51" s="75" t="s">
        <v>1505</v>
      </c>
      <c r="D51" s="54" t="s">
        <v>1554</v>
      </c>
      <c r="E51" s="69">
        <v>46280</v>
      </c>
      <c r="F51" s="127">
        <v>8.2500000000000004E-2</v>
      </c>
      <c r="G51" s="54">
        <v>100000000</v>
      </c>
      <c r="H51" s="54">
        <v>24772603</v>
      </c>
      <c r="I51" s="54">
        <v>-24433562</v>
      </c>
      <c r="J51" s="54">
        <v>0</v>
      </c>
      <c r="K51" s="54">
        <v>0</v>
      </c>
      <c r="L51" s="54">
        <f t="shared" ref="L51" si="9">+G51+H51+I51+J51+K51</f>
        <v>100339041</v>
      </c>
      <c r="M51" s="54"/>
      <c r="N51" s="54">
        <f t="shared" ref="N51" si="10">+L51</f>
        <v>100339041</v>
      </c>
      <c r="O51" s="87"/>
    </row>
    <row r="52" spans="1:15" ht="14.4">
      <c r="A52" s="87"/>
      <c r="B52" s="77" t="s">
        <v>1515</v>
      </c>
      <c r="C52" s="75" t="s">
        <v>1505</v>
      </c>
      <c r="D52" s="54" t="s">
        <v>1555</v>
      </c>
      <c r="E52" s="69">
        <v>46280</v>
      </c>
      <c r="F52" s="127">
        <v>8.2500000000000004E-2</v>
      </c>
      <c r="G52" s="54">
        <v>100000000</v>
      </c>
      <c r="H52" s="54">
        <v>24772603</v>
      </c>
      <c r="I52" s="54">
        <v>-24433562</v>
      </c>
      <c r="J52" s="54">
        <v>0</v>
      </c>
      <c r="K52" s="54">
        <v>0</v>
      </c>
      <c r="L52" s="54">
        <f>+G52+H52+I52+J52+K52</f>
        <v>100339041</v>
      </c>
      <c r="M52" s="54"/>
      <c r="N52" s="54">
        <f>+L52</f>
        <v>100339041</v>
      </c>
      <c r="O52" s="87"/>
    </row>
    <row r="53" spans="1:15" ht="14.4">
      <c r="A53" s="87"/>
      <c r="B53" s="77" t="s">
        <v>1515</v>
      </c>
      <c r="C53" s="75" t="s">
        <v>1505</v>
      </c>
      <c r="D53" s="54" t="s">
        <v>1556</v>
      </c>
      <c r="E53" s="69">
        <v>46280</v>
      </c>
      <c r="F53" s="127">
        <v>8.2500000000000004E-2</v>
      </c>
      <c r="G53" s="54">
        <v>100000000</v>
      </c>
      <c r="H53" s="54">
        <v>24772603</v>
      </c>
      <c r="I53" s="54">
        <v>-24433562</v>
      </c>
      <c r="J53" s="54">
        <v>0</v>
      </c>
      <c r="K53" s="54">
        <v>0</v>
      </c>
      <c r="L53" s="54">
        <f>+G53+H53+I53+J53+K53</f>
        <v>100339041</v>
      </c>
      <c r="M53" s="54"/>
      <c r="N53" s="54">
        <f>+L53</f>
        <v>100339041</v>
      </c>
      <c r="O53" s="87"/>
    </row>
    <row r="54" spans="1:15" ht="14.4">
      <c r="A54" s="87"/>
      <c r="B54" s="77" t="s">
        <v>1515</v>
      </c>
      <c r="C54" s="75" t="s">
        <v>1505</v>
      </c>
      <c r="D54" s="54" t="s">
        <v>1557</v>
      </c>
      <c r="E54" s="69">
        <v>46280</v>
      </c>
      <c r="F54" s="127">
        <v>8.2500000000000004E-2</v>
      </c>
      <c r="G54" s="54">
        <v>100000000</v>
      </c>
      <c r="H54" s="54">
        <v>24772603</v>
      </c>
      <c r="I54" s="54">
        <v>-24433562</v>
      </c>
      <c r="J54" s="54">
        <v>0</v>
      </c>
      <c r="K54" s="54">
        <v>0</v>
      </c>
      <c r="L54" s="54">
        <f t="shared" ref="L54:L56" si="11">+G54+H54+I54+J54+K54</f>
        <v>100339041</v>
      </c>
      <c r="M54" s="54"/>
      <c r="N54" s="54">
        <f t="shared" ref="N54:N56" si="12">+L54</f>
        <v>100339041</v>
      </c>
      <c r="O54" s="87"/>
    </row>
    <row r="55" spans="1:15" ht="14.4">
      <c r="A55" s="87"/>
      <c r="B55" s="77" t="s">
        <v>1515</v>
      </c>
      <c r="C55" s="75" t="s">
        <v>1505</v>
      </c>
      <c r="D55" s="54" t="s">
        <v>1558</v>
      </c>
      <c r="E55" s="69">
        <v>46280</v>
      </c>
      <c r="F55" s="127">
        <v>8.2500000000000004E-2</v>
      </c>
      <c r="G55" s="54">
        <v>100000000</v>
      </c>
      <c r="H55" s="54">
        <v>24772603</v>
      </c>
      <c r="I55" s="54">
        <v>-24433562</v>
      </c>
      <c r="J55" s="54">
        <v>0</v>
      </c>
      <c r="K55" s="54">
        <v>0</v>
      </c>
      <c r="L55" s="54">
        <f t="shared" si="11"/>
        <v>100339041</v>
      </c>
      <c r="M55" s="54"/>
      <c r="N55" s="54">
        <f t="shared" si="12"/>
        <v>100339041</v>
      </c>
      <c r="O55" s="87"/>
    </row>
    <row r="56" spans="1:15" ht="14.4">
      <c r="A56" s="87"/>
      <c r="B56" s="77" t="s">
        <v>1515</v>
      </c>
      <c r="C56" s="75" t="s">
        <v>1505</v>
      </c>
      <c r="D56" s="54" t="s">
        <v>1559</v>
      </c>
      <c r="E56" s="69">
        <v>46280</v>
      </c>
      <c r="F56" s="127">
        <v>8.2500000000000004E-2</v>
      </c>
      <c r="G56" s="54">
        <v>100000000</v>
      </c>
      <c r="H56" s="54">
        <v>24772603</v>
      </c>
      <c r="I56" s="54">
        <v>-24433562</v>
      </c>
      <c r="J56" s="54">
        <v>0</v>
      </c>
      <c r="K56" s="54">
        <v>0</v>
      </c>
      <c r="L56" s="54">
        <f t="shared" si="11"/>
        <v>100339041</v>
      </c>
      <c r="M56" s="54"/>
      <c r="N56" s="54">
        <f t="shared" si="12"/>
        <v>100339041</v>
      </c>
      <c r="O56" s="87"/>
    </row>
    <row r="57" spans="1:15" ht="14.4">
      <c r="A57" s="87"/>
      <c r="B57" s="77" t="s">
        <v>1515</v>
      </c>
      <c r="C57" s="75" t="s">
        <v>1505</v>
      </c>
      <c r="D57" s="54" t="s">
        <v>1560</v>
      </c>
      <c r="E57" s="69">
        <v>46280</v>
      </c>
      <c r="F57" s="127">
        <v>8.2500000000000004E-2</v>
      </c>
      <c r="G57" s="54">
        <v>100000000</v>
      </c>
      <c r="H57" s="54">
        <v>24772602.5</v>
      </c>
      <c r="I57" s="54">
        <v>-24433562</v>
      </c>
      <c r="J57" s="54">
        <v>0</v>
      </c>
      <c r="K57" s="54">
        <v>0</v>
      </c>
      <c r="L57" s="54">
        <f>+G57+H57+I57+J57+K57</f>
        <v>100339040.5</v>
      </c>
      <c r="M57" s="54"/>
      <c r="N57" s="54">
        <f>+L57</f>
        <v>100339040.5</v>
      </c>
      <c r="O57" s="87"/>
    </row>
    <row r="58" spans="1:15" ht="14.4">
      <c r="A58" s="87"/>
      <c r="B58" s="77" t="s">
        <v>1515</v>
      </c>
      <c r="C58" s="75" t="s">
        <v>1505</v>
      </c>
      <c r="D58" s="54" t="s">
        <v>1561</v>
      </c>
      <c r="E58" s="69">
        <v>46286</v>
      </c>
      <c r="F58" s="127">
        <v>8.2500000000000004E-2</v>
      </c>
      <c r="G58" s="54">
        <v>100000000</v>
      </c>
      <c r="H58" s="54">
        <v>24795205</v>
      </c>
      <c r="I58" s="54">
        <v>-24569178</v>
      </c>
      <c r="J58" s="54">
        <v>0</v>
      </c>
      <c r="K58" s="54">
        <v>0</v>
      </c>
      <c r="L58" s="54">
        <f>+G58+H58+I58+J58+K58</f>
        <v>100226027</v>
      </c>
      <c r="M58" s="54"/>
      <c r="N58" s="54">
        <f>+L58</f>
        <v>100226027</v>
      </c>
      <c r="O58" s="87"/>
    </row>
    <row r="59" spans="1:15" ht="14.4">
      <c r="A59" s="87"/>
      <c r="B59" s="77" t="s">
        <v>1515</v>
      </c>
      <c r="C59" s="75" t="s">
        <v>1505</v>
      </c>
      <c r="D59" s="54" t="s">
        <v>1562</v>
      </c>
      <c r="E59" s="69">
        <v>46286</v>
      </c>
      <c r="F59" s="127">
        <v>8.2500000000000004E-2</v>
      </c>
      <c r="G59" s="54">
        <v>100000000</v>
      </c>
      <c r="H59" s="54">
        <v>24795205</v>
      </c>
      <c r="I59" s="54">
        <v>-24569178</v>
      </c>
      <c r="J59" s="54">
        <v>0</v>
      </c>
      <c r="K59" s="54">
        <v>0</v>
      </c>
      <c r="L59" s="54">
        <f t="shared" ref="L59:L63" si="13">+G59+H59+I59+J59+K59</f>
        <v>100226027</v>
      </c>
      <c r="M59" s="54"/>
      <c r="N59" s="54">
        <f t="shared" ref="N59:N63" si="14">+L59</f>
        <v>100226027</v>
      </c>
      <c r="O59" s="87"/>
    </row>
    <row r="60" spans="1:15" ht="14.4">
      <c r="A60" s="87"/>
      <c r="B60" s="77" t="s">
        <v>1515</v>
      </c>
      <c r="C60" s="75" t="s">
        <v>1505</v>
      </c>
      <c r="D60" s="54" t="s">
        <v>1563</v>
      </c>
      <c r="E60" s="69">
        <v>46286</v>
      </c>
      <c r="F60" s="127">
        <v>8.2500000000000004E-2</v>
      </c>
      <c r="G60" s="54">
        <v>100000000</v>
      </c>
      <c r="H60" s="54">
        <v>24795205</v>
      </c>
      <c r="I60" s="54">
        <v>-24569178</v>
      </c>
      <c r="J60" s="54">
        <v>0</v>
      </c>
      <c r="K60" s="54">
        <v>0</v>
      </c>
      <c r="L60" s="54">
        <f t="shared" si="13"/>
        <v>100226027</v>
      </c>
      <c r="M60" s="54"/>
      <c r="N60" s="54">
        <f t="shared" si="14"/>
        <v>100226027</v>
      </c>
      <c r="O60" s="87"/>
    </row>
    <row r="61" spans="1:15" ht="14.4">
      <c r="A61" s="87"/>
      <c r="B61" s="77" t="s">
        <v>1515</v>
      </c>
      <c r="C61" s="75" t="s">
        <v>1505</v>
      </c>
      <c r="D61" s="54" t="s">
        <v>1564</v>
      </c>
      <c r="E61" s="69">
        <v>46286</v>
      </c>
      <c r="F61" s="127">
        <v>8.2500000000000004E-2</v>
      </c>
      <c r="G61" s="54">
        <v>100000000</v>
      </c>
      <c r="H61" s="54">
        <v>24795205</v>
      </c>
      <c r="I61" s="54">
        <v>-24569178</v>
      </c>
      <c r="J61" s="54">
        <v>0</v>
      </c>
      <c r="K61" s="54">
        <v>0</v>
      </c>
      <c r="L61" s="54">
        <f t="shared" si="13"/>
        <v>100226027</v>
      </c>
      <c r="M61" s="54"/>
      <c r="N61" s="54">
        <f t="shared" si="14"/>
        <v>100226027</v>
      </c>
      <c r="O61" s="87"/>
    </row>
    <row r="62" spans="1:15" ht="14.4">
      <c r="A62" s="87"/>
      <c r="B62" s="77" t="s">
        <v>1515</v>
      </c>
      <c r="C62" s="75" t="s">
        <v>1505</v>
      </c>
      <c r="D62" s="54" t="s">
        <v>1565</v>
      </c>
      <c r="E62" s="69">
        <v>46286</v>
      </c>
      <c r="F62" s="127">
        <v>8.2500000000000004E-2</v>
      </c>
      <c r="G62" s="54">
        <v>100000000</v>
      </c>
      <c r="H62" s="54">
        <v>24795205</v>
      </c>
      <c r="I62" s="54">
        <v>-24569178</v>
      </c>
      <c r="J62" s="54">
        <v>0</v>
      </c>
      <c r="K62" s="54">
        <v>0</v>
      </c>
      <c r="L62" s="54">
        <f t="shared" si="13"/>
        <v>100226027</v>
      </c>
      <c r="M62" s="54"/>
      <c r="N62" s="54">
        <f t="shared" si="14"/>
        <v>100226027</v>
      </c>
      <c r="O62" s="87"/>
    </row>
    <row r="63" spans="1:15" ht="14.4">
      <c r="A63" s="87"/>
      <c r="B63" s="77" t="s">
        <v>1515</v>
      </c>
      <c r="C63" s="75" t="s">
        <v>1505</v>
      </c>
      <c r="D63" s="701" t="s">
        <v>1566</v>
      </c>
      <c r="E63" s="69">
        <v>46286</v>
      </c>
      <c r="F63" s="127">
        <v>8.2500000000000004E-2</v>
      </c>
      <c r="G63" s="54">
        <v>100000000</v>
      </c>
      <c r="H63" s="54">
        <v>24795205</v>
      </c>
      <c r="I63" s="54">
        <v>-24569178</v>
      </c>
      <c r="J63" s="54">
        <v>0</v>
      </c>
      <c r="K63" s="54">
        <v>0</v>
      </c>
      <c r="L63" s="54">
        <f t="shared" si="13"/>
        <v>100226027</v>
      </c>
      <c r="M63" s="54">
        <v>0</v>
      </c>
      <c r="N63" s="54">
        <f t="shared" si="14"/>
        <v>100226027</v>
      </c>
      <c r="O63" s="87"/>
    </row>
    <row r="64" spans="1:15" ht="14.4">
      <c r="A64" s="87"/>
      <c r="B64" s="77" t="s">
        <v>1515</v>
      </c>
      <c r="C64" s="75" t="s">
        <v>1505</v>
      </c>
      <c r="D64" s="701" t="s">
        <v>1567</v>
      </c>
      <c r="E64" s="69">
        <v>46286</v>
      </c>
      <c r="F64" s="127">
        <v>8.2500000000000004E-2</v>
      </c>
      <c r="G64" s="54">
        <v>100000000</v>
      </c>
      <c r="H64" s="54">
        <v>24795205</v>
      </c>
      <c r="I64" s="54">
        <v>-24569178</v>
      </c>
      <c r="J64" s="54">
        <v>0</v>
      </c>
      <c r="K64" s="54">
        <v>0</v>
      </c>
      <c r="L64" s="54">
        <f>+G64+H64+I64+J64+K64</f>
        <v>100226027</v>
      </c>
      <c r="M64" s="54">
        <v>0</v>
      </c>
      <c r="N64" s="54">
        <f>+L64</f>
        <v>100226027</v>
      </c>
      <c r="O64" s="87"/>
    </row>
    <row r="65" spans="1:15" ht="14.4">
      <c r="A65" s="87"/>
      <c r="B65" s="77" t="s">
        <v>1515</v>
      </c>
      <c r="C65" s="75" t="s">
        <v>1505</v>
      </c>
      <c r="D65" s="701" t="s">
        <v>1568</v>
      </c>
      <c r="E65" s="69">
        <v>46286</v>
      </c>
      <c r="F65" s="127">
        <v>8.2500000000000004E-2</v>
      </c>
      <c r="G65" s="54">
        <v>100000000</v>
      </c>
      <c r="H65" s="54">
        <v>24795205</v>
      </c>
      <c r="I65" s="54">
        <v>-24569178</v>
      </c>
      <c r="J65" s="54">
        <v>0</v>
      </c>
      <c r="K65" s="54">
        <v>0</v>
      </c>
      <c r="L65" s="54">
        <f t="shared" ref="L65:L67" si="15">+G65+H65+I65+J65+K65</f>
        <v>100226027</v>
      </c>
      <c r="M65" s="54"/>
      <c r="N65" s="54">
        <f t="shared" ref="N65:N67" si="16">+L65</f>
        <v>100226027</v>
      </c>
      <c r="O65" s="87"/>
    </row>
    <row r="66" spans="1:15" ht="14.4">
      <c r="A66" s="87"/>
      <c r="B66" s="77" t="s">
        <v>1515</v>
      </c>
      <c r="C66" s="75" t="s">
        <v>1505</v>
      </c>
      <c r="D66" s="701" t="s">
        <v>1569</v>
      </c>
      <c r="E66" s="69">
        <v>46286</v>
      </c>
      <c r="F66" s="127">
        <v>8.2500000000000004E-2</v>
      </c>
      <c r="G66" s="54">
        <v>100000000</v>
      </c>
      <c r="H66" s="54">
        <v>24795205</v>
      </c>
      <c r="I66" s="54">
        <v>-24569178</v>
      </c>
      <c r="J66" s="54">
        <v>0</v>
      </c>
      <c r="K66" s="54">
        <v>0</v>
      </c>
      <c r="L66" s="54">
        <f t="shared" si="15"/>
        <v>100226027</v>
      </c>
      <c r="M66" s="54"/>
      <c r="N66" s="54">
        <f t="shared" si="16"/>
        <v>100226027</v>
      </c>
      <c r="O66" s="87"/>
    </row>
    <row r="67" spans="1:15" ht="14.4">
      <c r="A67" s="87"/>
      <c r="B67" s="77" t="s">
        <v>1515</v>
      </c>
      <c r="C67" s="75" t="s">
        <v>1505</v>
      </c>
      <c r="D67" s="54" t="s">
        <v>1570</v>
      </c>
      <c r="E67" s="69">
        <v>46286</v>
      </c>
      <c r="F67" s="127">
        <v>8.2500000000000004E-2</v>
      </c>
      <c r="G67" s="54">
        <v>100000000</v>
      </c>
      <c r="H67" s="54">
        <v>24795205</v>
      </c>
      <c r="I67" s="54">
        <v>-24569178</v>
      </c>
      <c r="J67" s="54">
        <v>0</v>
      </c>
      <c r="K67" s="54">
        <v>0</v>
      </c>
      <c r="L67" s="54">
        <f t="shared" si="15"/>
        <v>100226027</v>
      </c>
      <c r="M67" s="54"/>
      <c r="N67" s="54">
        <f t="shared" si="16"/>
        <v>100226027</v>
      </c>
      <c r="O67" s="87"/>
    </row>
    <row r="68" spans="1:15" ht="14.4">
      <c r="A68" s="87"/>
      <c r="B68" s="77" t="s">
        <v>1515</v>
      </c>
      <c r="C68" s="75" t="s">
        <v>1505</v>
      </c>
      <c r="D68" s="54" t="s">
        <v>1571</v>
      </c>
      <c r="E68" s="69">
        <v>46286</v>
      </c>
      <c r="F68" s="127">
        <v>8.2500000000000004E-2</v>
      </c>
      <c r="G68" s="54">
        <v>100000000</v>
      </c>
      <c r="H68" s="54">
        <v>24795205</v>
      </c>
      <c r="I68" s="54">
        <v>-24569178</v>
      </c>
      <c r="J68" s="54">
        <v>0</v>
      </c>
      <c r="K68" s="54">
        <v>0</v>
      </c>
      <c r="L68" s="54">
        <f t="shared" ref="L68:L78" si="17">+G68+H68+I68+J68+K68</f>
        <v>100226027</v>
      </c>
      <c r="M68" s="54">
        <v>0</v>
      </c>
      <c r="N68" s="54">
        <f t="shared" ref="N68:N78" si="18">+L68</f>
        <v>100226027</v>
      </c>
      <c r="O68" s="87"/>
    </row>
    <row r="69" spans="1:15" ht="14.4">
      <c r="A69" s="87"/>
      <c r="B69" s="77" t="s">
        <v>1515</v>
      </c>
      <c r="C69" s="75" t="s">
        <v>1505</v>
      </c>
      <c r="D69" s="54" t="s">
        <v>1572</v>
      </c>
      <c r="E69" s="69">
        <v>46286</v>
      </c>
      <c r="F69" s="127">
        <v>8.2500000000000004E-2</v>
      </c>
      <c r="G69" s="54">
        <v>100000000</v>
      </c>
      <c r="H69" s="54">
        <v>24795205</v>
      </c>
      <c r="I69" s="54">
        <v>-24569178</v>
      </c>
      <c r="J69" s="54">
        <v>0</v>
      </c>
      <c r="K69" s="54">
        <v>0</v>
      </c>
      <c r="L69" s="54">
        <f t="shared" si="17"/>
        <v>100226027</v>
      </c>
      <c r="M69" s="54"/>
      <c r="N69" s="54">
        <f t="shared" si="18"/>
        <v>100226027</v>
      </c>
      <c r="O69" s="87"/>
    </row>
    <row r="70" spans="1:15" ht="14.4">
      <c r="A70" s="87"/>
      <c r="B70" s="77" t="s">
        <v>1515</v>
      </c>
      <c r="C70" s="75" t="s">
        <v>1505</v>
      </c>
      <c r="D70" s="54" t="s">
        <v>1573</v>
      </c>
      <c r="E70" s="69">
        <v>46286</v>
      </c>
      <c r="F70" s="127">
        <v>8.2500000000000004E-2</v>
      </c>
      <c r="G70" s="54">
        <v>100000000</v>
      </c>
      <c r="H70" s="54">
        <v>24795205.399999999</v>
      </c>
      <c r="I70" s="54">
        <v>-24569178</v>
      </c>
      <c r="J70" s="54">
        <v>0</v>
      </c>
      <c r="K70" s="54">
        <v>0</v>
      </c>
      <c r="L70" s="54">
        <f t="shared" si="17"/>
        <v>100226027.40000001</v>
      </c>
      <c r="M70" s="54"/>
      <c r="N70" s="54">
        <f t="shared" si="18"/>
        <v>100226027.40000001</v>
      </c>
      <c r="O70" s="87"/>
    </row>
    <row r="71" spans="1:15" ht="14.4">
      <c r="A71" s="87"/>
      <c r="B71" s="77" t="s">
        <v>1515</v>
      </c>
      <c r="C71" s="75" t="s">
        <v>1505</v>
      </c>
      <c r="D71" s="54" t="s">
        <v>1574</v>
      </c>
      <c r="E71" s="69">
        <v>46286</v>
      </c>
      <c r="F71" s="127">
        <v>8.2500000000000004E-2</v>
      </c>
      <c r="G71" s="54">
        <v>100000000</v>
      </c>
      <c r="H71" s="54">
        <v>24795205.489999998</v>
      </c>
      <c r="I71" s="54">
        <v>-24569178</v>
      </c>
      <c r="J71" s="54">
        <v>0</v>
      </c>
      <c r="K71" s="54">
        <v>0</v>
      </c>
      <c r="L71" s="54">
        <f t="shared" si="17"/>
        <v>100226027.48999999</v>
      </c>
      <c r="M71" s="54"/>
      <c r="N71" s="54">
        <f t="shared" si="18"/>
        <v>100226027.48999999</v>
      </c>
      <c r="O71" s="87"/>
    </row>
    <row r="72" spans="1:15" ht="14.4">
      <c r="A72" s="87"/>
      <c r="B72" s="77" t="s">
        <v>1515</v>
      </c>
      <c r="C72" s="75" t="s">
        <v>1505</v>
      </c>
      <c r="D72" s="54" t="s">
        <v>1575</v>
      </c>
      <c r="E72" s="69">
        <v>46286</v>
      </c>
      <c r="F72" s="127">
        <v>8.2500000000000004E-2</v>
      </c>
      <c r="G72" s="54">
        <v>100000000</v>
      </c>
      <c r="H72" s="54">
        <v>24795205.489999998</v>
      </c>
      <c r="I72" s="54">
        <v>-24569178</v>
      </c>
      <c r="J72" s="54">
        <v>0</v>
      </c>
      <c r="K72" s="54">
        <v>0</v>
      </c>
      <c r="L72" s="54">
        <f t="shared" si="17"/>
        <v>100226027.48999999</v>
      </c>
      <c r="M72" s="54"/>
      <c r="N72" s="54">
        <f t="shared" si="18"/>
        <v>100226027.48999999</v>
      </c>
      <c r="O72" s="87"/>
    </row>
    <row r="73" spans="1:15" ht="14.4">
      <c r="A73" s="87"/>
      <c r="B73" s="77" t="s">
        <v>1515</v>
      </c>
      <c r="C73" s="75" t="s">
        <v>1505</v>
      </c>
      <c r="D73" s="54" t="s">
        <v>1576</v>
      </c>
      <c r="E73" s="69">
        <v>46286</v>
      </c>
      <c r="F73" s="127">
        <v>8.2500000000000004E-2</v>
      </c>
      <c r="G73" s="54">
        <v>100000000</v>
      </c>
      <c r="H73" s="54">
        <v>24795205.489999998</v>
      </c>
      <c r="I73" s="54">
        <v>-24569178</v>
      </c>
      <c r="J73" s="54">
        <v>0</v>
      </c>
      <c r="K73" s="54">
        <v>0</v>
      </c>
      <c r="L73" s="54">
        <f t="shared" si="17"/>
        <v>100226027.48999999</v>
      </c>
      <c r="M73" s="54"/>
      <c r="N73" s="54">
        <f t="shared" si="18"/>
        <v>100226027.48999999</v>
      </c>
      <c r="O73" s="87"/>
    </row>
    <row r="74" spans="1:15" ht="14.4">
      <c r="A74" s="87"/>
      <c r="B74" s="77" t="s">
        <v>1515</v>
      </c>
      <c r="C74" s="75" t="s">
        <v>1505</v>
      </c>
      <c r="D74" s="54" t="s">
        <v>1577</v>
      </c>
      <c r="E74" s="69">
        <v>46286</v>
      </c>
      <c r="F74" s="127">
        <v>8.2500000000000004E-2</v>
      </c>
      <c r="G74" s="54">
        <v>200000000</v>
      </c>
      <c r="H74" s="54">
        <v>49590411.490000002</v>
      </c>
      <c r="I74" s="54">
        <v>-49138356</v>
      </c>
      <c r="J74" s="54">
        <v>0</v>
      </c>
      <c r="K74" s="54">
        <v>0</v>
      </c>
      <c r="L74" s="54">
        <f t="shared" si="17"/>
        <v>200452055.49000001</v>
      </c>
      <c r="M74" s="54"/>
      <c r="N74" s="54">
        <f t="shared" si="18"/>
        <v>200452055.49000001</v>
      </c>
      <c r="O74" s="87"/>
    </row>
    <row r="75" spans="1:15" ht="14.4">
      <c r="A75" s="87"/>
      <c r="B75" s="77" t="s">
        <v>1515</v>
      </c>
      <c r="C75" s="75" t="s">
        <v>1505</v>
      </c>
      <c r="D75" s="54" t="s">
        <v>1578</v>
      </c>
      <c r="E75" s="69">
        <v>46286</v>
      </c>
      <c r="F75" s="127">
        <v>8.2500000000000004E-2</v>
      </c>
      <c r="G75" s="54">
        <v>200000000</v>
      </c>
      <c r="H75" s="54">
        <v>49590411.490000002</v>
      </c>
      <c r="I75" s="54">
        <v>-49138356</v>
      </c>
      <c r="J75" s="54">
        <v>0</v>
      </c>
      <c r="K75" s="54">
        <v>0</v>
      </c>
      <c r="L75" s="54">
        <f t="shared" si="17"/>
        <v>200452055.49000001</v>
      </c>
      <c r="M75" s="54"/>
      <c r="N75" s="54">
        <f t="shared" si="18"/>
        <v>200452055.49000001</v>
      </c>
      <c r="O75" s="87"/>
    </row>
    <row r="76" spans="1:15" ht="14.4">
      <c r="A76" s="87"/>
      <c r="B76" s="77" t="s">
        <v>1515</v>
      </c>
      <c r="C76" s="75" t="s">
        <v>1505</v>
      </c>
      <c r="D76" s="54" t="s">
        <v>1579</v>
      </c>
      <c r="E76" s="69">
        <v>46286</v>
      </c>
      <c r="F76" s="127">
        <v>8.2500000000000004E-2</v>
      </c>
      <c r="G76" s="54">
        <v>200000000</v>
      </c>
      <c r="H76" s="54">
        <v>49590411.490000002</v>
      </c>
      <c r="I76" s="54">
        <v>-49138356</v>
      </c>
      <c r="J76" s="54">
        <v>0</v>
      </c>
      <c r="K76" s="54">
        <v>0</v>
      </c>
      <c r="L76" s="54">
        <f t="shared" si="17"/>
        <v>200452055.49000001</v>
      </c>
      <c r="M76" s="54"/>
      <c r="N76" s="54">
        <f t="shared" si="18"/>
        <v>200452055.49000001</v>
      </c>
      <c r="O76" s="87"/>
    </row>
    <row r="77" spans="1:15" ht="14.4">
      <c r="A77" s="87"/>
      <c r="B77" s="77" t="s">
        <v>1515</v>
      </c>
      <c r="C77" s="75" t="s">
        <v>1505</v>
      </c>
      <c r="D77" s="54" t="s">
        <v>1580</v>
      </c>
      <c r="E77" s="69">
        <v>46286</v>
      </c>
      <c r="F77" s="127">
        <v>8.2500000000000004E-2</v>
      </c>
      <c r="G77" s="54">
        <v>200000000</v>
      </c>
      <c r="H77" s="54">
        <v>49590411.498999998</v>
      </c>
      <c r="I77" s="54">
        <v>-49138356</v>
      </c>
      <c r="J77" s="54">
        <v>0</v>
      </c>
      <c r="K77" s="54">
        <v>0</v>
      </c>
      <c r="L77" s="54">
        <f t="shared" si="17"/>
        <v>200452055.49900001</v>
      </c>
      <c r="M77" s="54"/>
      <c r="N77" s="54">
        <f t="shared" si="18"/>
        <v>200452055.49900001</v>
      </c>
      <c r="O77" s="87"/>
    </row>
    <row r="78" spans="1:15" ht="14.4">
      <c r="A78" s="87"/>
      <c r="B78" s="77" t="s">
        <v>1515</v>
      </c>
      <c r="C78" s="75" t="s">
        <v>1505</v>
      </c>
      <c r="D78" s="54" t="s">
        <v>1581</v>
      </c>
      <c r="E78" s="69">
        <v>46286</v>
      </c>
      <c r="F78" s="127">
        <v>8.2500000000000004E-2</v>
      </c>
      <c r="G78" s="54">
        <v>200000000</v>
      </c>
      <c r="H78" s="426">
        <v>49590411.498999998</v>
      </c>
      <c r="I78" s="54">
        <v>-49138356</v>
      </c>
      <c r="J78" s="54">
        <v>0</v>
      </c>
      <c r="K78" s="54">
        <v>0</v>
      </c>
      <c r="L78" s="54">
        <f t="shared" si="17"/>
        <v>200452055.49900001</v>
      </c>
      <c r="M78" s="54"/>
      <c r="N78" s="54">
        <f t="shared" si="18"/>
        <v>200452055.49900001</v>
      </c>
      <c r="O78" s="87"/>
    </row>
    <row r="79" spans="1:15" ht="14.4">
      <c r="A79" s="87"/>
      <c r="B79" s="77" t="s">
        <v>1515</v>
      </c>
      <c r="C79" s="75" t="s">
        <v>1505</v>
      </c>
      <c r="D79" s="54" t="s">
        <v>1582</v>
      </c>
      <c r="E79" s="69">
        <v>46286</v>
      </c>
      <c r="F79" s="127">
        <v>8.2500000000000004E-2</v>
      </c>
      <c r="G79" s="54">
        <v>200000000</v>
      </c>
      <c r="H79" s="54">
        <v>49590411.498999998</v>
      </c>
      <c r="I79" s="54">
        <v>-49138356</v>
      </c>
      <c r="J79" s="54">
        <v>0</v>
      </c>
      <c r="K79" s="54">
        <v>0</v>
      </c>
      <c r="L79" s="54">
        <f t="shared" si="3"/>
        <v>200452055.49900001</v>
      </c>
      <c r="M79" s="54"/>
      <c r="N79" s="54">
        <f t="shared" si="4"/>
        <v>200452055.49900001</v>
      </c>
      <c r="O79" s="87"/>
    </row>
    <row r="80" spans="1:15" ht="14.4">
      <c r="A80" s="87"/>
      <c r="B80" s="77" t="s">
        <v>1515</v>
      </c>
      <c r="C80" s="75" t="s">
        <v>1505</v>
      </c>
      <c r="D80" s="54" t="s">
        <v>1583</v>
      </c>
      <c r="E80" s="69">
        <v>46286</v>
      </c>
      <c r="F80" s="127">
        <v>8.2500000000000004E-2</v>
      </c>
      <c r="G80" s="54">
        <v>200000000</v>
      </c>
      <c r="H80" s="54">
        <v>49590411.498999998</v>
      </c>
      <c r="I80" s="54">
        <v>-49138356</v>
      </c>
      <c r="J80" s="54">
        <v>0</v>
      </c>
      <c r="K80" s="54">
        <v>0</v>
      </c>
      <c r="L80" s="54">
        <f t="shared" si="3"/>
        <v>200452055.49900001</v>
      </c>
      <c r="M80" s="54"/>
      <c r="N80" s="54">
        <f t="shared" si="4"/>
        <v>200452055.49900001</v>
      </c>
      <c r="O80" s="87"/>
    </row>
    <row r="81" spans="1:18" ht="14.4">
      <c r="A81" s="87"/>
      <c r="B81" s="77" t="s">
        <v>1530</v>
      </c>
      <c r="C81" s="75" t="s">
        <v>1505</v>
      </c>
      <c r="D81" s="54" t="s">
        <v>1584</v>
      </c>
      <c r="E81" s="69">
        <v>45740</v>
      </c>
      <c r="F81" s="127">
        <v>9.6500000000000002E-2</v>
      </c>
      <c r="G81" s="54">
        <v>100000000</v>
      </c>
      <c r="H81" s="54">
        <v>14567534.499</v>
      </c>
      <c r="I81" s="54">
        <v>-14303151</v>
      </c>
      <c r="J81" s="54">
        <v>0</v>
      </c>
      <c r="K81" s="54">
        <v>0</v>
      </c>
      <c r="L81" s="54">
        <f t="shared" si="3"/>
        <v>100264383.499</v>
      </c>
      <c r="M81" s="54">
        <v>0</v>
      </c>
      <c r="N81" s="54">
        <f t="shared" si="4"/>
        <v>100264383.499</v>
      </c>
      <c r="O81" s="87"/>
    </row>
    <row r="82" spans="1:18" ht="14.4">
      <c r="A82" s="87"/>
      <c r="B82" s="77" t="s">
        <v>1530</v>
      </c>
      <c r="C82" s="75" t="s">
        <v>1505</v>
      </c>
      <c r="D82" s="54" t="s">
        <v>1585</v>
      </c>
      <c r="E82" s="69">
        <v>45740</v>
      </c>
      <c r="F82" s="127">
        <v>9.6500000000000002E-2</v>
      </c>
      <c r="G82" s="54">
        <v>100000000</v>
      </c>
      <c r="H82" s="54">
        <v>14567534.499</v>
      </c>
      <c r="I82" s="54">
        <v>-14303151</v>
      </c>
      <c r="J82" s="54">
        <v>0</v>
      </c>
      <c r="K82" s="54">
        <v>0</v>
      </c>
      <c r="L82" s="54">
        <f>+G82+H82+I82+J82+K82</f>
        <v>100264383.499</v>
      </c>
      <c r="M82" s="54">
        <v>0</v>
      </c>
      <c r="N82" s="54">
        <f>+L82</f>
        <v>100264383.499</v>
      </c>
      <c r="O82" s="87"/>
    </row>
    <row r="83" spans="1:18" ht="14.4">
      <c r="A83" s="87"/>
      <c r="B83" s="77" t="s">
        <v>1530</v>
      </c>
      <c r="C83" s="75" t="s">
        <v>1505</v>
      </c>
      <c r="D83" s="54" t="s">
        <v>1586</v>
      </c>
      <c r="E83" s="69">
        <v>45740</v>
      </c>
      <c r="F83" s="127">
        <v>9.6500000000000002E-2</v>
      </c>
      <c r="G83" s="54">
        <v>100000000</v>
      </c>
      <c r="H83" s="54">
        <v>14567534.499</v>
      </c>
      <c r="I83" s="54">
        <v>-14303151</v>
      </c>
      <c r="J83" s="54">
        <v>0</v>
      </c>
      <c r="K83" s="54">
        <v>0</v>
      </c>
      <c r="L83" s="54">
        <f t="shared" ref="L83:L94" si="19">+G83+H83+I83+J83+K83</f>
        <v>100264383.499</v>
      </c>
      <c r="M83" s="54"/>
      <c r="N83" s="54">
        <f t="shared" ref="N83:N94" si="20">+L83</f>
        <v>100264383.499</v>
      </c>
      <c r="O83" s="87"/>
    </row>
    <row r="84" spans="1:18" ht="14.4">
      <c r="A84" s="87"/>
      <c r="B84" s="77" t="s">
        <v>1530</v>
      </c>
      <c r="C84" s="75" t="s">
        <v>1505</v>
      </c>
      <c r="D84" s="54" t="s">
        <v>1587</v>
      </c>
      <c r="E84" s="69">
        <v>45740</v>
      </c>
      <c r="F84" s="127">
        <v>9.6500000000000002E-2</v>
      </c>
      <c r="G84" s="54">
        <v>100000000</v>
      </c>
      <c r="H84" s="54">
        <v>14567534.499</v>
      </c>
      <c r="I84" s="54">
        <v>-14303151</v>
      </c>
      <c r="J84" s="54">
        <v>0</v>
      </c>
      <c r="K84" s="54">
        <v>0</v>
      </c>
      <c r="L84" s="54">
        <f>+G84+H84+I84+J84+K84</f>
        <v>100264383.499</v>
      </c>
      <c r="M84" s="54">
        <v>0</v>
      </c>
      <c r="N84" s="54">
        <f>+L84</f>
        <v>100264383.499</v>
      </c>
      <c r="O84" s="87"/>
    </row>
    <row r="85" spans="1:18" ht="14.4">
      <c r="A85" s="87"/>
      <c r="B85" s="77" t="s">
        <v>1530</v>
      </c>
      <c r="C85" s="75" t="s">
        <v>1505</v>
      </c>
      <c r="D85" s="54" t="s">
        <v>1588</v>
      </c>
      <c r="E85" s="69">
        <v>45740</v>
      </c>
      <c r="F85" s="127">
        <v>9.6500000000000002E-2</v>
      </c>
      <c r="G85" s="54">
        <v>100000000</v>
      </c>
      <c r="H85" s="54">
        <v>14567534.499</v>
      </c>
      <c r="I85" s="54">
        <v>-14303151</v>
      </c>
      <c r="J85" s="54">
        <v>0</v>
      </c>
      <c r="K85" s="54">
        <v>0</v>
      </c>
      <c r="L85" s="54">
        <f>+G85+H85+I85+J85+K85</f>
        <v>100264383.499</v>
      </c>
      <c r="M85" s="54">
        <v>0</v>
      </c>
      <c r="N85" s="54">
        <f>+L85</f>
        <v>100264383.499</v>
      </c>
      <c r="O85" s="87"/>
    </row>
    <row r="86" spans="1:18" ht="14.4">
      <c r="A86" s="87"/>
      <c r="B86" s="77" t="s">
        <v>1530</v>
      </c>
      <c r="C86" s="75" t="s">
        <v>1505</v>
      </c>
      <c r="D86" s="54" t="s">
        <v>1589</v>
      </c>
      <c r="E86" s="69">
        <v>45740</v>
      </c>
      <c r="F86" s="127">
        <v>9.6500000000000002E-2</v>
      </c>
      <c r="G86" s="54">
        <v>100000000</v>
      </c>
      <c r="H86" s="54">
        <v>14567534.499</v>
      </c>
      <c r="I86" s="54">
        <v>-14303151</v>
      </c>
      <c r="J86" s="54">
        <v>0</v>
      </c>
      <c r="K86" s="54">
        <v>0</v>
      </c>
      <c r="L86" s="54">
        <f>+G86+H86+I86+J86+K86</f>
        <v>100264383.499</v>
      </c>
      <c r="M86" s="54"/>
      <c r="N86" s="54">
        <f>+L86</f>
        <v>100264383.499</v>
      </c>
      <c r="O86" s="87"/>
    </row>
    <row r="87" spans="1:18" ht="14.4">
      <c r="A87" s="87"/>
      <c r="B87" s="77" t="s">
        <v>1530</v>
      </c>
      <c r="C87" s="75" t="s">
        <v>1505</v>
      </c>
      <c r="D87" s="54" t="s">
        <v>1590</v>
      </c>
      <c r="E87" s="69">
        <v>45740</v>
      </c>
      <c r="F87" s="127">
        <v>9.6500000000000002E-2</v>
      </c>
      <c r="G87" s="54">
        <v>100000000</v>
      </c>
      <c r="H87" s="54">
        <v>14567534.499</v>
      </c>
      <c r="I87" s="54">
        <v>-14303151</v>
      </c>
      <c r="J87" s="54">
        <v>0</v>
      </c>
      <c r="K87" s="54">
        <v>0</v>
      </c>
      <c r="L87" s="54">
        <f>+G87+H87+I87+J87+K87</f>
        <v>100264383.499</v>
      </c>
      <c r="M87" s="54"/>
      <c r="N87" s="54">
        <f>+L87</f>
        <v>100264383.499</v>
      </c>
      <c r="O87" s="87"/>
    </row>
    <row r="88" spans="1:18" ht="14.4">
      <c r="A88" s="87"/>
      <c r="B88" s="77" t="s">
        <v>1530</v>
      </c>
      <c r="C88" s="75" t="s">
        <v>1505</v>
      </c>
      <c r="D88" s="54" t="s">
        <v>1591</v>
      </c>
      <c r="E88" s="69">
        <v>45740</v>
      </c>
      <c r="F88" s="127">
        <v>9.6500000000000002E-2</v>
      </c>
      <c r="G88" s="54">
        <v>100000000</v>
      </c>
      <c r="H88" s="54">
        <v>14567534.499</v>
      </c>
      <c r="I88" s="54">
        <v>-14303151</v>
      </c>
      <c r="J88" s="54">
        <v>0</v>
      </c>
      <c r="K88" s="54">
        <v>0</v>
      </c>
      <c r="L88" s="54">
        <f>+G88+H88+I88+J88+K88</f>
        <v>100264383.499</v>
      </c>
      <c r="M88" s="54"/>
      <c r="N88" s="54">
        <f>+L88</f>
        <v>100264383.499</v>
      </c>
      <c r="O88" s="87"/>
    </row>
    <row r="89" spans="1:18" ht="14.4">
      <c r="A89" s="87"/>
      <c r="B89" s="77" t="s">
        <v>1530</v>
      </c>
      <c r="C89" s="75" t="s">
        <v>1505</v>
      </c>
      <c r="D89" s="54" t="s">
        <v>1592</v>
      </c>
      <c r="E89" s="69">
        <v>45740</v>
      </c>
      <c r="F89" s="127">
        <v>9.6500000000000002E-2</v>
      </c>
      <c r="G89" s="54">
        <v>100000000</v>
      </c>
      <c r="H89" s="54">
        <v>14567534.499</v>
      </c>
      <c r="I89" s="54">
        <v>-14303151</v>
      </c>
      <c r="J89" s="54">
        <v>0</v>
      </c>
      <c r="K89" s="54">
        <v>0</v>
      </c>
      <c r="L89" s="54">
        <f t="shared" si="19"/>
        <v>100264383.499</v>
      </c>
      <c r="M89" s="54"/>
      <c r="N89" s="54">
        <f t="shared" si="20"/>
        <v>100264383.499</v>
      </c>
      <c r="O89" s="87"/>
    </row>
    <row r="90" spans="1:18" ht="14.4">
      <c r="A90" s="87"/>
      <c r="B90" s="77" t="s">
        <v>1530</v>
      </c>
      <c r="C90" s="75" t="s">
        <v>1505</v>
      </c>
      <c r="D90" s="54" t="s">
        <v>1593</v>
      </c>
      <c r="E90" s="69">
        <v>45740</v>
      </c>
      <c r="F90" s="127">
        <v>9.6500000000000002E-2</v>
      </c>
      <c r="G90" s="54">
        <v>100000000</v>
      </c>
      <c r="H90" s="54">
        <v>14567534.499</v>
      </c>
      <c r="I90" s="54">
        <v>-14303151</v>
      </c>
      <c r="J90" s="54">
        <v>0</v>
      </c>
      <c r="K90" s="54">
        <v>0</v>
      </c>
      <c r="L90" s="54">
        <f>+G90+H90+I90+J90+K90</f>
        <v>100264383.499</v>
      </c>
      <c r="M90" s="54"/>
      <c r="N90" s="54">
        <f>+L90</f>
        <v>100264383.499</v>
      </c>
      <c r="O90" s="87"/>
    </row>
    <row r="91" spans="1:18" ht="14.4">
      <c r="A91" s="87"/>
      <c r="B91" s="77" t="s">
        <v>1530</v>
      </c>
      <c r="C91" s="75" t="s">
        <v>1505</v>
      </c>
      <c r="D91" s="54" t="s">
        <v>1594</v>
      </c>
      <c r="E91" s="69">
        <v>45740</v>
      </c>
      <c r="F91" s="127">
        <v>9.6500000000000002E-2</v>
      </c>
      <c r="G91" s="54">
        <v>100000000</v>
      </c>
      <c r="H91" s="54">
        <v>14567534.499</v>
      </c>
      <c r="I91" s="54">
        <v>-14303151</v>
      </c>
      <c r="J91" s="54">
        <v>0</v>
      </c>
      <c r="K91" s="54">
        <v>0</v>
      </c>
      <c r="L91" s="54">
        <f>+G91+H91+I91+J91+K91</f>
        <v>100264383.499</v>
      </c>
      <c r="M91" s="54"/>
      <c r="N91" s="54">
        <f>+L91</f>
        <v>100264383.499</v>
      </c>
      <c r="O91" s="87"/>
    </row>
    <row r="92" spans="1:18" ht="14.4">
      <c r="A92" s="87"/>
      <c r="B92" s="77" t="s">
        <v>1530</v>
      </c>
      <c r="C92" s="75" t="s">
        <v>1505</v>
      </c>
      <c r="D92" s="54" t="s">
        <v>1595</v>
      </c>
      <c r="E92" s="69">
        <v>45740</v>
      </c>
      <c r="F92" s="127">
        <v>9.6500000000000002E-2</v>
      </c>
      <c r="G92" s="54">
        <v>100000000</v>
      </c>
      <c r="H92" s="54">
        <v>14567534.499</v>
      </c>
      <c r="I92" s="54">
        <v>-14303150.5</v>
      </c>
      <c r="J92" s="54">
        <v>0</v>
      </c>
      <c r="K92" s="54">
        <v>0</v>
      </c>
      <c r="L92" s="54">
        <f t="shared" si="19"/>
        <v>100264383.999</v>
      </c>
      <c r="M92" s="54"/>
      <c r="N92" s="54">
        <f t="shared" si="20"/>
        <v>100264383.999</v>
      </c>
      <c r="O92" s="87"/>
    </row>
    <row r="93" spans="1:18" ht="14.4">
      <c r="A93" s="87"/>
      <c r="B93" s="77" t="s">
        <v>1530</v>
      </c>
      <c r="C93" s="75" t="s">
        <v>1505</v>
      </c>
      <c r="D93" s="54" t="s">
        <v>1596</v>
      </c>
      <c r="E93" s="69">
        <v>45740</v>
      </c>
      <c r="F93" s="127">
        <v>9.6500000000000002E-2</v>
      </c>
      <c r="G93" s="54">
        <v>100000000</v>
      </c>
      <c r="H93" s="54">
        <v>14567534.499</v>
      </c>
      <c r="I93" s="54">
        <v>-14303150.5</v>
      </c>
      <c r="J93" s="54">
        <v>0</v>
      </c>
      <c r="K93" s="54">
        <v>0</v>
      </c>
      <c r="L93" s="54">
        <f t="shared" si="19"/>
        <v>100264383.999</v>
      </c>
      <c r="M93" s="54"/>
      <c r="N93" s="54">
        <f t="shared" si="20"/>
        <v>100264383.999</v>
      </c>
      <c r="O93" s="87"/>
    </row>
    <row r="94" spans="1:18" ht="14.4">
      <c r="A94" s="87"/>
      <c r="B94" s="77" t="s">
        <v>1530</v>
      </c>
      <c r="C94" s="75" t="s">
        <v>1505</v>
      </c>
      <c r="D94" s="54" t="s">
        <v>1597</v>
      </c>
      <c r="E94" s="69">
        <v>45740</v>
      </c>
      <c r="F94" s="127">
        <v>9.6500000000000002E-2</v>
      </c>
      <c r="G94" s="54">
        <v>100000000</v>
      </c>
      <c r="H94" s="54">
        <v>14567534.499</v>
      </c>
      <c r="I94" s="54">
        <v>-14303150.5</v>
      </c>
      <c r="J94" s="54">
        <v>0</v>
      </c>
      <c r="K94" s="54">
        <v>0</v>
      </c>
      <c r="L94" s="54">
        <f t="shared" si="19"/>
        <v>100264383.999</v>
      </c>
      <c r="M94" s="54"/>
      <c r="N94" s="54">
        <f t="shared" si="20"/>
        <v>100264383.999</v>
      </c>
      <c r="O94" s="87"/>
    </row>
    <row r="95" spans="1:18" ht="14.4">
      <c r="A95" s="87"/>
      <c r="B95" s="77" t="s">
        <v>1530</v>
      </c>
      <c r="C95" s="75" t="s">
        <v>1505</v>
      </c>
      <c r="D95" s="54" t="s">
        <v>1598</v>
      </c>
      <c r="E95" s="69">
        <v>45740</v>
      </c>
      <c r="F95" s="127">
        <v>9.6500000000000002E-2</v>
      </c>
      <c r="G95" s="54">
        <v>100000000</v>
      </c>
      <c r="H95" s="54">
        <v>14567534</v>
      </c>
      <c r="I95" s="54">
        <v>-14303150.5</v>
      </c>
      <c r="J95" s="54">
        <v>0</v>
      </c>
      <c r="K95" s="54">
        <v>0</v>
      </c>
      <c r="L95" s="54">
        <f>+G95+H95+I95+J95+K95</f>
        <v>100264383.5</v>
      </c>
      <c r="M95" s="54"/>
      <c r="N95" s="54">
        <f>+L95</f>
        <v>100264383.5</v>
      </c>
      <c r="O95" s="87"/>
    </row>
    <row r="96" spans="1:18" thickBot="1">
      <c r="A96" s="87"/>
      <c r="B96" s="87"/>
      <c r="C96" s="85"/>
      <c r="D96" s="86"/>
      <c r="E96" s="76"/>
      <c r="F96" s="72" t="s">
        <v>1509</v>
      </c>
      <c r="G96" s="90">
        <f>SUM(G18:G95)</f>
        <v>14131500000</v>
      </c>
      <c r="H96" s="90">
        <f t="shared" ref="H96:L96" si="21">SUM(H18:H95)</f>
        <v>2729316552.5220013</v>
      </c>
      <c r="I96" s="90">
        <f t="shared" si="21"/>
        <v>-2622390866</v>
      </c>
      <c r="J96" s="90">
        <f t="shared" si="21"/>
        <v>-39202523</v>
      </c>
      <c r="K96" s="90">
        <f t="shared" si="21"/>
        <v>17941115</v>
      </c>
      <c r="L96" s="90">
        <f t="shared" si="21"/>
        <v>14217164278.522005</v>
      </c>
      <c r="M96" s="71"/>
      <c r="N96" s="90">
        <f>SUM(N18:N95)</f>
        <v>14217164278.522005</v>
      </c>
      <c r="O96" s="87"/>
      <c r="P96" s="87"/>
      <c r="Q96" s="87"/>
      <c r="R96" s="87"/>
    </row>
    <row r="97" spans="1:18" ht="6" customHeight="1" thickTop="1">
      <c r="A97" s="87"/>
      <c r="B97" s="87"/>
      <c r="C97" s="68"/>
      <c r="D97" s="55"/>
      <c r="E97" s="88"/>
      <c r="F97" s="65"/>
      <c r="G97" s="55"/>
      <c r="H97" s="55"/>
      <c r="I97" s="56"/>
      <c r="J97" s="56"/>
      <c r="K97" s="56"/>
      <c r="L97" s="55"/>
      <c r="M97" s="55"/>
      <c r="N97" s="55"/>
      <c r="O97" s="87"/>
      <c r="P97" s="87"/>
      <c r="Q97" s="87"/>
      <c r="R97" s="87"/>
    </row>
    <row r="98" spans="1:18" ht="14.4">
      <c r="A98" s="87"/>
      <c r="B98" s="87"/>
      <c r="C98" s="68"/>
      <c r="D98" s="55"/>
      <c r="E98" s="88"/>
      <c r="F98" s="65"/>
      <c r="G98" s="55"/>
      <c r="H98" s="55"/>
      <c r="I98" s="56"/>
      <c r="J98" s="56"/>
      <c r="K98" s="56"/>
      <c r="L98" s="55"/>
      <c r="M98" s="55"/>
      <c r="N98" s="55"/>
      <c r="O98" s="87"/>
      <c r="P98" s="87"/>
      <c r="Q98" s="87"/>
      <c r="R98" s="87"/>
    </row>
    <row r="99" spans="1:18" thickBot="1">
      <c r="A99" s="87"/>
      <c r="B99" s="80" t="s">
        <v>1599</v>
      </c>
      <c r="C99" s="67"/>
      <c r="D99" s="53"/>
      <c r="E99" s="67"/>
      <c r="F99" s="67"/>
      <c r="G99" s="53"/>
      <c r="H99" s="53"/>
      <c r="I99" s="53"/>
      <c r="J99" s="53"/>
      <c r="K99" s="53"/>
      <c r="L99" s="53"/>
      <c r="M99" s="427"/>
      <c r="N99" s="53"/>
      <c r="O99" s="109"/>
      <c r="P99" s="87"/>
      <c r="Q99" s="87"/>
      <c r="R99" s="87"/>
    </row>
    <row r="100" spans="1:18" ht="14.4">
      <c r="A100" s="87"/>
      <c r="B100" s="77" t="s">
        <v>1600</v>
      </c>
      <c r="C100" s="75" t="s">
        <v>1505</v>
      </c>
      <c r="D100" s="54" t="s">
        <v>1601</v>
      </c>
      <c r="E100" s="69">
        <v>45204</v>
      </c>
      <c r="F100" s="127">
        <v>7.0699999999999999E-2</v>
      </c>
      <c r="G100" s="54">
        <v>40000000</v>
      </c>
      <c r="H100" s="426">
        <v>929753</v>
      </c>
      <c r="I100" s="54">
        <v>-38740</v>
      </c>
      <c r="J100" s="54">
        <v>-11924</v>
      </c>
      <c r="K100" s="54">
        <v>0</v>
      </c>
      <c r="L100" s="54">
        <f>+G100+H100+I100+J100+K100</f>
        <v>40879089</v>
      </c>
      <c r="M100" s="428"/>
      <c r="N100" s="54">
        <f>+L100</f>
        <v>40879089</v>
      </c>
      <c r="O100" s="109"/>
      <c r="P100" s="87"/>
      <c r="Q100" s="87"/>
      <c r="R100" s="87"/>
    </row>
    <row r="101" spans="1:18" ht="14.4">
      <c r="A101" s="87"/>
      <c r="B101" s="77" t="s">
        <v>1600</v>
      </c>
      <c r="C101" s="75" t="s">
        <v>1505</v>
      </c>
      <c r="D101" s="54" t="s">
        <v>1602</v>
      </c>
      <c r="E101" s="69">
        <v>45204</v>
      </c>
      <c r="F101" s="127">
        <v>7.0900000000000005E-2</v>
      </c>
      <c r="G101" s="54">
        <v>15000000</v>
      </c>
      <c r="H101" s="426">
        <v>262232.5</v>
      </c>
      <c r="I101" s="54">
        <v>-14568</v>
      </c>
      <c r="J101" s="54">
        <v>-4323</v>
      </c>
      <c r="K101" s="54">
        <v>0</v>
      </c>
      <c r="L101" s="54">
        <f>+G101+H101+I101+J101+K101</f>
        <v>15243341.5</v>
      </c>
      <c r="M101" s="428"/>
      <c r="N101" s="54">
        <f>+L101</f>
        <v>15243341.5</v>
      </c>
      <c r="O101" s="109"/>
      <c r="P101" s="87"/>
      <c r="Q101" s="87"/>
      <c r="R101" s="87"/>
    </row>
    <row r="102" spans="1:18" ht="14.4">
      <c r="A102" s="87"/>
      <c r="B102" s="77" t="s">
        <v>1600</v>
      </c>
      <c r="C102" s="75" t="s">
        <v>1505</v>
      </c>
      <c r="D102" s="54" t="s">
        <v>1603</v>
      </c>
      <c r="E102" s="69">
        <v>46552</v>
      </c>
      <c r="F102" s="127">
        <v>8.8999999999999996E-2</v>
      </c>
      <c r="G102" s="54">
        <v>950000000</v>
      </c>
      <c r="H102" s="426">
        <v>318510274</v>
      </c>
      <c r="I102" s="54">
        <v>-313414110</v>
      </c>
      <c r="J102" s="54">
        <v>-32405942</v>
      </c>
      <c r="K102" s="54">
        <v>0</v>
      </c>
      <c r="L102" s="54">
        <f>+G102+H102+I102+J102+K102</f>
        <v>922690222</v>
      </c>
      <c r="M102" s="428"/>
      <c r="N102" s="54">
        <f>+L102</f>
        <v>922690222</v>
      </c>
      <c r="O102" s="109"/>
      <c r="P102" s="87"/>
      <c r="Q102" s="87"/>
      <c r="R102" s="87"/>
    </row>
    <row r="103" spans="1:18" thickBot="1">
      <c r="A103" s="87"/>
      <c r="B103" s="87"/>
      <c r="C103" s="85"/>
      <c r="D103" s="86"/>
      <c r="E103" s="76"/>
      <c r="F103" s="72" t="s">
        <v>1509</v>
      </c>
      <c r="G103" s="429">
        <f>+SUM(G100:G102)</f>
        <v>1005000000</v>
      </c>
      <c r="H103" s="429">
        <f t="shared" ref="H103:L103" si="22">+SUM(H100:H102)</f>
        <v>319702259.5</v>
      </c>
      <c r="I103" s="429">
        <f t="shared" si="22"/>
        <v>-313467418</v>
      </c>
      <c r="J103" s="429">
        <f t="shared" si="22"/>
        <v>-32422189</v>
      </c>
      <c r="K103" s="429">
        <f t="shared" si="22"/>
        <v>0</v>
      </c>
      <c r="L103" s="429">
        <f t="shared" si="22"/>
        <v>978812652.5</v>
      </c>
      <c r="M103" s="430"/>
      <c r="N103" s="429">
        <f>+SUM(N100:N102)</f>
        <v>978812652.5</v>
      </c>
      <c r="O103" s="109"/>
      <c r="P103" s="87"/>
      <c r="Q103" s="87"/>
      <c r="R103" s="87"/>
    </row>
    <row r="104" spans="1:18" thickTop="1">
      <c r="A104" s="87"/>
      <c r="B104" s="87"/>
      <c r="C104" s="68"/>
      <c r="D104" s="56"/>
      <c r="E104" s="64"/>
      <c r="F104" s="79"/>
      <c r="G104" s="737"/>
      <c r="H104" s="737"/>
      <c r="I104" s="737"/>
      <c r="J104" s="737"/>
      <c r="K104" s="737"/>
      <c r="L104" s="737"/>
      <c r="M104" s="430"/>
      <c r="N104" s="737"/>
      <c r="O104" s="109"/>
      <c r="P104" s="109"/>
      <c r="Q104" s="109"/>
      <c r="R104" s="109"/>
    </row>
    <row r="105" spans="1:18" thickBot="1">
      <c r="A105" s="87"/>
      <c r="B105" s="80" t="s">
        <v>1604</v>
      </c>
      <c r="C105" s="67"/>
      <c r="D105" s="53"/>
      <c r="E105" s="67"/>
      <c r="F105" s="67"/>
      <c r="G105" s="53"/>
      <c r="H105" s="53"/>
      <c r="I105" s="53"/>
      <c r="J105" s="53"/>
      <c r="K105" s="53"/>
      <c r="L105" s="53"/>
      <c r="M105" s="427"/>
      <c r="N105" s="53"/>
      <c r="O105" s="109"/>
      <c r="P105" s="143"/>
      <c r="Q105" s="113"/>
      <c r="R105" s="144"/>
    </row>
    <row r="106" spans="1:18" ht="14.4">
      <c r="A106" s="87"/>
      <c r="B106" s="77" t="s">
        <v>1605</v>
      </c>
      <c r="C106" s="75" t="s">
        <v>1505</v>
      </c>
      <c r="D106" s="54" t="s">
        <v>1606</v>
      </c>
      <c r="E106" s="69">
        <v>46889</v>
      </c>
      <c r="F106" s="127">
        <v>0.105</v>
      </c>
      <c r="G106" s="54">
        <v>1113000000</v>
      </c>
      <c r="H106" s="426">
        <v>555188795</v>
      </c>
      <c r="I106" s="54">
        <v>-541100959</v>
      </c>
      <c r="J106" s="54">
        <v>-173.5</v>
      </c>
      <c r="K106" s="54">
        <f>140+90</f>
        <v>230</v>
      </c>
      <c r="L106" s="54">
        <f>+G106+H106+I106+J106+K106</f>
        <v>1127087892.5</v>
      </c>
      <c r="M106" s="428"/>
      <c r="N106" s="54">
        <f>+L106</f>
        <v>1127087892.5</v>
      </c>
      <c r="O106" s="109"/>
      <c r="P106" s="114">
        <v>45199</v>
      </c>
      <c r="Q106" s="122">
        <v>1.0120800000000001</v>
      </c>
      <c r="R106" s="115">
        <f>+G106*Q106</f>
        <v>1126445040</v>
      </c>
    </row>
    <row r="107" spans="1:18" ht="14.4">
      <c r="A107" s="87"/>
      <c r="B107" s="77" t="s">
        <v>1511</v>
      </c>
      <c r="C107" s="75" t="s">
        <v>1505</v>
      </c>
      <c r="D107" s="54" t="s">
        <v>1607</v>
      </c>
      <c r="E107" s="69">
        <v>45701</v>
      </c>
      <c r="F107" s="127">
        <v>8.7999999999999995E-2</v>
      </c>
      <c r="G107" s="54">
        <v>2660000000</v>
      </c>
      <c r="H107" s="426">
        <v>350158027.49000001</v>
      </c>
      <c r="I107" s="54">
        <v>-321940164</v>
      </c>
      <c r="J107" s="54">
        <v>0</v>
      </c>
      <c r="K107" s="54">
        <v>6825823</v>
      </c>
      <c r="L107" s="54">
        <f>+G107+H107+I107+J107+K107</f>
        <v>2695043686.4899998</v>
      </c>
      <c r="M107" s="428"/>
      <c r="N107" s="54">
        <f>+L107</f>
        <v>2695043686.4899998</v>
      </c>
      <c r="O107" s="109"/>
      <c r="P107" s="114">
        <v>45196</v>
      </c>
      <c r="Q107" s="122">
        <v>1.0183199999999999</v>
      </c>
      <c r="R107" s="115">
        <f>+G107*Q107</f>
        <v>2708731199.9999995</v>
      </c>
    </row>
    <row r="108" spans="1:18" thickBot="1">
      <c r="A108" s="87"/>
      <c r="B108" s="87"/>
      <c r="C108" s="85"/>
      <c r="D108" s="86"/>
      <c r="E108" s="76"/>
      <c r="F108" s="72" t="s">
        <v>1509</v>
      </c>
      <c r="G108" s="429">
        <f>+SUM(G106:G107)</f>
        <v>3773000000</v>
      </c>
      <c r="H108" s="429">
        <f t="shared" ref="H108" si="23">+SUM(H106:H107)</f>
        <v>905346822.49000001</v>
      </c>
      <c r="I108" s="429">
        <f t="shared" ref="I108" si="24">+SUM(I106:I107)</f>
        <v>-863041123</v>
      </c>
      <c r="J108" s="429">
        <f t="shared" ref="J108" si="25">+SUM(J106:J107)</f>
        <v>-173.5</v>
      </c>
      <c r="K108" s="429">
        <f t="shared" ref="K108" si="26">+SUM(K106:K107)</f>
        <v>6826053</v>
      </c>
      <c r="L108" s="429">
        <f t="shared" ref="L108" si="27">+SUM(L106:L107)</f>
        <v>3822131578.9899998</v>
      </c>
      <c r="M108" s="430"/>
      <c r="N108" s="429">
        <f>+SUM(N106:N107)</f>
        <v>3822131578.9899998</v>
      </c>
      <c r="O108" s="109"/>
      <c r="P108" s="109"/>
      <c r="Q108" s="109"/>
      <c r="R108" s="109"/>
    </row>
    <row r="109" spans="1:18" thickTop="1">
      <c r="A109" s="87"/>
      <c r="B109" s="87"/>
      <c r="C109" s="68"/>
      <c r="D109" s="56"/>
      <c r="E109" s="64"/>
      <c r="F109" s="79"/>
      <c r="G109" s="737"/>
      <c r="H109" s="737"/>
      <c r="I109" s="737"/>
      <c r="J109" s="737"/>
      <c r="K109" s="737"/>
      <c r="L109" s="737"/>
      <c r="M109" s="430"/>
      <c r="N109" s="737"/>
      <c r="O109" s="109"/>
      <c r="P109" s="109"/>
      <c r="Q109" s="109"/>
      <c r="R109" s="109"/>
    </row>
    <row r="110" spans="1:18" thickBot="1">
      <c r="A110" s="87"/>
      <c r="B110" s="80" t="s">
        <v>1608</v>
      </c>
      <c r="C110" s="67"/>
      <c r="D110" s="53"/>
      <c r="E110" s="67"/>
      <c r="F110" s="67"/>
      <c r="G110" s="126"/>
      <c r="H110" s="53"/>
      <c r="I110" s="53"/>
      <c r="J110" s="53"/>
      <c r="K110" s="53"/>
      <c r="L110" s="53"/>
      <c r="M110" s="124"/>
      <c r="N110" s="53"/>
      <c r="O110" s="142"/>
      <c r="P110" s="143"/>
      <c r="Q110" s="113"/>
      <c r="R110" s="144"/>
    </row>
    <row r="111" spans="1:18" ht="14.4">
      <c r="A111" s="87"/>
      <c r="B111" s="77" t="s">
        <v>1609</v>
      </c>
      <c r="C111" s="75" t="s">
        <v>1505</v>
      </c>
      <c r="D111" s="701" t="s">
        <v>1610</v>
      </c>
      <c r="E111" s="69">
        <v>46200</v>
      </c>
      <c r="F111" s="702">
        <v>8.7499999999999994E-2</v>
      </c>
      <c r="G111" s="54">
        <v>167000000</v>
      </c>
      <c r="H111" s="703">
        <v>43877534</v>
      </c>
      <c r="I111" s="701">
        <v>-40074280.5</v>
      </c>
      <c r="J111" s="701"/>
      <c r="K111" s="54">
        <v>2576738</v>
      </c>
      <c r="L111" s="54">
        <f>+G111+H111+I111+J111+K111</f>
        <v>173379991.5</v>
      </c>
      <c r="M111" s="428"/>
      <c r="N111" s="54">
        <f>+L111</f>
        <v>173379991.5</v>
      </c>
      <c r="O111" s="87"/>
      <c r="P111" s="114">
        <v>45197</v>
      </c>
      <c r="Q111" s="122">
        <v>1.0404</v>
      </c>
      <c r="R111" s="115">
        <f>+G111*Q111</f>
        <v>173746800</v>
      </c>
    </row>
    <row r="112" spans="1:18" ht="14.4">
      <c r="A112" s="87"/>
      <c r="B112" s="77" t="s">
        <v>1611</v>
      </c>
      <c r="C112" s="75" t="s">
        <v>1505</v>
      </c>
      <c r="D112" s="701" t="s">
        <v>1612</v>
      </c>
      <c r="E112" s="69">
        <v>47910</v>
      </c>
      <c r="F112" s="702">
        <v>7.8E-2</v>
      </c>
      <c r="G112" s="54">
        <v>100000000</v>
      </c>
      <c r="H112" s="703">
        <v>58500000.490000002</v>
      </c>
      <c r="I112" s="701">
        <v>-57922808.5</v>
      </c>
      <c r="J112" s="701">
        <v>-6398122</v>
      </c>
      <c r="K112" s="54">
        <v>0</v>
      </c>
      <c r="L112" s="54">
        <f>+G112+H112+I112+J112+K112</f>
        <v>94179069.99000001</v>
      </c>
      <c r="M112" s="428"/>
      <c r="N112" s="54">
        <f>+L112</f>
        <v>94179069.99000001</v>
      </c>
      <c r="O112" s="87"/>
      <c r="P112" s="114">
        <v>45199</v>
      </c>
      <c r="Q112" s="122">
        <v>1.02186</v>
      </c>
      <c r="R112" s="115">
        <f>+G112*Q112</f>
        <v>102186000</v>
      </c>
    </row>
    <row r="113" spans="1:19" thickBot="1">
      <c r="A113" s="87"/>
      <c r="B113" s="87"/>
      <c r="C113" s="85"/>
      <c r="D113" s="86"/>
      <c r="E113" s="76"/>
      <c r="F113" s="72" t="s">
        <v>1509</v>
      </c>
      <c r="G113" s="90">
        <f>SUM(G111:G112)</f>
        <v>267000000</v>
      </c>
      <c r="H113" s="90">
        <f t="shared" ref="H113:K113" si="28">SUM(H111:H112)</f>
        <v>102377534.49000001</v>
      </c>
      <c r="I113" s="90">
        <f t="shared" si="28"/>
        <v>-97997089</v>
      </c>
      <c r="J113" s="90">
        <f t="shared" si="28"/>
        <v>-6398122</v>
      </c>
      <c r="K113" s="90">
        <f t="shared" si="28"/>
        <v>2576738</v>
      </c>
      <c r="L113" s="90">
        <f>SUM(L111:L112)</f>
        <v>267559061.49000001</v>
      </c>
      <c r="M113" s="430"/>
      <c r="N113" s="429">
        <f>+SUM(N111:N112)</f>
        <v>267559061.49000001</v>
      </c>
      <c r="O113" s="87"/>
      <c r="P113" s="87"/>
      <c r="Q113" s="87"/>
      <c r="R113" s="87"/>
    </row>
    <row r="114" spans="1:19" ht="6" customHeight="1" thickTop="1">
      <c r="A114" s="87"/>
      <c r="B114" s="87"/>
      <c r="C114" s="68"/>
      <c r="D114" s="55"/>
      <c r="E114" s="88"/>
      <c r="F114" s="65"/>
      <c r="G114" s="55"/>
      <c r="H114" s="55"/>
      <c r="I114" s="56"/>
      <c r="J114" s="56"/>
      <c r="K114" s="56"/>
      <c r="L114" s="55"/>
      <c r="M114" s="55"/>
      <c r="N114" s="55"/>
      <c r="O114" s="87"/>
      <c r="P114" s="87"/>
      <c r="Q114" s="87"/>
      <c r="R114" s="87"/>
    </row>
    <row r="115" spans="1:19" thickBot="1">
      <c r="A115" s="87"/>
      <c r="B115" s="80" t="s">
        <v>1613</v>
      </c>
      <c r="C115" s="67"/>
      <c r="D115" s="53"/>
      <c r="E115" s="67"/>
      <c r="F115" s="67"/>
      <c r="G115" s="126"/>
      <c r="H115" s="53"/>
      <c r="I115" s="53"/>
      <c r="J115" s="53"/>
      <c r="K115" s="53"/>
      <c r="L115" s="53"/>
      <c r="M115" s="124"/>
      <c r="N115" s="53"/>
      <c r="O115" s="142"/>
      <c r="P115" s="143"/>
      <c r="Q115" s="113"/>
      <c r="R115" s="144"/>
    </row>
    <row r="116" spans="1:19" ht="14.4">
      <c r="A116" s="87"/>
      <c r="B116" s="77" t="s">
        <v>1614</v>
      </c>
      <c r="C116" s="75" t="s">
        <v>1505</v>
      </c>
      <c r="D116" s="701" t="s">
        <v>1615</v>
      </c>
      <c r="E116" s="69">
        <v>45362</v>
      </c>
      <c r="F116" s="702">
        <v>0.09</v>
      </c>
      <c r="G116" s="701">
        <v>2962000000</v>
      </c>
      <c r="H116" s="703">
        <v>135115891</v>
      </c>
      <c r="I116" s="701">
        <v>-119048055</v>
      </c>
      <c r="J116" s="701">
        <v>0</v>
      </c>
      <c r="K116" s="54">
        <v>3149483</v>
      </c>
      <c r="L116" s="54">
        <f>+G116+H116+I116+J116+K116</f>
        <v>2981217319</v>
      </c>
      <c r="M116" s="428"/>
      <c r="N116" s="54">
        <f>+L116</f>
        <v>2981217319</v>
      </c>
      <c r="O116" s="87"/>
      <c r="P116" s="114">
        <v>45197</v>
      </c>
      <c r="Q116" s="122">
        <v>1.0255700000000001</v>
      </c>
      <c r="R116" s="115">
        <f>+G116*Q116</f>
        <v>3037738340.0000005</v>
      </c>
    </row>
    <row r="117" spans="1:19" ht="14.4">
      <c r="A117" s="87"/>
      <c r="B117" s="77" t="s">
        <v>1616</v>
      </c>
      <c r="C117" s="75" t="s">
        <v>1505</v>
      </c>
      <c r="D117" s="701" t="s">
        <v>1617</v>
      </c>
      <c r="E117" s="69">
        <v>45446</v>
      </c>
      <c r="F117" s="702">
        <v>8.7499999999999994E-2</v>
      </c>
      <c r="G117" s="701">
        <v>5505000000</v>
      </c>
      <c r="H117" s="703">
        <v>360275855.39999998</v>
      </c>
      <c r="I117" s="701">
        <v>-325963869</v>
      </c>
      <c r="J117" s="701">
        <v>-241552</v>
      </c>
      <c r="K117" s="701">
        <v>127943</v>
      </c>
      <c r="L117" s="701">
        <f>+G117+H117+I117+J117+K117</f>
        <v>5539198377.3999996</v>
      </c>
      <c r="M117" s="784"/>
      <c r="N117" s="701">
        <f>+L117</f>
        <v>5539198377.3999996</v>
      </c>
      <c r="O117" s="87"/>
      <c r="P117" s="114">
        <v>45199</v>
      </c>
      <c r="Q117" s="1062">
        <v>1.0088299999999999</v>
      </c>
      <c r="R117" s="1063">
        <f>+G117*Q117</f>
        <v>5553609149.999999</v>
      </c>
    </row>
    <row r="118" spans="1:19" ht="14.4">
      <c r="A118" s="87"/>
      <c r="B118" s="77" t="s">
        <v>1618</v>
      </c>
      <c r="C118" s="75" t="s">
        <v>1505</v>
      </c>
      <c r="D118" s="701" t="s">
        <v>1619</v>
      </c>
      <c r="E118" s="69">
        <v>46997</v>
      </c>
      <c r="F118" s="702">
        <v>0.115</v>
      </c>
      <c r="G118" s="701">
        <v>455000000</v>
      </c>
      <c r="H118" s="703">
        <v>261194931.40000001</v>
      </c>
      <c r="I118" s="701">
        <v>-257754384</v>
      </c>
      <c r="J118" s="701">
        <v>0</v>
      </c>
      <c r="K118" s="54">
        <v>10759566</v>
      </c>
      <c r="L118" s="54">
        <f>+G118+H118+I118+J118+K118</f>
        <v>469200113.39999998</v>
      </c>
      <c r="M118" s="428"/>
      <c r="N118" s="54">
        <f>+L118</f>
        <v>469200113.39999998</v>
      </c>
      <c r="O118" s="87"/>
      <c r="P118" s="114">
        <v>45197</v>
      </c>
      <c r="Q118" s="122">
        <v>1.04105</v>
      </c>
      <c r="R118" s="115">
        <f>+G118*Q118</f>
        <v>473677750</v>
      </c>
    </row>
    <row r="119" spans="1:19" thickBot="1">
      <c r="A119" s="87" t="str">
        <f t="shared" ref="A119" si="29">+PROPER(B119)</f>
        <v/>
      </c>
      <c r="B119" s="87"/>
      <c r="C119" s="85"/>
      <c r="D119" s="86"/>
      <c r="E119" s="76"/>
      <c r="F119" s="72" t="s">
        <v>1509</v>
      </c>
      <c r="G119" s="90">
        <f t="shared" ref="G119:K119" si="30">SUM(G116:G118)</f>
        <v>8922000000</v>
      </c>
      <c r="H119" s="90">
        <f t="shared" si="30"/>
        <v>756586677.79999995</v>
      </c>
      <c r="I119" s="90">
        <f t="shared" si="30"/>
        <v>-702766308</v>
      </c>
      <c r="J119" s="90">
        <f t="shared" si="30"/>
        <v>-241552</v>
      </c>
      <c r="K119" s="90">
        <f t="shared" si="30"/>
        <v>14036992</v>
      </c>
      <c r="L119" s="90">
        <f>SUM(L116:L118)</f>
        <v>8989615809.7999992</v>
      </c>
      <c r="M119" s="430"/>
      <c r="N119" s="787">
        <f>SUM(N116:N118)</f>
        <v>8989615809.7999992</v>
      </c>
      <c r="O119" s="87"/>
      <c r="P119" s="87"/>
      <c r="Q119" s="87"/>
      <c r="R119" s="87"/>
    </row>
    <row r="120" spans="1:19" thickTop="1">
      <c r="A120" s="87"/>
      <c r="B120" s="87"/>
      <c r="C120" s="68"/>
      <c r="D120" s="56"/>
      <c r="E120" s="64"/>
      <c r="F120" s="79"/>
      <c r="G120" s="71"/>
      <c r="H120" s="71"/>
      <c r="I120" s="71"/>
      <c r="J120" s="71"/>
      <c r="K120" s="71"/>
      <c r="L120" s="1064"/>
      <c r="M120" s="430"/>
      <c r="N120" s="737"/>
      <c r="O120" s="87"/>
      <c r="P120" s="87"/>
      <c r="Q120" s="87"/>
      <c r="R120" s="87"/>
    </row>
    <row r="121" spans="1:19" thickBot="1">
      <c r="A121" s="87"/>
      <c r="B121" s="80" t="s">
        <v>1620</v>
      </c>
      <c r="C121" s="67"/>
      <c r="D121" s="126"/>
      <c r="E121" s="67"/>
      <c r="F121" s="67"/>
      <c r="G121" s="67"/>
      <c r="H121" s="67"/>
      <c r="I121" s="67"/>
      <c r="J121" s="67"/>
      <c r="K121" s="67"/>
      <c r="L121" s="67"/>
      <c r="M121" s="97"/>
      <c r="N121" s="126"/>
      <c r="O121" s="87"/>
      <c r="P121" s="143"/>
      <c r="Q121" s="113"/>
      <c r="R121" s="144"/>
      <c r="S121" s="785"/>
    </row>
    <row r="122" spans="1:19" ht="14.4">
      <c r="A122" s="87" t="str">
        <f>+PROPER(B122)</f>
        <v>Sudameris Bank Saeca</v>
      </c>
      <c r="B122" s="77" t="s">
        <v>1621</v>
      </c>
      <c r="C122" s="75" t="s">
        <v>1505</v>
      </c>
      <c r="D122" s="54" t="s">
        <v>1622</v>
      </c>
      <c r="E122" s="69"/>
      <c r="F122" s="127"/>
      <c r="G122" s="54">
        <v>3551357000</v>
      </c>
      <c r="H122" s="625"/>
      <c r="I122" s="625"/>
      <c r="J122" s="625"/>
      <c r="K122" s="625"/>
      <c r="L122" s="625">
        <f>+G122+H122+I122+J122+K122</f>
        <v>3551357000</v>
      </c>
      <c r="M122" s="625"/>
      <c r="N122" s="625">
        <f>+L122</f>
        <v>3551357000</v>
      </c>
      <c r="O122" s="87"/>
      <c r="P122" s="114">
        <v>45190</v>
      </c>
      <c r="Q122" s="626">
        <v>1.08318</v>
      </c>
      <c r="R122" s="115">
        <f>(G122*Q122)</f>
        <v>3846758875.2600002</v>
      </c>
      <c r="S122" s="785"/>
    </row>
    <row r="123" spans="1:19" thickBot="1">
      <c r="A123" s="87"/>
      <c r="B123" s="87"/>
      <c r="C123" s="85"/>
      <c r="D123" s="125"/>
      <c r="E123" s="76"/>
      <c r="F123" s="72" t="s">
        <v>1509</v>
      </c>
      <c r="G123" s="128">
        <f t="shared" ref="G123:I123" si="31">SUM(G122:G122)</f>
        <v>3551357000</v>
      </c>
      <c r="H123" s="128">
        <f t="shared" si="31"/>
        <v>0</v>
      </c>
      <c r="I123" s="128">
        <f t="shared" si="31"/>
        <v>0</v>
      </c>
      <c r="J123" s="128">
        <f>SUM(J122:J122)</f>
        <v>0</v>
      </c>
      <c r="K123" s="128">
        <f t="shared" ref="K123:L123" si="32">SUM(K122:K122)</f>
        <v>0</v>
      </c>
      <c r="L123" s="128">
        <f t="shared" si="32"/>
        <v>3551357000</v>
      </c>
      <c r="M123" s="129"/>
      <c r="N123" s="128">
        <f>SUM(N122:N122)</f>
        <v>3551357000</v>
      </c>
      <c r="O123" s="87"/>
      <c r="P123" s="87"/>
      <c r="Q123" s="87"/>
      <c r="R123" s="87"/>
    </row>
    <row r="124" spans="1:19" thickTop="1">
      <c r="A124" s="87"/>
      <c r="B124" s="87"/>
      <c r="C124" s="68"/>
      <c r="D124" s="56"/>
      <c r="E124" s="64"/>
      <c r="F124" s="79"/>
      <c r="G124" s="71"/>
      <c r="H124" s="71"/>
      <c r="I124" s="71"/>
      <c r="J124" s="71"/>
      <c r="K124" s="71"/>
      <c r="L124" s="71"/>
      <c r="M124" s="71"/>
      <c r="N124" s="71"/>
      <c r="O124" s="87"/>
      <c r="P124" s="87"/>
      <c r="Q124" s="87"/>
      <c r="R124" s="87"/>
    </row>
    <row r="125" spans="1:19" ht="14.4">
      <c r="A125" s="87"/>
      <c r="B125" s="89" t="s">
        <v>1623</v>
      </c>
      <c r="C125" s="74"/>
      <c r="D125" s="74"/>
      <c r="E125" s="74"/>
      <c r="F125" s="74"/>
      <c r="G125" s="66">
        <f t="shared" ref="G125:L125" si="33">+G119+G113+G108+G103+G96+G15+G123</f>
        <v>41149857000</v>
      </c>
      <c r="H125" s="66">
        <f t="shared" si="33"/>
        <v>4813329846.802001</v>
      </c>
      <c r="I125" s="66">
        <f t="shared" si="33"/>
        <v>-4599662804</v>
      </c>
      <c r="J125" s="66">
        <f t="shared" si="33"/>
        <v>-539659037.44712937</v>
      </c>
      <c r="K125" s="66">
        <f t="shared" si="33"/>
        <v>41380898</v>
      </c>
      <c r="L125" s="66">
        <f t="shared" si="33"/>
        <v>40865245903.354874</v>
      </c>
      <c r="M125" s="66"/>
      <c r="N125" s="66">
        <f>+N119+N113+N108+N103+N96+N15+N123</f>
        <v>40865245903.354874</v>
      </c>
      <c r="O125" s="87"/>
      <c r="P125" s="87"/>
      <c r="Q125" s="87"/>
      <c r="R125" s="87"/>
    </row>
    <row r="126" spans="1:19" ht="14.4">
      <c r="A126" s="87"/>
      <c r="B126" s="87"/>
      <c r="C126" s="68"/>
      <c r="D126" s="55"/>
      <c r="E126" s="64"/>
      <c r="F126" s="79"/>
      <c r="G126" s="71"/>
      <c r="H126" s="71"/>
      <c r="I126" s="71"/>
      <c r="J126" s="71"/>
      <c r="K126" s="71"/>
      <c r="L126" s="71"/>
      <c r="M126" s="71"/>
      <c r="N126" s="71"/>
      <c r="O126" s="87"/>
      <c r="P126" s="87"/>
      <c r="Q126" s="87"/>
      <c r="R126" s="87"/>
    </row>
    <row r="127" spans="1:19" thickBot="1">
      <c r="A127" s="87"/>
      <c r="B127" s="80" t="s">
        <v>1624</v>
      </c>
      <c r="C127" s="67"/>
      <c r="D127" s="53"/>
      <c r="E127" s="67"/>
      <c r="F127" s="67"/>
      <c r="G127" s="67"/>
      <c r="H127" s="67"/>
      <c r="I127" s="67"/>
      <c r="J127" s="67"/>
      <c r="K127" s="67"/>
      <c r="L127" s="67"/>
      <c r="M127" s="97"/>
      <c r="N127" s="53"/>
      <c r="O127" s="87"/>
      <c r="P127" s="756"/>
      <c r="Q127" s="756"/>
      <c r="R127" s="756"/>
    </row>
    <row r="128" spans="1:19" ht="14.4">
      <c r="A128" s="87"/>
      <c r="B128" s="77" t="s">
        <v>1515</v>
      </c>
      <c r="C128" s="75" t="s">
        <v>1625</v>
      </c>
      <c r="D128" s="54" t="s">
        <v>1626</v>
      </c>
      <c r="E128" s="69">
        <v>46262</v>
      </c>
      <c r="F128" s="127">
        <v>6.4500000000000002E-2</v>
      </c>
      <c r="G128" s="428">
        <v>50000</v>
      </c>
      <c r="H128" s="432">
        <v>9683.8349999999991</v>
      </c>
      <c r="I128" s="784">
        <v>-9392.26</v>
      </c>
      <c r="J128" s="428">
        <v>0</v>
      </c>
      <c r="K128" s="428">
        <v>0</v>
      </c>
      <c r="L128" s="428">
        <f t="shared" ref="L128:L134" si="34">+G128+H128+I128+J128+K128</f>
        <v>50291.574999999997</v>
      </c>
      <c r="M128" s="431">
        <f>+Notas!$D$269</f>
        <v>7831.26</v>
      </c>
      <c r="N128" s="54">
        <f t="shared" ref="N128:N134" si="35">+L128*M128</f>
        <v>393846399.63449997</v>
      </c>
      <c r="O128" s="87"/>
      <c r="P128" s="757"/>
      <c r="Q128" s="754"/>
      <c r="R128" s="755"/>
    </row>
    <row r="129" spans="1:18" ht="14.4">
      <c r="A129" s="87"/>
      <c r="B129" s="77" t="s">
        <v>1515</v>
      </c>
      <c r="C129" s="75" t="s">
        <v>1625</v>
      </c>
      <c r="D129" s="54" t="s">
        <v>1627</v>
      </c>
      <c r="E129" s="69">
        <v>46262</v>
      </c>
      <c r="F129" s="127">
        <v>6.4500000000000002E-2</v>
      </c>
      <c r="G129" s="428">
        <v>50000</v>
      </c>
      <c r="H129" s="432">
        <v>9683.8349999999991</v>
      </c>
      <c r="I129" s="784">
        <v>-9392.26</v>
      </c>
      <c r="J129" s="428">
        <v>0</v>
      </c>
      <c r="K129" s="428">
        <v>0</v>
      </c>
      <c r="L129" s="428">
        <f t="shared" si="34"/>
        <v>50291.574999999997</v>
      </c>
      <c r="M129" s="431">
        <f>+Notas!$D$269</f>
        <v>7831.26</v>
      </c>
      <c r="N129" s="54">
        <f t="shared" si="35"/>
        <v>393846399.63449997</v>
      </c>
      <c r="O129" s="87"/>
      <c r="P129" s="757"/>
      <c r="Q129" s="754"/>
      <c r="R129" s="755"/>
    </row>
    <row r="130" spans="1:18" ht="14.4">
      <c r="A130" s="87"/>
      <c r="B130" s="77" t="s">
        <v>1539</v>
      </c>
      <c r="C130" s="75" t="s">
        <v>1625</v>
      </c>
      <c r="D130" s="54" t="s">
        <v>1628</v>
      </c>
      <c r="E130" s="69">
        <v>45726</v>
      </c>
      <c r="F130" s="127">
        <v>6.5000000000000002E-2</v>
      </c>
      <c r="G130" s="428">
        <v>50000</v>
      </c>
      <c r="H130" s="432">
        <v>4897.26</v>
      </c>
      <c r="I130" s="784">
        <v>-4692.4690000000001</v>
      </c>
      <c r="J130" s="428">
        <v>0</v>
      </c>
      <c r="K130" s="428">
        <v>0</v>
      </c>
      <c r="L130" s="428">
        <f t="shared" si="34"/>
        <v>50204.791000000005</v>
      </c>
      <c r="M130" s="431">
        <f>+Notas!$D$269</f>
        <v>7831.26</v>
      </c>
      <c r="N130" s="54">
        <f t="shared" si="35"/>
        <v>393166771.56666005</v>
      </c>
      <c r="O130" s="87"/>
      <c r="P130" s="757"/>
      <c r="Q130" s="754"/>
      <c r="R130" s="755"/>
    </row>
    <row r="131" spans="1:18" ht="14.4">
      <c r="A131" s="87"/>
      <c r="B131" s="77" t="s">
        <v>1539</v>
      </c>
      <c r="C131" s="75" t="s">
        <v>1625</v>
      </c>
      <c r="D131" s="54" t="s">
        <v>1629</v>
      </c>
      <c r="E131" s="69">
        <v>45726</v>
      </c>
      <c r="F131" s="127">
        <v>6.5000000000000002E-2</v>
      </c>
      <c r="G131" s="428">
        <v>50000</v>
      </c>
      <c r="H131" s="432">
        <v>4897.26</v>
      </c>
      <c r="I131" s="784">
        <v>-4692.4650000000001</v>
      </c>
      <c r="J131" s="428">
        <v>0</v>
      </c>
      <c r="K131" s="428">
        <v>0</v>
      </c>
      <c r="L131" s="428">
        <f t="shared" si="34"/>
        <v>50204.794999999998</v>
      </c>
      <c r="M131" s="431">
        <f>+Notas!$D$269</f>
        <v>7831.26</v>
      </c>
      <c r="N131" s="54">
        <f t="shared" si="35"/>
        <v>393166802.89169997</v>
      </c>
      <c r="O131" s="87"/>
      <c r="P131" s="757"/>
      <c r="Q131" s="754"/>
      <c r="R131" s="755"/>
    </row>
    <row r="132" spans="1:18" ht="14.4">
      <c r="A132" s="87"/>
      <c r="B132" s="77" t="s">
        <v>1539</v>
      </c>
      <c r="C132" s="75" t="s">
        <v>1625</v>
      </c>
      <c r="D132" s="54" t="s">
        <v>1630</v>
      </c>
      <c r="E132" s="69">
        <v>45726</v>
      </c>
      <c r="F132" s="127">
        <v>6.5000000000000002E-2</v>
      </c>
      <c r="G132" s="428">
        <v>50000</v>
      </c>
      <c r="H132" s="432">
        <v>4897.2650000000003</v>
      </c>
      <c r="I132" s="784">
        <v>-4692.4650000000001</v>
      </c>
      <c r="J132" s="428">
        <v>0</v>
      </c>
      <c r="K132" s="428">
        <v>0</v>
      </c>
      <c r="L132" s="428">
        <f t="shared" si="34"/>
        <v>50204.800000000003</v>
      </c>
      <c r="M132" s="431">
        <f>+Notas!$D$269</f>
        <v>7831.26</v>
      </c>
      <c r="N132" s="54">
        <f t="shared" si="35"/>
        <v>393166842.04800004</v>
      </c>
      <c r="O132" s="87"/>
      <c r="P132" s="757"/>
      <c r="Q132" s="754"/>
      <c r="R132" s="755"/>
    </row>
    <row r="133" spans="1:18" ht="14.4">
      <c r="A133" s="87"/>
      <c r="B133" s="77" t="s">
        <v>1621</v>
      </c>
      <c r="C133" s="75" t="s">
        <v>1625</v>
      </c>
      <c r="D133" s="701" t="s">
        <v>1631</v>
      </c>
      <c r="E133" s="69">
        <v>45306</v>
      </c>
      <c r="F133" s="702">
        <v>0.05</v>
      </c>
      <c r="G133" s="784">
        <v>30000</v>
      </c>
      <c r="H133" s="432">
        <v>534.245</v>
      </c>
      <c r="I133" s="784">
        <v>-439.72500000000002</v>
      </c>
      <c r="J133" s="428">
        <v>-160.33000000000001</v>
      </c>
      <c r="K133" s="428">
        <v>0</v>
      </c>
      <c r="L133" s="428">
        <f t="shared" si="34"/>
        <v>29934.19</v>
      </c>
      <c r="M133" s="431">
        <f>+Notas!$D$269</f>
        <v>7831.26</v>
      </c>
      <c r="N133" s="54">
        <f t="shared" si="35"/>
        <v>234422424.77939999</v>
      </c>
      <c r="O133" s="87"/>
      <c r="P133" s="757"/>
      <c r="Q133" s="754"/>
      <c r="R133" s="755"/>
    </row>
    <row r="134" spans="1:18" ht="14.4">
      <c r="A134" s="87"/>
      <c r="B134" s="77" t="s">
        <v>1621</v>
      </c>
      <c r="C134" s="75" t="s">
        <v>1625</v>
      </c>
      <c r="D134" s="701" t="s">
        <v>1632</v>
      </c>
      <c r="E134" s="69">
        <v>45425</v>
      </c>
      <c r="F134" s="702">
        <v>0.05</v>
      </c>
      <c r="G134" s="784">
        <v>11000</v>
      </c>
      <c r="H134" s="432">
        <v>378.22</v>
      </c>
      <c r="I134" s="428">
        <v>-340.54500000000002</v>
      </c>
      <c r="J134" s="428">
        <v>-151.63999999999999</v>
      </c>
      <c r="K134" s="428">
        <v>0</v>
      </c>
      <c r="L134" s="428">
        <f t="shared" si="34"/>
        <v>10886.035</v>
      </c>
      <c r="M134" s="431">
        <f>+Notas!$D$269</f>
        <v>7831.26</v>
      </c>
      <c r="N134" s="54">
        <f t="shared" si="35"/>
        <v>85251370.454099998</v>
      </c>
      <c r="O134" s="87"/>
      <c r="P134" s="757"/>
      <c r="Q134" s="754"/>
      <c r="R134" s="755"/>
    </row>
    <row r="135" spans="1:18" thickBot="1">
      <c r="A135" s="87"/>
      <c r="B135" s="87"/>
      <c r="C135" s="85"/>
      <c r="D135" s="86"/>
      <c r="E135" s="76"/>
      <c r="F135" s="72" t="s">
        <v>1509</v>
      </c>
      <c r="G135" s="73">
        <f>SUM(G128:G134)</f>
        <v>291000</v>
      </c>
      <c r="H135" s="73">
        <f t="shared" ref="H135:N135" si="36">SUM(H128:H134)</f>
        <v>34971.920000000006</v>
      </c>
      <c r="I135" s="73">
        <f t="shared" si="36"/>
        <v>-33642.188999999998</v>
      </c>
      <c r="J135" s="73">
        <f t="shared" si="36"/>
        <v>-311.97000000000003</v>
      </c>
      <c r="K135" s="73">
        <f t="shared" si="36"/>
        <v>0</v>
      </c>
      <c r="L135" s="73">
        <f t="shared" si="36"/>
        <v>292017.76099999994</v>
      </c>
      <c r="M135" s="71"/>
      <c r="N135" s="90">
        <f t="shared" si="36"/>
        <v>2286867011.0088601</v>
      </c>
      <c r="O135" s="87"/>
      <c r="P135" s="87"/>
      <c r="Q135" s="87"/>
      <c r="R135" s="87"/>
    </row>
    <row r="136" spans="1:18" thickTop="1">
      <c r="A136" s="87"/>
      <c r="B136" s="87"/>
      <c r="C136" s="68"/>
      <c r="D136" s="55"/>
      <c r="E136" s="88"/>
      <c r="F136" s="65"/>
      <c r="G136" s="55"/>
      <c r="H136" s="55"/>
      <c r="I136" s="56"/>
      <c r="J136" s="56"/>
      <c r="K136" s="56"/>
      <c r="L136" s="55"/>
      <c r="M136" s="55"/>
      <c r="N136" s="55"/>
      <c r="O136" s="87"/>
      <c r="P136" s="87"/>
      <c r="Q136" s="87"/>
      <c r="R136" s="87"/>
    </row>
    <row r="137" spans="1:18" thickBot="1">
      <c r="A137" s="87"/>
      <c r="B137" s="80" t="s">
        <v>1633</v>
      </c>
      <c r="C137" s="67"/>
      <c r="D137" s="53"/>
      <c r="E137" s="67"/>
      <c r="F137" s="67"/>
      <c r="G137" s="67"/>
      <c r="H137" s="67"/>
      <c r="I137" s="67"/>
      <c r="J137" s="67"/>
      <c r="K137" s="67"/>
      <c r="L137" s="67"/>
      <c r="M137" s="97"/>
      <c r="N137" s="53"/>
      <c r="O137" s="142"/>
      <c r="P137" s="143"/>
      <c r="Q137" s="113"/>
      <c r="R137" s="144"/>
    </row>
    <row r="138" spans="1:18" ht="14.4">
      <c r="A138" s="87"/>
      <c r="B138" s="77" t="s">
        <v>1634</v>
      </c>
      <c r="C138" s="75" t="s">
        <v>1625</v>
      </c>
      <c r="D138" s="54" t="s">
        <v>1635</v>
      </c>
      <c r="E138" s="69">
        <v>45470</v>
      </c>
      <c r="F138" s="127">
        <v>6.25E-2</v>
      </c>
      <c r="G138" s="428">
        <v>5000</v>
      </c>
      <c r="H138" s="428">
        <v>239.73</v>
      </c>
      <c r="I138" s="431">
        <v>-232.02</v>
      </c>
      <c r="J138" s="428">
        <v>-27.14</v>
      </c>
      <c r="K138" s="428"/>
      <c r="L138" s="428">
        <f>+G138+H138+I138+J138+K138</f>
        <v>4980.5699999999988</v>
      </c>
      <c r="M138" s="431">
        <f>+Notas!$D$269</f>
        <v>7831.26</v>
      </c>
      <c r="N138" s="54">
        <f>+L138*M138</f>
        <v>39004138.618199989</v>
      </c>
      <c r="O138" s="87"/>
      <c r="P138" s="114">
        <v>45196</v>
      </c>
      <c r="Q138" s="626">
        <v>0.99902999999999997</v>
      </c>
      <c r="R138" s="115">
        <f>(G138*Q138)*M138</f>
        <v>39118318.388999999</v>
      </c>
    </row>
    <row r="139" spans="1:18" thickBot="1">
      <c r="A139" s="87"/>
      <c r="B139" s="87"/>
      <c r="C139" s="85"/>
      <c r="D139" s="86"/>
      <c r="E139" s="76"/>
      <c r="F139" s="72" t="s">
        <v>1509</v>
      </c>
      <c r="G139" s="73">
        <f>SUM(G138:G138)</f>
        <v>5000</v>
      </c>
      <c r="H139" s="73">
        <f t="shared" ref="H139:J139" si="37">SUM(H138:H138)</f>
        <v>239.73</v>
      </c>
      <c r="I139" s="73">
        <f t="shared" si="37"/>
        <v>-232.02</v>
      </c>
      <c r="J139" s="73">
        <f t="shared" si="37"/>
        <v>-27.14</v>
      </c>
      <c r="K139" s="73">
        <f>SUM(K138:K138)</f>
        <v>0</v>
      </c>
      <c r="L139" s="73">
        <f t="shared" ref="L139" si="38">SUM(L138:L138)</f>
        <v>4980.5699999999988</v>
      </c>
      <c r="M139" s="71"/>
      <c r="N139" s="128">
        <f>SUM(N138:N138)</f>
        <v>39004138.618199989</v>
      </c>
      <c r="O139" s="87"/>
      <c r="P139" s="87"/>
      <c r="Q139" s="87"/>
      <c r="R139" s="87"/>
    </row>
    <row r="140" spans="1:18" thickTop="1">
      <c r="A140" s="87"/>
      <c r="B140" s="87"/>
      <c r="C140" s="68"/>
      <c r="D140" s="55"/>
      <c r="E140" s="88"/>
      <c r="F140" s="65"/>
      <c r="G140" s="55">
        <f>+G139*$M$138</f>
        <v>39156300</v>
      </c>
      <c r="H140" s="55">
        <f t="shared" ref="H140:L140" si="39">+H139*$M$138</f>
        <v>1877387.9598000001</v>
      </c>
      <c r="I140" s="55">
        <f t="shared" si="39"/>
        <v>-1817008.9452000002</v>
      </c>
      <c r="J140" s="55">
        <f t="shared" si="39"/>
        <v>-212540.3964</v>
      </c>
      <c r="K140" s="55">
        <f t="shared" si="39"/>
        <v>0</v>
      </c>
      <c r="L140" s="55">
        <f t="shared" si="39"/>
        <v>39004138.618199989</v>
      </c>
      <c r="M140" s="55"/>
      <c r="N140" s="55"/>
      <c r="O140" s="87"/>
      <c r="P140" s="87"/>
      <c r="Q140" s="87"/>
      <c r="R140" s="87"/>
    </row>
    <row r="141" spans="1:18" thickBot="1">
      <c r="A141" s="87"/>
      <c r="B141" s="80" t="s">
        <v>1636</v>
      </c>
      <c r="C141" s="67"/>
      <c r="D141" s="53"/>
      <c r="E141" s="67"/>
      <c r="F141" s="67"/>
      <c r="G141" s="67"/>
      <c r="H141" s="67"/>
      <c r="I141" s="67"/>
      <c r="J141" s="67"/>
      <c r="K141" s="67"/>
      <c r="L141" s="67"/>
      <c r="M141" s="97"/>
      <c r="N141" s="53"/>
      <c r="O141" s="142"/>
      <c r="P141" s="143"/>
      <c r="Q141" s="113"/>
      <c r="R141" s="144"/>
    </row>
    <row r="142" spans="1:18" ht="14.4">
      <c r="A142" s="87"/>
      <c r="B142" s="77" t="s">
        <v>1637</v>
      </c>
      <c r="C142" s="75" t="s">
        <v>1625</v>
      </c>
      <c r="D142" s="54" t="s">
        <v>1638</v>
      </c>
      <c r="E142" s="69">
        <v>46716</v>
      </c>
      <c r="F142" s="127">
        <v>7.2499999999999995E-2</v>
      </c>
      <c r="G142" s="428">
        <v>170000</v>
      </c>
      <c r="H142" s="428">
        <v>52474.11</v>
      </c>
      <c r="I142" s="431">
        <v>-51224.73</v>
      </c>
      <c r="J142" s="428">
        <v>-6.9800000000000001E-2</v>
      </c>
      <c r="K142" s="428">
        <v>0</v>
      </c>
      <c r="L142" s="428">
        <f t="shared" ref="L142:L144" si="40">+G142+H142+I142+J142+K142</f>
        <v>171249.31019999998</v>
      </c>
      <c r="M142" s="431">
        <f>+Notas!$D$269</f>
        <v>7831.26</v>
      </c>
      <c r="N142" s="54">
        <f t="shared" ref="N142:N144" si="41">+L142*M142</f>
        <v>1341097872.9968519</v>
      </c>
      <c r="O142" s="87"/>
      <c r="P142" s="114">
        <v>45114</v>
      </c>
      <c r="Q142" s="626">
        <v>0.95354000000000005</v>
      </c>
      <c r="R142" s="115">
        <f>(G142*Q142)*M142</f>
        <v>1269461342.2680001</v>
      </c>
    </row>
    <row r="143" spans="1:18" ht="14.4">
      <c r="A143" s="87"/>
      <c r="B143" s="77" t="s">
        <v>1637</v>
      </c>
      <c r="C143" s="75" t="s">
        <v>1625</v>
      </c>
      <c r="D143" s="54" t="s">
        <v>1639</v>
      </c>
      <c r="E143" s="69">
        <v>47102</v>
      </c>
      <c r="F143" s="127">
        <v>7.4999999999999997E-2</v>
      </c>
      <c r="G143" s="428">
        <v>94000</v>
      </c>
      <c r="H143" s="428">
        <v>38301.78</v>
      </c>
      <c r="I143" s="431">
        <v>-36756.574999999997</v>
      </c>
      <c r="J143" s="428">
        <v>0</v>
      </c>
      <c r="K143" s="428">
        <v>680.57</v>
      </c>
      <c r="L143" s="428">
        <f t="shared" si="40"/>
        <v>96225.775000000009</v>
      </c>
      <c r="M143" s="431">
        <f>+Notas!$D$269</f>
        <v>7831.26</v>
      </c>
      <c r="N143" s="54">
        <f t="shared" si="41"/>
        <v>753569062.72650003</v>
      </c>
      <c r="O143" s="87"/>
      <c r="P143" s="114">
        <v>45128</v>
      </c>
      <c r="Q143" s="626">
        <v>1.0218499999999999</v>
      </c>
      <c r="R143" s="115">
        <f>(G143*Q143)*M143</f>
        <v>752223064.91400003</v>
      </c>
    </row>
    <row r="144" spans="1:18" ht="14.4">
      <c r="A144" s="87"/>
      <c r="B144" s="77" t="s">
        <v>1637</v>
      </c>
      <c r="C144" s="75" t="s">
        <v>1625</v>
      </c>
      <c r="D144" s="54" t="s">
        <v>1640</v>
      </c>
      <c r="E144" s="69">
        <v>46371</v>
      </c>
      <c r="F144" s="127">
        <v>7.0000000000000007E-2</v>
      </c>
      <c r="G144" s="428">
        <v>289000</v>
      </c>
      <c r="H144" s="428">
        <v>65899.92</v>
      </c>
      <c r="I144" s="431">
        <v>-64957.695</v>
      </c>
      <c r="J144" s="428">
        <v>-0.08</v>
      </c>
      <c r="K144" s="428">
        <v>0</v>
      </c>
      <c r="L144" s="428">
        <f t="shared" si="40"/>
        <v>289942.14499999996</v>
      </c>
      <c r="M144" s="431">
        <f>+Notas!$D$269</f>
        <v>7831.26</v>
      </c>
      <c r="N144" s="54">
        <f t="shared" si="41"/>
        <v>2270612322.4526997</v>
      </c>
      <c r="O144" s="87"/>
      <c r="P144" s="114">
        <v>45015</v>
      </c>
      <c r="Q144" s="626">
        <v>1.0026900000000001</v>
      </c>
      <c r="R144" s="115">
        <f>(G144*Q144)*M144</f>
        <v>2269322239.8366003</v>
      </c>
    </row>
    <row r="145" spans="1:18" thickBot="1">
      <c r="A145" s="87"/>
      <c r="B145" s="87"/>
      <c r="C145" s="85"/>
      <c r="D145" s="86"/>
      <c r="E145" s="76"/>
      <c r="F145" s="72" t="s">
        <v>1509</v>
      </c>
      <c r="G145" s="73">
        <f t="shared" ref="G145:N145" si="42">+SUM(G142:G144)</f>
        <v>553000</v>
      </c>
      <c r="H145" s="73">
        <f t="shared" si="42"/>
        <v>156675.81</v>
      </c>
      <c r="I145" s="73">
        <f t="shared" si="42"/>
        <v>-152939</v>
      </c>
      <c r="J145" s="73">
        <f t="shared" si="42"/>
        <v>-0.14979999999999999</v>
      </c>
      <c r="K145" s="73">
        <f t="shared" si="42"/>
        <v>680.57</v>
      </c>
      <c r="L145" s="73">
        <f t="shared" si="42"/>
        <v>557417.23019999987</v>
      </c>
      <c r="M145" s="73">
        <f t="shared" si="42"/>
        <v>23493.78</v>
      </c>
      <c r="N145" s="787">
        <f t="shared" si="42"/>
        <v>4365279258.1760521</v>
      </c>
      <c r="O145" s="87"/>
      <c r="P145" s="87"/>
      <c r="Q145" s="87" t="s">
        <v>1328</v>
      </c>
      <c r="R145" s="87"/>
    </row>
    <row r="146" spans="1:18" thickTop="1">
      <c r="A146" s="87"/>
      <c r="B146" s="87"/>
      <c r="C146" s="68"/>
      <c r="D146" s="56"/>
      <c r="E146" s="64"/>
      <c r="F146" s="79"/>
      <c r="G146" s="71">
        <f>+G145*$M$142</f>
        <v>4330686780</v>
      </c>
      <c r="H146" s="71">
        <f t="shared" ref="H146:K146" si="43">+H145*$M$142</f>
        <v>1226969003.8206</v>
      </c>
      <c r="I146" s="71">
        <f t="shared" si="43"/>
        <v>-1197705073.1400001</v>
      </c>
      <c r="J146" s="71">
        <f t="shared" si="43"/>
        <v>-1173.122748</v>
      </c>
      <c r="K146" s="71">
        <f t="shared" si="43"/>
        <v>5329720.6182000004</v>
      </c>
      <c r="L146" s="81"/>
      <c r="M146" s="81"/>
      <c r="N146" s="71"/>
      <c r="O146" s="87"/>
      <c r="P146" s="87"/>
      <c r="Q146" s="87"/>
      <c r="R146" s="87"/>
    </row>
    <row r="147" spans="1:18" ht="14.4">
      <c r="A147" s="87"/>
      <c r="B147" s="89" t="s">
        <v>1641</v>
      </c>
      <c r="C147" s="74"/>
      <c r="D147" s="74"/>
      <c r="E147" s="74"/>
      <c r="F147" s="74"/>
      <c r="G147" s="84">
        <f t="shared" ref="G147:L147" si="44">+G145+G139+G135</f>
        <v>849000</v>
      </c>
      <c r="H147" s="84">
        <f t="shared" si="44"/>
        <v>191887.46000000002</v>
      </c>
      <c r="I147" s="84">
        <f t="shared" si="44"/>
        <v>-186813.20899999997</v>
      </c>
      <c r="J147" s="84">
        <f t="shared" si="44"/>
        <v>-339.25980000000004</v>
      </c>
      <c r="K147" s="84">
        <f t="shared" si="44"/>
        <v>680.57</v>
      </c>
      <c r="L147" s="84">
        <f t="shared" si="44"/>
        <v>854415.56119999976</v>
      </c>
      <c r="M147" s="66"/>
      <c r="N147" s="84">
        <f>+N145+N139+N135</f>
        <v>6691150407.803112</v>
      </c>
      <c r="O147" s="87"/>
      <c r="P147" s="87"/>
      <c r="Q147" s="87"/>
      <c r="R147" s="87"/>
    </row>
    <row r="148" spans="1:18" ht="14.4">
      <c r="A148" s="87"/>
      <c r="B148" s="87"/>
      <c r="C148" s="68"/>
      <c r="D148" s="56"/>
      <c r="E148" s="64"/>
      <c r="F148" s="79"/>
      <c r="G148" s="81"/>
      <c r="H148" s="81"/>
      <c r="I148" s="81"/>
      <c r="J148" s="81"/>
      <c r="K148" s="81"/>
      <c r="L148" s="81"/>
      <c r="M148" s="71"/>
      <c r="N148" s="71"/>
      <c r="O148" s="87"/>
      <c r="P148" s="87"/>
      <c r="Q148" s="87"/>
      <c r="R148" s="87"/>
    </row>
    <row r="149" spans="1:18" thickBot="1">
      <c r="A149" s="87"/>
      <c r="B149" s="87"/>
      <c r="C149" s="87"/>
      <c r="D149" s="87"/>
      <c r="E149" s="87"/>
      <c r="F149" s="87"/>
      <c r="G149" s="87"/>
      <c r="H149" s="87"/>
      <c r="I149" s="87"/>
      <c r="J149" s="87"/>
      <c r="K149" s="87"/>
      <c r="L149" s="87"/>
      <c r="M149" s="87"/>
      <c r="N149" s="87"/>
      <c r="O149" s="87"/>
      <c r="P149" s="87"/>
      <c r="Q149" s="87"/>
      <c r="R149" s="87"/>
    </row>
    <row r="150" spans="1:18" ht="24.6" thickBot="1">
      <c r="A150" s="87"/>
      <c r="B150" s="78" t="s">
        <v>1488</v>
      </c>
      <c r="C150" s="78" t="s">
        <v>631</v>
      </c>
      <c r="D150" s="78" t="s">
        <v>1489</v>
      </c>
      <c r="E150" s="78" t="s">
        <v>1642</v>
      </c>
      <c r="F150" s="78" t="s">
        <v>1491</v>
      </c>
      <c r="G150" s="78" t="s">
        <v>1492</v>
      </c>
      <c r="H150" s="78" t="s">
        <v>1493</v>
      </c>
      <c r="I150" s="78" t="s">
        <v>1494</v>
      </c>
      <c r="J150" s="78" t="s">
        <v>1643</v>
      </c>
      <c r="K150" s="78" t="s">
        <v>1644</v>
      </c>
      <c r="L150" s="78" t="s">
        <v>1645</v>
      </c>
      <c r="M150" s="78" t="s">
        <v>1646</v>
      </c>
      <c r="N150" s="106" t="s">
        <v>1647</v>
      </c>
      <c r="O150" s="145"/>
      <c r="P150" s="143"/>
      <c r="Q150" s="113"/>
      <c r="R150" s="144"/>
    </row>
    <row r="151" spans="1:18" ht="14.4">
      <c r="A151" s="87" t="str">
        <f>+PROPER(B151)</f>
        <v>Ministerio De Hacienda</v>
      </c>
      <c r="B151" s="77" t="s">
        <v>1611</v>
      </c>
      <c r="C151" s="75" t="s">
        <v>1648</v>
      </c>
      <c r="D151" s="54" t="s">
        <v>1649</v>
      </c>
      <c r="E151" s="69">
        <v>45229</v>
      </c>
      <c r="F151" s="127">
        <v>8.5000000000000006E-2</v>
      </c>
      <c r="G151" s="54">
        <v>2000000000</v>
      </c>
      <c r="H151" s="54">
        <v>0</v>
      </c>
      <c r="I151" s="54">
        <v>0</v>
      </c>
      <c r="J151" s="54">
        <v>0</v>
      </c>
      <c r="K151" s="54">
        <v>0</v>
      </c>
      <c r="L151" s="54">
        <v>1832000000</v>
      </c>
      <c r="M151" s="738">
        <v>27160877</v>
      </c>
      <c r="N151" s="54">
        <v>-13357808</v>
      </c>
      <c r="O151" s="87"/>
      <c r="P151" s="114">
        <v>45147</v>
      </c>
      <c r="Q151" s="122">
        <v>1.06978</v>
      </c>
      <c r="R151" s="115">
        <f>+G151*Q151</f>
        <v>2139560000</v>
      </c>
    </row>
    <row r="152" spans="1:18" thickBot="1">
      <c r="A152" s="87"/>
      <c r="B152" s="107"/>
      <c r="C152" s="85"/>
      <c r="D152" s="86"/>
      <c r="E152" s="76"/>
      <c r="F152" s="107" t="s">
        <v>1509</v>
      </c>
      <c r="G152" s="73">
        <f t="shared" ref="G152:N152" si="45">SUM(G151:G151)</f>
        <v>2000000000</v>
      </c>
      <c r="H152" s="73">
        <f t="shared" si="45"/>
        <v>0</v>
      </c>
      <c r="I152" s="73">
        <f t="shared" si="45"/>
        <v>0</v>
      </c>
      <c r="J152" s="73">
        <f t="shared" si="45"/>
        <v>0</v>
      </c>
      <c r="K152" s="73">
        <f t="shared" si="45"/>
        <v>0</v>
      </c>
      <c r="L152" s="73">
        <f t="shared" si="45"/>
        <v>1832000000</v>
      </c>
      <c r="M152" s="73">
        <f t="shared" si="45"/>
        <v>27160877</v>
      </c>
      <c r="N152" s="73">
        <f t="shared" si="45"/>
        <v>-13357808</v>
      </c>
      <c r="O152" s="87"/>
      <c r="P152" s="87"/>
      <c r="Q152" s="87"/>
      <c r="R152" s="87"/>
    </row>
    <row r="153" spans="1:18" ht="12.6" customHeight="1" thickTop="1">
      <c r="A153" s="87"/>
      <c r="B153" s="87"/>
      <c r="C153" s="87"/>
      <c r="D153" s="87"/>
      <c r="E153" s="87"/>
      <c r="F153" s="87"/>
      <c r="G153" s="87"/>
      <c r="H153" s="87"/>
      <c r="I153" s="110"/>
      <c r="J153" s="110"/>
      <c r="K153" s="110"/>
      <c r="L153" s="110"/>
      <c r="M153" s="87"/>
      <c r="N153" s="87"/>
      <c r="O153" s="87"/>
      <c r="P153" s="87"/>
      <c r="Q153" s="87"/>
      <c r="R153" s="87"/>
    </row>
    <row r="154" spans="1:18" ht="14.4">
      <c r="A154" s="87"/>
      <c r="B154" s="89" t="s">
        <v>1650</v>
      </c>
      <c r="C154" s="74"/>
      <c r="D154" s="74"/>
      <c r="E154" s="74"/>
      <c r="F154" s="74"/>
      <c r="G154" s="66">
        <f>+G152</f>
        <v>2000000000</v>
      </c>
      <c r="H154" s="66">
        <f t="shared" ref="H154:N154" si="46">+H152</f>
        <v>0</v>
      </c>
      <c r="I154" s="66">
        <f t="shared" si="46"/>
        <v>0</v>
      </c>
      <c r="J154" s="66">
        <f t="shared" si="46"/>
        <v>0</v>
      </c>
      <c r="K154" s="66">
        <f t="shared" si="46"/>
        <v>0</v>
      </c>
      <c r="L154" s="66">
        <f t="shared" si="46"/>
        <v>1832000000</v>
      </c>
      <c r="M154" s="66">
        <f t="shared" si="46"/>
        <v>27160877</v>
      </c>
      <c r="N154" s="66">
        <f t="shared" si="46"/>
        <v>-13357808</v>
      </c>
      <c r="O154" s="87"/>
      <c r="P154" s="87"/>
      <c r="Q154" s="87"/>
      <c r="R154" s="87"/>
    </row>
    <row r="155" spans="1:18" ht="14.4">
      <c r="A155" s="87"/>
      <c r="B155" s="87"/>
      <c r="C155" s="87"/>
      <c r="D155" s="87"/>
      <c r="E155" s="87"/>
      <c r="F155" s="87"/>
      <c r="G155" s="87"/>
      <c r="H155" s="87"/>
      <c r="I155" s="87"/>
      <c r="J155" s="87"/>
      <c r="K155" s="87"/>
      <c r="L155" s="87"/>
      <c r="M155" s="87"/>
      <c r="N155" s="87"/>
      <c r="O155" s="87"/>
      <c r="P155" s="87"/>
      <c r="Q155" s="87"/>
      <c r="R155" s="87"/>
    </row>
    <row r="156" spans="1:18" thickBot="1">
      <c r="A156" s="87"/>
      <c r="B156" s="87"/>
      <c r="C156" s="87"/>
      <c r="D156" s="87"/>
      <c r="E156" s="87"/>
      <c r="F156" s="87"/>
      <c r="G156" s="87"/>
      <c r="H156" s="87"/>
      <c r="I156" s="87"/>
      <c r="J156" s="87"/>
      <c r="K156" s="87"/>
      <c r="L156" s="87"/>
      <c r="M156" s="87"/>
      <c r="N156" s="87"/>
      <c r="O156" s="87"/>
      <c r="P156" s="87"/>
      <c r="Q156" s="87"/>
      <c r="R156" s="87"/>
    </row>
    <row r="157" spans="1:18" ht="24.6" thickBot="1">
      <c r="A157" s="87"/>
      <c r="B157" s="78" t="s">
        <v>1488</v>
      </c>
      <c r="C157" s="78" t="s">
        <v>631</v>
      </c>
      <c r="D157" s="78" t="s">
        <v>1489</v>
      </c>
      <c r="E157" s="78" t="s">
        <v>1642</v>
      </c>
      <c r="F157" s="78" t="s">
        <v>1491</v>
      </c>
      <c r="G157" s="78" t="s">
        <v>1651</v>
      </c>
      <c r="H157" s="78" t="s">
        <v>1652</v>
      </c>
      <c r="I157" s="78" t="s">
        <v>1653</v>
      </c>
      <c r="J157" s="78" t="s">
        <v>1643</v>
      </c>
      <c r="K157" s="78" t="s">
        <v>1644</v>
      </c>
      <c r="L157" s="78" t="s">
        <v>1654</v>
      </c>
      <c r="M157" s="78" t="s">
        <v>1646</v>
      </c>
      <c r="N157" s="106" t="s">
        <v>1655</v>
      </c>
      <c r="O157" s="145"/>
      <c r="P157" s="143"/>
      <c r="Q157" s="113"/>
      <c r="R157" s="144"/>
    </row>
    <row r="158" spans="1:18" ht="14.4">
      <c r="A158" s="87" t="str">
        <f>+PROPER(B158)</f>
        <v>Radice S.A.E.C.A.</v>
      </c>
      <c r="B158" s="77" t="s">
        <v>1637</v>
      </c>
      <c r="C158" s="75" t="s">
        <v>1625</v>
      </c>
      <c r="D158" s="54" t="s">
        <v>1638</v>
      </c>
      <c r="E158" s="627">
        <v>45275</v>
      </c>
      <c r="F158" s="628">
        <v>5.7500000000000002E-2</v>
      </c>
      <c r="G158" s="629">
        <v>161000</v>
      </c>
      <c r="H158" s="629">
        <v>49696.07</v>
      </c>
      <c r="I158" s="431">
        <v>-48512.83</v>
      </c>
      <c r="J158" s="630">
        <v>-7.0000000000000007E-2</v>
      </c>
      <c r="K158" s="630">
        <v>0</v>
      </c>
      <c r="L158" s="631">
        <v>147831.06004000001</v>
      </c>
      <c r="M158" s="632">
        <v>4036.9699000000001</v>
      </c>
      <c r="N158" s="431">
        <v>-1804.76</v>
      </c>
      <c r="O158" s="87"/>
      <c r="P158" s="114">
        <v>45114</v>
      </c>
      <c r="Q158" s="626">
        <v>0.95354000000000005</v>
      </c>
      <c r="R158" s="1065">
        <f>+G158*Q158</f>
        <v>153519.94</v>
      </c>
    </row>
    <row r="159" spans="1:18" ht="14.4">
      <c r="A159" s="87"/>
      <c r="B159" s="77" t="s">
        <v>1637</v>
      </c>
      <c r="C159" s="75" t="s">
        <v>1625</v>
      </c>
      <c r="D159" s="54" t="s">
        <v>1638</v>
      </c>
      <c r="E159" s="627">
        <v>45377</v>
      </c>
      <c r="F159" s="628">
        <v>5.7500000000000002E-2</v>
      </c>
      <c r="G159" s="629">
        <v>159000</v>
      </c>
      <c r="H159" s="629">
        <v>49078.728999999999</v>
      </c>
      <c r="I159" s="431">
        <v>-47910.18</v>
      </c>
      <c r="J159" s="630">
        <v>-7.0000000000000007E-2</v>
      </c>
      <c r="K159" s="630">
        <v>0</v>
      </c>
      <c r="L159" s="631">
        <v>146053.39000000001</v>
      </c>
      <c r="M159" s="632">
        <v>6334.5199899999998</v>
      </c>
      <c r="N159" s="431">
        <v>-4176.09</v>
      </c>
      <c r="O159" s="87"/>
      <c r="P159" s="114">
        <v>45114</v>
      </c>
      <c r="Q159" s="626">
        <v>0.95354000000000005</v>
      </c>
      <c r="R159" s="1065">
        <f>+G159*Q159</f>
        <v>151612.86000000002</v>
      </c>
    </row>
    <row r="160" spans="1:18" ht="14.4">
      <c r="A160" s="87"/>
      <c r="B160" s="77" t="s">
        <v>1637</v>
      </c>
      <c r="C160" s="75" t="s">
        <v>1625</v>
      </c>
      <c r="D160" s="54" t="s">
        <v>1656</v>
      </c>
      <c r="E160" s="627">
        <v>45292</v>
      </c>
      <c r="F160" s="628">
        <v>5.7500000000000002E-2</v>
      </c>
      <c r="G160" s="629">
        <v>40000</v>
      </c>
      <c r="H160" s="629">
        <v>16298.63</v>
      </c>
      <c r="I160" s="431">
        <v>-15641.1</v>
      </c>
      <c r="J160" s="630"/>
      <c r="K160" s="630">
        <v>289.39800000000002</v>
      </c>
      <c r="L160" s="631">
        <v>40172.6</v>
      </c>
      <c r="M160" s="632">
        <v>961.95090000000005</v>
      </c>
      <c r="N160" s="431">
        <v>-588.55999999999995</v>
      </c>
      <c r="O160" s="87"/>
      <c r="P160" s="114">
        <v>45128</v>
      </c>
      <c r="Q160" s="626">
        <v>1.0218499999999999</v>
      </c>
      <c r="R160" s="1065">
        <f>+G160*Q160</f>
        <v>40874</v>
      </c>
    </row>
    <row r="161" spans="1:18" ht="14.4">
      <c r="A161" s="87"/>
      <c r="B161" s="77" t="s">
        <v>1637</v>
      </c>
      <c r="C161" s="75" t="s">
        <v>1625</v>
      </c>
      <c r="D161" s="54" t="s">
        <v>1656</v>
      </c>
      <c r="E161" s="627">
        <v>45341</v>
      </c>
      <c r="F161" s="628">
        <v>0.06</v>
      </c>
      <c r="G161" s="629">
        <v>400000</v>
      </c>
      <c r="H161" s="629">
        <v>162986.30100000001</v>
      </c>
      <c r="I161" s="431">
        <v>-152694.24799999999</v>
      </c>
      <c r="J161" s="630"/>
      <c r="K161" s="630">
        <v>2894</v>
      </c>
      <c r="L161" s="631">
        <v>403452.04995000002</v>
      </c>
      <c r="M161" s="632">
        <v>11937.7593</v>
      </c>
      <c r="N161" s="431">
        <v>-9417.57</v>
      </c>
      <c r="O161" s="87"/>
      <c r="P161" s="114">
        <v>45128</v>
      </c>
      <c r="Q161" s="626">
        <v>1.0218499999999999</v>
      </c>
      <c r="R161" s="1065">
        <f>+G161*Q161</f>
        <v>408739.99999999994</v>
      </c>
    </row>
    <row r="162" spans="1:18" thickBot="1">
      <c r="A162" s="87"/>
      <c r="B162" s="107"/>
      <c r="C162" s="85"/>
      <c r="D162" s="125"/>
      <c r="E162" s="76"/>
      <c r="F162" s="107" t="s">
        <v>1509</v>
      </c>
      <c r="G162" s="108">
        <f>SUM(G158:G161)</f>
        <v>760000</v>
      </c>
      <c r="H162" s="108">
        <f t="shared" ref="H162:N162" si="47">SUM(H158:H161)</f>
        <v>278059.73</v>
      </c>
      <c r="I162" s="73">
        <f t="shared" si="47"/>
        <v>-264758.35800000001</v>
      </c>
      <c r="J162" s="73">
        <f t="shared" si="47"/>
        <v>-0.14000000000000001</v>
      </c>
      <c r="K162" s="73">
        <f t="shared" si="47"/>
        <v>3183.3980000000001</v>
      </c>
      <c r="L162" s="73">
        <f t="shared" si="47"/>
        <v>737509.09999000002</v>
      </c>
      <c r="M162" s="73">
        <f t="shared" si="47"/>
        <v>23271.200089999998</v>
      </c>
      <c r="N162" s="73">
        <f t="shared" si="47"/>
        <v>-15986.98</v>
      </c>
      <c r="O162" s="87"/>
      <c r="P162" s="87"/>
      <c r="Q162" s="87"/>
      <c r="R162" s="87"/>
    </row>
    <row r="163" spans="1:18" thickTop="1">
      <c r="A163" s="87"/>
      <c r="B163" s="87"/>
      <c r="C163" s="87"/>
      <c r="D163" s="87"/>
      <c r="E163" s="87"/>
      <c r="F163" s="87"/>
      <c r="G163" s="739"/>
      <c r="H163" s="739"/>
      <c r="I163" s="739"/>
      <c r="J163" s="739"/>
      <c r="K163" s="739"/>
      <c r="L163" s="739"/>
      <c r="M163" s="739"/>
      <c r="N163" s="739"/>
      <c r="O163" s="566"/>
      <c r="P163" s="567"/>
      <c r="Q163" s="87"/>
      <c r="R163" s="87"/>
    </row>
    <row r="164" spans="1:18" ht="14.4">
      <c r="A164" s="87"/>
      <c r="B164" s="89" t="s">
        <v>1657</v>
      </c>
      <c r="C164" s="74"/>
      <c r="D164" s="74"/>
      <c r="E164" s="74"/>
      <c r="F164" s="74"/>
      <c r="G164" s="84">
        <f>+G162</f>
        <v>760000</v>
      </c>
      <c r="H164" s="84">
        <f t="shared" ref="H164:N164" si="48">+H162</f>
        <v>278059.73</v>
      </c>
      <c r="I164" s="84">
        <f t="shared" si="48"/>
        <v>-264758.35800000001</v>
      </c>
      <c r="J164" s="84">
        <f t="shared" si="48"/>
        <v>-0.14000000000000001</v>
      </c>
      <c r="K164" s="84">
        <f t="shared" si="48"/>
        <v>3183.3980000000001</v>
      </c>
      <c r="L164" s="84">
        <f t="shared" si="48"/>
        <v>737509.09999000002</v>
      </c>
      <c r="M164" s="84">
        <f t="shared" si="48"/>
        <v>23271.200089999998</v>
      </c>
      <c r="N164" s="84">
        <f t="shared" si="48"/>
        <v>-15986.98</v>
      </c>
      <c r="O164" s="567"/>
      <c r="P164" s="567"/>
      <c r="Q164" s="87"/>
      <c r="R164" s="87"/>
    </row>
    <row r="165" spans="1:18" ht="14.4">
      <c r="A165" s="87"/>
      <c r="B165" s="87"/>
      <c r="C165" s="87"/>
      <c r="D165" s="87"/>
      <c r="E165" s="87"/>
      <c r="F165" s="87"/>
      <c r="G165" s="87"/>
      <c r="H165" s="87"/>
      <c r="I165" s="104"/>
      <c r="J165" s="87"/>
      <c r="K165" s="87"/>
      <c r="L165" s="82"/>
      <c r="M165" s="87"/>
      <c r="N165" s="87"/>
      <c r="O165" s="87"/>
      <c r="P165" s="87"/>
      <c r="Q165" s="87"/>
      <c r="R165" s="87"/>
    </row>
    <row r="166" spans="1:18" thickBot="1">
      <c r="A166" s="87"/>
      <c r="B166" s="87"/>
      <c r="C166" s="87"/>
      <c r="D166" s="87"/>
      <c r="E166" s="87"/>
      <c r="F166" s="87"/>
      <c r="G166" s="87"/>
      <c r="H166" s="105"/>
      <c r="I166" s="87"/>
      <c r="J166" s="105"/>
      <c r="K166" s="87"/>
      <c r="L166" s="111"/>
      <c r="M166" s="103"/>
      <c r="O166" s="87"/>
    </row>
    <row r="167" spans="1:18" ht="24.6" thickBot="1">
      <c r="A167" s="87"/>
      <c r="B167" s="78" t="s">
        <v>1488</v>
      </c>
      <c r="C167" s="78" t="s">
        <v>631</v>
      </c>
      <c r="D167" s="78" t="s">
        <v>1489</v>
      </c>
      <c r="E167" s="78" t="s">
        <v>1490</v>
      </c>
      <c r="F167" s="78" t="s">
        <v>1491</v>
      </c>
      <c r="G167" s="78" t="s">
        <v>1492</v>
      </c>
      <c r="H167" s="78" t="s">
        <v>1493</v>
      </c>
      <c r="I167" s="78" t="s">
        <v>1494</v>
      </c>
      <c r="J167" s="78" t="s">
        <v>1495</v>
      </c>
      <c r="K167" s="78" t="s">
        <v>1496</v>
      </c>
      <c r="L167" s="78" t="s">
        <v>1497</v>
      </c>
      <c r="M167" s="70" t="s">
        <v>1498</v>
      </c>
      <c r="N167" s="78" t="s">
        <v>1499</v>
      </c>
      <c r="O167" s="87"/>
      <c r="P167" s="143"/>
      <c r="Q167" s="113"/>
      <c r="R167" s="144"/>
    </row>
    <row r="168" spans="1:18" ht="14.4">
      <c r="A168" s="87"/>
      <c r="B168" s="77" t="s">
        <v>1658</v>
      </c>
      <c r="C168" s="75" t="s">
        <v>1505</v>
      </c>
      <c r="D168" s="54" t="s">
        <v>1659</v>
      </c>
      <c r="E168" s="69">
        <v>48074</v>
      </c>
      <c r="F168" s="127">
        <v>6.5000000000000002E-2</v>
      </c>
      <c r="G168" s="54">
        <v>650000000</v>
      </c>
      <c r="H168" s="54">
        <v>337884247</v>
      </c>
      <c r="I168" s="54">
        <v>-332791096</v>
      </c>
      <c r="J168" s="54">
        <v>0</v>
      </c>
      <c r="K168" s="54">
        <v>0</v>
      </c>
      <c r="L168" s="54">
        <f>+G168+H168+I168+J168+K168</f>
        <v>655093151</v>
      </c>
      <c r="M168" s="54">
        <v>0</v>
      </c>
      <c r="N168" s="54">
        <f>+L168</f>
        <v>655093151</v>
      </c>
      <c r="O168" s="87"/>
      <c r="P168" s="114">
        <v>45176</v>
      </c>
      <c r="Q168" s="122">
        <v>0.90500000000000003</v>
      </c>
      <c r="R168" s="633">
        <f>+G168*Q168</f>
        <v>588250000</v>
      </c>
    </row>
    <row r="169" spans="1:18" ht="14.4">
      <c r="A169" s="87"/>
      <c r="B169" s="77" t="s">
        <v>1660</v>
      </c>
      <c r="C169" s="75" t="s">
        <v>1505</v>
      </c>
      <c r="D169" s="54" t="s">
        <v>1661</v>
      </c>
      <c r="E169" s="69" t="s">
        <v>1240</v>
      </c>
      <c r="F169" s="127" t="s">
        <v>1240</v>
      </c>
      <c r="G169" s="54">
        <v>262142322</v>
      </c>
      <c r="H169" s="54">
        <v>0</v>
      </c>
      <c r="I169" s="54">
        <v>0</v>
      </c>
      <c r="J169" s="54">
        <v>0</v>
      </c>
      <c r="K169" s="54">
        <v>740857678</v>
      </c>
      <c r="L169" s="54">
        <f>+G169+H169+I169+J169+K169</f>
        <v>1003000000</v>
      </c>
      <c r="M169" s="54">
        <v>0</v>
      </c>
      <c r="N169" s="54">
        <f>+L169</f>
        <v>1003000000</v>
      </c>
      <c r="O169" s="87"/>
      <c r="P169" s="114">
        <v>44978</v>
      </c>
      <c r="Q169" s="122">
        <v>5.0149999999999997</v>
      </c>
      <c r="R169" s="633">
        <f>+G169*Q169</f>
        <v>1314643744.8299999</v>
      </c>
    </row>
    <row r="170" spans="1:18" thickBot="1">
      <c r="A170" s="87"/>
      <c r="B170" s="87"/>
      <c r="C170" s="85"/>
      <c r="D170" s="86"/>
      <c r="E170" s="76"/>
      <c r="F170" s="72" t="s">
        <v>1509</v>
      </c>
      <c r="G170" s="90">
        <f>+SUM(G168:G169)</f>
        <v>912142322</v>
      </c>
      <c r="H170" s="90">
        <f t="shared" ref="H170:L170" si="49">+SUM(H168:H169)</f>
        <v>337884247</v>
      </c>
      <c r="I170" s="90">
        <f t="shared" si="49"/>
        <v>-332791096</v>
      </c>
      <c r="J170" s="90">
        <f t="shared" si="49"/>
        <v>0</v>
      </c>
      <c r="K170" s="90">
        <f t="shared" si="49"/>
        <v>740857678</v>
      </c>
      <c r="L170" s="90">
        <f t="shared" si="49"/>
        <v>1658093151</v>
      </c>
      <c r="M170" s="71"/>
      <c r="N170" s="90">
        <f>+SUM(N168:N169)</f>
        <v>1658093151</v>
      </c>
      <c r="O170" s="87"/>
      <c r="P170" s="87"/>
      <c r="Q170" s="87"/>
      <c r="R170" s="87"/>
    </row>
    <row r="171" spans="1:18" thickTop="1">
      <c r="A171" s="87"/>
      <c r="B171" s="87"/>
      <c r="C171" s="68"/>
      <c r="D171" s="55"/>
      <c r="E171" s="64"/>
      <c r="F171" s="79"/>
      <c r="G171" s="71"/>
      <c r="H171" s="71"/>
      <c r="I171" s="71"/>
      <c r="J171" s="71"/>
      <c r="K171" s="71"/>
      <c r="L171" s="71"/>
      <c r="M171" s="71"/>
      <c r="N171" s="71"/>
      <c r="O171" s="87"/>
      <c r="P171" s="87"/>
      <c r="Q171" s="87"/>
      <c r="R171" s="87"/>
    </row>
    <row r="172" spans="1:18" ht="14.4">
      <c r="A172" s="87"/>
      <c r="B172" s="87"/>
      <c r="C172" s="68"/>
      <c r="D172" s="55"/>
      <c r="E172" s="64"/>
      <c r="F172" s="79"/>
      <c r="G172" s="71"/>
      <c r="H172" s="71"/>
      <c r="I172" s="71"/>
      <c r="J172" s="71"/>
      <c r="K172" s="71"/>
      <c r="L172" s="71"/>
      <c r="M172" s="71"/>
      <c r="O172" s="87"/>
      <c r="P172" s="87"/>
      <c r="Q172" s="87"/>
      <c r="R172" s="87"/>
    </row>
    <row r="173" spans="1:18" ht="14.4">
      <c r="A173" s="87"/>
      <c r="B173" s="89" t="s">
        <v>1662</v>
      </c>
      <c r="C173" s="74"/>
      <c r="D173" s="74"/>
      <c r="E173" s="74"/>
      <c r="F173" s="74"/>
      <c r="G173" s="66">
        <f>+G170</f>
        <v>912142322</v>
      </c>
      <c r="H173" s="66">
        <f t="shared" ref="H173:L173" si="50">+H170</f>
        <v>337884247</v>
      </c>
      <c r="I173" s="66">
        <f t="shared" si="50"/>
        <v>-332791096</v>
      </c>
      <c r="J173" s="66">
        <f t="shared" si="50"/>
        <v>0</v>
      </c>
      <c r="K173" s="66">
        <f t="shared" si="50"/>
        <v>740857678</v>
      </c>
      <c r="L173" s="66">
        <f t="shared" si="50"/>
        <v>1658093151</v>
      </c>
      <c r="M173" s="66"/>
      <c r="N173" s="66">
        <f>+N170</f>
        <v>1658093151</v>
      </c>
      <c r="O173" s="87"/>
      <c r="P173" s="87"/>
      <c r="Q173" s="87"/>
      <c r="R173" s="87"/>
    </row>
    <row r="174" spans="1:18" ht="15" customHeight="1">
      <c r="A174" s="87"/>
      <c r="B174" s="87"/>
      <c r="C174" s="87"/>
      <c r="D174" s="87"/>
      <c r="E174" s="87"/>
      <c r="F174" s="87"/>
      <c r="G174" s="87"/>
      <c r="H174" s="87"/>
      <c r="I174" s="87"/>
      <c r="J174" s="87"/>
      <c r="K174" s="87"/>
      <c r="L174" s="87"/>
      <c r="M174" s="87"/>
    </row>
    <row r="175" spans="1:18" ht="15" customHeight="1">
      <c r="J175" s="788"/>
    </row>
    <row r="176" spans="1:18" ht="15" customHeight="1">
      <c r="J176" s="788"/>
    </row>
    <row r="177" spans="10:10" ht="15" customHeight="1">
      <c r="J177" s="788"/>
    </row>
    <row r="702" ht="15" hidden="1" customHeight="1"/>
    <row r="711" ht="15" hidden="1" customHeight="1"/>
    <row r="835" spans="2:2" ht="15" customHeight="1">
      <c r="B835" t="s">
        <v>863</v>
      </c>
    </row>
  </sheetData>
  <sheetProtection algorithmName="SHA-512" hashValue="jsSkYyMl69EqOv9SdKGNLDjKlScy/MMa7M/KyHMgqAitf9BzCxPbRwZvc/mAtJSfpdoRQqlXv6ZEWKGaJEBTuw==" saltValue="Gm9zDbVB97P+MpBEwXvXzg==" spinCount="100000" sheet="1" objects="1" scenarios="1"/>
  <mergeCells count="2">
    <mergeCell ref="B5:N5"/>
    <mergeCell ref="B6:N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5:I36"/>
  <sheetViews>
    <sheetView showGridLines="0" zoomScaleNormal="100" zoomScaleSheetLayoutView="100" workbookViewId="0">
      <pane ySplit="12" topLeftCell="A13" activePane="bottomLeft" state="frozen"/>
      <selection activeCell="D365" sqref="D365"/>
      <selection pane="bottomLeft" activeCell="D365" sqref="D365"/>
    </sheetView>
  </sheetViews>
  <sheetFormatPr baseColWidth="10" defaultColWidth="11.5546875" defaultRowHeight="13.8"/>
  <cols>
    <col min="1" max="1" width="3.109375" style="11" customWidth="1"/>
    <col min="2" max="2" width="9.5546875" style="11" customWidth="1"/>
    <col min="3" max="7" width="11.5546875" style="11"/>
    <col min="8" max="8" width="15" style="11" customWidth="1"/>
    <col min="9" max="16384" width="11.5546875" style="11"/>
  </cols>
  <sheetData>
    <row r="5" spans="2:9" ht="15" customHeight="1">
      <c r="B5" s="1475" t="s">
        <v>613</v>
      </c>
      <c r="C5" s="1475"/>
      <c r="D5" s="1475"/>
      <c r="E5" s="1475"/>
      <c r="F5" s="1475"/>
      <c r="G5" s="1475"/>
      <c r="H5" s="1475"/>
      <c r="I5" s="1475"/>
    </row>
    <row r="6" spans="2:9" ht="15" customHeight="1">
      <c r="B6" s="1475"/>
      <c r="C6" s="1475"/>
      <c r="D6" s="1475"/>
      <c r="E6" s="1475"/>
      <c r="F6" s="1475"/>
      <c r="G6" s="1475"/>
      <c r="H6" s="1475"/>
      <c r="I6" s="1475"/>
    </row>
    <row r="7" spans="2:9" ht="15" customHeight="1">
      <c r="B7" s="1475"/>
      <c r="C7" s="1475"/>
      <c r="D7" s="1475"/>
      <c r="E7" s="1475"/>
      <c r="F7" s="1475"/>
      <c r="G7" s="1475"/>
      <c r="H7" s="1475"/>
      <c r="I7" s="1475"/>
    </row>
    <row r="8" spans="2:9" ht="15" customHeight="1">
      <c r="B8" s="1476"/>
      <c r="C8" s="1476"/>
      <c r="D8" s="1476"/>
      <c r="E8" s="1476"/>
      <c r="F8" s="1476"/>
      <c r="G8" s="1476"/>
      <c r="H8" s="1476"/>
      <c r="I8" s="1476"/>
    </row>
    <row r="9" spans="2:9" ht="7.5" customHeight="1">
      <c r="C9" s="9"/>
    </row>
    <row r="10" spans="2:9" ht="17.399999999999999">
      <c r="B10" s="1474" t="s">
        <v>614</v>
      </c>
      <c r="C10" s="1474"/>
      <c r="D10" s="1474"/>
      <c r="E10" s="1474"/>
      <c r="F10" s="1474"/>
      <c r="G10" s="1474"/>
      <c r="H10" s="1474"/>
      <c r="I10" s="1474"/>
    </row>
    <row r="11" spans="2:9" ht="17.399999999999999">
      <c r="B11" s="1474" t="s">
        <v>2796</v>
      </c>
      <c r="C11" s="1474"/>
      <c r="D11" s="1474"/>
      <c r="E11" s="1474"/>
      <c r="F11" s="1474"/>
      <c r="G11" s="1474"/>
      <c r="H11" s="1474"/>
      <c r="I11" s="1474"/>
    </row>
    <row r="12" spans="2:9" ht="7.5" customHeight="1" thickBot="1">
      <c r="C12" s="9"/>
    </row>
    <row r="13" spans="2:9">
      <c r="B13" s="42"/>
      <c r="C13" s="42"/>
      <c r="D13" s="42"/>
      <c r="E13" s="42"/>
      <c r="F13" s="42"/>
      <c r="G13" s="42"/>
      <c r="H13" s="42"/>
      <c r="I13" s="42"/>
    </row>
    <row r="14" spans="2:9">
      <c r="I14" s="41" t="s">
        <v>615</v>
      </c>
    </row>
    <row r="15" spans="2:9" ht="9" customHeight="1">
      <c r="I15" s="41"/>
    </row>
    <row r="16" spans="2:9" ht="13.35" customHeight="1">
      <c r="B16" s="11" t="s">
        <v>616</v>
      </c>
      <c r="I16" s="47">
        <v>1</v>
      </c>
    </row>
    <row r="17" spans="2:9" ht="7.5" customHeight="1">
      <c r="I17" s="40"/>
    </row>
    <row r="18" spans="2:9">
      <c r="B18" s="11" t="s">
        <v>617</v>
      </c>
      <c r="I18" s="47">
        <v>2</v>
      </c>
    </row>
    <row r="19" spans="2:9" ht="7.5" customHeight="1">
      <c r="I19" s="40"/>
    </row>
    <row r="20" spans="2:9">
      <c r="B20" s="11" t="s">
        <v>618</v>
      </c>
      <c r="I20" s="47">
        <v>3</v>
      </c>
    </row>
    <row r="21" spans="2:9" ht="7.5" customHeight="1">
      <c r="I21" s="40"/>
    </row>
    <row r="22" spans="2:9">
      <c r="B22" s="11" t="s">
        <v>619</v>
      </c>
      <c r="I22" s="47">
        <v>4</v>
      </c>
    </row>
    <row r="23" spans="2:9" ht="7.5" customHeight="1">
      <c r="I23" s="40"/>
    </row>
    <row r="24" spans="2:9">
      <c r="B24" s="11" t="s">
        <v>620</v>
      </c>
      <c r="I24" s="47">
        <v>5</v>
      </c>
    </row>
    <row r="25" spans="2:9" ht="7.5" customHeight="1">
      <c r="I25" s="40"/>
    </row>
    <row r="26" spans="2:9">
      <c r="B26" s="11" t="s">
        <v>621</v>
      </c>
      <c r="I26" s="47">
        <v>6</v>
      </c>
    </row>
    <row r="27" spans="2:9" ht="7.5" customHeight="1">
      <c r="I27" s="47"/>
    </row>
    <row r="28" spans="2:9">
      <c r="B28" s="11" t="s">
        <v>622</v>
      </c>
      <c r="I28" s="47">
        <v>7</v>
      </c>
    </row>
    <row r="29" spans="2:9" ht="7.5" customHeight="1">
      <c r="I29" s="47"/>
    </row>
    <row r="30" spans="2:9">
      <c r="B30" s="11" t="s">
        <v>623</v>
      </c>
      <c r="I30" s="47">
        <v>8</v>
      </c>
    </row>
    <row r="31" spans="2:9" ht="7.5" customHeight="1">
      <c r="I31" s="47"/>
    </row>
    <row r="32" spans="2:9" ht="14.4">
      <c r="B32" s="11" t="s">
        <v>624</v>
      </c>
      <c r="I32" s="678">
        <v>9</v>
      </c>
    </row>
    <row r="33" spans="2:9" ht="7.5" customHeight="1">
      <c r="I33" s="47"/>
    </row>
    <row r="34" spans="2:9" ht="14.4">
      <c r="B34" s="11" t="s">
        <v>625</v>
      </c>
      <c r="I34" s="678">
        <v>10</v>
      </c>
    </row>
    <row r="35" spans="2:9">
      <c r="I35" s="40"/>
    </row>
    <row r="36" spans="2:9" ht="14.4" thickBot="1">
      <c r="B36" s="43"/>
      <c r="C36" s="43"/>
      <c r="D36" s="43"/>
      <c r="E36" s="43"/>
      <c r="F36" s="43"/>
      <c r="G36" s="43"/>
      <c r="H36" s="43"/>
      <c r="I36" s="44"/>
    </row>
  </sheetData>
  <customSheetViews>
    <customSheetView guid="{7F8679DA-D059-4901-ACAC-85DFCE49504A}" showGridLines="0">
      <pageMargins left="0" right="0" top="0" bottom="0" header="0" footer="0"/>
      <pageSetup paperSize="9" scale="84" orientation="portrait" verticalDpi="0" r:id="rId1"/>
    </customSheetView>
    <customSheetView guid="{599159CD-1620-491F-A2F6-FFBFC633DFF1}" showGridLines="0">
      <pageMargins left="0" right="0" top="0" bottom="0" header="0" footer="0"/>
      <pageSetup paperSize="9" scale="84" orientation="portrait" verticalDpi="0" r:id="rId2"/>
    </customSheetView>
  </customSheetViews>
  <mergeCells count="3">
    <mergeCell ref="B10:I10"/>
    <mergeCell ref="B11:I11"/>
    <mergeCell ref="B5:I8"/>
  </mergeCells>
  <hyperlinks>
    <hyperlink ref="I16" location="'Información general'!A1" display="'Información general'!A1" xr:uid="{00000000-0004-0000-0000-000000000000}"/>
    <hyperlink ref="I18" location="'Balance General'!A1" display="'Balance General'!A1" xr:uid="{00000000-0004-0000-0000-000001000000}"/>
    <hyperlink ref="I20" location="'Estado de Resultados'!A1" display="'Estado de Resultados'!A1" xr:uid="{00000000-0004-0000-0000-000002000000}"/>
    <hyperlink ref="I22" location="'Flujo de Efectivo'!A1" display="'Flujo de Efectivo'!A1" xr:uid="{00000000-0004-0000-0000-000003000000}"/>
    <hyperlink ref="I24" location="'Variación Patrimonio Neto'!A1" display="'Variación Patrimonio Neto'!A1" xr:uid="{00000000-0004-0000-0000-000004000000}"/>
    <hyperlink ref="I34" location="'Nota 6 a Nota 11'!A1" display="'Nota 6 a Nota 11'!A1" xr:uid="{00000000-0004-0000-0000-000005000000}"/>
    <hyperlink ref="I26" location="'Notas 1 a Nota 4'!A1" display="'Notas 1 a Nota 4'!A1" xr:uid="{00000000-0004-0000-0000-000006000000}"/>
    <hyperlink ref="I28" location="'Nota 5 - Inc. 5.a a 5.d'!A1" display="'Nota 5 - Inc. 5.a a 5.d'!A1" xr:uid="{00000000-0004-0000-0000-000007000000}"/>
    <hyperlink ref="I30" location="'Nota 5 - Inc. 5.e'!A1" display="'Nota 5 - Inc. 5.e'!A1" xr:uid="{00000000-0004-0000-0000-000008000000}"/>
    <hyperlink ref="I32" location="'Nota 5 - Inc. 5.f a 5.t'!A1" display="'Nota 5 - Inc. 5.f a 5.t'!A1" xr:uid="{00000000-0004-0000-0000-000009000000}"/>
  </hyperlinks>
  <pageMargins left="0.7" right="0.7" top="0.75" bottom="0.75" header="0.3" footer="0.3"/>
  <pageSetup paperSize="9" scale="84" orientation="portrait" r:id="rId3"/>
  <headerFooter>
    <oddHeader xml:space="preserve">&amp;C
</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M163"/>
  <sheetViews>
    <sheetView showGridLines="0" zoomScale="80" zoomScaleNormal="80" workbookViewId="0">
      <pane ySplit="6" topLeftCell="A128" activePane="bottomLeft" state="frozen"/>
      <selection activeCell="L108" sqref="L108"/>
      <selection pane="bottomLeft" activeCell="L108" sqref="L108"/>
    </sheetView>
  </sheetViews>
  <sheetFormatPr baseColWidth="10" defaultColWidth="8.5546875" defaultRowHeight="15.6"/>
  <cols>
    <col min="1" max="1" width="2.44140625" style="1" customWidth="1"/>
    <col min="2" max="2" width="5.44140625" style="292" customWidth="1"/>
    <col min="3" max="3" width="38.109375" style="180" customWidth="1"/>
    <col min="4" max="4" width="8.88671875" style="180" customWidth="1"/>
    <col min="5" max="5" width="16.5546875" style="180" customWidth="1"/>
    <col min="6" max="6" width="13.88671875" style="180" customWidth="1"/>
    <col min="7" max="7" width="12.109375" style="180" customWidth="1"/>
    <col min="8" max="8" width="14.44140625" style="180" customWidth="1"/>
    <col min="9" max="9" width="17.6640625" style="180" bestFit="1" customWidth="1"/>
    <col min="10" max="10" width="31.109375" style="180" customWidth="1"/>
    <col min="11" max="11" width="3.5546875" style="180" customWidth="1"/>
    <col min="12" max="12" width="2.44140625" style="180" customWidth="1"/>
    <col min="13" max="13" width="8.5546875" style="217"/>
    <col min="14" max="16384" width="8.5546875" style="180"/>
  </cols>
  <sheetData>
    <row r="1" spans="2:11">
      <c r="C1" s="1477"/>
      <c r="D1" s="1477"/>
      <c r="E1" s="1477"/>
      <c r="F1" s="1477"/>
      <c r="G1" s="1477"/>
      <c r="H1" s="1477"/>
      <c r="I1" s="1477"/>
      <c r="J1" s="1477"/>
      <c r="K1" s="1477"/>
    </row>
    <row r="2" spans="2:11">
      <c r="C2" s="50"/>
      <c r="D2" s="50"/>
      <c r="E2" s="50"/>
      <c r="F2" s="50"/>
      <c r="G2" s="50"/>
      <c r="H2" s="50"/>
      <c r="I2" s="50"/>
      <c r="J2" s="50"/>
      <c r="K2" s="50"/>
    </row>
    <row r="3" spans="2:11" ht="36" customHeight="1">
      <c r="C3" s="50"/>
      <c r="D3" s="50"/>
      <c r="E3" s="50"/>
      <c r="F3" s="50"/>
      <c r="G3" s="50"/>
      <c r="H3" s="50"/>
      <c r="I3" s="50"/>
      <c r="J3" s="50"/>
      <c r="K3" s="50"/>
    </row>
    <row r="4" spans="2:11">
      <c r="C4" s="1478" t="s">
        <v>1170</v>
      </c>
      <c r="D4" s="1478"/>
      <c r="E4" s="1478"/>
      <c r="F4" s="1478"/>
      <c r="G4" s="1478"/>
      <c r="H4" s="1478"/>
      <c r="I4" s="1478"/>
      <c r="J4" s="1478"/>
      <c r="K4" s="1478"/>
    </row>
    <row r="5" spans="2:11">
      <c r="C5" s="1479" t="s">
        <v>2797</v>
      </c>
      <c r="D5" s="1479"/>
      <c r="E5" s="1479"/>
      <c r="F5" s="1479"/>
      <c r="G5" s="1479"/>
      <c r="H5" s="1479"/>
      <c r="I5" s="1479"/>
      <c r="J5" s="1479"/>
      <c r="K5" s="1479"/>
    </row>
    <row r="6" spans="2:11" s="1" customFormat="1" ht="7.5" customHeight="1">
      <c r="B6" s="290"/>
      <c r="C6" s="290"/>
      <c r="D6" s="290"/>
      <c r="E6" s="290"/>
      <c r="F6" s="290"/>
      <c r="G6" s="290"/>
      <c r="H6" s="152"/>
      <c r="I6" s="152"/>
    </row>
    <row r="7" spans="2:11">
      <c r="C7" s="245"/>
      <c r="D7" s="1"/>
      <c r="E7" s="1"/>
      <c r="F7" s="1"/>
      <c r="G7" s="1"/>
      <c r="H7" s="1"/>
      <c r="I7" s="1"/>
      <c r="J7" s="1"/>
    </row>
    <row r="139" spans="2:3">
      <c r="C139" s="9"/>
    </row>
    <row r="140" spans="2:3">
      <c r="C140" s="9"/>
    </row>
    <row r="141" spans="2:3">
      <c r="C141" s="9"/>
    </row>
    <row r="142" spans="2:3">
      <c r="B142" s="180"/>
      <c r="C142" s="1" t="s">
        <v>1291</v>
      </c>
    </row>
    <row r="143" spans="2:3">
      <c r="C143" s="9"/>
    </row>
    <row r="144" spans="2:3">
      <c r="C144" s="9"/>
    </row>
    <row r="145" spans="3:13">
      <c r="C145" s="9"/>
    </row>
    <row r="146" spans="3:13">
      <c r="C146" s="9"/>
    </row>
    <row r="147" spans="3:13">
      <c r="C147" s="9"/>
    </row>
    <row r="148" spans="3:13">
      <c r="C148" s="9"/>
    </row>
    <row r="149" spans="3:13">
      <c r="C149" s="49" t="s">
        <v>2819</v>
      </c>
      <c r="E149" s="49"/>
      <c r="G149" s="49"/>
      <c r="I149" s="49" t="s">
        <v>1292</v>
      </c>
    </row>
    <row r="150" spans="3:13">
      <c r="C150" s="50" t="s">
        <v>1201</v>
      </c>
      <c r="E150" s="50"/>
      <c r="G150" s="50"/>
      <c r="I150" s="50" t="s">
        <v>1293</v>
      </c>
    </row>
    <row r="159" spans="3:13">
      <c r="C159" s="858"/>
      <c r="D159" s="858"/>
      <c r="E159" s="858"/>
      <c r="F159" s="858"/>
      <c r="G159" s="858"/>
      <c r="H159" s="858"/>
      <c r="I159" s="858"/>
      <c r="J159" s="858"/>
      <c r="K159" s="858"/>
      <c r="L159" s="858"/>
      <c r="M159" s="858"/>
    </row>
    <row r="160" spans="3:13">
      <c r="C160" s="8"/>
      <c r="D160" s="8"/>
      <c r="E160" s="985"/>
      <c r="F160" s="8"/>
      <c r="G160" s="985"/>
      <c r="H160" s="858"/>
      <c r="I160" s="985" t="s">
        <v>1272</v>
      </c>
      <c r="J160" s="858"/>
      <c r="K160" s="858"/>
      <c r="L160" s="858"/>
      <c r="M160" s="858"/>
    </row>
    <row r="161" spans="3:13">
      <c r="C161" s="985" t="s">
        <v>1294</v>
      </c>
      <c r="D161" s="8"/>
      <c r="E161" s="985"/>
      <c r="F161" s="8"/>
      <c r="G161" s="986"/>
      <c r="H161" s="858"/>
      <c r="I161" s="986" t="s">
        <v>1273</v>
      </c>
      <c r="J161" s="858"/>
      <c r="K161" s="858"/>
      <c r="L161" s="858"/>
      <c r="M161" s="858"/>
    </row>
    <row r="162" spans="3:13">
      <c r="C162" s="986" t="s">
        <v>1295</v>
      </c>
      <c r="D162" s="8"/>
      <c r="E162" s="985"/>
      <c r="F162" s="8"/>
      <c r="G162" s="8"/>
      <c r="H162" s="858"/>
      <c r="I162" s="858"/>
      <c r="J162" s="858"/>
      <c r="K162" s="858"/>
      <c r="L162" s="858"/>
      <c r="M162" s="858"/>
    </row>
    <row r="163" spans="3:13">
      <c r="C163" s="858"/>
      <c r="D163" s="858"/>
      <c r="E163" s="858"/>
      <c r="F163" s="858"/>
      <c r="G163" s="858"/>
      <c r="H163" s="858"/>
      <c r="I163" s="858"/>
      <c r="J163" s="858"/>
      <c r="K163" s="858"/>
      <c r="L163" s="858"/>
      <c r="M163" s="858"/>
    </row>
  </sheetData>
  <customSheetViews>
    <customSheetView guid="{7F8679DA-D059-4901-ACAC-85DFCE49504A}" scale="90" showGridLines="0" topLeftCell="A72">
      <selection activeCell="F94" sqref="F94"/>
      <pageMargins left="0" right="0" top="0" bottom="0" header="0" footer="0"/>
      <pageSetup orientation="portrait" r:id="rId1"/>
      <headerFooter alignWithMargins="0"/>
    </customSheetView>
    <customSheetView guid="{599159CD-1620-491F-A2F6-FFBFC633DFF1}" scale="90" showGridLines="0" topLeftCell="A72">
      <selection activeCell="F94" sqref="F94"/>
      <pageMargins left="0" right="0" top="0" bottom="0" header="0" footer="0"/>
      <pageSetup orientation="portrait" r:id="rId2"/>
      <headerFooter alignWithMargins="0"/>
    </customSheetView>
  </customSheetViews>
  <mergeCells count="3">
    <mergeCell ref="C1:K1"/>
    <mergeCell ref="C4:K4"/>
    <mergeCell ref="C5:K5"/>
  </mergeCells>
  <pageMargins left="0.75" right="0.75" top="1" bottom="1" header="0.5" footer="0.5"/>
  <pageSetup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B1948-7687-48AF-B876-5907A23DF5EA}">
  <sheetPr codeName="Hoja17">
    <tabColor rgb="FFFFCCFF"/>
  </sheetPr>
  <dimension ref="A2:L214"/>
  <sheetViews>
    <sheetView topLeftCell="A101" workbookViewId="0">
      <selection activeCell="L108" sqref="L108"/>
    </sheetView>
  </sheetViews>
  <sheetFormatPr baseColWidth="10" defaultColWidth="11.44140625" defaultRowHeight="14.4"/>
  <cols>
    <col min="2" max="2" width="34" customWidth="1"/>
    <col min="6" max="6" width="24.33203125" customWidth="1"/>
    <col min="11" max="11" width="13.88671875" customWidth="1"/>
  </cols>
  <sheetData>
    <row r="2" spans="1:8" ht="16.95" customHeight="1">
      <c r="A2" s="345">
        <v>5110311201</v>
      </c>
      <c r="B2" s="345" t="s">
        <v>57</v>
      </c>
      <c r="C2" s="347">
        <v>86</v>
      </c>
    </row>
    <row r="3" spans="1:8" ht="16.95" customHeight="1">
      <c r="A3" s="345">
        <v>5110311308</v>
      </c>
      <c r="B3" s="345" t="s">
        <v>64</v>
      </c>
      <c r="C3" s="347">
        <v>115120</v>
      </c>
      <c r="E3" s="820">
        <v>5110311308</v>
      </c>
      <c r="F3" s="87" t="s">
        <v>64</v>
      </c>
      <c r="G3" s="822">
        <v>115120</v>
      </c>
      <c r="H3" s="823">
        <f>+G3-C3</f>
        <v>0</v>
      </c>
    </row>
    <row r="4" spans="1:8" ht="16.95" customHeight="1">
      <c r="A4" s="345">
        <v>5131011105</v>
      </c>
      <c r="B4" s="345" t="s">
        <v>480</v>
      </c>
      <c r="C4" s="347">
        <v>200000</v>
      </c>
      <c r="E4" s="793">
        <v>5131011105</v>
      </c>
      <c r="F4" s="77" t="s">
        <v>480</v>
      </c>
      <c r="G4" s="28">
        <v>200000</v>
      </c>
      <c r="H4" s="823">
        <f t="shared" ref="H4:H67" si="0">+G4-C4</f>
        <v>0</v>
      </c>
    </row>
    <row r="5" spans="1:8" ht="16.95" customHeight="1">
      <c r="A5" s="345">
        <v>5150111203</v>
      </c>
      <c r="B5" s="345" t="s">
        <v>511</v>
      </c>
      <c r="C5" s="347">
        <v>223118</v>
      </c>
      <c r="E5" s="793">
        <v>5150111203</v>
      </c>
      <c r="F5" s="77" t="s">
        <v>1107</v>
      </c>
      <c r="G5" s="28">
        <v>223118</v>
      </c>
      <c r="H5" s="823">
        <f t="shared" si="0"/>
        <v>0</v>
      </c>
    </row>
    <row r="6" spans="1:8" ht="16.95" customHeight="1">
      <c r="A6" s="345">
        <v>5131011123</v>
      </c>
      <c r="B6" s="345" t="s">
        <v>170</v>
      </c>
      <c r="C6" s="347">
        <v>445458</v>
      </c>
      <c r="E6" s="793">
        <v>5131011123</v>
      </c>
      <c r="F6" s="77" t="s">
        <v>170</v>
      </c>
      <c r="G6" s="28">
        <v>445458</v>
      </c>
      <c r="H6" s="823">
        <f t="shared" si="0"/>
        <v>0</v>
      </c>
    </row>
    <row r="7" spans="1:8" ht="16.95" customHeight="1">
      <c r="A7" s="345">
        <v>5110311101</v>
      </c>
      <c r="B7" s="345" t="s">
        <v>267</v>
      </c>
      <c r="C7" s="347">
        <v>500991</v>
      </c>
      <c r="E7" s="793">
        <v>5110311101</v>
      </c>
      <c r="F7" s="77" t="s">
        <v>339</v>
      </c>
      <c r="G7" s="28">
        <v>500991</v>
      </c>
      <c r="H7" s="823">
        <f t="shared" si="0"/>
        <v>0</v>
      </c>
    </row>
    <row r="8" spans="1:8" ht="16.95" customHeight="1">
      <c r="A8" s="345">
        <v>5150411103</v>
      </c>
      <c r="B8" s="345" t="s">
        <v>515</v>
      </c>
      <c r="C8" s="347">
        <v>522230</v>
      </c>
      <c r="E8" s="793">
        <v>5150411103</v>
      </c>
      <c r="F8" s="77" t="s">
        <v>515</v>
      </c>
      <c r="G8" s="28">
        <v>522230</v>
      </c>
      <c r="H8" s="823">
        <f t="shared" si="0"/>
        <v>0</v>
      </c>
    </row>
    <row r="9" spans="1:8" ht="16.95" customHeight="1">
      <c r="A9" s="345">
        <v>5131011121</v>
      </c>
      <c r="B9" s="345" t="s">
        <v>1373</v>
      </c>
      <c r="C9" s="347">
        <v>637920</v>
      </c>
      <c r="E9" s="793">
        <v>5131011121</v>
      </c>
      <c r="F9" s="77" t="s">
        <v>1097</v>
      </c>
      <c r="G9" s="28">
        <v>637920</v>
      </c>
      <c r="H9" s="823">
        <f t="shared" si="0"/>
        <v>0</v>
      </c>
    </row>
    <row r="10" spans="1:8" ht="16.95" customHeight="1">
      <c r="A10" s="345">
        <v>5130111108</v>
      </c>
      <c r="B10" s="345" t="s">
        <v>1056</v>
      </c>
      <c r="C10" s="347">
        <v>944296</v>
      </c>
      <c r="E10" s="793">
        <v>5130111108</v>
      </c>
      <c r="F10" s="77" t="s">
        <v>1056</v>
      </c>
      <c r="G10" s="28">
        <v>944296</v>
      </c>
      <c r="H10" s="823">
        <f t="shared" si="0"/>
        <v>0</v>
      </c>
    </row>
    <row r="11" spans="1:8" ht="16.95" customHeight="1">
      <c r="A11" s="345">
        <v>5131011107</v>
      </c>
      <c r="B11" s="345" t="s">
        <v>482</v>
      </c>
      <c r="C11" s="347">
        <v>1404052</v>
      </c>
      <c r="E11" s="793">
        <v>5131011107</v>
      </c>
      <c r="F11" s="77" t="s">
        <v>482</v>
      </c>
      <c r="G11" s="28">
        <v>1404052</v>
      </c>
      <c r="H11" s="823">
        <f t="shared" si="0"/>
        <v>0</v>
      </c>
    </row>
    <row r="12" spans="1:8" ht="16.95" customHeight="1">
      <c r="A12" s="345">
        <v>5131011112</v>
      </c>
      <c r="B12" s="345" t="s">
        <v>485</v>
      </c>
      <c r="C12" s="347">
        <v>1442455</v>
      </c>
      <c r="E12" s="793">
        <v>5131011112</v>
      </c>
      <c r="F12" s="77" t="s">
        <v>485</v>
      </c>
      <c r="G12" s="28">
        <v>1442455</v>
      </c>
      <c r="H12" s="823">
        <f t="shared" si="0"/>
        <v>0</v>
      </c>
    </row>
    <row r="13" spans="1:8" ht="16.95" customHeight="1">
      <c r="A13" s="345">
        <v>5110311304</v>
      </c>
      <c r="B13" s="345" t="s">
        <v>258</v>
      </c>
      <c r="C13" s="347">
        <v>1454750</v>
      </c>
      <c r="E13" s="793">
        <v>5110311304</v>
      </c>
      <c r="F13" s="77" t="s">
        <v>258</v>
      </c>
      <c r="G13" s="28">
        <v>1454750</v>
      </c>
      <c r="H13" s="823">
        <f t="shared" si="0"/>
        <v>0</v>
      </c>
    </row>
    <row r="14" spans="1:8" ht="16.95" customHeight="1">
      <c r="A14" s="345">
        <v>5140111203</v>
      </c>
      <c r="B14" s="345" t="s">
        <v>499</v>
      </c>
      <c r="C14" s="347">
        <v>1661239</v>
      </c>
      <c r="E14" s="793">
        <v>5140111203</v>
      </c>
      <c r="F14" s="77" t="s">
        <v>1104</v>
      </c>
      <c r="G14" s="28">
        <v>1661239</v>
      </c>
      <c r="H14" s="823">
        <f t="shared" si="0"/>
        <v>0</v>
      </c>
    </row>
    <row r="15" spans="1:8" ht="16.95" customHeight="1">
      <c r="A15" s="345">
        <v>5210111101</v>
      </c>
      <c r="B15" s="345" t="s">
        <v>517</v>
      </c>
      <c r="C15" s="347">
        <v>2419442</v>
      </c>
      <c r="E15" s="793">
        <v>5210111101</v>
      </c>
      <c r="F15" s="77" t="s">
        <v>517</v>
      </c>
      <c r="G15" s="28">
        <v>2419442</v>
      </c>
      <c r="H15" s="823">
        <f t="shared" si="0"/>
        <v>0</v>
      </c>
    </row>
    <row r="16" spans="1:8" ht="16.95" customHeight="1">
      <c r="A16" s="345">
        <v>5110411101</v>
      </c>
      <c r="B16" s="345" t="s">
        <v>423</v>
      </c>
      <c r="C16" s="347">
        <v>2641530</v>
      </c>
      <c r="E16" s="793">
        <v>5110411101</v>
      </c>
      <c r="F16" s="77" t="s">
        <v>423</v>
      </c>
      <c r="G16" s="28">
        <v>2641530</v>
      </c>
      <c r="H16" s="823">
        <f t="shared" si="0"/>
        <v>0</v>
      </c>
    </row>
    <row r="17" spans="1:8" ht="16.95" customHeight="1">
      <c r="A17" s="345">
        <v>5131011110</v>
      </c>
      <c r="B17" s="345" t="s">
        <v>484</v>
      </c>
      <c r="C17" s="347">
        <v>2910594</v>
      </c>
      <c r="E17" s="793">
        <v>5131011110</v>
      </c>
      <c r="F17" s="77" t="s">
        <v>484</v>
      </c>
      <c r="G17" s="28">
        <v>2910594</v>
      </c>
      <c r="H17" s="823">
        <f t="shared" si="0"/>
        <v>0</v>
      </c>
    </row>
    <row r="18" spans="1:8" ht="16.95" customHeight="1">
      <c r="A18" s="345">
        <v>5140111202</v>
      </c>
      <c r="B18" s="345" t="s">
        <v>498</v>
      </c>
      <c r="C18" s="347">
        <v>3159901</v>
      </c>
      <c r="E18" s="793">
        <v>5140111202</v>
      </c>
      <c r="F18" s="77" t="s">
        <v>1103</v>
      </c>
      <c r="G18" s="28">
        <v>3159901</v>
      </c>
      <c r="H18" s="823">
        <f t="shared" si="0"/>
        <v>0</v>
      </c>
    </row>
    <row r="19" spans="1:8" ht="16.95" customHeight="1">
      <c r="A19" s="345">
        <v>5130411104</v>
      </c>
      <c r="B19" s="345" t="s">
        <v>455</v>
      </c>
      <c r="C19" s="347">
        <v>3380000</v>
      </c>
      <c r="E19" s="793">
        <v>5130411104</v>
      </c>
      <c r="F19" s="77" t="s">
        <v>455</v>
      </c>
      <c r="G19" s="28">
        <v>3380000</v>
      </c>
      <c r="H19" s="823">
        <f t="shared" si="0"/>
        <v>0</v>
      </c>
    </row>
    <row r="20" spans="1:8" ht="16.95" customHeight="1">
      <c r="A20" s="345">
        <v>5130911105</v>
      </c>
      <c r="B20" s="345" t="s">
        <v>475</v>
      </c>
      <c r="C20" s="347">
        <v>3641710</v>
      </c>
      <c r="E20" s="793">
        <v>5130911105</v>
      </c>
      <c r="F20" s="77" t="s">
        <v>475</v>
      </c>
      <c r="G20" s="28">
        <v>3641710</v>
      </c>
      <c r="H20" s="823">
        <f t="shared" si="0"/>
        <v>0</v>
      </c>
    </row>
    <row r="21" spans="1:8" ht="16.95" customHeight="1">
      <c r="A21" s="345">
        <v>5140111204</v>
      </c>
      <c r="B21" s="345" t="s">
        <v>500</v>
      </c>
      <c r="C21" s="347">
        <v>4540584</v>
      </c>
      <c r="E21" s="793">
        <v>5140111204</v>
      </c>
      <c r="F21" s="77" t="s">
        <v>500</v>
      </c>
      <c r="G21" s="28">
        <v>4540584</v>
      </c>
      <c r="H21" s="823">
        <f t="shared" si="0"/>
        <v>0</v>
      </c>
    </row>
    <row r="22" spans="1:8" ht="16.95" customHeight="1">
      <c r="A22" s="345">
        <v>5150111202</v>
      </c>
      <c r="B22" s="345" t="s">
        <v>1106</v>
      </c>
      <c r="C22" s="347">
        <v>4915057</v>
      </c>
      <c r="E22" s="793">
        <v>5150111202</v>
      </c>
      <c r="F22" s="77" t="s">
        <v>1106</v>
      </c>
      <c r="G22" s="28">
        <v>4915057</v>
      </c>
      <c r="H22" s="823">
        <f t="shared" si="0"/>
        <v>0</v>
      </c>
    </row>
    <row r="23" spans="1:8" ht="16.95" customHeight="1">
      <c r="A23" s="345">
        <v>5130911104</v>
      </c>
      <c r="B23" s="345" t="s">
        <v>611</v>
      </c>
      <c r="C23" s="347">
        <v>5096234</v>
      </c>
      <c r="E23" s="793">
        <v>5130911104</v>
      </c>
      <c r="F23" s="77" t="s">
        <v>611</v>
      </c>
      <c r="G23" s="28">
        <v>5096234</v>
      </c>
      <c r="H23" s="823">
        <f t="shared" si="0"/>
        <v>0</v>
      </c>
    </row>
    <row r="24" spans="1:8" ht="16.95" customHeight="1">
      <c r="A24" s="345">
        <v>5110311229</v>
      </c>
      <c r="B24" s="345" t="s">
        <v>414</v>
      </c>
      <c r="C24" s="347">
        <v>5212427</v>
      </c>
      <c r="E24" s="793">
        <v>5110311229</v>
      </c>
      <c r="F24" s="77" t="s">
        <v>525</v>
      </c>
      <c r="G24" s="28">
        <v>5212427</v>
      </c>
      <c r="H24" s="823">
        <f t="shared" si="0"/>
        <v>0</v>
      </c>
    </row>
    <row r="25" spans="1:8" ht="16.95" customHeight="1">
      <c r="A25" s="345">
        <v>5131011114</v>
      </c>
      <c r="B25" s="345" t="s">
        <v>487</v>
      </c>
      <c r="C25" s="347">
        <v>5340251</v>
      </c>
      <c r="E25" s="793">
        <v>5131011114</v>
      </c>
      <c r="F25" s="77" t="s">
        <v>487</v>
      </c>
      <c r="G25" s="28">
        <v>5340251</v>
      </c>
      <c r="H25" s="823">
        <f t="shared" si="0"/>
        <v>0</v>
      </c>
    </row>
    <row r="26" spans="1:8" ht="16.95" customHeight="1">
      <c r="A26" s="345">
        <v>5130911102</v>
      </c>
      <c r="B26" s="345" t="s">
        <v>474</v>
      </c>
      <c r="C26" s="347">
        <v>5347200</v>
      </c>
      <c r="E26" s="793">
        <v>5130911102</v>
      </c>
      <c r="F26" s="77" t="s">
        <v>474</v>
      </c>
      <c r="G26" s="28">
        <v>5347200</v>
      </c>
      <c r="H26" s="823">
        <f t="shared" si="0"/>
        <v>0</v>
      </c>
    </row>
    <row r="27" spans="1:8" ht="16.95" customHeight="1">
      <c r="A27" s="345">
        <v>5150111101</v>
      </c>
      <c r="B27" s="345" t="s">
        <v>506</v>
      </c>
      <c r="C27" s="347">
        <v>5451720</v>
      </c>
      <c r="E27" s="793">
        <v>5150111101</v>
      </c>
      <c r="F27" s="77" t="s">
        <v>506</v>
      </c>
      <c r="G27" s="28">
        <v>5451720</v>
      </c>
      <c r="H27" s="823">
        <f t="shared" si="0"/>
        <v>0</v>
      </c>
    </row>
    <row r="28" spans="1:8" ht="16.95" customHeight="1">
      <c r="A28" s="345">
        <v>5110311501</v>
      </c>
      <c r="B28" s="345" t="s">
        <v>1040</v>
      </c>
      <c r="C28" s="347">
        <v>6054796</v>
      </c>
      <c r="E28" s="793">
        <v>5110311501</v>
      </c>
      <c r="F28" s="77" t="s">
        <v>1040</v>
      </c>
      <c r="G28" s="28">
        <v>6054796</v>
      </c>
      <c r="H28" s="823">
        <f t="shared" si="0"/>
        <v>0</v>
      </c>
    </row>
    <row r="29" spans="1:8" ht="16.95" customHeight="1">
      <c r="A29" s="345">
        <v>5150411101</v>
      </c>
      <c r="B29" s="345" t="s">
        <v>1110</v>
      </c>
      <c r="C29" s="347">
        <v>6370519</v>
      </c>
      <c r="E29" s="793">
        <v>5150411101</v>
      </c>
      <c r="F29" s="77" t="s">
        <v>1110</v>
      </c>
      <c r="G29" s="28">
        <v>6370519</v>
      </c>
      <c r="H29" s="823">
        <f t="shared" si="0"/>
        <v>0</v>
      </c>
    </row>
    <row r="30" spans="1:8" ht="16.95" customHeight="1">
      <c r="A30" s="345">
        <v>5131011199</v>
      </c>
      <c r="B30" s="345" t="s">
        <v>492</v>
      </c>
      <c r="C30" s="347">
        <v>6648859</v>
      </c>
      <c r="E30" s="793">
        <v>5131011199</v>
      </c>
      <c r="F30" s="77" t="s">
        <v>492</v>
      </c>
      <c r="G30" s="28">
        <v>6648859</v>
      </c>
      <c r="H30" s="823">
        <f t="shared" si="0"/>
        <v>0</v>
      </c>
    </row>
    <row r="31" spans="1:8" ht="16.95" customHeight="1">
      <c r="A31" s="345">
        <v>5130211110</v>
      </c>
      <c r="B31" s="345" t="s">
        <v>1374</v>
      </c>
      <c r="C31" s="347">
        <v>7034291</v>
      </c>
      <c r="E31" s="793">
        <v>5130211110</v>
      </c>
      <c r="F31" s="77" t="s">
        <v>1059</v>
      </c>
      <c r="G31" s="28">
        <v>7034291</v>
      </c>
      <c r="H31" s="823">
        <f t="shared" si="0"/>
        <v>0</v>
      </c>
    </row>
    <row r="32" spans="1:8" ht="16.95" customHeight="1">
      <c r="A32" s="345">
        <v>5110311208</v>
      </c>
      <c r="B32" s="345" t="s">
        <v>64</v>
      </c>
      <c r="C32" s="347">
        <v>7037733</v>
      </c>
      <c r="E32" s="793">
        <v>5110311208</v>
      </c>
      <c r="F32" s="77" t="s">
        <v>64</v>
      </c>
      <c r="G32" s="28">
        <v>7037733</v>
      </c>
      <c r="H32" s="823">
        <f t="shared" si="0"/>
        <v>0</v>
      </c>
    </row>
    <row r="33" spans="1:12" ht="16.95" customHeight="1">
      <c r="A33" s="345">
        <v>5110311202</v>
      </c>
      <c r="B33" s="345" t="s">
        <v>254</v>
      </c>
      <c r="C33" s="347">
        <v>7185272</v>
      </c>
      <c r="E33" s="793">
        <v>5110311202</v>
      </c>
      <c r="F33" s="77" t="s">
        <v>254</v>
      </c>
      <c r="G33" s="28">
        <v>7185272</v>
      </c>
      <c r="H33" s="823">
        <f t="shared" si="0"/>
        <v>0</v>
      </c>
    </row>
    <row r="34" spans="1:12" ht="16.95" customHeight="1">
      <c r="A34" s="345">
        <v>5131011106</v>
      </c>
      <c r="B34" s="345" t="s">
        <v>481</v>
      </c>
      <c r="C34" s="347">
        <v>7270000</v>
      </c>
      <c r="E34" s="793">
        <v>5131011106</v>
      </c>
      <c r="F34" s="77" t="s">
        <v>481</v>
      </c>
      <c r="G34" s="28">
        <v>7270000</v>
      </c>
      <c r="H34" s="823">
        <f t="shared" si="0"/>
        <v>0</v>
      </c>
    </row>
    <row r="35" spans="1:12" ht="16.95" customHeight="1">
      <c r="A35" s="345">
        <v>5110311204</v>
      </c>
      <c r="B35" s="345" t="s">
        <v>258</v>
      </c>
      <c r="C35" s="347">
        <v>7723454</v>
      </c>
      <c r="E35" s="793">
        <v>5110311204</v>
      </c>
      <c r="F35" s="77" t="s">
        <v>258</v>
      </c>
      <c r="G35" s="28">
        <v>7723454</v>
      </c>
      <c r="H35" s="823">
        <f t="shared" si="0"/>
        <v>0</v>
      </c>
    </row>
    <row r="36" spans="1:12" ht="16.95" customHeight="1">
      <c r="A36" s="345">
        <v>5131011122</v>
      </c>
      <c r="B36" s="345" t="s">
        <v>169</v>
      </c>
      <c r="C36" s="347">
        <v>7731739</v>
      </c>
      <c r="E36" s="793">
        <v>5131011122</v>
      </c>
      <c r="F36" s="77" t="s">
        <v>169</v>
      </c>
      <c r="G36" s="28">
        <v>7731739</v>
      </c>
      <c r="H36" s="823">
        <f t="shared" si="0"/>
        <v>0</v>
      </c>
    </row>
    <row r="37" spans="1:12" ht="16.95" customHeight="1">
      <c r="A37" s="345">
        <v>5130611105</v>
      </c>
      <c r="B37" s="345" t="s">
        <v>467</v>
      </c>
      <c r="C37" s="347">
        <v>8071779</v>
      </c>
      <c r="E37" s="793">
        <v>5130611105</v>
      </c>
      <c r="F37" s="77" t="s">
        <v>1083</v>
      </c>
      <c r="G37" s="28">
        <v>8071779</v>
      </c>
      <c r="H37" s="823">
        <f t="shared" si="0"/>
        <v>0</v>
      </c>
    </row>
    <row r="38" spans="1:12" ht="16.95" customHeight="1">
      <c r="A38" s="345">
        <v>5130411103</v>
      </c>
      <c r="B38" s="345" t="s">
        <v>454</v>
      </c>
      <c r="C38" s="347">
        <v>8750358</v>
      </c>
      <c r="E38" s="793">
        <v>5130411103</v>
      </c>
      <c r="F38" s="77" t="s">
        <v>1064</v>
      </c>
      <c r="G38" s="28">
        <v>8750358</v>
      </c>
      <c r="H38" s="823">
        <f t="shared" si="0"/>
        <v>0</v>
      </c>
    </row>
    <row r="39" spans="1:12" ht="16.95" customHeight="1">
      <c r="A39" s="345">
        <v>5110311217</v>
      </c>
      <c r="B39" s="345" t="s">
        <v>271</v>
      </c>
      <c r="C39" s="347">
        <v>8793386</v>
      </c>
      <c r="E39" s="793">
        <v>5110311217</v>
      </c>
      <c r="F39" s="77" t="s">
        <v>271</v>
      </c>
      <c r="G39" s="28">
        <v>8793386</v>
      </c>
      <c r="H39" s="823">
        <f t="shared" si="0"/>
        <v>0</v>
      </c>
    </row>
    <row r="40" spans="1:12" ht="16.95" customHeight="1">
      <c r="A40" s="345">
        <v>5150111204</v>
      </c>
      <c r="B40" s="345" t="s">
        <v>512</v>
      </c>
      <c r="C40" s="347">
        <v>9898862</v>
      </c>
      <c r="E40" s="793">
        <v>5150111204</v>
      </c>
      <c r="F40" s="77" t="s">
        <v>1108</v>
      </c>
      <c r="G40" s="28">
        <v>9898862</v>
      </c>
      <c r="H40" s="823">
        <f t="shared" si="0"/>
        <v>0</v>
      </c>
    </row>
    <row r="41" spans="1:12" ht="16.95" customHeight="1">
      <c r="A41" s="345">
        <v>5130211106</v>
      </c>
      <c r="B41" s="345" t="s">
        <v>444</v>
      </c>
      <c r="C41" s="347">
        <v>9990190</v>
      </c>
      <c r="E41" s="793">
        <v>5130211106</v>
      </c>
      <c r="F41" s="77" t="s">
        <v>444</v>
      </c>
      <c r="G41" s="28">
        <v>9990190</v>
      </c>
      <c r="H41" s="823">
        <f t="shared" si="0"/>
        <v>0</v>
      </c>
    </row>
    <row r="42" spans="1:12" ht="16.95" customHeight="1">
      <c r="A42" s="345">
        <v>5131011101</v>
      </c>
      <c r="B42" s="345" t="s">
        <v>477</v>
      </c>
      <c r="C42" s="347">
        <v>11331725</v>
      </c>
      <c r="E42" s="793">
        <v>5131011101</v>
      </c>
      <c r="F42" s="77" t="s">
        <v>1092</v>
      </c>
      <c r="G42" s="28">
        <v>11331725</v>
      </c>
      <c r="H42" s="823">
        <f t="shared" si="0"/>
        <v>0</v>
      </c>
    </row>
    <row r="43" spans="1:12" ht="16.95" customHeight="1">
      <c r="A43" s="345">
        <v>5110311206</v>
      </c>
      <c r="B43" s="345" t="s">
        <v>60</v>
      </c>
      <c r="C43" s="347">
        <v>12294287</v>
      </c>
      <c r="E43" s="793">
        <v>5110311206</v>
      </c>
      <c r="F43" s="77" t="s">
        <v>60</v>
      </c>
      <c r="G43" s="28">
        <v>12294287</v>
      </c>
      <c r="H43" s="823">
        <f t="shared" si="0"/>
        <v>0</v>
      </c>
    </row>
    <row r="44" spans="1:12" ht="16.95" customHeight="1">
      <c r="A44" s="345">
        <v>5110311205</v>
      </c>
      <c r="B44" s="345" t="s">
        <v>59</v>
      </c>
      <c r="C44" s="347">
        <v>12368046</v>
      </c>
      <c r="E44" s="793">
        <v>5110311205</v>
      </c>
      <c r="F44" s="77" t="s">
        <v>59</v>
      </c>
      <c r="G44" s="28">
        <v>12368046</v>
      </c>
      <c r="H44" s="823">
        <f t="shared" si="0"/>
        <v>0</v>
      </c>
    </row>
    <row r="45" spans="1:12" ht="16.95" customHeight="1">
      <c r="A45" s="345">
        <v>5130111106</v>
      </c>
      <c r="B45" s="345" t="s">
        <v>437</v>
      </c>
      <c r="C45" s="347">
        <v>15358757</v>
      </c>
      <c r="E45" s="793">
        <v>5130111106</v>
      </c>
      <c r="F45" s="77" t="s">
        <v>437</v>
      </c>
      <c r="G45" s="28">
        <v>15358757</v>
      </c>
      <c r="H45" s="823">
        <f t="shared" si="0"/>
        <v>0</v>
      </c>
    </row>
    <row r="46" spans="1:12" ht="16.95" customHeight="1">
      <c r="A46" s="345">
        <v>5130411109</v>
      </c>
      <c r="B46" s="345" t="s">
        <v>459</v>
      </c>
      <c r="C46" s="347">
        <v>15567827</v>
      </c>
      <c r="E46" s="793">
        <v>5130411109</v>
      </c>
      <c r="F46" s="77" t="s">
        <v>1067</v>
      </c>
      <c r="G46" s="28">
        <v>15567827</v>
      </c>
      <c r="H46" s="823">
        <f t="shared" si="0"/>
        <v>0</v>
      </c>
      <c r="I46" s="813">
        <v>5130111106</v>
      </c>
      <c r="J46" s="812" t="s">
        <v>1055</v>
      </c>
      <c r="K46" s="824">
        <v>15358757</v>
      </c>
      <c r="L46" s="823">
        <f>+K46-C46</f>
        <v>-209070</v>
      </c>
    </row>
    <row r="47" spans="1:12" ht="16.95" customHeight="1">
      <c r="A47" s="345">
        <v>5131011102</v>
      </c>
      <c r="B47" s="345" t="s">
        <v>478</v>
      </c>
      <c r="C47" s="347">
        <v>18209097</v>
      </c>
      <c r="E47" s="793">
        <v>5131011102</v>
      </c>
      <c r="F47" s="77" t="s">
        <v>478</v>
      </c>
      <c r="G47" s="28">
        <v>18209097</v>
      </c>
      <c r="H47" s="823">
        <f t="shared" si="0"/>
        <v>0</v>
      </c>
    </row>
    <row r="48" spans="1:12" ht="16.95" customHeight="1">
      <c r="A48" s="345">
        <v>5131011116</v>
      </c>
      <c r="B48" s="345" t="s">
        <v>489</v>
      </c>
      <c r="C48" s="347">
        <v>18680664</v>
      </c>
      <c r="E48" s="793">
        <v>5131011116</v>
      </c>
      <c r="F48" s="77" t="s">
        <v>489</v>
      </c>
      <c r="G48" s="28">
        <v>18680664</v>
      </c>
      <c r="H48" s="823">
        <f t="shared" si="0"/>
        <v>0</v>
      </c>
    </row>
    <row r="49" spans="1:8" ht="16.95" customHeight="1">
      <c r="A49" s="345">
        <v>5120111103</v>
      </c>
      <c r="B49" s="345" t="s">
        <v>428</v>
      </c>
      <c r="C49" s="347">
        <v>19306940</v>
      </c>
      <c r="E49" s="793">
        <v>5120111103</v>
      </c>
      <c r="F49" s="77" t="s">
        <v>428</v>
      </c>
      <c r="G49" s="28">
        <v>19306940</v>
      </c>
      <c r="H49" s="823">
        <f t="shared" si="0"/>
        <v>0</v>
      </c>
    </row>
    <row r="50" spans="1:8" ht="16.95" customHeight="1">
      <c r="A50" s="345">
        <v>5130211109</v>
      </c>
      <c r="B50" s="345" t="s">
        <v>447</v>
      </c>
      <c r="C50" s="347">
        <v>20490909</v>
      </c>
      <c r="E50" s="793">
        <v>5130211109</v>
      </c>
      <c r="F50" s="77" t="s">
        <v>447</v>
      </c>
      <c r="G50" s="28">
        <v>20490909</v>
      </c>
      <c r="H50" s="823">
        <f t="shared" si="0"/>
        <v>0</v>
      </c>
    </row>
    <row r="51" spans="1:8" ht="16.95" customHeight="1">
      <c r="A51" s="345">
        <v>5131011117</v>
      </c>
      <c r="B51" s="345" t="s">
        <v>612</v>
      </c>
      <c r="C51" s="347">
        <v>21607588</v>
      </c>
      <c r="E51" s="793">
        <v>5131011117</v>
      </c>
      <c r="F51" s="77" t="s">
        <v>612</v>
      </c>
      <c r="G51" s="28">
        <v>21607588</v>
      </c>
      <c r="H51" s="823">
        <f t="shared" si="0"/>
        <v>0</v>
      </c>
    </row>
    <row r="52" spans="1:8" ht="16.95" customHeight="1">
      <c r="A52" s="345">
        <v>5140111201</v>
      </c>
      <c r="B52" s="345" t="s">
        <v>498</v>
      </c>
      <c r="C52" s="347">
        <v>22189641</v>
      </c>
      <c r="E52" s="793">
        <v>5140111201</v>
      </c>
      <c r="F52" s="77" t="s">
        <v>1102</v>
      </c>
      <c r="G52" s="28">
        <v>22189641</v>
      </c>
      <c r="H52" s="823">
        <f t="shared" si="0"/>
        <v>0</v>
      </c>
    </row>
    <row r="53" spans="1:8" ht="16.95" customHeight="1">
      <c r="A53" s="345">
        <v>5131011108</v>
      </c>
      <c r="B53" s="345" t="s">
        <v>483</v>
      </c>
      <c r="C53" s="347">
        <v>23241441</v>
      </c>
      <c r="E53" s="793">
        <v>5131011108</v>
      </c>
      <c r="F53" s="77" t="s">
        <v>1094</v>
      </c>
      <c r="G53" s="28">
        <v>23241441</v>
      </c>
      <c r="H53" s="823">
        <f t="shared" si="0"/>
        <v>0</v>
      </c>
    </row>
    <row r="54" spans="1:8" ht="16.95" customHeight="1">
      <c r="A54" s="345">
        <v>5110311207</v>
      </c>
      <c r="B54" s="345" t="s">
        <v>63</v>
      </c>
      <c r="C54" s="347">
        <v>26161406</v>
      </c>
      <c r="E54" s="793">
        <v>5110311207</v>
      </c>
      <c r="F54" s="77" t="s">
        <v>63</v>
      </c>
      <c r="G54" s="28">
        <v>26161406</v>
      </c>
      <c r="H54" s="823">
        <f t="shared" si="0"/>
        <v>0</v>
      </c>
    </row>
    <row r="55" spans="1:8" ht="16.95" customHeight="1">
      <c r="A55" s="345">
        <v>5110311305</v>
      </c>
      <c r="B55" s="345" t="s">
        <v>59</v>
      </c>
      <c r="C55" s="347">
        <v>27445119</v>
      </c>
      <c r="E55" s="793">
        <v>5110311305</v>
      </c>
      <c r="F55" s="77" t="s">
        <v>59</v>
      </c>
      <c r="G55" s="28">
        <v>27445119</v>
      </c>
      <c r="H55" s="823">
        <f t="shared" si="0"/>
        <v>0</v>
      </c>
    </row>
    <row r="56" spans="1:8" ht="16.95" customHeight="1">
      <c r="A56" s="345">
        <v>5120111105</v>
      </c>
      <c r="B56" s="345" t="s">
        <v>430</v>
      </c>
      <c r="C56" s="347">
        <v>27951000</v>
      </c>
      <c r="E56" s="793">
        <v>5120111105</v>
      </c>
      <c r="F56" s="77" t="s">
        <v>430</v>
      </c>
      <c r="G56" s="28">
        <v>27951000</v>
      </c>
      <c r="H56" s="823">
        <f t="shared" si="0"/>
        <v>0</v>
      </c>
    </row>
    <row r="57" spans="1:8" ht="16.95" customHeight="1">
      <c r="A57" s="345">
        <v>5110211202</v>
      </c>
      <c r="B57" s="345" t="s">
        <v>409</v>
      </c>
      <c r="C57" s="347">
        <v>34800555</v>
      </c>
      <c r="E57" s="793">
        <v>5110211202</v>
      </c>
      <c r="F57" s="77" t="s">
        <v>409</v>
      </c>
      <c r="G57" s="28">
        <v>34800555</v>
      </c>
      <c r="H57" s="823">
        <f t="shared" si="0"/>
        <v>0</v>
      </c>
    </row>
    <row r="58" spans="1:8" ht="16.95" customHeight="1">
      <c r="A58" s="345">
        <v>5130211104</v>
      </c>
      <c r="B58" s="345" t="s">
        <v>442</v>
      </c>
      <c r="C58" s="347">
        <v>35032512</v>
      </c>
      <c r="E58" s="793">
        <v>5130211104</v>
      </c>
      <c r="F58" s="77" t="s">
        <v>442</v>
      </c>
      <c r="G58" s="28">
        <v>35032512</v>
      </c>
      <c r="H58" s="823">
        <f t="shared" si="0"/>
        <v>0</v>
      </c>
    </row>
    <row r="59" spans="1:8" ht="16.95" customHeight="1">
      <c r="A59" s="345">
        <v>5110311334</v>
      </c>
      <c r="B59" s="345" t="s">
        <v>1039</v>
      </c>
      <c r="C59" s="347">
        <v>45722769</v>
      </c>
      <c r="E59" s="793">
        <v>5110311334</v>
      </c>
      <c r="F59" s="77" t="s">
        <v>1039</v>
      </c>
      <c r="G59" s="28">
        <v>45722769</v>
      </c>
      <c r="H59" s="823">
        <f t="shared" si="0"/>
        <v>0</v>
      </c>
    </row>
    <row r="60" spans="1:8" ht="16.95" customHeight="1">
      <c r="A60" s="345">
        <v>5131011115</v>
      </c>
      <c r="B60" s="345" t="s">
        <v>488</v>
      </c>
      <c r="C60" s="347">
        <v>46807912</v>
      </c>
      <c r="E60" s="793">
        <v>5131011115</v>
      </c>
      <c r="F60" s="77" t="s">
        <v>488</v>
      </c>
      <c r="G60" s="28">
        <v>46807912</v>
      </c>
      <c r="H60" s="823">
        <f t="shared" si="0"/>
        <v>0</v>
      </c>
    </row>
    <row r="61" spans="1:8" ht="16.95" customHeight="1">
      <c r="A61" s="345">
        <v>5130211102</v>
      </c>
      <c r="B61" s="345" t="s">
        <v>440</v>
      </c>
      <c r="C61" s="347">
        <v>50730000</v>
      </c>
      <c r="E61" s="793">
        <v>5130211102</v>
      </c>
      <c r="F61" s="77" t="s">
        <v>440</v>
      </c>
      <c r="G61" s="28">
        <v>50730000</v>
      </c>
      <c r="H61" s="823">
        <f t="shared" si="0"/>
        <v>0</v>
      </c>
    </row>
    <row r="62" spans="1:8" ht="16.95" customHeight="1">
      <c r="A62" s="345">
        <v>5131011104</v>
      </c>
      <c r="B62" s="345" t="s">
        <v>479</v>
      </c>
      <c r="C62" s="347">
        <v>59835585</v>
      </c>
      <c r="E62" s="793">
        <v>5131011104</v>
      </c>
      <c r="F62" s="77" t="s">
        <v>479</v>
      </c>
      <c r="G62" s="28">
        <v>59835585</v>
      </c>
      <c r="H62" s="823">
        <f t="shared" si="0"/>
        <v>0</v>
      </c>
    </row>
    <row r="63" spans="1:8" ht="16.95" customHeight="1">
      <c r="A63" s="345">
        <v>5130311103</v>
      </c>
      <c r="B63" s="345" t="s">
        <v>450</v>
      </c>
      <c r="C63" s="347">
        <v>60000000</v>
      </c>
      <c r="E63" s="793">
        <v>5130311103</v>
      </c>
      <c r="F63" s="77" t="s">
        <v>450</v>
      </c>
      <c r="G63" s="28">
        <v>60000000</v>
      </c>
      <c r="H63" s="823">
        <f t="shared" si="0"/>
        <v>0</v>
      </c>
    </row>
    <row r="64" spans="1:8" ht="16.95" customHeight="1">
      <c r="A64" s="345">
        <v>5110211201</v>
      </c>
      <c r="B64" s="345" t="s">
        <v>408</v>
      </c>
      <c r="C64" s="347">
        <v>61122280</v>
      </c>
      <c r="E64" s="793">
        <v>5110211201</v>
      </c>
      <c r="F64" s="77" t="s">
        <v>408</v>
      </c>
      <c r="G64" s="28">
        <v>61122280</v>
      </c>
      <c r="H64" s="823">
        <f t="shared" si="0"/>
        <v>0</v>
      </c>
    </row>
    <row r="65" spans="1:12" ht="16.95" customHeight="1">
      <c r="A65" s="345">
        <v>5110111301</v>
      </c>
      <c r="B65" s="345" t="s">
        <v>404</v>
      </c>
      <c r="C65" s="347">
        <v>62289108</v>
      </c>
      <c r="E65" s="793">
        <v>5110111301</v>
      </c>
      <c r="F65" s="77" t="s">
        <v>1035</v>
      </c>
      <c r="G65" s="28">
        <v>62289108</v>
      </c>
      <c r="H65" s="823">
        <f t="shared" si="0"/>
        <v>0</v>
      </c>
    </row>
    <row r="66" spans="1:12" ht="16.95" customHeight="1">
      <c r="A66" s="345">
        <v>5110311302</v>
      </c>
      <c r="B66" s="345" t="s">
        <v>254</v>
      </c>
      <c r="C66" s="347">
        <v>63459642</v>
      </c>
      <c r="E66" s="793">
        <v>5110311302</v>
      </c>
      <c r="F66" s="77" t="s">
        <v>254</v>
      </c>
      <c r="G66" s="28">
        <v>63459642</v>
      </c>
      <c r="H66" s="823">
        <f t="shared" si="0"/>
        <v>0</v>
      </c>
    </row>
    <row r="67" spans="1:12" ht="16.95" customHeight="1">
      <c r="A67" s="345">
        <v>5120111101</v>
      </c>
      <c r="B67" s="345" t="s">
        <v>427</v>
      </c>
      <c r="C67" s="347">
        <v>69176120</v>
      </c>
      <c r="E67" s="793">
        <v>5120111101</v>
      </c>
      <c r="F67" s="77" t="s">
        <v>427</v>
      </c>
      <c r="G67" s="28">
        <v>69176120</v>
      </c>
      <c r="H67" s="823">
        <f t="shared" si="0"/>
        <v>0</v>
      </c>
    </row>
    <row r="68" spans="1:12" ht="16.95" customHeight="1">
      <c r="A68" s="345">
        <v>5131011119</v>
      </c>
      <c r="B68" s="345" t="s">
        <v>490</v>
      </c>
      <c r="C68" s="347">
        <v>93889248</v>
      </c>
      <c r="E68" s="793">
        <v>5131011119</v>
      </c>
      <c r="F68" s="77" t="s">
        <v>490</v>
      </c>
      <c r="G68" s="28">
        <v>93889248</v>
      </c>
      <c r="H68" s="823">
        <f t="shared" ref="H68:H116" si="1">+G68-C68</f>
        <v>0</v>
      </c>
    </row>
    <row r="69" spans="1:12" ht="16.95" customHeight="1">
      <c r="A69" s="345">
        <v>5210111102</v>
      </c>
      <c r="B69" s="345" t="s">
        <v>1112</v>
      </c>
      <c r="C69" s="347">
        <v>100733860</v>
      </c>
      <c r="E69" s="793">
        <v>5210111102</v>
      </c>
      <c r="F69" s="77" t="s">
        <v>1112</v>
      </c>
      <c r="G69" s="28">
        <v>100733860</v>
      </c>
      <c r="H69" s="823">
        <f t="shared" si="1"/>
        <v>0</v>
      </c>
    </row>
    <row r="70" spans="1:12" ht="16.95" customHeight="1">
      <c r="A70" s="345">
        <v>5150111201</v>
      </c>
      <c r="B70" s="345" t="s">
        <v>510</v>
      </c>
      <c r="C70" s="347">
        <v>104428639</v>
      </c>
      <c r="E70" s="793">
        <v>5150111201</v>
      </c>
      <c r="F70" s="77" t="s">
        <v>510</v>
      </c>
      <c r="G70" s="28">
        <v>104428639</v>
      </c>
      <c r="H70" s="823">
        <f t="shared" si="1"/>
        <v>0</v>
      </c>
    </row>
    <row r="71" spans="1:12" ht="16.95" customHeight="1">
      <c r="A71" s="345">
        <v>5110311103</v>
      </c>
      <c r="B71" s="345" t="s">
        <v>64</v>
      </c>
      <c r="C71" s="347">
        <v>114661506</v>
      </c>
      <c r="E71" s="793">
        <v>5110311103</v>
      </c>
      <c r="F71" s="77" t="s">
        <v>64</v>
      </c>
      <c r="G71" s="28">
        <v>114661506</v>
      </c>
      <c r="H71" s="823">
        <f t="shared" si="1"/>
        <v>0</v>
      </c>
    </row>
    <row r="72" spans="1:12" ht="16.95" customHeight="1">
      <c r="A72" s="345">
        <v>5110311231</v>
      </c>
      <c r="B72" s="345" t="s">
        <v>415</v>
      </c>
      <c r="C72" s="347">
        <v>139352900</v>
      </c>
      <c r="E72" s="793">
        <v>5110311231</v>
      </c>
      <c r="F72" s="77" t="s">
        <v>415</v>
      </c>
      <c r="G72" s="28">
        <v>139352900</v>
      </c>
      <c r="H72" s="823">
        <f t="shared" si="1"/>
        <v>0</v>
      </c>
    </row>
    <row r="73" spans="1:12" ht="16.95" customHeight="1">
      <c r="A73" s="345">
        <v>5150111102</v>
      </c>
      <c r="B73" s="345" t="s">
        <v>507</v>
      </c>
      <c r="C73" s="347">
        <v>142849588</v>
      </c>
      <c r="E73" s="793">
        <v>5150111102</v>
      </c>
      <c r="F73" s="77" t="s">
        <v>507</v>
      </c>
      <c r="G73" s="28">
        <v>142849588</v>
      </c>
      <c r="H73" s="823">
        <f t="shared" si="1"/>
        <v>0</v>
      </c>
    </row>
    <row r="74" spans="1:12" ht="16.95" customHeight="1">
      <c r="A74" s="345">
        <v>5130711102</v>
      </c>
      <c r="B74" s="345" t="s">
        <v>471</v>
      </c>
      <c r="C74" s="347">
        <v>146204952</v>
      </c>
      <c r="E74" s="793">
        <v>5130711102</v>
      </c>
      <c r="F74" s="77" t="s">
        <v>1086</v>
      </c>
      <c r="G74" s="28">
        <v>146204952</v>
      </c>
      <c r="H74" s="823">
        <f t="shared" si="1"/>
        <v>0</v>
      </c>
    </row>
    <row r="75" spans="1:12" ht="16.95" customHeight="1">
      <c r="A75" s="345">
        <v>5130411101</v>
      </c>
      <c r="B75" s="345" t="s">
        <v>453</v>
      </c>
      <c r="C75" s="347">
        <v>162609263</v>
      </c>
      <c r="E75" s="793">
        <v>5130411101</v>
      </c>
      <c r="F75" s="77" t="s">
        <v>453</v>
      </c>
      <c r="G75" s="28">
        <v>162609263</v>
      </c>
      <c r="H75" s="823">
        <f t="shared" si="1"/>
        <v>0</v>
      </c>
    </row>
    <row r="76" spans="1:12" ht="16.95" customHeight="1">
      <c r="A76" s="345">
        <v>5130411105</v>
      </c>
      <c r="B76" s="345" t="s">
        <v>456</v>
      </c>
      <c r="C76" s="347">
        <v>168367415</v>
      </c>
      <c r="E76" s="793">
        <v>5130411105</v>
      </c>
      <c r="F76" s="77" t="s">
        <v>456</v>
      </c>
      <c r="G76" s="28">
        <v>168367415</v>
      </c>
      <c r="H76" s="823">
        <f t="shared" si="1"/>
        <v>0</v>
      </c>
    </row>
    <row r="77" spans="1:12" ht="16.95" customHeight="1">
      <c r="A77" s="345">
        <v>5110211102</v>
      </c>
      <c r="B77" s="345" t="s">
        <v>407</v>
      </c>
      <c r="C77" s="347">
        <v>170645896</v>
      </c>
      <c r="E77" s="793">
        <v>5110211102</v>
      </c>
      <c r="F77" s="77" t="s">
        <v>407</v>
      </c>
      <c r="G77" s="28">
        <v>170645896</v>
      </c>
      <c r="H77" s="823">
        <f t="shared" si="1"/>
        <v>0</v>
      </c>
    </row>
    <row r="78" spans="1:12" ht="16.95" customHeight="1">
      <c r="A78" s="345">
        <v>5130521104</v>
      </c>
      <c r="B78" s="345" t="s">
        <v>464</v>
      </c>
      <c r="C78" s="347">
        <v>172417162</v>
      </c>
      <c r="E78" s="793">
        <v>5130521104</v>
      </c>
      <c r="F78" s="77" t="s">
        <v>464</v>
      </c>
      <c r="G78" s="28">
        <v>172417162</v>
      </c>
      <c r="H78" s="823">
        <f t="shared" si="1"/>
        <v>0</v>
      </c>
    </row>
    <row r="79" spans="1:12" ht="16.95" customHeight="1">
      <c r="A79" s="345">
        <v>5110311307</v>
      </c>
      <c r="B79" s="345" t="s">
        <v>63</v>
      </c>
      <c r="C79" s="347">
        <v>187819419</v>
      </c>
      <c r="E79" s="793">
        <v>5110311307</v>
      </c>
      <c r="F79" s="77" t="s">
        <v>63</v>
      </c>
      <c r="G79" s="28">
        <v>187819419</v>
      </c>
      <c r="H79" s="823">
        <f t="shared" si="1"/>
        <v>0</v>
      </c>
    </row>
    <row r="80" spans="1:12" ht="16.95" customHeight="1">
      <c r="A80" s="345">
        <v>5130111105</v>
      </c>
      <c r="B80" s="345" t="s">
        <v>436</v>
      </c>
      <c r="C80" s="347">
        <v>191608440</v>
      </c>
      <c r="E80" s="793">
        <v>5130111105</v>
      </c>
      <c r="F80" s="77" t="s">
        <v>436</v>
      </c>
      <c r="G80" s="28">
        <v>191608440</v>
      </c>
      <c r="H80" s="823">
        <f t="shared" si="1"/>
        <v>0</v>
      </c>
      <c r="I80" s="793">
        <v>5130111105</v>
      </c>
      <c r="J80" s="77" t="s">
        <v>1054</v>
      </c>
      <c r="K80" s="28">
        <v>191608440</v>
      </c>
      <c r="L80" s="823">
        <f>+K80-C81</f>
        <v>-1116575</v>
      </c>
    </row>
    <row r="81" spans="1:12" ht="16.95" customHeight="1">
      <c r="A81" s="345">
        <v>5130211107</v>
      </c>
      <c r="B81" s="345" t="s">
        <v>1375</v>
      </c>
      <c r="C81" s="347">
        <v>192725015</v>
      </c>
      <c r="E81" s="793">
        <v>5130211107</v>
      </c>
      <c r="F81" s="77" t="s">
        <v>1058</v>
      </c>
      <c r="G81" s="28">
        <v>192725015</v>
      </c>
      <c r="H81" s="823">
        <f t="shared" si="1"/>
        <v>0</v>
      </c>
    </row>
    <row r="82" spans="1:12" ht="16.95" customHeight="1">
      <c r="A82" s="345">
        <v>5130211103</v>
      </c>
      <c r="B82" s="345" t="s">
        <v>441</v>
      </c>
      <c r="C82" s="347">
        <v>196233333</v>
      </c>
      <c r="E82" s="793">
        <v>5130211103</v>
      </c>
      <c r="F82" s="77" t="s">
        <v>441</v>
      </c>
      <c r="G82" s="28">
        <v>196233333</v>
      </c>
      <c r="H82" s="823">
        <f t="shared" si="1"/>
        <v>0</v>
      </c>
    </row>
    <row r="83" spans="1:12" ht="16.95" customHeight="1">
      <c r="A83" s="345">
        <v>5130521102</v>
      </c>
      <c r="B83" s="345" t="s">
        <v>463</v>
      </c>
      <c r="C83" s="347">
        <v>217085117</v>
      </c>
      <c r="E83" s="793">
        <v>5130521102</v>
      </c>
      <c r="F83" s="77" t="s">
        <v>463</v>
      </c>
      <c r="G83" s="28">
        <v>217085117</v>
      </c>
      <c r="H83" s="823">
        <f t="shared" si="1"/>
        <v>0</v>
      </c>
    </row>
    <row r="84" spans="1:12" ht="16.95" customHeight="1">
      <c r="A84" s="345">
        <v>5130521105</v>
      </c>
      <c r="B84" s="345" t="s">
        <v>465</v>
      </c>
      <c r="C84" s="347">
        <v>230651376</v>
      </c>
      <c r="E84" s="793">
        <v>5130521105</v>
      </c>
      <c r="F84" s="77" t="s">
        <v>465</v>
      </c>
      <c r="G84" s="28">
        <v>230651376</v>
      </c>
      <c r="H84" s="823">
        <f t="shared" si="1"/>
        <v>0</v>
      </c>
    </row>
    <row r="85" spans="1:12" ht="16.95" customHeight="1">
      <c r="A85" s="345">
        <v>5130111107</v>
      </c>
      <c r="B85" s="345" t="s">
        <v>438</v>
      </c>
      <c r="C85" s="347">
        <v>231093572</v>
      </c>
      <c r="E85" s="793">
        <v>5130111107</v>
      </c>
      <c r="F85" s="77" t="s">
        <v>438</v>
      </c>
      <c r="G85" s="28">
        <v>231093572</v>
      </c>
      <c r="H85" s="823">
        <f t="shared" si="1"/>
        <v>0</v>
      </c>
    </row>
    <row r="86" spans="1:12" ht="16.95" customHeight="1">
      <c r="A86" s="345">
        <v>5110211101</v>
      </c>
      <c r="B86" s="345" t="s">
        <v>406</v>
      </c>
      <c r="C86" s="347">
        <v>253405276</v>
      </c>
      <c r="E86" s="793">
        <v>5110211101</v>
      </c>
      <c r="F86" s="77" t="s">
        <v>406</v>
      </c>
      <c r="G86" s="28">
        <v>253405276</v>
      </c>
      <c r="H86" s="823">
        <f t="shared" si="1"/>
        <v>0</v>
      </c>
    </row>
    <row r="87" spans="1:12" ht="16.95" customHeight="1">
      <c r="A87" s="345">
        <v>5130211108</v>
      </c>
      <c r="B87" s="345" t="s">
        <v>446</v>
      </c>
      <c r="C87" s="347">
        <v>282859050</v>
      </c>
      <c r="E87" s="793">
        <v>5130211108</v>
      </c>
      <c r="F87" s="77" t="s">
        <v>446</v>
      </c>
      <c r="G87" s="28">
        <v>282859050</v>
      </c>
      <c r="H87" s="823">
        <f t="shared" si="1"/>
        <v>0</v>
      </c>
    </row>
    <row r="88" spans="1:12" ht="16.95" customHeight="1">
      <c r="A88" s="345">
        <v>5130711101</v>
      </c>
      <c r="B88" s="345" t="s">
        <v>470</v>
      </c>
      <c r="C88" s="347">
        <v>311032161</v>
      </c>
      <c r="E88" s="793">
        <v>5130711101</v>
      </c>
      <c r="F88" s="77" t="s">
        <v>1085</v>
      </c>
      <c r="G88" s="28">
        <v>311032161</v>
      </c>
      <c r="H88" s="823">
        <f t="shared" si="1"/>
        <v>0</v>
      </c>
    </row>
    <row r="89" spans="1:12" ht="16.95" customHeight="1">
      <c r="A89" s="345">
        <v>5110311329</v>
      </c>
      <c r="B89" s="345" t="s">
        <v>609</v>
      </c>
      <c r="C89" s="347">
        <v>328080161</v>
      </c>
      <c r="E89" s="793">
        <v>5110311329</v>
      </c>
      <c r="F89" s="77" t="s">
        <v>609</v>
      </c>
      <c r="G89" s="28">
        <v>328080161</v>
      </c>
      <c r="H89" s="823">
        <f t="shared" si="1"/>
        <v>0</v>
      </c>
    </row>
    <row r="90" spans="1:12" ht="16.95" customHeight="1">
      <c r="A90" s="345">
        <v>5150111103</v>
      </c>
      <c r="B90" s="345" t="s">
        <v>508</v>
      </c>
      <c r="C90" s="347">
        <v>329682135</v>
      </c>
      <c r="E90" s="793">
        <v>5150111103</v>
      </c>
      <c r="F90" s="77" t="s">
        <v>508</v>
      </c>
      <c r="G90" s="28">
        <v>329682135</v>
      </c>
      <c r="H90" s="823">
        <f t="shared" si="1"/>
        <v>0</v>
      </c>
    </row>
    <row r="91" spans="1:12" ht="16.95" customHeight="1">
      <c r="A91" s="345">
        <v>5140111102</v>
      </c>
      <c r="B91" s="345" t="s">
        <v>496</v>
      </c>
      <c r="C91" s="347">
        <v>359045102</v>
      </c>
      <c r="E91" s="793">
        <v>5140111102</v>
      </c>
      <c r="F91" s="77" t="s">
        <v>1100</v>
      </c>
      <c r="G91" s="28">
        <v>359045102</v>
      </c>
      <c r="H91" s="823">
        <f t="shared" si="1"/>
        <v>0</v>
      </c>
    </row>
    <row r="92" spans="1:12" ht="16.95" customHeight="1">
      <c r="A92" s="345">
        <v>5130311104</v>
      </c>
      <c r="B92" s="345" t="s">
        <v>451</v>
      </c>
      <c r="C92" s="347">
        <v>359415474</v>
      </c>
      <c r="E92" s="793">
        <v>5130311104</v>
      </c>
      <c r="F92" s="77" t="s">
        <v>451</v>
      </c>
      <c r="G92" s="28">
        <v>359415474</v>
      </c>
      <c r="H92" s="823">
        <f t="shared" si="1"/>
        <v>0</v>
      </c>
    </row>
    <row r="93" spans="1:12" ht="16.95" customHeight="1">
      <c r="A93" s="345">
        <v>5110311301</v>
      </c>
      <c r="B93" s="345" t="s">
        <v>57</v>
      </c>
      <c r="C93" s="347">
        <v>390093875</v>
      </c>
      <c r="E93" s="793">
        <v>5110311301</v>
      </c>
      <c r="F93" s="77" t="s">
        <v>57</v>
      </c>
      <c r="G93" s="28">
        <v>390093875</v>
      </c>
      <c r="H93" s="823">
        <f t="shared" si="1"/>
        <v>0</v>
      </c>
    </row>
    <row r="94" spans="1:12" ht="16.95" customHeight="1">
      <c r="A94" s="345">
        <v>5130111104</v>
      </c>
      <c r="B94" s="345" t="s">
        <v>435</v>
      </c>
      <c r="C94" s="347">
        <v>393165190</v>
      </c>
      <c r="E94" s="793">
        <v>5130111104</v>
      </c>
      <c r="F94" s="77" t="s">
        <v>435</v>
      </c>
      <c r="G94" s="28">
        <v>393165190</v>
      </c>
      <c r="H94" s="823">
        <f t="shared" si="1"/>
        <v>0</v>
      </c>
      <c r="I94" s="793">
        <v>5130111104</v>
      </c>
      <c r="J94" s="77" t="s">
        <v>1053</v>
      </c>
      <c r="K94" s="28">
        <v>393165190</v>
      </c>
      <c r="L94" s="823">
        <f>+K94-C95</f>
        <v>-113166577</v>
      </c>
    </row>
    <row r="95" spans="1:12" ht="16.95" customHeight="1">
      <c r="A95" s="345">
        <v>5130711103</v>
      </c>
      <c r="B95" s="345" t="s">
        <v>472</v>
      </c>
      <c r="C95" s="347">
        <v>506331767</v>
      </c>
      <c r="E95" s="793">
        <v>5130711103</v>
      </c>
      <c r="F95" s="77" t="s">
        <v>472</v>
      </c>
      <c r="G95" s="28">
        <v>506331767</v>
      </c>
      <c r="H95" s="823">
        <f t="shared" si="1"/>
        <v>0</v>
      </c>
    </row>
    <row r="96" spans="1:12" ht="16.95" customHeight="1">
      <c r="A96" s="345">
        <v>5130311102</v>
      </c>
      <c r="B96" s="345" t="s">
        <v>449</v>
      </c>
      <c r="C96" s="347">
        <v>519714100</v>
      </c>
      <c r="E96" s="793">
        <v>5130311102</v>
      </c>
      <c r="F96" s="77" t="s">
        <v>449</v>
      </c>
      <c r="G96" s="28">
        <v>519714100</v>
      </c>
      <c r="H96" s="823">
        <f t="shared" si="1"/>
        <v>0</v>
      </c>
    </row>
    <row r="97" spans="1:12" ht="16.95" customHeight="1">
      <c r="A97" s="345">
        <v>5130411106</v>
      </c>
      <c r="B97" s="345" t="s">
        <v>457</v>
      </c>
      <c r="C97" s="347">
        <v>572222404</v>
      </c>
      <c r="E97" s="793">
        <v>5130411106</v>
      </c>
      <c r="F97" s="77" t="s">
        <v>457</v>
      </c>
      <c r="G97" s="28">
        <v>572222404</v>
      </c>
      <c r="H97" s="823">
        <f t="shared" si="1"/>
        <v>0</v>
      </c>
    </row>
    <row r="98" spans="1:12" ht="16.95" customHeight="1">
      <c r="A98" s="345">
        <v>5130211101</v>
      </c>
      <c r="B98" s="345" t="s">
        <v>439</v>
      </c>
      <c r="C98" s="347">
        <v>848662865</v>
      </c>
      <c r="E98" s="793">
        <v>5130211101</v>
      </c>
      <c r="F98" s="77" t="s">
        <v>439</v>
      </c>
      <c r="G98" s="28">
        <v>848662865</v>
      </c>
      <c r="H98" s="823">
        <f t="shared" si="1"/>
        <v>0</v>
      </c>
    </row>
    <row r="99" spans="1:12" ht="16.95" customHeight="1">
      <c r="A99" s="345">
        <v>5130411107</v>
      </c>
      <c r="B99" s="345" t="s">
        <v>458</v>
      </c>
      <c r="C99" s="347">
        <v>1407990702</v>
      </c>
      <c r="E99" s="793">
        <v>5130411107</v>
      </c>
      <c r="F99" s="77" t="s">
        <v>1065</v>
      </c>
      <c r="G99" s="28">
        <v>1407990702</v>
      </c>
      <c r="H99" s="823">
        <f t="shared" si="1"/>
        <v>0</v>
      </c>
    </row>
    <row r="100" spans="1:12" ht="16.95" customHeight="1">
      <c r="A100" s="345">
        <v>5130111101</v>
      </c>
      <c r="B100" s="345" t="s">
        <v>433</v>
      </c>
      <c r="C100" s="347">
        <v>3172382441</v>
      </c>
      <c r="E100" s="793">
        <v>5130111101</v>
      </c>
      <c r="F100" s="77" t="s">
        <v>433</v>
      </c>
      <c r="G100" s="28">
        <v>3172382441</v>
      </c>
      <c r="H100" s="823">
        <f t="shared" si="1"/>
        <v>0</v>
      </c>
      <c r="I100" s="793">
        <v>5130111101</v>
      </c>
      <c r="J100" s="77" t="s">
        <v>1050</v>
      </c>
      <c r="K100" s="28">
        <v>3172382441</v>
      </c>
      <c r="L100" s="823">
        <f>+K100-C101</f>
        <v>-1727786841</v>
      </c>
    </row>
    <row r="101" spans="1:12" ht="16.95" customHeight="1">
      <c r="A101" s="345">
        <v>5140111302</v>
      </c>
      <c r="B101" s="345" t="s">
        <v>386</v>
      </c>
      <c r="C101" s="347">
        <v>4900169282</v>
      </c>
      <c r="E101" s="793">
        <v>5140111302</v>
      </c>
      <c r="F101" s="77" t="s">
        <v>386</v>
      </c>
      <c r="G101" s="28">
        <v>4900169282</v>
      </c>
      <c r="H101" s="823">
        <f t="shared" si="1"/>
        <v>0</v>
      </c>
    </row>
    <row r="102" spans="1:12" ht="16.95" customHeight="1">
      <c r="A102" s="345">
        <v>5140111301</v>
      </c>
      <c r="B102" s="345" t="s">
        <v>385</v>
      </c>
      <c r="C102" s="347">
        <v>7980677958</v>
      </c>
      <c r="E102" s="793">
        <v>5140111301</v>
      </c>
      <c r="F102" s="77" t="s">
        <v>385</v>
      </c>
      <c r="G102" s="28">
        <v>7980677958</v>
      </c>
      <c r="H102" s="823">
        <f t="shared" si="1"/>
        <v>0</v>
      </c>
    </row>
    <row r="104" spans="1:12">
      <c r="H104" s="823">
        <f t="shared" si="1"/>
        <v>0</v>
      </c>
    </row>
    <row r="105" spans="1:12">
      <c r="E105" s="821"/>
      <c r="F105" s="821"/>
      <c r="G105" s="821"/>
      <c r="H105" s="823">
        <f t="shared" si="1"/>
        <v>0</v>
      </c>
    </row>
    <row r="106" spans="1:12">
      <c r="H106" s="823">
        <f t="shared" si="1"/>
        <v>0</v>
      </c>
    </row>
    <row r="107" spans="1:12">
      <c r="H107" s="823">
        <f t="shared" si="1"/>
        <v>0</v>
      </c>
    </row>
    <row r="108" spans="1:12">
      <c r="H108" s="823">
        <f t="shared" si="1"/>
        <v>0</v>
      </c>
    </row>
    <row r="109" spans="1:12">
      <c r="H109" s="823">
        <f t="shared" si="1"/>
        <v>0</v>
      </c>
    </row>
    <row r="110" spans="1:12">
      <c r="A110" s="820">
        <v>5110311308</v>
      </c>
      <c r="B110" s="87" t="s">
        <v>64</v>
      </c>
      <c r="C110" s="822">
        <v>115120</v>
      </c>
      <c r="H110" s="823">
        <f t="shared" si="1"/>
        <v>-115120</v>
      </c>
    </row>
    <row r="111" spans="1:12">
      <c r="A111" s="793">
        <v>5131011105</v>
      </c>
      <c r="B111" s="77" t="s">
        <v>480</v>
      </c>
      <c r="C111" s="28">
        <v>200000</v>
      </c>
      <c r="H111" s="823">
        <f t="shared" si="1"/>
        <v>-200000</v>
      </c>
    </row>
    <row r="112" spans="1:12">
      <c r="A112" s="793">
        <v>5150111203</v>
      </c>
      <c r="B112" s="77" t="s">
        <v>1107</v>
      </c>
      <c r="C112" s="28">
        <v>223118</v>
      </c>
      <c r="H112" s="823">
        <f t="shared" si="1"/>
        <v>-223118</v>
      </c>
    </row>
    <row r="113" spans="1:8">
      <c r="A113" s="793">
        <v>5131011123</v>
      </c>
      <c r="B113" s="77" t="s">
        <v>170</v>
      </c>
      <c r="C113" s="28">
        <v>445458</v>
      </c>
      <c r="H113" s="823">
        <f t="shared" si="1"/>
        <v>-445458</v>
      </c>
    </row>
    <row r="114" spans="1:8">
      <c r="A114" s="793">
        <v>5110311101</v>
      </c>
      <c r="B114" s="77" t="s">
        <v>339</v>
      </c>
      <c r="C114" s="28">
        <v>500991</v>
      </c>
      <c r="H114" s="823">
        <f t="shared" si="1"/>
        <v>-500991</v>
      </c>
    </row>
    <row r="115" spans="1:8">
      <c r="A115" s="793">
        <v>5150411103</v>
      </c>
      <c r="B115" s="77" t="s">
        <v>515</v>
      </c>
      <c r="C115" s="28">
        <v>522230</v>
      </c>
      <c r="H115" s="823">
        <f t="shared" si="1"/>
        <v>-522230</v>
      </c>
    </row>
    <row r="116" spans="1:8">
      <c r="A116" s="793">
        <v>5131011121</v>
      </c>
      <c r="B116" s="77" t="s">
        <v>1097</v>
      </c>
      <c r="C116" s="28">
        <v>637920</v>
      </c>
      <c r="H116" s="823">
        <f t="shared" si="1"/>
        <v>-637920</v>
      </c>
    </row>
    <row r="117" spans="1:8">
      <c r="A117" s="793">
        <v>5130111108</v>
      </c>
      <c r="B117" s="77" t="s">
        <v>1056</v>
      </c>
      <c r="C117" s="28">
        <v>944296</v>
      </c>
    </row>
    <row r="118" spans="1:8">
      <c r="A118" s="793">
        <v>5131011107</v>
      </c>
      <c r="B118" s="77" t="s">
        <v>482</v>
      </c>
      <c r="C118" s="28">
        <v>1404052</v>
      </c>
    </row>
    <row r="119" spans="1:8">
      <c r="A119" s="793">
        <v>5131011112</v>
      </c>
      <c r="B119" s="77" t="s">
        <v>485</v>
      </c>
      <c r="C119" s="28">
        <v>1442455</v>
      </c>
    </row>
    <row r="120" spans="1:8">
      <c r="A120" s="793">
        <v>5110311304</v>
      </c>
      <c r="B120" s="77" t="s">
        <v>258</v>
      </c>
      <c r="C120" s="28">
        <v>1454750</v>
      </c>
    </row>
    <row r="121" spans="1:8">
      <c r="A121" s="793">
        <v>5140111203</v>
      </c>
      <c r="B121" s="77" t="s">
        <v>1104</v>
      </c>
      <c r="C121" s="28">
        <v>1661239</v>
      </c>
    </row>
    <row r="122" spans="1:8">
      <c r="A122" s="793">
        <v>5210111101</v>
      </c>
      <c r="B122" s="77" t="s">
        <v>517</v>
      </c>
      <c r="C122" s="28">
        <v>2419442</v>
      </c>
    </row>
    <row r="123" spans="1:8">
      <c r="A123" s="793">
        <v>5110411101</v>
      </c>
      <c r="B123" s="77" t="s">
        <v>423</v>
      </c>
      <c r="C123" s="28">
        <v>2641530</v>
      </c>
    </row>
    <row r="124" spans="1:8">
      <c r="A124" s="793">
        <v>5131011110</v>
      </c>
      <c r="B124" s="77" t="s">
        <v>484</v>
      </c>
      <c r="C124" s="28">
        <v>2910594</v>
      </c>
    </row>
    <row r="125" spans="1:8">
      <c r="A125" s="793">
        <v>5140111202</v>
      </c>
      <c r="B125" s="77" t="s">
        <v>1103</v>
      </c>
      <c r="C125" s="28">
        <v>3159901</v>
      </c>
    </row>
    <row r="126" spans="1:8">
      <c r="A126" s="793">
        <v>5130411104</v>
      </c>
      <c r="B126" s="77" t="s">
        <v>455</v>
      </c>
      <c r="C126" s="28">
        <v>3380000</v>
      </c>
    </row>
    <row r="127" spans="1:8">
      <c r="A127" s="793">
        <v>5130911105</v>
      </c>
      <c r="B127" s="77" t="s">
        <v>475</v>
      </c>
      <c r="C127" s="28">
        <v>3641710</v>
      </c>
    </row>
    <row r="128" spans="1:8">
      <c r="A128" s="793">
        <v>5140111204</v>
      </c>
      <c r="B128" s="77" t="s">
        <v>500</v>
      </c>
      <c r="C128" s="28">
        <v>4540584</v>
      </c>
    </row>
    <row r="129" spans="1:3">
      <c r="A129" s="793">
        <v>5150111202</v>
      </c>
      <c r="B129" s="77" t="s">
        <v>1106</v>
      </c>
      <c r="C129" s="28">
        <v>4915057</v>
      </c>
    </row>
    <row r="130" spans="1:3">
      <c r="A130" s="793">
        <v>5130911104</v>
      </c>
      <c r="B130" s="77" t="s">
        <v>611</v>
      </c>
      <c r="C130" s="28">
        <v>5096234</v>
      </c>
    </row>
    <row r="131" spans="1:3">
      <c r="A131" s="793">
        <v>5110311229</v>
      </c>
      <c r="B131" s="77" t="s">
        <v>525</v>
      </c>
      <c r="C131" s="28">
        <v>5212427</v>
      </c>
    </row>
    <row r="132" spans="1:3">
      <c r="A132" s="793">
        <v>5131011114</v>
      </c>
      <c r="B132" s="77" t="s">
        <v>487</v>
      </c>
      <c r="C132" s="28">
        <v>5340251</v>
      </c>
    </row>
    <row r="133" spans="1:3">
      <c r="A133" s="793">
        <v>5130911102</v>
      </c>
      <c r="B133" s="77" t="s">
        <v>474</v>
      </c>
      <c r="C133" s="28">
        <v>5347200</v>
      </c>
    </row>
    <row r="134" spans="1:3">
      <c r="A134" s="793">
        <v>5150111101</v>
      </c>
      <c r="B134" s="77" t="s">
        <v>506</v>
      </c>
      <c r="C134" s="28">
        <v>5451720</v>
      </c>
    </row>
    <row r="135" spans="1:3">
      <c r="A135" s="793">
        <v>5110311501</v>
      </c>
      <c r="B135" s="77" t="s">
        <v>1040</v>
      </c>
      <c r="C135" s="28">
        <v>6054796</v>
      </c>
    </row>
    <row r="136" spans="1:3">
      <c r="A136" s="793">
        <v>5150411101</v>
      </c>
      <c r="B136" s="77" t="s">
        <v>1110</v>
      </c>
      <c r="C136" s="28">
        <v>6370519</v>
      </c>
    </row>
    <row r="137" spans="1:3">
      <c r="A137" s="793">
        <v>5131011199</v>
      </c>
      <c r="B137" s="77" t="s">
        <v>492</v>
      </c>
      <c r="C137" s="28">
        <v>6648859</v>
      </c>
    </row>
    <row r="138" spans="1:3">
      <c r="A138" s="793">
        <v>5130211110</v>
      </c>
      <c r="B138" s="77" t="s">
        <v>1059</v>
      </c>
      <c r="C138" s="28">
        <v>7034291</v>
      </c>
    </row>
    <row r="139" spans="1:3">
      <c r="A139" s="793">
        <v>5110311208</v>
      </c>
      <c r="B139" s="77" t="s">
        <v>64</v>
      </c>
      <c r="C139" s="28">
        <v>7037733</v>
      </c>
    </row>
    <row r="140" spans="1:3">
      <c r="A140" s="793">
        <v>5110311202</v>
      </c>
      <c r="B140" s="77" t="s">
        <v>254</v>
      </c>
      <c r="C140" s="28">
        <v>7185272</v>
      </c>
    </row>
    <row r="141" spans="1:3">
      <c r="A141" s="793">
        <v>5131011106</v>
      </c>
      <c r="B141" s="77" t="s">
        <v>481</v>
      </c>
      <c r="C141" s="28">
        <v>7270000</v>
      </c>
    </row>
    <row r="142" spans="1:3">
      <c r="A142" s="793">
        <v>5110311204</v>
      </c>
      <c r="B142" s="77" t="s">
        <v>258</v>
      </c>
      <c r="C142" s="28">
        <v>7723454</v>
      </c>
    </row>
    <row r="143" spans="1:3">
      <c r="A143" s="793">
        <v>5131011122</v>
      </c>
      <c r="B143" s="77" t="s">
        <v>169</v>
      </c>
      <c r="C143" s="28">
        <v>7731739</v>
      </c>
    </row>
    <row r="144" spans="1:3">
      <c r="A144" s="793">
        <v>5130611105</v>
      </c>
      <c r="B144" s="77" t="s">
        <v>1083</v>
      </c>
      <c r="C144" s="28">
        <v>8071779</v>
      </c>
    </row>
    <row r="145" spans="1:3">
      <c r="A145" s="793">
        <v>5130411103</v>
      </c>
      <c r="B145" s="77" t="s">
        <v>1064</v>
      </c>
      <c r="C145" s="28">
        <v>8750358</v>
      </c>
    </row>
    <row r="146" spans="1:3">
      <c r="A146" s="793">
        <v>5110311217</v>
      </c>
      <c r="B146" s="77" t="s">
        <v>271</v>
      </c>
      <c r="C146" s="28">
        <v>8793386</v>
      </c>
    </row>
    <row r="147" spans="1:3">
      <c r="A147" s="793">
        <v>5150111204</v>
      </c>
      <c r="B147" s="77" t="s">
        <v>1108</v>
      </c>
      <c r="C147" s="28">
        <v>9898862</v>
      </c>
    </row>
    <row r="148" spans="1:3">
      <c r="A148" s="793">
        <v>5130211106</v>
      </c>
      <c r="B148" s="77" t="s">
        <v>444</v>
      </c>
      <c r="C148" s="28">
        <v>9990190</v>
      </c>
    </row>
    <row r="149" spans="1:3">
      <c r="A149" s="793">
        <v>5131011101</v>
      </c>
      <c r="B149" s="77" t="s">
        <v>1092</v>
      </c>
      <c r="C149" s="28">
        <v>11331725</v>
      </c>
    </row>
    <row r="150" spans="1:3">
      <c r="A150" s="793">
        <v>5110311206</v>
      </c>
      <c r="B150" s="77" t="s">
        <v>60</v>
      </c>
      <c r="C150" s="28">
        <v>12294287</v>
      </c>
    </row>
    <row r="151" spans="1:3">
      <c r="A151" s="793">
        <v>5110311205</v>
      </c>
      <c r="B151" s="77" t="s">
        <v>59</v>
      </c>
      <c r="C151" s="28">
        <v>12368046</v>
      </c>
    </row>
    <row r="152" spans="1:3">
      <c r="A152" s="793">
        <v>5130111106</v>
      </c>
      <c r="B152" s="77" t="s">
        <v>437</v>
      </c>
      <c r="C152" s="28">
        <v>15358757</v>
      </c>
    </row>
    <row r="153" spans="1:3">
      <c r="A153" s="793">
        <v>5130111106</v>
      </c>
      <c r="B153" s="77" t="s">
        <v>1055</v>
      </c>
      <c r="C153" s="28">
        <v>15358757</v>
      </c>
    </row>
    <row r="154" spans="1:3">
      <c r="A154" s="793">
        <v>5130411109</v>
      </c>
      <c r="B154" s="77" t="s">
        <v>1067</v>
      </c>
      <c r="C154" s="28">
        <v>15567827</v>
      </c>
    </row>
    <row r="155" spans="1:3">
      <c r="A155" s="793">
        <v>5131011102</v>
      </c>
      <c r="B155" s="77" t="s">
        <v>478</v>
      </c>
      <c r="C155" s="28">
        <v>18209097</v>
      </c>
    </row>
    <row r="156" spans="1:3">
      <c r="A156" s="793">
        <v>5131011116</v>
      </c>
      <c r="B156" s="77" t="s">
        <v>489</v>
      </c>
      <c r="C156" s="28">
        <v>18680664</v>
      </c>
    </row>
    <row r="157" spans="1:3">
      <c r="A157" s="793">
        <v>5120111103</v>
      </c>
      <c r="B157" s="77" t="s">
        <v>428</v>
      </c>
      <c r="C157" s="28">
        <v>19306940</v>
      </c>
    </row>
    <row r="158" spans="1:3">
      <c r="A158" s="793">
        <v>5130211109</v>
      </c>
      <c r="B158" s="77" t="s">
        <v>447</v>
      </c>
      <c r="C158" s="28">
        <v>20490909</v>
      </c>
    </row>
    <row r="159" spans="1:3">
      <c r="A159" s="793">
        <v>5131011117</v>
      </c>
      <c r="B159" s="77" t="s">
        <v>612</v>
      </c>
      <c r="C159" s="28">
        <v>21607588</v>
      </c>
    </row>
    <row r="160" spans="1:3">
      <c r="A160" s="793">
        <v>5140111201</v>
      </c>
      <c r="B160" s="77" t="s">
        <v>1102</v>
      </c>
      <c r="C160" s="28">
        <v>22189641</v>
      </c>
    </row>
    <row r="161" spans="1:3">
      <c r="A161" s="793">
        <v>5131011108</v>
      </c>
      <c r="B161" s="77" t="s">
        <v>1094</v>
      </c>
      <c r="C161" s="28">
        <v>23241441</v>
      </c>
    </row>
    <row r="162" spans="1:3">
      <c r="A162" s="793">
        <v>5110311207</v>
      </c>
      <c r="B162" s="77" t="s">
        <v>63</v>
      </c>
      <c r="C162" s="28">
        <v>26161406</v>
      </c>
    </row>
    <row r="163" spans="1:3">
      <c r="A163" s="793">
        <v>5110311305</v>
      </c>
      <c r="B163" s="77" t="s">
        <v>59</v>
      </c>
      <c r="C163" s="28">
        <v>27445119</v>
      </c>
    </row>
    <row r="164" spans="1:3">
      <c r="A164" s="793">
        <v>5120111105</v>
      </c>
      <c r="B164" s="77" t="s">
        <v>430</v>
      </c>
      <c r="C164" s="28">
        <v>27951000</v>
      </c>
    </row>
    <row r="165" spans="1:3">
      <c r="A165" s="793">
        <v>5110211202</v>
      </c>
      <c r="B165" s="77" t="s">
        <v>409</v>
      </c>
      <c r="C165" s="28">
        <v>34800555</v>
      </c>
    </row>
    <row r="166" spans="1:3">
      <c r="A166" s="793">
        <v>5130211104</v>
      </c>
      <c r="B166" s="77" t="s">
        <v>442</v>
      </c>
      <c r="C166" s="28">
        <v>35032512</v>
      </c>
    </row>
    <row r="167" spans="1:3">
      <c r="A167" s="793">
        <v>5110311334</v>
      </c>
      <c r="B167" s="77" t="s">
        <v>1039</v>
      </c>
      <c r="C167" s="28">
        <v>45722769</v>
      </c>
    </row>
    <row r="168" spans="1:3">
      <c r="A168" s="793">
        <v>5131011115</v>
      </c>
      <c r="B168" s="77" t="s">
        <v>488</v>
      </c>
      <c r="C168" s="28">
        <v>46807912</v>
      </c>
    </row>
    <row r="169" spans="1:3">
      <c r="A169" s="793">
        <v>5130211102</v>
      </c>
      <c r="B169" s="77" t="s">
        <v>440</v>
      </c>
      <c r="C169" s="28">
        <v>50730000</v>
      </c>
    </row>
    <row r="170" spans="1:3">
      <c r="A170" s="793">
        <v>5131011104</v>
      </c>
      <c r="B170" s="77" t="s">
        <v>479</v>
      </c>
      <c r="C170" s="28">
        <v>59835585</v>
      </c>
    </row>
    <row r="171" spans="1:3">
      <c r="A171" s="793">
        <v>5130311103</v>
      </c>
      <c r="B171" s="77" t="s">
        <v>450</v>
      </c>
      <c r="C171" s="28">
        <v>60000000</v>
      </c>
    </row>
    <row r="172" spans="1:3">
      <c r="A172" s="793">
        <v>5110211201</v>
      </c>
      <c r="B172" s="77" t="s">
        <v>408</v>
      </c>
      <c r="C172" s="28">
        <v>61122280</v>
      </c>
    </row>
    <row r="173" spans="1:3">
      <c r="A173" s="793">
        <v>5110111301</v>
      </c>
      <c r="B173" s="77" t="s">
        <v>1035</v>
      </c>
      <c r="C173" s="28">
        <v>62289108</v>
      </c>
    </row>
    <row r="174" spans="1:3">
      <c r="A174" s="793">
        <v>5110311302</v>
      </c>
      <c r="B174" s="77" t="s">
        <v>254</v>
      </c>
      <c r="C174" s="28">
        <v>63459642</v>
      </c>
    </row>
    <row r="175" spans="1:3">
      <c r="A175" s="793">
        <v>5120111101</v>
      </c>
      <c r="B175" s="77" t="s">
        <v>427</v>
      </c>
      <c r="C175" s="28">
        <v>69176120</v>
      </c>
    </row>
    <row r="176" spans="1:3">
      <c r="A176" s="793">
        <v>5131011119</v>
      </c>
      <c r="B176" s="77" t="s">
        <v>490</v>
      </c>
      <c r="C176" s="28">
        <v>93889248</v>
      </c>
    </row>
    <row r="177" spans="1:3">
      <c r="A177" s="793">
        <v>5210111102</v>
      </c>
      <c r="B177" s="77" t="s">
        <v>1112</v>
      </c>
      <c r="C177" s="28">
        <v>100733860</v>
      </c>
    </row>
    <row r="178" spans="1:3">
      <c r="A178" s="793">
        <v>5150111201</v>
      </c>
      <c r="B178" s="77" t="s">
        <v>510</v>
      </c>
      <c r="C178" s="28">
        <v>104428639</v>
      </c>
    </row>
    <row r="179" spans="1:3">
      <c r="A179" s="793">
        <v>5110311103</v>
      </c>
      <c r="B179" s="77" t="s">
        <v>64</v>
      </c>
      <c r="C179" s="28">
        <v>114661506</v>
      </c>
    </row>
    <row r="180" spans="1:3">
      <c r="A180" s="793">
        <v>5110311231</v>
      </c>
      <c r="B180" s="77" t="s">
        <v>415</v>
      </c>
      <c r="C180" s="28">
        <v>139352900</v>
      </c>
    </row>
    <row r="181" spans="1:3">
      <c r="A181" s="793">
        <v>5150111102</v>
      </c>
      <c r="B181" s="77" t="s">
        <v>507</v>
      </c>
      <c r="C181" s="28">
        <v>142849588</v>
      </c>
    </row>
    <row r="182" spans="1:3">
      <c r="A182" s="793">
        <v>5130711102</v>
      </c>
      <c r="B182" s="77" t="s">
        <v>1086</v>
      </c>
      <c r="C182" s="28">
        <v>146204952</v>
      </c>
    </row>
    <row r="183" spans="1:3">
      <c r="A183" s="793">
        <v>5130411101</v>
      </c>
      <c r="B183" s="77" t="s">
        <v>453</v>
      </c>
      <c r="C183" s="28">
        <v>162609263</v>
      </c>
    </row>
    <row r="184" spans="1:3">
      <c r="A184" s="793">
        <v>5130411105</v>
      </c>
      <c r="B184" s="77" t="s">
        <v>456</v>
      </c>
      <c r="C184" s="28">
        <v>168367415</v>
      </c>
    </row>
    <row r="185" spans="1:3">
      <c r="A185" s="793">
        <v>5110211102</v>
      </c>
      <c r="B185" s="77" t="s">
        <v>407</v>
      </c>
      <c r="C185" s="28">
        <v>170645896</v>
      </c>
    </row>
    <row r="186" spans="1:3">
      <c r="A186" s="793">
        <v>5130521104</v>
      </c>
      <c r="B186" s="77" t="s">
        <v>464</v>
      </c>
      <c r="C186" s="28">
        <v>172417162</v>
      </c>
    </row>
    <row r="187" spans="1:3">
      <c r="A187" s="793">
        <v>5110311307</v>
      </c>
      <c r="B187" s="77" t="s">
        <v>63</v>
      </c>
      <c r="C187" s="28">
        <v>187819419</v>
      </c>
    </row>
    <row r="188" spans="1:3">
      <c r="A188" s="793">
        <v>5130111105</v>
      </c>
      <c r="B188" s="77" t="s">
        <v>436</v>
      </c>
      <c r="C188" s="28">
        <v>191608440</v>
      </c>
    </row>
    <row r="189" spans="1:3">
      <c r="A189" s="793">
        <v>5130111105</v>
      </c>
      <c r="B189" s="77" t="s">
        <v>1054</v>
      </c>
      <c r="C189" s="28">
        <v>191608440</v>
      </c>
    </row>
    <row r="190" spans="1:3">
      <c r="A190" s="793">
        <v>5130211107</v>
      </c>
      <c r="B190" s="77" t="s">
        <v>1058</v>
      </c>
      <c r="C190" s="28">
        <v>192725015</v>
      </c>
    </row>
    <row r="191" spans="1:3">
      <c r="A191" s="793">
        <v>5130211103</v>
      </c>
      <c r="B191" s="77" t="s">
        <v>441</v>
      </c>
      <c r="C191" s="28">
        <v>196233333</v>
      </c>
    </row>
    <row r="192" spans="1:3">
      <c r="A192" s="793">
        <v>5130521102</v>
      </c>
      <c r="B192" s="77" t="s">
        <v>463</v>
      </c>
      <c r="C192" s="28">
        <v>217085117</v>
      </c>
    </row>
    <row r="193" spans="1:3">
      <c r="A193" s="793">
        <v>5130521105</v>
      </c>
      <c r="B193" s="77" t="s">
        <v>465</v>
      </c>
      <c r="C193" s="28">
        <v>230651376</v>
      </c>
    </row>
    <row r="194" spans="1:3">
      <c r="A194" s="793">
        <v>5130111107</v>
      </c>
      <c r="B194" s="77" t="s">
        <v>438</v>
      </c>
      <c r="C194" s="28">
        <v>231093572</v>
      </c>
    </row>
    <row r="195" spans="1:3">
      <c r="A195" s="793">
        <v>5110211101</v>
      </c>
      <c r="B195" s="77" t="s">
        <v>406</v>
      </c>
      <c r="C195" s="28">
        <v>253405276</v>
      </c>
    </row>
    <row r="196" spans="1:3">
      <c r="A196" s="793">
        <v>5130211108</v>
      </c>
      <c r="B196" s="77" t="s">
        <v>446</v>
      </c>
      <c r="C196" s="28">
        <v>282859050</v>
      </c>
    </row>
    <row r="197" spans="1:3">
      <c r="A197" s="793">
        <v>5130711101</v>
      </c>
      <c r="B197" s="77" t="s">
        <v>1085</v>
      </c>
      <c r="C197" s="28">
        <v>311032161</v>
      </c>
    </row>
    <row r="198" spans="1:3">
      <c r="A198" s="793">
        <v>5110311329</v>
      </c>
      <c r="B198" s="77" t="s">
        <v>609</v>
      </c>
      <c r="C198" s="28">
        <v>328080161</v>
      </c>
    </row>
    <row r="199" spans="1:3">
      <c r="A199" s="793">
        <v>5150111103</v>
      </c>
      <c r="B199" s="77" t="s">
        <v>508</v>
      </c>
      <c r="C199" s="28">
        <v>329682135</v>
      </c>
    </row>
    <row r="200" spans="1:3">
      <c r="A200" s="793">
        <v>5140111102</v>
      </c>
      <c r="B200" s="77" t="s">
        <v>1100</v>
      </c>
      <c r="C200" s="28">
        <v>359045102</v>
      </c>
    </row>
    <row r="201" spans="1:3">
      <c r="A201" s="793">
        <v>5130311104</v>
      </c>
      <c r="B201" s="77" t="s">
        <v>451</v>
      </c>
      <c r="C201" s="28">
        <v>359415474</v>
      </c>
    </row>
    <row r="202" spans="1:3">
      <c r="A202" s="793">
        <v>5110311301</v>
      </c>
      <c r="B202" s="77" t="s">
        <v>57</v>
      </c>
      <c r="C202" s="28">
        <v>390093875</v>
      </c>
    </row>
    <row r="203" spans="1:3">
      <c r="A203" s="793">
        <v>5130111104</v>
      </c>
      <c r="B203" s="77" t="s">
        <v>435</v>
      </c>
      <c r="C203" s="28">
        <v>393165190</v>
      </c>
    </row>
    <row r="204" spans="1:3">
      <c r="A204" s="793">
        <v>5130111104</v>
      </c>
      <c r="B204" s="77" t="s">
        <v>1053</v>
      </c>
      <c r="C204" s="28">
        <v>393165190</v>
      </c>
    </row>
    <row r="205" spans="1:3">
      <c r="A205" s="793">
        <v>5130711103</v>
      </c>
      <c r="B205" s="77" t="s">
        <v>472</v>
      </c>
      <c r="C205" s="28">
        <v>506331767</v>
      </c>
    </row>
    <row r="206" spans="1:3">
      <c r="A206" s="793">
        <v>5130311102</v>
      </c>
      <c r="B206" s="77" t="s">
        <v>449</v>
      </c>
      <c r="C206" s="28">
        <v>519714100</v>
      </c>
    </row>
    <row r="207" spans="1:3">
      <c r="A207" s="793">
        <v>5130411106</v>
      </c>
      <c r="B207" s="77" t="s">
        <v>457</v>
      </c>
      <c r="C207" s="28">
        <v>572222404</v>
      </c>
    </row>
    <row r="208" spans="1:3">
      <c r="A208" s="793">
        <v>5130211101</v>
      </c>
      <c r="B208" s="77" t="s">
        <v>439</v>
      </c>
      <c r="C208" s="28">
        <v>848662865</v>
      </c>
    </row>
    <row r="209" spans="1:3">
      <c r="A209" s="793">
        <v>5130411107</v>
      </c>
      <c r="B209" s="77" t="s">
        <v>1065</v>
      </c>
      <c r="C209" s="28">
        <v>1407990702</v>
      </c>
    </row>
    <row r="210" spans="1:3">
      <c r="A210" s="793">
        <v>5130111101</v>
      </c>
      <c r="B210" s="77" t="s">
        <v>433</v>
      </c>
      <c r="C210" s="28">
        <v>3172382441</v>
      </c>
    </row>
    <row r="211" spans="1:3">
      <c r="A211" s="793">
        <v>5130111101</v>
      </c>
      <c r="B211" s="77" t="s">
        <v>1050</v>
      </c>
      <c r="C211" s="28">
        <v>3172382441</v>
      </c>
    </row>
    <row r="212" spans="1:3">
      <c r="A212" s="793">
        <v>5140111302</v>
      </c>
      <c r="B212" s="77" t="s">
        <v>386</v>
      </c>
      <c r="C212" s="28">
        <v>4900169282</v>
      </c>
    </row>
    <row r="213" spans="1:3">
      <c r="A213" s="793">
        <v>5140111301</v>
      </c>
      <c r="B213" s="77" t="s">
        <v>385</v>
      </c>
      <c r="C213" s="28">
        <v>7980677958</v>
      </c>
    </row>
    <row r="214" spans="1:3">
      <c r="A214" s="821"/>
      <c r="B214" s="821"/>
      <c r="C214" s="821"/>
    </row>
  </sheetData>
  <sortState xmlns:xlrd2="http://schemas.microsoft.com/office/spreadsheetml/2017/richdata2" ref="A110:C214">
    <sortCondition ref="C110:C214"/>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B0F0"/>
  </sheetPr>
  <dimension ref="A1:T1784"/>
  <sheetViews>
    <sheetView showGridLines="0" zoomScale="85" zoomScaleNormal="85" workbookViewId="0">
      <pane xSplit="6" ySplit="4" topLeftCell="G1740" activePane="bottomRight" state="frozen"/>
      <selection activeCell="D365" sqref="D365"/>
      <selection pane="topRight" activeCell="D365" sqref="D365"/>
      <selection pane="bottomLeft" activeCell="D365" sqref="D365"/>
      <selection pane="bottomRight" activeCell="B1" sqref="B1"/>
    </sheetView>
  </sheetViews>
  <sheetFormatPr baseColWidth="10" defaultColWidth="41.5546875" defaultRowHeight="11.4"/>
  <cols>
    <col min="1" max="1" width="13" style="15" customWidth="1"/>
    <col min="2" max="2" width="45.109375" style="15" customWidth="1"/>
    <col min="3" max="3" width="15" style="16" bestFit="1" customWidth="1"/>
    <col min="4" max="4" width="42.6640625" style="16" bestFit="1" customWidth="1"/>
    <col min="5" max="5" width="10" style="17" bestFit="1" customWidth="1"/>
    <col min="6" max="6" width="6.33203125" style="17" customWidth="1"/>
    <col min="7" max="7" width="21" style="25" bestFit="1" customWidth="1"/>
    <col min="8" max="8" width="16.44140625" style="18" customWidth="1"/>
    <col min="9" max="9" width="4.109375" style="15" customWidth="1"/>
    <col min="10" max="10" width="21" style="25" bestFit="1" customWidth="1"/>
    <col min="11" max="11" width="16.44140625" style="362" customWidth="1"/>
    <col min="12" max="15" width="4.44140625" style="15" hidden="1" customWidth="1"/>
    <col min="16" max="16" width="14.109375" style="15" customWidth="1"/>
    <col min="17" max="17" width="5.33203125" style="15" customWidth="1"/>
    <col min="18" max="18" width="17.88671875" style="15" customWidth="1"/>
    <col min="19" max="19" width="17" style="15" customWidth="1"/>
    <col min="20" max="16384" width="41.5546875" style="15"/>
  </cols>
  <sheetData>
    <row r="1" spans="1:18">
      <c r="B1" s="22" t="s">
        <v>1</v>
      </c>
    </row>
    <row r="2" spans="1:18" ht="14.4">
      <c r="B2" s="23" t="s">
        <v>3</v>
      </c>
      <c r="D2" s="1203"/>
      <c r="G2" s="1485" t="s">
        <v>626</v>
      </c>
      <c r="H2" s="1480"/>
      <c r="I2" s="1480"/>
      <c r="J2" s="1480"/>
      <c r="K2" s="1481"/>
    </row>
    <row r="3" spans="1:18" ht="12">
      <c r="G3" s="1482" t="s">
        <v>3014</v>
      </c>
      <c r="H3" s="1483"/>
      <c r="I3" s="351"/>
      <c r="J3" s="1483" t="s">
        <v>627</v>
      </c>
      <c r="K3" s="1484"/>
    </row>
    <row r="4" spans="1:18" s="17" customFormat="1" ht="12">
      <c r="A4" s="19" t="s">
        <v>628</v>
      </c>
      <c r="B4" s="19" t="s">
        <v>629</v>
      </c>
      <c r="C4" s="33" t="s">
        <v>630</v>
      </c>
      <c r="D4" s="19" t="s">
        <v>6</v>
      </c>
      <c r="E4" s="19" t="s">
        <v>631</v>
      </c>
      <c r="F4" s="19" t="s">
        <v>5</v>
      </c>
      <c r="G4" s="26" t="s">
        <v>632</v>
      </c>
      <c r="H4" s="26" t="s">
        <v>633</v>
      </c>
      <c r="I4" s="19"/>
      <c r="J4" s="27" t="s">
        <v>632</v>
      </c>
      <c r="K4" s="363" t="s">
        <v>633</v>
      </c>
    </row>
    <row r="5" spans="1:18" ht="12" customHeight="1">
      <c r="A5" s="354" t="s">
        <v>10</v>
      </c>
      <c r="B5" s="354"/>
      <c r="C5" s="355">
        <v>1</v>
      </c>
      <c r="D5" s="354" t="s">
        <v>10</v>
      </c>
      <c r="E5" s="356" t="s">
        <v>634</v>
      </c>
      <c r="F5" s="356" t="str">
        <f>+IF(LEN(C5)&gt;8,"I","NI")</f>
        <v>NI</v>
      </c>
      <c r="G5" s="28">
        <f>+IF(F5="i",IFERROR(VLOOKUP(C5,'BG 12.2024'!$B:$E,3,FALSE),0),0)</f>
        <v>0</v>
      </c>
      <c r="H5" s="21">
        <f>+IF(F5="i",IFERROR(VLOOKUP(C5,'BG 12.2024'!$B:$E,4,FALSE),0),0)</f>
        <v>0</v>
      </c>
      <c r="I5" s="21"/>
      <c r="J5" s="28">
        <f>+IF(F5="i",IFERROR(VLOOKUP(C5,'BG 2023'!$B:$E,3,FALSE),0),0)</f>
        <v>0</v>
      </c>
      <c r="K5" s="21">
        <f>+IF(F5="i",IFERROR(VLOOKUP(C5,'BG 2023'!$B:$E,4,FALSE),0),0)</f>
        <v>0</v>
      </c>
      <c r="M5" s="15">
        <f>+VLOOKUP(C5,'BG 2023'!$B:$E,1,0)</f>
        <v>1</v>
      </c>
      <c r="N5" s="806">
        <f>+VLOOKUP(C5,'BG 2023'!$B:$E,3,0)</f>
        <v>73116587840</v>
      </c>
      <c r="O5" s="807">
        <f>+N5-G5</f>
        <v>73116587840</v>
      </c>
      <c r="P5" s="807"/>
      <c r="R5" s="807">
        <f>+IFERROR(VLOOKUP(C5,'CA FE'!$A$5:$C$155,3,G53),0)-G5</f>
        <v>0</v>
      </c>
    </row>
    <row r="6" spans="1:18" ht="12" customHeight="1">
      <c r="A6" s="354" t="s">
        <v>10</v>
      </c>
      <c r="B6" s="354"/>
      <c r="C6" s="355">
        <v>11</v>
      </c>
      <c r="D6" s="354" t="s">
        <v>11</v>
      </c>
      <c r="E6" s="356" t="s">
        <v>634</v>
      </c>
      <c r="F6" s="356" t="str">
        <f t="shared" ref="F6:F90" si="0">+IF(LEN(C6)&gt;8,"I","NI")</f>
        <v>NI</v>
      </c>
      <c r="G6" s="28">
        <f>+IF(F6="i",IFERROR(VLOOKUP(C6,'BG 12.2024'!$B:$E,3,FALSE),0),0)</f>
        <v>0</v>
      </c>
      <c r="H6" s="21">
        <f>+IF(F6="i",IFERROR(VLOOKUP(C6,'BG 12.2024'!$B:$E,4,FALSE),0),0)</f>
        <v>0</v>
      </c>
      <c r="I6" s="21"/>
      <c r="J6" s="28">
        <f>+IF(F6="i",IFERROR(VLOOKUP(C6,'BG 2023'!$B:$E,3,FALSE),0),0)</f>
        <v>0</v>
      </c>
      <c r="K6" s="21">
        <f>+IF(F6="i",IFERROR(VLOOKUP(C6,'BG 2023'!$B:$E,4,FALSE),0),0)</f>
        <v>0</v>
      </c>
      <c r="M6" s="15">
        <f>+VLOOKUP(C6,'BG 2023'!$B:$E,1,0)</f>
        <v>11</v>
      </c>
      <c r="N6" s="806">
        <f>+VLOOKUP(C6,'BG 2023'!$B:$E,3,0)</f>
        <v>69368814612</v>
      </c>
      <c r="O6" s="807">
        <f t="shared" ref="O6:O90" si="1">+N6-G6</f>
        <v>69368814612</v>
      </c>
      <c r="P6" s="807"/>
      <c r="R6" s="807">
        <f>+IFERROR(VLOOKUP(C6,'CA FE'!$A$5:$C$155,3,G54),0)-G6</f>
        <v>0</v>
      </c>
    </row>
    <row r="7" spans="1:18" ht="12" customHeight="1">
      <c r="A7" s="354" t="s">
        <v>10</v>
      </c>
      <c r="B7" s="354"/>
      <c r="C7" s="355">
        <v>111</v>
      </c>
      <c r="D7" s="354" t="s">
        <v>12</v>
      </c>
      <c r="E7" s="356" t="s">
        <v>634</v>
      </c>
      <c r="F7" s="356" t="str">
        <f t="shared" si="0"/>
        <v>NI</v>
      </c>
      <c r="G7" s="28">
        <f>+IF(F7="i",IFERROR(VLOOKUP(C7,'BG 12.2024'!$B:$E,3,FALSE),0),0)</f>
        <v>0</v>
      </c>
      <c r="H7" s="21">
        <f>+IF(F7="i",IFERROR(VLOOKUP(C7,'BG 12.2024'!$B:$E,4,FALSE),0),0)</f>
        <v>0</v>
      </c>
      <c r="I7" s="21"/>
      <c r="J7" s="28">
        <f>+IF(F7="i",IFERROR(VLOOKUP(C7,'BG 2023'!$B:$E,3,FALSE),0),0)</f>
        <v>0</v>
      </c>
      <c r="K7" s="21">
        <f>+IF(F7="i",IFERROR(VLOOKUP(C7,'BG 2023'!$B:$E,4,FALSE),0),0)</f>
        <v>0</v>
      </c>
      <c r="M7" s="15">
        <f>+VLOOKUP(C7,'BG 2023'!$B:$E,1,0)</f>
        <v>111</v>
      </c>
      <c r="N7" s="806">
        <f>+VLOOKUP(C7,'BG 2023'!$B:$E,3,0)</f>
        <v>4977928582</v>
      </c>
      <c r="O7" s="807">
        <f t="shared" si="1"/>
        <v>4977928582</v>
      </c>
      <c r="P7" s="807"/>
      <c r="R7" s="807">
        <f>+IFERROR(VLOOKUP(C7,'CA FE'!$A$5:$C$155,3,G55),0)-G7</f>
        <v>0</v>
      </c>
    </row>
    <row r="8" spans="1:18" ht="12" customHeight="1">
      <c r="A8" s="354" t="s">
        <v>10</v>
      </c>
      <c r="B8" s="354"/>
      <c r="C8" s="355">
        <v>11111</v>
      </c>
      <c r="D8" s="354" t="s">
        <v>635</v>
      </c>
      <c r="E8" s="356" t="s">
        <v>634</v>
      </c>
      <c r="F8" s="356" t="str">
        <f t="shared" si="0"/>
        <v>NI</v>
      </c>
      <c r="G8" s="28">
        <f>+IF(F8="i",IFERROR(VLOOKUP(C8,'BG 12.2024'!$B:$E,3,FALSE),0),0)</f>
        <v>0</v>
      </c>
      <c r="H8" s="21">
        <f>+IF(F8="i",IFERROR(VLOOKUP(C8,'BG 12.2024'!$B:$E,4,FALSE),0),0)</f>
        <v>0</v>
      </c>
      <c r="I8" s="21"/>
      <c r="J8" s="28">
        <f>+IF(F8="i",IFERROR(VLOOKUP(C8,'BG 2023'!$B:$E,3,FALSE),0),0)</f>
        <v>0</v>
      </c>
      <c r="K8" s="21">
        <f>+IF(F8="i",IFERROR(VLOOKUP(C8,'BG 2023'!$B:$E,4,FALSE),0),0)</f>
        <v>0</v>
      </c>
      <c r="M8" s="15" t="e">
        <f>+VLOOKUP(C8,'BG 2023'!$B:$E,1,0)</f>
        <v>#N/A</v>
      </c>
      <c r="N8" s="806" t="e">
        <f>+VLOOKUP(C8,'BG 2023'!$B:$E,3,0)</f>
        <v>#N/A</v>
      </c>
      <c r="O8" s="807" t="e">
        <f t="shared" si="1"/>
        <v>#N/A</v>
      </c>
      <c r="P8" s="807"/>
      <c r="R8" s="807">
        <f>+IFERROR(VLOOKUP(C8,'CA FE'!$A$5:$C$155,3,G56),0)-G8</f>
        <v>0</v>
      </c>
    </row>
    <row r="9" spans="1:18" ht="12" customHeight="1">
      <c r="A9" s="354" t="s">
        <v>10</v>
      </c>
      <c r="B9" s="354"/>
      <c r="C9" s="355">
        <v>111111</v>
      </c>
      <c r="D9" s="354" t="s">
        <v>635</v>
      </c>
      <c r="E9" s="356" t="s">
        <v>634</v>
      </c>
      <c r="F9" s="356" t="str">
        <f t="shared" si="0"/>
        <v>NI</v>
      </c>
      <c r="G9" s="28">
        <f>+IF(F9="i",IFERROR(VLOOKUP(C9,'BG 12.2024'!$B:$E,3,FALSE),0),0)</f>
        <v>0</v>
      </c>
      <c r="H9" s="21">
        <f>+IF(F9="i",IFERROR(VLOOKUP(C9,'BG 12.2024'!$B:$E,4,FALSE),0),0)</f>
        <v>0</v>
      </c>
      <c r="I9" s="21"/>
      <c r="J9" s="28">
        <f>+IF(F9="i",IFERROR(VLOOKUP(C9,'BG 2023'!$B:$E,3,FALSE),0),0)</f>
        <v>0</v>
      </c>
      <c r="K9" s="21">
        <f>+IF(F9="i",IFERROR(VLOOKUP(C9,'BG 2023'!$B:$E,4,FALSE),0),0)</f>
        <v>0</v>
      </c>
      <c r="M9" s="15" t="e">
        <f>+VLOOKUP(C9,'BG 2023'!$B:$E,1,0)</f>
        <v>#N/A</v>
      </c>
      <c r="N9" s="806" t="e">
        <f>+VLOOKUP(C9,'BG 2023'!$B:$E,3,0)</f>
        <v>#N/A</v>
      </c>
      <c r="O9" s="807" t="e">
        <f t="shared" si="1"/>
        <v>#N/A</v>
      </c>
      <c r="P9" s="807"/>
      <c r="R9" s="807">
        <f>+IFERROR(VLOOKUP(C9,'CA FE'!$A$5:$C$155,3,G57),0)-G9</f>
        <v>0</v>
      </c>
    </row>
    <row r="10" spans="1:18" ht="12" customHeight="1">
      <c r="A10" s="354" t="s">
        <v>10</v>
      </c>
      <c r="B10" s="354"/>
      <c r="C10" s="355">
        <v>1111111</v>
      </c>
      <c r="D10" s="354" t="s">
        <v>636</v>
      </c>
      <c r="E10" s="356" t="s">
        <v>634</v>
      </c>
      <c r="F10" s="356" t="str">
        <f t="shared" si="0"/>
        <v>NI</v>
      </c>
      <c r="G10" s="28">
        <f>+IF(F10="i",IFERROR(VLOOKUP(C10,'BG 12.2024'!$B:$E,3,FALSE),0),0)</f>
        <v>0</v>
      </c>
      <c r="H10" s="21">
        <f>+IF(F10="i",IFERROR(VLOOKUP(C10,'BG 12.2024'!$B:$E,4,FALSE),0),0)</f>
        <v>0</v>
      </c>
      <c r="I10" s="21"/>
      <c r="J10" s="28">
        <f>+IF(F10="i",IFERROR(VLOOKUP(C10,'BG 2023'!$B:$E,3,FALSE),0),0)</f>
        <v>0</v>
      </c>
      <c r="K10" s="21">
        <f>+IF(F10="i",IFERROR(VLOOKUP(C10,'BG 2023'!$B:$E,4,FALSE),0),0)</f>
        <v>0</v>
      </c>
      <c r="M10" s="15" t="e">
        <f>+VLOOKUP(C10,'BG 2023'!$B:$E,1,0)</f>
        <v>#N/A</v>
      </c>
      <c r="N10" s="806" t="e">
        <f>+VLOOKUP(C10,'BG 2023'!$B:$E,3,0)</f>
        <v>#N/A</v>
      </c>
      <c r="O10" s="807" t="e">
        <f t="shared" si="1"/>
        <v>#N/A</v>
      </c>
      <c r="P10" s="807"/>
      <c r="R10" s="807">
        <f>+IFERROR(VLOOKUP(C10,'CA FE'!$A$5:$C$155,3,G58),0)-G10</f>
        <v>0</v>
      </c>
    </row>
    <row r="11" spans="1:18" ht="12" customHeight="1">
      <c r="A11" s="354" t="s">
        <v>10</v>
      </c>
      <c r="B11" s="354"/>
      <c r="C11" s="355">
        <v>11111111</v>
      </c>
      <c r="D11" s="354" t="s">
        <v>636</v>
      </c>
      <c r="E11" s="356" t="s">
        <v>634</v>
      </c>
      <c r="F11" s="356" t="str">
        <f t="shared" si="0"/>
        <v>NI</v>
      </c>
      <c r="G11" s="28">
        <f>+IF(F11="i",IFERROR(VLOOKUP(C11,'BG 12.2024'!$B:$E,3,FALSE),0),0)</f>
        <v>0</v>
      </c>
      <c r="H11" s="21">
        <f>+IF(F11="i",IFERROR(VLOOKUP(C11,'BG 12.2024'!$B:$E,4,FALSE),0),0)</f>
        <v>0</v>
      </c>
      <c r="I11" s="21"/>
      <c r="J11" s="28">
        <f>+IF(F11="i",IFERROR(VLOOKUP(C11,'BG 2023'!$B:$E,3,FALSE),0),0)</f>
        <v>0</v>
      </c>
      <c r="K11" s="21">
        <f>+IF(F11="i",IFERROR(VLOOKUP(C11,'BG 2023'!$B:$E,4,FALSE),0),0)</f>
        <v>0</v>
      </c>
      <c r="M11" s="15" t="e">
        <f>+VLOOKUP(C11,'BG 2023'!$B:$E,1,0)</f>
        <v>#N/A</v>
      </c>
      <c r="N11" s="806" t="e">
        <f>+VLOOKUP(C11,'BG 2023'!$B:$E,3,0)</f>
        <v>#N/A</v>
      </c>
      <c r="O11" s="807" t="e">
        <f t="shared" si="1"/>
        <v>#N/A</v>
      </c>
      <c r="P11" s="807"/>
      <c r="R11" s="807">
        <f>+IFERROR(VLOOKUP(C11,'CA FE'!$A$5:$C$155,3,G60),0)-G11</f>
        <v>0</v>
      </c>
    </row>
    <row r="12" spans="1:18" ht="12" customHeight="1">
      <c r="A12" s="354" t="s">
        <v>10</v>
      </c>
      <c r="B12" s="354"/>
      <c r="C12" s="355">
        <v>1111111101</v>
      </c>
      <c r="D12" s="354" t="s">
        <v>636</v>
      </c>
      <c r="E12" s="356" t="s">
        <v>634</v>
      </c>
      <c r="F12" s="356" t="str">
        <f t="shared" si="0"/>
        <v>I</v>
      </c>
      <c r="G12" s="28">
        <f>+IF(F12="i",IFERROR(VLOOKUP(C12,'BG 12.2024'!$B:$E,3,FALSE),0),0)</f>
        <v>0</v>
      </c>
      <c r="H12" s="21">
        <f>+IF(F12="i",IFERROR(VLOOKUP(C12,'BG 12.2024'!$B:$E,4,FALSE),0),0)</f>
        <v>0</v>
      </c>
      <c r="I12" s="21"/>
      <c r="J12" s="28">
        <f>+IF(F12="i",IFERROR(VLOOKUP(C12,'BG 2023'!$B:$E,3,FALSE),0),0)</f>
        <v>0</v>
      </c>
      <c r="K12" s="21">
        <f>+IF(F12="i",IFERROR(VLOOKUP(C12,'BG 2023'!$B:$E,4,FALSE),0),0)</f>
        <v>0</v>
      </c>
      <c r="M12" s="15" t="e">
        <f>+VLOOKUP(C12,'BG 2023'!$B:$E,1,0)</f>
        <v>#N/A</v>
      </c>
      <c r="N12" s="806" t="e">
        <f>+VLOOKUP(C12,'BG 2023'!$B:$E,3,0)</f>
        <v>#N/A</v>
      </c>
      <c r="O12" s="807" t="e">
        <f t="shared" si="1"/>
        <v>#N/A</v>
      </c>
      <c r="P12" s="807"/>
      <c r="R12" s="807">
        <f>+IFERROR(VLOOKUP(C12,'CA FE'!$A$5:$C$155,3,G61),0)-G12</f>
        <v>0</v>
      </c>
    </row>
    <row r="13" spans="1:18" ht="12" customHeight="1">
      <c r="A13" s="354" t="s">
        <v>10</v>
      </c>
      <c r="B13" s="354"/>
      <c r="C13" s="355">
        <v>1111112</v>
      </c>
      <c r="D13" s="354" t="s">
        <v>637</v>
      </c>
      <c r="E13" s="356" t="s">
        <v>634</v>
      </c>
      <c r="F13" s="356" t="str">
        <f t="shared" si="0"/>
        <v>NI</v>
      </c>
      <c r="G13" s="28">
        <f>+IF(F13="i",IFERROR(VLOOKUP(C13,'BG 12.2024'!$B:$E,3,FALSE),0),0)</f>
        <v>0</v>
      </c>
      <c r="H13" s="21">
        <f>+IF(F13="i",IFERROR(VLOOKUP(C13,'BG 12.2024'!$B:$E,4,FALSE),0),0)</f>
        <v>0</v>
      </c>
      <c r="I13" s="21"/>
      <c r="J13" s="28">
        <f>+IF(F13="i",IFERROR(VLOOKUP(C13,'BG 2023'!$B:$E,3,FALSE),0),0)</f>
        <v>0</v>
      </c>
      <c r="K13" s="21">
        <f>+IF(F13="i",IFERROR(VLOOKUP(C13,'BG 2023'!$B:$E,4,FALSE),0),0)</f>
        <v>0</v>
      </c>
      <c r="M13" s="15" t="e">
        <f>+VLOOKUP(C13,'BG 2023'!$B:$E,1,0)</f>
        <v>#N/A</v>
      </c>
      <c r="N13" s="806" t="e">
        <f>+VLOOKUP(C13,'BG 2023'!$B:$E,3,0)</f>
        <v>#N/A</v>
      </c>
      <c r="O13" s="807" t="e">
        <f t="shared" si="1"/>
        <v>#N/A</v>
      </c>
      <c r="P13" s="807"/>
      <c r="R13" s="807">
        <f>+IFERROR(VLOOKUP(C13,'CA FE'!$A$5:$C$155,3,G62),0)-G13</f>
        <v>0</v>
      </c>
    </row>
    <row r="14" spans="1:18" ht="12" customHeight="1">
      <c r="A14" s="354" t="s">
        <v>10</v>
      </c>
      <c r="B14" s="354"/>
      <c r="C14" s="355">
        <v>11111121</v>
      </c>
      <c r="D14" s="354" t="s">
        <v>637</v>
      </c>
      <c r="E14" s="356" t="s">
        <v>634</v>
      </c>
      <c r="F14" s="356" t="str">
        <f t="shared" si="0"/>
        <v>NI</v>
      </c>
      <c r="G14" s="28">
        <f>+IF(F14="i",IFERROR(VLOOKUP(C14,'BG 12.2024'!$B:$E,3,FALSE),0),0)</f>
        <v>0</v>
      </c>
      <c r="H14" s="21">
        <f>+IF(F14="i",IFERROR(VLOOKUP(C14,'BG 12.2024'!$B:$E,4,FALSE),0),0)</f>
        <v>0</v>
      </c>
      <c r="I14" s="21"/>
      <c r="J14" s="28">
        <f>+IF(F14="i",IFERROR(VLOOKUP(C14,'BG 2023'!$B:$E,3,FALSE),0),0)</f>
        <v>0</v>
      </c>
      <c r="K14" s="21">
        <f>+IF(F14="i",IFERROR(VLOOKUP(C14,'BG 2023'!$B:$E,4,FALSE),0),0)</f>
        <v>0</v>
      </c>
      <c r="M14" s="15" t="e">
        <f>+VLOOKUP(C14,'BG 2023'!$B:$E,1,0)</f>
        <v>#N/A</v>
      </c>
      <c r="N14" s="806" t="e">
        <f>+VLOOKUP(C14,'BG 2023'!$B:$E,3,0)</f>
        <v>#N/A</v>
      </c>
      <c r="O14" s="807" t="e">
        <f t="shared" si="1"/>
        <v>#N/A</v>
      </c>
      <c r="P14" s="807"/>
      <c r="R14" s="807">
        <f>+IFERROR(VLOOKUP(C14,'CA FE'!$A$5:$C$155,3,G63),0)-G14</f>
        <v>0</v>
      </c>
    </row>
    <row r="15" spans="1:18" ht="12" customHeight="1">
      <c r="A15" s="354" t="s">
        <v>10</v>
      </c>
      <c r="B15" s="354"/>
      <c r="C15" s="355">
        <v>1111112101</v>
      </c>
      <c r="D15" s="354" t="s">
        <v>638</v>
      </c>
      <c r="E15" s="356" t="s">
        <v>634</v>
      </c>
      <c r="F15" s="356" t="str">
        <f t="shared" si="0"/>
        <v>I</v>
      </c>
      <c r="G15" s="28">
        <f>+IF(F15="i",IFERROR(VLOOKUP(C15,'BG 12.2024'!$B:$E,3,FALSE),0),0)</f>
        <v>0</v>
      </c>
      <c r="H15" s="21">
        <f>+IF(F15="i",IFERROR(VLOOKUP(C15,'BG 12.2024'!$B:$E,4,FALSE),0),0)</f>
        <v>0</v>
      </c>
      <c r="I15" s="21"/>
      <c r="J15" s="28">
        <f>+IF(F15="i",IFERROR(VLOOKUP(C15,'BG 2023'!$B:$E,3,FALSE),0),0)</f>
        <v>0</v>
      </c>
      <c r="K15" s="21">
        <f>+IF(F15="i",IFERROR(VLOOKUP(C15,'BG 2023'!$B:$E,4,FALSE),0),0)</f>
        <v>0</v>
      </c>
      <c r="M15" s="15" t="e">
        <f>+VLOOKUP(C15,'BG 2023'!$B:$E,1,0)</f>
        <v>#N/A</v>
      </c>
      <c r="N15" s="806" t="e">
        <f>+VLOOKUP(C15,'BG 2023'!$B:$E,3,0)</f>
        <v>#N/A</v>
      </c>
      <c r="O15" s="807" t="e">
        <f t="shared" si="1"/>
        <v>#N/A</v>
      </c>
      <c r="P15" s="807"/>
      <c r="R15" s="807">
        <f>+IFERROR(VLOOKUP(C15,'CA FE'!$A$5:$C$155,3,G64),0)-G15</f>
        <v>0</v>
      </c>
    </row>
    <row r="16" spans="1:18" ht="12" customHeight="1">
      <c r="A16" s="354" t="s">
        <v>10</v>
      </c>
      <c r="B16" s="354"/>
      <c r="C16" s="355">
        <v>1111112102</v>
      </c>
      <c r="D16" s="354" t="s">
        <v>639</v>
      </c>
      <c r="E16" s="356" t="s">
        <v>640</v>
      </c>
      <c r="F16" s="356" t="str">
        <f t="shared" si="0"/>
        <v>I</v>
      </c>
      <c r="G16" s="28">
        <f>+IF(F16="i",IFERROR(VLOOKUP(C16,'BG 12.2024'!$B:$E,3,FALSE),0),0)</f>
        <v>0</v>
      </c>
      <c r="H16" s="21">
        <f>+IF(F16="i",IFERROR(VLOOKUP(C16,'BG 12.2024'!$B:$E,4,FALSE),0),0)</f>
        <v>0</v>
      </c>
      <c r="I16" s="21"/>
      <c r="J16" s="28">
        <f>+IF(F16="i",IFERROR(VLOOKUP(C16,'BG 2023'!$B:$E,3,FALSE),0),0)</f>
        <v>0</v>
      </c>
      <c r="K16" s="21">
        <f>+IF(F16="i",IFERROR(VLOOKUP(C16,'BG 2023'!$B:$E,4,FALSE),0),0)</f>
        <v>0</v>
      </c>
      <c r="M16" s="15" t="e">
        <f>+VLOOKUP(C16,'BG 2023'!$B:$E,1,0)</f>
        <v>#N/A</v>
      </c>
      <c r="N16" s="806" t="e">
        <f>+VLOOKUP(C16,'BG 2023'!$B:$E,3,0)</f>
        <v>#N/A</v>
      </c>
      <c r="O16" s="807" t="e">
        <f t="shared" si="1"/>
        <v>#N/A</v>
      </c>
      <c r="P16" s="807"/>
      <c r="R16" s="807">
        <f>+IFERROR(VLOOKUP(C16,'CA FE'!$A$5:$C$155,3,G65),0)-G16</f>
        <v>0</v>
      </c>
    </row>
    <row r="17" spans="1:18" ht="12" customHeight="1">
      <c r="A17" s="354" t="s">
        <v>10</v>
      </c>
      <c r="B17" s="354"/>
      <c r="C17" s="355">
        <v>11114</v>
      </c>
      <c r="D17" s="354" t="s">
        <v>13</v>
      </c>
      <c r="E17" s="356" t="s">
        <v>634</v>
      </c>
      <c r="F17" s="356" t="str">
        <f t="shared" si="0"/>
        <v>NI</v>
      </c>
      <c r="G17" s="28">
        <f>+IF(F17="i",IFERROR(VLOOKUP(C17,'BG 12.2024'!$B:$E,3,FALSE),0),0)</f>
        <v>0</v>
      </c>
      <c r="H17" s="21">
        <f>+IF(F17="i",IFERROR(VLOOKUP(C17,'BG 12.2024'!$B:$E,4,FALSE),0),0)</f>
        <v>0</v>
      </c>
      <c r="I17" s="21"/>
      <c r="J17" s="28">
        <f>+IF(F17="i",IFERROR(VLOOKUP(C17,'BG 2023'!$B:$E,3,FALSE),0),0)</f>
        <v>0</v>
      </c>
      <c r="K17" s="21">
        <f>+IF(F17="i",IFERROR(VLOOKUP(C17,'BG 2023'!$B:$E,4,FALSE),0),0)</f>
        <v>0</v>
      </c>
      <c r="M17" s="15">
        <f>+VLOOKUP(C17,'BG 2023'!$B:$E,1,0)</f>
        <v>11114</v>
      </c>
      <c r="N17" s="806">
        <f>+VLOOKUP(C17,'BG 2023'!$B:$E,3,0)</f>
        <v>4977928582</v>
      </c>
      <c r="O17" s="807">
        <f t="shared" si="1"/>
        <v>4977928582</v>
      </c>
      <c r="P17" s="807"/>
      <c r="R17" s="807">
        <f>+IFERROR(VLOOKUP(C17,'CA FE'!$A$5:$C$155,3,G66),0)-G17</f>
        <v>0</v>
      </c>
    </row>
    <row r="18" spans="1:18" ht="12" customHeight="1">
      <c r="A18" s="354" t="s">
        <v>10</v>
      </c>
      <c r="B18" s="354"/>
      <c r="C18" s="355">
        <v>111141</v>
      </c>
      <c r="D18" s="354" t="s">
        <v>14</v>
      </c>
      <c r="E18" s="356" t="s">
        <v>634</v>
      </c>
      <c r="F18" s="356" t="str">
        <f t="shared" si="0"/>
        <v>NI</v>
      </c>
      <c r="G18" s="28">
        <f>+IF(F18="i",IFERROR(VLOOKUP(C18,'BG 12.2024'!$B:$E,3,FALSE),0),0)</f>
        <v>0</v>
      </c>
      <c r="H18" s="21">
        <f>+IF(F18="i",IFERROR(VLOOKUP(C18,'BG 12.2024'!$B:$E,4,FALSE),0),0)</f>
        <v>0</v>
      </c>
      <c r="I18" s="21"/>
      <c r="J18" s="28">
        <f>+IF(F18="i",IFERROR(VLOOKUP(C18,'BG 2023'!$B:$E,3,FALSE),0),0)</f>
        <v>0</v>
      </c>
      <c r="K18" s="21">
        <f>+IF(F18="i",IFERROR(VLOOKUP(C18,'BG 2023'!$B:$E,4,FALSE),0),0)</f>
        <v>0</v>
      </c>
      <c r="M18" s="15">
        <f>+VLOOKUP(C18,'BG 2023'!$B:$E,1,0)</f>
        <v>111141</v>
      </c>
      <c r="N18" s="806">
        <f>+VLOOKUP(C18,'BG 2023'!$B:$E,3,0)</f>
        <v>4849763917</v>
      </c>
      <c r="O18" s="807">
        <f t="shared" si="1"/>
        <v>4849763917</v>
      </c>
      <c r="P18" s="807"/>
      <c r="R18" s="807">
        <f>+IFERROR(VLOOKUP(C18,'CA FE'!$A$5:$C$155,3,G67),0)-G18</f>
        <v>0</v>
      </c>
    </row>
    <row r="19" spans="1:18" ht="12" customHeight="1">
      <c r="A19" s="354" t="s">
        <v>10</v>
      </c>
      <c r="B19" s="354"/>
      <c r="C19" s="355">
        <v>1111411</v>
      </c>
      <c r="D19" s="354" t="s">
        <v>15</v>
      </c>
      <c r="E19" s="356" t="s">
        <v>634</v>
      </c>
      <c r="F19" s="356" t="str">
        <f t="shared" si="0"/>
        <v>NI</v>
      </c>
      <c r="G19" s="28">
        <f>+IF(F19="i",IFERROR(VLOOKUP(C19,'BG 12.2024'!$B:$E,3,FALSE),0),0)</f>
        <v>0</v>
      </c>
      <c r="H19" s="21">
        <f>+IF(F19="i",IFERROR(VLOOKUP(C19,'BG 12.2024'!$B:$E,4,FALSE),0),0)</f>
        <v>0</v>
      </c>
      <c r="I19" s="21"/>
      <c r="J19" s="28">
        <f>+IF(F19="i",IFERROR(VLOOKUP(C19,'BG 2023'!$B:$E,3,FALSE),0),0)</f>
        <v>0</v>
      </c>
      <c r="K19" s="21">
        <f>+IF(F19="i",IFERROR(VLOOKUP(C19,'BG 2023'!$B:$E,4,FALSE),0),0)</f>
        <v>0</v>
      </c>
      <c r="M19" s="15">
        <f>+VLOOKUP(C19,'BG 2023'!$B:$E,1,0)</f>
        <v>1111411</v>
      </c>
      <c r="N19" s="806">
        <f>+VLOOKUP(C19,'BG 2023'!$B:$E,3,0)</f>
        <v>2390461003</v>
      </c>
      <c r="O19" s="807">
        <f t="shared" si="1"/>
        <v>2390461003</v>
      </c>
      <c r="P19" s="807"/>
      <c r="R19" s="807">
        <f>+IFERROR(VLOOKUP(C19,'CA FE'!$A$5:$C$155,3,G68),0)-G19</f>
        <v>0</v>
      </c>
    </row>
    <row r="20" spans="1:18" ht="12" customHeight="1">
      <c r="A20" s="354" t="s">
        <v>10</v>
      </c>
      <c r="B20" s="354"/>
      <c r="C20" s="355">
        <v>11114111</v>
      </c>
      <c r="D20" s="354" t="s">
        <v>25</v>
      </c>
      <c r="E20" s="356" t="s">
        <v>634</v>
      </c>
      <c r="F20" s="356" t="str">
        <f t="shared" si="0"/>
        <v>NI</v>
      </c>
      <c r="G20" s="28">
        <f>+IF(F20="i",IFERROR(VLOOKUP(C20,'BG 12.2024'!$B:$E,3,FALSE),0),0)</f>
        <v>0</v>
      </c>
      <c r="H20" s="21">
        <f>+IF(F20="i",IFERROR(VLOOKUP(C20,'BG 12.2024'!$B:$E,4,FALSE),0),0)</f>
        <v>0</v>
      </c>
      <c r="I20" s="21"/>
      <c r="J20" s="28">
        <f>+IF(F20="i",IFERROR(VLOOKUP(C20,'BG 2023'!$B:$E,3,FALSE),0),0)</f>
        <v>0</v>
      </c>
      <c r="K20" s="21">
        <f>+IF(F20="i",IFERROR(VLOOKUP(C20,'BG 2023'!$B:$E,4,FALSE),0),0)</f>
        <v>0</v>
      </c>
      <c r="M20" s="15" t="e">
        <f>+VLOOKUP(C20,'BG 2023'!$B:$E,1,0)</f>
        <v>#N/A</v>
      </c>
      <c r="N20" s="806" t="e">
        <f>+VLOOKUP(C20,'BG 2023'!$B:$E,3,0)</f>
        <v>#N/A</v>
      </c>
      <c r="O20" s="807" t="e">
        <f t="shared" si="1"/>
        <v>#N/A</v>
      </c>
      <c r="P20" s="807"/>
      <c r="R20" s="807">
        <f>+IFERROR(VLOOKUP(C20,'CA FE'!$A$5:$C$155,3,G69),0)-G20</f>
        <v>0</v>
      </c>
    </row>
    <row r="21" spans="1:18" ht="12" customHeight="1">
      <c r="A21" s="354" t="s">
        <v>10</v>
      </c>
      <c r="B21" s="354" t="s">
        <v>13</v>
      </c>
      <c r="C21" s="355">
        <v>1111411101</v>
      </c>
      <c r="D21" s="354" t="s">
        <v>17</v>
      </c>
      <c r="E21" s="356" t="s">
        <v>634</v>
      </c>
      <c r="F21" s="356" t="str">
        <f>+IF(LEN(C21)&gt;8,"I","NI")</f>
        <v>I</v>
      </c>
      <c r="G21" s="28">
        <f>+IF(F21="i",IFERROR(VLOOKUP(C21,'BG 12.2024'!$B:$E,3,FALSE),0),0)</f>
        <v>1351999</v>
      </c>
      <c r="H21" s="21">
        <f>+IF(F21="i",IFERROR(VLOOKUP(C21,'BG 12.2024'!$B:$E,4,FALSE),0),0)</f>
        <v>172.63999998569489</v>
      </c>
      <c r="I21" s="21"/>
      <c r="J21" s="28">
        <f>+IF(F21="i",IFERROR(VLOOKUP(C21,'BG 2023'!$B:$E,3,FALSE),0),0)</f>
        <v>0</v>
      </c>
      <c r="K21" s="21">
        <f>+IF(F21="i",IFERROR(VLOOKUP(C21,'BG 2023'!$B:$E,4,FALSE),0),0)</f>
        <v>0</v>
      </c>
      <c r="M21" s="15" t="e">
        <f>+VLOOKUP(C21,'BG 2023'!$B:$E,1,0)</f>
        <v>#N/A</v>
      </c>
      <c r="N21" s="806" t="e">
        <f>+VLOOKUP(C21,'BG 2023'!$B:$E,3,0)</f>
        <v>#N/A</v>
      </c>
      <c r="O21" s="807" t="e">
        <f t="shared" si="1"/>
        <v>#N/A</v>
      </c>
      <c r="P21" s="807"/>
      <c r="R21" s="807">
        <f>+IFERROR(VLOOKUP(C21,'CA FE'!$A$5:$C$155,3,G70),0)-G21</f>
        <v>0</v>
      </c>
    </row>
    <row r="22" spans="1:18" ht="12" customHeight="1">
      <c r="A22" s="354" t="s">
        <v>10</v>
      </c>
      <c r="B22" s="354" t="s">
        <v>13</v>
      </c>
      <c r="C22" s="355">
        <v>1111411102</v>
      </c>
      <c r="D22" s="354" t="s">
        <v>18</v>
      </c>
      <c r="E22" s="356" t="s">
        <v>640</v>
      </c>
      <c r="F22" s="356" t="str">
        <f t="shared" si="0"/>
        <v>I</v>
      </c>
      <c r="G22" s="28">
        <f>+IF(F22="i",IFERROR(VLOOKUP(C22,'BG 12.2024'!$B:$E,3,FALSE),0),0)</f>
        <v>783126</v>
      </c>
      <c r="H22" s="21">
        <f>+IF(F22="i",IFERROR(VLOOKUP(C22,'BG 12.2024'!$B:$E,4,FALSE),0),0)</f>
        <v>100</v>
      </c>
      <c r="I22" s="21"/>
      <c r="J22" s="28">
        <f>+IF(F22="i",IFERROR(VLOOKUP(C22,'BG 2023'!$B:$E,3,FALSE),0),0)</f>
        <v>0</v>
      </c>
      <c r="K22" s="21">
        <f>+IF(F22="i",IFERROR(VLOOKUP(C22,'BG 2023'!$B:$E,4,FALSE),0),0)</f>
        <v>0</v>
      </c>
      <c r="M22" s="15" t="e">
        <f>+VLOOKUP(C22,'BG 2023'!$B:$E,1,0)</f>
        <v>#N/A</v>
      </c>
      <c r="N22" s="806" t="e">
        <f>+VLOOKUP(C22,'BG 2023'!$B:$E,3,0)</f>
        <v>#N/A</v>
      </c>
      <c r="O22" s="807" t="e">
        <f t="shared" si="1"/>
        <v>#N/A</v>
      </c>
      <c r="P22" s="807"/>
      <c r="R22" s="807">
        <f>+IFERROR(VLOOKUP(C22,'CA FE'!$A$5:$C$155,3,G71),0)-G22</f>
        <v>0</v>
      </c>
    </row>
    <row r="23" spans="1:18" ht="12" customHeight="1">
      <c r="A23" s="354" t="s">
        <v>10</v>
      </c>
      <c r="B23" s="354"/>
      <c r="C23" s="355">
        <v>11114112</v>
      </c>
      <c r="D23" s="354" t="s">
        <v>16</v>
      </c>
      <c r="E23" s="356" t="s">
        <v>634</v>
      </c>
      <c r="F23" s="356" t="str">
        <f t="shared" si="0"/>
        <v>NI</v>
      </c>
      <c r="G23" s="28">
        <f>+IF(F23="i",IFERROR(VLOOKUP(C23,'BG 12.2024'!$B:$E,3,FALSE),0),0)</f>
        <v>0</v>
      </c>
      <c r="H23" s="21">
        <f>+IF(F23="i",IFERROR(VLOOKUP(C23,'BG 12.2024'!$B:$E,4,FALSE),0),0)</f>
        <v>0</v>
      </c>
      <c r="I23" s="21"/>
      <c r="J23" s="28">
        <f>+IF(F23="i",IFERROR(VLOOKUP(C23,'BG 2023'!$B:$E,3,FALSE),0),0)</f>
        <v>0</v>
      </c>
      <c r="K23" s="21">
        <f>+IF(F23="i",IFERROR(VLOOKUP(C23,'BG 2023'!$B:$E,4,FALSE),0),0)</f>
        <v>0</v>
      </c>
      <c r="M23" s="15">
        <f>+VLOOKUP(C23,'BG 2023'!$B:$E,1,0)</f>
        <v>11114112</v>
      </c>
      <c r="N23" s="806">
        <f>+VLOOKUP(C23,'BG 2023'!$B:$E,3,0)</f>
        <v>2349438791</v>
      </c>
      <c r="O23" s="807">
        <f t="shared" si="1"/>
        <v>2349438791</v>
      </c>
      <c r="P23" s="807"/>
      <c r="R23" s="807">
        <f>+IFERROR(VLOOKUP(C23,'CA FE'!$A$5:$C$155,3,G72),0)-G23</f>
        <v>0</v>
      </c>
    </row>
    <row r="24" spans="1:18" ht="12" customHeight="1">
      <c r="A24" s="354" t="s">
        <v>10</v>
      </c>
      <c r="B24" s="354" t="s">
        <v>13</v>
      </c>
      <c r="C24" s="355">
        <v>1111411201</v>
      </c>
      <c r="D24" s="354" t="s">
        <v>17</v>
      </c>
      <c r="E24" s="356" t="s">
        <v>634</v>
      </c>
      <c r="F24" s="356" t="str">
        <f>+IF(LEN(C24)&gt;8,"I","NI")</f>
        <v>I</v>
      </c>
      <c r="G24" s="28">
        <f>+IF(F24="i",IFERROR(VLOOKUP(C24,'BG 12.2024'!$B:$E,3,FALSE),0),0)</f>
        <v>0</v>
      </c>
      <c r="H24" s="21">
        <f>+IF(F24="i",IFERROR(VLOOKUP(C24,'BG 12.2024'!$B:$E,4,FALSE),0),0)</f>
        <v>0</v>
      </c>
      <c r="I24" s="21"/>
      <c r="J24" s="1373">
        <f>+IF(F24="i",IFERROR(VLOOKUP(C24,'BG 2023'!$B:$E,3,FALSE),0),0)</f>
        <v>638998663</v>
      </c>
      <c r="K24" s="21">
        <f>+IF(F24="i",IFERROR(VLOOKUP(C24,'BG 2023'!$B:$E,4,FALSE),0),0)</f>
        <v>87972.839999999851</v>
      </c>
      <c r="M24" s="15">
        <f>+VLOOKUP(C24,'BG 2023'!$B:$E,1,0)</f>
        <v>1111411201</v>
      </c>
      <c r="N24" s="806">
        <f>+VLOOKUP(C24,'BG 2023'!$B:$E,3,0)</f>
        <v>638998663</v>
      </c>
      <c r="O24" s="807">
        <f t="shared" si="1"/>
        <v>638998663</v>
      </c>
      <c r="P24" s="807"/>
      <c r="R24" s="807">
        <f>+IFERROR(VLOOKUP(C24,'CA FE'!$A$5:$C$155,3,G73),0)-G24</f>
        <v>0</v>
      </c>
    </row>
    <row r="25" spans="1:18">
      <c r="A25" s="354" t="s">
        <v>10</v>
      </c>
      <c r="B25" s="354" t="s">
        <v>13</v>
      </c>
      <c r="C25" s="355">
        <v>1111411202</v>
      </c>
      <c r="D25" s="354" t="s">
        <v>18</v>
      </c>
      <c r="E25" s="356" t="s">
        <v>640</v>
      </c>
      <c r="F25" s="356" t="str">
        <f>+IF(LEN(C25)&gt;8,"I","NI")</f>
        <v>I</v>
      </c>
      <c r="G25" s="28">
        <f>+IF(F25="i",IFERROR(VLOOKUP(C25,'BG 12.2024'!$B:$E,3,FALSE),0),0)</f>
        <v>0</v>
      </c>
      <c r="H25" s="21">
        <f>+IF(F25="i",IFERROR(VLOOKUP(C25,'BG 12.2024'!$B:$E,4,FALSE),0),0)</f>
        <v>0</v>
      </c>
      <c r="I25" s="21"/>
      <c r="J25" s="28">
        <f>+IF(F25="i",IFERROR(VLOOKUP(C25,'BG 2023'!$B:$E,3,FALSE),0),0)</f>
        <v>1710440128</v>
      </c>
      <c r="K25" s="21">
        <f>+IF(F25="i",IFERROR(VLOOKUP(C25,'BG 2023'!$B:$E,4,FALSE),0),0)</f>
        <v>235481.37000000008</v>
      </c>
      <c r="M25" s="15">
        <f>+VLOOKUP(C25,'BG 2023'!$B:$E,1,0)</f>
        <v>1111411202</v>
      </c>
      <c r="N25" s="806">
        <f>+VLOOKUP(C25,'BG 2023'!$B:$E,3,0)</f>
        <v>1710440128</v>
      </c>
      <c r="O25" s="807">
        <f t="shared" si="1"/>
        <v>1710440128</v>
      </c>
      <c r="P25" s="807"/>
      <c r="R25" s="807">
        <f>+IFERROR(VLOOKUP(C25,'CA FE'!$A$5:$C$155,3,G74),0)-G25</f>
        <v>0</v>
      </c>
    </row>
    <row r="26" spans="1:18">
      <c r="A26" s="354" t="s">
        <v>10</v>
      </c>
      <c r="B26" s="354" t="s">
        <v>13</v>
      </c>
      <c r="C26" s="355">
        <v>1111411203</v>
      </c>
      <c r="D26" s="354" t="s">
        <v>551</v>
      </c>
      <c r="E26" s="356" t="s">
        <v>634</v>
      </c>
      <c r="F26" s="356" t="str">
        <f>+IF(LEN(C26)&gt;8,"I","NI")</f>
        <v>I</v>
      </c>
      <c r="G26" s="28">
        <f>+IF(F26="i",IFERROR(VLOOKUP(C26,'BG 12.2024'!$B:$E,3,FALSE),0),0)</f>
        <v>2458879652</v>
      </c>
      <c r="H26" s="21">
        <f>+IF(F26="i",IFERROR(VLOOKUP(C26,'BG 12.2024'!$B:$E,4,FALSE),0),0)</f>
        <v>313982.63999999966</v>
      </c>
      <c r="I26" s="21"/>
      <c r="J26" s="28">
        <f>+IF(F26="i",IFERROR(VLOOKUP(C26,'BG 2023'!$B:$E,3,FALSE),0),0)</f>
        <v>0</v>
      </c>
      <c r="K26" s="21"/>
      <c r="N26" s="806"/>
      <c r="O26" s="807"/>
      <c r="P26" s="807"/>
      <c r="R26" s="807">
        <f>+IFERROR(VLOOKUP(C26,'CA FE'!$A$5:$C$155,3,G75),0)-G26</f>
        <v>0</v>
      </c>
    </row>
    <row r="27" spans="1:18">
      <c r="A27" s="354" t="s">
        <v>10</v>
      </c>
      <c r="B27" s="354" t="s">
        <v>13</v>
      </c>
      <c r="C27" s="355">
        <v>1111411204</v>
      </c>
      <c r="D27" s="354" t="s">
        <v>552</v>
      </c>
      <c r="E27" s="356" t="s">
        <v>640</v>
      </c>
      <c r="F27" s="356" t="str">
        <f>+IF(LEN(C27)&gt;8,"I","NI")</f>
        <v>I</v>
      </c>
      <c r="G27" s="28">
        <f>+IF(F27="i",IFERROR(VLOOKUP(C27,'BG 12.2024'!$B:$E,3,FALSE),0),0)</f>
        <v>1554453894</v>
      </c>
      <c r="H27" s="1229">
        <f>+IF(F27="i",IFERROR(VLOOKUP(C27,'BG 12.2024'!$B:$E,4,FALSE),0),0)</f>
        <v>198493.45999999996</v>
      </c>
      <c r="I27" s="21"/>
      <c r="J27" s="28">
        <f>+IF(F27="i",IFERROR(VLOOKUP(C27,'BG 2023'!$B:$E,3,FALSE),0),0)</f>
        <v>0</v>
      </c>
      <c r="K27" s="21"/>
      <c r="N27" s="806"/>
      <c r="O27" s="807"/>
      <c r="P27" s="807"/>
      <c r="R27" s="807">
        <f>+IFERROR(VLOOKUP(C27,'CA FE'!$A$5:$C$155,3,G76),0)-G27</f>
        <v>0</v>
      </c>
    </row>
    <row r="28" spans="1:18">
      <c r="A28" s="354" t="s">
        <v>10</v>
      </c>
      <c r="B28" s="354"/>
      <c r="C28" s="355">
        <v>11114113</v>
      </c>
      <c r="D28" s="354" t="s">
        <v>19</v>
      </c>
      <c r="E28" s="356" t="s">
        <v>634</v>
      </c>
      <c r="F28" s="356" t="str">
        <f t="shared" si="0"/>
        <v>NI</v>
      </c>
      <c r="G28" s="28">
        <f>+IF(F28="i",IFERROR(VLOOKUP(C28,'BG 12.2024'!$B:$E,3,FALSE),0),0)</f>
        <v>0</v>
      </c>
      <c r="H28" s="21">
        <f>+IF(F28="i",IFERROR(VLOOKUP(C28,'BG 12.2024'!$B:$E,4,FALSE),0),0)</f>
        <v>0</v>
      </c>
      <c r="I28" s="21"/>
      <c r="J28" s="28">
        <f>+IF(F28="i",IFERROR(VLOOKUP(C28,'BG 2023'!$B:$E,3,FALSE),0),0)</f>
        <v>0</v>
      </c>
      <c r="K28" s="21">
        <f>+IF(F28="i",IFERROR(VLOOKUP(C28,'BG 2023'!$B:$E,4,FALSE),0),0)</f>
        <v>0</v>
      </c>
      <c r="M28" s="15">
        <f>+VLOOKUP(C28,'BG 2023'!$B:$E,1,0)</f>
        <v>11114113</v>
      </c>
      <c r="N28" s="806">
        <f>+VLOOKUP(C28,'BG 2023'!$B:$E,3,0)</f>
        <v>41022212</v>
      </c>
      <c r="O28" s="807">
        <f t="shared" si="1"/>
        <v>41022212</v>
      </c>
      <c r="P28" s="807"/>
      <c r="R28" s="807">
        <f>+IFERROR(VLOOKUP(C28,'CA FE'!$A$5:$C$155,3,G77),0)-G28</f>
        <v>0</v>
      </c>
    </row>
    <row r="29" spans="1:18">
      <c r="A29" s="354" t="s">
        <v>10</v>
      </c>
      <c r="B29" s="354" t="s">
        <v>13</v>
      </c>
      <c r="C29" s="355">
        <v>1111411301</v>
      </c>
      <c r="D29" s="354" t="s">
        <v>17</v>
      </c>
      <c r="E29" s="356" t="s">
        <v>634</v>
      </c>
      <c r="F29" s="356" t="str">
        <f>+IF(LEN(C29)&gt;8,"I","NI")</f>
        <v>I</v>
      </c>
      <c r="G29" s="28">
        <f>+IF(F29="i",IFERROR(VLOOKUP(C29,'BG 12.2024'!$B:$E,3,FALSE),0),0)</f>
        <v>0</v>
      </c>
      <c r="H29" s="21">
        <f>+IF(F29="i",IFERROR(VLOOKUP(C29,'BG 12.2024'!$B:$E,4,FALSE),0),0)</f>
        <v>0</v>
      </c>
      <c r="I29" s="21"/>
      <c r="J29" s="28">
        <f>+IF(F29="i",IFERROR(VLOOKUP(C29,'BG 2023'!$B:$E,3,FALSE),0),0)</f>
        <v>0</v>
      </c>
      <c r="K29" s="21">
        <f>+IF(F29="i",IFERROR(VLOOKUP(C29,'BG 2023'!$B:$E,4,FALSE),0),0)</f>
        <v>0</v>
      </c>
      <c r="M29" s="15" t="e">
        <f>+VLOOKUP(C29,'BG 2023'!$B:$E,1,0)</f>
        <v>#N/A</v>
      </c>
      <c r="N29" s="806" t="e">
        <f>+VLOOKUP(C29,'BG 2023'!$B:$E,3,0)</f>
        <v>#N/A</v>
      </c>
      <c r="O29" s="807" t="e">
        <f t="shared" si="1"/>
        <v>#N/A</v>
      </c>
      <c r="P29" s="807"/>
      <c r="R29" s="807">
        <f>+IFERROR(VLOOKUP(C29,'CA FE'!$A$5:$C$155,3,G78),0)-G29</f>
        <v>0</v>
      </c>
    </row>
    <row r="30" spans="1:18">
      <c r="A30" s="354" t="s">
        <v>10</v>
      </c>
      <c r="B30" s="354" t="s">
        <v>13</v>
      </c>
      <c r="C30" s="355">
        <v>1111411302</v>
      </c>
      <c r="D30" s="354" t="s">
        <v>18</v>
      </c>
      <c r="E30" s="356" t="s">
        <v>640</v>
      </c>
      <c r="F30" s="356" t="str">
        <f t="shared" si="0"/>
        <v>I</v>
      </c>
      <c r="G30" s="28">
        <f>+IF(F30="i",IFERROR(VLOOKUP(C30,'BG 12.2024'!$B:$E,3,FALSE),0),0)</f>
        <v>0</v>
      </c>
      <c r="H30" s="1081">
        <f>+IF(F30="i",IFERROR(VLOOKUP(C30,'BG 12.2024'!$B:$E,4,FALSE),0),0)</f>
        <v>0</v>
      </c>
      <c r="I30" s="21"/>
      <c r="J30" s="28">
        <f>+IF(F30="i",IFERROR(VLOOKUP(C30,'BG 2023'!$B:$E,3,FALSE),0),0)</f>
        <v>41022212</v>
      </c>
      <c r="K30" s="21">
        <f>+IF(F30="i",IFERROR(VLOOKUP(C30,'BG 2023'!$B:$E,4,FALSE),0),0)</f>
        <v>5647.6500000059605</v>
      </c>
      <c r="M30" s="15">
        <f>+VLOOKUP(C30,'BG 2023'!$B:$E,1,0)</f>
        <v>1111411302</v>
      </c>
      <c r="N30" s="806">
        <f>+VLOOKUP(C30,'BG 2023'!$B:$E,3,0)</f>
        <v>41022212</v>
      </c>
      <c r="O30" s="807">
        <f t="shared" si="1"/>
        <v>41022212</v>
      </c>
      <c r="P30" s="807"/>
      <c r="R30" s="807">
        <f>+IFERROR(VLOOKUP(C30,'CA FE'!$A$5:$C$155,3,G79),0)-G30</f>
        <v>0</v>
      </c>
    </row>
    <row r="31" spans="1:18">
      <c r="A31" s="354" t="s">
        <v>10</v>
      </c>
      <c r="B31" s="1207" t="s">
        <v>13</v>
      </c>
      <c r="C31" s="355">
        <v>11114114</v>
      </c>
      <c r="D31" s="354" t="s">
        <v>553</v>
      </c>
      <c r="E31" s="356" t="s">
        <v>640</v>
      </c>
      <c r="F31" s="356" t="str">
        <f>+IF(LEN(C31)&gt;8,"I","NI")</f>
        <v>NI</v>
      </c>
      <c r="G31" s="28">
        <f>+IF(F31="i",IFERROR(VLOOKUP(C31,'BG 12.2024'!$B:$E,3,FALSE),0),0)</f>
        <v>0</v>
      </c>
      <c r="H31" s="21">
        <f>+IF(F31="i",IFERROR(VLOOKUP(C31,'BG 12.2024'!$B:$E,4,FALSE),0),0)</f>
        <v>0</v>
      </c>
      <c r="I31" s="21"/>
      <c r="J31" s="28">
        <f>+IF(F31="i",IFERROR(VLOOKUP(C31,'BG 2023'!$B:$E,3,FALSE),0),0)</f>
        <v>0</v>
      </c>
      <c r="K31" s="21"/>
      <c r="N31" s="806"/>
      <c r="O31" s="807"/>
      <c r="P31" s="807"/>
      <c r="R31" s="807">
        <f>+IFERROR(VLOOKUP(C31,'CA FE'!$A$5:$C$155,3,G80),0)-G31</f>
        <v>0</v>
      </c>
    </row>
    <row r="32" spans="1:18">
      <c r="A32" s="354" t="s">
        <v>10</v>
      </c>
      <c r="B32" s="1207" t="s">
        <v>13</v>
      </c>
      <c r="C32" s="355">
        <v>1111411402</v>
      </c>
      <c r="D32" s="354" t="s">
        <v>554</v>
      </c>
      <c r="E32" s="356" t="s">
        <v>640</v>
      </c>
      <c r="F32" s="356" t="str">
        <f>+IF(LEN(C32)&gt;8,"I","NI")</f>
        <v>I</v>
      </c>
      <c r="G32" s="28">
        <f>+IF(F32="i",IFERROR(VLOOKUP(C32,'BG 12.2024'!$B:$E,3,FALSE),0),0)</f>
        <v>0</v>
      </c>
      <c r="H32" s="1081">
        <f>+IF(F32="i",IFERROR(VLOOKUP(C32,'BG 12.2024'!$B:$E,4,FALSE),0),0)</f>
        <v>0</v>
      </c>
      <c r="I32" s="21"/>
      <c r="J32" s="28">
        <f>+IF(F32="i",IFERROR(VLOOKUP(C32,'BG 2023'!$B:$E,3,FALSE),0),0)</f>
        <v>0</v>
      </c>
      <c r="K32" s="21"/>
      <c r="N32" s="806"/>
      <c r="O32" s="807"/>
      <c r="P32" s="807"/>
      <c r="R32" s="807">
        <f>+IFERROR(VLOOKUP(C32,'CA FE'!$A$5:$C$155,3,G81),0)-G32</f>
        <v>0</v>
      </c>
    </row>
    <row r="33" spans="1:19">
      <c r="A33" s="354" t="s">
        <v>10</v>
      </c>
      <c r="B33" s="354"/>
      <c r="C33" s="355">
        <v>1111412</v>
      </c>
      <c r="D33" s="354" t="s">
        <v>641</v>
      </c>
      <c r="E33" s="356" t="s">
        <v>634</v>
      </c>
      <c r="F33" s="356" t="str">
        <f t="shared" si="0"/>
        <v>NI</v>
      </c>
      <c r="G33" s="28">
        <f>+IF(F33="i",IFERROR(VLOOKUP(C33,'BG 12.2024'!$B:$E,3,FALSE),0),0)</f>
        <v>0</v>
      </c>
      <c r="H33" s="21">
        <f>+IF(F33="i",IFERROR(VLOOKUP(C33,'BG 12.2024'!$B:$E,4,FALSE),0),0)</f>
        <v>0</v>
      </c>
      <c r="I33" s="21"/>
      <c r="J33" s="28">
        <f>+IF(F33="i",IFERROR(VLOOKUP(C33,'BG 2023'!$B:$E,3,FALSE),0),0)</f>
        <v>0</v>
      </c>
      <c r="K33" s="21">
        <f>+IF(F33="i",IFERROR(VLOOKUP(C33,'BG 2023'!$B:$E,4,FALSE),0),0)</f>
        <v>0</v>
      </c>
      <c r="M33" s="15">
        <f>+VLOOKUP(C33,'BG 2023'!$B:$E,1,0)</f>
        <v>1111412</v>
      </c>
      <c r="N33" s="806">
        <f>+VLOOKUP(C33,'BG 2023'!$B:$E,3,0)</f>
        <v>2459302914</v>
      </c>
      <c r="O33" s="807">
        <f t="shared" si="1"/>
        <v>2459302914</v>
      </c>
      <c r="P33" s="807"/>
      <c r="R33" s="807">
        <f>+IFERROR(VLOOKUP(C33,'CA FE'!$A$5:$C$155,3,G82),0)-G33</f>
        <v>0</v>
      </c>
    </row>
    <row r="34" spans="1:19">
      <c r="A34" s="354" t="s">
        <v>10</v>
      </c>
      <c r="B34" s="354"/>
      <c r="C34" s="355">
        <v>11114121</v>
      </c>
      <c r="D34" s="354" t="s">
        <v>642</v>
      </c>
      <c r="E34" s="356" t="s">
        <v>634</v>
      </c>
      <c r="F34" s="356" t="str">
        <f t="shared" si="0"/>
        <v>NI</v>
      </c>
      <c r="G34" s="28">
        <f>+IF(F34="i",IFERROR(VLOOKUP(C34,'BG 12.2024'!$B:$E,3,FALSE),0),0)</f>
        <v>0</v>
      </c>
      <c r="H34" s="21">
        <f>+IF(F34="i",IFERROR(VLOOKUP(C34,'BG 12.2024'!$B:$E,4,FALSE),0),0)</f>
        <v>0</v>
      </c>
      <c r="I34" s="21"/>
      <c r="J34" s="28">
        <f>+IF(F34="i",IFERROR(VLOOKUP(C34,'BG 2023'!$B:$E,3,FALSE),0),0)</f>
        <v>0</v>
      </c>
      <c r="K34" s="21">
        <f>+IF(F34="i",IFERROR(VLOOKUP(C34,'BG 2023'!$B:$E,4,FALSE),0),0)</f>
        <v>0</v>
      </c>
      <c r="M34" s="15" t="e">
        <f>+VLOOKUP(C34,'BG 2023'!$B:$E,1,0)</f>
        <v>#N/A</v>
      </c>
      <c r="N34" s="806" t="e">
        <f>+VLOOKUP(C34,'BG 2023'!$B:$E,3,0)</f>
        <v>#N/A</v>
      </c>
      <c r="O34" s="807" t="e">
        <f t="shared" si="1"/>
        <v>#N/A</v>
      </c>
      <c r="P34" s="807"/>
      <c r="R34" s="807">
        <f>+IFERROR(VLOOKUP(C34,'CA FE'!$A$5:$C$155,3,G83),0)-G34</f>
        <v>0</v>
      </c>
    </row>
    <row r="35" spans="1:19">
      <c r="A35" s="354" t="s">
        <v>10</v>
      </c>
      <c r="B35" s="354"/>
      <c r="C35" s="355">
        <v>1111412101</v>
      </c>
      <c r="D35" s="354" t="s">
        <v>17</v>
      </c>
      <c r="E35" s="356" t="s">
        <v>634</v>
      </c>
      <c r="F35" s="356" t="str">
        <f t="shared" si="0"/>
        <v>I</v>
      </c>
      <c r="G35" s="28">
        <f>+IF(F35="i",IFERROR(VLOOKUP(C35,'BG 12.2024'!$B:$E,3,FALSE),0),0)</f>
        <v>0</v>
      </c>
      <c r="H35" s="21">
        <f>+IF(F35="i",IFERROR(VLOOKUP(C35,'BG 12.2024'!$B:$E,4,FALSE),0),0)</f>
        <v>0</v>
      </c>
      <c r="I35" s="21"/>
      <c r="J35" s="28">
        <f>+IF(F35="i",IFERROR(VLOOKUP(C35,'BG 2023'!$B:$E,3,FALSE),0),0)</f>
        <v>0</v>
      </c>
      <c r="K35" s="21">
        <f>+IF(F35="i",IFERROR(VLOOKUP(C35,'BG 2023'!$B:$E,4,FALSE),0),0)</f>
        <v>0</v>
      </c>
      <c r="M35" s="15" t="e">
        <f>+VLOOKUP(C35,'BG 2023'!$B:$E,1,0)</f>
        <v>#N/A</v>
      </c>
      <c r="N35" s="806" t="e">
        <f>+VLOOKUP(C35,'BG 2023'!$B:$E,3,0)</f>
        <v>#N/A</v>
      </c>
      <c r="O35" s="807" t="e">
        <f t="shared" si="1"/>
        <v>#N/A</v>
      </c>
      <c r="P35" s="807"/>
      <c r="R35" s="807">
        <f>+IFERROR(VLOOKUP(C35,'CA FE'!$A$5:$C$155,3,G84),0)-G35</f>
        <v>0</v>
      </c>
    </row>
    <row r="36" spans="1:19">
      <c r="A36" s="354" t="s">
        <v>10</v>
      </c>
      <c r="B36" s="354"/>
      <c r="C36" s="355">
        <v>1111412102</v>
      </c>
      <c r="D36" s="354" t="s">
        <v>18</v>
      </c>
      <c r="E36" s="356" t="s">
        <v>640</v>
      </c>
      <c r="F36" s="356" t="str">
        <f t="shared" si="0"/>
        <v>I</v>
      </c>
      <c r="G36" s="28">
        <f>+IF(F36="i",IFERROR(VLOOKUP(C36,'BG 12.2024'!$B:$E,3,FALSE),0),0)</f>
        <v>0</v>
      </c>
      <c r="H36" s="21">
        <f>+IF(F36="i",IFERROR(VLOOKUP(C36,'BG 12.2024'!$B:$E,4,FALSE),0),0)</f>
        <v>0</v>
      </c>
      <c r="I36" s="21"/>
      <c r="J36" s="28">
        <f>+IF(F36="i",IFERROR(VLOOKUP(C36,'BG 2023'!$B:$E,3,FALSE),0),0)</f>
        <v>0</v>
      </c>
      <c r="K36" s="21">
        <f>+IF(F36="i",IFERROR(VLOOKUP(C36,'BG 2023'!$B:$E,4,FALSE),0),0)</f>
        <v>0</v>
      </c>
      <c r="M36" s="15" t="e">
        <f>+VLOOKUP(C36,'BG 2023'!$B:$E,1,0)</f>
        <v>#N/A</v>
      </c>
      <c r="N36" s="806" t="e">
        <f>+VLOOKUP(C36,'BG 2023'!$B:$E,3,0)</f>
        <v>#N/A</v>
      </c>
      <c r="O36" s="807" t="e">
        <f t="shared" si="1"/>
        <v>#N/A</v>
      </c>
      <c r="P36" s="807"/>
      <c r="R36" s="807">
        <f>+IFERROR(VLOOKUP(C36,'CA FE'!$A$5:$C$155,3,G85),0)-G36</f>
        <v>0</v>
      </c>
    </row>
    <row r="37" spans="1:19">
      <c r="A37" s="354" t="s">
        <v>10</v>
      </c>
      <c r="B37" s="354"/>
      <c r="C37" s="355">
        <v>11114122</v>
      </c>
      <c r="D37" s="354" t="s">
        <v>21</v>
      </c>
      <c r="E37" s="356" t="s">
        <v>640</v>
      </c>
      <c r="F37" s="356" t="str">
        <f t="shared" si="0"/>
        <v>NI</v>
      </c>
      <c r="G37" s="28">
        <f>+IF(F37="i",IFERROR(VLOOKUP(C37,'BG 12.2024'!$B:$E,3,FALSE),0),0)</f>
        <v>0</v>
      </c>
      <c r="H37" s="21">
        <f>+IF(F37="i",IFERROR(VLOOKUP(C37,'BG 12.2024'!$B:$E,4,FALSE),0),0)</f>
        <v>0</v>
      </c>
      <c r="I37" s="21"/>
      <c r="J37" s="28">
        <f>+IF(F37="i",IFERROR(VLOOKUP(C37,'BG 2023'!$B:$E,3,FALSE),0),0)</f>
        <v>0</v>
      </c>
      <c r="K37" s="21">
        <f>+IF(F37="i",IFERROR(VLOOKUP(C37,'BG 2023'!$B:$E,4,FALSE),0),0)</f>
        <v>0</v>
      </c>
      <c r="M37" s="15">
        <f>+VLOOKUP(C37,'BG 2023'!$B:$E,1,0)</f>
        <v>11114122</v>
      </c>
      <c r="N37" s="806">
        <f>+VLOOKUP(C37,'BG 2023'!$B:$E,3,0)</f>
        <v>43306581</v>
      </c>
      <c r="O37" s="807">
        <f t="shared" si="1"/>
        <v>43306581</v>
      </c>
      <c r="P37" s="807"/>
      <c r="R37" s="807">
        <f>+IFERROR(VLOOKUP(C37,'CA FE'!$A$5:$C$155,3,G86),0)-G37</f>
        <v>0</v>
      </c>
    </row>
    <row r="38" spans="1:19">
      <c r="A38" s="354" t="s">
        <v>10</v>
      </c>
      <c r="B38" s="354" t="s">
        <v>13</v>
      </c>
      <c r="C38" s="1215">
        <v>1111412201</v>
      </c>
      <c r="D38" s="354" t="s">
        <v>17</v>
      </c>
      <c r="E38" s="356" t="s">
        <v>634</v>
      </c>
      <c r="F38" s="356" t="str">
        <f>+IF(LEN(C38)&gt;8,"I","NI")</f>
        <v>I</v>
      </c>
      <c r="G38" s="28">
        <f>+IF(F38="i",IFERROR(VLOOKUP(C38,'BG 12.2024'!$B:$E,3,FALSE),0),0)</f>
        <v>5180000</v>
      </c>
      <c r="H38" s="21">
        <f>+IF(F38="i",IFERROR(VLOOKUP(C38,'BG 12.2024'!$B:$E,4,FALSE),0),0)</f>
        <v>661.45000000298023</v>
      </c>
      <c r="I38" s="21"/>
      <c r="J38" s="28">
        <f>+IF(F38="i",IFERROR(VLOOKUP(C38,'BG 2023'!$B:$E,3,FALSE),0),0)</f>
        <v>6117000</v>
      </c>
      <c r="K38" s="21">
        <f>+IF(F38="i",IFERROR(VLOOKUP(C38,'BG 2023'!$B:$E,4,FALSE),0),0)</f>
        <v>842.15000000223517</v>
      </c>
      <c r="M38" s="15">
        <f>+VLOOKUP(C38,'BG 2023'!$B:$E,1,0)</f>
        <v>1111412201</v>
      </c>
      <c r="N38" s="806">
        <f>+VLOOKUP(C38,'BG 2023'!$B:$E,3,0)</f>
        <v>6117000</v>
      </c>
      <c r="O38" s="807">
        <f t="shared" si="1"/>
        <v>937000</v>
      </c>
      <c r="P38" s="807"/>
      <c r="R38" s="807">
        <f>+IFERROR(VLOOKUP(C38,'CA FE'!$A$5:$C$155,3,G87),0)-G38</f>
        <v>0</v>
      </c>
    </row>
    <row r="39" spans="1:19">
      <c r="A39" s="354" t="s">
        <v>10</v>
      </c>
      <c r="B39" s="354" t="s">
        <v>13</v>
      </c>
      <c r="C39" s="355">
        <v>1111412202</v>
      </c>
      <c r="D39" s="354" t="s">
        <v>18</v>
      </c>
      <c r="E39" s="356" t="s">
        <v>640</v>
      </c>
      <c r="F39" s="356" t="str">
        <f>+IF(LEN(C39)&gt;8,"I","NI")</f>
        <v>I</v>
      </c>
      <c r="G39" s="28">
        <f>+IF(F39="i",IFERROR(VLOOKUP(C39,'BG 12.2024'!$B:$E,3,FALSE),0),0)</f>
        <v>40096051</v>
      </c>
      <c r="H39" s="1229">
        <f>+IF(F39="i",IFERROR(VLOOKUP(C39,'BG 12.2024'!$B:$E,4,FALSE),0),0)</f>
        <v>5120</v>
      </c>
      <c r="I39" s="21"/>
      <c r="J39" s="28">
        <f>+IF(F39="i",IFERROR(VLOOKUP(C39,'BG 2023'!$B:$E,3,FALSE),0),0)</f>
        <v>37189581</v>
      </c>
      <c r="K39" s="21">
        <f>+IF(F39="i",IFERROR(VLOOKUP(C39,'BG 2023'!$B:$E,4,FALSE),0),0)</f>
        <v>5120</v>
      </c>
      <c r="M39" s="15">
        <f>+VLOOKUP(C39,'BG 2023'!$B:$E,1,0)</f>
        <v>1111412202</v>
      </c>
      <c r="N39" s="806">
        <f>+VLOOKUP(C39,'BG 2023'!$B:$E,3,0)</f>
        <v>37189581</v>
      </c>
      <c r="O39" s="807">
        <f t="shared" si="1"/>
        <v>-2906470</v>
      </c>
      <c r="P39" s="807"/>
      <c r="R39" s="807">
        <f>+IFERROR(VLOOKUP(C39,'CA FE'!$A$5:$C$155,3,G88),0)-G39</f>
        <v>0</v>
      </c>
    </row>
    <row r="40" spans="1:19">
      <c r="A40" s="354" t="s">
        <v>10</v>
      </c>
      <c r="B40" s="354"/>
      <c r="C40" s="355">
        <v>11114123</v>
      </c>
      <c r="D40" s="354" t="s">
        <v>22</v>
      </c>
      <c r="E40" s="356" t="s">
        <v>634</v>
      </c>
      <c r="F40" s="356" t="str">
        <f t="shared" si="0"/>
        <v>NI</v>
      </c>
      <c r="G40" s="28">
        <f>+IF(F40="i",IFERROR(VLOOKUP(C40,'BG 12.2024'!$B:$E,3,FALSE),0),0)</f>
        <v>0</v>
      </c>
      <c r="H40" s="21">
        <f>+IF(F40="i",IFERROR(VLOOKUP(C40,'BG 12.2024'!$B:$E,4,FALSE),0),0)</f>
        <v>0</v>
      </c>
      <c r="I40" s="21"/>
      <c r="J40" s="28">
        <f>+IF(F40="i",IFERROR(VLOOKUP(C40,'BG 2023'!$B:$E,3,FALSE),0),0)</f>
        <v>0</v>
      </c>
      <c r="K40" s="21">
        <f>+IF(F40="i",IFERROR(VLOOKUP(C40,'BG 2023'!$B:$E,4,FALSE),0),0)</f>
        <v>0</v>
      </c>
      <c r="M40" s="15">
        <f>+VLOOKUP(C40,'BG 2023'!$B:$E,1,0)</f>
        <v>11114123</v>
      </c>
      <c r="N40" s="806">
        <f>+VLOOKUP(C40,'BG 2023'!$B:$E,3,0)</f>
        <v>2415996333</v>
      </c>
      <c r="O40" s="807">
        <f t="shared" si="1"/>
        <v>2415996333</v>
      </c>
      <c r="P40" s="807"/>
      <c r="R40" s="807">
        <f>+IFERROR(VLOOKUP(C40,'CA FE'!$A$5:$C$155,3,G89),0)-G40</f>
        <v>0</v>
      </c>
    </row>
    <row r="41" spans="1:19">
      <c r="A41" s="354" t="s">
        <v>10</v>
      </c>
      <c r="B41" s="354" t="s">
        <v>13</v>
      </c>
      <c r="C41" s="355">
        <v>1111412301</v>
      </c>
      <c r="D41" s="354" t="s">
        <v>17</v>
      </c>
      <c r="E41" s="356" t="s">
        <v>634</v>
      </c>
      <c r="F41" s="356" t="str">
        <f t="shared" si="0"/>
        <v>I</v>
      </c>
      <c r="G41" s="28">
        <f>+IF(F41="i",IFERROR(VLOOKUP(C41,'BG 12.2024'!$B:$E,3,FALSE),0),0)</f>
        <v>0</v>
      </c>
      <c r="H41" s="21">
        <f>+IF(F41="i",IFERROR(VLOOKUP(C41,'BG 12.2024'!$B:$E,4,FALSE),0),0)</f>
        <v>0</v>
      </c>
      <c r="I41" s="21"/>
      <c r="J41" s="28">
        <f>+IF(F41="i",IFERROR(VLOOKUP(C41,'BG 2023'!$B:$E,3,FALSE),0),0)</f>
        <v>13911138</v>
      </c>
      <c r="K41" s="21">
        <f>+IF(F41="i",IFERROR(VLOOKUP(C41,'BG 2023'!$B:$E,4,FALSE),0),0)</f>
        <v>1915.1899999976156</v>
      </c>
      <c r="M41" s="15">
        <f>+VLOOKUP(C41,'BG 2023'!$B:$E,1,0)</f>
        <v>1111412301</v>
      </c>
      <c r="N41" s="806">
        <f>+VLOOKUP(C41,'BG 2023'!$B:$E,3,0)</f>
        <v>13911138</v>
      </c>
      <c r="O41" s="807">
        <f t="shared" si="1"/>
        <v>13911138</v>
      </c>
      <c r="P41" s="807"/>
      <c r="R41" s="807">
        <f>+IFERROR(VLOOKUP(C41,'CA FE'!$A$5:$C$155,3,G90),0)-G41</f>
        <v>0</v>
      </c>
    </row>
    <row r="42" spans="1:19">
      <c r="A42" s="354" t="s">
        <v>10</v>
      </c>
      <c r="B42" s="354" t="s">
        <v>13</v>
      </c>
      <c r="C42" s="355">
        <v>1111412302</v>
      </c>
      <c r="D42" s="354" t="s">
        <v>18</v>
      </c>
      <c r="E42" s="356" t="s">
        <v>640</v>
      </c>
      <c r="F42" s="356" t="str">
        <f t="shared" si="0"/>
        <v>I</v>
      </c>
      <c r="G42" s="28">
        <f>+IF(F42="i",IFERROR(VLOOKUP(C42,'BG 12.2024'!$B:$E,3,FALSE),0),0)</f>
        <v>0</v>
      </c>
      <c r="H42" s="21">
        <f>+IF(F42="i",IFERROR(VLOOKUP(C42,'BG 12.2024'!$B:$E,4,FALSE),0),0)</f>
        <v>0</v>
      </c>
      <c r="I42" s="21"/>
      <c r="J42" s="28">
        <f>+IF(F42="i",IFERROR(VLOOKUP(C42,'BG 2023'!$B:$E,3,FALSE),0),0)</f>
        <v>2402085195</v>
      </c>
      <c r="K42" s="21">
        <f>+IF(F42="i",IFERROR(VLOOKUP(C42,'BG 2023'!$B:$E,4,FALSE),0),0)</f>
        <v>330702.19999999925</v>
      </c>
      <c r="M42" s="15">
        <f>+VLOOKUP(C42,'BG 2023'!$B:$E,1,0)</f>
        <v>1111412302</v>
      </c>
      <c r="N42" s="806">
        <f>+VLOOKUP(C42,'BG 2023'!$B:$E,3,0)</f>
        <v>2402085195</v>
      </c>
      <c r="O42" s="807">
        <f t="shared" si="1"/>
        <v>2402085195</v>
      </c>
      <c r="P42" s="807"/>
      <c r="R42" s="807">
        <f>+IFERROR(VLOOKUP(C42,'CA FE'!$A$5:$C$155,3,G91),0)-G42</f>
        <v>0</v>
      </c>
    </row>
    <row r="43" spans="1:19">
      <c r="A43" s="354" t="s">
        <v>10</v>
      </c>
      <c r="B43" s="1207" t="s">
        <v>13</v>
      </c>
      <c r="C43" s="355">
        <v>1111412303</v>
      </c>
      <c r="D43" s="354" t="s">
        <v>557</v>
      </c>
      <c r="E43" s="356" t="s">
        <v>634</v>
      </c>
      <c r="F43" s="356" t="str">
        <f t="shared" ref="F43:F64" si="2">+IF(LEN(C43)&gt;8,"I","NI")</f>
        <v>I</v>
      </c>
      <c r="G43" s="28">
        <f>+IF(F43="i",IFERROR(VLOOKUP(C43,'BG 12.2024'!$B:$E,3,FALSE),0),0)</f>
        <v>8700000</v>
      </c>
      <c r="H43" s="21">
        <f>+IF(F43="i",IFERROR(VLOOKUP(C43,'BG 12.2024'!$B:$E,4,FALSE),0),0)</f>
        <v>1110.929999999702</v>
      </c>
      <c r="I43" s="21"/>
      <c r="J43" s="28">
        <f>+IF(F43="i",IFERROR(VLOOKUP(C43,'BG 2023'!$B:$E,3,FALSE),0),0)</f>
        <v>0</v>
      </c>
      <c r="K43" s="21"/>
      <c r="N43" s="806"/>
      <c r="O43" s="807"/>
      <c r="P43" s="807"/>
      <c r="R43" s="807">
        <f>+IFERROR(VLOOKUP(C43,'CA FE'!$A$5:$C$155,3,G92),0)-G43</f>
        <v>0</v>
      </c>
    </row>
    <row r="44" spans="1:19">
      <c r="A44" s="354" t="s">
        <v>10</v>
      </c>
      <c r="B44" s="1207" t="s">
        <v>13</v>
      </c>
      <c r="C44" s="355">
        <v>1111412304</v>
      </c>
      <c r="D44" s="354" t="s">
        <v>558</v>
      </c>
      <c r="E44" s="356" t="s">
        <v>640</v>
      </c>
      <c r="F44" s="356" t="str">
        <f t="shared" si="2"/>
        <v>I</v>
      </c>
      <c r="G44" s="28">
        <f>+IF(F44="i",IFERROR(VLOOKUP(C44,'BG 12.2024'!$B:$E,3,FALSE),0),0)</f>
        <v>39234613</v>
      </c>
      <c r="H44" s="1229">
        <f>+IF(F44="i",IFERROR(VLOOKUP(C44,'BG 12.2024'!$B:$E,4,FALSE),0),0)</f>
        <v>5010</v>
      </c>
      <c r="I44" s="21"/>
      <c r="J44" s="28">
        <f>+IF(F44="i",IFERROR(VLOOKUP(C44,'BG 2023'!$B:$E,3,FALSE),0),0)</f>
        <v>0</v>
      </c>
      <c r="K44" s="21"/>
      <c r="N44" s="806"/>
      <c r="O44" s="807"/>
      <c r="P44" s="807"/>
      <c r="R44" s="807">
        <f>+IFERROR(VLOOKUP(C44,'CA FE'!$A$5:$C$155,3,G93),0)-G44</f>
        <v>0</v>
      </c>
    </row>
    <row r="45" spans="1:19">
      <c r="A45" s="354" t="s">
        <v>10</v>
      </c>
      <c r="B45" s="1207" t="s">
        <v>13</v>
      </c>
      <c r="C45" s="355">
        <v>1111412305</v>
      </c>
      <c r="D45" s="354" t="s">
        <v>559</v>
      </c>
      <c r="E45" s="356" t="s">
        <v>634</v>
      </c>
      <c r="F45" s="356" t="str">
        <f t="shared" si="2"/>
        <v>I</v>
      </c>
      <c r="G45" s="28">
        <f>+IF(F45="i",IFERROR(VLOOKUP(C45,'BG 12.2024'!$B:$E,3,FALSE),0),0)</f>
        <v>0</v>
      </c>
      <c r="H45" s="21">
        <f>+IF(F45="i",IFERROR(VLOOKUP(C45,'BG 12.2024'!$B:$E,4,FALSE),0),0)</f>
        <v>0</v>
      </c>
      <c r="I45" s="21"/>
      <c r="J45" s="28">
        <f>+IF(F45="i",IFERROR(VLOOKUP(C45,'BG 2023'!$B:$E,3,FALSE),0),0)</f>
        <v>0</v>
      </c>
      <c r="K45" s="21"/>
      <c r="N45" s="806"/>
      <c r="O45" s="807"/>
      <c r="P45" s="807"/>
      <c r="R45" s="807">
        <f>+IFERROR(VLOOKUP(C45,'CA FE'!$A$5:$C$155,3,G94),0)-G45</f>
        <v>0</v>
      </c>
    </row>
    <row r="46" spans="1:19">
      <c r="A46" s="354" t="s">
        <v>10</v>
      </c>
      <c r="B46" s="1207" t="s">
        <v>13</v>
      </c>
      <c r="C46" s="355">
        <v>1111412306</v>
      </c>
      <c r="D46" s="354" t="s">
        <v>560</v>
      </c>
      <c r="E46" s="356" t="s">
        <v>640</v>
      </c>
      <c r="F46" s="356" t="str">
        <f t="shared" si="2"/>
        <v>I</v>
      </c>
      <c r="G46" s="28">
        <f>+IF(F46="i",IFERROR(VLOOKUP(C46,'BG 12.2024'!$B:$E,3,FALSE),0),0)</f>
        <v>39156300</v>
      </c>
      <c r="H46" s="1229">
        <f>+IF(F46="i",IFERROR(VLOOKUP(C46,'BG 12.2024'!$B:$E,4,FALSE),0),0)</f>
        <v>5000.0000000000009</v>
      </c>
      <c r="I46" s="21"/>
      <c r="J46" s="28">
        <f>+IF(F46="i",IFERROR(VLOOKUP(C46,'BG 2023'!$B:$E,3,FALSE),0),0)</f>
        <v>0</v>
      </c>
      <c r="K46" s="21"/>
      <c r="N46" s="806"/>
      <c r="O46" s="807"/>
      <c r="P46" s="807"/>
      <c r="R46" s="807">
        <f>+IFERROR(VLOOKUP(C46,'CA FE'!$A$5:$C$155,3,G95),0)-G46</f>
        <v>0</v>
      </c>
    </row>
    <row r="47" spans="1:19">
      <c r="A47" s="354" t="s">
        <v>10</v>
      </c>
      <c r="B47" s="1207" t="s">
        <v>13</v>
      </c>
      <c r="C47" s="355">
        <v>1111412307</v>
      </c>
      <c r="D47" s="354" t="s">
        <v>2701</v>
      </c>
      <c r="E47" s="356" t="s">
        <v>634</v>
      </c>
      <c r="F47" s="356" t="str">
        <f t="shared" ref="F47" si="3">+IF(LEN(C47)&gt;8,"I","NI")</f>
        <v>I</v>
      </c>
      <c r="G47" s="28">
        <f>+IF(F47="i",IFERROR(VLOOKUP(C47,'BG 12.2024'!$B:$E,3,FALSE),0),0)</f>
        <v>9999990</v>
      </c>
      <c r="H47" s="21">
        <f>+IF(F47="i",IFERROR(VLOOKUP(C47,'BG 12.2024'!$B:$E,4,FALSE),0),0)</f>
        <v>1276.929999999702</v>
      </c>
      <c r="I47" s="21"/>
      <c r="J47" s="28">
        <f>+IF(F47="i",IFERROR(VLOOKUP(C47,'BG 2023'!$B:$E,3,FALSE),0),0)</f>
        <v>0</v>
      </c>
      <c r="K47" s="21">
        <f>+IF(F47="i",IFERROR(VLOOKUP(C47,'BG 2023'!$B:$E,4,FALSE),0),0)</f>
        <v>0</v>
      </c>
      <c r="N47" s="806"/>
      <c r="O47" s="807"/>
      <c r="P47" s="807"/>
      <c r="R47" s="807">
        <f>+IFERROR(VLOOKUP(C47,'CA FE'!$A$5:$C$155,3,G96),0)-G47</f>
        <v>0</v>
      </c>
    </row>
    <row r="48" spans="1:19" ht="14.4">
      <c r="A48" s="354" t="s">
        <v>10</v>
      </c>
      <c r="B48" s="1207" t="s">
        <v>13</v>
      </c>
      <c r="C48" s="355">
        <v>1111412309</v>
      </c>
      <c r="D48" s="354" t="s">
        <v>561</v>
      </c>
      <c r="E48" s="356" t="s">
        <v>634</v>
      </c>
      <c r="F48" s="356" t="str">
        <f t="shared" si="2"/>
        <v>I</v>
      </c>
      <c r="G48" s="28">
        <f>+IF(F48="i",IFERROR(VLOOKUP(C48,'BG 12.2024'!$B:$E,3,FALSE),0),0)</f>
        <v>7143006</v>
      </c>
      <c r="H48" s="21">
        <f>+IF(F48="i",IFERROR(VLOOKUP(C48,'BG 12.2024'!$B:$E,4,FALSE),0),0)</f>
        <v>912.10999999940395</v>
      </c>
      <c r="I48" s="21"/>
      <c r="J48" s="28">
        <f>+IF(F48="i",IFERROR(VLOOKUP(C48,'BG 2023'!$B:$E,3,FALSE),0),0)</f>
        <v>0</v>
      </c>
      <c r="K48" s="21"/>
      <c r="N48" s="806"/>
      <c r="O48" s="807"/>
      <c r="P48" s="807"/>
      <c r="R48" s="807">
        <f>+IFERROR(VLOOKUP(C48,'CA FE'!$A$5:$C$155,3,G97),0)-G48</f>
        <v>0</v>
      </c>
      <c r="S48" s="1203">
        <v>1111412306</v>
      </c>
    </row>
    <row r="49" spans="1:18">
      <c r="A49" s="354" t="s">
        <v>10</v>
      </c>
      <c r="B49" s="1207" t="s">
        <v>13</v>
      </c>
      <c r="C49" s="355">
        <v>1111412310</v>
      </c>
      <c r="D49" s="354" t="s">
        <v>562</v>
      </c>
      <c r="E49" s="356" t="s">
        <v>640</v>
      </c>
      <c r="F49" s="356" t="str">
        <f t="shared" si="2"/>
        <v>I</v>
      </c>
      <c r="G49" s="28">
        <f>+IF(F49="i",IFERROR(VLOOKUP(C49,'BG 12.2024'!$B:$E,3,FALSE),0),0)</f>
        <v>33277686</v>
      </c>
      <c r="H49" s="1229">
        <f>+IF(F49="i",IFERROR(VLOOKUP(C49,'BG 12.2024'!$B:$E,4,FALSE),0),0)</f>
        <v>4249.3399999886751</v>
      </c>
      <c r="I49" s="21"/>
      <c r="J49" s="28">
        <f>+IF(F49="i",IFERROR(VLOOKUP(C49,'BG 2023'!$B:$E,3,FALSE),0),0)</f>
        <v>0</v>
      </c>
      <c r="K49" s="21"/>
      <c r="N49" s="806"/>
      <c r="O49" s="807"/>
      <c r="P49" s="807"/>
      <c r="R49" s="807">
        <f>+IFERROR(VLOOKUP(C49,'CA FE'!$A$5:$C$155,3,G97),0)-G49</f>
        <v>0</v>
      </c>
    </row>
    <row r="50" spans="1:18">
      <c r="A50" s="354" t="s">
        <v>10</v>
      </c>
      <c r="B50" s="1207" t="s">
        <v>13</v>
      </c>
      <c r="C50" s="355">
        <v>1111412311</v>
      </c>
      <c r="D50" s="354" t="s">
        <v>563</v>
      </c>
      <c r="E50" s="356" t="s">
        <v>634</v>
      </c>
      <c r="F50" s="356" t="str">
        <f t="shared" ref="F50:F51" si="4">+IF(LEN(C50)&gt;8,"I","NI")</f>
        <v>I</v>
      </c>
      <c r="G50" s="28">
        <f>+IF(F50="i",IFERROR(VLOOKUP(C50,'BG 12.2024'!$B:$E,3,FALSE),0),0)</f>
        <v>6536000</v>
      </c>
      <c r="H50" s="21">
        <f>+IF(F50="i",IFERROR(VLOOKUP(C50,'BG 12.2024'!$B:$E,4,FALSE),0),0)</f>
        <v>834.60000000149023</v>
      </c>
      <c r="I50" s="21"/>
      <c r="J50" s="28">
        <f>+IF(F50="i",IFERROR(VLOOKUP(C50,'BG 2023'!$B:$E,3,FALSE),0),0)</f>
        <v>0</v>
      </c>
      <c r="K50" s="21"/>
      <c r="N50" s="806"/>
      <c r="O50" s="807"/>
      <c r="P50" s="807"/>
      <c r="R50" s="807">
        <f>+IFERROR(VLOOKUP(C50,'CA FE'!$A$5:$C$155,3,G96),0)-G50</f>
        <v>0</v>
      </c>
    </row>
    <row r="51" spans="1:18">
      <c r="A51" s="354" t="s">
        <v>10</v>
      </c>
      <c r="B51" s="1207" t="s">
        <v>13</v>
      </c>
      <c r="C51" s="355">
        <v>1111412312</v>
      </c>
      <c r="D51" s="354" t="s">
        <v>564</v>
      </c>
      <c r="E51" s="356" t="s">
        <v>640</v>
      </c>
      <c r="F51" s="356" t="str">
        <f t="shared" si="4"/>
        <v>I</v>
      </c>
      <c r="G51" s="28">
        <f>+IF(F51="i",IFERROR(VLOOKUP(C51,'BG 12.2024'!$B:$E,3,FALSE),0),0)</f>
        <v>39156300</v>
      </c>
      <c r="H51" s="1229">
        <f>+IF(F51="i",IFERROR(VLOOKUP(C51,'BG 12.2024'!$B:$E,4,FALSE),0),0)</f>
        <v>5000</v>
      </c>
      <c r="I51" s="21"/>
      <c r="J51" s="28">
        <f>+IF(F51="i",IFERROR(VLOOKUP(C51,'BG 2023'!$B:$E,3,FALSE),0),0)</f>
        <v>0</v>
      </c>
      <c r="K51" s="21"/>
      <c r="N51" s="806"/>
      <c r="O51" s="807"/>
      <c r="P51" s="807"/>
      <c r="R51" s="807">
        <f>+IFERROR(VLOOKUP(C51,'CA FE'!$A$5:$C$155,3,G97),0)-G51</f>
        <v>0</v>
      </c>
    </row>
    <row r="52" spans="1:18">
      <c r="A52" s="354" t="s">
        <v>10</v>
      </c>
      <c r="B52" s="1207" t="s">
        <v>13</v>
      </c>
      <c r="C52" s="1347">
        <v>1111412313</v>
      </c>
      <c r="D52" s="1348" t="s">
        <v>2950</v>
      </c>
      <c r="E52" s="356" t="s">
        <v>640</v>
      </c>
      <c r="F52" s="356" t="str">
        <f t="shared" si="2"/>
        <v>I</v>
      </c>
      <c r="G52" s="28">
        <f>+IF(F52="i",IFERROR(VLOOKUP(C52,'BG 12.2024'!$B:$E,3,FALSE),0),0)</f>
        <v>31763591</v>
      </c>
      <c r="H52" s="21">
        <f>+IF(F52="i",IFERROR(VLOOKUP(C52,'BG 12.2024'!$B:$E,4,FALSE),0),0)</f>
        <v>4056</v>
      </c>
      <c r="I52" s="21"/>
      <c r="J52" s="28">
        <f>+IF(F52="i",IFERROR(VLOOKUP(C52,'BG 2023'!$B:$E,3,FALSE),0),0)</f>
        <v>0</v>
      </c>
      <c r="K52" s="21"/>
      <c r="N52" s="806"/>
      <c r="O52" s="807"/>
      <c r="P52" s="807"/>
      <c r="R52" s="807">
        <f>+IFERROR(VLOOKUP(C52,'CA FE'!$A$5:$C$155,3,G98),0)-G52</f>
        <v>0</v>
      </c>
    </row>
    <row r="53" spans="1:18">
      <c r="A53" s="354" t="s">
        <v>10</v>
      </c>
      <c r="B53" s="1207" t="s">
        <v>13</v>
      </c>
      <c r="C53" s="1347">
        <v>1111412314</v>
      </c>
      <c r="D53" s="1348" t="s">
        <v>2951</v>
      </c>
      <c r="E53" s="356" t="s">
        <v>634</v>
      </c>
      <c r="F53" s="356" t="str">
        <f t="shared" si="2"/>
        <v>I</v>
      </c>
      <c r="G53" s="28">
        <f>+IF(F53="i",IFERROR(VLOOKUP(C53,'BG 12.2024'!$B:$E,3,FALSE),0),0)</f>
        <v>2840000</v>
      </c>
      <c r="H53" s="1229">
        <f>+IF(F53="i",IFERROR(VLOOKUP(C53,'BG 12.2024'!$B:$E,4,FALSE),0),0)</f>
        <v>362.65</v>
      </c>
      <c r="I53" s="21"/>
      <c r="J53" s="28">
        <f>+IF(F53="i",IFERROR(VLOOKUP(C53,'BG 2023'!$B:$E,3,FALSE),0),0)</f>
        <v>0</v>
      </c>
      <c r="K53" s="21"/>
      <c r="N53" s="806"/>
      <c r="O53" s="807"/>
      <c r="P53" s="807"/>
      <c r="R53" s="807">
        <f>+IFERROR(VLOOKUP(C53,'CA FE'!$A$5:$C$155,3,G99),0)-G53</f>
        <v>0</v>
      </c>
    </row>
    <row r="54" spans="1:18">
      <c r="A54" s="354" t="s">
        <v>10</v>
      </c>
      <c r="B54" s="1207" t="s">
        <v>13</v>
      </c>
      <c r="C54" s="355">
        <v>11114124</v>
      </c>
      <c r="D54" s="354" t="s">
        <v>565</v>
      </c>
      <c r="E54" s="356"/>
      <c r="F54" s="356" t="str">
        <f t="shared" si="2"/>
        <v>NI</v>
      </c>
      <c r="G54" s="28">
        <f>+IF(F54="i",IFERROR(VLOOKUP(C54,'BG 12.2024'!$B:$E,3,FALSE),0),0)</f>
        <v>0</v>
      </c>
      <c r="H54" s="21">
        <f>+IF(F54="i",IFERROR(VLOOKUP(C54,'BG 12.2024'!$B:$E,4,FALSE),0),0)</f>
        <v>0</v>
      </c>
      <c r="I54" s="21"/>
      <c r="J54" s="28">
        <f>+IF(F54="i",IFERROR(VLOOKUP(C54,'BG 2023'!$B:$E,3,FALSE),0),0)</f>
        <v>0</v>
      </c>
      <c r="K54" s="21"/>
      <c r="N54" s="806"/>
      <c r="O54" s="807"/>
      <c r="P54" s="807"/>
      <c r="R54" s="807">
        <f>+IFERROR(VLOOKUP(C54,'CA FE'!$A$5:$C$155,3,G100),0)-G54</f>
        <v>0</v>
      </c>
    </row>
    <row r="55" spans="1:18">
      <c r="A55" s="354" t="s">
        <v>10</v>
      </c>
      <c r="B55" s="1207" t="s">
        <v>13</v>
      </c>
      <c r="C55" s="355">
        <v>1111412401</v>
      </c>
      <c r="D55" s="354" t="s">
        <v>566</v>
      </c>
      <c r="E55" s="356" t="s">
        <v>634</v>
      </c>
      <c r="F55" s="356" t="str">
        <f t="shared" si="2"/>
        <v>I</v>
      </c>
      <c r="G55" s="28">
        <f>+IF(F55="i",IFERROR(VLOOKUP(C55,'BG 12.2024'!$B:$E,3,FALSE),0),0)</f>
        <v>446093182</v>
      </c>
      <c r="H55" s="21">
        <f>+IF(F55="i",IFERROR(VLOOKUP(C55,'BG 12.2024'!$B:$E,4,FALSE),0),0)</f>
        <v>56963.14000000013</v>
      </c>
      <c r="I55" s="21"/>
      <c r="J55" s="28">
        <f>+IF(F55="i",IFERROR(VLOOKUP(C55,'BG 2023'!$B:$E,3,FALSE),0),0)</f>
        <v>0</v>
      </c>
      <c r="K55" s="21"/>
      <c r="N55" s="806"/>
      <c r="O55" s="807"/>
      <c r="P55" s="807"/>
      <c r="R55" s="807">
        <f>+IFERROR(VLOOKUP(C55,'CA FE'!$A$5:$C$155,3,G101),0)-G55</f>
        <v>0</v>
      </c>
    </row>
    <row r="56" spans="1:18">
      <c r="A56" s="354" t="s">
        <v>10</v>
      </c>
      <c r="B56" s="1207" t="s">
        <v>13</v>
      </c>
      <c r="C56" s="355">
        <v>1111412402</v>
      </c>
      <c r="D56" s="354" t="s">
        <v>567</v>
      </c>
      <c r="E56" s="356" t="s">
        <v>640</v>
      </c>
      <c r="F56" s="356" t="str">
        <f t="shared" si="2"/>
        <v>I</v>
      </c>
      <c r="G56" s="28">
        <f>+IF(F56="i",IFERROR(VLOOKUP(C56,'BG 12.2024'!$B:$E,3,FALSE),0),0)</f>
        <v>13619266</v>
      </c>
      <c r="H56" s="1229">
        <f>+IF(F56="i",IFERROR(VLOOKUP(C56,'BG 12.2024'!$B:$E,4,FALSE),0),0)</f>
        <v>1739.0900000003169</v>
      </c>
      <c r="I56" s="21"/>
      <c r="J56" s="28">
        <f>+IF(F56="i",IFERROR(VLOOKUP(C56,'BG 2023'!$B:$E,3,FALSE),0),0)</f>
        <v>0</v>
      </c>
      <c r="K56" s="21"/>
      <c r="N56" s="806"/>
      <c r="O56" s="807"/>
      <c r="P56" s="807"/>
      <c r="R56" s="807">
        <f>+IFERROR(VLOOKUP(C56,'CA FE'!$A$5:$C$155,3,G102),0)-G56</f>
        <v>0</v>
      </c>
    </row>
    <row r="57" spans="1:18">
      <c r="A57" s="354" t="s">
        <v>10</v>
      </c>
      <c r="B57" s="1207" t="s">
        <v>13</v>
      </c>
      <c r="C57" s="355">
        <v>1111412403</v>
      </c>
      <c r="D57" s="354" t="s">
        <v>568</v>
      </c>
      <c r="E57" s="356" t="s">
        <v>634</v>
      </c>
      <c r="F57" s="356" t="str">
        <f t="shared" si="2"/>
        <v>I</v>
      </c>
      <c r="G57" s="28">
        <f>+IF(F57="i",IFERROR(VLOOKUP(C57,'BG 12.2024'!$B:$E,3,FALSE),0),0)</f>
        <v>102974421</v>
      </c>
      <c r="H57" s="21">
        <f>+IF(F57="i",IFERROR(VLOOKUP(C57,'BG 12.2024'!$B:$E,4,FALSE),0),0)</f>
        <v>13149.149999999907</v>
      </c>
      <c r="I57" s="21"/>
      <c r="J57" s="28">
        <f>+IF(F57="i",IFERROR(VLOOKUP(C57,'BG 2023'!$B:$E,3,FALSE),0),0)</f>
        <v>0</v>
      </c>
      <c r="K57" s="21"/>
      <c r="N57" s="806"/>
      <c r="O57" s="807"/>
      <c r="P57" s="807"/>
      <c r="R57" s="807">
        <f>+IFERROR(VLOOKUP(C57,'CA FE'!$A$5:$C$155,3,G103),0)-G57</f>
        <v>0</v>
      </c>
    </row>
    <row r="58" spans="1:18">
      <c r="A58" s="354" t="s">
        <v>10</v>
      </c>
      <c r="B58" s="1207" t="s">
        <v>13</v>
      </c>
      <c r="C58" s="355">
        <v>1111412404</v>
      </c>
      <c r="D58" s="354" t="s">
        <v>569</v>
      </c>
      <c r="E58" s="356" t="s">
        <v>640</v>
      </c>
      <c r="F58" s="356" t="str">
        <f t="shared" si="2"/>
        <v>I</v>
      </c>
      <c r="G58" s="28">
        <f>+IF(F58="i",IFERROR(VLOOKUP(C58,'BG 12.2024'!$B:$E,3,FALSE),0),0)</f>
        <v>46351270</v>
      </c>
      <c r="H58" s="1229">
        <f>+IF(F58="i",IFERROR(VLOOKUP(C58,'BG 12.2024'!$B:$E,4,FALSE),0),0)</f>
        <v>5918.75</v>
      </c>
      <c r="I58" s="21"/>
      <c r="J58" s="28">
        <f>+IF(F58="i",IFERROR(VLOOKUP(C58,'BG 2023'!$B:$E,3,FALSE),0),0)</f>
        <v>0</v>
      </c>
      <c r="K58" s="21"/>
      <c r="N58" s="806"/>
      <c r="O58" s="807"/>
      <c r="P58" s="807"/>
      <c r="R58" s="807">
        <f>+IFERROR(VLOOKUP(C58,'CA FE'!$A$5:$C$155,3,G104),0)-G58</f>
        <v>0</v>
      </c>
    </row>
    <row r="59" spans="1:18">
      <c r="A59" s="354" t="s">
        <v>10</v>
      </c>
      <c r="B59" s="1207" t="s">
        <v>13</v>
      </c>
      <c r="C59" s="355">
        <v>1111412405</v>
      </c>
      <c r="D59" s="354" t="s">
        <v>570</v>
      </c>
      <c r="E59" s="356" t="s">
        <v>640</v>
      </c>
      <c r="F59" s="356" t="str">
        <f t="shared" ref="F59" si="5">+IF(LEN(C59)&gt;8,"I","NI")</f>
        <v>I</v>
      </c>
      <c r="G59" s="28">
        <f>+IF(F59="i",IFERROR(VLOOKUP(C59,'BG 12.2024'!$B:$E,3,FALSE),0),0)</f>
        <v>9507150</v>
      </c>
      <c r="H59" s="1229">
        <f>+IF(F59="i",IFERROR(VLOOKUP(C59,'BG 12.2024'!$B:$E,4,FALSE),0),0)</f>
        <v>1214</v>
      </c>
      <c r="I59" s="21"/>
      <c r="J59" s="28">
        <f>+IF(F59="i",IFERROR(VLOOKUP(C59,'BG 2023'!$B:$E,3,FALSE),0),0)</f>
        <v>0</v>
      </c>
      <c r="K59" s="21"/>
      <c r="N59" s="806"/>
      <c r="O59" s="807"/>
      <c r="P59" s="807"/>
      <c r="R59" s="807">
        <f>+IFERROR(VLOOKUP(C59,'CA FE'!$A$5:$C$155,3,G104),0)-G59</f>
        <v>0</v>
      </c>
    </row>
    <row r="60" spans="1:18">
      <c r="A60" s="354" t="s">
        <v>10</v>
      </c>
      <c r="B60" s="1207" t="s">
        <v>13</v>
      </c>
      <c r="C60" s="1347">
        <v>1111412407</v>
      </c>
      <c r="D60" s="1348" t="s">
        <v>2952</v>
      </c>
      <c r="E60" s="356" t="s">
        <v>634</v>
      </c>
      <c r="F60" s="356" t="str">
        <f t="shared" si="2"/>
        <v>I</v>
      </c>
      <c r="G60" s="28">
        <f>+IF(F60="i",IFERROR(VLOOKUP(C60,'BG 12.2024'!$B:$E,3,FALSE),0),0)</f>
        <v>1971863</v>
      </c>
      <c r="H60" s="21">
        <f>+IF(F60="i",IFERROR(VLOOKUP(C60,'BG 12.2024'!$B:$E,4,FALSE),0),0)</f>
        <v>251.79000000096858</v>
      </c>
      <c r="I60" s="21"/>
      <c r="J60" s="28">
        <f>+IF(F60="i",IFERROR(VLOOKUP(C60,'BG 2023'!$B:$E,3,FALSE),0),0)</f>
        <v>0</v>
      </c>
      <c r="K60" s="21"/>
      <c r="N60" s="1346"/>
      <c r="O60" s="807"/>
      <c r="P60" s="807"/>
      <c r="R60" s="807">
        <f>+IFERROR(VLOOKUP(C60,'CA FE'!$A$5:$C$155,3,G105),0)-G60</f>
        <v>0</v>
      </c>
    </row>
    <row r="61" spans="1:18">
      <c r="A61" s="354" t="s">
        <v>10</v>
      </c>
      <c r="B61" s="354"/>
      <c r="C61" s="355">
        <v>111142</v>
      </c>
      <c r="D61" s="354" t="s">
        <v>23</v>
      </c>
      <c r="E61" s="356" t="s">
        <v>640</v>
      </c>
      <c r="F61" s="356" t="str">
        <f t="shared" si="2"/>
        <v>NI</v>
      </c>
      <c r="G61" s="28">
        <f>+IF(F61="i",IFERROR(VLOOKUP(C61,'BG 12.2024'!$B:$E,3,FALSE),0),0)</f>
        <v>0</v>
      </c>
      <c r="H61" s="21">
        <f>+IF(F61="i",IFERROR(VLOOKUP(C61,'BG 12.2024'!$B:$E,4,FALSE),0),0)</f>
        <v>0</v>
      </c>
      <c r="I61" s="21"/>
      <c r="J61" s="28">
        <f>+IF(F61="i",IFERROR(VLOOKUP(C61,'BG 2023'!$B:$E,3,FALSE),0),0)</f>
        <v>0</v>
      </c>
      <c r="K61" s="21">
        <f>+IF(F61="i",IFERROR(VLOOKUP(C61,'BG 2023'!$B:$E,4,FALSE),0),0)</f>
        <v>0</v>
      </c>
      <c r="M61" s="15">
        <f>+VLOOKUP(C61,'BG 2023'!$B:$E,1,0)</f>
        <v>111142</v>
      </c>
      <c r="N61" s="806">
        <f>+VLOOKUP(C61,'BG 2023'!$B:$E,3,0)</f>
        <v>128164665</v>
      </c>
      <c r="O61" s="807">
        <f t="shared" si="1"/>
        <v>128164665</v>
      </c>
      <c r="P61" s="807"/>
      <c r="R61" s="807">
        <f>+IFERROR(VLOOKUP(C61,'CA FE'!$A$5:$C$155,3,G106),0)-G61</f>
        <v>0</v>
      </c>
    </row>
    <row r="62" spans="1:18">
      <c r="A62" s="354" t="s">
        <v>10</v>
      </c>
      <c r="B62" s="354"/>
      <c r="C62" s="355">
        <v>1111421</v>
      </c>
      <c r="D62" s="354" t="s">
        <v>24</v>
      </c>
      <c r="E62" s="356" t="s">
        <v>640</v>
      </c>
      <c r="F62" s="356" t="str">
        <f t="shared" si="2"/>
        <v>NI</v>
      </c>
      <c r="G62" s="28">
        <f>+IF(F62="i",IFERROR(VLOOKUP(C62,'BG 12.2024'!$B:$E,3,FALSE),0),0)</f>
        <v>0</v>
      </c>
      <c r="H62" s="21">
        <f>+IF(F62="i",IFERROR(VLOOKUP(C62,'BG 12.2024'!$B:$E,4,FALSE),0),0)</f>
        <v>0</v>
      </c>
      <c r="I62" s="21"/>
      <c r="J62" s="28">
        <f>+IF(F62="i",IFERROR(VLOOKUP(C62,'BG 2023'!$B:$E,3,FALSE),0),0)</f>
        <v>0</v>
      </c>
      <c r="K62" s="21">
        <f>+IF(F62="i",IFERROR(VLOOKUP(C62,'BG 2023'!$B:$E,4,FALSE),0),0)</f>
        <v>0</v>
      </c>
      <c r="M62" s="15">
        <f>+VLOOKUP(C62,'BG 2023'!$B:$E,1,0)</f>
        <v>1111421</v>
      </c>
      <c r="N62" s="806">
        <f>+VLOOKUP(C62,'BG 2023'!$B:$E,3,0)</f>
        <v>128164665</v>
      </c>
      <c r="O62" s="807">
        <f t="shared" si="1"/>
        <v>128164665</v>
      </c>
      <c r="P62" s="807"/>
      <c r="R62" s="807">
        <f>+IFERROR(VLOOKUP(C62,'CA FE'!$A$5:$C$155,3,G107),0)-G62</f>
        <v>0</v>
      </c>
    </row>
    <row r="63" spans="1:18">
      <c r="A63" s="354" t="s">
        <v>10</v>
      </c>
      <c r="B63" s="354"/>
      <c r="C63" s="355">
        <v>11114211</v>
      </c>
      <c r="D63" s="354" t="s">
        <v>25</v>
      </c>
      <c r="E63" s="356" t="s">
        <v>640</v>
      </c>
      <c r="F63" s="356" t="str">
        <f t="shared" si="2"/>
        <v>NI</v>
      </c>
      <c r="G63" s="28">
        <f>+IF(F63="i",IFERROR(VLOOKUP(C63,'BG 12.2024'!$B:$E,3,FALSE),0),0)</f>
        <v>0</v>
      </c>
      <c r="H63" s="21">
        <f>+IF(F63="i",IFERROR(VLOOKUP(C63,'BG 12.2024'!$B:$E,4,FALSE),0),0)</f>
        <v>0</v>
      </c>
      <c r="I63" s="21"/>
      <c r="J63" s="28">
        <f>+IF(F63="i",IFERROR(VLOOKUP(C63,'BG 2023'!$B:$E,3,FALSE),0),0)</f>
        <v>0</v>
      </c>
      <c r="K63" s="21">
        <f>+IF(F63="i",IFERROR(VLOOKUP(C63,'BG 2023'!$B:$E,4,FALSE),0),0)</f>
        <v>0</v>
      </c>
      <c r="M63" s="15">
        <f>+VLOOKUP(C63,'BG 2023'!$B:$E,1,0)</f>
        <v>11114211</v>
      </c>
      <c r="N63" s="806">
        <f>+VLOOKUP(C63,'BG 2023'!$B:$E,3,0)</f>
        <v>128164665</v>
      </c>
      <c r="O63" s="807">
        <f t="shared" si="1"/>
        <v>128164665</v>
      </c>
      <c r="P63" s="807"/>
      <c r="R63" s="807">
        <f>+IFERROR(VLOOKUP(C63,'CA FE'!$A$5:$C$155,3,G108),0)-G63</f>
        <v>0</v>
      </c>
    </row>
    <row r="64" spans="1:18">
      <c r="A64" s="354" t="s">
        <v>10</v>
      </c>
      <c r="B64" s="354" t="s">
        <v>13</v>
      </c>
      <c r="C64" s="355">
        <v>1111421101</v>
      </c>
      <c r="D64" s="354" t="s">
        <v>18</v>
      </c>
      <c r="E64" s="356" t="s">
        <v>640</v>
      </c>
      <c r="F64" s="356" t="str">
        <f t="shared" si="2"/>
        <v>I</v>
      </c>
      <c r="G64" s="28">
        <f>+IF(F64="i",IFERROR(VLOOKUP(C64,'BG 12.2024'!$B:$E,3,FALSE),0),0)</f>
        <v>488815659</v>
      </c>
      <c r="H64" s="1081">
        <f>+IF(F64="i",IFERROR(VLOOKUP(C64,'BG 12.2024'!$B:$E,4,FALSE),0),0)</f>
        <v>62418.520000010729</v>
      </c>
      <c r="I64" s="21"/>
      <c r="J64" s="28">
        <f>+IF(F64="i",IFERROR(VLOOKUP(C64,'BG 2023'!$B:$E,3,FALSE),0),0)</f>
        <v>128164665</v>
      </c>
      <c r="K64" s="21">
        <f>+IF(F64="i",IFERROR(VLOOKUP(C64,'BG 2023'!$B:$E,4,FALSE),0),0)</f>
        <v>17644.809999994934</v>
      </c>
      <c r="M64" s="15">
        <f>+VLOOKUP(C64,'BG 2023'!$B:$E,1,0)</f>
        <v>1111421101</v>
      </c>
      <c r="N64" s="806">
        <f>+VLOOKUP(C64,'BG 2023'!$B:$E,3,0)</f>
        <v>128164665</v>
      </c>
      <c r="O64" s="807">
        <f t="shared" si="1"/>
        <v>-360650994</v>
      </c>
      <c r="P64" s="807"/>
      <c r="R64" s="807">
        <f>+IFERROR(VLOOKUP(C64,'CA FE'!$A$5:$C$155,3,G109),0)-G64</f>
        <v>0</v>
      </c>
    </row>
    <row r="65" spans="1:18">
      <c r="A65" s="354" t="s">
        <v>10</v>
      </c>
      <c r="B65" s="354"/>
      <c r="C65" s="355">
        <v>112</v>
      </c>
      <c r="D65" s="354" t="s">
        <v>26</v>
      </c>
      <c r="E65" s="356" t="s">
        <v>634</v>
      </c>
      <c r="F65" s="356" t="str">
        <f t="shared" si="0"/>
        <v>NI</v>
      </c>
      <c r="G65" s="28">
        <f>+IF(F65="i",IFERROR(VLOOKUP(C65,'BG 12.2024'!$B:$E,3,FALSE),0),0)</f>
        <v>0</v>
      </c>
      <c r="H65" s="21">
        <f>+IF(F65="i",IFERROR(VLOOKUP(C65,'BG 12.2024'!$B:$E,4,FALSE),0),0)</f>
        <v>0</v>
      </c>
      <c r="I65" s="21"/>
      <c r="J65" s="28">
        <f>+IF(F65="i",IFERROR(VLOOKUP(C65,'BG 2023'!$B:$E,3,FALSE),0),0)</f>
        <v>0</v>
      </c>
      <c r="K65" s="21">
        <f>+IF(F65="i",IFERROR(VLOOKUP(C65,'BG 2023'!$B:$E,4,FALSE),0),0)</f>
        <v>0</v>
      </c>
      <c r="M65" s="15">
        <f>+VLOOKUP(C65,'BG 2023'!$B:$E,1,0)</f>
        <v>112</v>
      </c>
      <c r="N65" s="806">
        <f>+VLOOKUP(C65,'BG 2023'!$B:$E,3,0)</f>
        <v>1953980292</v>
      </c>
      <c r="O65" s="807">
        <f t="shared" si="1"/>
        <v>1953980292</v>
      </c>
      <c r="P65" s="807"/>
      <c r="R65" s="807">
        <f>+IFERROR(VLOOKUP(C65,'CA FE'!$A$5:$C$155,3,G110),0)-G65</f>
        <v>0</v>
      </c>
    </row>
    <row r="66" spans="1:18">
      <c r="A66" s="354" t="s">
        <v>10</v>
      </c>
      <c r="B66" s="354"/>
      <c r="C66" s="355">
        <v>11201</v>
      </c>
      <c r="D66" s="354" t="s">
        <v>27</v>
      </c>
      <c r="E66" s="356" t="s">
        <v>634</v>
      </c>
      <c r="F66" s="356" t="str">
        <f t="shared" si="0"/>
        <v>NI</v>
      </c>
      <c r="G66" s="28">
        <f>+IF(F66="i",IFERROR(VLOOKUP(C66,'BG 12.2024'!$B:$E,3,FALSE),0),0)</f>
        <v>0</v>
      </c>
      <c r="H66" s="21">
        <f>+IF(F66="i",IFERROR(VLOOKUP(C66,'BG 12.2024'!$B:$E,4,FALSE),0),0)</f>
        <v>0</v>
      </c>
      <c r="I66" s="21"/>
      <c r="J66" s="28">
        <f>+IF(F66="i",IFERROR(VLOOKUP(C66,'BG 2023'!$B:$E,3,FALSE),0),0)</f>
        <v>0</v>
      </c>
      <c r="K66" s="21">
        <f>+IF(F66="i",IFERROR(VLOOKUP(C66,'BG 2023'!$B:$E,4,FALSE),0),0)</f>
        <v>0</v>
      </c>
      <c r="M66" s="15">
        <f>+VLOOKUP(C66,'BG 2023'!$B:$E,1,0)</f>
        <v>11201</v>
      </c>
      <c r="N66" s="806">
        <f>+VLOOKUP(C66,'BG 2023'!$B:$E,3,0)</f>
        <v>339579535</v>
      </c>
      <c r="O66" s="807">
        <f t="shared" si="1"/>
        <v>339579535</v>
      </c>
      <c r="P66" s="807"/>
      <c r="R66" s="807">
        <f>+IFERROR(VLOOKUP(C66,'CA FE'!$A$5:$C$155,3,G111),0)-G66</f>
        <v>0</v>
      </c>
    </row>
    <row r="67" spans="1:18">
      <c r="A67" s="354" t="s">
        <v>10</v>
      </c>
      <c r="B67" s="354"/>
      <c r="C67" s="355">
        <v>112011</v>
      </c>
      <c r="D67" s="354" t="s">
        <v>28</v>
      </c>
      <c r="E67" s="356" t="s">
        <v>634</v>
      </c>
      <c r="F67" s="356" t="str">
        <f t="shared" si="0"/>
        <v>NI</v>
      </c>
      <c r="G67" s="28">
        <f>+IF(F67="i",IFERROR(VLOOKUP(C67,'BG 12.2024'!$B:$E,3,FALSE),0),0)</f>
        <v>0</v>
      </c>
      <c r="H67" s="21">
        <f>+IF(F67="i",IFERROR(VLOOKUP(C67,'BG 12.2024'!$B:$E,4,FALSE),0),0)</f>
        <v>0</v>
      </c>
      <c r="I67" s="21"/>
      <c r="J67" s="28">
        <f>+IF(F67="i",IFERROR(VLOOKUP(C67,'BG 2023'!$B:$E,3,FALSE),0),0)</f>
        <v>0</v>
      </c>
      <c r="K67" s="21">
        <f>+IF(F67="i",IFERROR(VLOOKUP(C67,'BG 2023'!$B:$E,4,FALSE),0),0)</f>
        <v>0</v>
      </c>
      <c r="M67" s="15">
        <f>+VLOOKUP(C67,'BG 2023'!$B:$E,1,0)</f>
        <v>112011</v>
      </c>
      <c r="N67" s="806">
        <f>+VLOOKUP(C67,'BG 2023'!$B:$E,3,0)</f>
        <v>339579535</v>
      </c>
      <c r="O67" s="807">
        <f t="shared" si="1"/>
        <v>339579535</v>
      </c>
      <c r="P67" s="807"/>
      <c r="R67" s="807">
        <f>+IFERROR(VLOOKUP(C67,'CA FE'!$A$5:$C$155,3,G112),0)-G67</f>
        <v>0</v>
      </c>
    </row>
    <row r="68" spans="1:18">
      <c r="A68" s="354" t="s">
        <v>10</v>
      </c>
      <c r="B68" s="354"/>
      <c r="C68" s="355">
        <v>1120112</v>
      </c>
      <c r="D68" s="354" t="s">
        <v>643</v>
      </c>
      <c r="E68" s="356" t="s">
        <v>634</v>
      </c>
      <c r="F68" s="356" t="str">
        <f t="shared" si="0"/>
        <v>NI</v>
      </c>
      <c r="G68" s="28">
        <f>+IF(F68="i",IFERROR(VLOOKUP(C68,'BG 12.2024'!$B:$E,3,FALSE),0),0)</f>
        <v>0</v>
      </c>
      <c r="H68" s="21">
        <f>+IF(F68="i",IFERROR(VLOOKUP(C68,'BG 12.2024'!$B:$E,4,FALSE),0),0)</f>
        <v>0</v>
      </c>
      <c r="I68" s="21"/>
      <c r="J68" s="28">
        <f>+IF(F68="i",IFERROR(VLOOKUP(C68,'BG 2023'!$B:$E,3,FALSE),0),0)</f>
        <v>0</v>
      </c>
      <c r="K68" s="21">
        <f>+IF(F68="i",IFERROR(VLOOKUP(C68,'BG 2023'!$B:$E,4,FALSE),0),0)</f>
        <v>0</v>
      </c>
      <c r="M68" s="15">
        <f>+VLOOKUP(C68,'BG 2023'!$B:$E,1,0)</f>
        <v>1120112</v>
      </c>
      <c r="N68" s="806">
        <f>+VLOOKUP(C68,'BG 2023'!$B:$E,3,0)</f>
        <v>339579535</v>
      </c>
      <c r="O68" s="807">
        <f t="shared" si="1"/>
        <v>339579535</v>
      </c>
      <c r="P68" s="807"/>
      <c r="R68" s="807">
        <f>+IFERROR(VLOOKUP(C68,'CA FE'!$A$5:$C$155,3,G113),0)-G68</f>
        <v>0</v>
      </c>
    </row>
    <row r="69" spans="1:18">
      <c r="A69" s="354" t="s">
        <v>10</v>
      </c>
      <c r="B69" s="354"/>
      <c r="C69" s="355">
        <v>11201111</v>
      </c>
      <c r="D69" s="354" t="s">
        <v>30</v>
      </c>
      <c r="E69" s="356" t="s">
        <v>634</v>
      </c>
      <c r="F69" s="356" t="str">
        <f t="shared" si="0"/>
        <v>NI</v>
      </c>
      <c r="G69" s="28">
        <f>+IF(F69="i",IFERROR(VLOOKUP(C69,'BG 12.2024'!$B:$E,3,FALSE),0),0)</f>
        <v>0</v>
      </c>
      <c r="H69" s="21">
        <f>+IF(F69="i",IFERROR(VLOOKUP(C69,'BG 12.2024'!$B:$E,4,FALSE),0),0)</f>
        <v>0</v>
      </c>
      <c r="I69" s="21"/>
      <c r="J69" s="28">
        <f>+IF(F69="i",IFERROR(VLOOKUP(C69,'BG 2023'!$B:$E,3,FALSE),0),0)</f>
        <v>0</v>
      </c>
      <c r="K69" s="21">
        <f>+IF(F69="i",IFERROR(VLOOKUP(C69,'BG 2023'!$B:$E,4,FALSE),0),0)</f>
        <v>0</v>
      </c>
      <c r="M69" s="15" t="e">
        <f>+VLOOKUP(C69,'BG 2023'!$B:$E,1,0)</f>
        <v>#N/A</v>
      </c>
      <c r="N69" s="806" t="e">
        <f>+VLOOKUP(C69,'BG 2023'!$B:$E,3,0)</f>
        <v>#N/A</v>
      </c>
      <c r="O69" s="807" t="e">
        <f t="shared" si="1"/>
        <v>#N/A</v>
      </c>
      <c r="P69" s="807"/>
      <c r="R69" s="807">
        <f>+IFERROR(VLOOKUP(C69,'CA FE'!$A$5:$C$155,3,G114),0)-G69</f>
        <v>0</v>
      </c>
    </row>
    <row r="70" spans="1:18">
      <c r="A70" s="354" t="s">
        <v>10</v>
      </c>
      <c r="B70" s="354"/>
      <c r="C70" s="355">
        <v>1120111101</v>
      </c>
      <c r="D70" s="354" t="s">
        <v>31</v>
      </c>
      <c r="E70" s="356" t="s">
        <v>634</v>
      </c>
      <c r="F70" s="356" t="str">
        <f t="shared" si="0"/>
        <v>I</v>
      </c>
      <c r="G70" s="28">
        <f>+IF(F70="i",IFERROR(VLOOKUP(C70,'BG 12.2024'!$B:$E,3,FALSE),0),0)</f>
        <v>0</v>
      </c>
      <c r="H70" s="21">
        <f>+IF(F70="i",IFERROR(VLOOKUP(C70,'BG 12.2024'!$B:$E,4,FALSE),0),0)</f>
        <v>0</v>
      </c>
      <c r="I70" s="21"/>
      <c r="J70" s="28">
        <f>+IF(F70="i",IFERROR(VLOOKUP(C70,'BG 2023'!$B:$E,3,FALSE),0),0)</f>
        <v>0</v>
      </c>
      <c r="K70" s="21">
        <f>+IF(F70="i",IFERROR(VLOOKUP(C70,'BG 2023'!$B:$E,4,FALSE),0),0)</f>
        <v>0</v>
      </c>
      <c r="M70" s="15" t="e">
        <f>+VLOOKUP(C70,'BG 2023'!$B:$E,1,0)</f>
        <v>#N/A</v>
      </c>
      <c r="N70" s="806" t="e">
        <f>+VLOOKUP(C70,'BG 2023'!$B:$E,3,0)</f>
        <v>#N/A</v>
      </c>
      <c r="O70" s="807" t="e">
        <f t="shared" si="1"/>
        <v>#N/A</v>
      </c>
      <c r="P70" s="807"/>
      <c r="R70" s="807">
        <f>+IFERROR(VLOOKUP(C70,'CA FE'!$A$5:$C$155,3,G115),0)-G70</f>
        <v>0</v>
      </c>
    </row>
    <row r="71" spans="1:18">
      <c r="A71" s="354" t="s">
        <v>10</v>
      </c>
      <c r="B71" s="354"/>
      <c r="C71" s="355">
        <v>1120111102</v>
      </c>
      <c r="D71" s="354" t="s">
        <v>32</v>
      </c>
      <c r="E71" s="356" t="s">
        <v>640</v>
      </c>
      <c r="F71" s="356" t="str">
        <f t="shared" si="0"/>
        <v>I</v>
      </c>
      <c r="G71" s="28">
        <f>+IF(F71="i",IFERROR(VLOOKUP(C71,'BG 12.2024'!$B:$E,3,FALSE),0),0)</f>
        <v>0</v>
      </c>
      <c r="H71" s="21">
        <f>+IF(F71="i",IFERROR(VLOOKUP(C71,'BG 12.2024'!$B:$E,4,FALSE),0),0)</f>
        <v>0</v>
      </c>
      <c r="I71" s="21"/>
      <c r="J71" s="28">
        <f>+IF(F71="i",IFERROR(VLOOKUP(C71,'BG 2023'!$B:$E,3,FALSE),0),0)</f>
        <v>0</v>
      </c>
      <c r="K71" s="21">
        <f>+IF(F71="i",IFERROR(VLOOKUP(C71,'BG 2023'!$B:$E,4,FALSE),0),0)</f>
        <v>0</v>
      </c>
      <c r="M71" s="15" t="e">
        <f>+VLOOKUP(C71,'BG 2023'!$B:$E,1,0)</f>
        <v>#N/A</v>
      </c>
      <c r="N71" s="806" t="e">
        <f>+VLOOKUP(C71,'BG 2023'!$B:$E,3,0)</f>
        <v>#N/A</v>
      </c>
      <c r="O71" s="807" t="e">
        <f t="shared" si="1"/>
        <v>#N/A</v>
      </c>
      <c r="P71" s="807"/>
      <c r="R71" s="807">
        <f>+IFERROR(VLOOKUP(C71,'CA FE'!$A$5:$C$155,3,G116),0)-G71</f>
        <v>0</v>
      </c>
    </row>
    <row r="72" spans="1:18">
      <c r="A72" s="354" t="s">
        <v>10</v>
      </c>
      <c r="B72" s="354"/>
      <c r="C72" s="355">
        <v>11201112</v>
      </c>
      <c r="D72" s="354" t="s">
        <v>520</v>
      </c>
      <c r="E72" s="356" t="s">
        <v>634</v>
      </c>
      <c r="F72" s="356" t="str">
        <f t="shared" si="0"/>
        <v>NI</v>
      </c>
      <c r="G72" s="28">
        <f>+IF(F72="i",IFERROR(VLOOKUP(C72,'BG 12.2024'!$B:$E,3,FALSE),0),0)</f>
        <v>0</v>
      </c>
      <c r="H72" s="21">
        <f>+IF(F72="i",IFERROR(VLOOKUP(C72,'BG 12.2024'!$B:$E,4,FALSE),0),0)</f>
        <v>0</v>
      </c>
      <c r="I72" s="21"/>
      <c r="J72" s="28">
        <f>+IF(F72="i",IFERROR(VLOOKUP(C72,'BG 2023'!$B:$E,3,FALSE),0),0)</f>
        <v>0</v>
      </c>
      <c r="K72" s="21">
        <f>+IF(F72="i",IFERROR(VLOOKUP(C72,'BG 2023'!$B:$E,4,FALSE),0),0)</f>
        <v>0</v>
      </c>
      <c r="M72" s="15" t="e">
        <f>+VLOOKUP(C72,'BG 2023'!$B:$E,1,0)</f>
        <v>#N/A</v>
      </c>
      <c r="N72" s="806" t="e">
        <f>+VLOOKUP(C72,'BG 2023'!$B:$E,3,0)</f>
        <v>#N/A</v>
      </c>
      <c r="O72" s="807" t="e">
        <f t="shared" si="1"/>
        <v>#N/A</v>
      </c>
      <c r="P72" s="807"/>
      <c r="R72" s="807">
        <f>+IFERROR(VLOOKUP(C72,'CA FE'!$A$5:$C$155,3,G117),0)-G72</f>
        <v>0</v>
      </c>
    </row>
    <row r="73" spans="1:18">
      <c r="A73" s="354" t="s">
        <v>10</v>
      </c>
      <c r="B73" s="354"/>
      <c r="C73" s="355">
        <v>1120111201</v>
      </c>
      <c r="D73" s="354" t="s">
        <v>571</v>
      </c>
      <c r="E73" s="356" t="s">
        <v>634</v>
      </c>
      <c r="F73" s="356" t="str">
        <f t="shared" si="0"/>
        <v>I</v>
      </c>
      <c r="G73" s="28">
        <f>+IF(F73="i",IFERROR(VLOOKUP(C73,'BG 12.2024'!$B:$E,3,FALSE),0),0)</f>
        <v>0</v>
      </c>
      <c r="H73" s="21">
        <f>+IF(F73="i",IFERROR(VLOOKUP(C73,'BG 12.2024'!$B:$E,4,FALSE),0),0)</f>
        <v>0</v>
      </c>
      <c r="I73" s="21"/>
      <c r="J73" s="28">
        <f>+IF(F73="i",IFERROR(VLOOKUP(C73,'BG 2023'!$B:$E,3,FALSE),0),0)</f>
        <v>0</v>
      </c>
      <c r="K73" s="21">
        <f>+IF(F73="i",IFERROR(VLOOKUP(C73,'BG 2023'!$B:$E,4,FALSE),0),0)</f>
        <v>0</v>
      </c>
      <c r="M73" s="15" t="e">
        <f>+VLOOKUP(C73,'BG 2023'!$B:$E,1,0)</f>
        <v>#N/A</v>
      </c>
      <c r="N73" s="806" t="e">
        <f>+VLOOKUP(C73,'BG 2023'!$B:$E,3,0)</f>
        <v>#N/A</v>
      </c>
      <c r="O73" s="807" t="e">
        <f t="shared" si="1"/>
        <v>#N/A</v>
      </c>
      <c r="P73" s="807"/>
      <c r="R73" s="807">
        <f>+IFERROR(VLOOKUP(C73,'CA FE'!$A$5:$C$155,3,G118),0)-G73</f>
        <v>0</v>
      </c>
    </row>
    <row r="74" spans="1:18">
      <c r="A74" s="354" t="s">
        <v>10</v>
      </c>
      <c r="B74" s="354"/>
      <c r="C74" s="355">
        <v>1120111202</v>
      </c>
      <c r="D74" s="354" t="s">
        <v>521</v>
      </c>
      <c r="E74" s="356" t="s">
        <v>640</v>
      </c>
      <c r="F74" s="356" t="str">
        <f t="shared" si="0"/>
        <v>I</v>
      </c>
      <c r="G74" s="28">
        <f>+IF(F74="i",IFERROR(VLOOKUP(C74,'BG 12.2024'!$B:$E,3,FALSE),0),0)</f>
        <v>0</v>
      </c>
      <c r="H74" s="21">
        <f>+IF(F74="i",IFERROR(VLOOKUP(C74,'BG 12.2024'!$B:$E,4,FALSE),0),0)</f>
        <v>0</v>
      </c>
      <c r="I74" s="21"/>
      <c r="J74" s="28">
        <f>+IF(F74="i",IFERROR(VLOOKUP(C74,'BG 2023'!$B:$E,3,FALSE),0),0)</f>
        <v>0</v>
      </c>
      <c r="K74" s="21">
        <f>+IF(F74="i",IFERROR(VLOOKUP(C74,'BG 2023'!$B:$E,4,FALSE),0),0)</f>
        <v>0</v>
      </c>
      <c r="M74" s="15" t="e">
        <f>+VLOOKUP(C74,'BG 2023'!$B:$E,1,0)</f>
        <v>#N/A</v>
      </c>
      <c r="N74" s="806" t="e">
        <f>+VLOOKUP(C74,'BG 2023'!$B:$E,3,0)</f>
        <v>#N/A</v>
      </c>
      <c r="O74" s="807" t="e">
        <f t="shared" si="1"/>
        <v>#N/A</v>
      </c>
      <c r="P74" s="807"/>
      <c r="R74" s="807">
        <f>+IFERROR(VLOOKUP(C74,'CA FE'!$A$5:$C$155,3,G119),0)-G74</f>
        <v>0</v>
      </c>
    </row>
    <row r="75" spans="1:18">
      <c r="A75" s="354" t="s">
        <v>10</v>
      </c>
      <c r="B75" s="354"/>
      <c r="C75" s="355">
        <v>11201121</v>
      </c>
      <c r="D75" s="354" t="s">
        <v>30</v>
      </c>
      <c r="E75" s="356" t="s">
        <v>634</v>
      </c>
      <c r="F75" s="356" t="str">
        <f t="shared" si="0"/>
        <v>NI</v>
      </c>
      <c r="G75" s="28">
        <f>+IF(F75="i",IFERROR(VLOOKUP(C75,'BG 12.2024'!$B:$E,3,FALSE),0),0)</f>
        <v>0</v>
      </c>
      <c r="H75" s="21">
        <f>+IF(F75="i",IFERROR(VLOOKUP(C75,'BG 12.2024'!$B:$E,4,FALSE),0),0)</f>
        <v>0</v>
      </c>
      <c r="I75" s="21"/>
      <c r="J75" s="28">
        <f>+IF(F75="i",IFERROR(VLOOKUP(C75,'BG 2023'!$B:$E,3,FALSE),0),0)</f>
        <v>0</v>
      </c>
      <c r="K75" s="21">
        <f>+IF(F75="i",IFERROR(VLOOKUP(C75,'BG 2023'!$B:$E,4,FALSE),0),0)</f>
        <v>0</v>
      </c>
      <c r="M75" s="15">
        <f>+VLOOKUP(C75,'BG 2023'!$B:$E,1,0)</f>
        <v>11201121</v>
      </c>
      <c r="N75" s="806">
        <f>+VLOOKUP(C75,'BG 2023'!$B:$E,3,0)</f>
        <v>339579535</v>
      </c>
      <c r="O75" s="807">
        <f t="shared" si="1"/>
        <v>339579535</v>
      </c>
      <c r="P75" s="807"/>
      <c r="R75" s="807">
        <f>+IFERROR(VLOOKUP(C75,'CA FE'!$A$5:$C$155,3,G120),0)-G75</f>
        <v>0</v>
      </c>
    </row>
    <row r="76" spans="1:18">
      <c r="A76" s="354" t="s">
        <v>10</v>
      </c>
      <c r="B76" s="354" t="s">
        <v>27</v>
      </c>
      <c r="C76" s="355">
        <v>1120112101</v>
      </c>
      <c r="D76" s="354" t="s">
        <v>31</v>
      </c>
      <c r="E76" s="356" t="s">
        <v>634</v>
      </c>
      <c r="F76" s="356" t="str">
        <f>+IF(LEN(C76)&gt;8,"I","NI")</f>
        <v>I</v>
      </c>
      <c r="G76" s="28">
        <f>+IF(F76="i",IFERROR(VLOOKUP(C76,'BG 12.2024'!$B:$E,3,FALSE),0),0)</f>
        <v>15429308</v>
      </c>
      <c r="H76" s="21">
        <f>+IF(F76="i",IFERROR(VLOOKUP(C76,'BG 12.2024'!$B:$E,4,FALSE),0),0)</f>
        <v>1970.3100000023844</v>
      </c>
      <c r="I76" s="21"/>
      <c r="J76" s="28">
        <f>+IF(F76="i",IFERROR(VLOOKUP(C76,'BG 2023'!$B:$E,3,FALSE),0),0)</f>
        <v>2622463</v>
      </c>
      <c r="K76" s="21">
        <f>+IF(F76="i",IFERROR(VLOOKUP(C76,'BG 2023'!$B:$E,4,FALSE),0),0)</f>
        <v>361.10000000149012</v>
      </c>
      <c r="M76" s="15">
        <f>+VLOOKUP(C76,'BG 2023'!$B:$E,1,0)</f>
        <v>1120112101</v>
      </c>
      <c r="N76" s="806">
        <f>+VLOOKUP(C76,'BG 2023'!$B:$E,3,0)</f>
        <v>2622463</v>
      </c>
      <c r="O76" s="807">
        <f t="shared" si="1"/>
        <v>-12806845</v>
      </c>
      <c r="P76" s="807"/>
      <c r="R76" s="807">
        <f>+IFERROR(VLOOKUP(C76,'CA FE'!$A$5:$C$155,3,G121),0)-G76</f>
        <v>0</v>
      </c>
    </row>
    <row r="77" spans="1:18">
      <c r="A77" s="354" t="s">
        <v>10</v>
      </c>
      <c r="B77" s="354" t="s">
        <v>27</v>
      </c>
      <c r="C77" s="355">
        <v>1120112102</v>
      </c>
      <c r="D77" s="354" t="s">
        <v>32</v>
      </c>
      <c r="E77" s="356" t="s">
        <v>640</v>
      </c>
      <c r="F77" s="356" t="str">
        <f>+IF(LEN(C77)&gt;8,"I","NI")</f>
        <v>I</v>
      </c>
      <c r="G77" s="28">
        <f>+IF(F77="i",IFERROR(VLOOKUP(C77,'BG 12.2024'!$B:$E,3,FALSE),0),0)</f>
        <v>600207486</v>
      </c>
      <c r="H77" s="1229">
        <f>+IF(F77="i",IFERROR(VLOOKUP(C77,'BG 12.2024'!$B:$E,4,FALSE),0),0)</f>
        <v>76642.520000010729</v>
      </c>
      <c r="I77" s="21"/>
      <c r="J77" s="28">
        <f>+IF(F77="i",IFERROR(VLOOKUP(C77,'BG 2023'!$B:$E,3,FALSE),0),0)</f>
        <v>336957072</v>
      </c>
      <c r="K77" s="21">
        <f>+IF(F77="i",IFERROR(VLOOKUP(C77,'BG 2023'!$B:$E,4,FALSE),0),0)</f>
        <v>46389.880000002682</v>
      </c>
      <c r="M77" s="15">
        <f>+VLOOKUP(C77,'BG 2023'!$B:$E,1,0)</f>
        <v>1120112102</v>
      </c>
      <c r="N77" s="806">
        <f>+VLOOKUP(C77,'BG 2023'!$B:$E,3,0)</f>
        <v>336957072</v>
      </c>
      <c r="O77" s="807">
        <f t="shared" si="1"/>
        <v>-263250414</v>
      </c>
      <c r="P77" s="807"/>
      <c r="R77" s="807">
        <f>+IFERROR(VLOOKUP(C77,'CA FE'!$A:$C,3,0),0)-G77</f>
        <v>0</v>
      </c>
    </row>
    <row r="78" spans="1:18" ht="12" customHeight="1">
      <c r="A78" s="354" t="s">
        <v>10</v>
      </c>
      <c r="B78" s="354"/>
      <c r="C78" s="355">
        <v>11201122</v>
      </c>
      <c r="D78" s="354" t="s">
        <v>520</v>
      </c>
      <c r="E78" s="356" t="s">
        <v>634</v>
      </c>
      <c r="F78" s="356" t="str">
        <f t="shared" si="0"/>
        <v>NI</v>
      </c>
      <c r="G78" s="28">
        <f>+IF(F78="i",IFERROR(VLOOKUP(C78,'BG 12.2024'!$B:$E,3,FALSE),0),0)</f>
        <v>0</v>
      </c>
      <c r="H78" s="21">
        <f>+IF(F78="i",IFERROR(VLOOKUP(C78,'BG 12.2024'!$B:$E,4,FALSE),0),0)</f>
        <v>0</v>
      </c>
      <c r="I78" s="21"/>
      <c r="J78" s="28">
        <f>+IF(F78="i",IFERROR(VLOOKUP(C78,'BG 2023'!$B:$E,3,FALSE),0),0)</f>
        <v>0</v>
      </c>
      <c r="K78" s="21">
        <f>+IF(F78="i",IFERROR(VLOOKUP(C78,'BG 2023'!$B:$E,4,FALSE),0),0)</f>
        <v>0</v>
      </c>
      <c r="M78" s="15" t="e">
        <f>+VLOOKUP(C78,'BG 2023'!$B:$E,1,0)</f>
        <v>#N/A</v>
      </c>
      <c r="N78" s="806" t="e">
        <f>+VLOOKUP(C78,'BG 2023'!$B:$E,3,0)</f>
        <v>#N/A</v>
      </c>
      <c r="O78" s="807" t="e">
        <f t="shared" si="1"/>
        <v>#N/A</v>
      </c>
      <c r="P78" s="807"/>
      <c r="R78" s="807">
        <f>+IFERROR(VLOOKUP(C78,'CA FE'!$A:$C,3,0),0)-G78</f>
        <v>0</v>
      </c>
    </row>
    <row r="79" spans="1:18" ht="12" customHeight="1">
      <c r="A79" s="354" t="s">
        <v>10</v>
      </c>
      <c r="B79" s="354" t="s">
        <v>27</v>
      </c>
      <c r="C79" s="355">
        <v>1120112201</v>
      </c>
      <c r="D79" s="354" t="s">
        <v>571</v>
      </c>
      <c r="E79" s="356" t="s">
        <v>634</v>
      </c>
      <c r="F79" s="356" t="str">
        <f>+IF(LEN(C79)&gt;8,"I","NI")</f>
        <v>I</v>
      </c>
      <c r="G79" s="28">
        <f>+IF(F79="i",IFERROR(VLOOKUP(C79,'BG 12.2024'!$B:$E,3,FALSE),0),0)</f>
        <v>9534574</v>
      </c>
      <c r="H79" s="21">
        <f>+IF(F79="i",IFERROR(VLOOKUP(C79,'BG 12.2024'!$B:$E,4,FALSE),0),0)</f>
        <v>1217.5</v>
      </c>
      <c r="I79" s="21"/>
      <c r="J79" s="28">
        <f>+IF(F79="i",IFERROR(VLOOKUP(C79,'BG 2023'!$B:$E,3,FALSE),0),0)</f>
        <v>0</v>
      </c>
      <c r="K79" s="21">
        <f>+IF(F79="i",IFERROR(VLOOKUP(C79,'BG 2023'!$B:$E,4,FALSE),0),0)</f>
        <v>0</v>
      </c>
      <c r="M79" s="15" t="e">
        <f>+VLOOKUP(C79,'BG 2023'!$B:$E,1,0)</f>
        <v>#N/A</v>
      </c>
      <c r="N79" s="806" t="e">
        <f>+VLOOKUP(C79,'BG 2023'!$B:$E,3,0)</f>
        <v>#N/A</v>
      </c>
      <c r="O79" s="807" t="e">
        <f t="shared" si="1"/>
        <v>#N/A</v>
      </c>
      <c r="P79" s="807"/>
      <c r="R79" s="807">
        <f>+IFERROR(VLOOKUP(C79,'CA FE'!$A:$C,3,0),0)-G79</f>
        <v>0</v>
      </c>
    </row>
    <row r="80" spans="1:18" ht="12" customHeight="1">
      <c r="A80" s="354" t="s">
        <v>10</v>
      </c>
      <c r="B80" s="354" t="s">
        <v>27</v>
      </c>
      <c r="C80" s="355">
        <v>1120112202</v>
      </c>
      <c r="D80" s="354" t="s">
        <v>521</v>
      </c>
      <c r="E80" s="356" t="s">
        <v>640</v>
      </c>
      <c r="F80" s="356" t="str">
        <f>+IF(LEN(C80)&gt;8,"I","NI")</f>
        <v>I</v>
      </c>
      <c r="G80" s="28">
        <f>+IF(F80="i",IFERROR(VLOOKUP(C80,'BG 12.2024'!$B:$E,3,FALSE),0),0)</f>
        <v>6527982</v>
      </c>
      <c r="H80" s="1229">
        <f>+IF(F80="i",IFERROR(VLOOKUP(C80,'BG 12.2024'!$B:$E,4,FALSE),0),0)</f>
        <v>833.58000000007451</v>
      </c>
      <c r="I80" s="21"/>
      <c r="J80" s="28">
        <f>+IF(F80="i",IFERROR(VLOOKUP(C80,'BG 2023'!$B:$E,3,FALSE),0),0)</f>
        <v>0</v>
      </c>
      <c r="K80" s="21">
        <f>+IF(F80="i",IFERROR(VLOOKUP(C80,'BG 2023'!$B:$E,4,FALSE),0),0)</f>
        <v>0</v>
      </c>
      <c r="M80" s="15" t="e">
        <f>+VLOOKUP(C80,'BG 2023'!$B:$E,1,0)</f>
        <v>#N/A</v>
      </c>
      <c r="N80" s="806" t="e">
        <f>+VLOOKUP(C80,'BG 2023'!$B:$E,3,0)</f>
        <v>#N/A</v>
      </c>
      <c r="O80" s="807" t="e">
        <f t="shared" si="1"/>
        <v>#N/A</v>
      </c>
      <c r="P80" s="807"/>
      <c r="R80" s="807">
        <f>+IFERROR(VLOOKUP(C80,'CA FE'!$A:$C,3,0),0)-G80</f>
        <v>0</v>
      </c>
    </row>
    <row r="81" spans="1:18" ht="12" customHeight="1">
      <c r="A81" s="354" t="s">
        <v>10</v>
      </c>
      <c r="B81" s="354"/>
      <c r="C81" s="355">
        <v>112012</v>
      </c>
      <c r="D81" s="354" t="s">
        <v>644</v>
      </c>
      <c r="E81" s="356" t="s">
        <v>640</v>
      </c>
      <c r="F81" s="356" t="str">
        <f t="shared" si="0"/>
        <v>NI</v>
      </c>
      <c r="G81" s="28">
        <f>+IF(F81="i",IFERROR(VLOOKUP(C81,'BG 12.2024'!$B:$E,3,FALSE),0),0)</f>
        <v>0</v>
      </c>
      <c r="H81" s="21">
        <f>+IF(F81="i",IFERROR(VLOOKUP(C81,'BG 12.2024'!$B:$E,4,FALSE),0),0)</f>
        <v>0</v>
      </c>
      <c r="I81" s="21"/>
      <c r="J81" s="28">
        <f>+IF(F81="i",IFERROR(VLOOKUP(C81,'BG 2023'!$B:$E,3,FALSE),0),0)</f>
        <v>0</v>
      </c>
      <c r="K81" s="21">
        <f>+IF(F81="i",IFERROR(VLOOKUP(C81,'BG 2023'!$B:$E,4,FALSE),0),0)</f>
        <v>0</v>
      </c>
      <c r="M81" s="15" t="e">
        <f>+VLOOKUP(C81,'BG 2023'!$B:$E,1,0)</f>
        <v>#N/A</v>
      </c>
      <c r="N81" s="806" t="e">
        <f>+VLOOKUP(C81,'BG 2023'!$B:$E,3,0)</f>
        <v>#N/A</v>
      </c>
      <c r="O81" s="807" t="e">
        <f t="shared" si="1"/>
        <v>#N/A</v>
      </c>
      <c r="P81" s="807"/>
      <c r="R81" s="807">
        <f>+IFERROR(VLOOKUP(C81,'CA FE'!$A:$C,3,0),0)-G81</f>
        <v>0</v>
      </c>
    </row>
    <row r="82" spans="1:18" ht="12" customHeight="1">
      <c r="A82" s="354" t="s">
        <v>10</v>
      </c>
      <c r="B82" s="354"/>
      <c r="C82" s="355">
        <v>1120121</v>
      </c>
      <c r="D82" s="354" t="s">
        <v>643</v>
      </c>
      <c r="E82" s="356" t="s">
        <v>634</v>
      </c>
      <c r="F82" s="356" t="str">
        <f t="shared" si="0"/>
        <v>NI</v>
      </c>
      <c r="G82" s="28">
        <f>+IF(F82="i",IFERROR(VLOOKUP(C82,'BG 12.2024'!$B:$E,3,FALSE),0),0)</f>
        <v>0</v>
      </c>
      <c r="H82" s="21">
        <f>+IF(F82="i",IFERROR(VLOOKUP(C82,'BG 12.2024'!$B:$E,4,FALSE),0),0)</f>
        <v>0</v>
      </c>
      <c r="I82" s="21"/>
      <c r="J82" s="28">
        <f>+IF(F82="i",IFERROR(VLOOKUP(C82,'BG 2023'!$B:$E,3,FALSE),0),0)</f>
        <v>0</v>
      </c>
      <c r="K82" s="21">
        <f>+IF(F82="i",IFERROR(VLOOKUP(C82,'BG 2023'!$B:$E,4,FALSE),0),0)</f>
        <v>0</v>
      </c>
      <c r="M82" s="15" t="e">
        <f>+VLOOKUP(C82,'BG 2023'!$B:$E,1,0)</f>
        <v>#N/A</v>
      </c>
      <c r="N82" s="806" t="e">
        <f>+VLOOKUP(C82,'BG 2023'!$B:$E,3,0)</f>
        <v>#N/A</v>
      </c>
      <c r="O82" s="807" t="e">
        <f t="shared" si="1"/>
        <v>#N/A</v>
      </c>
      <c r="P82" s="807"/>
      <c r="R82" s="807">
        <f>+IFERROR(VLOOKUP(C82,'CA FE'!$A:$C,3,0),0)-G82</f>
        <v>0</v>
      </c>
    </row>
    <row r="83" spans="1:18" ht="12" customHeight="1">
      <c r="A83" s="354" t="s">
        <v>10</v>
      </c>
      <c r="B83" s="354"/>
      <c r="C83" s="355">
        <v>11201211</v>
      </c>
      <c r="D83" s="354" t="s">
        <v>30</v>
      </c>
      <c r="E83" s="356" t="s">
        <v>634</v>
      </c>
      <c r="F83" s="356" t="str">
        <f t="shared" si="0"/>
        <v>NI</v>
      </c>
      <c r="G83" s="28">
        <f>+IF(F83="i",IFERROR(VLOOKUP(C83,'BG 12.2024'!$B:$E,3,FALSE),0),0)</f>
        <v>0</v>
      </c>
      <c r="H83" s="21">
        <f>+IF(F83="i",IFERROR(VLOOKUP(C83,'BG 12.2024'!$B:$E,4,FALSE),0),0)</f>
        <v>0</v>
      </c>
      <c r="I83" s="21"/>
      <c r="J83" s="28">
        <f>+IF(F83="i",IFERROR(VLOOKUP(C83,'BG 2023'!$B:$E,3,FALSE),0),0)</f>
        <v>0</v>
      </c>
      <c r="K83" s="21">
        <f>+IF(F83="i",IFERROR(VLOOKUP(C83,'BG 2023'!$B:$E,4,FALSE),0),0)</f>
        <v>0</v>
      </c>
      <c r="M83" s="15" t="e">
        <f>+VLOOKUP(C83,'BG 2023'!$B:$E,1,0)</f>
        <v>#N/A</v>
      </c>
      <c r="N83" s="806" t="e">
        <f>+VLOOKUP(C83,'BG 2023'!$B:$E,3,0)</f>
        <v>#N/A</v>
      </c>
      <c r="O83" s="807" t="e">
        <f t="shared" si="1"/>
        <v>#N/A</v>
      </c>
      <c r="P83" s="807"/>
      <c r="R83" s="807">
        <f>+IFERROR(VLOOKUP(C83,'CA FE'!$A:$C,3,0),0)-G83</f>
        <v>0</v>
      </c>
    </row>
    <row r="84" spans="1:18" ht="12" customHeight="1">
      <c r="A84" s="354" t="s">
        <v>10</v>
      </c>
      <c r="B84" s="354"/>
      <c r="C84" s="355">
        <v>1120121101</v>
      </c>
      <c r="D84" s="354" t="s">
        <v>31</v>
      </c>
      <c r="E84" s="356" t="s">
        <v>634</v>
      </c>
      <c r="F84" s="356" t="str">
        <f t="shared" si="0"/>
        <v>I</v>
      </c>
      <c r="G84" s="28">
        <f>+IF(F84="i",IFERROR(VLOOKUP(C84,'BG 12.2024'!$B:$E,3,FALSE),0),0)</f>
        <v>0</v>
      </c>
      <c r="H84" s="21">
        <f>+IF(F84="i",IFERROR(VLOOKUP(C84,'BG 12.2024'!$B:$E,4,FALSE),0),0)</f>
        <v>0</v>
      </c>
      <c r="I84" s="21"/>
      <c r="J84" s="28">
        <f>+IF(F84="i",IFERROR(VLOOKUP(C84,'BG 2023'!$B:$E,3,FALSE),0),0)</f>
        <v>0</v>
      </c>
      <c r="K84" s="21">
        <f>+IF(F84="i",IFERROR(VLOOKUP(C84,'BG 2023'!$B:$E,4,FALSE),0),0)</f>
        <v>0</v>
      </c>
      <c r="M84" s="15" t="e">
        <f>+VLOOKUP(C84,'BG 2023'!$B:$E,1,0)</f>
        <v>#N/A</v>
      </c>
      <c r="N84" s="806" t="e">
        <f>+VLOOKUP(C84,'BG 2023'!$B:$E,3,0)</f>
        <v>#N/A</v>
      </c>
      <c r="O84" s="807" t="e">
        <f t="shared" si="1"/>
        <v>#N/A</v>
      </c>
      <c r="P84" s="807"/>
      <c r="R84" s="807">
        <f>+IFERROR(VLOOKUP(C84,'CA FE'!$A:$C,3,0),0)-G84</f>
        <v>0</v>
      </c>
    </row>
    <row r="85" spans="1:18" ht="12" customHeight="1">
      <c r="A85" s="354" t="s">
        <v>10</v>
      </c>
      <c r="B85" s="354"/>
      <c r="C85" s="355">
        <v>1120121102</v>
      </c>
      <c r="D85" s="354" t="s">
        <v>32</v>
      </c>
      <c r="E85" s="356" t="s">
        <v>640</v>
      </c>
      <c r="F85" s="356" t="str">
        <f t="shared" si="0"/>
        <v>I</v>
      </c>
      <c r="G85" s="28">
        <f>+IF(F85="i",IFERROR(VLOOKUP(C85,'BG 12.2024'!$B:$E,3,FALSE),0),0)</f>
        <v>0</v>
      </c>
      <c r="H85" s="21">
        <f>+IF(F85="i",IFERROR(VLOOKUP(C85,'BG 12.2024'!$B:$E,4,FALSE),0),0)</f>
        <v>0</v>
      </c>
      <c r="I85" s="21"/>
      <c r="J85" s="28">
        <f>+IF(F85="i",IFERROR(VLOOKUP(C85,'BG 2023'!$B:$E,3,FALSE),0),0)</f>
        <v>0</v>
      </c>
      <c r="K85" s="21">
        <f>+IF(F85="i",IFERROR(VLOOKUP(C85,'BG 2023'!$B:$E,4,FALSE),0),0)</f>
        <v>0</v>
      </c>
      <c r="M85" s="15" t="e">
        <f>+VLOOKUP(C85,'BG 2023'!$B:$E,1,0)</f>
        <v>#N/A</v>
      </c>
      <c r="N85" s="806" t="e">
        <f>+VLOOKUP(C85,'BG 2023'!$B:$E,3,0)</f>
        <v>#N/A</v>
      </c>
      <c r="O85" s="807" t="e">
        <f t="shared" si="1"/>
        <v>#N/A</v>
      </c>
      <c r="P85" s="807"/>
      <c r="R85" s="807">
        <f>+IFERROR(VLOOKUP(C85,'CA FE'!$A:$C,3,0),0)-G85</f>
        <v>0</v>
      </c>
    </row>
    <row r="86" spans="1:18" ht="12" customHeight="1">
      <c r="A86" s="354" t="s">
        <v>10</v>
      </c>
      <c r="B86" s="354"/>
      <c r="C86" s="355">
        <v>11201212</v>
      </c>
      <c r="D86" s="354" t="s">
        <v>520</v>
      </c>
      <c r="E86" s="356" t="s">
        <v>634</v>
      </c>
      <c r="F86" s="356" t="str">
        <f t="shared" si="0"/>
        <v>NI</v>
      </c>
      <c r="G86" s="28">
        <f>+IF(F86="i",IFERROR(VLOOKUP(C86,'BG 12.2024'!$B:$E,3,FALSE),0),0)</f>
        <v>0</v>
      </c>
      <c r="H86" s="21">
        <f>+IF(F86="i",IFERROR(VLOOKUP(C86,'BG 12.2024'!$B:$E,4,FALSE),0),0)</f>
        <v>0</v>
      </c>
      <c r="I86" s="21"/>
      <c r="J86" s="28">
        <f>+IF(F86="i",IFERROR(VLOOKUP(C86,'BG 2023'!$B:$E,3,FALSE),0),0)</f>
        <v>0</v>
      </c>
      <c r="K86" s="21">
        <f>+IF(F86="i",IFERROR(VLOOKUP(C86,'BG 2023'!$B:$E,4,FALSE),0),0)</f>
        <v>0</v>
      </c>
      <c r="M86" s="15" t="e">
        <f>+VLOOKUP(C86,'BG 2023'!$B:$E,1,0)</f>
        <v>#N/A</v>
      </c>
      <c r="N86" s="806" t="e">
        <f>+VLOOKUP(C86,'BG 2023'!$B:$E,3,0)</f>
        <v>#N/A</v>
      </c>
      <c r="O86" s="807" t="e">
        <f t="shared" si="1"/>
        <v>#N/A</v>
      </c>
      <c r="P86" s="807"/>
      <c r="R86" s="807">
        <f>+IFERROR(VLOOKUP(C86,'CA FE'!$A:$C,3,0),0)-G86</f>
        <v>0</v>
      </c>
    </row>
    <row r="87" spans="1:18" ht="12" customHeight="1">
      <c r="A87" s="354" t="s">
        <v>10</v>
      </c>
      <c r="B87" s="354"/>
      <c r="C87" s="355">
        <v>1120121201</v>
      </c>
      <c r="D87" s="354" t="s">
        <v>571</v>
      </c>
      <c r="E87" s="356" t="s">
        <v>634</v>
      </c>
      <c r="F87" s="356" t="str">
        <f t="shared" si="0"/>
        <v>I</v>
      </c>
      <c r="G87" s="28">
        <f>+IF(F87="i",IFERROR(VLOOKUP(C87,'BG 12.2024'!$B:$E,3,FALSE),0),0)</f>
        <v>0</v>
      </c>
      <c r="H87" s="21">
        <f>+IF(F87="i",IFERROR(VLOOKUP(C87,'BG 12.2024'!$B:$E,4,FALSE),0),0)</f>
        <v>0</v>
      </c>
      <c r="I87" s="21"/>
      <c r="J87" s="28">
        <f>+IF(F87="i",IFERROR(VLOOKUP(C87,'BG 2023'!$B:$E,3,FALSE),0),0)</f>
        <v>0</v>
      </c>
      <c r="K87" s="21">
        <f>+IF(F87="i",IFERROR(VLOOKUP(C87,'BG 2023'!$B:$E,4,FALSE),0),0)</f>
        <v>0</v>
      </c>
      <c r="M87" s="15" t="e">
        <f>+VLOOKUP(C87,'BG 2023'!$B:$E,1,0)</f>
        <v>#N/A</v>
      </c>
      <c r="N87" s="806" t="e">
        <f>+VLOOKUP(C87,'BG 2023'!$B:$E,3,0)</f>
        <v>#N/A</v>
      </c>
      <c r="O87" s="807" t="e">
        <f t="shared" si="1"/>
        <v>#N/A</v>
      </c>
      <c r="P87" s="807"/>
      <c r="R87" s="807">
        <f>+IFERROR(VLOOKUP(C87,'CA FE'!$A:$C,3,0),0)-G87</f>
        <v>0</v>
      </c>
    </row>
    <row r="88" spans="1:18" ht="12" customHeight="1">
      <c r="A88" s="354" t="s">
        <v>10</v>
      </c>
      <c r="B88" s="354"/>
      <c r="C88" s="355">
        <v>1120121202</v>
      </c>
      <c r="D88" s="354" t="s">
        <v>521</v>
      </c>
      <c r="E88" s="356" t="s">
        <v>640</v>
      </c>
      <c r="F88" s="356" t="str">
        <f t="shared" si="0"/>
        <v>I</v>
      </c>
      <c r="G88" s="28">
        <f>+IF(F88="i",IFERROR(VLOOKUP(C88,'BG 12.2024'!$B:$E,3,FALSE),0),0)</f>
        <v>0</v>
      </c>
      <c r="H88" s="21">
        <f>+IF(F88="i",IFERROR(VLOOKUP(C88,'BG 12.2024'!$B:$E,4,FALSE),0),0)</f>
        <v>0</v>
      </c>
      <c r="I88" s="21"/>
      <c r="J88" s="28">
        <f>+IF(F88="i",IFERROR(VLOOKUP(C88,'BG 2023'!$B:$E,3,FALSE),0),0)</f>
        <v>0</v>
      </c>
      <c r="K88" s="21">
        <f>+IF(F88="i",IFERROR(VLOOKUP(C88,'BG 2023'!$B:$E,4,FALSE),0),0)</f>
        <v>0</v>
      </c>
      <c r="M88" s="15" t="e">
        <f>+VLOOKUP(C88,'BG 2023'!$B:$E,1,0)</f>
        <v>#N/A</v>
      </c>
      <c r="N88" s="806" t="e">
        <f>+VLOOKUP(C88,'BG 2023'!$B:$E,3,0)</f>
        <v>#N/A</v>
      </c>
      <c r="O88" s="807" t="e">
        <f t="shared" si="1"/>
        <v>#N/A</v>
      </c>
      <c r="P88" s="807"/>
      <c r="R88" s="807">
        <f>+IFERROR(VLOOKUP(C88,'CA FE'!$A:$C,3,0),0)-G88</f>
        <v>0</v>
      </c>
    </row>
    <row r="89" spans="1:18" ht="12" customHeight="1">
      <c r="A89" s="354" t="s">
        <v>10</v>
      </c>
      <c r="B89" s="354"/>
      <c r="C89" s="355">
        <v>11202</v>
      </c>
      <c r="D89" s="354" t="s">
        <v>522</v>
      </c>
      <c r="E89" s="356" t="s">
        <v>634</v>
      </c>
      <c r="F89" s="356" t="str">
        <f t="shared" si="0"/>
        <v>NI</v>
      </c>
      <c r="G89" s="28">
        <f>+IF(F89="i",IFERROR(VLOOKUP(C89,'BG 12.2024'!$B:$E,3,FALSE),0),0)</f>
        <v>0</v>
      </c>
      <c r="H89" s="21">
        <f>+IF(F89="i",IFERROR(VLOOKUP(C89,'BG 12.2024'!$B:$E,4,FALSE),0),0)</f>
        <v>0</v>
      </c>
      <c r="I89" s="21"/>
      <c r="J89" s="28">
        <f>+IF(F89="i",IFERROR(VLOOKUP(C89,'BG 2023'!$B:$E,3,FALSE),0),0)</f>
        <v>0</v>
      </c>
      <c r="K89" s="21">
        <f>+IF(F89="i",IFERROR(VLOOKUP(C89,'BG 2023'!$B:$E,4,FALSE),0),0)</f>
        <v>0</v>
      </c>
      <c r="M89" s="15" t="e">
        <f>+VLOOKUP(C89,'BG 2023'!$B:$E,1,0)</f>
        <v>#N/A</v>
      </c>
      <c r="N89" s="806" t="e">
        <f>+VLOOKUP(C89,'BG 2023'!$B:$E,3,0)</f>
        <v>#N/A</v>
      </c>
      <c r="O89" s="807" t="e">
        <f t="shared" si="1"/>
        <v>#N/A</v>
      </c>
      <c r="P89" s="807"/>
      <c r="R89" s="807">
        <f>+IFERROR(VLOOKUP(C89,'CA FE'!$A:$C,3,0),0)-G89</f>
        <v>0</v>
      </c>
    </row>
    <row r="90" spans="1:18" ht="12" customHeight="1">
      <c r="A90" s="354" t="s">
        <v>10</v>
      </c>
      <c r="B90" s="354"/>
      <c r="C90" s="355">
        <v>112021</v>
      </c>
      <c r="D90" s="354" t="s">
        <v>522</v>
      </c>
      <c r="E90" s="356" t="s">
        <v>634</v>
      </c>
      <c r="F90" s="356" t="str">
        <f t="shared" si="0"/>
        <v>NI</v>
      </c>
      <c r="G90" s="28">
        <f>+IF(F90="i",IFERROR(VLOOKUP(C90,'BG 12.2024'!$B:$E,3,FALSE),0),0)</f>
        <v>0</v>
      </c>
      <c r="H90" s="21">
        <f>+IF(F90="i",IFERROR(VLOOKUP(C90,'BG 12.2024'!$B:$E,4,FALSE),0),0)</f>
        <v>0</v>
      </c>
      <c r="I90" s="21"/>
      <c r="J90" s="28">
        <f>+IF(F90="i",IFERROR(VLOOKUP(C90,'BG 2023'!$B:$E,3,FALSE),0),0)</f>
        <v>0</v>
      </c>
      <c r="K90" s="21">
        <f>+IF(F90="i",IFERROR(VLOOKUP(C90,'BG 2023'!$B:$E,4,FALSE),0),0)</f>
        <v>0</v>
      </c>
      <c r="M90" s="15" t="e">
        <f>+VLOOKUP(C90,'BG 2023'!$B:$E,1,0)</f>
        <v>#N/A</v>
      </c>
      <c r="N90" s="806" t="e">
        <f>+VLOOKUP(C90,'BG 2023'!$B:$E,3,0)</f>
        <v>#N/A</v>
      </c>
      <c r="O90" s="807" t="e">
        <f t="shared" si="1"/>
        <v>#N/A</v>
      </c>
      <c r="P90" s="807"/>
      <c r="R90" s="807">
        <f>+IFERROR(VLOOKUP(C90,'CA FE'!$A:$C,3,0),0)-G90</f>
        <v>0</v>
      </c>
    </row>
    <row r="91" spans="1:18" ht="12" customHeight="1">
      <c r="A91" s="354" t="s">
        <v>10</v>
      </c>
      <c r="B91" s="354"/>
      <c r="C91" s="355">
        <v>1120211</v>
      </c>
      <c r="D91" s="354" t="s">
        <v>522</v>
      </c>
      <c r="E91" s="356" t="s">
        <v>634</v>
      </c>
      <c r="F91" s="356" t="str">
        <f t="shared" ref="F91:F155" si="6">+IF(LEN(C91)&gt;8,"I","NI")</f>
        <v>NI</v>
      </c>
      <c r="G91" s="28">
        <f>+IF(F91="i",IFERROR(VLOOKUP(C91,'BG 12.2024'!$B:$E,3,FALSE),0),0)</f>
        <v>0</v>
      </c>
      <c r="H91" s="21">
        <f>+IF(F91="i",IFERROR(VLOOKUP(C91,'BG 12.2024'!$B:$E,4,FALSE),0),0)</f>
        <v>0</v>
      </c>
      <c r="I91" s="21"/>
      <c r="J91" s="28">
        <f>+IF(F91="i",IFERROR(VLOOKUP(C91,'BG 2023'!$B:$E,3,FALSE),0),0)</f>
        <v>0</v>
      </c>
      <c r="K91" s="21">
        <f>+IF(F91="i",IFERROR(VLOOKUP(C91,'BG 2023'!$B:$E,4,FALSE),0),0)</f>
        <v>0</v>
      </c>
      <c r="M91" s="15" t="e">
        <f>+VLOOKUP(C91,'BG 2023'!$B:$E,1,0)</f>
        <v>#N/A</v>
      </c>
      <c r="N91" s="806" t="e">
        <f>+VLOOKUP(C91,'BG 2023'!$B:$E,3,0)</f>
        <v>#N/A</v>
      </c>
      <c r="O91" s="807" t="e">
        <f t="shared" ref="O91:O155" si="7">+N91-G91</f>
        <v>#N/A</v>
      </c>
      <c r="P91" s="807"/>
      <c r="R91" s="807">
        <f>+IFERROR(VLOOKUP(C91,'CA FE'!$A:$C,3,0),0)-G91</f>
        <v>0</v>
      </c>
    </row>
    <row r="92" spans="1:18" ht="12" customHeight="1">
      <c r="A92" s="354" t="s">
        <v>10</v>
      </c>
      <c r="B92" s="354"/>
      <c r="C92" s="355">
        <v>11202111</v>
      </c>
      <c r="D92" s="354" t="s">
        <v>645</v>
      </c>
      <c r="E92" s="356" t="s">
        <v>634</v>
      </c>
      <c r="F92" s="356" t="str">
        <f t="shared" si="6"/>
        <v>NI</v>
      </c>
      <c r="G92" s="28">
        <f>+IF(F92="i",IFERROR(VLOOKUP(C92,'BG 12.2024'!$B:$E,3,FALSE),0),0)</f>
        <v>0</v>
      </c>
      <c r="H92" s="21">
        <f>+IF(F92="i",IFERROR(VLOOKUP(C92,'BG 12.2024'!$B:$E,4,FALSE),0),0)</f>
        <v>0</v>
      </c>
      <c r="I92" s="21"/>
      <c r="J92" s="28">
        <f>+IF(F92="i",IFERROR(VLOOKUP(C92,'BG 2023'!$B:$E,3,FALSE),0),0)</f>
        <v>0</v>
      </c>
      <c r="K92" s="21">
        <f>+IF(F92="i",IFERROR(VLOOKUP(C92,'BG 2023'!$B:$E,4,FALSE),0),0)</f>
        <v>0</v>
      </c>
      <c r="M92" s="15" t="e">
        <f>+VLOOKUP(C92,'BG 2023'!$B:$E,1,0)</f>
        <v>#N/A</v>
      </c>
      <c r="N92" s="806" t="e">
        <f>+VLOOKUP(C92,'BG 2023'!$B:$E,3,0)</f>
        <v>#N/A</v>
      </c>
      <c r="O92" s="807" t="e">
        <f t="shared" si="7"/>
        <v>#N/A</v>
      </c>
      <c r="P92" s="807"/>
      <c r="R92" s="807">
        <f>+IFERROR(VLOOKUP(C92,'CA FE'!$A:$C,3,0),0)-G92</f>
        <v>0</v>
      </c>
    </row>
    <row r="93" spans="1:18" ht="12" customHeight="1">
      <c r="A93" s="354" t="s">
        <v>10</v>
      </c>
      <c r="B93" s="354"/>
      <c r="C93" s="355">
        <v>1120211101</v>
      </c>
      <c r="D93" s="354" t="s">
        <v>646</v>
      </c>
      <c r="E93" s="356" t="s">
        <v>634</v>
      </c>
      <c r="F93" s="356" t="str">
        <f t="shared" si="6"/>
        <v>I</v>
      </c>
      <c r="G93" s="28">
        <f>+IF(F93="i",IFERROR(VLOOKUP(C93,'BG 12.2024'!$B:$E,3,FALSE),0),0)</f>
        <v>0</v>
      </c>
      <c r="H93" s="21">
        <f>+IF(F93="i",IFERROR(VLOOKUP(C93,'BG 12.2024'!$B:$E,4,FALSE),0),0)</f>
        <v>0</v>
      </c>
      <c r="I93" s="21"/>
      <c r="J93" s="28">
        <f>+IF(F93="i",IFERROR(VLOOKUP(C93,'BG 2023'!$B:$E,3,FALSE),0),0)</f>
        <v>0</v>
      </c>
      <c r="K93" s="21">
        <f>+IF(F93="i",IFERROR(VLOOKUP(C93,'BG 2023'!$B:$E,4,FALSE),0),0)</f>
        <v>0</v>
      </c>
      <c r="M93" s="15" t="e">
        <f>+VLOOKUP(C93,'BG 2023'!$B:$E,1,0)</f>
        <v>#N/A</v>
      </c>
      <c r="N93" s="806" t="e">
        <f>+VLOOKUP(C93,'BG 2023'!$B:$E,3,0)</f>
        <v>#N/A</v>
      </c>
      <c r="O93" s="807" t="e">
        <f t="shared" si="7"/>
        <v>#N/A</v>
      </c>
      <c r="P93" s="807"/>
      <c r="R93" s="807">
        <f>+IFERROR(VLOOKUP(C93,'CA FE'!$A:$C,3,0),0)-G93</f>
        <v>0</v>
      </c>
    </row>
    <row r="94" spans="1:18" ht="12" customHeight="1">
      <c r="A94" s="354" t="s">
        <v>10</v>
      </c>
      <c r="B94" s="354"/>
      <c r="C94" s="355">
        <v>1120211102</v>
      </c>
      <c r="D94" s="354" t="s">
        <v>647</v>
      </c>
      <c r="E94" s="356" t="s">
        <v>634</v>
      </c>
      <c r="F94" s="356" t="str">
        <f t="shared" si="6"/>
        <v>I</v>
      </c>
      <c r="G94" s="28">
        <f>+IF(F94="i",IFERROR(VLOOKUP(C94,'BG 12.2024'!$B:$E,3,FALSE),0),0)</f>
        <v>0</v>
      </c>
      <c r="H94" s="21">
        <f>+IF(F94="i",IFERROR(VLOOKUP(C94,'BG 12.2024'!$B:$E,4,FALSE),0),0)</f>
        <v>0</v>
      </c>
      <c r="I94" s="21"/>
      <c r="J94" s="28">
        <f>+IF(F94="i",IFERROR(VLOOKUP(C94,'BG 2023'!$B:$E,3,FALSE),0),0)</f>
        <v>0</v>
      </c>
      <c r="K94" s="21">
        <f>+IF(F94="i",IFERROR(VLOOKUP(C94,'BG 2023'!$B:$E,4,FALSE),0),0)</f>
        <v>0</v>
      </c>
      <c r="M94" s="15" t="e">
        <f>+VLOOKUP(C94,'BG 2023'!$B:$E,1,0)</f>
        <v>#N/A</v>
      </c>
      <c r="N94" s="806" t="e">
        <f>+VLOOKUP(C94,'BG 2023'!$B:$E,3,0)</f>
        <v>#N/A</v>
      </c>
      <c r="O94" s="807" t="e">
        <f t="shared" si="7"/>
        <v>#N/A</v>
      </c>
      <c r="P94" s="807"/>
      <c r="R94" s="807">
        <f>+IFERROR(VLOOKUP(C94,'CA FE'!$A:$C,3,0),0)-G94</f>
        <v>0</v>
      </c>
    </row>
    <row r="95" spans="1:18" ht="12" customHeight="1">
      <c r="A95" s="354" t="s">
        <v>10</v>
      </c>
      <c r="B95" s="354"/>
      <c r="C95" s="355">
        <v>1120211103</v>
      </c>
      <c r="D95" s="354" t="s">
        <v>648</v>
      </c>
      <c r="E95" s="356" t="s">
        <v>634</v>
      </c>
      <c r="F95" s="356" t="str">
        <f t="shared" si="6"/>
        <v>I</v>
      </c>
      <c r="G95" s="28">
        <f>+IF(F95="i",IFERROR(VLOOKUP(C95,'BG 12.2024'!$B:$E,3,FALSE),0),0)</f>
        <v>0</v>
      </c>
      <c r="H95" s="21">
        <f>+IF(F95="i",IFERROR(VLOOKUP(C95,'BG 12.2024'!$B:$E,4,FALSE),0),0)</f>
        <v>0</v>
      </c>
      <c r="I95" s="21"/>
      <c r="J95" s="28">
        <f>+IF(F95="i",IFERROR(VLOOKUP(C95,'BG 2023'!$B:$E,3,FALSE),0),0)</f>
        <v>0</v>
      </c>
      <c r="K95" s="21">
        <f>+IF(F95="i",IFERROR(VLOOKUP(C95,'BG 2023'!$B:$E,4,FALSE),0),0)</f>
        <v>0</v>
      </c>
      <c r="M95" s="15" t="e">
        <f>+VLOOKUP(C95,'BG 2023'!$B:$E,1,0)</f>
        <v>#N/A</v>
      </c>
      <c r="N95" s="806" t="e">
        <f>+VLOOKUP(C95,'BG 2023'!$B:$E,3,0)</f>
        <v>#N/A</v>
      </c>
      <c r="O95" s="807" t="e">
        <f t="shared" si="7"/>
        <v>#N/A</v>
      </c>
      <c r="P95" s="807"/>
      <c r="R95" s="807">
        <f>+IFERROR(VLOOKUP(C95,'CA FE'!$A:$C,3,0),0)-G95</f>
        <v>0</v>
      </c>
    </row>
    <row r="96" spans="1:18" ht="12" customHeight="1">
      <c r="A96" s="354" t="s">
        <v>10</v>
      </c>
      <c r="B96" s="354"/>
      <c r="C96" s="355">
        <v>1120211104</v>
      </c>
      <c r="D96" s="354" t="s">
        <v>649</v>
      </c>
      <c r="E96" s="356" t="s">
        <v>634</v>
      </c>
      <c r="F96" s="356" t="str">
        <f t="shared" si="6"/>
        <v>I</v>
      </c>
      <c r="G96" s="28">
        <f>+IF(F96="i",IFERROR(VLOOKUP(C96,'BG 12.2024'!$B:$E,3,FALSE),0),0)</f>
        <v>0</v>
      </c>
      <c r="H96" s="21">
        <f>+IF(F96="i",IFERROR(VLOOKUP(C96,'BG 12.2024'!$B:$E,4,FALSE),0),0)</f>
        <v>0</v>
      </c>
      <c r="I96" s="21"/>
      <c r="J96" s="28">
        <f>+IF(F96="i",IFERROR(VLOOKUP(C96,'BG 2023'!$B:$E,3,FALSE),0),0)</f>
        <v>0</v>
      </c>
      <c r="K96" s="21">
        <f>+IF(F96="i",IFERROR(VLOOKUP(C96,'BG 2023'!$B:$E,4,FALSE),0),0)</f>
        <v>0</v>
      </c>
      <c r="M96" s="15" t="e">
        <f>+VLOOKUP(C96,'BG 2023'!$B:$E,1,0)</f>
        <v>#N/A</v>
      </c>
      <c r="N96" s="806" t="e">
        <f>+VLOOKUP(C96,'BG 2023'!$B:$E,3,0)</f>
        <v>#N/A</v>
      </c>
      <c r="O96" s="807" t="e">
        <f t="shared" si="7"/>
        <v>#N/A</v>
      </c>
      <c r="P96" s="807"/>
      <c r="R96" s="807">
        <f>+IFERROR(VLOOKUP(C96,'CA FE'!$A:$C,3,0),0)-G96</f>
        <v>0</v>
      </c>
    </row>
    <row r="97" spans="1:18" ht="12" customHeight="1">
      <c r="A97" s="354" t="s">
        <v>10</v>
      </c>
      <c r="B97" s="354" t="s">
        <v>522</v>
      </c>
      <c r="C97" s="355">
        <v>1120211105</v>
      </c>
      <c r="D97" s="354" t="s">
        <v>650</v>
      </c>
      <c r="E97" s="356" t="s">
        <v>634</v>
      </c>
      <c r="F97" s="356" t="str">
        <f t="shared" si="6"/>
        <v>I</v>
      </c>
      <c r="G97" s="28">
        <f>+IF(F97="i",IFERROR(VLOOKUP(C97,'BG 12.2024'!$B:$E,3,FALSE),0),0)</f>
        <v>0</v>
      </c>
      <c r="H97" s="21">
        <f>+IF(F97="i",IFERROR(VLOOKUP(C97,'BG 12.2024'!$B:$E,4,FALSE),0),0)</f>
        <v>0</v>
      </c>
      <c r="I97" s="21"/>
      <c r="J97" s="28">
        <f>+IF(F97="i",IFERROR(VLOOKUP(C97,'BG 2023'!$B:$E,3,FALSE),0),0)</f>
        <v>0</v>
      </c>
      <c r="K97" s="21">
        <f>+IF(F97="i",IFERROR(VLOOKUP(C97,'BG 2023'!$B:$E,4,FALSE),0),0)</f>
        <v>0</v>
      </c>
      <c r="M97" s="15" t="e">
        <f>+VLOOKUP(C97,'BG 2023'!$B:$E,1,0)</f>
        <v>#N/A</v>
      </c>
      <c r="N97" s="806" t="e">
        <f>+VLOOKUP(C97,'BG 2023'!$B:$E,3,0)</f>
        <v>#N/A</v>
      </c>
      <c r="O97" s="807" t="e">
        <f t="shared" si="7"/>
        <v>#N/A</v>
      </c>
      <c r="P97" s="807"/>
      <c r="R97" s="807">
        <f>+IFERROR(VLOOKUP(C97,'CA FE'!$A:$C,3,0),0)-G97</f>
        <v>0</v>
      </c>
    </row>
    <row r="98" spans="1:18" ht="12" customHeight="1">
      <c r="A98" s="354" t="s">
        <v>10</v>
      </c>
      <c r="B98" s="354"/>
      <c r="C98" s="355">
        <v>11202112</v>
      </c>
      <c r="D98" s="354" t="s">
        <v>651</v>
      </c>
      <c r="E98" s="356" t="s">
        <v>634</v>
      </c>
      <c r="F98" s="356" t="str">
        <f t="shared" si="6"/>
        <v>NI</v>
      </c>
      <c r="G98" s="28">
        <f>+IF(F98="i",IFERROR(VLOOKUP(C98,'BG 12.2024'!$B:$E,3,FALSE),0),0)</f>
        <v>0</v>
      </c>
      <c r="H98" s="21">
        <f>+IF(F98="i",IFERROR(VLOOKUP(C98,'BG 12.2024'!$B:$E,4,FALSE),0),0)</f>
        <v>0</v>
      </c>
      <c r="I98" s="21"/>
      <c r="J98" s="28">
        <f>+IF(F98="i",IFERROR(VLOOKUP(C98,'BG 2023'!$B:$E,3,FALSE),0),0)</f>
        <v>0</v>
      </c>
      <c r="K98" s="21">
        <f>+IF(F98="i",IFERROR(VLOOKUP(C98,'BG 2023'!$B:$E,4,FALSE),0),0)</f>
        <v>0</v>
      </c>
      <c r="M98" s="15" t="e">
        <f>+VLOOKUP(C98,'BG 2023'!$B:$E,1,0)</f>
        <v>#N/A</v>
      </c>
      <c r="N98" s="806" t="e">
        <f>+VLOOKUP(C98,'BG 2023'!$B:$E,3,0)</f>
        <v>#N/A</v>
      </c>
      <c r="O98" s="807" t="e">
        <f t="shared" si="7"/>
        <v>#N/A</v>
      </c>
      <c r="P98" s="807"/>
      <c r="R98" s="807">
        <f>+IFERROR(VLOOKUP(C98,'CA FE'!$A:$C,3,0),0)-G98</f>
        <v>0</v>
      </c>
    </row>
    <row r="99" spans="1:18" ht="12" customHeight="1">
      <c r="A99" s="354" t="s">
        <v>10</v>
      </c>
      <c r="B99" s="354"/>
      <c r="C99" s="355">
        <v>1120211201</v>
      </c>
      <c r="D99" s="354" t="s">
        <v>652</v>
      </c>
      <c r="E99" s="356" t="s">
        <v>634</v>
      </c>
      <c r="F99" s="356" t="str">
        <f t="shared" si="6"/>
        <v>I</v>
      </c>
      <c r="G99" s="28">
        <f>+IF(F99="i",IFERROR(VLOOKUP(C99,'BG 12.2024'!$B:$E,3,FALSE),0),0)</f>
        <v>0</v>
      </c>
      <c r="H99" s="21">
        <f>+IF(F99="i",IFERROR(VLOOKUP(C99,'BG 12.2024'!$B:$E,4,FALSE),0),0)</f>
        <v>0</v>
      </c>
      <c r="I99" s="21"/>
      <c r="J99" s="28">
        <f>+IF(F99="i",IFERROR(VLOOKUP(C99,'BG 2023'!$B:$E,3,FALSE),0),0)</f>
        <v>0</v>
      </c>
      <c r="K99" s="21">
        <f>+IF(F99="i",IFERROR(VLOOKUP(C99,'BG 2023'!$B:$E,4,FALSE),0),0)</f>
        <v>0</v>
      </c>
      <c r="M99" s="15" t="e">
        <f>+VLOOKUP(C99,'BG 2023'!$B:$E,1,0)</f>
        <v>#N/A</v>
      </c>
      <c r="N99" s="806" t="e">
        <f>+VLOOKUP(C99,'BG 2023'!$B:$E,3,0)</f>
        <v>#N/A</v>
      </c>
      <c r="O99" s="807" t="e">
        <f t="shared" si="7"/>
        <v>#N/A</v>
      </c>
      <c r="P99" s="807"/>
      <c r="R99" s="807">
        <f>+IFERROR(VLOOKUP(C99,'CA FE'!$A:$C,3,0),0)-G99</f>
        <v>0</v>
      </c>
    </row>
    <row r="100" spans="1:18" ht="12" customHeight="1">
      <c r="A100" s="354" t="s">
        <v>10</v>
      </c>
      <c r="B100" s="354"/>
      <c r="C100" s="355">
        <v>1120211202</v>
      </c>
      <c r="D100" s="354" t="s">
        <v>653</v>
      </c>
      <c r="E100" s="356" t="s">
        <v>640</v>
      </c>
      <c r="F100" s="356" t="str">
        <f t="shared" si="6"/>
        <v>I</v>
      </c>
      <c r="G100" s="28">
        <f>+IF(F100="i",IFERROR(VLOOKUP(C100,'BG 12.2024'!$B:$E,3,FALSE),0),0)</f>
        <v>0</v>
      </c>
      <c r="H100" s="21">
        <f>+IF(F100="i",IFERROR(VLOOKUP(C100,'BG 12.2024'!$B:$E,4,FALSE),0),0)</f>
        <v>0</v>
      </c>
      <c r="I100" s="21"/>
      <c r="J100" s="28">
        <f>+IF(F100="i",IFERROR(VLOOKUP(C100,'BG 2023'!$B:$E,3,FALSE),0),0)</f>
        <v>0</v>
      </c>
      <c r="K100" s="21">
        <f>+IF(F100="i",IFERROR(VLOOKUP(C100,'BG 2023'!$B:$E,4,FALSE),0),0)</f>
        <v>0</v>
      </c>
      <c r="M100" s="15" t="e">
        <f>+VLOOKUP(C100,'BG 2023'!$B:$E,1,0)</f>
        <v>#N/A</v>
      </c>
      <c r="N100" s="806" t="e">
        <f>+VLOOKUP(C100,'BG 2023'!$B:$E,3,0)</f>
        <v>#N/A</v>
      </c>
      <c r="O100" s="807" t="e">
        <f t="shared" si="7"/>
        <v>#N/A</v>
      </c>
      <c r="P100" s="807"/>
      <c r="R100" s="807">
        <f>+IFERROR(VLOOKUP(C100,'CA FE'!$A:$C,3,0),0)-G100</f>
        <v>0</v>
      </c>
    </row>
    <row r="101" spans="1:18" ht="12" customHeight="1">
      <c r="A101" s="354" t="s">
        <v>10</v>
      </c>
      <c r="B101" s="354"/>
      <c r="C101" s="355">
        <v>11202113</v>
      </c>
      <c r="D101" s="354" t="s">
        <v>523</v>
      </c>
      <c r="E101" s="356" t="s">
        <v>634</v>
      </c>
      <c r="F101" s="356" t="str">
        <f t="shared" si="6"/>
        <v>NI</v>
      </c>
      <c r="G101" s="28">
        <f>+IF(F101="i",IFERROR(VLOOKUP(C101,'BG 12.2024'!$B:$E,3,FALSE),0),0)</f>
        <v>0</v>
      </c>
      <c r="H101" s="21">
        <f>+IF(F101="i",IFERROR(VLOOKUP(C101,'BG 12.2024'!$B:$E,4,FALSE),0),0)</f>
        <v>0</v>
      </c>
      <c r="I101" s="21"/>
      <c r="J101" s="28">
        <f>+IF(F101="i",IFERROR(VLOOKUP(C101,'BG 2023'!$B:$E,3,FALSE),0),0)</f>
        <v>0</v>
      </c>
      <c r="K101" s="21">
        <f>+IF(F101="i",IFERROR(VLOOKUP(C101,'BG 2023'!$B:$E,4,FALSE),0),0)</f>
        <v>0</v>
      </c>
      <c r="M101" s="15" t="e">
        <f>+VLOOKUP(C101,'BG 2023'!$B:$E,1,0)</f>
        <v>#N/A</v>
      </c>
      <c r="N101" s="806" t="e">
        <f>+VLOOKUP(C101,'BG 2023'!$B:$E,3,0)</f>
        <v>#N/A</v>
      </c>
      <c r="O101" s="807" t="e">
        <f t="shared" si="7"/>
        <v>#N/A</v>
      </c>
      <c r="P101" s="807"/>
      <c r="R101" s="807">
        <f>+IFERROR(VLOOKUP(C101,'CA FE'!$A:$C,3,0),0)-G101</f>
        <v>0</v>
      </c>
    </row>
    <row r="102" spans="1:18" ht="12" customHeight="1">
      <c r="A102" s="354" t="s">
        <v>10</v>
      </c>
      <c r="B102" s="354" t="s">
        <v>654</v>
      </c>
      <c r="C102" s="355">
        <v>1120211301</v>
      </c>
      <c r="D102" s="354" t="s">
        <v>524</v>
      </c>
      <c r="E102" s="356" t="s">
        <v>634</v>
      </c>
      <c r="F102" s="356" t="str">
        <f t="shared" si="6"/>
        <v>I</v>
      </c>
      <c r="G102" s="28">
        <f>+IF(F102="i",IFERROR(VLOOKUP(C102,'BG 12.2024'!$B:$E,3,FALSE),0),0)</f>
        <v>0</v>
      </c>
      <c r="H102" s="21">
        <f>+IF(F102="i",IFERROR(VLOOKUP(C102,'BG 12.2024'!$B:$E,4,FALSE),0),0)</f>
        <v>0</v>
      </c>
      <c r="I102" s="21"/>
      <c r="J102" s="28">
        <f>+IF(F102="i",IFERROR(VLOOKUP(C102,'BG 2023'!$B:$E,3,FALSE),0),0)</f>
        <v>0</v>
      </c>
      <c r="K102" s="21">
        <f>+IF(F102="i",IFERROR(VLOOKUP(C102,'BG 2023'!$B:$E,4,FALSE),0),0)</f>
        <v>0</v>
      </c>
      <c r="M102" s="15" t="e">
        <f>+VLOOKUP(C102,'BG 2023'!$B:$E,1,0)</f>
        <v>#N/A</v>
      </c>
      <c r="N102" s="806" t="e">
        <f>+VLOOKUP(C102,'BG 2023'!$B:$E,3,0)</f>
        <v>#N/A</v>
      </c>
      <c r="O102" s="807" t="e">
        <f t="shared" si="7"/>
        <v>#N/A</v>
      </c>
      <c r="P102" s="807"/>
      <c r="R102" s="807">
        <f>+IFERROR(VLOOKUP(C102,'CA FE'!$A:$C,3,0),0)-G102</f>
        <v>0</v>
      </c>
    </row>
    <row r="103" spans="1:18">
      <c r="A103" s="354" t="s">
        <v>10</v>
      </c>
      <c r="B103" s="354"/>
      <c r="C103" s="355">
        <v>1120211302</v>
      </c>
      <c r="D103" s="354" t="s">
        <v>655</v>
      </c>
      <c r="E103" s="356" t="s">
        <v>640</v>
      </c>
      <c r="F103" s="356" t="str">
        <f t="shared" si="6"/>
        <v>I</v>
      </c>
      <c r="G103" s="28">
        <f>+IF(F103="i",IFERROR(VLOOKUP(C103,'BG 12.2024'!$B:$E,3,FALSE),0),0)</f>
        <v>0</v>
      </c>
      <c r="H103" s="21">
        <f>+IF(F103="i",IFERROR(VLOOKUP(C103,'BG 12.2024'!$B:$E,4,FALSE),0),0)</f>
        <v>0</v>
      </c>
      <c r="I103" s="21"/>
      <c r="J103" s="28">
        <f>+IF(F103="i",IFERROR(VLOOKUP(C103,'BG 2023'!$B:$E,3,FALSE),0),0)</f>
        <v>0</v>
      </c>
      <c r="K103" s="21">
        <f>+IF(F103="i",IFERROR(VLOOKUP(C103,'BG 2023'!$B:$E,4,FALSE),0),0)</f>
        <v>0</v>
      </c>
      <c r="M103" s="15" t="e">
        <f>+VLOOKUP(C103,'BG 2023'!$B:$E,1,0)</f>
        <v>#N/A</v>
      </c>
      <c r="N103" s="806" t="e">
        <f>+VLOOKUP(C103,'BG 2023'!$B:$E,3,0)</f>
        <v>#N/A</v>
      </c>
      <c r="O103" s="807" t="e">
        <f t="shared" si="7"/>
        <v>#N/A</v>
      </c>
      <c r="P103" s="807"/>
      <c r="R103" s="807">
        <f>+IFERROR(VLOOKUP(C103,'CA FE'!$A:$C,3,0),0)-G103</f>
        <v>0</v>
      </c>
    </row>
    <row r="104" spans="1:18" ht="12" customHeight="1">
      <c r="A104" s="354" t="s">
        <v>10</v>
      </c>
      <c r="B104" s="354"/>
      <c r="C104" s="355">
        <v>11202114</v>
      </c>
      <c r="D104" s="354" t="s">
        <v>656</v>
      </c>
      <c r="E104" s="356" t="s">
        <v>634</v>
      </c>
      <c r="F104" s="356" t="str">
        <f t="shared" si="6"/>
        <v>NI</v>
      </c>
      <c r="G104" s="28">
        <f>+IF(F104="i",IFERROR(VLOOKUP(C104,'BG 12.2024'!$B:$E,3,FALSE),0),0)</f>
        <v>0</v>
      </c>
      <c r="H104" s="21">
        <f>+IF(F104="i",IFERROR(VLOOKUP(C104,'BG 12.2024'!$B:$E,4,FALSE),0),0)</f>
        <v>0</v>
      </c>
      <c r="I104" s="21"/>
      <c r="J104" s="28">
        <f>+IF(F104="i",IFERROR(VLOOKUP(C104,'BG 2023'!$B:$E,3,FALSE),0),0)</f>
        <v>0</v>
      </c>
      <c r="K104" s="21">
        <f>+IF(F104="i",IFERROR(VLOOKUP(C104,'BG 2023'!$B:$E,4,FALSE),0),0)</f>
        <v>0</v>
      </c>
      <c r="M104" s="15" t="e">
        <f>+VLOOKUP(C104,'BG 2023'!$B:$E,1,0)</f>
        <v>#N/A</v>
      </c>
      <c r="N104" s="806" t="e">
        <f>+VLOOKUP(C104,'BG 2023'!$B:$E,3,0)</f>
        <v>#N/A</v>
      </c>
      <c r="O104" s="807" t="e">
        <f t="shared" si="7"/>
        <v>#N/A</v>
      </c>
      <c r="P104" s="807"/>
      <c r="R104" s="807">
        <f>+IFERROR(VLOOKUP(C104,'CA FE'!$A:$C,3,0),0)-G104</f>
        <v>0</v>
      </c>
    </row>
    <row r="105" spans="1:18" ht="12" customHeight="1">
      <c r="A105" s="354" t="s">
        <v>10</v>
      </c>
      <c r="B105" s="354"/>
      <c r="C105" s="355">
        <v>1120211401</v>
      </c>
      <c r="D105" s="354" t="s">
        <v>657</v>
      </c>
      <c r="E105" s="356" t="s">
        <v>634</v>
      </c>
      <c r="F105" s="356" t="str">
        <f t="shared" si="6"/>
        <v>I</v>
      </c>
      <c r="G105" s="28">
        <f>+IF(F105="i",IFERROR(VLOOKUP(C105,'BG 12.2024'!$B:$E,3,FALSE),0),0)</f>
        <v>0</v>
      </c>
      <c r="H105" s="21">
        <f>+IF(F105="i",IFERROR(VLOOKUP(C105,'BG 12.2024'!$B:$E,4,FALSE),0),0)</f>
        <v>0</v>
      </c>
      <c r="I105" s="21"/>
      <c r="J105" s="28">
        <f>+IF(F105="i",IFERROR(VLOOKUP(C105,'BG 2023'!$B:$E,3,FALSE),0),0)</f>
        <v>0</v>
      </c>
      <c r="K105" s="21">
        <f>+IF(F105="i",IFERROR(VLOOKUP(C105,'BG 2023'!$B:$E,4,FALSE),0),0)</f>
        <v>0</v>
      </c>
      <c r="M105" s="15" t="e">
        <f>+VLOOKUP(C105,'BG 2023'!$B:$E,1,0)</f>
        <v>#N/A</v>
      </c>
      <c r="N105" s="806" t="e">
        <f>+VLOOKUP(C105,'BG 2023'!$B:$E,3,0)</f>
        <v>#N/A</v>
      </c>
      <c r="O105" s="807" t="e">
        <f t="shared" si="7"/>
        <v>#N/A</v>
      </c>
      <c r="P105" s="807"/>
      <c r="R105" s="807">
        <f>+IFERROR(VLOOKUP(C105,'CA FE'!$A:$C,3,0),0)-G105</f>
        <v>0</v>
      </c>
    </row>
    <row r="106" spans="1:18" ht="12" customHeight="1">
      <c r="A106" s="354" t="s">
        <v>10</v>
      </c>
      <c r="B106" s="354"/>
      <c r="C106" s="355">
        <v>1120211402</v>
      </c>
      <c r="D106" s="354" t="s">
        <v>97</v>
      </c>
      <c r="E106" s="356" t="s">
        <v>634</v>
      </c>
      <c r="F106" s="356" t="str">
        <f t="shared" si="6"/>
        <v>I</v>
      </c>
      <c r="G106" s="28">
        <f>+IF(F106="i",IFERROR(VLOOKUP(C106,'BG 12.2024'!$B:$E,3,FALSE),0),0)</f>
        <v>0</v>
      </c>
      <c r="H106" s="21">
        <f>+IF(F106="i",IFERROR(VLOOKUP(C106,'BG 12.2024'!$B:$E,4,FALSE),0),0)</f>
        <v>0</v>
      </c>
      <c r="I106" s="21"/>
      <c r="J106" s="28">
        <f>+IF(F106="i",IFERROR(VLOOKUP(C106,'BG 2023'!$B:$E,3,FALSE),0),0)</f>
        <v>0</v>
      </c>
      <c r="K106" s="21">
        <f>+IF(F106="i",IFERROR(VLOOKUP(C106,'BG 2023'!$B:$E,4,FALSE),0),0)</f>
        <v>0</v>
      </c>
      <c r="M106" s="15" t="e">
        <f>+VLOOKUP(C106,'BG 2023'!$B:$E,1,0)</f>
        <v>#N/A</v>
      </c>
      <c r="N106" s="806" t="e">
        <f>+VLOOKUP(C106,'BG 2023'!$B:$E,3,0)</f>
        <v>#N/A</v>
      </c>
      <c r="O106" s="807" t="e">
        <f t="shared" si="7"/>
        <v>#N/A</v>
      </c>
      <c r="P106" s="807"/>
      <c r="R106" s="807">
        <f>+IFERROR(VLOOKUP(C106,'CA FE'!$A:$C,3,0),0)-G106</f>
        <v>0</v>
      </c>
    </row>
    <row r="107" spans="1:18" ht="12" customHeight="1">
      <c r="A107" s="354" t="s">
        <v>10</v>
      </c>
      <c r="B107" s="354"/>
      <c r="C107" s="355">
        <v>11203</v>
      </c>
      <c r="D107" s="354" t="s">
        <v>33</v>
      </c>
      <c r="E107" s="356" t="s">
        <v>634</v>
      </c>
      <c r="F107" s="356" t="str">
        <f t="shared" si="6"/>
        <v>NI</v>
      </c>
      <c r="G107" s="28">
        <f>+IF(F107="i",IFERROR(VLOOKUP(C107,'BG 12.2024'!$B:$E,3,FALSE),0),0)</f>
        <v>0</v>
      </c>
      <c r="H107" s="21">
        <f>+IF(F107="i",IFERROR(VLOOKUP(C107,'BG 12.2024'!$B:$E,4,FALSE),0),0)</f>
        <v>0</v>
      </c>
      <c r="I107" s="21"/>
      <c r="J107" s="28">
        <f>+IF(F107="i",IFERROR(VLOOKUP(C107,'BG 2023'!$B:$E,3,FALSE),0),0)</f>
        <v>0</v>
      </c>
      <c r="K107" s="21">
        <f>+IF(F107="i",IFERROR(VLOOKUP(C107,'BG 2023'!$B:$E,4,FALSE),0),0)</f>
        <v>0</v>
      </c>
      <c r="M107" s="15">
        <f>+VLOOKUP(C107,'BG 2023'!$B:$E,1,0)</f>
        <v>11203</v>
      </c>
      <c r="N107" s="806">
        <f>+VLOOKUP(C107,'BG 2023'!$B:$E,3,0)</f>
        <v>1533468339</v>
      </c>
      <c r="O107" s="807">
        <f t="shared" si="7"/>
        <v>1533468339</v>
      </c>
      <c r="P107" s="807"/>
      <c r="R107" s="807">
        <f>+IFERROR(VLOOKUP(C107,'CA FE'!$A:$C,3,0),0)-G107</f>
        <v>0</v>
      </c>
    </row>
    <row r="108" spans="1:18" ht="12" customHeight="1">
      <c r="A108" s="354" t="s">
        <v>10</v>
      </c>
      <c r="B108" s="354"/>
      <c r="C108" s="355">
        <v>112031</v>
      </c>
      <c r="D108" s="354" t="s">
        <v>33</v>
      </c>
      <c r="E108" s="356" t="s">
        <v>634</v>
      </c>
      <c r="F108" s="356" t="str">
        <f t="shared" si="6"/>
        <v>NI</v>
      </c>
      <c r="G108" s="28">
        <f>+IF(F108="i",IFERROR(VLOOKUP(C108,'BG 12.2024'!$B:$E,3,FALSE),0),0)</f>
        <v>0</v>
      </c>
      <c r="H108" s="21">
        <f>+IF(F108="i",IFERROR(VLOOKUP(C108,'BG 12.2024'!$B:$E,4,FALSE),0),0)</f>
        <v>0</v>
      </c>
      <c r="I108" s="21"/>
      <c r="J108" s="28">
        <f>+IF(F108="i",IFERROR(VLOOKUP(C108,'BG 2023'!$B:$E,3,FALSE),0),0)</f>
        <v>0</v>
      </c>
      <c r="K108" s="21">
        <f>+IF(F108="i",IFERROR(VLOOKUP(C108,'BG 2023'!$B:$E,4,FALSE),0),0)</f>
        <v>0</v>
      </c>
      <c r="M108" s="15">
        <f>+VLOOKUP(C108,'BG 2023'!$B:$E,1,0)</f>
        <v>112031</v>
      </c>
      <c r="N108" s="806">
        <f>+VLOOKUP(C108,'BG 2023'!$B:$E,3,0)</f>
        <v>1533468339</v>
      </c>
      <c r="O108" s="807">
        <f t="shared" si="7"/>
        <v>1533468339</v>
      </c>
      <c r="P108" s="807"/>
      <c r="R108" s="807">
        <f>+IFERROR(VLOOKUP(C108,'CA FE'!$A:$C,3,0),0)-G108</f>
        <v>0</v>
      </c>
    </row>
    <row r="109" spans="1:18">
      <c r="A109" s="354" t="s">
        <v>10</v>
      </c>
      <c r="B109" s="354"/>
      <c r="C109" s="355">
        <v>1120311</v>
      </c>
      <c r="D109" s="354" t="s">
        <v>34</v>
      </c>
      <c r="E109" s="356" t="s">
        <v>634</v>
      </c>
      <c r="F109" s="356" t="str">
        <f t="shared" si="6"/>
        <v>NI</v>
      </c>
      <c r="G109" s="28">
        <f>+IF(F109="i",IFERROR(VLOOKUP(C109,'BG 12.2024'!$B:$E,3,FALSE),0),0)</f>
        <v>0</v>
      </c>
      <c r="H109" s="21">
        <f>+IF(F109="i",IFERROR(VLOOKUP(C109,'BG 12.2024'!$B:$E,4,FALSE),0),0)</f>
        <v>0</v>
      </c>
      <c r="I109" s="21"/>
      <c r="J109" s="28">
        <f>+IF(F109="i",IFERROR(VLOOKUP(C109,'BG 2023'!$B:$E,3,FALSE),0),0)</f>
        <v>0</v>
      </c>
      <c r="K109" s="21">
        <f>+IF(F109="i",IFERROR(VLOOKUP(C109,'BG 2023'!$B:$E,4,FALSE),0),0)</f>
        <v>0</v>
      </c>
      <c r="M109" s="15">
        <f>+VLOOKUP(C109,'BG 2023'!$B:$E,1,0)</f>
        <v>1120311</v>
      </c>
      <c r="N109" s="806">
        <f>+VLOOKUP(C109,'BG 2023'!$B:$E,3,0)</f>
        <v>1533468339</v>
      </c>
      <c r="O109" s="807">
        <f t="shared" si="7"/>
        <v>1533468339</v>
      </c>
      <c r="P109" s="807"/>
      <c r="R109" s="807">
        <f>+IFERROR(VLOOKUP(C109,'CA FE'!$A:$C,3,0),0)-G109</f>
        <v>0</v>
      </c>
    </row>
    <row r="110" spans="1:18">
      <c r="A110" s="354" t="s">
        <v>10</v>
      </c>
      <c r="B110" s="354"/>
      <c r="C110" s="355">
        <v>11203111</v>
      </c>
      <c r="D110" s="354" t="s">
        <v>35</v>
      </c>
      <c r="E110" s="356" t="s">
        <v>634</v>
      </c>
      <c r="F110" s="356" t="str">
        <f t="shared" si="6"/>
        <v>NI</v>
      </c>
      <c r="G110" s="28">
        <f>+IF(F110="i",IFERROR(VLOOKUP(C110,'BG 12.2024'!$B:$E,3,FALSE),0),0)</f>
        <v>0</v>
      </c>
      <c r="H110" s="21">
        <f>+IF(F110="i",IFERROR(VLOOKUP(C110,'BG 12.2024'!$B:$E,4,FALSE),0),0)</f>
        <v>0</v>
      </c>
      <c r="I110" s="21"/>
      <c r="J110" s="28">
        <f>+IF(F110="i",IFERROR(VLOOKUP(C110,'BG 2023'!$B:$E,3,FALSE),0),0)</f>
        <v>0</v>
      </c>
      <c r="K110" s="21">
        <f>+IF(F110="i",IFERROR(VLOOKUP(C110,'BG 2023'!$B:$E,4,FALSE),0),0)</f>
        <v>0</v>
      </c>
      <c r="M110" s="15">
        <f>+VLOOKUP(C110,'BG 2023'!$B:$E,1,0)</f>
        <v>11203111</v>
      </c>
      <c r="N110" s="806">
        <f>+VLOOKUP(C110,'BG 2023'!$B:$E,3,0)</f>
        <v>1533468339</v>
      </c>
      <c r="O110" s="807">
        <f t="shared" si="7"/>
        <v>1533468339</v>
      </c>
      <c r="P110" s="807"/>
      <c r="R110" s="807">
        <f>+IFERROR(VLOOKUP(C110,'CA FE'!$A:$C,3,0),0)-G110</f>
        <v>0</v>
      </c>
    </row>
    <row r="111" spans="1:18">
      <c r="A111" s="354" t="s">
        <v>10</v>
      </c>
      <c r="B111" s="354" t="s">
        <v>654</v>
      </c>
      <c r="C111" s="355">
        <v>1120311101</v>
      </c>
      <c r="D111" s="354" t="s">
        <v>35</v>
      </c>
      <c r="E111" s="356" t="s">
        <v>634</v>
      </c>
      <c r="F111" s="356" t="str">
        <f t="shared" si="6"/>
        <v>I</v>
      </c>
      <c r="G111" s="28">
        <f>+IF(F111="i",IFERROR(VLOOKUP(C111,'BG 12.2024'!$B:$E,3,FALSE),0),0)</f>
        <v>34665507</v>
      </c>
      <c r="H111" s="21">
        <f>+IF(F111="i",IFERROR(VLOOKUP(C111,'BG 12.2024'!$B:$E,4,FALSE),0),0)</f>
        <v>4426.5599999986589</v>
      </c>
      <c r="I111" s="21"/>
      <c r="J111" s="28">
        <f>+IF(F111="i",IFERROR(VLOOKUP(C111,'BG 2023'!$B:$E,3,FALSE),0),0)</f>
        <v>276467848</v>
      </c>
      <c r="K111" s="21">
        <f>+IF(F111="i",IFERROR(VLOOKUP(C111,'BG 2023'!$B:$E,4,FALSE),0),0)</f>
        <v>38062.150000000373</v>
      </c>
      <c r="M111" s="15">
        <f>+VLOOKUP(C111,'BG 2023'!$B:$E,1,0)</f>
        <v>1120311101</v>
      </c>
      <c r="N111" s="806">
        <f>+VLOOKUP(C111,'BG 2023'!$B:$E,3,0)</f>
        <v>276467848</v>
      </c>
      <c r="O111" s="807">
        <f t="shared" si="7"/>
        <v>241802341</v>
      </c>
      <c r="P111" s="807"/>
      <c r="R111" s="807">
        <f>+IFERROR(VLOOKUP(C111,'CA FE'!$A:$C,3,0),0)-G111</f>
        <v>0</v>
      </c>
    </row>
    <row r="112" spans="1:18" ht="12" customHeight="1">
      <c r="A112" s="354" t="s">
        <v>10</v>
      </c>
      <c r="B112" s="354" t="s">
        <v>654</v>
      </c>
      <c r="C112" s="355">
        <v>1120311102</v>
      </c>
      <c r="D112" s="354" t="s">
        <v>35</v>
      </c>
      <c r="E112" s="356" t="s">
        <v>640</v>
      </c>
      <c r="F112" s="356" t="str">
        <f t="shared" si="6"/>
        <v>I</v>
      </c>
      <c r="G112" s="28">
        <f>+IF(F112="i",IFERROR(VLOOKUP(C112,'BG 12.2024'!$B:$E,3,FALSE),0),0)</f>
        <v>368148</v>
      </c>
      <c r="H112" s="1229">
        <f>+IF(F112="i",IFERROR(VLOOKUP(C112,'BG 12.2024'!$B:$E,4,FALSE),0),0)</f>
        <v>47.010000000009313</v>
      </c>
      <c r="I112" s="21"/>
      <c r="J112" s="28">
        <f>+IF(F112="i",IFERROR(VLOOKUP(C112,'BG 2023'!$B:$E,3,FALSE),0),0)</f>
        <v>407124</v>
      </c>
      <c r="K112" s="21">
        <f>+IF(F112="i",IFERROR(VLOOKUP(C112,'BG 2023'!$B:$E,4,FALSE),0),0)</f>
        <v>56.050000000000068</v>
      </c>
      <c r="M112" s="15">
        <f>+VLOOKUP(C112,'BG 2023'!$B:$E,1,0)</f>
        <v>1120311102</v>
      </c>
      <c r="N112" s="806">
        <f>+VLOOKUP(C112,'BG 2023'!$B:$E,3,0)</f>
        <v>407124</v>
      </c>
      <c r="O112" s="807">
        <f t="shared" si="7"/>
        <v>38976</v>
      </c>
      <c r="P112" s="807"/>
      <c r="R112" s="807">
        <f>+IFERROR(VLOOKUP(C112,'CA FE'!$A:$C,3,0),0)-G112</f>
        <v>0</v>
      </c>
    </row>
    <row r="113" spans="1:18" ht="12" customHeight="1">
      <c r="A113" s="354" t="s">
        <v>10</v>
      </c>
      <c r="B113" s="354" t="s">
        <v>654</v>
      </c>
      <c r="C113" s="355">
        <v>1120311103</v>
      </c>
      <c r="D113" s="354" t="s">
        <v>36</v>
      </c>
      <c r="E113" s="356" t="s">
        <v>634</v>
      </c>
      <c r="F113" s="356" t="str">
        <f t="shared" ref="F113" si="8">+IF(LEN(C113)&gt;8,"I","NI")</f>
        <v>I</v>
      </c>
      <c r="G113" s="1235">
        <f>+IF(F113="i",IFERROR(VLOOKUP(C113,'BG 12.2024'!$B:$E,3,FALSE),0),0)</f>
        <v>330056277</v>
      </c>
      <c r="H113" s="21">
        <f>+IF(F113="i",IFERROR(VLOOKUP(C113,'BG 12.2024'!$B:$E,4,FALSE),0),0)</f>
        <v>42146</v>
      </c>
      <c r="I113" s="21"/>
      <c r="J113" s="28">
        <f>+IF(F113="i",IFERROR(VLOOKUP(C113,'BG 2023'!$B:$E,3,FALSE),0),0)</f>
        <v>710328394</v>
      </c>
      <c r="K113" s="21">
        <f>+IF(F113="i",IFERROR(VLOOKUP(C113,'BG 2023'!$B:$E,4,FALSE),0),0)</f>
        <v>97793.020000000019</v>
      </c>
      <c r="M113" s="15">
        <f>+VLOOKUP(C113,'BG 2023'!$B:$E,1,0)</f>
        <v>1120311103</v>
      </c>
      <c r="N113" s="806">
        <f>+VLOOKUP(C113,'BG 2023'!$B:$E,3,0)</f>
        <v>710328394</v>
      </c>
      <c r="O113" s="807">
        <f t="shared" si="7"/>
        <v>380272117</v>
      </c>
      <c r="P113" s="807"/>
      <c r="R113" s="807">
        <f>+IFERROR(VLOOKUP(C113,'CA FE'!$A:$C,3,0),0)-G113</f>
        <v>0</v>
      </c>
    </row>
    <row r="114" spans="1:18" ht="12" customHeight="1">
      <c r="A114" s="354" t="s">
        <v>10</v>
      </c>
      <c r="B114" s="354" t="s">
        <v>654</v>
      </c>
      <c r="C114" s="355">
        <v>1120311104</v>
      </c>
      <c r="D114" s="354" t="s">
        <v>37</v>
      </c>
      <c r="E114" s="356" t="s">
        <v>640</v>
      </c>
      <c r="F114" s="356" t="str">
        <f t="shared" si="6"/>
        <v>I</v>
      </c>
      <c r="G114" s="1235">
        <f>+IF(F114="i",IFERROR(VLOOKUP(C114,'BG 12.2024'!$B:$E,3,FALSE),0),0)</f>
        <v>281052644</v>
      </c>
      <c r="H114" s="1229">
        <f>+IF(F114="i",IFERROR(VLOOKUP(C114,'BG 12.2024'!$B:$E,4,FALSE),0),0)</f>
        <v>35888.560000000056</v>
      </c>
      <c r="I114" s="21"/>
      <c r="J114" s="28">
        <f>+IF(F114="i",IFERROR(VLOOKUP(C114,'BG 2023'!$B:$E,3,FALSE),0),0)</f>
        <v>428136805</v>
      </c>
      <c r="K114" s="21">
        <f>+IF(F114="i",IFERROR(VLOOKUP(C114,'BG 2023'!$B:$E,4,FALSE),0),0)</f>
        <v>58942.864999999991</v>
      </c>
      <c r="M114" s="15">
        <f>+VLOOKUP(C114,'BG 2023'!$B:$E,1,0)</f>
        <v>1120311104</v>
      </c>
      <c r="N114" s="806">
        <f>+VLOOKUP(C114,'BG 2023'!$B:$E,3,0)</f>
        <v>428136805</v>
      </c>
      <c r="O114" s="807">
        <f t="shared" si="7"/>
        <v>147084161</v>
      </c>
      <c r="P114" s="807"/>
      <c r="R114" s="807">
        <f>+IFERROR(VLOOKUP(C114,'CA FE'!$A:$C,3,0),0)-G114</f>
        <v>0</v>
      </c>
    </row>
    <row r="115" spans="1:18" ht="12" customHeight="1">
      <c r="A115" s="354" t="s">
        <v>10</v>
      </c>
      <c r="B115" s="354" t="s">
        <v>654</v>
      </c>
      <c r="C115" s="355">
        <v>1120311105</v>
      </c>
      <c r="D115" s="354" t="s">
        <v>38</v>
      </c>
      <c r="E115" s="356" t="s">
        <v>634</v>
      </c>
      <c r="F115" s="356" t="str">
        <f t="shared" si="6"/>
        <v>I</v>
      </c>
      <c r="G115" s="1235">
        <f>+IF(F115="i",IFERROR(VLOOKUP(C115,'BG 12.2024'!$B:$E,3,FALSE),0),0)</f>
        <v>527968918</v>
      </c>
      <c r="H115" s="21">
        <f>+IF(F115="i",IFERROR(VLOOKUP(C115,'BG 12.2024'!$B:$E,4,FALSE),0),0)</f>
        <v>67418.129999999946</v>
      </c>
      <c r="I115" s="21"/>
      <c r="J115" s="28">
        <f>+IF(F115="i",IFERROR(VLOOKUP(C115,'BG 2023'!$B:$E,3,FALSE),0),0)</f>
        <v>112449166</v>
      </c>
      <c r="K115" s="21">
        <f>+IF(F115="i",IFERROR(VLOOKUP(C115,'BG 2023'!$B:$E,4,FALSE),0),0)</f>
        <v>15481.209999999961</v>
      </c>
      <c r="M115" s="15">
        <f>+VLOOKUP(C115,'BG 2023'!$B:$E,1,0)</f>
        <v>1120311105</v>
      </c>
      <c r="N115" s="806">
        <f>+VLOOKUP(C115,'BG 2023'!$B:$E,3,0)</f>
        <v>112449166</v>
      </c>
      <c r="O115" s="807">
        <f t="shared" si="7"/>
        <v>-415519752</v>
      </c>
      <c r="P115" s="807"/>
      <c r="R115" s="807">
        <f>+IFERROR(VLOOKUP(C115,'CA FE'!$A:$C,3,0),0)-G115</f>
        <v>0</v>
      </c>
    </row>
    <row r="116" spans="1:18" ht="12" customHeight="1">
      <c r="A116" s="354" t="s">
        <v>10</v>
      </c>
      <c r="B116" s="354" t="s">
        <v>654</v>
      </c>
      <c r="C116" s="355">
        <v>1120311106</v>
      </c>
      <c r="D116" s="354" t="s">
        <v>39</v>
      </c>
      <c r="E116" s="356" t="s">
        <v>640</v>
      </c>
      <c r="F116" s="356" t="str">
        <f t="shared" si="6"/>
        <v>I</v>
      </c>
      <c r="G116" s="1235">
        <f>+IF(F116="i",IFERROR(VLOOKUP(C116,'BG 12.2024'!$B:$E,3,FALSE),0),0)</f>
        <v>347283490</v>
      </c>
      <c r="H116" s="1229">
        <f>+IF(F116="i",IFERROR(VLOOKUP(C116,'BG 12.2024'!$B:$E,4,FALSE),0),0)</f>
        <v>44345.799999999988</v>
      </c>
      <c r="I116" s="21"/>
      <c r="J116" s="28">
        <f>+IF(F116="i",IFERROR(VLOOKUP(C116,'BG 2023'!$B:$E,3,FALSE),0),0)</f>
        <v>5679002</v>
      </c>
      <c r="K116" s="21">
        <f>+IF(F116="i",IFERROR(VLOOKUP(C116,'BG 2023'!$B:$E,4,FALSE),0),0)</f>
        <v>781.84499999999753</v>
      </c>
      <c r="M116" s="15">
        <f>+VLOOKUP(C116,'BG 2023'!$B:$E,1,0)</f>
        <v>1120311106</v>
      </c>
      <c r="N116" s="806">
        <f>+VLOOKUP(C116,'BG 2023'!$B:$E,3,0)</f>
        <v>5679002</v>
      </c>
      <c r="O116" s="807">
        <f t="shared" si="7"/>
        <v>-341604488</v>
      </c>
      <c r="P116" s="807"/>
      <c r="R116" s="807">
        <f>+IFERROR(VLOOKUP(C116,'CA FE'!$A:$C,3,0),0)-G116</f>
        <v>0</v>
      </c>
    </row>
    <row r="117" spans="1:18" ht="12" customHeight="1">
      <c r="A117" s="354" t="s">
        <v>10</v>
      </c>
      <c r="B117" s="354"/>
      <c r="C117" s="355">
        <v>11203112</v>
      </c>
      <c r="D117" s="354" t="s">
        <v>658</v>
      </c>
      <c r="E117" s="356" t="s">
        <v>634</v>
      </c>
      <c r="F117" s="356" t="str">
        <f t="shared" si="6"/>
        <v>NI</v>
      </c>
      <c r="G117" s="28">
        <f>+IF(F117="i",IFERROR(VLOOKUP(C117,'BG 12.2024'!$B:$E,3,FALSE),0),0)</f>
        <v>0</v>
      </c>
      <c r="H117" s="21">
        <f>+IF(F117="i",IFERROR(VLOOKUP(C117,'BG 12.2024'!$B:$E,4,FALSE),0),0)</f>
        <v>0</v>
      </c>
      <c r="I117" s="21"/>
      <c r="J117" s="28">
        <f>+IF(F117="i",IFERROR(VLOOKUP(C117,'BG 2023'!$B:$E,3,FALSE),0),0)</f>
        <v>0</v>
      </c>
      <c r="K117" s="21">
        <f>+IF(F117="i",IFERROR(VLOOKUP(C117,'BG 2023'!$B:$E,4,FALSE),0),0)</f>
        <v>0</v>
      </c>
      <c r="M117" s="15" t="e">
        <f>+VLOOKUP(C117,'BG 2023'!$B:$E,1,0)</f>
        <v>#N/A</v>
      </c>
      <c r="N117" s="806" t="e">
        <f>+VLOOKUP(C117,'BG 2023'!$B:$E,3,0)</f>
        <v>#N/A</v>
      </c>
      <c r="O117" s="807" t="e">
        <f t="shared" si="7"/>
        <v>#N/A</v>
      </c>
      <c r="P117" s="807"/>
      <c r="R117" s="807">
        <f>+IFERROR(VLOOKUP(C117,'CA FE'!$A:$C,3,0),0)-G117</f>
        <v>0</v>
      </c>
    </row>
    <row r="118" spans="1:18" ht="12" customHeight="1">
      <c r="A118" s="354" t="s">
        <v>10</v>
      </c>
      <c r="B118" s="354"/>
      <c r="C118" s="355">
        <v>1120311201</v>
      </c>
      <c r="D118" s="354" t="s">
        <v>659</v>
      </c>
      <c r="E118" s="356" t="s">
        <v>634</v>
      </c>
      <c r="F118" s="356" t="str">
        <f t="shared" si="6"/>
        <v>I</v>
      </c>
      <c r="G118" s="28">
        <f>+IF(F118="i",IFERROR(VLOOKUP(C118,'BG 12.2024'!$B:$E,3,FALSE),0),0)</f>
        <v>0</v>
      </c>
      <c r="H118" s="21">
        <f>+IF(F118="i",IFERROR(VLOOKUP(C118,'BG 12.2024'!$B:$E,4,FALSE),0),0)</f>
        <v>0</v>
      </c>
      <c r="I118" s="21"/>
      <c r="J118" s="28">
        <f>+IF(F118="i",IFERROR(VLOOKUP(C118,'BG 2023'!$B:$E,3,FALSE),0),0)</f>
        <v>0</v>
      </c>
      <c r="K118" s="21">
        <f>+IF(F118="i",IFERROR(VLOOKUP(C118,'BG 2023'!$B:$E,4,FALSE),0),0)</f>
        <v>0</v>
      </c>
      <c r="M118" s="15" t="e">
        <f>+VLOOKUP(C118,'BG 2023'!$B:$E,1,0)</f>
        <v>#N/A</v>
      </c>
      <c r="N118" s="806" t="e">
        <f>+VLOOKUP(C118,'BG 2023'!$B:$E,3,0)</f>
        <v>#N/A</v>
      </c>
      <c r="O118" s="807" t="e">
        <f t="shared" si="7"/>
        <v>#N/A</v>
      </c>
      <c r="P118" s="807"/>
      <c r="R118" s="807">
        <f>+IFERROR(VLOOKUP(C118,'CA FE'!$A:$C,3,0),0)-G118</f>
        <v>0</v>
      </c>
    </row>
    <row r="119" spans="1:18" ht="12" customHeight="1">
      <c r="A119" s="354" t="s">
        <v>10</v>
      </c>
      <c r="B119" s="354"/>
      <c r="C119" s="355">
        <v>1120311202</v>
      </c>
      <c r="D119" s="354" t="s">
        <v>660</v>
      </c>
      <c r="E119" s="356" t="s">
        <v>634</v>
      </c>
      <c r="F119" s="356" t="str">
        <f t="shared" si="6"/>
        <v>I</v>
      </c>
      <c r="G119" s="28">
        <f>+IF(F119="i",IFERROR(VLOOKUP(C119,'BG 12.2024'!$B:$E,3,FALSE),0),0)</f>
        <v>0</v>
      </c>
      <c r="H119" s="21">
        <f>+IF(F119="i",IFERROR(VLOOKUP(C119,'BG 12.2024'!$B:$E,4,FALSE),0),0)</f>
        <v>0</v>
      </c>
      <c r="I119" s="21"/>
      <c r="J119" s="28">
        <f>+IF(F119="i",IFERROR(VLOOKUP(C119,'BG 2023'!$B:$E,3,FALSE),0),0)</f>
        <v>0</v>
      </c>
      <c r="K119" s="21">
        <f>+IF(F119="i",IFERROR(VLOOKUP(C119,'BG 2023'!$B:$E,4,FALSE),0),0)</f>
        <v>0</v>
      </c>
      <c r="M119" s="15" t="e">
        <f>+VLOOKUP(C119,'BG 2023'!$B:$E,1,0)</f>
        <v>#N/A</v>
      </c>
      <c r="N119" s="806" t="e">
        <f>+VLOOKUP(C119,'BG 2023'!$B:$E,3,0)</f>
        <v>#N/A</v>
      </c>
      <c r="O119" s="807" t="e">
        <f t="shared" si="7"/>
        <v>#N/A</v>
      </c>
      <c r="P119" s="807"/>
      <c r="R119" s="807">
        <f>+IFERROR(VLOOKUP(C119,'CA FE'!$A:$C,3,0),0)-G119</f>
        <v>0</v>
      </c>
    </row>
    <row r="120" spans="1:18" ht="12" customHeight="1">
      <c r="A120" s="354" t="s">
        <v>10</v>
      </c>
      <c r="B120" s="354"/>
      <c r="C120" s="355">
        <v>1120312</v>
      </c>
      <c r="D120" s="354" t="s">
        <v>572</v>
      </c>
      <c r="E120" s="356" t="s">
        <v>634</v>
      </c>
      <c r="F120" s="356" t="str">
        <f t="shared" si="6"/>
        <v>NI</v>
      </c>
      <c r="G120" s="28">
        <f>+IF(F120="i",IFERROR(VLOOKUP(C120,'BG 12.2024'!$B:$E,3,FALSE),0),0)</f>
        <v>0</v>
      </c>
      <c r="H120" s="21">
        <f>+IF(F120="i",IFERROR(VLOOKUP(C120,'BG 12.2024'!$B:$E,4,FALSE),0),0)</f>
        <v>0</v>
      </c>
      <c r="I120" s="21"/>
      <c r="J120" s="28">
        <f>+IF(F120="i",IFERROR(VLOOKUP(C120,'BG 2023'!$B:$E,3,FALSE),0),0)</f>
        <v>0</v>
      </c>
      <c r="K120" s="21">
        <f>+IF(F120="i",IFERROR(VLOOKUP(C120,'BG 2023'!$B:$E,4,FALSE),0),0)</f>
        <v>0</v>
      </c>
      <c r="M120" s="15" t="e">
        <f>+VLOOKUP(C120,'BG 2023'!$B:$E,1,0)</f>
        <v>#N/A</v>
      </c>
      <c r="N120" s="806" t="e">
        <f>+VLOOKUP(C120,'BG 2023'!$B:$E,3,0)</f>
        <v>#N/A</v>
      </c>
      <c r="O120" s="807" t="e">
        <f t="shared" si="7"/>
        <v>#N/A</v>
      </c>
      <c r="P120" s="807"/>
      <c r="R120" s="807">
        <f>+IFERROR(VLOOKUP(C120,'CA FE'!$A:$C,3,0),0)-G120</f>
        <v>0</v>
      </c>
    </row>
    <row r="121" spans="1:18" ht="12" customHeight="1">
      <c r="A121" s="354" t="s">
        <v>10</v>
      </c>
      <c r="B121" s="354"/>
      <c r="C121" s="355">
        <v>11203121</v>
      </c>
      <c r="D121" s="354" t="s">
        <v>572</v>
      </c>
      <c r="E121" s="356" t="s">
        <v>634</v>
      </c>
      <c r="F121" s="356" t="str">
        <f t="shared" si="6"/>
        <v>NI</v>
      </c>
      <c r="G121" s="28">
        <f>+IF(F121="i",IFERROR(VLOOKUP(C121,'BG 12.2024'!$B:$E,3,FALSE),0),0)</f>
        <v>0</v>
      </c>
      <c r="H121" s="21">
        <f>+IF(F121="i",IFERROR(VLOOKUP(C121,'BG 12.2024'!$B:$E,4,FALSE),0),0)</f>
        <v>0</v>
      </c>
      <c r="I121" s="21"/>
      <c r="J121" s="28">
        <f>+IF(F121="i",IFERROR(VLOOKUP(C121,'BG 2023'!$B:$E,3,FALSE),0),0)</f>
        <v>0</v>
      </c>
      <c r="K121" s="21">
        <f>+IF(F121="i",IFERROR(VLOOKUP(C121,'BG 2023'!$B:$E,4,FALSE),0),0)</f>
        <v>0</v>
      </c>
      <c r="M121" s="15" t="e">
        <f>+VLOOKUP(C121,'BG 2023'!$B:$E,1,0)</f>
        <v>#N/A</v>
      </c>
      <c r="N121" s="806" t="e">
        <f>+VLOOKUP(C121,'BG 2023'!$B:$E,3,0)</f>
        <v>#N/A</v>
      </c>
      <c r="O121" s="807" t="e">
        <f t="shared" si="7"/>
        <v>#N/A</v>
      </c>
      <c r="P121" s="807"/>
      <c r="R121" s="807">
        <f>+IFERROR(VLOOKUP(C121,'CA FE'!$A:$C,3,0),0)-G121</f>
        <v>0</v>
      </c>
    </row>
    <row r="122" spans="1:18" ht="12" customHeight="1">
      <c r="A122" s="354" t="s">
        <v>10</v>
      </c>
      <c r="B122" s="354" t="s">
        <v>661</v>
      </c>
      <c r="C122" s="355">
        <v>1120312101</v>
      </c>
      <c r="D122" s="354" t="s">
        <v>573</v>
      </c>
      <c r="E122" s="356" t="s">
        <v>634</v>
      </c>
      <c r="F122" s="356" t="str">
        <f t="shared" si="6"/>
        <v>I</v>
      </c>
      <c r="G122" s="28">
        <f>+IF(F122="i",IFERROR(VLOOKUP(C122,'BG 12.2024'!$B:$E,3,FALSE),0),0)</f>
        <v>0</v>
      </c>
      <c r="H122" s="21">
        <f>+IF(F122="i",IFERROR(VLOOKUP(C122,'BG 12.2024'!$B:$E,4,FALSE),0),0)</f>
        <v>0</v>
      </c>
      <c r="I122" s="21"/>
      <c r="J122" s="28">
        <f>+IF(F122="i",IFERROR(VLOOKUP(C122,'BG 2023'!$B:$E,3,FALSE),0),0)</f>
        <v>0</v>
      </c>
      <c r="K122" s="21">
        <f>+IF(F122="i",IFERROR(VLOOKUP(C122,'BG 2023'!$B:$E,4,FALSE),0),0)</f>
        <v>0</v>
      </c>
      <c r="M122" s="15" t="e">
        <f>+VLOOKUP(C122,'BG 2023'!$B:$E,1,0)</f>
        <v>#N/A</v>
      </c>
      <c r="N122" s="806" t="e">
        <f>+VLOOKUP(C122,'BG 2023'!$B:$E,3,0)</f>
        <v>#N/A</v>
      </c>
      <c r="O122" s="807" t="e">
        <f t="shared" si="7"/>
        <v>#N/A</v>
      </c>
      <c r="P122" s="807"/>
      <c r="R122" s="807">
        <f>+IFERROR(VLOOKUP(C122,'CA FE'!$A:$C,3,0),0)-G122</f>
        <v>0</v>
      </c>
    </row>
    <row r="123" spans="1:18" ht="12" customHeight="1">
      <c r="A123" s="354" t="s">
        <v>10</v>
      </c>
      <c r="B123" s="354"/>
      <c r="C123" s="355">
        <v>1120312102</v>
      </c>
      <c r="D123" s="354" t="s">
        <v>662</v>
      </c>
      <c r="E123" s="356" t="s">
        <v>634</v>
      </c>
      <c r="F123" s="356" t="str">
        <f t="shared" si="6"/>
        <v>I</v>
      </c>
      <c r="G123" s="28">
        <f>+IF(F123="i",IFERROR(VLOOKUP(C123,'BG 12.2024'!$B:$E,3,FALSE),0),0)</f>
        <v>0</v>
      </c>
      <c r="H123" s="21">
        <f>+IF(F123="i",IFERROR(VLOOKUP(C123,'BG 12.2024'!$B:$E,4,FALSE),0),0)</f>
        <v>0</v>
      </c>
      <c r="I123" s="21"/>
      <c r="J123" s="28">
        <f>+IF(F123="i",IFERROR(VLOOKUP(C123,'BG 2023'!$B:$E,3,FALSE),0),0)</f>
        <v>0</v>
      </c>
      <c r="K123" s="21">
        <f>+IF(F123="i",IFERROR(VLOOKUP(C123,'BG 2023'!$B:$E,4,FALSE),0),0)</f>
        <v>0</v>
      </c>
      <c r="M123" s="15" t="e">
        <f>+VLOOKUP(C123,'BG 2023'!$B:$E,1,0)</f>
        <v>#N/A</v>
      </c>
      <c r="N123" s="806" t="e">
        <f>+VLOOKUP(C123,'BG 2023'!$B:$E,3,0)</f>
        <v>#N/A</v>
      </c>
      <c r="O123" s="807" t="e">
        <f t="shared" si="7"/>
        <v>#N/A</v>
      </c>
      <c r="P123" s="807"/>
      <c r="R123" s="807">
        <f>+IFERROR(VLOOKUP(C123,'CA FE'!$A:$C,3,0),0)-G123</f>
        <v>0</v>
      </c>
    </row>
    <row r="124" spans="1:18" ht="12" customHeight="1">
      <c r="A124" s="354" t="s">
        <v>10</v>
      </c>
      <c r="B124" s="354"/>
      <c r="C124" s="355">
        <v>11204</v>
      </c>
      <c r="D124" s="354" t="s">
        <v>663</v>
      </c>
      <c r="E124" s="356" t="s">
        <v>634</v>
      </c>
      <c r="F124" s="356" t="str">
        <f t="shared" si="6"/>
        <v>NI</v>
      </c>
      <c r="G124" s="28">
        <f>+IF(F124="i",IFERROR(VLOOKUP(C124,'BG 12.2024'!$B:$E,3,FALSE),0),0)</f>
        <v>0</v>
      </c>
      <c r="H124" s="21">
        <f>+IF(F124="i",IFERROR(VLOOKUP(C124,'BG 12.2024'!$B:$E,4,FALSE),0),0)</f>
        <v>0</v>
      </c>
      <c r="I124" s="21"/>
      <c r="J124" s="28">
        <f>+IF(F124="i",IFERROR(VLOOKUP(C124,'BG 2023'!$B:$E,3,FALSE),0),0)</f>
        <v>0</v>
      </c>
      <c r="K124" s="21">
        <f>+IF(F124="i",IFERROR(VLOOKUP(C124,'BG 2023'!$B:$E,4,FALSE),0),0)</f>
        <v>0</v>
      </c>
      <c r="M124" s="15" t="e">
        <f>+VLOOKUP(C124,'BG 2023'!$B:$E,1,0)</f>
        <v>#N/A</v>
      </c>
      <c r="N124" s="806" t="e">
        <f>+VLOOKUP(C124,'BG 2023'!$B:$E,3,0)</f>
        <v>#N/A</v>
      </c>
      <c r="O124" s="807" t="e">
        <f t="shared" si="7"/>
        <v>#N/A</v>
      </c>
      <c r="P124" s="807"/>
      <c r="R124" s="807">
        <f>+IFERROR(VLOOKUP(C124,'CA FE'!$A:$C,3,0),0)-G124</f>
        <v>0</v>
      </c>
    </row>
    <row r="125" spans="1:18" ht="12" customHeight="1">
      <c r="A125" s="354" t="s">
        <v>10</v>
      </c>
      <c r="B125" s="354"/>
      <c r="C125" s="355">
        <v>11210</v>
      </c>
      <c r="D125" s="354" t="s">
        <v>664</v>
      </c>
      <c r="E125" s="356" t="s">
        <v>634</v>
      </c>
      <c r="F125" s="356" t="str">
        <f t="shared" si="6"/>
        <v>NI</v>
      </c>
      <c r="G125" s="28">
        <f>+IF(F125="i",IFERROR(VLOOKUP(C125,'BG 12.2024'!$B:$E,3,FALSE),0),0)</f>
        <v>0</v>
      </c>
      <c r="H125" s="21">
        <f>+IF(F125="i",IFERROR(VLOOKUP(C125,'BG 12.2024'!$B:$E,4,FALSE),0),0)</f>
        <v>0</v>
      </c>
      <c r="I125" s="21"/>
      <c r="J125" s="28">
        <f>+IF(F125="i",IFERROR(VLOOKUP(C125,'BG 2023'!$B:$E,3,FALSE),0),0)</f>
        <v>0</v>
      </c>
      <c r="K125" s="21">
        <f>+IF(F125="i",IFERROR(VLOOKUP(C125,'BG 2023'!$B:$E,4,FALSE),0),0)</f>
        <v>0</v>
      </c>
      <c r="M125" s="15" t="e">
        <f>+VLOOKUP(C125,'BG 2023'!$B:$E,1,0)</f>
        <v>#N/A</v>
      </c>
      <c r="N125" s="806" t="e">
        <f>+VLOOKUP(C125,'BG 2023'!$B:$E,3,0)</f>
        <v>#N/A</v>
      </c>
      <c r="O125" s="807" t="e">
        <f t="shared" si="7"/>
        <v>#N/A</v>
      </c>
      <c r="P125" s="807"/>
      <c r="R125" s="807">
        <f>+IFERROR(VLOOKUP(C125,'CA FE'!$A:$C,3,0),0)-G125</f>
        <v>0</v>
      </c>
    </row>
    <row r="126" spans="1:18" ht="12" customHeight="1">
      <c r="A126" s="354" t="s">
        <v>10</v>
      </c>
      <c r="B126" s="354"/>
      <c r="C126" s="355">
        <v>112101</v>
      </c>
      <c r="D126" s="354" t="s">
        <v>664</v>
      </c>
      <c r="E126" s="356" t="s">
        <v>634</v>
      </c>
      <c r="F126" s="356" t="str">
        <f t="shared" si="6"/>
        <v>NI</v>
      </c>
      <c r="G126" s="28">
        <f>+IF(F126="i",IFERROR(VLOOKUP(C126,'BG 12.2024'!$B:$E,3,FALSE),0),0)</f>
        <v>0</v>
      </c>
      <c r="H126" s="21">
        <f>+IF(F126="i",IFERROR(VLOOKUP(C126,'BG 12.2024'!$B:$E,4,FALSE),0),0)</f>
        <v>0</v>
      </c>
      <c r="I126" s="21"/>
      <c r="J126" s="28">
        <f>+IF(F126="i",IFERROR(VLOOKUP(C126,'BG 2023'!$B:$E,3,FALSE),0),0)</f>
        <v>0</v>
      </c>
      <c r="K126" s="21">
        <f>+IF(F126="i",IFERROR(VLOOKUP(C126,'BG 2023'!$B:$E,4,FALSE),0),0)</f>
        <v>0</v>
      </c>
      <c r="M126" s="15" t="e">
        <f>+VLOOKUP(C126,'BG 2023'!$B:$E,1,0)</f>
        <v>#N/A</v>
      </c>
      <c r="N126" s="806" t="e">
        <f>+VLOOKUP(C126,'BG 2023'!$B:$E,3,0)</f>
        <v>#N/A</v>
      </c>
      <c r="O126" s="807" t="e">
        <f t="shared" si="7"/>
        <v>#N/A</v>
      </c>
      <c r="P126" s="807"/>
      <c r="R126" s="807">
        <f>+IFERROR(VLOOKUP(C126,'CA FE'!$A:$C,3,0),0)-G126</f>
        <v>0</v>
      </c>
    </row>
    <row r="127" spans="1:18" ht="12" customHeight="1">
      <c r="A127" s="354" t="s">
        <v>10</v>
      </c>
      <c r="B127" s="354"/>
      <c r="C127" s="355">
        <v>1121011</v>
      </c>
      <c r="D127" s="354" t="s">
        <v>664</v>
      </c>
      <c r="E127" s="356" t="s">
        <v>634</v>
      </c>
      <c r="F127" s="356" t="str">
        <f t="shared" si="6"/>
        <v>NI</v>
      </c>
      <c r="G127" s="28">
        <f>+IF(F127="i",IFERROR(VLOOKUP(C127,'BG 12.2024'!$B:$E,3,FALSE),0),0)</f>
        <v>0</v>
      </c>
      <c r="H127" s="21">
        <f>+IF(F127="i",IFERROR(VLOOKUP(C127,'BG 12.2024'!$B:$E,4,FALSE),0),0)</f>
        <v>0</v>
      </c>
      <c r="I127" s="21"/>
      <c r="J127" s="28">
        <f>+IF(F127="i",IFERROR(VLOOKUP(C127,'BG 2023'!$B:$E,3,FALSE),0),0)</f>
        <v>0</v>
      </c>
      <c r="K127" s="21">
        <f>+IF(F127="i",IFERROR(VLOOKUP(C127,'BG 2023'!$B:$E,4,FALSE),0),0)</f>
        <v>0</v>
      </c>
      <c r="M127" s="15" t="e">
        <f>+VLOOKUP(C127,'BG 2023'!$B:$E,1,0)</f>
        <v>#N/A</v>
      </c>
      <c r="N127" s="806" t="e">
        <f>+VLOOKUP(C127,'BG 2023'!$B:$E,3,0)</f>
        <v>#N/A</v>
      </c>
      <c r="O127" s="807" t="e">
        <f t="shared" si="7"/>
        <v>#N/A</v>
      </c>
      <c r="P127" s="807"/>
      <c r="R127" s="807">
        <f>+IFERROR(VLOOKUP(C127,'CA FE'!$A:$C,3,0),0)-G127</f>
        <v>0</v>
      </c>
    </row>
    <row r="128" spans="1:18" ht="12" customHeight="1">
      <c r="A128" s="354" t="s">
        <v>10</v>
      </c>
      <c r="B128" s="354"/>
      <c r="C128" s="355">
        <v>11210111</v>
      </c>
      <c r="D128" s="354" t="s">
        <v>665</v>
      </c>
      <c r="E128" s="356" t="s">
        <v>634</v>
      </c>
      <c r="F128" s="356" t="str">
        <f t="shared" si="6"/>
        <v>NI</v>
      </c>
      <c r="G128" s="28">
        <f>+IF(F128="i",IFERROR(VLOOKUP(C128,'BG 12.2024'!$B:$E,3,FALSE),0),0)</f>
        <v>0</v>
      </c>
      <c r="H128" s="21">
        <f>+IF(F128="i",IFERROR(VLOOKUP(C128,'BG 12.2024'!$B:$E,4,FALSE),0),0)</f>
        <v>0</v>
      </c>
      <c r="I128" s="21"/>
      <c r="J128" s="28">
        <f>+IF(F128="i",IFERROR(VLOOKUP(C128,'BG 2023'!$B:$E,3,FALSE),0),0)</f>
        <v>0</v>
      </c>
      <c r="K128" s="21">
        <f>+IF(F128="i",IFERROR(VLOOKUP(C128,'BG 2023'!$B:$E,4,FALSE),0),0)</f>
        <v>0</v>
      </c>
      <c r="M128" s="15" t="e">
        <f>+VLOOKUP(C128,'BG 2023'!$B:$E,1,0)</f>
        <v>#N/A</v>
      </c>
      <c r="N128" s="806" t="e">
        <f>+VLOOKUP(C128,'BG 2023'!$B:$E,3,0)</f>
        <v>#N/A</v>
      </c>
      <c r="O128" s="807" t="e">
        <f t="shared" si="7"/>
        <v>#N/A</v>
      </c>
      <c r="P128" s="807"/>
      <c r="R128" s="807">
        <f>+IFERROR(VLOOKUP(C128,'CA FE'!$A:$C,3,0),0)-G128</f>
        <v>0</v>
      </c>
    </row>
    <row r="129" spans="1:18" ht="12" customHeight="1">
      <c r="A129" s="354" t="s">
        <v>10</v>
      </c>
      <c r="B129" s="354"/>
      <c r="C129" s="355">
        <v>1121011101</v>
      </c>
      <c r="D129" s="354" t="s">
        <v>666</v>
      </c>
      <c r="E129" s="356" t="s">
        <v>634</v>
      </c>
      <c r="F129" s="356" t="str">
        <f t="shared" si="6"/>
        <v>I</v>
      </c>
      <c r="G129" s="28">
        <f>+IF(F129="i",IFERROR(VLOOKUP(C129,'BG 12.2024'!$B:$E,3,FALSE),0),0)</f>
        <v>0</v>
      </c>
      <c r="H129" s="21">
        <f>+IF(F129="i",IFERROR(VLOOKUP(C129,'BG 12.2024'!$B:$E,4,FALSE),0),0)</f>
        <v>0</v>
      </c>
      <c r="I129" s="21"/>
      <c r="J129" s="28">
        <f>+IF(F129="i",IFERROR(VLOOKUP(C129,'BG 2023'!$B:$E,3,FALSE),0),0)</f>
        <v>0</v>
      </c>
      <c r="K129" s="21">
        <f>+IF(F129="i",IFERROR(VLOOKUP(C129,'BG 2023'!$B:$E,4,FALSE),0),0)</f>
        <v>0</v>
      </c>
      <c r="M129" s="15" t="e">
        <f>+VLOOKUP(C129,'BG 2023'!$B:$E,1,0)</f>
        <v>#N/A</v>
      </c>
      <c r="N129" s="806" t="e">
        <f>+VLOOKUP(C129,'BG 2023'!$B:$E,3,0)</f>
        <v>#N/A</v>
      </c>
      <c r="O129" s="807" t="e">
        <f t="shared" si="7"/>
        <v>#N/A</v>
      </c>
      <c r="P129" s="807"/>
      <c r="R129" s="807">
        <f>+IFERROR(VLOOKUP(C129,'CA FE'!$A:$C,3,0),0)-G129</f>
        <v>0</v>
      </c>
    </row>
    <row r="130" spans="1:18" ht="12" customHeight="1">
      <c r="A130" s="354" t="s">
        <v>10</v>
      </c>
      <c r="B130" s="354"/>
      <c r="C130" s="355">
        <v>1121011102</v>
      </c>
      <c r="D130" s="354" t="s">
        <v>667</v>
      </c>
      <c r="E130" s="356" t="s">
        <v>634</v>
      </c>
      <c r="F130" s="356" t="str">
        <f t="shared" si="6"/>
        <v>I</v>
      </c>
      <c r="G130" s="28">
        <f>+IF(F130="i",IFERROR(VLOOKUP(C130,'BG 12.2024'!$B:$E,3,FALSE),0),0)</f>
        <v>0</v>
      </c>
      <c r="H130" s="21">
        <f>+IF(F130="i",IFERROR(VLOOKUP(C130,'BG 12.2024'!$B:$E,4,FALSE),0),0)</f>
        <v>0</v>
      </c>
      <c r="I130" s="21"/>
      <c r="J130" s="28">
        <f>+IF(F130="i",IFERROR(VLOOKUP(C130,'BG 2023'!$B:$E,3,FALSE),0),0)</f>
        <v>0</v>
      </c>
      <c r="K130" s="21">
        <f>+IF(F130="i",IFERROR(VLOOKUP(C130,'BG 2023'!$B:$E,4,FALSE),0),0)</f>
        <v>0</v>
      </c>
      <c r="M130" s="15" t="e">
        <f>+VLOOKUP(C130,'BG 2023'!$B:$E,1,0)</f>
        <v>#N/A</v>
      </c>
      <c r="N130" s="806" t="e">
        <f>+VLOOKUP(C130,'BG 2023'!$B:$E,3,0)</f>
        <v>#N/A</v>
      </c>
      <c r="O130" s="807" t="e">
        <f t="shared" si="7"/>
        <v>#N/A</v>
      </c>
      <c r="P130" s="807"/>
      <c r="R130" s="807">
        <f>+IFERROR(VLOOKUP(C130,'CA FE'!$A:$C,3,0),0)-G130</f>
        <v>0</v>
      </c>
    </row>
    <row r="131" spans="1:18" ht="12" customHeight="1">
      <c r="A131" s="354" t="s">
        <v>10</v>
      </c>
      <c r="B131" s="354"/>
      <c r="C131" s="355">
        <v>1121011103</v>
      </c>
      <c r="D131" s="354" t="s">
        <v>668</v>
      </c>
      <c r="E131" s="356" t="s">
        <v>634</v>
      </c>
      <c r="F131" s="356" t="str">
        <f t="shared" si="6"/>
        <v>I</v>
      </c>
      <c r="G131" s="28">
        <f>+IF(F131="i",IFERROR(VLOOKUP(C131,'BG 12.2024'!$B:$E,3,FALSE),0),0)</f>
        <v>0</v>
      </c>
      <c r="H131" s="21">
        <f>+IF(F131="i",IFERROR(VLOOKUP(C131,'BG 12.2024'!$B:$E,4,FALSE),0),0)</f>
        <v>0</v>
      </c>
      <c r="I131" s="21"/>
      <c r="J131" s="28">
        <f>+IF(F131="i",IFERROR(VLOOKUP(C131,'BG 2023'!$B:$E,3,FALSE),0),0)</f>
        <v>0</v>
      </c>
      <c r="K131" s="21">
        <f>+IF(F131="i",IFERROR(VLOOKUP(C131,'BG 2023'!$B:$E,4,FALSE),0),0)</f>
        <v>0</v>
      </c>
      <c r="M131" s="15" t="e">
        <f>+VLOOKUP(C131,'BG 2023'!$B:$E,1,0)</f>
        <v>#N/A</v>
      </c>
      <c r="N131" s="806" t="e">
        <f>+VLOOKUP(C131,'BG 2023'!$B:$E,3,0)</f>
        <v>#N/A</v>
      </c>
      <c r="O131" s="807" t="e">
        <f t="shared" si="7"/>
        <v>#N/A</v>
      </c>
      <c r="P131" s="807"/>
      <c r="R131" s="807">
        <f>+IFERROR(VLOOKUP(C131,'CA FE'!$A:$C,3,0),0)-G131</f>
        <v>0</v>
      </c>
    </row>
    <row r="132" spans="1:18" ht="12" customHeight="1">
      <c r="A132" s="354" t="s">
        <v>10</v>
      </c>
      <c r="B132" s="354"/>
      <c r="C132" s="355">
        <v>11211</v>
      </c>
      <c r="D132" s="354" t="s">
        <v>40</v>
      </c>
      <c r="E132" s="356" t="s">
        <v>634</v>
      </c>
      <c r="F132" s="356" t="str">
        <f t="shared" si="6"/>
        <v>NI</v>
      </c>
      <c r="G132" s="28">
        <f>+IF(F132="i",IFERROR(VLOOKUP(C132,'BG 12.2024'!$B:$E,3,FALSE),0),0)</f>
        <v>0</v>
      </c>
      <c r="H132" s="21">
        <f>+IF(F132="i",IFERROR(VLOOKUP(C132,'BG 12.2024'!$B:$E,4,FALSE),0),0)</f>
        <v>0</v>
      </c>
      <c r="I132" s="21"/>
      <c r="J132" s="28">
        <f>+IF(F132="i",IFERROR(VLOOKUP(C132,'BG 2023'!$B:$E,3,FALSE),0),0)</f>
        <v>0</v>
      </c>
      <c r="K132" s="21">
        <f>+IF(F132="i",IFERROR(VLOOKUP(C132,'BG 2023'!$B:$E,4,FALSE),0),0)</f>
        <v>0</v>
      </c>
      <c r="M132" s="15">
        <f>+VLOOKUP(C132,'BG 2023'!$B:$E,1,0)</f>
        <v>11211</v>
      </c>
      <c r="N132" s="806">
        <f>+VLOOKUP(C132,'BG 2023'!$B:$E,3,0)</f>
        <v>57790706</v>
      </c>
      <c r="O132" s="807">
        <f t="shared" si="7"/>
        <v>57790706</v>
      </c>
      <c r="P132" s="807"/>
      <c r="R132" s="807">
        <f>+IFERROR(VLOOKUP(C132,'CA FE'!$A:$C,3,0),0)-G132</f>
        <v>0</v>
      </c>
    </row>
    <row r="133" spans="1:18" ht="12" customHeight="1">
      <c r="A133" s="354" t="s">
        <v>10</v>
      </c>
      <c r="B133" s="354"/>
      <c r="C133" s="355">
        <v>112111</v>
      </c>
      <c r="D133" s="354" t="s">
        <v>40</v>
      </c>
      <c r="E133" s="356" t="s">
        <v>634</v>
      </c>
      <c r="F133" s="356" t="str">
        <f t="shared" si="6"/>
        <v>NI</v>
      </c>
      <c r="G133" s="28">
        <f>+IF(F133="i",IFERROR(VLOOKUP(C133,'BG 12.2024'!$B:$E,3,FALSE),0),0)</f>
        <v>0</v>
      </c>
      <c r="H133" s="21">
        <f>+IF(F133="i",IFERROR(VLOOKUP(C133,'BG 12.2024'!$B:$E,4,FALSE),0),0)</f>
        <v>0</v>
      </c>
      <c r="I133" s="21"/>
      <c r="J133" s="28">
        <f>+IF(F133="i",IFERROR(VLOOKUP(C133,'BG 2023'!$B:$E,3,FALSE),0),0)</f>
        <v>0</v>
      </c>
      <c r="K133" s="21">
        <f>+IF(F133="i",IFERROR(VLOOKUP(C133,'BG 2023'!$B:$E,4,FALSE),0),0)</f>
        <v>0</v>
      </c>
      <c r="M133" s="15">
        <f>+VLOOKUP(C133,'BG 2023'!$B:$E,1,0)</f>
        <v>112111</v>
      </c>
      <c r="N133" s="806">
        <f>+VLOOKUP(C133,'BG 2023'!$B:$E,3,0)</f>
        <v>57790706</v>
      </c>
      <c r="O133" s="807">
        <f t="shared" si="7"/>
        <v>57790706</v>
      </c>
      <c r="P133" s="807"/>
      <c r="R133" s="807">
        <f>+IFERROR(VLOOKUP(C133,'CA FE'!$A:$C,3,0),0)-G133</f>
        <v>0</v>
      </c>
    </row>
    <row r="134" spans="1:18" ht="12" customHeight="1">
      <c r="A134" s="354" t="s">
        <v>10</v>
      </c>
      <c r="B134" s="354"/>
      <c r="C134" s="355">
        <v>1121111</v>
      </c>
      <c r="D134" s="354" t="s">
        <v>40</v>
      </c>
      <c r="E134" s="356" t="s">
        <v>634</v>
      </c>
      <c r="F134" s="356" t="str">
        <f t="shared" si="6"/>
        <v>NI</v>
      </c>
      <c r="G134" s="28">
        <f>+IF(F134="i",IFERROR(VLOOKUP(C134,'BG 12.2024'!$B:$E,3,FALSE),0),0)</f>
        <v>0</v>
      </c>
      <c r="H134" s="21">
        <f>+IF(F134="i",IFERROR(VLOOKUP(C134,'BG 12.2024'!$B:$E,4,FALSE),0),0)</f>
        <v>0</v>
      </c>
      <c r="I134" s="21"/>
      <c r="J134" s="28">
        <f>+IF(F134="i",IFERROR(VLOOKUP(C134,'BG 2023'!$B:$E,3,FALSE),0),0)</f>
        <v>0</v>
      </c>
      <c r="K134" s="21">
        <f>+IF(F134="i",IFERROR(VLOOKUP(C134,'BG 2023'!$B:$E,4,FALSE),0),0)</f>
        <v>0</v>
      </c>
      <c r="M134" s="15">
        <f>+VLOOKUP(C134,'BG 2023'!$B:$E,1,0)</f>
        <v>1121111</v>
      </c>
      <c r="N134" s="806">
        <f>+VLOOKUP(C134,'BG 2023'!$B:$E,3,0)</f>
        <v>57790706</v>
      </c>
      <c r="O134" s="807">
        <f t="shared" si="7"/>
        <v>57790706</v>
      </c>
      <c r="P134" s="807"/>
      <c r="R134" s="807">
        <f>+IFERROR(VLOOKUP(C134,'CA FE'!$A:$C,3,0),0)-G134</f>
        <v>0</v>
      </c>
    </row>
    <row r="135" spans="1:18" ht="12" customHeight="1">
      <c r="A135" s="354" t="s">
        <v>10</v>
      </c>
      <c r="B135" s="354"/>
      <c r="C135" s="355">
        <v>11211111</v>
      </c>
      <c r="D135" s="354" t="s">
        <v>40</v>
      </c>
      <c r="E135" s="356" t="s">
        <v>634</v>
      </c>
      <c r="F135" s="356" t="str">
        <f t="shared" si="6"/>
        <v>NI</v>
      </c>
      <c r="G135" s="28">
        <f>+IF(F135="i",IFERROR(VLOOKUP(C135,'BG 12.2024'!$B:$E,3,FALSE),0),0)</f>
        <v>0</v>
      </c>
      <c r="H135" s="21">
        <f>+IF(F135="i",IFERROR(VLOOKUP(C135,'BG 12.2024'!$B:$E,4,FALSE),0),0)</f>
        <v>0</v>
      </c>
      <c r="I135" s="21"/>
      <c r="J135" s="28">
        <f>+IF(F135="i",IFERROR(VLOOKUP(C135,'BG 2023'!$B:$E,3,FALSE),0),0)</f>
        <v>0</v>
      </c>
      <c r="K135" s="21">
        <f>+IF(F135="i",IFERROR(VLOOKUP(C135,'BG 2023'!$B:$E,4,FALSE),0),0)</f>
        <v>0</v>
      </c>
      <c r="M135" s="15">
        <f>+VLOOKUP(C135,'BG 2023'!$B:$E,1,0)</f>
        <v>11211111</v>
      </c>
      <c r="N135" s="806">
        <f>+VLOOKUP(C135,'BG 2023'!$B:$E,3,0)</f>
        <v>57790706</v>
      </c>
      <c r="O135" s="807">
        <f t="shared" si="7"/>
        <v>57790706</v>
      </c>
      <c r="P135" s="807"/>
      <c r="R135" s="807">
        <f>+IFERROR(VLOOKUP(C135,'CA FE'!$A:$C,3,0),0)-G135</f>
        <v>0</v>
      </c>
    </row>
    <row r="136" spans="1:18" ht="12" customHeight="1">
      <c r="A136" s="354" t="s">
        <v>10</v>
      </c>
      <c r="B136" s="354" t="s">
        <v>661</v>
      </c>
      <c r="C136" s="355">
        <v>1121111101</v>
      </c>
      <c r="D136" s="354" t="s">
        <v>41</v>
      </c>
      <c r="E136" s="356" t="s">
        <v>634</v>
      </c>
      <c r="F136" s="356" t="str">
        <f t="shared" si="6"/>
        <v>I</v>
      </c>
      <c r="G136" s="28">
        <f>+IF(F136="i",IFERROR(VLOOKUP(C136,'BG 12.2024'!$B:$E,3,FALSE),0),0)</f>
        <v>149724020</v>
      </c>
      <c r="H136" s="21">
        <f>+IF(F136="i",IFERROR(VLOOKUP(C136,'BG 12.2024'!$B:$E,4,FALSE),0),0)</f>
        <v>19118.77</v>
      </c>
      <c r="I136" s="21"/>
      <c r="J136" s="28">
        <f>+IF(F136="i",IFERROR(VLOOKUP(C136,'BG 2023'!$B:$E,3,FALSE),0),0)</f>
        <v>21303988</v>
      </c>
      <c r="K136" s="21">
        <f>+IF(F136="i",IFERROR(VLOOKUP(C136,'BG 2023'!$B:$E,4,FALSE),0),0)</f>
        <v>2932.9799999999996</v>
      </c>
      <c r="M136" s="15">
        <f>+VLOOKUP(C136,'BG 2023'!$B:$E,1,0)</f>
        <v>1121111101</v>
      </c>
      <c r="N136" s="806">
        <f>+VLOOKUP(C136,'BG 2023'!$B:$E,3,0)</f>
        <v>21303988</v>
      </c>
      <c r="O136" s="807">
        <f t="shared" si="7"/>
        <v>-128420032</v>
      </c>
      <c r="P136" s="807"/>
      <c r="R136" s="807">
        <f>+IFERROR(VLOOKUP(C136,'CA FE'!$A:$C,3,0),0)-G136</f>
        <v>0</v>
      </c>
    </row>
    <row r="137" spans="1:18" ht="12" customHeight="1">
      <c r="A137" s="354" t="s">
        <v>10</v>
      </c>
      <c r="B137" s="354" t="s">
        <v>661</v>
      </c>
      <c r="C137" s="355">
        <v>1121111102</v>
      </c>
      <c r="D137" s="354" t="s">
        <v>669</v>
      </c>
      <c r="E137" s="356" t="s">
        <v>634</v>
      </c>
      <c r="F137" s="356" t="str">
        <f t="shared" si="6"/>
        <v>I</v>
      </c>
      <c r="G137" s="28">
        <f>+IF(F137="i",IFERROR(VLOOKUP(C137,'BG 12.2024'!$B:$E,3,FALSE),0),0)</f>
        <v>0</v>
      </c>
      <c r="H137" s="21">
        <f>+IF(F137="i",IFERROR(VLOOKUP(C137,'BG 12.2024'!$B:$E,4,FALSE),0),0)</f>
        <v>0</v>
      </c>
      <c r="I137" s="21"/>
      <c r="J137" s="28">
        <f>+IF(F137="i",IFERROR(VLOOKUP(C137,'BG 2023'!$B:$E,3,FALSE),0),0)</f>
        <v>0</v>
      </c>
      <c r="K137" s="21">
        <f>+IF(F137="i",IFERROR(VLOOKUP(C137,'BG 2023'!$B:$E,4,FALSE),0),0)</f>
        <v>0</v>
      </c>
      <c r="M137" s="15" t="e">
        <f>+VLOOKUP(C137,'BG 2023'!$B:$E,1,0)</f>
        <v>#N/A</v>
      </c>
      <c r="N137" s="806" t="e">
        <f>+VLOOKUP(C137,'BG 2023'!$B:$E,3,0)</f>
        <v>#N/A</v>
      </c>
      <c r="O137" s="807" t="e">
        <f t="shared" si="7"/>
        <v>#N/A</v>
      </c>
      <c r="P137" s="807"/>
      <c r="R137" s="807">
        <f>+IFERROR(VLOOKUP(C137,'CA FE'!$A:$C,3,0),0)-G137</f>
        <v>0</v>
      </c>
    </row>
    <row r="138" spans="1:18" ht="12" customHeight="1">
      <c r="A138" s="354" t="s">
        <v>10</v>
      </c>
      <c r="B138" s="354"/>
      <c r="C138" s="355">
        <v>1121111103</v>
      </c>
      <c r="D138" s="354" t="s">
        <v>670</v>
      </c>
      <c r="E138" s="356" t="s">
        <v>634</v>
      </c>
      <c r="F138" s="356" t="str">
        <f t="shared" si="6"/>
        <v>I</v>
      </c>
      <c r="G138" s="28">
        <f>+IF(F138="i",IFERROR(VLOOKUP(C138,'BG 12.2024'!$B:$E,3,FALSE),0),0)</f>
        <v>0</v>
      </c>
      <c r="H138" s="21">
        <f>+IF(F138="i",IFERROR(VLOOKUP(C138,'BG 12.2024'!$B:$E,4,FALSE),0),0)</f>
        <v>0</v>
      </c>
      <c r="I138" s="21"/>
      <c r="J138" s="28">
        <f>+IF(F138="i",IFERROR(VLOOKUP(C138,'BG 2023'!$B:$E,3,FALSE),0),0)</f>
        <v>0</v>
      </c>
      <c r="K138" s="21">
        <f>+IF(F138="i",IFERROR(VLOOKUP(C138,'BG 2023'!$B:$E,4,FALSE),0),0)</f>
        <v>0</v>
      </c>
      <c r="M138" s="15" t="e">
        <f>+VLOOKUP(C138,'BG 2023'!$B:$E,1,0)</f>
        <v>#N/A</v>
      </c>
      <c r="N138" s="806" t="e">
        <f>+VLOOKUP(C138,'BG 2023'!$B:$E,3,0)</f>
        <v>#N/A</v>
      </c>
      <c r="O138" s="807" t="e">
        <f t="shared" si="7"/>
        <v>#N/A</v>
      </c>
      <c r="P138" s="807"/>
      <c r="R138" s="807">
        <f>+IFERROR(VLOOKUP(C138,'CA FE'!$A:$C,3,0),0)-G138</f>
        <v>0</v>
      </c>
    </row>
    <row r="139" spans="1:18" ht="12" customHeight="1">
      <c r="A139" s="354" t="s">
        <v>10</v>
      </c>
      <c r="B139" s="354"/>
      <c r="C139" s="355">
        <v>1121111104</v>
      </c>
      <c r="D139" s="354" t="s">
        <v>671</v>
      </c>
      <c r="E139" s="356" t="s">
        <v>634</v>
      </c>
      <c r="F139" s="356" t="str">
        <f t="shared" si="6"/>
        <v>I</v>
      </c>
      <c r="G139" s="28">
        <f>+IF(F139="i",IFERROR(VLOOKUP(C139,'BG 12.2024'!$B:$E,3,FALSE),0),0)</f>
        <v>0</v>
      </c>
      <c r="H139" s="21">
        <f>+IF(F139="i",IFERROR(VLOOKUP(C139,'BG 12.2024'!$B:$E,4,FALSE),0),0)</f>
        <v>0</v>
      </c>
      <c r="I139" s="21"/>
      <c r="J139" s="28">
        <f>+IF(F139="i",IFERROR(VLOOKUP(C139,'BG 2023'!$B:$E,3,FALSE),0),0)</f>
        <v>0</v>
      </c>
      <c r="K139" s="21">
        <f>+IF(F139="i",IFERROR(VLOOKUP(C139,'BG 2023'!$B:$E,4,FALSE),0),0)</f>
        <v>0</v>
      </c>
      <c r="M139" s="15" t="e">
        <f>+VLOOKUP(C139,'BG 2023'!$B:$E,1,0)</f>
        <v>#N/A</v>
      </c>
      <c r="N139" s="806" t="e">
        <f>+VLOOKUP(C139,'BG 2023'!$B:$E,3,0)</f>
        <v>#N/A</v>
      </c>
      <c r="O139" s="807" t="e">
        <f t="shared" si="7"/>
        <v>#N/A</v>
      </c>
      <c r="P139" s="807"/>
      <c r="R139" s="807">
        <f>+IFERROR(VLOOKUP(C139,'CA FE'!$A:$C,3,0),0)-G139</f>
        <v>0</v>
      </c>
    </row>
    <row r="140" spans="1:18" ht="12" customHeight="1">
      <c r="A140" s="354" t="s">
        <v>10</v>
      </c>
      <c r="B140" s="354" t="s">
        <v>661</v>
      </c>
      <c r="C140" s="355">
        <v>1121111105</v>
      </c>
      <c r="D140" s="354" t="s">
        <v>672</v>
      </c>
      <c r="E140" s="356" t="s">
        <v>634</v>
      </c>
      <c r="F140" s="356" t="str">
        <f t="shared" si="6"/>
        <v>I</v>
      </c>
      <c r="G140" s="28">
        <f>+IF(F140="i",IFERROR(VLOOKUP(C140,'BG 12.2024'!$B:$E,3,FALSE),0),0)</f>
        <v>935203</v>
      </c>
      <c r="H140" s="21">
        <f>+IF(F140="i",IFERROR(VLOOKUP(C140,'BG 12.2024'!$B:$E,4,FALSE),0),0)</f>
        <v>119.42</v>
      </c>
      <c r="I140" s="21"/>
      <c r="J140" s="28">
        <f>+IF(F140="i",IFERROR(VLOOKUP(C140,'BG 2023'!$B:$E,3,FALSE),0),0)</f>
        <v>0</v>
      </c>
      <c r="K140" s="21">
        <f>+IF(F140="i",IFERROR(VLOOKUP(C140,'BG 2023'!$B:$E,4,FALSE),0),0)</f>
        <v>0</v>
      </c>
      <c r="M140" s="15" t="e">
        <f>+VLOOKUP(C140,'BG 2023'!$B:$E,1,0)</f>
        <v>#N/A</v>
      </c>
      <c r="N140" s="806" t="e">
        <f>+VLOOKUP(C140,'BG 2023'!$B:$E,3,0)</f>
        <v>#N/A</v>
      </c>
      <c r="O140" s="807" t="e">
        <f t="shared" si="7"/>
        <v>#N/A</v>
      </c>
      <c r="P140" s="807"/>
      <c r="R140" s="807">
        <f>+IFERROR(VLOOKUP(C140,'CA FE'!$A:$C,3,0),0)-G140</f>
        <v>0</v>
      </c>
    </row>
    <row r="141" spans="1:18" ht="12" customHeight="1">
      <c r="A141" s="354" t="s">
        <v>10</v>
      </c>
      <c r="B141" s="354" t="s">
        <v>661</v>
      </c>
      <c r="C141" s="355">
        <v>1121111106</v>
      </c>
      <c r="D141" s="354" t="s">
        <v>42</v>
      </c>
      <c r="E141" s="356" t="s">
        <v>634</v>
      </c>
      <c r="F141" s="356" t="str">
        <f t="shared" si="6"/>
        <v>I</v>
      </c>
      <c r="G141" s="28">
        <f>+IF(F141="i",IFERROR(VLOOKUP(C141,'BG 12.2024'!$B:$E,3,FALSE),0),0)</f>
        <v>42164111</v>
      </c>
      <c r="H141" s="21">
        <f>+IF(F141="i",IFERROR(VLOOKUP(C141,'BG 12.2024'!$B:$E,4,FALSE),0),0)</f>
        <v>5384.08</v>
      </c>
      <c r="I141" s="21"/>
      <c r="J141" s="28">
        <f>+IF(F141="i",IFERROR(VLOOKUP(C141,'BG 2023'!$B:$E,3,FALSE),0),0)</f>
        <v>22831627</v>
      </c>
      <c r="K141" s="21">
        <f>+IF(F141="i",IFERROR(VLOOKUP(C141,'BG 2023'!$B:$E,4,FALSE),0),0)</f>
        <v>3143.3</v>
      </c>
      <c r="M141" s="15">
        <f>+VLOOKUP(C141,'BG 2023'!$B:$E,1,0)</f>
        <v>1121111106</v>
      </c>
      <c r="N141" s="806">
        <f>+VLOOKUP(C141,'BG 2023'!$B:$E,3,0)</f>
        <v>22831627</v>
      </c>
      <c r="O141" s="807">
        <f t="shared" si="7"/>
        <v>-19332484</v>
      </c>
      <c r="P141" s="807"/>
      <c r="R141" s="807">
        <f>+IFERROR(VLOOKUP(C141,'CA FE'!$A:$C,3,0),0)-G141</f>
        <v>0</v>
      </c>
    </row>
    <row r="142" spans="1:18" ht="12" customHeight="1">
      <c r="A142" s="354" t="s">
        <v>10</v>
      </c>
      <c r="B142" s="354" t="s">
        <v>661</v>
      </c>
      <c r="C142" s="355">
        <v>1121111107</v>
      </c>
      <c r="D142" s="354" t="s">
        <v>43</v>
      </c>
      <c r="E142" s="356" t="s">
        <v>634</v>
      </c>
      <c r="F142" s="356" t="str">
        <f t="shared" ref="F142" si="9">+IF(LEN(C142)&gt;8,"I","NI")</f>
        <v>I</v>
      </c>
      <c r="G142" s="28">
        <f>+IF(F142="i",IFERROR(VLOOKUP(C142,'BG 12.2024'!$B:$E,3,FALSE),0),0)</f>
        <v>158084683</v>
      </c>
      <c r="H142" s="21">
        <f>+IF(F142="i",IFERROR(VLOOKUP(C142,'BG 12.2024'!$B:$E,4,FALSE),0),0)</f>
        <v>20186.37</v>
      </c>
      <c r="I142" s="21"/>
      <c r="J142" s="28">
        <f>+IF(F142="i",IFERROR(VLOOKUP(C142,'BG 2023'!$B:$E,3,FALSE),0),0)</f>
        <v>13655091</v>
      </c>
      <c r="K142" s="21">
        <f>+IF(F142="i",IFERROR(VLOOKUP(C142,'BG 2023'!$B:$E,4,FALSE),0),0)</f>
        <v>1879.94</v>
      </c>
      <c r="N142" s="806"/>
      <c r="O142" s="807"/>
      <c r="P142" s="807"/>
      <c r="R142" s="807">
        <f>+IFERROR(VLOOKUP(C142,'CA FE'!$A:$C,3,0),0)-G142</f>
        <v>0</v>
      </c>
    </row>
    <row r="143" spans="1:18" ht="12" customHeight="1">
      <c r="A143" s="354" t="s">
        <v>10</v>
      </c>
      <c r="B143" s="354"/>
      <c r="C143" s="355">
        <v>11212</v>
      </c>
      <c r="D143" s="354" t="s">
        <v>44</v>
      </c>
      <c r="E143" s="356" t="s">
        <v>634</v>
      </c>
      <c r="F143" s="356" t="str">
        <f t="shared" si="6"/>
        <v>NI</v>
      </c>
      <c r="G143" s="28">
        <f>+IF(F143="i",IFERROR(VLOOKUP(C143,'BG 12.2024'!$B:$E,3,FALSE),0),0)</f>
        <v>0</v>
      </c>
      <c r="H143" s="21">
        <f>+IF(F143="i",IFERROR(VLOOKUP(C143,'BG 12.2024'!$B:$E,4,FALSE),0),0)</f>
        <v>0</v>
      </c>
      <c r="I143" s="21"/>
      <c r="J143" s="28">
        <f>+IF(F143="i",IFERROR(VLOOKUP(C143,'BG 2023'!$B:$E,3,FALSE),0),0)</f>
        <v>0</v>
      </c>
      <c r="K143" s="21">
        <f>+IF(F143="i",IFERROR(VLOOKUP(C143,'BG 2023'!$B:$E,4,FALSE),0),0)</f>
        <v>0</v>
      </c>
      <c r="M143" s="15">
        <f>+VLOOKUP(C143,'BG 2023'!$B:$E,1,0)</f>
        <v>11212</v>
      </c>
      <c r="N143" s="806">
        <f>+VLOOKUP(C143,'BG 2023'!$B:$E,3,0)</f>
        <v>23141712</v>
      </c>
      <c r="O143" s="807">
        <f t="shared" si="7"/>
        <v>23141712</v>
      </c>
      <c r="P143" s="807"/>
      <c r="R143" s="807">
        <f>+IFERROR(VLOOKUP(C143,'CA FE'!$A:$C,3,0),0)-G143</f>
        <v>0</v>
      </c>
    </row>
    <row r="144" spans="1:18" ht="12" customHeight="1">
      <c r="A144" s="354" t="s">
        <v>10</v>
      </c>
      <c r="B144" s="354"/>
      <c r="C144" s="355">
        <v>112121</v>
      </c>
      <c r="D144" s="354" t="s">
        <v>44</v>
      </c>
      <c r="E144" s="356" t="s">
        <v>634</v>
      </c>
      <c r="F144" s="356" t="str">
        <f t="shared" si="6"/>
        <v>NI</v>
      </c>
      <c r="G144" s="28">
        <f>+IF(F144="i",IFERROR(VLOOKUP(C144,'BG 12.2024'!$B:$E,3,FALSE),0),0)</f>
        <v>0</v>
      </c>
      <c r="H144" s="21">
        <f>+IF(F144="i",IFERROR(VLOOKUP(C144,'BG 12.2024'!$B:$E,4,FALSE),0),0)</f>
        <v>0</v>
      </c>
      <c r="I144" s="21"/>
      <c r="J144" s="28">
        <f>+IF(F144="i",IFERROR(VLOOKUP(C144,'BG 2023'!$B:$E,3,FALSE),0),0)</f>
        <v>0</v>
      </c>
      <c r="K144" s="21">
        <f>+IF(F144="i",IFERROR(VLOOKUP(C144,'BG 2023'!$B:$E,4,FALSE),0),0)</f>
        <v>0</v>
      </c>
      <c r="M144" s="15">
        <f>+VLOOKUP(C144,'BG 2023'!$B:$E,1,0)</f>
        <v>112121</v>
      </c>
      <c r="N144" s="806">
        <f>+VLOOKUP(C144,'BG 2023'!$B:$E,3,0)</f>
        <v>23141712</v>
      </c>
      <c r="O144" s="807">
        <f t="shared" si="7"/>
        <v>23141712</v>
      </c>
      <c r="P144" s="807"/>
      <c r="R144" s="807">
        <f>+IFERROR(VLOOKUP(C144,'CA FE'!$A:$C,3,0),0)-G144</f>
        <v>0</v>
      </c>
    </row>
    <row r="145" spans="1:18" ht="12" customHeight="1">
      <c r="A145" s="354" t="s">
        <v>10</v>
      </c>
      <c r="B145" s="354"/>
      <c r="C145" s="355">
        <v>1121211</v>
      </c>
      <c r="D145" s="354" t="s">
        <v>44</v>
      </c>
      <c r="E145" s="356" t="s">
        <v>634</v>
      </c>
      <c r="F145" s="356" t="str">
        <f t="shared" si="6"/>
        <v>NI</v>
      </c>
      <c r="G145" s="28">
        <f>+IF(F145="i",IFERROR(VLOOKUP(C145,'BG 12.2024'!$B:$E,3,FALSE),0),0)</f>
        <v>0</v>
      </c>
      <c r="H145" s="21">
        <f>+IF(F145="i",IFERROR(VLOOKUP(C145,'BG 12.2024'!$B:$E,4,FALSE),0),0)</f>
        <v>0</v>
      </c>
      <c r="I145" s="21"/>
      <c r="J145" s="28">
        <f>+IF(F145="i",IFERROR(VLOOKUP(C145,'BG 2023'!$B:$E,3,FALSE),0),0)</f>
        <v>0</v>
      </c>
      <c r="K145" s="21">
        <f>+IF(F145="i",IFERROR(VLOOKUP(C145,'BG 2023'!$B:$E,4,FALSE),0),0)</f>
        <v>0</v>
      </c>
      <c r="M145" s="15">
        <f>+VLOOKUP(C145,'BG 2023'!$B:$E,1,0)</f>
        <v>1121211</v>
      </c>
      <c r="N145" s="806">
        <f>+VLOOKUP(C145,'BG 2023'!$B:$E,3,0)</f>
        <v>23141712</v>
      </c>
      <c r="O145" s="807">
        <f t="shared" si="7"/>
        <v>23141712</v>
      </c>
      <c r="P145" s="807"/>
      <c r="R145" s="807">
        <f>+IFERROR(VLOOKUP(C145,'CA FE'!$A:$C,3,0),0)-G145</f>
        <v>0</v>
      </c>
    </row>
    <row r="146" spans="1:18" ht="12" customHeight="1">
      <c r="A146" s="354" t="s">
        <v>10</v>
      </c>
      <c r="B146" s="354"/>
      <c r="C146" s="355">
        <v>11212111</v>
      </c>
      <c r="D146" s="354" t="s">
        <v>45</v>
      </c>
      <c r="E146" s="356" t="s">
        <v>634</v>
      </c>
      <c r="F146" s="356" t="str">
        <f t="shared" si="6"/>
        <v>NI</v>
      </c>
      <c r="G146" s="28">
        <f>+IF(F146="i",IFERROR(VLOOKUP(C146,'BG 12.2024'!$B:$E,3,FALSE),0),0)</f>
        <v>0</v>
      </c>
      <c r="H146" s="21">
        <f>+IF(F146="i",IFERROR(VLOOKUP(C146,'BG 12.2024'!$B:$E,4,FALSE),0),0)</f>
        <v>0</v>
      </c>
      <c r="I146" s="21"/>
      <c r="J146" s="28">
        <f>+IF(F146="i",IFERROR(VLOOKUP(C146,'BG 2023'!$B:$E,3,FALSE),0),0)</f>
        <v>0</v>
      </c>
      <c r="K146" s="21">
        <f>+IF(F146="i",IFERROR(VLOOKUP(C146,'BG 2023'!$B:$E,4,FALSE),0),0)</f>
        <v>0</v>
      </c>
      <c r="M146" s="15">
        <f>+VLOOKUP(C146,'BG 2023'!$B:$E,1,0)</f>
        <v>11212111</v>
      </c>
      <c r="N146" s="806">
        <f>+VLOOKUP(C146,'BG 2023'!$B:$E,3,0)</f>
        <v>23141712</v>
      </c>
      <c r="O146" s="807">
        <f t="shared" si="7"/>
        <v>23141712</v>
      </c>
      <c r="P146" s="807"/>
      <c r="R146" s="807">
        <f>+IFERROR(VLOOKUP(C146,'CA FE'!$A:$C,3,0),0)-G146</f>
        <v>0</v>
      </c>
    </row>
    <row r="147" spans="1:18" ht="12" customHeight="1">
      <c r="A147" s="354" t="s">
        <v>10</v>
      </c>
      <c r="B147" s="354" t="s">
        <v>661</v>
      </c>
      <c r="C147" s="355">
        <v>1121211101</v>
      </c>
      <c r="D147" s="354" t="s">
        <v>46</v>
      </c>
      <c r="E147" s="356" t="s">
        <v>634</v>
      </c>
      <c r="F147" s="356" t="str">
        <f t="shared" si="6"/>
        <v>I</v>
      </c>
      <c r="G147" s="28">
        <f>+IF(F147="i",IFERROR(VLOOKUP(C147,'BG 12.2024'!$B:$E,3,FALSE),0),0)</f>
        <v>4744396</v>
      </c>
      <c r="H147" s="21">
        <f>+IF(F147="i",IFERROR(VLOOKUP(C147,'BG 12.2024'!$B:$E,4,FALSE),0),0)</f>
        <v>617.77000000001874</v>
      </c>
      <c r="I147" s="21"/>
      <c r="J147" s="28">
        <f>+IF(F147="i",IFERROR(VLOOKUP(C147,'BG 2023'!$B:$E,3,FALSE),0),0)</f>
        <v>20000</v>
      </c>
      <c r="K147" s="21">
        <f>+IF(F147="i",IFERROR(VLOOKUP(C147,'BG 2023'!$B:$E,4,FALSE),0),0)</f>
        <v>2.7159999999857973</v>
      </c>
      <c r="M147" s="15">
        <f>+VLOOKUP(C147,'BG 2023'!$B:$E,1,0)</f>
        <v>1121211101</v>
      </c>
      <c r="N147" s="806">
        <f>+VLOOKUP(C147,'BG 2023'!$B:$E,3,0)</f>
        <v>20000</v>
      </c>
      <c r="O147" s="807">
        <f t="shared" si="7"/>
        <v>-4724396</v>
      </c>
      <c r="P147" s="807"/>
      <c r="R147" s="807">
        <f>+IFERROR(VLOOKUP(C147,'CA FE'!$A:$C,3,0),0)-G147</f>
        <v>0</v>
      </c>
    </row>
    <row r="148" spans="1:18" ht="12" customHeight="1">
      <c r="A148" s="354" t="s">
        <v>10</v>
      </c>
      <c r="B148" s="354" t="s">
        <v>661</v>
      </c>
      <c r="C148" s="355">
        <v>1121211102</v>
      </c>
      <c r="D148" s="354" t="s">
        <v>47</v>
      </c>
      <c r="E148" s="356" t="s">
        <v>640</v>
      </c>
      <c r="F148" s="356" t="str">
        <f t="shared" si="6"/>
        <v>I</v>
      </c>
      <c r="G148" s="28">
        <f>+IF(F148="i",IFERROR(VLOOKUP(C148,'BG 12.2024'!$B:$E,3,FALSE),0),0)</f>
        <v>14328455</v>
      </c>
      <c r="H148" s="21">
        <f>+IF(F148="i",IFERROR(VLOOKUP(C148,'BG 12.2024'!$B:$E,4,FALSE),0),0)</f>
        <v>1868.7100000000064</v>
      </c>
      <c r="I148" s="21"/>
      <c r="J148" s="28">
        <f>+IF(F148="i",IFERROR(VLOOKUP(C148,'BG 2023'!$B:$E,3,FALSE),0),0)</f>
        <v>23121712</v>
      </c>
      <c r="K148" s="21">
        <f>+IF(F148="i",IFERROR(VLOOKUP(C148,'BG 2023'!$B:$E,4,FALSE),0),0)</f>
        <v>3183.7900000000004</v>
      </c>
      <c r="M148" s="15">
        <f>+VLOOKUP(C148,'BG 2023'!$B:$E,1,0)</f>
        <v>1121211102</v>
      </c>
      <c r="N148" s="806">
        <f>+VLOOKUP(C148,'BG 2023'!$B:$E,3,0)</f>
        <v>23121712</v>
      </c>
      <c r="O148" s="807">
        <f t="shared" si="7"/>
        <v>8793257</v>
      </c>
      <c r="P148" s="807"/>
      <c r="R148" s="807">
        <f>+IFERROR(VLOOKUP(C148,'CA FE'!$A:$C,3,0),0)-G148</f>
        <v>0</v>
      </c>
    </row>
    <row r="149" spans="1:18" ht="12" customHeight="1">
      <c r="A149" s="354" t="s">
        <v>10</v>
      </c>
      <c r="B149" s="354"/>
      <c r="C149" s="355">
        <v>11212112</v>
      </c>
      <c r="D149" s="354" t="s">
        <v>673</v>
      </c>
      <c r="E149" s="356" t="s">
        <v>634</v>
      </c>
      <c r="F149" s="356" t="str">
        <f t="shared" si="6"/>
        <v>NI</v>
      </c>
      <c r="G149" s="28">
        <f>+IF(F149="i",IFERROR(VLOOKUP(C149,'BG 12.2024'!$B:$E,3,FALSE),0),0)</f>
        <v>0</v>
      </c>
      <c r="H149" s="21">
        <f>+IF(F149="i",IFERROR(VLOOKUP(C149,'BG 12.2024'!$B:$E,4,FALSE),0),0)</f>
        <v>0</v>
      </c>
      <c r="I149" s="21"/>
      <c r="J149" s="28">
        <f>+IF(F149="i",IFERROR(VLOOKUP(C149,'BG 2023'!$B:$E,3,FALSE),0),0)</f>
        <v>0</v>
      </c>
      <c r="K149" s="21">
        <f>+IF(F149="i",IFERROR(VLOOKUP(C149,'BG 2023'!$B:$E,4,FALSE),0),0)</f>
        <v>0</v>
      </c>
      <c r="M149" s="15" t="e">
        <f>+VLOOKUP(C149,'BG 2023'!$B:$E,1,0)</f>
        <v>#N/A</v>
      </c>
      <c r="N149" s="806" t="e">
        <f>+VLOOKUP(C149,'BG 2023'!$B:$E,3,0)</f>
        <v>#N/A</v>
      </c>
      <c r="O149" s="807" t="e">
        <f t="shared" si="7"/>
        <v>#N/A</v>
      </c>
      <c r="P149" s="807"/>
      <c r="R149" s="807">
        <f>+IFERROR(VLOOKUP(C149,'CA FE'!$A:$C,3,0),0)-G149</f>
        <v>0</v>
      </c>
    </row>
    <row r="150" spans="1:18" ht="12" customHeight="1">
      <c r="A150" s="354" t="s">
        <v>10</v>
      </c>
      <c r="B150" s="354"/>
      <c r="C150" s="355">
        <v>1121211201</v>
      </c>
      <c r="D150" s="354" t="s">
        <v>674</v>
      </c>
      <c r="E150" s="356" t="s">
        <v>634</v>
      </c>
      <c r="F150" s="356" t="str">
        <f t="shared" si="6"/>
        <v>I</v>
      </c>
      <c r="G150" s="28">
        <f>+IF(F150="i",IFERROR(VLOOKUP(C150,'BG 12.2024'!$B:$E,3,FALSE),0),0)</f>
        <v>0</v>
      </c>
      <c r="H150" s="21">
        <f>+IF(F150="i",IFERROR(VLOOKUP(C150,'BG 12.2024'!$B:$E,4,FALSE),0),0)</f>
        <v>0</v>
      </c>
      <c r="I150" s="21"/>
      <c r="J150" s="28">
        <f>+IF(F150="i",IFERROR(VLOOKUP(C150,'BG 2023'!$B:$E,3,FALSE),0),0)</f>
        <v>0</v>
      </c>
      <c r="K150" s="21">
        <f>+IF(F150="i",IFERROR(VLOOKUP(C150,'BG 2023'!$B:$E,4,FALSE),0),0)</f>
        <v>0</v>
      </c>
      <c r="M150" s="15" t="e">
        <f>+VLOOKUP(C150,'BG 2023'!$B:$E,1,0)</f>
        <v>#N/A</v>
      </c>
      <c r="N150" s="806" t="e">
        <f>+VLOOKUP(C150,'BG 2023'!$B:$E,3,0)</f>
        <v>#N/A</v>
      </c>
      <c r="O150" s="807" t="e">
        <f t="shared" si="7"/>
        <v>#N/A</v>
      </c>
      <c r="P150" s="807"/>
      <c r="R150" s="807">
        <f>+IFERROR(VLOOKUP(C150,'CA FE'!$A:$C,3,0),0)-G150</f>
        <v>0</v>
      </c>
    </row>
    <row r="151" spans="1:18" ht="12" customHeight="1">
      <c r="A151" s="354" t="s">
        <v>10</v>
      </c>
      <c r="B151" s="354"/>
      <c r="C151" s="355">
        <v>1121211202</v>
      </c>
      <c r="D151" s="354" t="s">
        <v>675</v>
      </c>
      <c r="E151" s="356" t="s">
        <v>640</v>
      </c>
      <c r="F151" s="356" t="str">
        <f t="shared" si="6"/>
        <v>I</v>
      </c>
      <c r="G151" s="28">
        <f>+IF(F151="i",IFERROR(VLOOKUP(C151,'BG 12.2024'!$B:$E,3,FALSE),0),0)</f>
        <v>0</v>
      </c>
      <c r="H151" s="21">
        <f>+IF(F151="i",IFERROR(VLOOKUP(C151,'BG 12.2024'!$B:$E,4,FALSE),0),0)</f>
        <v>0</v>
      </c>
      <c r="I151" s="21"/>
      <c r="J151" s="28">
        <f>+IF(F151="i",IFERROR(VLOOKUP(C151,'BG 2023'!$B:$E,3,FALSE),0),0)</f>
        <v>0</v>
      </c>
      <c r="K151" s="21">
        <f>+IF(F151="i",IFERROR(VLOOKUP(C151,'BG 2023'!$B:$E,4,FALSE),0),0)</f>
        <v>0</v>
      </c>
      <c r="M151" s="15" t="e">
        <f>+VLOOKUP(C151,'BG 2023'!$B:$E,1,0)</f>
        <v>#N/A</v>
      </c>
      <c r="N151" s="806" t="e">
        <f>+VLOOKUP(C151,'BG 2023'!$B:$E,3,0)</f>
        <v>#N/A</v>
      </c>
      <c r="O151" s="807" t="e">
        <f t="shared" si="7"/>
        <v>#N/A</v>
      </c>
      <c r="P151" s="807"/>
      <c r="R151" s="807">
        <f>+IFERROR(VLOOKUP(C151,'CA FE'!$A:$C,3,0),0)-G151</f>
        <v>0</v>
      </c>
    </row>
    <row r="152" spans="1:18" ht="12" customHeight="1">
      <c r="A152" s="354" t="s">
        <v>10</v>
      </c>
      <c r="B152" s="354"/>
      <c r="C152" s="355">
        <v>11250</v>
      </c>
      <c r="D152" s="354" t="s">
        <v>676</v>
      </c>
      <c r="E152" s="356" t="s">
        <v>634</v>
      </c>
      <c r="F152" s="356" t="str">
        <f t="shared" si="6"/>
        <v>NI</v>
      </c>
      <c r="G152" s="28">
        <f>+IF(F152="i",IFERROR(VLOOKUP(C152,'BG 12.2024'!$B:$E,3,FALSE),0),0)</f>
        <v>0</v>
      </c>
      <c r="H152" s="21">
        <f>+IF(F152="i",IFERROR(VLOOKUP(C152,'BG 12.2024'!$B:$E,4,FALSE),0),0)</f>
        <v>0</v>
      </c>
      <c r="I152" s="21"/>
      <c r="J152" s="28">
        <f>+IF(F152="i",IFERROR(VLOOKUP(C152,'BG 2023'!$B:$E,3,FALSE),0),0)</f>
        <v>0</v>
      </c>
      <c r="K152" s="21">
        <f>+IF(F152="i",IFERROR(VLOOKUP(C152,'BG 2023'!$B:$E,4,FALSE),0),0)</f>
        <v>0</v>
      </c>
      <c r="M152" s="15" t="e">
        <f>+VLOOKUP(C152,'BG 2023'!$B:$E,1,0)</f>
        <v>#N/A</v>
      </c>
      <c r="N152" s="806" t="e">
        <f>+VLOOKUP(C152,'BG 2023'!$B:$E,3,0)</f>
        <v>#N/A</v>
      </c>
      <c r="O152" s="807" t="e">
        <f t="shared" si="7"/>
        <v>#N/A</v>
      </c>
      <c r="P152" s="807"/>
      <c r="R152" s="807">
        <f>+IFERROR(VLOOKUP(C152,'CA FE'!$A:$C,3,0),0)-G152</f>
        <v>0</v>
      </c>
    </row>
    <row r="153" spans="1:18" ht="12" customHeight="1">
      <c r="A153" s="354" t="s">
        <v>10</v>
      </c>
      <c r="B153" s="354"/>
      <c r="C153" s="355">
        <v>112501</v>
      </c>
      <c r="D153" s="354" t="s">
        <v>677</v>
      </c>
      <c r="E153" s="356" t="s">
        <v>634</v>
      </c>
      <c r="F153" s="356" t="str">
        <f t="shared" si="6"/>
        <v>NI</v>
      </c>
      <c r="G153" s="28">
        <f>+IF(F153="i",IFERROR(VLOOKUP(C153,'BG 12.2024'!$B:$E,3,FALSE),0),0)</f>
        <v>0</v>
      </c>
      <c r="H153" s="21">
        <f>+IF(F153="i",IFERROR(VLOOKUP(C153,'BG 12.2024'!$B:$E,4,FALSE),0),0)</f>
        <v>0</v>
      </c>
      <c r="I153" s="21"/>
      <c r="J153" s="28">
        <f>+IF(F153="i",IFERROR(VLOOKUP(C153,'BG 2023'!$B:$E,3,FALSE),0),0)</f>
        <v>0</v>
      </c>
      <c r="K153" s="21">
        <f>+IF(F153="i",IFERROR(VLOOKUP(C153,'BG 2023'!$B:$E,4,FALSE),0),0)</f>
        <v>0</v>
      </c>
      <c r="M153" s="15" t="e">
        <f>+VLOOKUP(C153,'BG 2023'!$B:$E,1,0)</f>
        <v>#N/A</v>
      </c>
      <c r="N153" s="806" t="e">
        <f>+VLOOKUP(C153,'BG 2023'!$B:$E,3,0)</f>
        <v>#N/A</v>
      </c>
      <c r="O153" s="807" t="e">
        <f t="shared" si="7"/>
        <v>#N/A</v>
      </c>
      <c r="P153" s="807"/>
      <c r="R153" s="807">
        <f>+IFERROR(VLOOKUP(C153,'CA FE'!$A:$C,3,0),0)-G153</f>
        <v>0</v>
      </c>
    </row>
    <row r="154" spans="1:18" ht="12" customHeight="1">
      <c r="A154" s="354" t="s">
        <v>10</v>
      </c>
      <c r="B154" s="354"/>
      <c r="C154" s="355">
        <v>1125011</v>
      </c>
      <c r="D154" s="354" t="s">
        <v>677</v>
      </c>
      <c r="E154" s="356" t="s">
        <v>634</v>
      </c>
      <c r="F154" s="356" t="str">
        <f t="shared" si="6"/>
        <v>NI</v>
      </c>
      <c r="G154" s="28">
        <f>+IF(F154="i",IFERROR(VLOOKUP(C154,'BG 12.2024'!$B:$E,3,FALSE),0),0)</f>
        <v>0</v>
      </c>
      <c r="H154" s="21">
        <f>+IF(F154="i",IFERROR(VLOOKUP(C154,'BG 12.2024'!$B:$E,4,FALSE),0),0)</f>
        <v>0</v>
      </c>
      <c r="I154" s="21"/>
      <c r="J154" s="28">
        <f>+IF(F154="i",IFERROR(VLOOKUP(C154,'BG 2023'!$B:$E,3,FALSE),0),0)</f>
        <v>0</v>
      </c>
      <c r="K154" s="21">
        <f>+IF(F154="i",IFERROR(VLOOKUP(C154,'BG 2023'!$B:$E,4,FALSE),0),0)</f>
        <v>0</v>
      </c>
      <c r="M154" s="15" t="e">
        <f>+VLOOKUP(C154,'BG 2023'!$B:$E,1,0)</f>
        <v>#N/A</v>
      </c>
      <c r="N154" s="806" t="e">
        <f>+VLOOKUP(C154,'BG 2023'!$B:$E,3,0)</f>
        <v>#N/A</v>
      </c>
      <c r="O154" s="807" t="e">
        <f t="shared" si="7"/>
        <v>#N/A</v>
      </c>
      <c r="P154" s="807"/>
      <c r="R154" s="807">
        <f>+IFERROR(VLOOKUP(C154,'CA FE'!$A:$C,3,0),0)-G154</f>
        <v>0</v>
      </c>
    </row>
    <row r="155" spans="1:18" ht="12" customHeight="1">
      <c r="A155" s="354" t="s">
        <v>10</v>
      </c>
      <c r="B155" s="354"/>
      <c r="C155" s="355">
        <v>11250111</v>
      </c>
      <c r="D155" s="354" t="s">
        <v>677</v>
      </c>
      <c r="E155" s="356" t="s">
        <v>634</v>
      </c>
      <c r="F155" s="356" t="str">
        <f t="shared" si="6"/>
        <v>NI</v>
      </c>
      <c r="G155" s="28">
        <f>+IF(F155="i",IFERROR(VLOOKUP(C155,'BG 12.2024'!$B:$E,3,FALSE),0),0)</f>
        <v>0</v>
      </c>
      <c r="H155" s="21">
        <f>+IF(F155="i",IFERROR(VLOOKUP(C155,'BG 12.2024'!$B:$E,4,FALSE),0),0)</f>
        <v>0</v>
      </c>
      <c r="I155" s="21"/>
      <c r="J155" s="28">
        <f>+IF(F155="i",IFERROR(VLOOKUP(C155,'BG 2023'!$B:$E,3,FALSE),0),0)</f>
        <v>0</v>
      </c>
      <c r="K155" s="21">
        <f>+IF(F155="i",IFERROR(VLOOKUP(C155,'BG 2023'!$B:$E,4,FALSE),0),0)</f>
        <v>0</v>
      </c>
      <c r="M155" s="15" t="e">
        <f>+VLOOKUP(C155,'BG 2023'!$B:$E,1,0)</f>
        <v>#N/A</v>
      </c>
      <c r="N155" s="806" t="e">
        <f>+VLOOKUP(C155,'BG 2023'!$B:$E,3,0)</f>
        <v>#N/A</v>
      </c>
      <c r="O155" s="807" t="e">
        <f t="shared" si="7"/>
        <v>#N/A</v>
      </c>
      <c r="P155" s="807"/>
      <c r="R155" s="807">
        <f>+IFERROR(VLOOKUP(C155,'CA FE'!$A:$C,3,0),0)-G155</f>
        <v>0</v>
      </c>
    </row>
    <row r="156" spans="1:18" ht="12" customHeight="1">
      <c r="A156" s="354" t="s">
        <v>10</v>
      </c>
      <c r="B156" s="354"/>
      <c r="C156" s="355">
        <v>1125011101</v>
      </c>
      <c r="D156" s="354" t="s">
        <v>678</v>
      </c>
      <c r="E156" s="356" t="s">
        <v>634</v>
      </c>
      <c r="F156" s="356" t="str">
        <f t="shared" ref="F156:F222" si="10">+IF(LEN(C156)&gt;8,"I","NI")</f>
        <v>I</v>
      </c>
      <c r="G156" s="28">
        <f>+IF(F156="i",IFERROR(VLOOKUP(C156,'BG 12.2024'!$B:$E,3,FALSE),0),0)</f>
        <v>0</v>
      </c>
      <c r="H156" s="21">
        <f>+IF(F156="i",IFERROR(VLOOKUP(C156,'BG 12.2024'!$B:$E,4,FALSE),0),0)</f>
        <v>0</v>
      </c>
      <c r="I156" s="21"/>
      <c r="J156" s="28">
        <f>+IF(F156="i",IFERROR(VLOOKUP(C156,'BG 2023'!$B:$E,3,FALSE),0),0)</f>
        <v>0</v>
      </c>
      <c r="K156" s="21">
        <f>+IF(F156="i",IFERROR(VLOOKUP(C156,'BG 2023'!$B:$E,4,FALSE),0),0)</f>
        <v>0</v>
      </c>
      <c r="M156" s="15" t="e">
        <f>+VLOOKUP(C156,'BG 2023'!$B:$E,1,0)</f>
        <v>#N/A</v>
      </c>
      <c r="N156" s="806" t="e">
        <f>+VLOOKUP(C156,'BG 2023'!$B:$E,3,0)</f>
        <v>#N/A</v>
      </c>
      <c r="O156" s="807" t="e">
        <f t="shared" ref="O156:O219" si="11">+N156-G156</f>
        <v>#N/A</v>
      </c>
      <c r="P156" s="807"/>
      <c r="R156" s="807">
        <f>+IFERROR(VLOOKUP(C156,'CA FE'!$A:$C,3,0),0)-G156</f>
        <v>0</v>
      </c>
    </row>
    <row r="157" spans="1:18" ht="12" customHeight="1">
      <c r="A157" s="354" t="s">
        <v>10</v>
      </c>
      <c r="B157" s="354"/>
      <c r="C157" s="355">
        <v>1125011102</v>
      </c>
      <c r="D157" s="354" t="s">
        <v>679</v>
      </c>
      <c r="E157" s="356" t="s">
        <v>634</v>
      </c>
      <c r="F157" s="356" t="str">
        <f t="shared" si="10"/>
        <v>I</v>
      </c>
      <c r="G157" s="28">
        <f>+IF(F157="i",IFERROR(VLOOKUP(C157,'BG 12.2024'!$B:$E,3,FALSE),0),0)</f>
        <v>0</v>
      </c>
      <c r="H157" s="21">
        <f>+IF(F157="i",IFERROR(VLOOKUP(C157,'BG 12.2024'!$B:$E,4,FALSE),0),0)</f>
        <v>0</v>
      </c>
      <c r="I157" s="21"/>
      <c r="J157" s="28">
        <f>+IF(F157="i",IFERROR(VLOOKUP(C157,'BG 2023'!$B:$E,3,FALSE),0),0)</f>
        <v>0</v>
      </c>
      <c r="K157" s="21">
        <f>+IF(F157="i",IFERROR(VLOOKUP(C157,'BG 2023'!$B:$E,4,FALSE),0),0)</f>
        <v>0</v>
      </c>
      <c r="M157" s="15" t="e">
        <f>+VLOOKUP(C157,'BG 2023'!$B:$E,1,0)</f>
        <v>#N/A</v>
      </c>
      <c r="N157" s="806" t="e">
        <f>+VLOOKUP(C157,'BG 2023'!$B:$E,3,0)</f>
        <v>#N/A</v>
      </c>
      <c r="O157" s="807" t="e">
        <f t="shared" si="11"/>
        <v>#N/A</v>
      </c>
      <c r="P157" s="807"/>
      <c r="R157" s="807">
        <f>+IFERROR(VLOOKUP(C157,'CA FE'!$A:$C,3,0),0)-G157</f>
        <v>0</v>
      </c>
    </row>
    <row r="158" spans="1:18" ht="12" customHeight="1">
      <c r="A158" s="354" t="s">
        <v>10</v>
      </c>
      <c r="B158" s="354"/>
      <c r="C158" s="355">
        <v>113</v>
      </c>
      <c r="D158" s="354" t="s">
        <v>680</v>
      </c>
      <c r="E158" s="356" t="s">
        <v>634</v>
      </c>
      <c r="F158" s="356" t="str">
        <f t="shared" si="10"/>
        <v>NI</v>
      </c>
      <c r="G158" s="28">
        <f>+IF(F158="i",IFERROR(VLOOKUP(C158,'BG 12.2024'!$B:$E,3,FALSE),0),0)</f>
        <v>0</v>
      </c>
      <c r="H158" s="21">
        <f>+IF(F158="i",IFERROR(VLOOKUP(C158,'BG 12.2024'!$B:$E,4,FALSE),0),0)</f>
        <v>0</v>
      </c>
      <c r="I158" s="21"/>
      <c r="J158" s="28">
        <f>+IF(F158="i",IFERROR(VLOOKUP(C158,'BG 2023'!$B:$E,3,FALSE),0),0)</f>
        <v>0</v>
      </c>
      <c r="K158" s="21">
        <f>+IF(F158="i",IFERROR(VLOOKUP(C158,'BG 2023'!$B:$E,4,FALSE),0),0)</f>
        <v>0</v>
      </c>
      <c r="M158" s="15" t="e">
        <f>+VLOOKUP(C158,'BG 2023'!$B:$E,1,0)</f>
        <v>#N/A</v>
      </c>
      <c r="N158" s="806" t="e">
        <f>+VLOOKUP(C158,'BG 2023'!$B:$E,3,0)</f>
        <v>#N/A</v>
      </c>
      <c r="O158" s="807" t="e">
        <f t="shared" si="11"/>
        <v>#N/A</v>
      </c>
      <c r="P158" s="807"/>
      <c r="R158" s="807">
        <f>+IFERROR(VLOOKUP(C158,'CA FE'!$A:$C,3,0),0)-G158</f>
        <v>0</v>
      </c>
    </row>
    <row r="159" spans="1:18" ht="12" customHeight="1">
      <c r="A159" s="354" t="s">
        <v>10</v>
      </c>
      <c r="B159" s="354"/>
      <c r="C159" s="355">
        <v>11301</v>
      </c>
      <c r="D159" s="354" t="s">
        <v>27</v>
      </c>
      <c r="E159" s="356" t="s">
        <v>634</v>
      </c>
      <c r="F159" s="356" t="str">
        <f t="shared" si="10"/>
        <v>NI</v>
      </c>
      <c r="G159" s="28">
        <f>+IF(F159="i",IFERROR(VLOOKUP(C159,'BG 12.2024'!$B:$E,3,FALSE),0),0)</f>
        <v>0</v>
      </c>
      <c r="H159" s="21">
        <f>+IF(F159="i",IFERROR(VLOOKUP(C159,'BG 12.2024'!$B:$E,4,FALSE),0),0)</f>
        <v>0</v>
      </c>
      <c r="I159" s="21"/>
      <c r="J159" s="28">
        <f>+IF(F159="i",IFERROR(VLOOKUP(C159,'BG 2023'!$B:$E,3,FALSE),0),0)</f>
        <v>0</v>
      </c>
      <c r="K159" s="21">
        <f>+IF(F159="i",IFERROR(VLOOKUP(C159,'BG 2023'!$B:$E,4,FALSE),0),0)</f>
        <v>0</v>
      </c>
      <c r="M159" s="15" t="e">
        <f>+VLOOKUP(C159,'BG 2023'!$B:$E,1,0)</f>
        <v>#N/A</v>
      </c>
      <c r="N159" s="806" t="e">
        <f>+VLOOKUP(C159,'BG 2023'!$B:$E,3,0)</f>
        <v>#N/A</v>
      </c>
      <c r="O159" s="807" t="e">
        <f t="shared" si="11"/>
        <v>#N/A</v>
      </c>
      <c r="P159" s="807"/>
      <c r="R159" s="807">
        <f>+IFERROR(VLOOKUP(C159,'CA FE'!$A:$C,3,0),0)-G159</f>
        <v>0</v>
      </c>
    </row>
    <row r="160" spans="1:18" ht="12" customHeight="1">
      <c r="A160" s="354" t="s">
        <v>10</v>
      </c>
      <c r="B160" s="354"/>
      <c r="C160" s="355">
        <v>113011</v>
      </c>
      <c r="D160" s="354" t="s">
        <v>28</v>
      </c>
      <c r="E160" s="356" t="s">
        <v>634</v>
      </c>
      <c r="F160" s="356" t="str">
        <f t="shared" si="10"/>
        <v>NI</v>
      </c>
      <c r="G160" s="28">
        <f>+IF(F160="i",IFERROR(VLOOKUP(C160,'BG 12.2024'!$B:$E,3,FALSE),0),0)</f>
        <v>0</v>
      </c>
      <c r="H160" s="21">
        <f>+IF(F160="i",IFERROR(VLOOKUP(C160,'BG 12.2024'!$B:$E,4,FALSE),0),0)</f>
        <v>0</v>
      </c>
      <c r="I160" s="21"/>
      <c r="J160" s="28">
        <f>+IF(F160="i",IFERROR(VLOOKUP(C160,'BG 2023'!$B:$E,3,FALSE),0),0)</f>
        <v>0</v>
      </c>
      <c r="K160" s="21">
        <f>+IF(F160="i",IFERROR(VLOOKUP(C160,'BG 2023'!$B:$E,4,FALSE),0),0)</f>
        <v>0</v>
      </c>
      <c r="M160" s="15" t="e">
        <f>+VLOOKUP(C160,'BG 2023'!$B:$E,1,0)</f>
        <v>#N/A</v>
      </c>
      <c r="N160" s="806" t="e">
        <f>+VLOOKUP(C160,'BG 2023'!$B:$E,3,0)</f>
        <v>#N/A</v>
      </c>
      <c r="O160" s="807" t="e">
        <f t="shared" si="11"/>
        <v>#N/A</v>
      </c>
      <c r="P160" s="807"/>
      <c r="R160" s="807">
        <f>+IFERROR(VLOOKUP(C160,'CA FE'!$A:$C,3,0),0)-G160</f>
        <v>0</v>
      </c>
    </row>
    <row r="161" spans="1:18" ht="12" customHeight="1">
      <c r="A161" s="354" t="s">
        <v>10</v>
      </c>
      <c r="B161" s="354"/>
      <c r="C161" s="355">
        <v>1130111</v>
      </c>
      <c r="D161" s="354" t="s">
        <v>27</v>
      </c>
      <c r="E161" s="356" t="s">
        <v>634</v>
      </c>
      <c r="F161" s="356" t="str">
        <f t="shared" si="10"/>
        <v>NI</v>
      </c>
      <c r="G161" s="28">
        <f>+IF(F161="i",IFERROR(VLOOKUP(C161,'BG 12.2024'!$B:$E,3,FALSE),0),0)</f>
        <v>0</v>
      </c>
      <c r="H161" s="21">
        <f>+IF(F161="i",IFERROR(VLOOKUP(C161,'BG 12.2024'!$B:$E,4,FALSE),0),0)</f>
        <v>0</v>
      </c>
      <c r="I161" s="21"/>
      <c r="J161" s="28">
        <f>+IF(F161="i",IFERROR(VLOOKUP(C161,'BG 2023'!$B:$E,3,FALSE),0),0)</f>
        <v>0</v>
      </c>
      <c r="K161" s="21">
        <f>+IF(F161="i",IFERROR(VLOOKUP(C161,'BG 2023'!$B:$E,4,FALSE),0),0)</f>
        <v>0</v>
      </c>
      <c r="M161" s="15" t="e">
        <f>+VLOOKUP(C161,'BG 2023'!$B:$E,1,0)</f>
        <v>#N/A</v>
      </c>
      <c r="N161" s="806" t="e">
        <f>+VLOOKUP(C161,'BG 2023'!$B:$E,3,0)</f>
        <v>#N/A</v>
      </c>
      <c r="O161" s="807" t="e">
        <f t="shared" si="11"/>
        <v>#N/A</v>
      </c>
      <c r="P161" s="807"/>
      <c r="R161" s="807">
        <f>+IFERROR(VLOOKUP(C161,'CA FE'!$A:$C,3,0),0)-G161</f>
        <v>0</v>
      </c>
    </row>
    <row r="162" spans="1:18" ht="12" customHeight="1">
      <c r="A162" s="354" t="s">
        <v>10</v>
      </c>
      <c r="B162" s="354"/>
      <c r="C162" s="355">
        <v>11301111</v>
      </c>
      <c r="D162" s="354" t="s">
        <v>27</v>
      </c>
      <c r="E162" s="356" t="s">
        <v>634</v>
      </c>
      <c r="F162" s="356" t="str">
        <f t="shared" si="10"/>
        <v>NI</v>
      </c>
      <c r="G162" s="28">
        <f>+IF(F162="i",IFERROR(VLOOKUP(C162,'BG 12.2024'!$B:$E,3,FALSE),0),0)</f>
        <v>0</v>
      </c>
      <c r="H162" s="21">
        <f>+IF(F162="i",IFERROR(VLOOKUP(C162,'BG 12.2024'!$B:$E,4,FALSE),0),0)</f>
        <v>0</v>
      </c>
      <c r="I162" s="21"/>
      <c r="J162" s="28">
        <f>+IF(F162="i",IFERROR(VLOOKUP(C162,'BG 2023'!$B:$E,3,FALSE),0),0)</f>
        <v>0</v>
      </c>
      <c r="K162" s="21">
        <f>+IF(F162="i",IFERROR(VLOOKUP(C162,'BG 2023'!$B:$E,4,FALSE),0),0)</f>
        <v>0</v>
      </c>
      <c r="M162" s="15" t="e">
        <f>+VLOOKUP(C162,'BG 2023'!$B:$E,1,0)</f>
        <v>#N/A</v>
      </c>
      <c r="N162" s="806" t="e">
        <f>+VLOOKUP(C162,'BG 2023'!$B:$E,3,0)</f>
        <v>#N/A</v>
      </c>
      <c r="O162" s="807" t="e">
        <f t="shared" si="11"/>
        <v>#N/A</v>
      </c>
      <c r="P162" s="807"/>
      <c r="R162" s="807">
        <f>+IFERROR(VLOOKUP(C162,'CA FE'!$A:$C,3,0),0)-G162</f>
        <v>0</v>
      </c>
    </row>
    <row r="163" spans="1:18" ht="12" customHeight="1">
      <c r="A163" s="354" t="s">
        <v>10</v>
      </c>
      <c r="B163" s="354"/>
      <c r="C163" s="355">
        <v>1130111101</v>
      </c>
      <c r="D163" s="354" t="s">
        <v>30</v>
      </c>
      <c r="E163" s="356" t="s">
        <v>634</v>
      </c>
      <c r="F163" s="356" t="str">
        <f t="shared" si="10"/>
        <v>I</v>
      </c>
      <c r="G163" s="28">
        <f>+IF(F163="i",IFERROR(VLOOKUP(C163,'BG 12.2024'!$B:$E,3,FALSE),0),0)</f>
        <v>0</v>
      </c>
      <c r="H163" s="21">
        <f>+IF(F163="i",IFERROR(VLOOKUP(C163,'BG 12.2024'!$B:$E,4,FALSE),0),0)</f>
        <v>0</v>
      </c>
      <c r="I163" s="21"/>
      <c r="J163" s="28">
        <f>+IF(F163="i",IFERROR(VLOOKUP(C163,'BG 2023'!$B:$E,3,FALSE),0),0)</f>
        <v>0</v>
      </c>
      <c r="K163" s="21">
        <f>+IF(F163="i",IFERROR(VLOOKUP(C163,'BG 2023'!$B:$E,4,FALSE),0),0)</f>
        <v>0</v>
      </c>
      <c r="M163" s="15" t="e">
        <f>+VLOOKUP(C163,'BG 2023'!$B:$E,1,0)</f>
        <v>#N/A</v>
      </c>
      <c r="N163" s="806" t="e">
        <f>+VLOOKUP(C163,'BG 2023'!$B:$E,3,0)</f>
        <v>#N/A</v>
      </c>
      <c r="O163" s="807" t="e">
        <f t="shared" si="11"/>
        <v>#N/A</v>
      </c>
      <c r="P163" s="807"/>
      <c r="R163" s="807">
        <f>+IFERROR(VLOOKUP(C163,'CA FE'!$A:$C,3,0),0)-G163</f>
        <v>0</v>
      </c>
    </row>
    <row r="164" spans="1:18" ht="12" customHeight="1">
      <c r="A164" s="354" t="s">
        <v>10</v>
      </c>
      <c r="B164" s="354"/>
      <c r="C164" s="355">
        <v>11302</v>
      </c>
      <c r="D164" s="354" t="s">
        <v>681</v>
      </c>
      <c r="E164" s="356" t="s">
        <v>634</v>
      </c>
      <c r="F164" s="356" t="str">
        <f t="shared" si="10"/>
        <v>NI</v>
      </c>
      <c r="G164" s="28">
        <f>+IF(F164="i",IFERROR(VLOOKUP(C164,'BG 12.2024'!$B:$E,3,FALSE),0),0)</f>
        <v>0</v>
      </c>
      <c r="H164" s="21">
        <f>+IF(F164="i",IFERROR(VLOOKUP(C164,'BG 12.2024'!$B:$E,4,FALSE),0),0)</f>
        <v>0</v>
      </c>
      <c r="I164" s="21"/>
      <c r="J164" s="28">
        <f>+IF(F164="i",IFERROR(VLOOKUP(C164,'BG 2023'!$B:$E,3,FALSE),0),0)</f>
        <v>0</v>
      </c>
      <c r="K164" s="21">
        <f>+IF(F164="i",IFERROR(VLOOKUP(C164,'BG 2023'!$B:$E,4,FALSE),0),0)</f>
        <v>0</v>
      </c>
      <c r="M164" s="15" t="e">
        <f>+VLOOKUP(C164,'BG 2023'!$B:$E,1,0)</f>
        <v>#N/A</v>
      </c>
      <c r="N164" s="806" t="e">
        <f>+VLOOKUP(C164,'BG 2023'!$B:$E,3,0)</f>
        <v>#N/A</v>
      </c>
      <c r="O164" s="807" t="e">
        <f t="shared" si="11"/>
        <v>#N/A</v>
      </c>
      <c r="P164" s="807"/>
      <c r="R164" s="807">
        <f>+IFERROR(VLOOKUP(C164,'CA FE'!$A:$C,3,0),0)-G164</f>
        <v>0</v>
      </c>
    </row>
    <row r="165" spans="1:18" ht="12" customHeight="1">
      <c r="A165" s="354" t="s">
        <v>10</v>
      </c>
      <c r="B165" s="354"/>
      <c r="C165" s="355">
        <v>113021</v>
      </c>
      <c r="D165" s="354" t="s">
        <v>682</v>
      </c>
      <c r="E165" s="356" t="s">
        <v>634</v>
      </c>
      <c r="F165" s="356" t="str">
        <f t="shared" si="10"/>
        <v>NI</v>
      </c>
      <c r="G165" s="28">
        <f>+IF(F165="i",IFERROR(VLOOKUP(C165,'BG 12.2024'!$B:$E,3,FALSE),0),0)</f>
        <v>0</v>
      </c>
      <c r="H165" s="21">
        <f>+IF(F165="i",IFERROR(VLOOKUP(C165,'BG 12.2024'!$B:$E,4,FALSE),0),0)</f>
        <v>0</v>
      </c>
      <c r="I165" s="21"/>
      <c r="J165" s="28">
        <f>+IF(F165="i",IFERROR(VLOOKUP(C165,'BG 2023'!$B:$E,3,FALSE),0),0)</f>
        <v>0</v>
      </c>
      <c r="K165" s="21">
        <f>+IF(F165="i",IFERROR(VLOOKUP(C165,'BG 2023'!$B:$E,4,FALSE),0),0)</f>
        <v>0</v>
      </c>
      <c r="M165" s="15" t="e">
        <f>+VLOOKUP(C165,'BG 2023'!$B:$E,1,0)</f>
        <v>#N/A</v>
      </c>
      <c r="N165" s="806" t="e">
        <f>+VLOOKUP(C165,'BG 2023'!$B:$E,3,0)</f>
        <v>#N/A</v>
      </c>
      <c r="O165" s="807" t="e">
        <f t="shared" si="11"/>
        <v>#N/A</v>
      </c>
      <c r="P165" s="807"/>
      <c r="R165" s="807">
        <f>+IFERROR(VLOOKUP(C165,'CA FE'!$A:$C,3,0),0)-G165</f>
        <v>0</v>
      </c>
    </row>
    <row r="166" spans="1:18" ht="12" customHeight="1">
      <c r="A166" s="354" t="s">
        <v>10</v>
      </c>
      <c r="B166" s="354"/>
      <c r="C166" s="355">
        <v>1130211</v>
      </c>
      <c r="D166" s="354" t="s">
        <v>681</v>
      </c>
      <c r="E166" s="356" t="s">
        <v>634</v>
      </c>
      <c r="F166" s="356" t="str">
        <f t="shared" si="10"/>
        <v>NI</v>
      </c>
      <c r="G166" s="28">
        <f>+IF(F166="i",IFERROR(VLOOKUP(C166,'BG 12.2024'!$B:$E,3,FALSE),0),0)</f>
        <v>0</v>
      </c>
      <c r="H166" s="21">
        <f>+IF(F166="i",IFERROR(VLOOKUP(C166,'BG 12.2024'!$B:$E,4,FALSE),0),0)</f>
        <v>0</v>
      </c>
      <c r="I166" s="21"/>
      <c r="J166" s="28">
        <f>+IF(F166="i",IFERROR(VLOOKUP(C166,'BG 2023'!$B:$E,3,FALSE),0),0)</f>
        <v>0</v>
      </c>
      <c r="K166" s="21">
        <f>+IF(F166="i",IFERROR(VLOOKUP(C166,'BG 2023'!$B:$E,4,FALSE),0),0)</f>
        <v>0</v>
      </c>
      <c r="M166" s="15" t="e">
        <f>+VLOOKUP(C166,'BG 2023'!$B:$E,1,0)</f>
        <v>#N/A</v>
      </c>
      <c r="N166" s="806" t="e">
        <f>+VLOOKUP(C166,'BG 2023'!$B:$E,3,0)</f>
        <v>#N/A</v>
      </c>
      <c r="O166" s="807" t="e">
        <f t="shared" si="11"/>
        <v>#N/A</v>
      </c>
      <c r="P166" s="807"/>
      <c r="R166" s="807">
        <f>+IFERROR(VLOOKUP(C166,'CA FE'!$A:$C,3,0),0)-G166</f>
        <v>0</v>
      </c>
    </row>
    <row r="167" spans="1:18" ht="12" customHeight="1">
      <c r="A167" s="354" t="s">
        <v>10</v>
      </c>
      <c r="B167" s="354"/>
      <c r="C167" s="355">
        <v>11302111</v>
      </c>
      <c r="D167" s="354" t="s">
        <v>645</v>
      </c>
      <c r="E167" s="356" t="s">
        <v>634</v>
      </c>
      <c r="F167" s="356" t="str">
        <f t="shared" si="10"/>
        <v>NI</v>
      </c>
      <c r="G167" s="28">
        <f>+IF(F167="i",IFERROR(VLOOKUP(C167,'BG 12.2024'!$B:$E,3,FALSE),0),0)</f>
        <v>0</v>
      </c>
      <c r="H167" s="21">
        <f>+IF(F167="i",IFERROR(VLOOKUP(C167,'BG 12.2024'!$B:$E,4,FALSE),0),0)</f>
        <v>0</v>
      </c>
      <c r="I167" s="21"/>
      <c r="J167" s="28">
        <f>+IF(F167="i",IFERROR(VLOOKUP(C167,'BG 2023'!$B:$E,3,FALSE),0),0)</f>
        <v>0</v>
      </c>
      <c r="K167" s="21">
        <f>+IF(F167="i",IFERROR(VLOOKUP(C167,'BG 2023'!$B:$E,4,FALSE),0),0)</f>
        <v>0</v>
      </c>
      <c r="M167" s="15" t="e">
        <f>+VLOOKUP(C167,'BG 2023'!$B:$E,1,0)</f>
        <v>#N/A</v>
      </c>
      <c r="N167" s="806" t="e">
        <f>+VLOOKUP(C167,'BG 2023'!$B:$E,3,0)</f>
        <v>#N/A</v>
      </c>
      <c r="O167" s="807" t="e">
        <f t="shared" si="11"/>
        <v>#N/A</v>
      </c>
      <c r="P167" s="807"/>
      <c r="R167" s="807">
        <f>+IFERROR(VLOOKUP(C167,'CA FE'!$A:$C,3,0),0)-G167</f>
        <v>0</v>
      </c>
    </row>
    <row r="168" spans="1:18" ht="12" customHeight="1">
      <c r="A168" s="354" t="s">
        <v>10</v>
      </c>
      <c r="B168" s="354"/>
      <c r="C168" s="355">
        <v>1130211101</v>
      </c>
      <c r="D168" s="354" t="s">
        <v>646</v>
      </c>
      <c r="E168" s="356" t="s">
        <v>634</v>
      </c>
      <c r="F168" s="356" t="str">
        <f t="shared" si="10"/>
        <v>I</v>
      </c>
      <c r="G168" s="28">
        <f>+IF(F168="i",IFERROR(VLOOKUP(C168,'BG 12.2024'!$B:$E,3,FALSE),0),0)</f>
        <v>0</v>
      </c>
      <c r="H168" s="21">
        <f>+IF(F168="i",IFERROR(VLOOKUP(C168,'BG 12.2024'!$B:$E,4,FALSE),0),0)</f>
        <v>0</v>
      </c>
      <c r="I168" s="21"/>
      <c r="J168" s="28">
        <f>+IF(F168="i",IFERROR(VLOOKUP(C168,'BG 2023'!$B:$E,3,FALSE),0),0)</f>
        <v>0</v>
      </c>
      <c r="K168" s="21">
        <f>+IF(F168="i",IFERROR(VLOOKUP(C168,'BG 2023'!$B:$E,4,FALSE),0),0)</f>
        <v>0</v>
      </c>
      <c r="M168" s="15" t="e">
        <f>+VLOOKUP(C168,'BG 2023'!$B:$E,1,0)</f>
        <v>#N/A</v>
      </c>
      <c r="N168" s="806" t="e">
        <f>+VLOOKUP(C168,'BG 2023'!$B:$E,3,0)</f>
        <v>#N/A</v>
      </c>
      <c r="O168" s="807" t="e">
        <f t="shared" si="11"/>
        <v>#N/A</v>
      </c>
      <c r="P168" s="807"/>
      <c r="R168" s="807">
        <f>+IFERROR(VLOOKUP(C168,'CA FE'!$A:$C,3,0),0)-G168</f>
        <v>0</v>
      </c>
    </row>
    <row r="169" spans="1:18" ht="12" customHeight="1">
      <c r="A169" s="354" t="s">
        <v>10</v>
      </c>
      <c r="B169" s="354"/>
      <c r="C169" s="355">
        <v>1130211102</v>
      </c>
      <c r="D169" s="354" t="s">
        <v>647</v>
      </c>
      <c r="E169" s="356" t="s">
        <v>634</v>
      </c>
      <c r="F169" s="356" t="str">
        <f t="shared" si="10"/>
        <v>I</v>
      </c>
      <c r="G169" s="28">
        <f>+IF(F169="i",IFERROR(VLOOKUP(C169,'BG 12.2024'!$B:$E,3,FALSE),0),0)</f>
        <v>0</v>
      </c>
      <c r="H169" s="21">
        <f>+IF(F169="i",IFERROR(VLOOKUP(C169,'BG 12.2024'!$B:$E,4,FALSE),0),0)</f>
        <v>0</v>
      </c>
      <c r="I169" s="21"/>
      <c r="J169" s="28">
        <f>+IF(F169="i",IFERROR(VLOOKUP(C169,'BG 2023'!$B:$E,3,FALSE),0),0)</f>
        <v>0</v>
      </c>
      <c r="K169" s="21">
        <f>+IF(F169="i",IFERROR(VLOOKUP(C169,'BG 2023'!$B:$E,4,FALSE),0),0)</f>
        <v>0</v>
      </c>
      <c r="M169" s="15" t="e">
        <f>+VLOOKUP(C169,'BG 2023'!$B:$E,1,0)</f>
        <v>#N/A</v>
      </c>
      <c r="N169" s="806" t="e">
        <f>+VLOOKUP(C169,'BG 2023'!$B:$E,3,0)</f>
        <v>#N/A</v>
      </c>
      <c r="O169" s="807" t="e">
        <f t="shared" si="11"/>
        <v>#N/A</v>
      </c>
      <c r="P169" s="807"/>
      <c r="R169" s="807">
        <f>+IFERROR(VLOOKUP(C169,'CA FE'!$A:$C,3,0),0)-G169</f>
        <v>0</v>
      </c>
    </row>
    <row r="170" spans="1:18" ht="12" customHeight="1">
      <c r="A170" s="354" t="s">
        <v>10</v>
      </c>
      <c r="B170" s="354"/>
      <c r="C170" s="355">
        <v>1130211103</v>
      </c>
      <c r="D170" s="354" t="s">
        <v>648</v>
      </c>
      <c r="E170" s="356" t="s">
        <v>634</v>
      </c>
      <c r="F170" s="356" t="str">
        <f t="shared" si="10"/>
        <v>I</v>
      </c>
      <c r="G170" s="28">
        <f>+IF(F170="i",IFERROR(VLOOKUP(C170,'BG 12.2024'!$B:$E,3,FALSE),0),0)</f>
        <v>0</v>
      </c>
      <c r="H170" s="21">
        <f>+IF(F170="i",IFERROR(VLOOKUP(C170,'BG 12.2024'!$B:$E,4,FALSE),0),0)</f>
        <v>0</v>
      </c>
      <c r="I170" s="21"/>
      <c r="J170" s="28">
        <f>+IF(F170="i",IFERROR(VLOOKUP(C170,'BG 2023'!$B:$E,3,FALSE),0),0)</f>
        <v>0</v>
      </c>
      <c r="K170" s="21">
        <f>+IF(F170="i",IFERROR(VLOOKUP(C170,'BG 2023'!$B:$E,4,FALSE),0),0)</f>
        <v>0</v>
      </c>
      <c r="M170" s="15" t="e">
        <f>+VLOOKUP(C170,'BG 2023'!$B:$E,1,0)</f>
        <v>#N/A</v>
      </c>
      <c r="N170" s="806" t="e">
        <f>+VLOOKUP(C170,'BG 2023'!$B:$E,3,0)</f>
        <v>#N/A</v>
      </c>
      <c r="O170" s="807" t="e">
        <f t="shared" si="11"/>
        <v>#N/A</v>
      </c>
      <c r="P170" s="807"/>
      <c r="R170" s="807">
        <f>+IFERROR(VLOOKUP(C170,'CA FE'!$A:$C,3,0),0)-G170</f>
        <v>0</v>
      </c>
    </row>
    <row r="171" spans="1:18" ht="12" customHeight="1">
      <c r="A171" s="354" t="s">
        <v>10</v>
      </c>
      <c r="B171" s="354"/>
      <c r="C171" s="355">
        <v>1130211104</v>
      </c>
      <c r="D171" s="354" t="s">
        <v>649</v>
      </c>
      <c r="E171" s="356" t="s">
        <v>634</v>
      </c>
      <c r="F171" s="356" t="str">
        <f t="shared" si="10"/>
        <v>I</v>
      </c>
      <c r="G171" s="28">
        <f>+IF(F171="i",IFERROR(VLOOKUP(C171,'BG 12.2024'!$B:$E,3,FALSE),0),0)</f>
        <v>0</v>
      </c>
      <c r="H171" s="21">
        <f>+IF(F171="i",IFERROR(VLOOKUP(C171,'BG 12.2024'!$B:$E,4,FALSE),0),0)</f>
        <v>0</v>
      </c>
      <c r="I171" s="21"/>
      <c r="J171" s="28">
        <f>+IF(F171="i",IFERROR(VLOOKUP(C171,'BG 2023'!$B:$E,3,FALSE),0),0)</f>
        <v>0</v>
      </c>
      <c r="K171" s="21">
        <f>+IF(F171="i",IFERROR(VLOOKUP(C171,'BG 2023'!$B:$E,4,FALSE),0),0)</f>
        <v>0</v>
      </c>
      <c r="M171" s="15" t="e">
        <f>+VLOOKUP(C171,'BG 2023'!$B:$E,1,0)</f>
        <v>#N/A</v>
      </c>
      <c r="N171" s="806" t="e">
        <f>+VLOOKUP(C171,'BG 2023'!$B:$E,3,0)</f>
        <v>#N/A</v>
      </c>
      <c r="O171" s="807" t="e">
        <f t="shared" si="11"/>
        <v>#N/A</v>
      </c>
      <c r="P171" s="807"/>
      <c r="R171" s="807">
        <f>+IFERROR(VLOOKUP(C171,'CA FE'!$A:$C,3,0),0)-G171</f>
        <v>0</v>
      </c>
    </row>
    <row r="172" spans="1:18" ht="12" customHeight="1">
      <c r="A172" s="354" t="s">
        <v>10</v>
      </c>
      <c r="B172" s="354"/>
      <c r="C172" s="355">
        <v>11302112</v>
      </c>
      <c r="D172" s="354" t="s">
        <v>656</v>
      </c>
      <c r="E172" s="356" t="s">
        <v>634</v>
      </c>
      <c r="F172" s="356" t="str">
        <f t="shared" si="10"/>
        <v>NI</v>
      </c>
      <c r="G172" s="28">
        <f>+IF(F172="i",IFERROR(VLOOKUP(C172,'BG 12.2024'!$B:$E,3,FALSE),0),0)</f>
        <v>0</v>
      </c>
      <c r="H172" s="21">
        <f>+IF(F172="i",IFERROR(VLOOKUP(C172,'BG 12.2024'!$B:$E,4,FALSE),0),0)</f>
        <v>0</v>
      </c>
      <c r="I172" s="21"/>
      <c r="J172" s="28">
        <f>+IF(F172="i",IFERROR(VLOOKUP(C172,'BG 2023'!$B:$E,3,FALSE),0),0)</f>
        <v>0</v>
      </c>
      <c r="K172" s="21">
        <f>+IF(F172="i",IFERROR(VLOOKUP(C172,'BG 2023'!$B:$E,4,FALSE),0),0)</f>
        <v>0</v>
      </c>
      <c r="M172" s="15" t="e">
        <f>+VLOOKUP(C172,'BG 2023'!$B:$E,1,0)</f>
        <v>#N/A</v>
      </c>
      <c r="N172" s="806" t="e">
        <f>+VLOOKUP(C172,'BG 2023'!$B:$E,3,0)</f>
        <v>#N/A</v>
      </c>
      <c r="O172" s="807" t="e">
        <f t="shared" si="11"/>
        <v>#N/A</v>
      </c>
      <c r="P172" s="807"/>
      <c r="R172" s="807">
        <f>+IFERROR(VLOOKUP(C172,'CA FE'!$A:$C,3,0),0)-G172</f>
        <v>0</v>
      </c>
    </row>
    <row r="173" spans="1:18" ht="12" customHeight="1">
      <c r="A173" s="354" t="s">
        <v>10</v>
      </c>
      <c r="B173" s="354"/>
      <c r="C173" s="355">
        <v>1130211201</v>
      </c>
      <c r="D173" s="354" t="s">
        <v>657</v>
      </c>
      <c r="E173" s="356" t="s">
        <v>634</v>
      </c>
      <c r="F173" s="356" t="str">
        <f t="shared" si="10"/>
        <v>I</v>
      </c>
      <c r="G173" s="28">
        <f>+IF(F173="i",IFERROR(VLOOKUP(C173,'BG 12.2024'!$B:$E,3,FALSE),0),0)</f>
        <v>0</v>
      </c>
      <c r="H173" s="21">
        <f>+IF(F173="i",IFERROR(VLOOKUP(C173,'BG 12.2024'!$B:$E,4,FALSE),0),0)</f>
        <v>0</v>
      </c>
      <c r="I173" s="21"/>
      <c r="J173" s="28">
        <f>+IF(F173="i",IFERROR(VLOOKUP(C173,'BG 2023'!$B:$E,3,FALSE),0),0)</f>
        <v>0</v>
      </c>
      <c r="K173" s="21">
        <f>+IF(F173="i",IFERROR(VLOOKUP(C173,'BG 2023'!$B:$E,4,FALSE),0),0)</f>
        <v>0</v>
      </c>
      <c r="M173" s="15" t="e">
        <f>+VLOOKUP(C173,'BG 2023'!$B:$E,1,0)</f>
        <v>#N/A</v>
      </c>
      <c r="N173" s="806" t="e">
        <f>+VLOOKUP(C173,'BG 2023'!$B:$E,3,0)</f>
        <v>#N/A</v>
      </c>
      <c r="O173" s="807" t="e">
        <f t="shared" si="11"/>
        <v>#N/A</v>
      </c>
      <c r="P173" s="807"/>
      <c r="R173" s="807">
        <f>+IFERROR(VLOOKUP(C173,'CA FE'!$A:$C,3,0),0)-G173</f>
        <v>0</v>
      </c>
    </row>
    <row r="174" spans="1:18" ht="12" customHeight="1">
      <c r="A174" s="354" t="s">
        <v>10</v>
      </c>
      <c r="B174" s="354"/>
      <c r="C174" s="355">
        <v>1130211202</v>
      </c>
      <c r="D174" s="354" t="s">
        <v>97</v>
      </c>
      <c r="E174" s="356" t="s">
        <v>634</v>
      </c>
      <c r="F174" s="356" t="str">
        <f t="shared" si="10"/>
        <v>I</v>
      </c>
      <c r="G174" s="28">
        <f>+IF(F174="i",IFERROR(VLOOKUP(C174,'BG 12.2024'!$B:$E,3,FALSE),0),0)</f>
        <v>0</v>
      </c>
      <c r="H174" s="21">
        <f>+IF(F174="i",IFERROR(VLOOKUP(C174,'BG 12.2024'!$B:$E,4,FALSE),0),0)</f>
        <v>0</v>
      </c>
      <c r="I174" s="21"/>
      <c r="J174" s="28">
        <f>+IF(F174="i",IFERROR(VLOOKUP(C174,'BG 2023'!$B:$E,3,FALSE),0),0)</f>
        <v>0</v>
      </c>
      <c r="K174" s="21">
        <f>+IF(F174="i",IFERROR(VLOOKUP(C174,'BG 2023'!$B:$E,4,FALSE),0),0)</f>
        <v>0</v>
      </c>
      <c r="M174" s="15" t="e">
        <f>+VLOOKUP(C174,'BG 2023'!$B:$E,1,0)</f>
        <v>#N/A</v>
      </c>
      <c r="N174" s="806" t="e">
        <f>+VLOOKUP(C174,'BG 2023'!$B:$E,3,0)</f>
        <v>#N/A</v>
      </c>
      <c r="O174" s="807" t="e">
        <f t="shared" si="11"/>
        <v>#N/A</v>
      </c>
      <c r="P174" s="807"/>
      <c r="R174" s="807">
        <f>+IFERROR(VLOOKUP(C174,'CA FE'!$A:$C,3,0),0)-G174</f>
        <v>0</v>
      </c>
    </row>
    <row r="175" spans="1:18" ht="12" customHeight="1">
      <c r="A175" s="354" t="s">
        <v>10</v>
      </c>
      <c r="B175" s="354"/>
      <c r="C175" s="355">
        <v>11303</v>
      </c>
      <c r="D175" s="354" t="s">
        <v>683</v>
      </c>
      <c r="E175" s="356" t="s">
        <v>634</v>
      </c>
      <c r="F175" s="356" t="str">
        <f t="shared" si="10"/>
        <v>NI</v>
      </c>
      <c r="G175" s="28">
        <f>+IF(F175="i",IFERROR(VLOOKUP(C175,'BG 12.2024'!$B:$E,3,FALSE),0),0)</f>
        <v>0</v>
      </c>
      <c r="H175" s="21">
        <f>+IF(F175="i",IFERROR(VLOOKUP(C175,'BG 12.2024'!$B:$E,4,FALSE),0),0)</f>
        <v>0</v>
      </c>
      <c r="I175" s="21"/>
      <c r="J175" s="28">
        <f>+IF(F175="i",IFERROR(VLOOKUP(C175,'BG 2023'!$B:$E,3,FALSE),0),0)</f>
        <v>0</v>
      </c>
      <c r="K175" s="21">
        <f>+IF(F175="i",IFERROR(VLOOKUP(C175,'BG 2023'!$B:$E,4,FALSE),0),0)</f>
        <v>0</v>
      </c>
      <c r="M175" s="15" t="e">
        <f>+VLOOKUP(C175,'BG 2023'!$B:$E,1,0)</f>
        <v>#N/A</v>
      </c>
      <c r="N175" s="806" t="e">
        <f>+VLOOKUP(C175,'BG 2023'!$B:$E,3,0)</f>
        <v>#N/A</v>
      </c>
      <c r="O175" s="807" t="e">
        <f t="shared" si="11"/>
        <v>#N/A</v>
      </c>
      <c r="P175" s="807"/>
      <c r="R175" s="807">
        <f>+IFERROR(VLOOKUP(C175,'CA FE'!$A:$C,3,0),0)-G175</f>
        <v>0</v>
      </c>
    </row>
    <row r="176" spans="1:18" ht="12" customHeight="1">
      <c r="A176" s="354" t="s">
        <v>10</v>
      </c>
      <c r="B176" s="354"/>
      <c r="C176" s="355">
        <v>1130301</v>
      </c>
      <c r="D176" s="354" t="s">
        <v>35</v>
      </c>
      <c r="E176" s="356" t="s">
        <v>634</v>
      </c>
      <c r="F176" s="356" t="str">
        <f t="shared" si="10"/>
        <v>NI</v>
      </c>
      <c r="G176" s="28">
        <f>+IF(F176="i",IFERROR(VLOOKUP(C176,'BG 12.2024'!$B:$E,3,FALSE),0),0)</f>
        <v>0</v>
      </c>
      <c r="H176" s="21">
        <f>+IF(F176="i",IFERROR(VLOOKUP(C176,'BG 12.2024'!$B:$E,4,FALSE),0),0)</f>
        <v>0</v>
      </c>
      <c r="I176" s="21"/>
      <c r="J176" s="28">
        <f>+IF(F176="i",IFERROR(VLOOKUP(C176,'BG 2023'!$B:$E,3,FALSE),0),0)</f>
        <v>0</v>
      </c>
      <c r="K176" s="21">
        <f>+IF(F176="i",IFERROR(VLOOKUP(C176,'BG 2023'!$B:$E,4,FALSE),0),0)</f>
        <v>0</v>
      </c>
      <c r="M176" s="15" t="e">
        <f>+VLOOKUP(C176,'BG 2023'!$B:$E,1,0)</f>
        <v>#N/A</v>
      </c>
      <c r="N176" s="806" t="e">
        <f>+VLOOKUP(C176,'BG 2023'!$B:$E,3,0)</f>
        <v>#N/A</v>
      </c>
      <c r="O176" s="807" t="e">
        <f t="shared" si="11"/>
        <v>#N/A</v>
      </c>
      <c r="P176" s="807"/>
      <c r="R176" s="807">
        <f>+IFERROR(VLOOKUP(C176,'CA FE'!$A:$C,3,0),0)-G176</f>
        <v>0</v>
      </c>
    </row>
    <row r="177" spans="1:18" ht="12" customHeight="1">
      <c r="A177" s="354" t="s">
        <v>10</v>
      </c>
      <c r="B177" s="354"/>
      <c r="C177" s="355">
        <v>11304</v>
      </c>
      <c r="D177" s="354" t="s">
        <v>663</v>
      </c>
      <c r="E177" s="356" t="s">
        <v>634</v>
      </c>
      <c r="F177" s="356" t="str">
        <f t="shared" si="10"/>
        <v>NI</v>
      </c>
      <c r="G177" s="28">
        <f>+IF(F177="i",IFERROR(VLOOKUP(C177,'BG 12.2024'!$B:$E,3,FALSE),0),0)</f>
        <v>0</v>
      </c>
      <c r="H177" s="21">
        <f>+IF(F177="i",IFERROR(VLOOKUP(C177,'BG 12.2024'!$B:$E,4,FALSE),0),0)</f>
        <v>0</v>
      </c>
      <c r="I177" s="21"/>
      <c r="J177" s="28">
        <f>+IF(F177="i",IFERROR(VLOOKUP(C177,'BG 2023'!$B:$E,3,FALSE),0),0)</f>
        <v>0</v>
      </c>
      <c r="K177" s="21">
        <f>+IF(F177="i",IFERROR(VLOOKUP(C177,'BG 2023'!$B:$E,4,FALSE),0),0)</f>
        <v>0</v>
      </c>
      <c r="M177" s="15" t="e">
        <f>+VLOOKUP(C177,'BG 2023'!$B:$E,1,0)</f>
        <v>#N/A</v>
      </c>
      <c r="N177" s="806" t="e">
        <f>+VLOOKUP(C177,'BG 2023'!$B:$E,3,0)</f>
        <v>#N/A</v>
      </c>
      <c r="O177" s="807" t="e">
        <f t="shared" si="11"/>
        <v>#N/A</v>
      </c>
      <c r="P177" s="807"/>
      <c r="R177" s="807">
        <f>+IFERROR(VLOOKUP(C177,'CA FE'!$A:$C,3,0),0)-G177</f>
        <v>0</v>
      </c>
    </row>
    <row r="178" spans="1:18" ht="12" customHeight="1">
      <c r="A178" s="354" t="s">
        <v>10</v>
      </c>
      <c r="B178" s="354"/>
      <c r="C178" s="355">
        <v>11350</v>
      </c>
      <c r="D178" s="354" t="s">
        <v>677</v>
      </c>
      <c r="E178" s="356" t="s">
        <v>634</v>
      </c>
      <c r="F178" s="356" t="str">
        <f t="shared" si="10"/>
        <v>NI</v>
      </c>
      <c r="G178" s="28">
        <f>+IF(F178="i",IFERROR(VLOOKUP(C178,'BG 12.2024'!$B:$E,3,FALSE),0),0)</f>
        <v>0</v>
      </c>
      <c r="H178" s="21">
        <f>+IF(F178="i",IFERROR(VLOOKUP(C178,'BG 12.2024'!$B:$E,4,FALSE),0),0)</f>
        <v>0</v>
      </c>
      <c r="I178" s="21"/>
      <c r="J178" s="28">
        <f>+IF(F178="i",IFERROR(VLOOKUP(C178,'BG 2023'!$B:$E,3,FALSE),0),0)</f>
        <v>0</v>
      </c>
      <c r="K178" s="21">
        <f>+IF(F178="i",IFERROR(VLOOKUP(C178,'BG 2023'!$B:$E,4,FALSE),0),0)</f>
        <v>0</v>
      </c>
      <c r="M178" s="15" t="e">
        <f>+VLOOKUP(C178,'BG 2023'!$B:$E,1,0)</f>
        <v>#N/A</v>
      </c>
      <c r="N178" s="806" t="e">
        <f>+VLOOKUP(C178,'BG 2023'!$B:$E,3,0)</f>
        <v>#N/A</v>
      </c>
      <c r="O178" s="807" t="e">
        <f t="shared" si="11"/>
        <v>#N/A</v>
      </c>
      <c r="P178" s="807"/>
      <c r="R178" s="807">
        <f>+IFERROR(VLOOKUP(C178,'CA FE'!$A:$C,3,0),0)-G178</f>
        <v>0</v>
      </c>
    </row>
    <row r="179" spans="1:18" ht="12" customHeight="1">
      <c r="A179" s="354" t="s">
        <v>10</v>
      </c>
      <c r="B179" s="354"/>
      <c r="C179" s="355">
        <v>1135001</v>
      </c>
      <c r="D179" s="354" t="s">
        <v>678</v>
      </c>
      <c r="E179" s="356" t="s">
        <v>634</v>
      </c>
      <c r="F179" s="356" t="str">
        <f t="shared" si="10"/>
        <v>NI</v>
      </c>
      <c r="G179" s="28">
        <f>+IF(F179="i",IFERROR(VLOOKUP(C179,'BG 12.2024'!$B:$E,3,FALSE),0),0)</f>
        <v>0</v>
      </c>
      <c r="H179" s="21">
        <f>+IF(F179="i",IFERROR(VLOOKUP(C179,'BG 12.2024'!$B:$E,4,FALSE),0),0)</f>
        <v>0</v>
      </c>
      <c r="I179" s="21"/>
      <c r="J179" s="28">
        <f>+IF(F179="i",IFERROR(VLOOKUP(C179,'BG 2023'!$B:$E,3,FALSE),0),0)</f>
        <v>0</v>
      </c>
      <c r="K179" s="21">
        <f>+IF(F179="i",IFERROR(VLOOKUP(C179,'BG 2023'!$B:$E,4,FALSE),0),0)</f>
        <v>0</v>
      </c>
      <c r="M179" s="15" t="e">
        <f>+VLOOKUP(C179,'BG 2023'!$B:$E,1,0)</f>
        <v>#N/A</v>
      </c>
      <c r="N179" s="806" t="e">
        <f>+VLOOKUP(C179,'BG 2023'!$B:$E,3,0)</f>
        <v>#N/A</v>
      </c>
      <c r="O179" s="807" t="e">
        <f t="shared" si="11"/>
        <v>#N/A</v>
      </c>
      <c r="P179" s="807"/>
      <c r="R179" s="807">
        <f>+IFERROR(VLOOKUP(C179,'CA FE'!$A:$C,3,0),0)-G179</f>
        <v>0</v>
      </c>
    </row>
    <row r="180" spans="1:18" ht="12" customHeight="1">
      <c r="A180" s="354" t="s">
        <v>10</v>
      </c>
      <c r="B180" s="354"/>
      <c r="C180" s="355">
        <v>1135002</v>
      </c>
      <c r="D180" s="354" t="s">
        <v>679</v>
      </c>
      <c r="E180" s="356" t="s">
        <v>634</v>
      </c>
      <c r="F180" s="356" t="str">
        <f t="shared" si="10"/>
        <v>NI</v>
      </c>
      <c r="G180" s="28">
        <f>+IF(F180="i",IFERROR(VLOOKUP(C180,'BG 12.2024'!$B:$E,3,FALSE),0),0)</f>
        <v>0</v>
      </c>
      <c r="H180" s="21">
        <f>+IF(F180="i",IFERROR(VLOOKUP(C180,'BG 12.2024'!$B:$E,4,FALSE),0),0)</f>
        <v>0</v>
      </c>
      <c r="I180" s="21"/>
      <c r="J180" s="28">
        <f>+IF(F180="i",IFERROR(VLOOKUP(C180,'BG 2023'!$B:$E,3,FALSE),0),0)</f>
        <v>0</v>
      </c>
      <c r="K180" s="21">
        <f>+IF(F180="i",IFERROR(VLOOKUP(C180,'BG 2023'!$B:$E,4,FALSE),0),0)</f>
        <v>0</v>
      </c>
      <c r="M180" s="15" t="e">
        <f>+VLOOKUP(C180,'BG 2023'!$B:$E,1,0)</f>
        <v>#N/A</v>
      </c>
      <c r="N180" s="806" t="e">
        <f>+VLOOKUP(C180,'BG 2023'!$B:$E,3,0)</f>
        <v>#N/A</v>
      </c>
      <c r="O180" s="807" t="e">
        <f t="shared" si="11"/>
        <v>#N/A</v>
      </c>
      <c r="P180" s="807"/>
      <c r="R180" s="807">
        <f>+IFERROR(VLOOKUP(C180,'CA FE'!$A:$C,3,0),0)-G180</f>
        <v>0</v>
      </c>
    </row>
    <row r="181" spans="1:18" ht="12" customHeight="1">
      <c r="A181" s="354" t="s">
        <v>10</v>
      </c>
      <c r="B181" s="354"/>
      <c r="C181" s="355">
        <v>114</v>
      </c>
      <c r="D181" s="354" t="s">
        <v>48</v>
      </c>
      <c r="E181" s="356" t="s">
        <v>634</v>
      </c>
      <c r="F181" s="356" t="str">
        <f t="shared" si="10"/>
        <v>NI</v>
      </c>
      <c r="G181" s="28">
        <f>+IF(F181="i",IFERROR(VLOOKUP(C181,'BG 12.2024'!$B:$E,3,FALSE),0),0)</f>
        <v>0</v>
      </c>
      <c r="H181" s="21">
        <f>+IF(F181="i",IFERROR(VLOOKUP(C181,'BG 12.2024'!$B:$E,4,FALSE),0),0)</f>
        <v>0</v>
      </c>
      <c r="I181" s="21"/>
      <c r="J181" s="28">
        <f>+IF(F181="i",IFERROR(VLOOKUP(C181,'BG 2023'!$B:$E,3,FALSE),0),0)</f>
        <v>0</v>
      </c>
      <c r="K181" s="21">
        <f>+IF(F181="i",IFERROR(VLOOKUP(C181,'BG 2023'!$B:$E,4,FALSE),0),0)</f>
        <v>0</v>
      </c>
      <c r="M181" s="15">
        <f>+VLOOKUP(C181,'BG 2023'!$B:$E,1,0)</f>
        <v>114</v>
      </c>
      <c r="N181" s="806">
        <f>+VLOOKUP(C181,'BG 2023'!$B:$E,3,0)</f>
        <v>37078401104</v>
      </c>
      <c r="O181" s="807">
        <f t="shared" si="11"/>
        <v>37078401104</v>
      </c>
      <c r="P181" s="807"/>
      <c r="R181" s="807">
        <f>+IFERROR(VLOOKUP(C181,'CA FE'!$A:$C,3,0),0)-G181</f>
        <v>0</v>
      </c>
    </row>
    <row r="182" spans="1:18" ht="12" customHeight="1">
      <c r="A182" s="354" t="s">
        <v>10</v>
      </c>
      <c r="B182" s="354"/>
      <c r="C182" s="355">
        <v>11401</v>
      </c>
      <c r="D182" s="354" t="s">
        <v>49</v>
      </c>
      <c r="E182" s="356" t="s">
        <v>634</v>
      </c>
      <c r="F182" s="356" t="str">
        <f t="shared" si="10"/>
        <v>NI</v>
      </c>
      <c r="G182" s="28">
        <f>+IF(F182="i",IFERROR(VLOOKUP(C182,'BG 12.2024'!$B:$E,3,FALSE),0),0)</f>
        <v>0</v>
      </c>
      <c r="H182" s="21">
        <f>+IF(F182="i",IFERROR(VLOOKUP(C182,'BG 12.2024'!$B:$E,4,FALSE),0),0)</f>
        <v>0</v>
      </c>
      <c r="I182" s="21"/>
      <c r="J182" s="28">
        <f>+IF(F182="i",IFERROR(VLOOKUP(C182,'BG 2023'!$B:$E,3,FALSE),0),0)</f>
        <v>0</v>
      </c>
      <c r="K182" s="21">
        <f>+IF(F182="i",IFERROR(VLOOKUP(C182,'BG 2023'!$B:$E,4,FALSE),0),0)</f>
        <v>0</v>
      </c>
      <c r="M182" s="15">
        <f>+VLOOKUP(C182,'BG 2023'!$B:$E,1,0)</f>
        <v>11401</v>
      </c>
      <c r="N182" s="806">
        <f>+VLOOKUP(C182,'BG 2023'!$B:$E,3,0)</f>
        <v>3298357000</v>
      </c>
      <c r="O182" s="807">
        <f t="shared" si="11"/>
        <v>3298357000</v>
      </c>
      <c r="P182" s="807"/>
      <c r="R182" s="807">
        <f>+IFERROR(VLOOKUP(C182,'CA FE'!$A:$C,3,0),0)-G182</f>
        <v>0</v>
      </c>
    </row>
    <row r="183" spans="1:18" ht="12" customHeight="1">
      <c r="A183" s="354" t="s">
        <v>10</v>
      </c>
      <c r="B183" s="354"/>
      <c r="C183" s="355">
        <v>114011</v>
      </c>
      <c r="D183" s="354" t="s">
        <v>50</v>
      </c>
      <c r="E183" s="356" t="s">
        <v>634</v>
      </c>
      <c r="F183" s="356" t="str">
        <f t="shared" si="10"/>
        <v>NI</v>
      </c>
      <c r="G183" s="28">
        <f>+IF(F183="i",IFERROR(VLOOKUP(C183,'BG 12.2024'!$B:$E,3,FALSE),0),0)</f>
        <v>0</v>
      </c>
      <c r="H183" s="21">
        <f>+IF(F183="i",IFERROR(VLOOKUP(C183,'BG 12.2024'!$B:$E,4,FALSE),0),0)</f>
        <v>0</v>
      </c>
      <c r="I183" s="21"/>
      <c r="J183" s="28">
        <f>+IF(F183="i",IFERROR(VLOOKUP(C183,'BG 2023'!$B:$E,3,FALSE),0),0)</f>
        <v>0</v>
      </c>
      <c r="K183" s="21">
        <f>+IF(F183="i",IFERROR(VLOOKUP(C183,'BG 2023'!$B:$E,4,FALSE),0),0)</f>
        <v>0</v>
      </c>
      <c r="M183" s="15">
        <f>+VLOOKUP(C183,'BG 2023'!$B:$E,1,0)</f>
        <v>114011</v>
      </c>
      <c r="N183" s="806">
        <f>+VLOOKUP(C183,'BG 2023'!$B:$E,3,0)</f>
        <v>3298357000</v>
      </c>
      <c r="O183" s="807">
        <f t="shared" si="11"/>
        <v>3298357000</v>
      </c>
      <c r="P183" s="807"/>
      <c r="R183" s="807">
        <f>+IFERROR(VLOOKUP(C183,'CA FE'!$A:$C,3,0),0)-G183</f>
        <v>0</v>
      </c>
    </row>
    <row r="184" spans="1:18" ht="12" customHeight="1">
      <c r="A184" s="354" t="s">
        <v>10</v>
      </c>
      <c r="B184" s="354"/>
      <c r="C184" s="355">
        <v>1140111</v>
      </c>
      <c r="D184" s="354" t="s">
        <v>51</v>
      </c>
      <c r="E184" s="356" t="s">
        <v>634</v>
      </c>
      <c r="F184" s="356" t="str">
        <f t="shared" si="10"/>
        <v>NI</v>
      </c>
      <c r="G184" s="28">
        <f>+IF(F184="i",IFERROR(VLOOKUP(C184,'BG 12.2024'!$B:$E,3,FALSE),0),0)</f>
        <v>0</v>
      </c>
      <c r="H184" s="21">
        <f>+IF(F184="i",IFERROR(VLOOKUP(C184,'BG 12.2024'!$B:$E,4,FALSE),0),0)</f>
        <v>0</v>
      </c>
      <c r="I184" s="21"/>
      <c r="J184" s="28">
        <f>+IF(F184="i",IFERROR(VLOOKUP(C184,'BG 2023'!$B:$E,3,FALSE),0),0)</f>
        <v>0</v>
      </c>
      <c r="K184" s="21">
        <f>+IF(F184="i",IFERROR(VLOOKUP(C184,'BG 2023'!$B:$E,4,FALSE),0),0)</f>
        <v>0</v>
      </c>
      <c r="M184" s="15">
        <f>+VLOOKUP(C184,'BG 2023'!$B:$E,1,0)</f>
        <v>1140111</v>
      </c>
      <c r="N184" s="806">
        <f>+VLOOKUP(C184,'BG 2023'!$B:$E,3,0)</f>
        <v>3298357000</v>
      </c>
      <c r="O184" s="807">
        <f t="shared" si="11"/>
        <v>3298357000</v>
      </c>
      <c r="P184" s="807"/>
      <c r="R184" s="807">
        <f>+IFERROR(VLOOKUP(C184,'CA FE'!$A:$C,3,0),0)-G184</f>
        <v>0</v>
      </c>
    </row>
    <row r="185" spans="1:18" ht="12" customHeight="1">
      <c r="A185" s="354" t="s">
        <v>10</v>
      </c>
      <c r="B185" s="354"/>
      <c r="C185" s="355">
        <v>11401111</v>
      </c>
      <c r="D185" s="354" t="s">
        <v>52</v>
      </c>
      <c r="E185" s="356" t="s">
        <v>634</v>
      </c>
      <c r="F185" s="356" t="str">
        <f t="shared" si="10"/>
        <v>NI</v>
      </c>
      <c r="G185" s="28">
        <f>+IF(F185="i",IFERROR(VLOOKUP(C185,'BG 12.2024'!$B:$E,3,FALSE),0),0)</f>
        <v>0</v>
      </c>
      <c r="H185" s="21">
        <f>+IF(F185="i",IFERROR(VLOOKUP(C185,'BG 12.2024'!$B:$E,4,FALSE),0),0)</f>
        <v>0</v>
      </c>
      <c r="I185" s="21"/>
      <c r="J185" s="28">
        <f>+IF(F185="i",IFERROR(VLOOKUP(C185,'BG 2023'!$B:$E,3,FALSE),0),0)</f>
        <v>0</v>
      </c>
      <c r="K185" s="21">
        <f>+IF(F185="i",IFERROR(VLOOKUP(C185,'BG 2023'!$B:$E,4,FALSE),0),0)</f>
        <v>0</v>
      </c>
      <c r="M185" s="15">
        <f>+VLOOKUP(C185,'BG 2023'!$B:$E,1,0)</f>
        <v>11401111</v>
      </c>
      <c r="N185" s="806">
        <f>+VLOOKUP(C185,'BG 2023'!$B:$E,3,0)</f>
        <v>3298357000</v>
      </c>
      <c r="O185" s="807">
        <f t="shared" si="11"/>
        <v>3298357000</v>
      </c>
      <c r="P185" s="807"/>
      <c r="R185" s="807">
        <f>+IFERROR(VLOOKUP(C185,'CA FE'!$A:$C,3,0),0)-G185</f>
        <v>0</v>
      </c>
    </row>
    <row r="186" spans="1:18" ht="12" customHeight="1">
      <c r="A186" s="354" t="s">
        <v>10</v>
      </c>
      <c r="B186" s="354" t="s">
        <v>49</v>
      </c>
      <c r="C186" s="355">
        <v>1140111101</v>
      </c>
      <c r="D186" s="354" t="s">
        <v>53</v>
      </c>
      <c r="E186" s="356" t="s">
        <v>634</v>
      </c>
      <c r="F186" s="356" t="str">
        <f t="shared" si="10"/>
        <v>I</v>
      </c>
      <c r="G186" s="28">
        <f>+IF(F186="i",IFERROR(VLOOKUP(C186,'BG 12.2024'!$B:$E,3,FALSE),0),0)</f>
        <v>1249280000</v>
      </c>
      <c r="H186" s="21">
        <f>+IF(F186="i",IFERROR(VLOOKUP(C186,'BG 12.2024'!$B:$E,4,FALSE),0),0)</f>
        <v>159524.78000000003</v>
      </c>
      <c r="I186" s="21"/>
      <c r="J186" s="28">
        <f>+IF(F186="i",IFERROR(VLOOKUP(C186,'BG 2023'!$B:$E,3,FALSE),0),0)</f>
        <v>3298357000</v>
      </c>
      <c r="K186" s="21">
        <f>+IF(F186="i",IFERROR(VLOOKUP(C186,'BG 2023'!$B:$E,4,FALSE),0),0)</f>
        <v>454094.60000000033</v>
      </c>
      <c r="M186" s="15">
        <f>+VLOOKUP(C186,'BG 2023'!$B:$E,1,0)</f>
        <v>1140111101</v>
      </c>
      <c r="N186" s="806">
        <f>+VLOOKUP(C186,'BG 2023'!$B:$E,3,0)</f>
        <v>3298357000</v>
      </c>
      <c r="O186" s="807">
        <f t="shared" si="11"/>
        <v>2049077000</v>
      </c>
      <c r="P186" s="807"/>
      <c r="R186" s="807">
        <f>+IFERROR(VLOOKUP(C186,'CA FE'!$A:$C,3,0),0)-G186</f>
        <v>0</v>
      </c>
    </row>
    <row r="187" spans="1:18" ht="12" customHeight="1">
      <c r="A187" s="354" t="s">
        <v>10</v>
      </c>
      <c r="B187" s="354"/>
      <c r="C187" s="355">
        <v>1140111</v>
      </c>
      <c r="D187" s="354" t="s">
        <v>51</v>
      </c>
      <c r="E187" s="356" t="s">
        <v>634</v>
      </c>
      <c r="F187" s="356" t="str">
        <f t="shared" ref="F187" si="12">+IF(LEN(C187)&gt;8,"I","NI")</f>
        <v>NI</v>
      </c>
      <c r="G187" s="28">
        <f>+IF(F187="i",IFERROR(VLOOKUP(C187,'BG 12.2024'!$B:$E,3,FALSE),0),0)</f>
        <v>0</v>
      </c>
      <c r="H187" s="21">
        <f>+IF(F187="i",IFERROR(VLOOKUP(C187,'BG 12.2024'!$B:$E,4,FALSE),0),0)</f>
        <v>0</v>
      </c>
      <c r="I187" s="21"/>
      <c r="J187" s="28">
        <f>+IF(F187="i",IFERROR(VLOOKUP(C187,'BG 2023'!$B:$E,3,FALSE),0),0)</f>
        <v>0</v>
      </c>
      <c r="K187" s="21">
        <f>+IF(F187="i",IFERROR(VLOOKUP(C187,'BG 2023'!$B:$E,4,FALSE),0),0)</f>
        <v>0</v>
      </c>
      <c r="M187" s="15">
        <f>+VLOOKUP(C187,'BG 2023'!$B:$E,1,0)</f>
        <v>1140111</v>
      </c>
      <c r="N187" s="806">
        <f>+VLOOKUP(C187,'BG 2023'!$B:$E,3,0)</f>
        <v>3298357000</v>
      </c>
      <c r="O187" s="807">
        <f t="shared" si="11"/>
        <v>3298357000</v>
      </c>
      <c r="P187" s="807"/>
      <c r="R187" s="807">
        <f>+IFERROR(VLOOKUP(C187,'CA FE'!$A:$C,3,0),0)-G187</f>
        <v>0</v>
      </c>
    </row>
    <row r="188" spans="1:18" ht="12" customHeight="1">
      <c r="A188" s="354" t="s">
        <v>10</v>
      </c>
      <c r="B188" s="354"/>
      <c r="C188" s="355">
        <v>1140112</v>
      </c>
      <c r="D188" s="354" t="s">
        <v>61</v>
      </c>
      <c r="E188" s="356" t="s">
        <v>634</v>
      </c>
      <c r="F188" s="356" t="str">
        <f t="shared" si="10"/>
        <v>NI</v>
      </c>
      <c r="G188" s="28">
        <f>+IF(F188="i",IFERROR(VLOOKUP(C188,'BG 12.2024'!$B:$E,3,FALSE),0),0)</f>
        <v>0</v>
      </c>
      <c r="H188" s="21">
        <f>+IF(F188="i",IFERROR(VLOOKUP(C188,'BG 12.2024'!$B:$E,4,FALSE),0),0)</f>
        <v>0</v>
      </c>
      <c r="I188" s="21"/>
      <c r="J188" s="28">
        <f>+IF(F188="i",IFERROR(VLOOKUP(C188,'BG 2023'!$B:$E,3,FALSE),0),0)</f>
        <v>0</v>
      </c>
      <c r="K188" s="21">
        <f>+IF(F188="i",IFERROR(VLOOKUP(C188,'BG 2023'!$B:$E,4,FALSE),0),0)</f>
        <v>0</v>
      </c>
      <c r="M188" s="15" t="e">
        <f>+VLOOKUP(C188,'BG 2023'!$B:$E,1,0)</f>
        <v>#N/A</v>
      </c>
      <c r="N188" s="806" t="e">
        <f>+VLOOKUP(C188,'BG 2023'!$B:$E,3,0)</f>
        <v>#N/A</v>
      </c>
      <c r="O188" s="807" t="e">
        <f t="shared" si="11"/>
        <v>#N/A</v>
      </c>
      <c r="P188" s="807"/>
      <c r="R188" s="807">
        <f>+IFERROR(VLOOKUP(C188,'CA FE'!$A:$C,3,0),0)-G188</f>
        <v>0</v>
      </c>
    </row>
    <row r="189" spans="1:18" ht="12" customHeight="1">
      <c r="A189" s="354" t="s">
        <v>10</v>
      </c>
      <c r="B189" s="354"/>
      <c r="C189" s="355">
        <v>1140113</v>
      </c>
      <c r="D189" s="354" t="s">
        <v>67</v>
      </c>
      <c r="E189" s="356" t="s">
        <v>634</v>
      </c>
      <c r="F189" s="356" t="str">
        <f t="shared" si="10"/>
        <v>NI</v>
      </c>
      <c r="G189" s="28">
        <f>+IF(F189="i",IFERROR(VLOOKUP(C189,'BG 12.2024'!$B:$E,3,FALSE),0),0)</f>
        <v>0</v>
      </c>
      <c r="H189" s="21">
        <f>+IF(F189="i",IFERROR(VLOOKUP(C189,'BG 12.2024'!$B:$E,4,FALSE),0),0)</f>
        <v>0</v>
      </c>
      <c r="I189" s="21"/>
      <c r="J189" s="28">
        <f>+IF(F189="i",IFERROR(VLOOKUP(C189,'BG 2023'!$B:$E,3,FALSE),0),0)</f>
        <v>0</v>
      </c>
      <c r="K189" s="21">
        <f>+IF(F189="i",IFERROR(VLOOKUP(C189,'BG 2023'!$B:$E,4,FALSE),0),0)</f>
        <v>0</v>
      </c>
      <c r="M189" s="15" t="e">
        <f>+VLOOKUP(C189,'BG 2023'!$B:$E,1,0)</f>
        <v>#N/A</v>
      </c>
      <c r="N189" s="806" t="e">
        <f>+VLOOKUP(C189,'BG 2023'!$B:$E,3,0)</f>
        <v>#N/A</v>
      </c>
      <c r="O189" s="807" t="e">
        <f t="shared" si="11"/>
        <v>#N/A</v>
      </c>
      <c r="P189" s="807"/>
      <c r="R189" s="807">
        <f>+IFERROR(VLOOKUP(C189,'CA FE'!$A:$C,3,0),0)-G189</f>
        <v>0</v>
      </c>
    </row>
    <row r="190" spans="1:18" ht="12" customHeight="1">
      <c r="A190" s="354" t="s">
        <v>10</v>
      </c>
      <c r="B190" s="354"/>
      <c r="C190" s="355">
        <v>1140114</v>
      </c>
      <c r="D190" s="354" t="s">
        <v>684</v>
      </c>
      <c r="E190" s="356" t="s">
        <v>634</v>
      </c>
      <c r="F190" s="356" t="str">
        <f t="shared" si="10"/>
        <v>NI</v>
      </c>
      <c r="G190" s="28">
        <f>+IF(F190="i",IFERROR(VLOOKUP(C190,'BG 12.2024'!$B:$E,3,FALSE),0),0)</f>
        <v>0</v>
      </c>
      <c r="H190" s="21">
        <f>+IF(F190="i",IFERROR(VLOOKUP(C190,'BG 12.2024'!$B:$E,4,FALSE),0),0)</f>
        <v>0</v>
      </c>
      <c r="I190" s="21"/>
      <c r="J190" s="28">
        <f>+IF(F190="i",IFERROR(VLOOKUP(C190,'BG 2023'!$B:$E,3,FALSE),0),0)</f>
        <v>0</v>
      </c>
      <c r="K190" s="21">
        <f>+IF(F190="i",IFERROR(VLOOKUP(C190,'BG 2023'!$B:$E,4,FALSE),0),0)</f>
        <v>0</v>
      </c>
      <c r="M190" s="15" t="e">
        <f>+VLOOKUP(C190,'BG 2023'!$B:$E,1,0)</f>
        <v>#N/A</v>
      </c>
      <c r="N190" s="806" t="e">
        <f>+VLOOKUP(C190,'BG 2023'!$B:$E,3,0)</f>
        <v>#N/A</v>
      </c>
      <c r="O190" s="807" t="e">
        <f t="shared" si="11"/>
        <v>#N/A</v>
      </c>
      <c r="P190" s="807"/>
      <c r="R190" s="807">
        <f>+IFERROR(VLOOKUP(C190,'CA FE'!$A:$C,3,0),0)-G190</f>
        <v>0</v>
      </c>
    </row>
    <row r="191" spans="1:18" ht="12" customHeight="1">
      <c r="A191" s="354" t="s">
        <v>10</v>
      </c>
      <c r="B191" s="354"/>
      <c r="C191" s="355">
        <v>1140115</v>
      </c>
      <c r="D191" s="354" t="s">
        <v>685</v>
      </c>
      <c r="E191" s="356" t="s">
        <v>634</v>
      </c>
      <c r="F191" s="356" t="str">
        <f t="shared" si="10"/>
        <v>NI</v>
      </c>
      <c r="G191" s="28">
        <f>+IF(F191="i",IFERROR(VLOOKUP(C191,'BG 12.2024'!$B:$E,3,FALSE),0),0)</f>
        <v>0</v>
      </c>
      <c r="H191" s="21">
        <f>+IF(F191="i",IFERROR(VLOOKUP(C191,'BG 12.2024'!$B:$E,4,FALSE),0),0)</f>
        <v>0</v>
      </c>
      <c r="I191" s="21"/>
      <c r="J191" s="28">
        <f>+IF(F191="i",IFERROR(VLOOKUP(C191,'BG 2023'!$B:$E,3,FALSE),0),0)</f>
        <v>0</v>
      </c>
      <c r="K191" s="21">
        <f>+IF(F191="i",IFERROR(VLOOKUP(C191,'BG 2023'!$B:$E,4,FALSE),0),0)</f>
        <v>0</v>
      </c>
      <c r="M191" s="15" t="e">
        <f>+VLOOKUP(C191,'BG 2023'!$B:$E,1,0)</f>
        <v>#N/A</v>
      </c>
      <c r="N191" s="806" t="e">
        <f>+VLOOKUP(C191,'BG 2023'!$B:$E,3,0)</f>
        <v>#N/A</v>
      </c>
      <c r="O191" s="807" t="e">
        <f t="shared" si="11"/>
        <v>#N/A</v>
      </c>
      <c r="P191" s="807"/>
      <c r="R191" s="807">
        <f>+IFERROR(VLOOKUP(C191,'CA FE'!$A:$C,3,0),0)-G191</f>
        <v>0</v>
      </c>
    </row>
    <row r="192" spans="1:18" ht="12" customHeight="1">
      <c r="A192" s="354" t="s">
        <v>10</v>
      </c>
      <c r="B192" s="354"/>
      <c r="C192" s="355">
        <v>1140116</v>
      </c>
      <c r="D192" s="354" t="s">
        <v>686</v>
      </c>
      <c r="E192" s="356" t="s">
        <v>634</v>
      </c>
      <c r="F192" s="356" t="str">
        <f t="shared" si="10"/>
        <v>NI</v>
      </c>
      <c r="G192" s="28">
        <f>+IF(F192="i",IFERROR(VLOOKUP(C192,'BG 12.2024'!$B:$E,3,FALSE),0),0)</f>
        <v>0</v>
      </c>
      <c r="H192" s="21">
        <f>+IF(F192="i",IFERROR(VLOOKUP(C192,'BG 12.2024'!$B:$E,4,FALSE),0),0)</f>
        <v>0</v>
      </c>
      <c r="I192" s="21"/>
      <c r="J192" s="28">
        <f>+IF(F192="i",IFERROR(VLOOKUP(C192,'BG 2023'!$B:$E,3,FALSE),0),0)</f>
        <v>0</v>
      </c>
      <c r="K192" s="21">
        <f>+IF(F192="i",IFERROR(VLOOKUP(C192,'BG 2023'!$B:$E,4,FALSE),0),0)</f>
        <v>0</v>
      </c>
      <c r="M192" s="15" t="e">
        <f>+VLOOKUP(C192,'BG 2023'!$B:$E,1,0)</f>
        <v>#N/A</v>
      </c>
      <c r="N192" s="806" t="e">
        <f>+VLOOKUP(C192,'BG 2023'!$B:$E,3,0)</f>
        <v>#N/A</v>
      </c>
      <c r="O192" s="807" t="e">
        <f t="shared" si="11"/>
        <v>#N/A</v>
      </c>
      <c r="P192" s="807"/>
      <c r="R192" s="807">
        <f>+IFERROR(VLOOKUP(C192,'CA FE'!$A:$C,3,0),0)-G192</f>
        <v>0</v>
      </c>
    </row>
    <row r="193" spans="1:18" ht="12" customHeight="1">
      <c r="A193" s="354" t="s">
        <v>10</v>
      </c>
      <c r="B193" s="354"/>
      <c r="C193" s="355">
        <v>114012</v>
      </c>
      <c r="D193" s="354" t="s">
        <v>687</v>
      </c>
      <c r="E193" s="356" t="s">
        <v>640</v>
      </c>
      <c r="F193" s="356" t="str">
        <f t="shared" si="10"/>
        <v>NI</v>
      </c>
      <c r="G193" s="28">
        <f>+IF(F193="i",IFERROR(VLOOKUP(C193,'BG 12.2024'!$B:$E,3,FALSE),0),0)</f>
        <v>0</v>
      </c>
      <c r="H193" s="21">
        <f>+IF(F193="i",IFERROR(VLOOKUP(C193,'BG 12.2024'!$B:$E,4,FALSE),0),0)</f>
        <v>0</v>
      </c>
      <c r="I193" s="21"/>
      <c r="J193" s="28">
        <f>+IF(F193="i",IFERROR(VLOOKUP(C193,'BG 2023'!$B:$E,3,FALSE),0),0)</f>
        <v>0</v>
      </c>
      <c r="K193" s="21">
        <f>+IF(F193="i",IFERROR(VLOOKUP(C193,'BG 2023'!$B:$E,4,FALSE),0),0)</f>
        <v>0</v>
      </c>
      <c r="M193" s="15" t="e">
        <f>+VLOOKUP(C193,'BG 2023'!$B:$E,1,0)</f>
        <v>#N/A</v>
      </c>
      <c r="N193" s="806" t="e">
        <f>+VLOOKUP(C193,'BG 2023'!$B:$E,3,0)</f>
        <v>#N/A</v>
      </c>
      <c r="O193" s="807" t="e">
        <f t="shared" si="11"/>
        <v>#N/A</v>
      </c>
      <c r="P193" s="807"/>
      <c r="R193" s="807">
        <f>+IFERROR(VLOOKUP(C193,'CA FE'!$A:$C,3,0),0)-G193</f>
        <v>0</v>
      </c>
    </row>
    <row r="194" spans="1:18" ht="12" customHeight="1">
      <c r="A194" s="354" t="s">
        <v>10</v>
      </c>
      <c r="B194" s="354"/>
      <c r="C194" s="355">
        <v>1140121</v>
      </c>
      <c r="D194" s="354" t="s">
        <v>51</v>
      </c>
      <c r="E194" s="356" t="s">
        <v>634</v>
      </c>
      <c r="F194" s="356" t="str">
        <f t="shared" si="10"/>
        <v>NI</v>
      </c>
      <c r="G194" s="28">
        <f>+IF(F194="i",IFERROR(VLOOKUP(C194,'BG 12.2024'!$B:$E,3,FALSE),0),0)</f>
        <v>0</v>
      </c>
      <c r="H194" s="21">
        <f>+IF(F194="i",IFERROR(VLOOKUP(C194,'BG 12.2024'!$B:$E,4,FALSE),0),0)</f>
        <v>0</v>
      </c>
      <c r="I194" s="21"/>
      <c r="J194" s="28">
        <f>+IF(F194="i",IFERROR(VLOOKUP(C194,'BG 2023'!$B:$E,3,FALSE),0),0)</f>
        <v>0</v>
      </c>
      <c r="K194" s="21">
        <f>+IF(F194="i",IFERROR(VLOOKUP(C194,'BG 2023'!$B:$E,4,FALSE),0),0)</f>
        <v>0</v>
      </c>
      <c r="M194" s="15" t="e">
        <f>+VLOOKUP(C194,'BG 2023'!$B:$E,1,0)</f>
        <v>#N/A</v>
      </c>
      <c r="N194" s="806" t="e">
        <f>+VLOOKUP(C194,'BG 2023'!$B:$E,3,0)</f>
        <v>#N/A</v>
      </c>
      <c r="O194" s="807" t="e">
        <f t="shared" si="11"/>
        <v>#N/A</v>
      </c>
      <c r="P194" s="807"/>
      <c r="R194" s="807">
        <f>+IFERROR(VLOOKUP(C194,'CA FE'!$A:$C,3,0),0)-G194</f>
        <v>0</v>
      </c>
    </row>
    <row r="195" spans="1:18" ht="12" customHeight="1">
      <c r="A195" s="354" t="s">
        <v>10</v>
      </c>
      <c r="B195" s="354"/>
      <c r="C195" s="355">
        <v>1140122</v>
      </c>
      <c r="D195" s="354" t="s">
        <v>61</v>
      </c>
      <c r="E195" s="356" t="s">
        <v>634</v>
      </c>
      <c r="F195" s="356" t="str">
        <f t="shared" si="10"/>
        <v>NI</v>
      </c>
      <c r="G195" s="28">
        <f>+IF(F195="i",IFERROR(VLOOKUP(C195,'BG 12.2024'!$B:$E,3,FALSE),0),0)</f>
        <v>0</v>
      </c>
      <c r="H195" s="21">
        <f>+IF(F195="i",IFERROR(VLOOKUP(C195,'BG 12.2024'!$B:$E,4,FALSE),0),0)</f>
        <v>0</v>
      </c>
      <c r="I195" s="21"/>
      <c r="J195" s="28">
        <f>+IF(F195="i",IFERROR(VLOOKUP(C195,'BG 2023'!$B:$E,3,FALSE),0),0)</f>
        <v>0</v>
      </c>
      <c r="K195" s="21">
        <f>+IF(F195="i",IFERROR(VLOOKUP(C195,'BG 2023'!$B:$E,4,FALSE),0),0)</f>
        <v>0</v>
      </c>
      <c r="M195" s="15" t="e">
        <f>+VLOOKUP(C195,'BG 2023'!$B:$E,1,0)</f>
        <v>#N/A</v>
      </c>
      <c r="N195" s="806" t="e">
        <f>+VLOOKUP(C195,'BG 2023'!$B:$E,3,0)</f>
        <v>#N/A</v>
      </c>
      <c r="O195" s="807" t="e">
        <f t="shared" si="11"/>
        <v>#N/A</v>
      </c>
      <c r="P195" s="807"/>
      <c r="R195" s="807">
        <f>+IFERROR(VLOOKUP(C195,'CA FE'!$A:$C,3,0),0)-G195</f>
        <v>0</v>
      </c>
    </row>
    <row r="196" spans="1:18" ht="12" customHeight="1">
      <c r="A196" s="354" t="s">
        <v>10</v>
      </c>
      <c r="B196" s="354"/>
      <c r="C196" s="355">
        <v>1140123</v>
      </c>
      <c r="D196" s="354" t="s">
        <v>67</v>
      </c>
      <c r="E196" s="356" t="s">
        <v>634</v>
      </c>
      <c r="F196" s="356" t="str">
        <f t="shared" si="10"/>
        <v>NI</v>
      </c>
      <c r="G196" s="28">
        <f>+IF(F196="i",IFERROR(VLOOKUP(C196,'BG 12.2024'!$B:$E,3,FALSE),0),0)</f>
        <v>0</v>
      </c>
      <c r="H196" s="21">
        <f>+IF(F196="i",IFERROR(VLOOKUP(C196,'BG 12.2024'!$B:$E,4,FALSE),0),0)</f>
        <v>0</v>
      </c>
      <c r="I196" s="21"/>
      <c r="J196" s="28">
        <f>+IF(F196="i",IFERROR(VLOOKUP(C196,'BG 2023'!$B:$E,3,FALSE),0),0)</f>
        <v>0</v>
      </c>
      <c r="K196" s="21">
        <f>+IF(F196="i",IFERROR(VLOOKUP(C196,'BG 2023'!$B:$E,4,FALSE),0),0)</f>
        <v>0</v>
      </c>
      <c r="M196" s="15" t="e">
        <f>+VLOOKUP(C196,'BG 2023'!$B:$E,1,0)</f>
        <v>#N/A</v>
      </c>
      <c r="N196" s="806" t="e">
        <f>+VLOOKUP(C196,'BG 2023'!$B:$E,3,0)</f>
        <v>#N/A</v>
      </c>
      <c r="O196" s="807" t="e">
        <f t="shared" si="11"/>
        <v>#N/A</v>
      </c>
      <c r="P196" s="807"/>
      <c r="R196" s="807">
        <f>+IFERROR(VLOOKUP(C196,'CA FE'!$A:$C,3,0),0)-G196</f>
        <v>0</v>
      </c>
    </row>
    <row r="197" spans="1:18" ht="12" customHeight="1">
      <c r="A197" s="354" t="s">
        <v>10</v>
      </c>
      <c r="B197" s="354"/>
      <c r="C197" s="355">
        <v>1140124</v>
      </c>
      <c r="D197" s="354" t="s">
        <v>684</v>
      </c>
      <c r="E197" s="356" t="s">
        <v>634</v>
      </c>
      <c r="F197" s="356" t="str">
        <f t="shared" si="10"/>
        <v>NI</v>
      </c>
      <c r="G197" s="28">
        <f>+IF(F197="i",IFERROR(VLOOKUP(C197,'BG 12.2024'!$B:$E,3,FALSE),0),0)</f>
        <v>0</v>
      </c>
      <c r="H197" s="21">
        <f>+IF(F197="i",IFERROR(VLOOKUP(C197,'BG 12.2024'!$B:$E,4,FALSE),0),0)</f>
        <v>0</v>
      </c>
      <c r="I197" s="21"/>
      <c r="J197" s="28">
        <f>+IF(F197="i",IFERROR(VLOOKUP(C197,'BG 2023'!$B:$E,3,FALSE),0),0)</f>
        <v>0</v>
      </c>
      <c r="K197" s="21">
        <f>+IF(F197="i",IFERROR(VLOOKUP(C197,'BG 2023'!$B:$E,4,FALSE),0),0)</f>
        <v>0</v>
      </c>
      <c r="M197" s="15" t="e">
        <f>+VLOOKUP(C197,'BG 2023'!$B:$E,1,0)</f>
        <v>#N/A</v>
      </c>
      <c r="N197" s="806" t="e">
        <f>+VLOOKUP(C197,'BG 2023'!$B:$E,3,0)</f>
        <v>#N/A</v>
      </c>
      <c r="O197" s="807" t="e">
        <f t="shared" si="11"/>
        <v>#N/A</v>
      </c>
      <c r="P197" s="807"/>
      <c r="R197" s="807">
        <f>+IFERROR(VLOOKUP(C197,'CA FE'!$A:$C,3,0),0)-G197</f>
        <v>0</v>
      </c>
    </row>
    <row r="198" spans="1:18" ht="12" customHeight="1">
      <c r="A198" s="354" t="s">
        <v>10</v>
      </c>
      <c r="B198" s="354"/>
      <c r="C198" s="355">
        <v>1140125</v>
      </c>
      <c r="D198" s="354" t="s">
        <v>685</v>
      </c>
      <c r="E198" s="356" t="s">
        <v>634</v>
      </c>
      <c r="F198" s="356" t="str">
        <f t="shared" si="10"/>
        <v>NI</v>
      </c>
      <c r="G198" s="28">
        <f>+IF(F198="i",IFERROR(VLOOKUP(C198,'BG 12.2024'!$B:$E,3,FALSE),0),0)</f>
        <v>0</v>
      </c>
      <c r="H198" s="21">
        <f>+IF(F198="i",IFERROR(VLOOKUP(C198,'BG 12.2024'!$B:$E,4,FALSE),0),0)</f>
        <v>0</v>
      </c>
      <c r="I198" s="21"/>
      <c r="J198" s="28">
        <f>+IF(F198="i",IFERROR(VLOOKUP(C198,'BG 2023'!$B:$E,3,FALSE),0),0)</f>
        <v>0</v>
      </c>
      <c r="K198" s="21">
        <f>+IF(F198="i",IFERROR(VLOOKUP(C198,'BG 2023'!$B:$E,4,FALSE),0),0)</f>
        <v>0</v>
      </c>
      <c r="M198" s="15" t="e">
        <f>+VLOOKUP(C198,'BG 2023'!$B:$E,1,0)</f>
        <v>#N/A</v>
      </c>
      <c r="N198" s="806" t="e">
        <f>+VLOOKUP(C198,'BG 2023'!$B:$E,3,0)</f>
        <v>#N/A</v>
      </c>
      <c r="O198" s="807" t="e">
        <f t="shared" si="11"/>
        <v>#N/A</v>
      </c>
      <c r="P198" s="807"/>
      <c r="R198" s="807">
        <f>+IFERROR(VLOOKUP(C198,'CA FE'!$A:$C,3,0),0)-G198</f>
        <v>0</v>
      </c>
    </row>
    <row r="199" spans="1:18" ht="12" customHeight="1">
      <c r="A199" s="354" t="s">
        <v>10</v>
      </c>
      <c r="B199" s="354"/>
      <c r="C199" s="355">
        <v>1140126</v>
      </c>
      <c r="D199" s="354" t="s">
        <v>686</v>
      </c>
      <c r="E199" s="356" t="s">
        <v>634</v>
      </c>
      <c r="F199" s="356" t="str">
        <f t="shared" si="10"/>
        <v>NI</v>
      </c>
      <c r="G199" s="28">
        <f>+IF(F199="i",IFERROR(VLOOKUP(C199,'BG 12.2024'!$B:$E,3,FALSE),0),0)</f>
        <v>0</v>
      </c>
      <c r="H199" s="21">
        <f>+IF(F199="i",IFERROR(VLOOKUP(C199,'BG 12.2024'!$B:$E,4,FALSE),0),0)</f>
        <v>0</v>
      </c>
      <c r="I199" s="21"/>
      <c r="J199" s="28">
        <f>+IF(F199="i",IFERROR(VLOOKUP(C199,'BG 2023'!$B:$E,3,FALSE),0),0)</f>
        <v>0</v>
      </c>
      <c r="K199" s="21">
        <f>+IF(F199="i",IFERROR(VLOOKUP(C199,'BG 2023'!$B:$E,4,FALSE),0),0)</f>
        <v>0</v>
      </c>
      <c r="M199" s="15" t="e">
        <f>+VLOOKUP(C199,'BG 2023'!$B:$E,1,0)</f>
        <v>#N/A</v>
      </c>
      <c r="N199" s="806" t="e">
        <f>+VLOOKUP(C199,'BG 2023'!$B:$E,3,0)</f>
        <v>#N/A</v>
      </c>
      <c r="O199" s="807" t="e">
        <f t="shared" si="11"/>
        <v>#N/A</v>
      </c>
      <c r="P199" s="807"/>
      <c r="R199" s="807">
        <f>+IFERROR(VLOOKUP(C199,'CA FE'!$A:$C,3,0),0)-G199</f>
        <v>0</v>
      </c>
    </row>
    <row r="200" spans="1:18" ht="12" customHeight="1">
      <c r="A200" s="354" t="s">
        <v>10</v>
      </c>
      <c r="B200" s="354"/>
      <c r="C200" s="355">
        <v>11402</v>
      </c>
      <c r="D200" s="354" t="s">
        <v>54</v>
      </c>
      <c r="E200" s="356" t="s">
        <v>634</v>
      </c>
      <c r="F200" s="356" t="str">
        <f t="shared" si="10"/>
        <v>NI</v>
      </c>
      <c r="G200" s="28">
        <f>+IF(F200="i",IFERROR(VLOOKUP(C200,'BG 12.2024'!$B:$E,3,FALSE),0),0)</f>
        <v>0</v>
      </c>
      <c r="H200" s="21">
        <f>+IF(F200="i",IFERROR(VLOOKUP(C200,'BG 12.2024'!$B:$E,4,FALSE),0),0)</f>
        <v>0</v>
      </c>
      <c r="I200" s="21"/>
      <c r="J200" s="28">
        <f>+IF(F200="i",IFERROR(VLOOKUP(C200,'BG 2023'!$B:$E,3,FALSE),0),0)</f>
        <v>0</v>
      </c>
      <c r="K200" s="21">
        <f>+IF(F200="i",IFERROR(VLOOKUP(C200,'BG 2023'!$B:$E,4,FALSE),0),0)</f>
        <v>0</v>
      </c>
      <c r="M200" s="15">
        <f>+VLOOKUP(C200,'BG 2023'!$B:$E,1,0)</f>
        <v>11402</v>
      </c>
      <c r="N200" s="806">
        <f>+VLOOKUP(C200,'BG 2023'!$B:$E,3,0)</f>
        <v>23832628126</v>
      </c>
      <c r="O200" s="807">
        <f t="shared" si="11"/>
        <v>23832628126</v>
      </c>
      <c r="P200" s="807"/>
      <c r="R200" s="807">
        <f>+IFERROR(VLOOKUP(C200,'CA FE'!$A:$C,3,0),0)-G200</f>
        <v>0</v>
      </c>
    </row>
    <row r="201" spans="1:18" ht="12" customHeight="1">
      <c r="A201" s="354" t="s">
        <v>10</v>
      </c>
      <c r="B201" s="354"/>
      <c r="C201" s="355">
        <v>114021</v>
      </c>
      <c r="D201" s="354" t="s">
        <v>55</v>
      </c>
      <c r="E201" s="356" t="s">
        <v>634</v>
      </c>
      <c r="F201" s="356" t="str">
        <f t="shared" si="10"/>
        <v>NI</v>
      </c>
      <c r="G201" s="28">
        <f>+IF(F201="i",IFERROR(VLOOKUP(C201,'BG 12.2024'!$B:$E,3,FALSE),0),0)</f>
        <v>0</v>
      </c>
      <c r="H201" s="21">
        <f>+IF(F201="i",IFERROR(VLOOKUP(C201,'BG 12.2024'!$B:$E,4,FALSE),0),0)</f>
        <v>0</v>
      </c>
      <c r="I201" s="21"/>
      <c r="J201" s="28">
        <f>+IF(F201="i",IFERROR(VLOOKUP(C201,'BG 2023'!$B:$E,3,FALSE),0),0)</f>
        <v>0</v>
      </c>
      <c r="K201" s="21">
        <f>+IF(F201="i",IFERROR(VLOOKUP(C201,'BG 2023'!$B:$E,4,FALSE),0),0)</f>
        <v>0</v>
      </c>
      <c r="M201" s="15">
        <f>+VLOOKUP(C201,'BG 2023'!$B:$E,1,0)</f>
        <v>114021</v>
      </c>
      <c r="N201" s="806">
        <f>+VLOOKUP(C201,'BG 2023'!$B:$E,3,0)</f>
        <v>23832628126</v>
      </c>
      <c r="O201" s="807">
        <f t="shared" si="11"/>
        <v>23832628126</v>
      </c>
      <c r="P201" s="807"/>
      <c r="R201" s="807">
        <f>+IFERROR(VLOOKUP(C201,'CA FE'!$A:$C,3,0),0)-G201</f>
        <v>0</v>
      </c>
    </row>
    <row r="202" spans="1:18" ht="12" customHeight="1">
      <c r="A202" s="354" t="s">
        <v>10</v>
      </c>
      <c r="B202" s="354"/>
      <c r="C202" s="355">
        <v>1140211</v>
      </c>
      <c r="D202" s="354" t="s">
        <v>129</v>
      </c>
      <c r="E202" s="356" t="s">
        <v>634</v>
      </c>
      <c r="F202" s="356" t="str">
        <f t="shared" si="10"/>
        <v>NI</v>
      </c>
      <c r="G202" s="28">
        <f>+IF(F202="i",IFERROR(VLOOKUP(C202,'BG 12.2024'!$B:$E,3,FALSE),0),0)</f>
        <v>0</v>
      </c>
      <c r="H202" s="21">
        <f>+IF(F202="i",IFERROR(VLOOKUP(C202,'BG 12.2024'!$B:$E,4,FALSE),0),0)</f>
        <v>0</v>
      </c>
      <c r="I202" s="21"/>
      <c r="J202" s="28">
        <f>+IF(F202="i",IFERROR(VLOOKUP(C202,'BG 2023'!$B:$E,3,FALSE),0),0)</f>
        <v>0</v>
      </c>
      <c r="K202" s="21">
        <f>+IF(F202="i",IFERROR(VLOOKUP(C202,'BG 2023'!$B:$E,4,FALSE),0),0)</f>
        <v>0</v>
      </c>
      <c r="M202" s="15" t="e">
        <f>+VLOOKUP(C202,'BG 2023'!$B:$E,1,0)</f>
        <v>#N/A</v>
      </c>
      <c r="N202" s="806" t="e">
        <f>+VLOOKUP(C202,'BG 2023'!$B:$E,3,0)</f>
        <v>#N/A</v>
      </c>
      <c r="O202" s="807" t="e">
        <f t="shared" si="11"/>
        <v>#N/A</v>
      </c>
      <c r="P202" s="807"/>
      <c r="R202" s="807">
        <f>+IFERROR(VLOOKUP(C202,'CA FE'!$A:$C,3,0),0)-G202</f>
        <v>0</v>
      </c>
    </row>
    <row r="203" spans="1:18" ht="12" customHeight="1">
      <c r="A203" s="354" t="s">
        <v>10</v>
      </c>
      <c r="B203" s="354"/>
      <c r="C203" s="355">
        <v>11402111</v>
      </c>
      <c r="D203" s="354" t="s">
        <v>525</v>
      </c>
      <c r="E203" s="356" t="s">
        <v>634</v>
      </c>
      <c r="F203" s="356" t="str">
        <f t="shared" si="10"/>
        <v>NI</v>
      </c>
      <c r="G203" s="28">
        <f>+IF(F203="i",IFERROR(VLOOKUP(C203,'BG 12.2024'!$B:$E,3,FALSE),0),0)</f>
        <v>0</v>
      </c>
      <c r="H203" s="21">
        <f>+IF(F203="i",IFERROR(VLOOKUP(C203,'BG 12.2024'!$B:$E,4,FALSE),0),0)</f>
        <v>0</v>
      </c>
      <c r="I203" s="21"/>
      <c r="J203" s="28">
        <f>+IF(F203="i",IFERROR(VLOOKUP(C203,'BG 2023'!$B:$E,3,FALSE),0),0)</f>
        <v>0</v>
      </c>
      <c r="K203" s="21">
        <f>+IF(F203="i",IFERROR(VLOOKUP(C203,'BG 2023'!$B:$E,4,FALSE),0),0)</f>
        <v>0</v>
      </c>
      <c r="M203" s="15" t="e">
        <f>+VLOOKUP(C203,'BG 2023'!$B:$E,1,0)</f>
        <v>#N/A</v>
      </c>
      <c r="N203" s="806" t="e">
        <f>+VLOOKUP(C203,'BG 2023'!$B:$E,3,0)</f>
        <v>#N/A</v>
      </c>
      <c r="O203" s="807" t="e">
        <f t="shared" si="11"/>
        <v>#N/A</v>
      </c>
      <c r="P203" s="807"/>
      <c r="R203" s="807">
        <f>+IFERROR(VLOOKUP(C203,'CA FE'!$A:$C,3,0),0)-G203</f>
        <v>0</v>
      </c>
    </row>
    <row r="204" spans="1:18" ht="12" customHeight="1">
      <c r="A204" s="354" t="s">
        <v>10</v>
      </c>
      <c r="B204" s="354" t="s">
        <v>688</v>
      </c>
      <c r="C204" s="355">
        <v>1140211101</v>
      </c>
      <c r="D204" s="354" t="s">
        <v>279</v>
      </c>
      <c r="E204" s="356" t="s">
        <v>634</v>
      </c>
      <c r="F204" s="356" t="str">
        <f t="shared" si="10"/>
        <v>I</v>
      </c>
      <c r="G204" s="28">
        <f>+IF(F204="i",IFERROR(VLOOKUP(C204,'BG 12.2024'!$B:$E,3,FALSE),0),0)</f>
        <v>6000000000</v>
      </c>
      <c r="H204" s="21">
        <f>+IF(F204="i",IFERROR(VLOOKUP(C204,'BG 12.2024'!$B:$E,4,FALSE),0),0)</f>
        <v>766160.23000000033</v>
      </c>
      <c r="I204" s="21"/>
      <c r="J204" s="28">
        <f>+IF(F204="i",IFERROR(VLOOKUP(C204,'BG 2023'!$B:$E,3,FALSE),0),0)</f>
        <v>0</v>
      </c>
      <c r="K204" s="21">
        <f>+IF(F204="i",IFERROR(VLOOKUP(C204,'BG 2023'!$B:$E,4,FALSE),0),0)</f>
        <v>0</v>
      </c>
      <c r="M204" s="15" t="e">
        <f>+VLOOKUP(C204,'BG 2023'!$B:$E,1,0)</f>
        <v>#N/A</v>
      </c>
      <c r="N204" s="806" t="e">
        <f>+VLOOKUP(C204,'BG 2023'!$B:$E,3,0)</f>
        <v>#N/A</v>
      </c>
      <c r="O204" s="807" t="e">
        <f t="shared" si="11"/>
        <v>#N/A</v>
      </c>
      <c r="P204" s="807"/>
      <c r="R204" s="807">
        <f>+IFERROR(VLOOKUP(C204,'CA FE'!$A:$C,3,0),0)-G204</f>
        <v>0</v>
      </c>
    </row>
    <row r="205" spans="1:18" ht="12" customHeight="1">
      <c r="A205" s="354" t="s">
        <v>10</v>
      </c>
      <c r="B205" s="354"/>
      <c r="C205" s="355">
        <v>1140211102</v>
      </c>
      <c r="D205" s="354" t="s">
        <v>689</v>
      </c>
      <c r="E205" s="356" t="s">
        <v>640</v>
      </c>
      <c r="F205" s="356" t="str">
        <f t="shared" si="10"/>
        <v>I</v>
      </c>
      <c r="G205" s="28">
        <f>+IF(F205="i",IFERROR(VLOOKUP(C205,'BG 12.2024'!$B:$E,3,FALSE),0),0)</f>
        <v>0</v>
      </c>
      <c r="H205" s="21">
        <f>+IF(F205="i",IFERROR(VLOOKUP(C205,'BG 12.2024'!$B:$E,4,FALSE),0),0)</f>
        <v>0</v>
      </c>
      <c r="I205" s="21"/>
      <c r="J205" s="28">
        <f>+IF(F205="i",IFERROR(VLOOKUP(C205,'BG 2023'!$B:$E,3,FALSE),0),0)</f>
        <v>0</v>
      </c>
      <c r="K205" s="21">
        <f>+IF(F205="i",IFERROR(VLOOKUP(C205,'BG 2023'!$B:$E,4,FALSE),0),0)</f>
        <v>0</v>
      </c>
      <c r="M205" s="15" t="e">
        <f>+VLOOKUP(C205,'BG 2023'!$B:$E,1,0)</f>
        <v>#N/A</v>
      </c>
      <c r="N205" s="806" t="e">
        <f>+VLOOKUP(C205,'BG 2023'!$B:$E,3,0)</f>
        <v>#N/A</v>
      </c>
      <c r="O205" s="807" t="e">
        <f t="shared" si="11"/>
        <v>#N/A</v>
      </c>
      <c r="P205" s="807"/>
      <c r="R205" s="807">
        <f>+IFERROR(VLOOKUP(C205,'CA FE'!$A:$C,3,0),0)-G205</f>
        <v>0</v>
      </c>
    </row>
    <row r="206" spans="1:18" ht="12" customHeight="1">
      <c r="A206" s="354" t="s">
        <v>10</v>
      </c>
      <c r="B206" s="354"/>
      <c r="C206" s="355">
        <v>11402112</v>
      </c>
      <c r="D206" s="354" t="s">
        <v>132</v>
      </c>
      <c r="E206" s="356" t="s">
        <v>634</v>
      </c>
      <c r="F206" s="356" t="str">
        <f t="shared" ref="F206" si="13">+IF(LEN(C206)&gt;8,"I","NI")</f>
        <v>NI</v>
      </c>
      <c r="G206" s="28">
        <f>+IF(F206="i",IFERROR(VLOOKUP(C206,'BG 12.2024'!$B:$E,3,FALSE),0),0)</f>
        <v>0</v>
      </c>
      <c r="H206" s="21">
        <f>+IF(F206="i",IFERROR(VLOOKUP(C206,'BG 12.2024'!$B:$E,4,FALSE),0),0)</f>
        <v>0</v>
      </c>
      <c r="I206" s="21"/>
      <c r="J206" s="28">
        <f>+IF(F206="i",IFERROR(VLOOKUP(C206,'BG 2023'!$B:$E,3,FALSE),0),0)</f>
        <v>0</v>
      </c>
      <c r="K206" s="21">
        <f>+IF(F206="i",IFERROR(VLOOKUP(C206,'BG 2023'!$B:$E,4,FALSE),0),0)</f>
        <v>0</v>
      </c>
      <c r="M206" s="15" t="e">
        <f>+VLOOKUP(C206,'BG 2023'!$B:$E,1,0)</f>
        <v>#N/A</v>
      </c>
      <c r="N206" s="806" t="e">
        <f>+VLOOKUP(C206,'BG 2023'!$B:$E,3,0)</f>
        <v>#N/A</v>
      </c>
      <c r="O206" s="807" t="e">
        <f t="shared" si="11"/>
        <v>#N/A</v>
      </c>
      <c r="P206" s="807"/>
      <c r="R206" s="807">
        <f>+IFERROR(VLOOKUP(C206,'CA FE'!$A:$C,3,0),0)-G206</f>
        <v>0</v>
      </c>
    </row>
    <row r="207" spans="1:18" ht="12" customHeight="1">
      <c r="A207" s="354" t="s">
        <v>10</v>
      </c>
      <c r="B207" s="354" t="s">
        <v>688</v>
      </c>
      <c r="C207" s="355">
        <v>1140211201</v>
      </c>
      <c r="D207" s="354" t="s">
        <v>132</v>
      </c>
      <c r="E207" s="356" t="s">
        <v>634</v>
      </c>
      <c r="F207" s="356" t="str">
        <f t="shared" si="10"/>
        <v>I</v>
      </c>
      <c r="G207" s="28">
        <f>+IF(F207="i",IFERROR(VLOOKUP(C207,'BG 12.2024'!$B:$E,3,FALSE),0),0)</f>
        <v>0</v>
      </c>
      <c r="H207" s="21">
        <f>+IF(F207="i",IFERROR(VLOOKUP(C207,'BG 12.2024'!$B:$E,4,FALSE),0),0)</f>
        <v>0</v>
      </c>
      <c r="I207" s="21"/>
      <c r="J207" s="28">
        <f>+IF(F207="i",IFERROR(VLOOKUP(C207,'BG 2023'!$B:$E,3,FALSE),0),0)</f>
        <v>0</v>
      </c>
      <c r="K207" s="21">
        <f>+IF(F207="i",IFERROR(VLOOKUP(C207,'BG 2023'!$B:$E,4,FALSE),0),0)</f>
        <v>0</v>
      </c>
      <c r="M207" s="15" t="e">
        <f>+VLOOKUP(C207,'BG 2023'!$B:$E,1,0)</f>
        <v>#N/A</v>
      </c>
      <c r="N207" s="806" t="e">
        <f>+VLOOKUP(C207,'BG 2023'!$B:$E,3,0)</f>
        <v>#N/A</v>
      </c>
      <c r="O207" s="807" t="e">
        <f t="shared" si="11"/>
        <v>#N/A</v>
      </c>
      <c r="P207" s="807"/>
      <c r="R207" s="807">
        <f>+IFERROR(VLOOKUP(C207,'CA FE'!$A:$C,3,0),0)-G207</f>
        <v>0</v>
      </c>
    </row>
    <row r="208" spans="1:18" ht="12" customHeight="1">
      <c r="A208" s="354" t="s">
        <v>10</v>
      </c>
      <c r="B208" s="354"/>
      <c r="C208" s="355">
        <v>1140212</v>
      </c>
      <c r="D208" s="354" t="s">
        <v>51</v>
      </c>
      <c r="E208" s="356" t="s">
        <v>634</v>
      </c>
      <c r="F208" s="356" t="str">
        <f t="shared" si="10"/>
        <v>NI</v>
      </c>
      <c r="G208" s="28">
        <f>+IF(F208="i",IFERROR(VLOOKUP(C208,'BG 12.2024'!$B:$E,3,FALSE),0),0)</f>
        <v>0</v>
      </c>
      <c r="H208" s="21">
        <f>+IF(F208="i",IFERROR(VLOOKUP(C208,'BG 12.2024'!$B:$E,4,FALSE),0),0)</f>
        <v>0</v>
      </c>
      <c r="I208" s="21"/>
      <c r="J208" s="28">
        <f>+IF(F208="i",IFERROR(VLOOKUP(C208,'BG 2023'!$B:$E,3,FALSE),0),0)</f>
        <v>0</v>
      </c>
      <c r="K208" s="21">
        <f>+IF(F208="i",IFERROR(VLOOKUP(C208,'BG 2023'!$B:$E,4,FALSE),0),0)</f>
        <v>0</v>
      </c>
      <c r="M208" s="15">
        <f>+VLOOKUP(C208,'BG 2023'!$B:$E,1,0)</f>
        <v>1140212</v>
      </c>
      <c r="N208" s="806">
        <f>+VLOOKUP(C208,'BG 2023'!$B:$E,3,0)</f>
        <v>13942897500</v>
      </c>
      <c r="O208" s="807">
        <f t="shared" si="11"/>
        <v>13942897500</v>
      </c>
      <c r="P208" s="807"/>
      <c r="R208" s="807">
        <f>+IFERROR(VLOOKUP(C208,'CA FE'!$A:$C,3,0),0)-G208</f>
        <v>0</v>
      </c>
    </row>
    <row r="209" spans="1:18" ht="12" customHeight="1">
      <c r="A209" s="354" t="s">
        <v>10</v>
      </c>
      <c r="B209" s="354"/>
      <c r="C209" s="355">
        <v>11402121</v>
      </c>
      <c r="D209" s="354" t="s">
        <v>56</v>
      </c>
      <c r="E209" s="356" t="s">
        <v>634</v>
      </c>
      <c r="F209" s="356" t="str">
        <f t="shared" si="10"/>
        <v>NI</v>
      </c>
      <c r="G209" s="28">
        <f>+IF(F209="i",IFERROR(VLOOKUP(C209,'BG 12.2024'!$B:$E,3,FALSE),0),0)</f>
        <v>0</v>
      </c>
      <c r="H209" s="21">
        <f>+IF(F209="i",IFERROR(VLOOKUP(C209,'BG 12.2024'!$B:$E,4,FALSE),0),0)</f>
        <v>0</v>
      </c>
      <c r="I209" s="21"/>
      <c r="J209" s="28">
        <f>+IF(F209="i",IFERROR(VLOOKUP(C209,'BG 2023'!$B:$E,3,FALSE),0),0)</f>
        <v>0</v>
      </c>
      <c r="K209" s="21">
        <f>+IF(F209="i",IFERROR(VLOOKUP(C209,'BG 2023'!$B:$E,4,FALSE),0),0)</f>
        <v>0</v>
      </c>
      <c r="M209" s="15">
        <f>+VLOOKUP(C209,'BG 2023'!$B:$E,1,0)</f>
        <v>11402121</v>
      </c>
      <c r="N209" s="806">
        <f>+VLOOKUP(C209,'BG 2023'!$B:$E,3,0)</f>
        <v>3327000000</v>
      </c>
      <c r="O209" s="807">
        <f t="shared" si="11"/>
        <v>3327000000</v>
      </c>
      <c r="P209" s="807"/>
      <c r="R209" s="807">
        <f>+IFERROR(VLOOKUP(C209,'CA FE'!$A:$C,3,0),0)-G209</f>
        <v>0</v>
      </c>
    </row>
    <row r="210" spans="1:18" ht="12" customHeight="1">
      <c r="A210" s="354" t="s">
        <v>10</v>
      </c>
      <c r="B210" s="354" t="s">
        <v>688</v>
      </c>
      <c r="C210" s="355">
        <v>1140212101</v>
      </c>
      <c r="D210" s="354" t="s">
        <v>57</v>
      </c>
      <c r="E210" s="356" t="s">
        <v>634</v>
      </c>
      <c r="F210" s="356" t="str">
        <f t="shared" si="10"/>
        <v>I</v>
      </c>
      <c r="G210" s="28">
        <f>+IF(F210="i",IFERROR(VLOOKUP(C210,'BG 12.2024'!$B:$E,3,FALSE),0),0)</f>
        <v>3946000000</v>
      </c>
      <c r="H210" s="21">
        <f>+IF(F210="i",IFERROR(VLOOKUP(C210,'BG 12.2024'!$B:$E,4,FALSE),0),0)</f>
        <v>503878.04999999981</v>
      </c>
      <c r="I210" s="21"/>
      <c r="J210" s="28">
        <f>+IF(F210="i",IFERROR(VLOOKUP(C210,'BG 2023'!$B:$E,3,FALSE),0),0)</f>
        <v>3327000000</v>
      </c>
      <c r="K210" s="21">
        <f>+IF(F210="i",IFERROR(VLOOKUP(C210,'BG 2023'!$B:$E,4,FALSE),0),0)</f>
        <v>458037.97</v>
      </c>
      <c r="M210" s="15">
        <f>+VLOOKUP(C210,'BG 2023'!$B:$E,1,0)</f>
        <v>1140212101</v>
      </c>
      <c r="N210" s="806">
        <f>+VLOOKUP(C210,'BG 2023'!$B:$E,3,0)</f>
        <v>3327000000</v>
      </c>
      <c r="O210" s="807">
        <f t="shared" si="11"/>
        <v>-619000000</v>
      </c>
      <c r="P210" s="807"/>
      <c r="R210" s="807">
        <f>+IFERROR(VLOOKUP(C210,'CA FE'!$A:$C,3,0),0)-G210</f>
        <v>0</v>
      </c>
    </row>
    <row r="211" spans="1:18" ht="12" customHeight="1">
      <c r="A211" s="354" t="s">
        <v>10</v>
      </c>
      <c r="B211" s="354" t="s">
        <v>688</v>
      </c>
      <c r="C211" s="355">
        <v>1140212102</v>
      </c>
      <c r="D211" s="354" t="s">
        <v>254</v>
      </c>
      <c r="E211" s="356" t="s">
        <v>640</v>
      </c>
      <c r="F211" s="356" t="str">
        <f t="shared" si="10"/>
        <v>I</v>
      </c>
      <c r="G211" s="28">
        <f>+IF(F211="i",IFERROR(VLOOKUP(C211,'BG 12.2024'!$B:$E,3,FALSE),0),0)</f>
        <v>2153596500</v>
      </c>
      <c r="H211" s="1229">
        <f>+IF(F211="i",IFERROR(VLOOKUP(C211,'BG 12.2024'!$B:$E,4,FALSE),0),0)</f>
        <v>275000</v>
      </c>
      <c r="I211" s="21"/>
      <c r="J211" s="28">
        <f>+IF(F211="i",IFERROR(VLOOKUP(C211,'BG 2023'!$B:$E,3,FALSE),0),0)</f>
        <v>0</v>
      </c>
      <c r="K211" s="21">
        <f>+IF(F211="i",IFERROR(VLOOKUP(C211,'BG 2023'!$B:$E,4,FALSE),0),0)</f>
        <v>0</v>
      </c>
      <c r="M211" s="15" t="e">
        <f>+VLOOKUP(C211,'BG 2023'!$B:$E,1,0)</f>
        <v>#N/A</v>
      </c>
      <c r="N211" s="806" t="e">
        <f>+VLOOKUP(C211,'BG 2023'!$B:$E,3,0)</f>
        <v>#N/A</v>
      </c>
      <c r="O211" s="807" t="e">
        <f t="shared" si="11"/>
        <v>#N/A</v>
      </c>
      <c r="P211" s="807"/>
      <c r="R211" s="807">
        <f>+IFERROR(VLOOKUP(C211,'CA FE'!$A:$C,3,0),0)-G211</f>
        <v>0</v>
      </c>
    </row>
    <row r="212" spans="1:18" ht="12" customHeight="1">
      <c r="A212" s="354" t="s">
        <v>10</v>
      </c>
      <c r="B212" s="354"/>
      <c r="C212" s="355">
        <v>11402122</v>
      </c>
      <c r="D212" s="354" t="s">
        <v>526</v>
      </c>
      <c r="E212" s="356" t="s">
        <v>634</v>
      </c>
      <c r="F212" s="356" t="str">
        <f t="shared" si="10"/>
        <v>NI</v>
      </c>
      <c r="G212" s="28">
        <f>+IF(F212="i",IFERROR(VLOOKUP(C212,'BG 12.2024'!$B:$E,3,FALSE),0),0)</f>
        <v>0</v>
      </c>
      <c r="H212" s="21">
        <f>+IF(F212="i",IFERROR(VLOOKUP(C212,'BG 12.2024'!$B:$E,4,FALSE),0),0)</f>
        <v>0</v>
      </c>
      <c r="I212" s="21"/>
      <c r="J212" s="28">
        <f>+IF(F212="i",IFERROR(VLOOKUP(C212,'BG 2023'!$B:$E,3,FALSE),0),0)</f>
        <v>0</v>
      </c>
      <c r="K212" s="21">
        <f>+IF(F212="i",IFERROR(VLOOKUP(C212,'BG 2023'!$B:$E,4,FALSE),0),0)</f>
        <v>0</v>
      </c>
      <c r="M212" s="15" t="e">
        <f>+VLOOKUP(C212,'BG 2023'!$B:$E,1,0)</f>
        <v>#N/A</v>
      </c>
      <c r="N212" s="806" t="e">
        <f>+VLOOKUP(C212,'BG 2023'!$B:$E,3,0)</f>
        <v>#N/A</v>
      </c>
      <c r="O212" s="807" t="e">
        <f t="shared" si="11"/>
        <v>#N/A</v>
      </c>
      <c r="P212" s="807"/>
      <c r="R212" s="807">
        <f>+IFERROR(VLOOKUP(C212,'CA FE'!$A:$C,3,0),0)-G212</f>
        <v>0</v>
      </c>
    </row>
    <row r="213" spans="1:18" ht="12" customHeight="1">
      <c r="A213" s="354" t="s">
        <v>10</v>
      </c>
      <c r="B213" s="354" t="s">
        <v>688</v>
      </c>
      <c r="C213" s="355">
        <v>1140212201</v>
      </c>
      <c r="D213" s="354" t="s">
        <v>256</v>
      </c>
      <c r="E213" s="356" t="s">
        <v>634</v>
      </c>
      <c r="F213" s="356" t="str">
        <f t="shared" si="10"/>
        <v>I</v>
      </c>
      <c r="G213" s="28">
        <f>+IF(F213="i",IFERROR(VLOOKUP(C213,'BG 12.2024'!$B:$E,3,FALSE),0),0)</f>
        <v>1561000000</v>
      </c>
      <c r="H213" s="21">
        <f>+IF(F213="i",IFERROR(VLOOKUP(C213,'BG 12.2024'!$B:$E,4,FALSE),0),0)</f>
        <v>199329.35000000009</v>
      </c>
      <c r="I213" s="21"/>
      <c r="J213" s="28">
        <f>+IF(F213="i",IFERROR(VLOOKUP(C213,'BG 2023'!$B:$E,3,FALSE),0),0)</f>
        <v>0</v>
      </c>
      <c r="K213" s="21">
        <f>+IF(F213="i",IFERROR(VLOOKUP(C213,'BG 2023'!$B:$E,4,FALSE),0),0)</f>
        <v>0</v>
      </c>
      <c r="M213" s="15" t="e">
        <f>+VLOOKUP(C213,'BG 2023'!$B:$E,1,0)</f>
        <v>#N/A</v>
      </c>
      <c r="N213" s="806" t="e">
        <f>+VLOOKUP(C213,'BG 2023'!$B:$E,3,0)</f>
        <v>#N/A</v>
      </c>
      <c r="O213" s="807" t="e">
        <f t="shared" si="11"/>
        <v>#N/A</v>
      </c>
      <c r="P213" s="807"/>
      <c r="R213" s="807">
        <f>+IFERROR(VLOOKUP(C213,'CA FE'!$A:$C,3,0),0)-G213</f>
        <v>0</v>
      </c>
    </row>
    <row r="214" spans="1:18" ht="12" customHeight="1">
      <c r="A214" s="354" t="s">
        <v>10</v>
      </c>
      <c r="B214" s="354" t="s">
        <v>688</v>
      </c>
      <c r="C214" s="355">
        <v>1140212202</v>
      </c>
      <c r="D214" s="354" t="s">
        <v>258</v>
      </c>
      <c r="E214" s="356" t="s">
        <v>640</v>
      </c>
      <c r="F214" s="356" t="str">
        <f t="shared" si="10"/>
        <v>I</v>
      </c>
      <c r="G214" s="28">
        <f>+IF(F214="i",IFERROR(VLOOKUP(C214,'BG 12.2024'!$B:$E,3,FALSE),0),0)</f>
        <v>1143363960</v>
      </c>
      <c r="H214" s="1229">
        <f>+IF(F214="i",IFERROR(VLOOKUP(C214,'BG 12.2024'!$B:$E,4,FALSE),0),0)</f>
        <v>146000</v>
      </c>
      <c r="I214" s="21"/>
      <c r="J214" s="28">
        <f>+IF(F214="i",IFERROR(VLOOKUP(C214,'BG 2023'!$B:$E,3,FALSE),0),0)</f>
        <v>0</v>
      </c>
      <c r="K214" s="21">
        <f>+IF(F214="i",IFERROR(VLOOKUP(C214,'BG 2023'!$B:$E,4,FALSE),0),0)</f>
        <v>0</v>
      </c>
      <c r="M214" s="15" t="e">
        <f>+VLOOKUP(C214,'BG 2023'!$B:$E,1,0)</f>
        <v>#N/A</v>
      </c>
      <c r="N214" s="806" t="e">
        <f>+VLOOKUP(C214,'BG 2023'!$B:$E,3,0)</f>
        <v>#N/A</v>
      </c>
      <c r="O214" s="807" t="e">
        <f t="shared" si="11"/>
        <v>#N/A</v>
      </c>
      <c r="P214" s="807"/>
      <c r="R214" s="807">
        <f>+IFERROR(VLOOKUP(C214,'CA FE'!$A:$C,3,0),0)-G214</f>
        <v>0</v>
      </c>
    </row>
    <row r="215" spans="1:18" ht="12" customHeight="1">
      <c r="A215" s="354" t="s">
        <v>10</v>
      </c>
      <c r="B215" s="354"/>
      <c r="C215" s="355">
        <v>11402123</v>
      </c>
      <c r="D215" s="354" t="s">
        <v>58</v>
      </c>
      <c r="E215" s="356" t="s">
        <v>634</v>
      </c>
      <c r="F215" s="356" t="str">
        <f t="shared" si="10"/>
        <v>NI</v>
      </c>
      <c r="G215" s="28">
        <f>+IF(F215="i",IFERROR(VLOOKUP(C215,'BG 12.2024'!$B:$E,3,FALSE),0),0)</f>
        <v>0</v>
      </c>
      <c r="H215" s="21">
        <f>+IF(F215="i",IFERROR(VLOOKUP(C215,'BG 12.2024'!$B:$E,4,FALSE),0),0)</f>
        <v>0</v>
      </c>
      <c r="I215" s="21"/>
      <c r="J215" s="28">
        <f>+IF(F215="i",IFERROR(VLOOKUP(C215,'BG 2023'!$B:$E,3,FALSE),0),0)</f>
        <v>0</v>
      </c>
      <c r="K215" s="21">
        <f>+IF(F215="i",IFERROR(VLOOKUP(C215,'BG 2023'!$B:$E,4,FALSE),0),0)</f>
        <v>0</v>
      </c>
      <c r="M215" s="15">
        <f>+VLOOKUP(C215,'BG 2023'!$B:$E,1,0)</f>
        <v>11402123</v>
      </c>
      <c r="N215" s="806">
        <f>+VLOOKUP(C215,'BG 2023'!$B:$E,3,0)</f>
        <v>10615897500</v>
      </c>
      <c r="O215" s="807">
        <f t="shared" si="11"/>
        <v>10615897500</v>
      </c>
      <c r="P215" s="807"/>
      <c r="R215" s="807">
        <f>+IFERROR(VLOOKUP(C215,'CA FE'!$A:$C,3,0),0)-G215</f>
        <v>0</v>
      </c>
    </row>
    <row r="216" spans="1:18" ht="12" customHeight="1">
      <c r="A216" s="354" t="s">
        <v>10</v>
      </c>
      <c r="B216" s="354" t="s">
        <v>688</v>
      </c>
      <c r="C216" s="355">
        <v>1140212301</v>
      </c>
      <c r="D216" s="354" t="s">
        <v>59</v>
      </c>
      <c r="E216" s="356" t="s">
        <v>634</v>
      </c>
      <c r="F216" s="356" t="str">
        <f t="shared" si="10"/>
        <v>I</v>
      </c>
      <c r="G216" s="28">
        <f>+IF(F216="i",IFERROR(VLOOKUP(C216,'BG 12.2024'!$B:$E,3,FALSE),0),0)</f>
        <v>12550000000</v>
      </c>
      <c r="H216" s="21">
        <f>+IF(F216="i",IFERROR(VLOOKUP(C216,'BG 12.2024'!$B:$E,4,FALSE),0),0)</f>
        <v>1602551.8199999928</v>
      </c>
      <c r="I216" s="21"/>
      <c r="J216" s="28">
        <f>+IF(F216="i",IFERROR(VLOOKUP(C216,'BG 2023'!$B:$E,3,FALSE),0),0)</f>
        <v>8800000000</v>
      </c>
      <c r="K216" s="21">
        <f>+IF(F216="i",IFERROR(VLOOKUP(C216,'BG 2023'!$B:$E,4,FALSE),0),0)</f>
        <v>1211522.129999999</v>
      </c>
      <c r="M216" s="15">
        <f>+VLOOKUP(C216,'BG 2023'!$B:$E,1,0)</f>
        <v>1140212301</v>
      </c>
      <c r="N216" s="806">
        <f>+VLOOKUP(C216,'BG 2023'!$B:$E,3,0)</f>
        <v>8800000000</v>
      </c>
      <c r="O216" s="807">
        <f t="shared" si="11"/>
        <v>-3750000000</v>
      </c>
      <c r="P216" s="807"/>
      <c r="R216" s="807">
        <f>+IFERROR(VLOOKUP(C216,'CA FE'!$A:$C,3,0),0)-G216</f>
        <v>0</v>
      </c>
    </row>
    <row r="217" spans="1:18" ht="12" customHeight="1">
      <c r="A217" s="354" t="s">
        <v>10</v>
      </c>
      <c r="B217" s="354" t="s">
        <v>688</v>
      </c>
      <c r="C217" s="355">
        <v>1140212302</v>
      </c>
      <c r="D217" s="354" t="s">
        <v>60</v>
      </c>
      <c r="E217" s="356" t="s">
        <v>640</v>
      </c>
      <c r="F217" s="356" t="str">
        <f t="shared" si="10"/>
        <v>I</v>
      </c>
      <c r="G217" s="28">
        <f>+IF(F217="i",IFERROR(VLOOKUP(C217,'BG 12.2024'!$B:$E,3,FALSE),0),0)</f>
        <v>1409626800</v>
      </c>
      <c r="H217" s="1229">
        <f>+IF(F217="i",IFERROR(VLOOKUP(C217,'BG 12.2024'!$B:$E,4,FALSE),0),0)</f>
        <v>180000</v>
      </c>
      <c r="I217" s="21"/>
      <c r="J217" s="28">
        <f>+IF(F217="i",IFERROR(VLOOKUP(C217,'BG 2023'!$B:$E,3,FALSE),0),0)</f>
        <v>1815897500</v>
      </c>
      <c r="K217" s="840">
        <f>+IF(F217="i",IFERROR(VLOOKUP(C217,'BG 2023'!$B:$E,4,FALSE),0),0)</f>
        <v>250000</v>
      </c>
      <c r="M217" s="15">
        <f>+VLOOKUP(C217,'BG 2023'!$B:$E,1,0)</f>
        <v>1140212302</v>
      </c>
      <c r="N217" s="806">
        <f>+VLOOKUP(C217,'BG 2023'!$B:$E,3,0)</f>
        <v>1815897500</v>
      </c>
      <c r="O217" s="807">
        <f t="shared" si="11"/>
        <v>406270700</v>
      </c>
      <c r="P217" s="807"/>
      <c r="R217" s="807">
        <f>+IFERROR(VLOOKUP(C217,'CA FE'!$A:$C,3,0),0)-G217</f>
        <v>0</v>
      </c>
    </row>
    <row r="218" spans="1:18" ht="12" customHeight="1">
      <c r="A218" s="354" t="s">
        <v>10</v>
      </c>
      <c r="B218" s="354"/>
      <c r="C218" s="355">
        <v>1140213</v>
      </c>
      <c r="D218" s="354" t="s">
        <v>61</v>
      </c>
      <c r="E218" s="356" t="s">
        <v>634</v>
      </c>
      <c r="F218" s="356" t="str">
        <f t="shared" si="10"/>
        <v>NI</v>
      </c>
      <c r="G218" s="28">
        <f>+IF(F218="i",IFERROR(VLOOKUP(C218,'BG 12.2024'!$B:$E,3,FALSE),0),0)</f>
        <v>0</v>
      </c>
      <c r="H218" s="21">
        <f>+IF(F218="i",IFERROR(VLOOKUP(C218,'BG 12.2024'!$B:$E,4,FALSE),0),0)</f>
        <v>0</v>
      </c>
      <c r="I218" s="21"/>
      <c r="J218" s="28">
        <f>+IF(F218="i",IFERROR(VLOOKUP(C218,'BG 2023'!$B:$E,3,FALSE),0),0)</f>
        <v>0</v>
      </c>
      <c r="K218" s="21">
        <f>+IF(F218="i",IFERROR(VLOOKUP(C218,'BG 2023'!$B:$E,4,FALSE),0),0)</f>
        <v>0</v>
      </c>
      <c r="M218" s="15">
        <f>+VLOOKUP(C218,'BG 2023'!$B:$E,1,0)</f>
        <v>1140213</v>
      </c>
      <c r="N218" s="806">
        <f>+VLOOKUP(C218,'BG 2023'!$B:$E,3,0)</f>
        <v>5451680060</v>
      </c>
      <c r="O218" s="807">
        <f t="shared" si="11"/>
        <v>5451680060</v>
      </c>
      <c r="P218" s="807"/>
      <c r="R218" s="807">
        <f>+IFERROR(VLOOKUP(C218,'CA FE'!$A:$C,3,0),0)-G218</f>
        <v>0</v>
      </c>
    </row>
    <row r="219" spans="1:18" ht="12" customHeight="1">
      <c r="A219" s="354" t="s">
        <v>10</v>
      </c>
      <c r="B219" s="354"/>
      <c r="C219" s="355">
        <v>11402131</v>
      </c>
      <c r="D219" s="354" t="s">
        <v>62</v>
      </c>
      <c r="E219" s="356" t="s">
        <v>634</v>
      </c>
      <c r="F219" s="356" t="str">
        <f t="shared" si="10"/>
        <v>NI</v>
      </c>
      <c r="G219" s="28">
        <f>+IF(F219="i",IFERROR(VLOOKUP(C219,'BG 12.2024'!$B:$E,3,FALSE),0),0)</f>
        <v>0</v>
      </c>
      <c r="H219" s="21">
        <f>+IF(F219="i",IFERROR(VLOOKUP(C219,'BG 12.2024'!$B:$E,4,FALSE),0),0)</f>
        <v>0</v>
      </c>
      <c r="I219" s="21"/>
      <c r="J219" s="28">
        <f>+IF(F219="i",IFERROR(VLOOKUP(C219,'BG 2023'!$B:$E,3,FALSE),0),0)</f>
        <v>0</v>
      </c>
      <c r="K219" s="21">
        <f>+IF(F219="i",IFERROR(VLOOKUP(C219,'BG 2023'!$B:$E,4,FALSE),0),0)</f>
        <v>0</v>
      </c>
      <c r="M219" s="15">
        <f>+VLOOKUP(C219,'BG 2023'!$B:$E,1,0)</f>
        <v>11402131</v>
      </c>
      <c r="N219" s="806">
        <f>+VLOOKUP(C219,'BG 2023'!$B:$E,3,0)</f>
        <v>3893680060</v>
      </c>
      <c r="O219" s="807">
        <f t="shared" si="11"/>
        <v>3893680060</v>
      </c>
      <c r="P219" s="807"/>
      <c r="R219" s="807">
        <f>+IFERROR(VLOOKUP(C219,'CA FE'!$A:$C,3,0),0)-G219</f>
        <v>0</v>
      </c>
    </row>
    <row r="220" spans="1:18" ht="12" customHeight="1">
      <c r="A220" s="354" t="s">
        <v>10</v>
      </c>
      <c r="B220" s="354" t="s">
        <v>688</v>
      </c>
      <c r="C220" s="355">
        <v>1140213101</v>
      </c>
      <c r="D220" s="354" t="s">
        <v>63</v>
      </c>
      <c r="E220" s="356" t="s">
        <v>634</v>
      </c>
      <c r="F220" s="356" t="str">
        <f t="shared" si="10"/>
        <v>I</v>
      </c>
      <c r="G220" s="28">
        <f>+IF(F220="i",IFERROR(VLOOKUP(C220,'BG 12.2024'!$B:$E,3,FALSE),0),0)</f>
        <v>4254000000</v>
      </c>
      <c r="H220" s="21">
        <f>+IF(F220="i",IFERROR(VLOOKUP(C220,'BG 12.2024'!$B:$E,4,FALSE),0),0)</f>
        <v>543207.60999999987</v>
      </c>
      <c r="I220" s="21"/>
      <c r="J220" s="28">
        <f>+IF(F220="i",IFERROR(VLOOKUP(C220,'BG 2023'!$B:$E,3,FALSE),0),0)</f>
        <v>2194000000</v>
      </c>
      <c r="K220" s="21">
        <f>+IF(F220="i",IFERROR(VLOOKUP(C220,'BG 2023'!$B:$E,4,FALSE),0),0)</f>
        <v>302054.49000000017</v>
      </c>
      <c r="M220" s="15">
        <f>+VLOOKUP(C220,'BG 2023'!$B:$E,1,0)</f>
        <v>1140213101</v>
      </c>
      <c r="N220" s="806">
        <f>+VLOOKUP(C220,'BG 2023'!$B:$E,3,0)</f>
        <v>2194000000</v>
      </c>
      <c r="O220" s="807">
        <f t="shared" ref="O220:O283" si="14">+N220-G220</f>
        <v>-2060000000</v>
      </c>
      <c r="P220" s="807"/>
      <c r="R220" s="807">
        <f>+IFERROR(VLOOKUP(C220,'CA FE'!$A:$C,3,0),0)-G220</f>
        <v>0</v>
      </c>
    </row>
    <row r="221" spans="1:18">
      <c r="A221" s="354" t="s">
        <v>10</v>
      </c>
      <c r="B221" s="354" t="s">
        <v>688</v>
      </c>
      <c r="C221" s="355">
        <v>1140213102</v>
      </c>
      <c r="D221" s="354" t="s">
        <v>64</v>
      </c>
      <c r="E221" s="356" t="s">
        <v>640</v>
      </c>
      <c r="F221" s="356" t="str">
        <f t="shared" si="10"/>
        <v>I</v>
      </c>
      <c r="G221" s="28">
        <f>+IF(F221="i",IFERROR(VLOOKUP(C221,'BG 12.2024'!$B:$E,3,FALSE),0),0)</f>
        <v>0</v>
      </c>
      <c r="H221" s="21">
        <f>+IF(F221="i",IFERROR(VLOOKUP(C221,'BG 12.2024'!$B:$E,4,FALSE),0),0)</f>
        <v>0</v>
      </c>
      <c r="I221" s="21"/>
      <c r="J221" s="28">
        <f>+IF(F221="i",IFERROR(VLOOKUP(C221,'BG 2023'!$B:$E,3,FALSE),0),0)</f>
        <v>1699680060</v>
      </c>
      <c r="K221" s="840">
        <f>+IF(F221="i",IFERROR(VLOOKUP(C221,'BG 2023'!$B:$E,4,FALSE),0),0)</f>
        <v>234000</v>
      </c>
      <c r="M221" s="15">
        <f>+VLOOKUP(C221,'BG 2023'!$B:$E,1,0)</f>
        <v>1140213102</v>
      </c>
      <c r="N221" s="806">
        <f>+VLOOKUP(C221,'BG 2023'!$B:$E,3,0)</f>
        <v>1699680060</v>
      </c>
      <c r="O221" s="807">
        <f t="shared" si="14"/>
        <v>1699680060</v>
      </c>
      <c r="P221" s="807"/>
      <c r="R221" s="807">
        <f>+IFERROR(VLOOKUP(C221,'CA FE'!$A:$C,3,0),0)-G221</f>
        <v>0</v>
      </c>
    </row>
    <row r="222" spans="1:18">
      <c r="A222" s="354" t="s">
        <v>10</v>
      </c>
      <c r="B222" s="354"/>
      <c r="C222" s="355">
        <v>11402132</v>
      </c>
      <c r="D222" s="354" t="s">
        <v>65</v>
      </c>
      <c r="E222" s="356" t="s">
        <v>634</v>
      </c>
      <c r="F222" s="356" t="str">
        <f t="shared" si="10"/>
        <v>NI</v>
      </c>
      <c r="G222" s="28">
        <f>+IF(F222="i",IFERROR(VLOOKUP(C222,'BG 12.2024'!$B:$E,3,FALSE),0),0)</f>
        <v>0</v>
      </c>
      <c r="H222" s="21">
        <f>+IF(F222="i",IFERROR(VLOOKUP(C222,'BG 12.2024'!$B:$E,4,FALSE),0),0)</f>
        <v>0</v>
      </c>
      <c r="I222" s="21"/>
      <c r="J222" s="28">
        <f>+IF(F222="i",IFERROR(VLOOKUP(C222,'BG 2023'!$B:$E,3,FALSE),0),0)</f>
        <v>0</v>
      </c>
      <c r="K222" s="21">
        <f>+IF(F222="i",IFERROR(VLOOKUP(C222,'BG 2023'!$B:$E,4,FALSE),0),0)</f>
        <v>0</v>
      </c>
      <c r="M222" s="15">
        <f>+VLOOKUP(C222,'BG 2023'!$B:$E,1,0)</f>
        <v>11402132</v>
      </c>
      <c r="N222" s="806">
        <f>+VLOOKUP(C222,'BG 2023'!$B:$E,3,0)</f>
        <v>1558000000</v>
      </c>
      <c r="O222" s="807">
        <f t="shared" si="14"/>
        <v>1558000000</v>
      </c>
      <c r="P222" s="807"/>
      <c r="R222" s="807">
        <f>+IFERROR(VLOOKUP(C222,'CA FE'!$A:$C,3,0),0)-G222</f>
        <v>0</v>
      </c>
    </row>
    <row r="223" spans="1:18">
      <c r="A223" s="354" t="s">
        <v>10</v>
      </c>
      <c r="B223" s="354" t="s">
        <v>688</v>
      </c>
      <c r="C223" s="355">
        <v>1140213201</v>
      </c>
      <c r="D223" s="354" t="s">
        <v>66</v>
      </c>
      <c r="E223" s="356" t="s">
        <v>634</v>
      </c>
      <c r="F223" s="356" t="str">
        <f t="shared" ref="F223:F287" si="15">+IF(LEN(C223)&gt;8,"I","NI")</f>
        <v>I</v>
      </c>
      <c r="G223" s="28">
        <f>+IF(F223="i",IFERROR(VLOOKUP(C223,'BG 12.2024'!$B:$E,3,FALSE),0),0)</f>
        <v>0</v>
      </c>
      <c r="H223" s="21">
        <f>+IF(F223="i",IFERROR(VLOOKUP(C223,'BG 12.2024'!$B:$E,4,FALSE),0),0)</f>
        <v>0</v>
      </c>
      <c r="I223" s="21"/>
      <c r="J223" s="28">
        <f>+IF(F223="i",IFERROR(VLOOKUP(C223,'BG 2023'!$B:$E,3,FALSE),0),0)</f>
        <v>1558000000</v>
      </c>
      <c r="K223" s="21">
        <f>+IF(F223="i",IFERROR(VLOOKUP(C223,'BG 2023'!$B:$E,4,FALSE),0),0)</f>
        <v>214494.49000000008</v>
      </c>
      <c r="M223" s="15">
        <f>+VLOOKUP(C223,'BG 2023'!$B:$E,1,0)</f>
        <v>1140213201</v>
      </c>
      <c r="N223" s="806">
        <f>+VLOOKUP(C223,'BG 2023'!$B:$E,3,0)</f>
        <v>1558000000</v>
      </c>
      <c r="O223" s="807">
        <f t="shared" si="14"/>
        <v>1558000000</v>
      </c>
      <c r="P223" s="807"/>
      <c r="R223" s="807">
        <f>+IFERROR(VLOOKUP(C223,'CA FE'!$A:$C,3,0),0)-G223</f>
        <v>0</v>
      </c>
    </row>
    <row r="224" spans="1:18">
      <c r="A224" s="354" t="s">
        <v>10</v>
      </c>
      <c r="B224" s="354"/>
      <c r="C224" s="355">
        <v>1140213202</v>
      </c>
      <c r="D224" s="354" t="s">
        <v>690</v>
      </c>
      <c r="E224" s="356" t="s">
        <v>640</v>
      </c>
      <c r="F224" s="356" t="str">
        <f t="shared" si="15"/>
        <v>I</v>
      </c>
      <c r="G224" s="28">
        <f>+IF(F224="i",IFERROR(VLOOKUP(C224,'BG 12.2024'!$B:$E,3,FALSE),0),0)</f>
        <v>0</v>
      </c>
      <c r="H224" s="21">
        <f>+IF(F224="i",IFERROR(VLOOKUP(C224,'BG 12.2024'!$B:$E,4,FALSE),0),0)</f>
        <v>0</v>
      </c>
      <c r="I224" s="21"/>
      <c r="J224" s="28">
        <f>+IF(F224="i",IFERROR(VLOOKUP(C224,'BG 2023'!$B:$E,3,FALSE),0),0)</f>
        <v>0</v>
      </c>
      <c r="K224" s="21">
        <f>+IF(F224="i",IFERROR(VLOOKUP(C224,'BG 2023'!$B:$E,4,FALSE),0),0)</f>
        <v>0</v>
      </c>
      <c r="M224" s="15" t="e">
        <f>+VLOOKUP(C224,'BG 2023'!$B:$E,1,0)</f>
        <v>#N/A</v>
      </c>
      <c r="N224" s="806" t="e">
        <f>+VLOOKUP(C224,'BG 2023'!$B:$E,3,0)</f>
        <v>#N/A</v>
      </c>
      <c r="O224" s="807" t="e">
        <f t="shared" si="14"/>
        <v>#N/A</v>
      </c>
      <c r="P224" s="807"/>
      <c r="R224" s="807">
        <f>+IFERROR(VLOOKUP(C224,'CA FE'!$A:$C,3,0),0)-G224</f>
        <v>0</v>
      </c>
    </row>
    <row r="225" spans="1:18">
      <c r="A225" s="354" t="s">
        <v>10</v>
      </c>
      <c r="B225" s="354"/>
      <c r="C225" s="355">
        <v>11402133</v>
      </c>
      <c r="D225" s="354" t="s">
        <v>691</v>
      </c>
      <c r="E225" s="356" t="s">
        <v>634</v>
      </c>
      <c r="F225" s="356" t="str">
        <f t="shared" si="15"/>
        <v>NI</v>
      </c>
      <c r="G225" s="28">
        <f>+IF(F225="i",IFERROR(VLOOKUP(C225,'BG 12.2024'!$B:$E,3,FALSE),0),0)</f>
        <v>0</v>
      </c>
      <c r="H225" s="21">
        <f>+IF(F225="i",IFERROR(VLOOKUP(C225,'BG 12.2024'!$B:$E,4,FALSE),0),0)</f>
        <v>0</v>
      </c>
      <c r="I225" s="21"/>
      <c r="J225" s="28">
        <f>+IF(F225="i",IFERROR(VLOOKUP(C225,'BG 2023'!$B:$E,3,FALSE),0),0)</f>
        <v>0</v>
      </c>
      <c r="K225" s="21">
        <f>+IF(F225="i",IFERROR(VLOOKUP(C225,'BG 2023'!$B:$E,4,FALSE),0),0)</f>
        <v>0</v>
      </c>
      <c r="M225" s="15" t="e">
        <f>+VLOOKUP(C225,'BG 2023'!$B:$E,1,0)</f>
        <v>#N/A</v>
      </c>
      <c r="N225" s="806" t="e">
        <f>+VLOOKUP(C225,'BG 2023'!$B:$E,3,0)</f>
        <v>#N/A</v>
      </c>
      <c r="O225" s="807" t="e">
        <f t="shared" si="14"/>
        <v>#N/A</v>
      </c>
      <c r="P225" s="807"/>
      <c r="R225" s="807">
        <f>+IFERROR(VLOOKUP(C225,'CA FE'!$A:$C,3,0),0)-G225</f>
        <v>0</v>
      </c>
    </row>
    <row r="226" spans="1:18">
      <c r="A226" s="354" t="s">
        <v>10</v>
      </c>
      <c r="B226" s="354"/>
      <c r="C226" s="355">
        <v>1140213301</v>
      </c>
      <c r="D226" s="354" t="s">
        <v>692</v>
      </c>
      <c r="E226" s="356" t="s">
        <v>634</v>
      </c>
      <c r="F226" s="356" t="str">
        <f t="shared" si="15"/>
        <v>I</v>
      </c>
      <c r="G226" s="28">
        <f>+IF(F226="i",IFERROR(VLOOKUP(C226,'BG 12.2024'!$B:$E,3,FALSE),0),0)</f>
        <v>0</v>
      </c>
      <c r="H226" s="21">
        <f>+IF(F226="i",IFERROR(VLOOKUP(C226,'BG 12.2024'!$B:$E,4,FALSE),0),0)</f>
        <v>0</v>
      </c>
      <c r="I226" s="21"/>
      <c r="J226" s="28">
        <f>+IF(F226="i",IFERROR(VLOOKUP(C226,'BG 2023'!$B:$E,3,FALSE),0),0)</f>
        <v>0</v>
      </c>
      <c r="K226" s="21">
        <f>+IF(F226="i",IFERROR(VLOOKUP(C226,'BG 2023'!$B:$E,4,FALSE),0),0)</f>
        <v>0</v>
      </c>
      <c r="M226" s="15" t="e">
        <f>+VLOOKUP(C226,'BG 2023'!$B:$E,1,0)</f>
        <v>#N/A</v>
      </c>
      <c r="N226" s="806" t="e">
        <f>+VLOOKUP(C226,'BG 2023'!$B:$E,3,0)</f>
        <v>#N/A</v>
      </c>
      <c r="O226" s="807" t="e">
        <f t="shared" si="14"/>
        <v>#N/A</v>
      </c>
      <c r="P226" s="807"/>
      <c r="R226" s="807">
        <f>+IFERROR(VLOOKUP(C226,'CA FE'!$A:$C,3,0),0)-G226</f>
        <v>0</v>
      </c>
    </row>
    <row r="227" spans="1:18">
      <c r="A227" s="354" t="s">
        <v>10</v>
      </c>
      <c r="B227" s="354"/>
      <c r="C227" s="355">
        <v>1140213302</v>
      </c>
      <c r="D227" s="354" t="s">
        <v>693</v>
      </c>
      <c r="E227" s="356" t="s">
        <v>640</v>
      </c>
      <c r="F227" s="356" t="str">
        <f t="shared" si="15"/>
        <v>I</v>
      </c>
      <c r="G227" s="28">
        <f>+IF(F227="i",IFERROR(VLOOKUP(C227,'BG 12.2024'!$B:$E,3,FALSE),0),0)</f>
        <v>0</v>
      </c>
      <c r="H227" s="21">
        <f>+IF(F227="i",IFERROR(VLOOKUP(C227,'BG 12.2024'!$B:$E,4,FALSE),0),0)</f>
        <v>0</v>
      </c>
      <c r="I227" s="21"/>
      <c r="J227" s="28">
        <f>+IF(F227="i",IFERROR(VLOOKUP(C227,'BG 2023'!$B:$E,3,FALSE),0),0)</f>
        <v>0</v>
      </c>
      <c r="K227" s="21">
        <f>+IF(F227="i",IFERROR(VLOOKUP(C227,'BG 2023'!$B:$E,4,FALSE),0),0)</f>
        <v>0</v>
      </c>
      <c r="M227" s="15" t="e">
        <f>+VLOOKUP(C227,'BG 2023'!$B:$E,1,0)</f>
        <v>#N/A</v>
      </c>
      <c r="N227" s="806" t="e">
        <f>+VLOOKUP(C227,'BG 2023'!$B:$E,3,0)</f>
        <v>#N/A</v>
      </c>
      <c r="O227" s="807" t="e">
        <f t="shared" si="14"/>
        <v>#N/A</v>
      </c>
      <c r="P227" s="807"/>
      <c r="R227" s="807">
        <f>+IFERROR(VLOOKUP(C227,'CA FE'!$A:$C,3,0),0)-G227</f>
        <v>0</v>
      </c>
    </row>
    <row r="228" spans="1:18">
      <c r="A228" s="354" t="s">
        <v>10</v>
      </c>
      <c r="B228" s="354"/>
      <c r="C228" s="355">
        <v>1140214</v>
      </c>
      <c r="D228" s="354" t="s">
        <v>67</v>
      </c>
      <c r="E228" s="356" t="s">
        <v>634</v>
      </c>
      <c r="F228" s="356" t="str">
        <f t="shared" si="15"/>
        <v>NI</v>
      </c>
      <c r="G228" s="28">
        <f>+IF(F228="i",IFERROR(VLOOKUP(C228,'BG 12.2024'!$B:$E,3,FALSE),0),0)</f>
        <v>0</v>
      </c>
      <c r="H228" s="21">
        <f>+IF(F228="i",IFERROR(VLOOKUP(C228,'BG 12.2024'!$B:$E,4,FALSE),0),0)</f>
        <v>0</v>
      </c>
      <c r="I228" s="21"/>
      <c r="J228" s="28">
        <f>+IF(F228="i",IFERROR(VLOOKUP(C228,'BG 2023'!$B:$E,3,FALSE),0),0)</f>
        <v>0</v>
      </c>
      <c r="K228" s="21">
        <f>+IF(F228="i",IFERROR(VLOOKUP(C228,'BG 2023'!$B:$E,4,FALSE),0),0)</f>
        <v>0</v>
      </c>
      <c r="M228" s="15">
        <f>+VLOOKUP(C228,'BG 2023'!$B:$E,1,0)</f>
        <v>1140214</v>
      </c>
      <c r="N228" s="806">
        <f>+VLOOKUP(C228,'BG 2023'!$B:$E,3,0)</f>
        <v>4653179500</v>
      </c>
      <c r="O228" s="807">
        <f t="shared" si="14"/>
        <v>4653179500</v>
      </c>
      <c r="P228" s="807"/>
      <c r="R228" s="807">
        <f>+IFERROR(VLOOKUP(C228,'CA FE'!$A:$C,3,0),0)-G228</f>
        <v>0</v>
      </c>
    </row>
    <row r="229" spans="1:18">
      <c r="A229" s="354" t="s">
        <v>10</v>
      </c>
      <c r="B229" s="354"/>
      <c r="C229" s="355">
        <v>11402141</v>
      </c>
      <c r="D229" s="354" t="s">
        <v>56</v>
      </c>
      <c r="E229" s="356" t="s">
        <v>634</v>
      </c>
      <c r="F229" s="356" t="str">
        <f t="shared" si="15"/>
        <v>NI</v>
      </c>
      <c r="G229" s="28">
        <f>+IF(F229="i",IFERROR(VLOOKUP(C229,'BG 12.2024'!$B:$E,3,FALSE),0),0)</f>
        <v>0</v>
      </c>
      <c r="H229" s="21">
        <f>+IF(F229="i",IFERROR(VLOOKUP(C229,'BG 12.2024'!$B:$E,4,FALSE),0),0)</f>
        <v>0</v>
      </c>
      <c r="I229" s="21"/>
      <c r="J229" s="28">
        <f>+IF(F229="i",IFERROR(VLOOKUP(C229,'BG 2023'!$B:$E,3,FALSE),0),0)</f>
        <v>0</v>
      </c>
      <c r="K229" s="21">
        <f>+IF(F229="i",IFERROR(VLOOKUP(C229,'BG 2023'!$B:$E,4,FALSE),0),0)</f>
        <v>0</v>
      </c>
      <c r="M229" s="15">
        <f>+VLOOKUP(C229,'BG 2023'!$B:$E,1,0)</f>
        <v>11402141</v>
      </c>
      <c r="N229" s="806">
        <f>+VLOOKUP(C229,'BG 2023'!$B:$E,3,0)</f>
        <v>3340000000</v>
      </c>
      <c r="O229" s="807">
        <f t="shared" si="14"/>
        <v>3340000000</v>
      </c>
      <c r="P229" s="807"/>
      <c r="R229" s="807">
        <f>+IFERROR(VLOOKUP(C229,'CA FE'!$A:$C,3,0),0)-G229</f>
        <v>0</v>
      </c>
    </row>
    <row r="230" spans="1:18">
      <c r="A230" s="354" t="s">
        <v>10</v>
      </c>
      <c r="B230" s="354" t="s">
        <v>688</v>
      </c>
      <c r="C230" s="355">
        <v>1140214101</v>
      </c>
      <c r="D230" s="354" t="s">
        <v>68</v>
      </c>
      <c r="E230" s="356" t="s">
        <v>634</v>
      </c>
      <c r="F230" s="356" t="str">
        <f t="shared" si="15"/>
        <v>I</v>
      </c>
      <c r="G230" s="28">
        <f>+IF(F230="i",IFERROR(VLOOKUP(C230,'BG 12.2024'!$B:$E,3,FALSE),0),0)</f>
        <v>8958000000</v>
      </c>
      <c r="H230" s="21">
        <f>+IF(F230="i",IFERROR(VLOOKUP(C230,'BG 12.2024'!$B:$E,4,FALSE),0),0)</f>
        <v>1143877.2300000004</v>
      </c>
      <c r="I230" s="21"/>
      <c r="J230" s="28">
        <f>+IF(F230="i",IFERROR(VLOOKUP(C230,'BG 2023'!$B:$E,3,FALSE),0),0)</f>
        <v>3340000000</v>
      </c>
      <c r="K230" s="21">
        <f>+IF(F230="i",IFERROR(VLOOKUP(C230,'BG 2023'!$B:$E,4,FALSE),0),0)</f>
        <v>459827.71999999881</v>
      </c>
      <c r="M230" s="15">
        <f>+VLOOKUP(C230,'BG 2023'!$B:$E,1,0)</f>
        <v>1140214101</v>
      </c>
      <c r="N230" s="806">
        <f>+VLOOKUP(C230,'BG 2023'!$B:$E,3,0)</f>
        <v>3340000000</v>
      </c>
      <c r="O230" s="807">
        <f t="shared" si="14"/>
        <v>-5618000000</v>
      </c>
      <c r="P230" s="807"/>
      <c r="R230" s="807">
        <f>+IFERROR(VLOOKUP(C230,'CA FE'!$A:$C,3,0),0)-G230</f>
        <v>0</v>
      </c>
    </row>
    <row r="231" spans="1:18">
      <c r="A231" s="354" t="s">
        <v>10</v>
      </c>
      <c r="B231" s="354" t="s">
        <v>688</v>
      </c>
      <c r="C231" s="355">
        <v>1140214102</v>
      </c>
      <c r="D231" s="354" t="s">
        <v>694</v>
      </c>
      <c r="E231" s="356" t="s">
        <v>640</v>
      </c>
      <c r="F231" s="356" t="str">
        <f t="shared" si="15"/>
        <v>I</v>
      </c>
      <c r="G231" s="28">
        <f>+IF(F231="i",IFERROR(VLOOKUP(C231,'BG 12.2024'!$B:$E,3,FALSE),0),0)</f>
        <v>6907171320</v>
      </c>
      <c r="H231" s="21">
        <f>+IF(F231="i",IFERROR(VLOOKUP(C231,'BG 12.2024'!$B:$E,4,FALSE),0),0)</f>
        <v>882000</v>
      </c>
      <c r="I231" s="21"/>
      <c r="J231" s="28">
        <f>+IF(F231="i",IFERROR(VLOOKUP(C231,'BG 2023'!$B:$E,3,FALSE),0),0)</f>
        <v>0</v>
      </c>
      <c r="K231" s="21">
        <f>+IF(F231="i",IFERROR(VLOOKUP(C231,'BG 2023'!$B:$E,4,FALSE),0),0)</f>
        <v>0</v>
      </c>
      <c r="M231" s="15" t="e">
        <f>+VLOOKUP(C231,'BG 2023'!$B:$E,1,0)</f>
        <v>#N/A</v>
      </c>
      <c r="N231" s="806" t="e">
        <f>+VLOOKUP(C231,'BG 2023'!$B:$E,3,0)</f>
        <v>#N/A</v>
      </c>
      <c r="O231" s="807" t="e">
        <f t="shared" si="14"/>
        <v>#N/A</v>
      </c>
      <c r="P231" s="807"/>
      <c r="R231" s="807">
        <f>+IFERROR(VLOOKUP(C231,'CA FE'!$A:$C,3,0),0)-G231</f>
        <v>0</v>
      </c>
    </row>
    <row r="232" spans="1:18">
      <c r="A232" s="354" t="s">
        <v>10</v>
      </c>
      <c r="B232" s="354"/>
      <c r="C232" s="355">
        <v>11402142</v>
      </c>
      <c r="D232" s="354" t="s">
        <v>526</v>
      </c>
      <c r="E232" s="356" t="s">
        <v>634</v>
      </c>
      <c r="F232" s="356" t="str">
        <f t="shared" si="15"/>
        <v>NI</v>
      </c>
      <c r="G232" s="28">
        <f>+IF(F232="i",IFERROR(VLOOKUP(C232,'BG 12.2024'!$B:$E,3,FALSE),0),0)</f>
        <v>0</v>
      </c>
      <c r="H232" s="21">
        <f>+IF(F232="i",IFERROR(VLOOKUP(C232,'BG 12.2024'!$B:$E,4,FALSE),0),0)</f>
        <v>0</v>
      </c>
      <c r="I232" s="21"/>
      <c r="J232" s="28">
        <f>+IF(F232="i",IFERROR(VLOOKUP(C232,'BG 2023'!$B:$E,3,FALSE),0),0)</f>
        <v>0</v>
      </c>
      <c r="K232" s="21">
        <f>+IF(F232="i",IFERROR(VLOOKUP(C232,'BG 2023'!$B:$E,4,FALSE),0),0)</f>
        <v>0</v>
      </c>
      <c r="M232" s="15" t="e">
        <f>+VLOOKUP(C232,'BG 2023'!$B:$E,1,0)</f>
        <v>#N/A</v>
      </c>
      <c r="N232" s="806" t="e">
        <f>+VLOOKUP(C232,'BG 2023'!$B:$E,3,0)</f>
        <v>#N/A</v>
      </c>
      <c r="O232" s="807" t="e">
        <f t="shared" si="14"/>
        <v>#N/A</v>
      </c>
      <c r="P232" s="807"/>
      <c r="R232" s="807">
        <f>+IFERROR(VLOOKUP(C232,'CA FE'!$A:$C,3,0),0)-G232</f>
        <v>0</v>
      </c>
    </row>
    <row r="233" spans="1:18">
      <c r="A233" s="354" t="s">
        <v>10</v>
      </c>
      <c r="B233" s="354"/>
      <c r="C233" s="355">
        <v>1140214201</v>
      </c>
      <c r="D233" s="354" t="s">
        <v>695</v>
      </c>
      <c r="E233" s="356" t="s">
        <v>634</v>
      </c>
      <c r="F233" s="356" t="str">
        <f t="shared" si="15"/>
        <v>I</v>
      </c>
      <c r="G233" s="28">
        <f>+IF(F233="i",IFERROR(VLOOKUP(C233,'BG 12.2024'!$B:$E,3,FALSE),0),0)</f>
        <v>0</v>
      </c>
      <c r="H233" s="21">
        <f>+IF(F233="i",IFERROR(VLOOKUP(C233,'BG 12.2024'!$B:$E,4,FALSE),0),0)</f>
        <v>0</v>
      </c>
      <c r="I233" s="21"/>
      <c r="J233" s="28">
        <f>+IF(F233="i",IFERROR(VLOOKUP(C233,'BG 2023'!$B:$E,3,FALSE),0),0)</f>
        <v>0</v>
      </c>
      <c r="K233" s="21">
        <f>+IF(F233="i",IFERROR(VLOOKUP(C233,'BG 2023'!$B:$E,4,FALSE),0),0)</f>
        <v>0</v>
      </c>
      <c r="M233" s="15" t="e">
        <f>+VLOOKUP(C233,'BG 2023'!$B:$E,1,0)</f>
        <v>#N/A</v>
      </c>
      <c r="N233" s="806" t="e">
        <f>+VLOOKUP(C233,'BG 2023'!$B:$E,3,0)</f>
        <v>#N/A</v>
      </c>
      <c r="O233" s="807" t="e">
        <f t="shared" si="14"/>
        <v>#N/A</v>
      </c>
      <c r="P233" s="807"/>
      <c r="R233" s="807">
        <f>+IFERROR(VLOOKUP(C233,'CA FE'!$A:$C,3,0),0)-G233</f>
        <v>0</v>
      </c>
    </row>
    <row r="234" spans="1:18">
      <c r="A234" s="354" t="s">
        <v>10</v>
      </c>
      <c r="B234" s="354"/>
      <c r="C234" s="355">
        <v>1140214202</v>
      </c>
      <c r="D234" s="354" t="s">
        <v>696</v>
      </c>
      <c r="E234" s="356" t="s">
        <v>640</v>
      </c>
      <c r="F234" s="356" t="str">
        <f t="shared" si="15"/>
        <v>I</v>
      </c>
      <c r="G234" s="28">
        <f>+IF(F234="i",IFERROR(VLOOKUP(C234,'BG 12.2024'!$B:$E,3,FALSE),0),0)</f>
        <v>0</v>
      </c>
      <c r="H234" s="21">
        <f>+IF(F234="i",IFERROR(VLOOKUP(C234,'BG 12.2024'!$B:$E,4,FALSE),0),0)</f>
        <v>0</v>
      </c>
      <c r="I234" s="21"/>
      <c r="J234" s="28">
        <f>+IF(F234="i",IFERROR(VLOOKUP(C234,'BG 2023'!$B:$E,3,FALSE),0),0)</f>
        <v>0</v>
      </c>
      <c r="K234" s="21">
        <f>+IF(F234="i",IFERROR(VLOOKUP(C234,'BG 2023'!$B:$E,4,FALSE),0),0)</f>
        <v>0</v>
      </c>
      <c r="M234" s="15" t="e">
        <f>+VLOOKUP(C234,'BG 2023'!$B:$E,1,0)</f>
        <v>#N/A</v>
      </c>
      <c r="N234" s="806" t="e">
        <f>+VLOOKUP(C234,'BG 2023'!$B:$E,3,0)</f>
        <v>#N/A</v>
      </c>
      <c r="O234" s="807" t="e">
        <f t="shared" si="14"/>
        <v>#N/A</v>
      </c>
      <c r="P234" s="807"/>
      <c r="R234" s="807">
        <f>+IFERROR(VLOOKUP(C234,'CA FE'!$A:$C,3,0),0)-G234</f>
        <v>0</v>
      </c>
    </row>
    <row r="235" spans="1:18">
      <c r="A235" s="354" t="s">
        <v>10</v>
      </c>
      <c r="B235" s="354"/>
      <c r="C235" s="355">
        <v>11402143</v>
      </c>
      <c r="D235" s="354" t="s">
        <v>58</v>
      </c>
      <c r="E235" s="356" t="s">
        <v>634</v>
      </c>
      <c r="F235" s="356" t="str">
        <f t="shared" si="15"/>
        <v>NI</v>
      </c>
      <c r="G235" s="28">
        <f>+IF(F235="i",IFERROR(VLOOKUP(C235,'BG 12.2024'!$B:$E,3,FALSE),0),0)</f>
        <v>0</v>
      </c>
      <c r="H235" s="21">
        <f>+IF(F235="i",IFERROR(VLOOKUP(C235,'BG 12.2024'!$B:$E,4,FALSE),0),0)</f>
        <v>0</v>
      </c>
      <c r="I235" s="21"/>
      <c r="J235" s="28">
        <f>+IF(F235="i",IFERROR(VLOOKUP(C235,'BG 2023'!$B:$E,3,FALSE),0),0)</f>
        <v>0</v>
      </c>
      <c r="K235" s="21">
        <f>+IF(F235="i",IFERROR(VLOOKUP(C235,'BG 2023'!$B:$E,4,FALSE),0),0)</f>
        <v>0</v>
      </c>
      <c r="M235" s="15">
        <f>+VLOOKUP(C235,'BG 2023'!$B:$E,1,0)</f>
        <v>11402143</v>
      </c>
      <c r="N235" s="806">
        <f>+VLOOKUP(C235,'BG 2023'!$B:$E,3,0)</f>
        <v>1313179500</v>
      </c>
      <c r="O235" s="807">
        <f t="shared" si="14"/>
        <v>1313179500</v>
      </c>
      <c r="P235" s="807"/>
      <c r="R235" s="807">
        <f>+IFERROR(VLOOKUP(C235,'CA FE'!$A:$C,3,0),0)-G235</f>
        <v>0</v>
      </c>
    </row>
    <row r="236" spans="1:18">
      <c r="A236" s="354" t="s">
        <v>10</v>
      </c>
      <c r="B236" s="354" t="s">
        <v>688</v>
      </c>
      <c r="C236" s="355">
        <v>1140214301</v>
      </c>
      <c r="D236" s="354" t="s">
        <v>69</v>
      </c>
      <c r="E236" s="356" t="s">
        <v>634</v>
      </c>
      <c r="F236" s="356" t="str">
        <f t="shared" si="15"/>
        <v>I</v>
      </c>
      <c r="G236" s="28">
        <f>+IF(F236="i",IFERROR(VLOOKUP(C236,'BG 12.2024'!$B:$E,3,FALSE),0),0)</f>
        <v>100000000</v>
      </c>
      <c r="H236" s="21">
        <f>+IF(F236="i",IFERROR(VLOOKUP(C236,'BG 12.2024'!$B:$E,4,FALSE),0),0)</f>
        <v>12769.339999999967</v>
      </c>
      <c r="I236" s="21"/>
      <c r="J236" s="28">
        <f>+IF(F236="i",IFERROR(VLOOKUP(C236,'BG 2023'!$B:$E,3,FALSE),0),0)</f>
        <v>950000000</v>
      </c>
      <c r="K236" s="21">
        <f>+IF(F236="i",IFERROR(VLOOKUP(C236,'BG 2023'!$B:$E,4,FALSE),0),0)</f>
        <v>130789.32</v>
      </c>
      <c r="M236" s="15">
        <f>+VLOOKUP(C236,'BG 2023'!$B:$E,1,0)</f>
        <v>1140214301</v>
      </c>
      <c r="N236" s="806">
        <f>+VLOOKUP(C236,'BG 2023'!$B:$E,3,0)</f>
        <v>950000000</v>
      </c>
      <c r="O236" s="807">
        <f t="shared" si="14"/>
        <v>850000000</v>
      </c>
      <c r="P236" s="807"/>
      <c r="R236" s="807">
        <f>+IFERROR(VLOOKUP(C236,'CA FE'!$A:$C,3,0),0)-G236</f>
        <v>0</v>
      </c>
    </row>
    <row r="237" spans="1:18">
      <c r="A237" s="354" t="s">
        <v>10</v>
      </c>
      <c r="B237" s="354" t="s">
        <v>688</v>
      </c>
      <c r="C237" s="355">
        <v>1140214302</v>
      </c>
      <c r="D237" s="354" t="s">
        <v>70</v>
      </c>
      <c r="E237" s="356" t="s">
        <v>640</v>
      </c>
      <c r="F237" s="356" t="str">
        <f t="shared" si="15"/>
        <v>I</v>
      </c>
      <c r="G237" s="28">
        <f>+IF(F237="i",IFERROR(VLOOKUP(C237,'BG 12.2024'!$B:$E,3,FALSE),0),0)</f>
        <v>0</v>
      </c>
      <c r="H237" s="21">
        <f>+IF(F237="i",IFERROR(VLOOKUP(C237,'BG 12.2024'!$B:$E,4,FALSE),0),0)</f>
        <v>0</v>
      </c>
      <c r="I237" s="21"/>
      <c r="J237" s="28">
        <f>+IF(F237="i",IFERROR(VLOOKUP(C237,'BG 2023'!$B:$E,3,FALSE),0),0)</f>
        <v>363179500</v>
      </c>
      <c r="K237" s="840">
        <f>+IF(F237="i",IFERROR(VLOOKUP(C237,'BG 2023'!$B:$E,4,FALSE),0),0)</f>
        <v>50000</v>
      </c>
      <c r="M237" s="15">
        <f>+VLOOKUP(C237,'BG 2023'!$B:$E,1,0)</f>
        <v>1140214302</v>
      </c>
      <c r="N237" s="806">
        <f>+VLOOKUP(C237,'BG 2023'!$B:$E,3,0)</f>
        <v>363179500</v>
      </c>
      <c r="O237" s="807">
        <f t="shared" si="14"/>
        <v>363179500</v>
      </c>
      <c r="P237" s="807"/>
      <c r="R237" s="807">
        <f>+IFERROR(VLOOKUP(C237,'CA FE'!$A:$C,3,0),0)-G237</f>
        <v>0</v>
      </c>
    </row>
    <row r="238" spans="1:18">
      <c r="A238" s="354" t="s">
        <v>10</v>
      </c>
      <c r="B238" s="354"/>
      <c r="C238" s="355">
        <v>11402144</v>
      </c>
      <c r="D238" s="354" t="s">
        <v>62</v>
      </c>
      <c r="E238" s="356" t="s">
        <v>634</v>
      </c>
      <c r="F238" s="356" t="str">
        <f t="shared" si="15"/>
        <v>NI</v>
      </c>
      <c r="G238" s="28">
        <f>+IF(F238="i",IFERROR(VLOOKUP(C238,'BG 12.2024'!$B:$E,3,FALSE),0),0)</f>
        <v>0</v>
      </c>
      <c r="H238" s="21">
        <f>+IF(F238="i",IFERROR(VLOOKUP(C238,'BG 12.2024'!$B:$E,4,FALSE),0),0)</f>
        <v>0</v>
      </c>
      <c r="I238" s="21"/>
      <c r="J238" s="28">
        <f>+IF(F238="i",IFERROR(VLOOKUP(C238,'BG 2023'!$B:$E,3,FALSE),0),0)</f>
        <v>0</v>
      </c>
      <c r="K238" s="21">
        <f>+IF(F238="i",IFERROR(VLOOKUP(C238,'BG 2023'!$B:$E,4,FALSE),0),0)</f>
        <v>0</v>
      </c>
      <c r="M238" s="15" t="e">
        <f>+VLOOKUP(C238,'BG 2023'!$B:$E,1,0)</f>
        <v>#N/A</v>
      </c>
      <c r="N238" s="806" t="e">
        <f>+VLOOKUP(C238,'BG 2023'!$B:$E,3,0)</f>
        <v>#N/A</v>
      </c>
      <c r="O238" s="807" t="e">
        <f t="shared" si="14"/>
        <v>#N/A</v>
      </c>
      <c r="P238" s="807"/>
      <c r="R238" s="807">
        <f>+IFERROR(VLOOKUP(C238,'CA FE'!$A:$C,3,0),0)-G238</f>
        <v>0</v>
      </c>
    </row>
    <row r="239" spans="1:18">
      <c r="A239" s="354" t="s">
        <v>10</v>
      </c>
      <c r="B239" s="354"/>
      <c r="C239" s="355">
        <v>1140214401</v>
      </c>
      <c r="D239" s="354" t="s">
        <v>63</v>
      </c>
      <c r="E239" s="356" t="s">
        <v>634</v>
      </c>
      <c r="F239" s="356" t="str">
        <f t="shared" si="15"/>
        <v>I</v>
      </c>
      <c r="G239" s="28">
        <f>+IF(F239="i",IFERROR(VLOOKUP(C239,'BG 12.2024'!$B:$E,3,FALSE),0),0)</f>
        <v>0</v>
      </c>
      <c r="H239" s="21">
        <f>+IF(F239="i",IFERROR(VLOOKUP(C239,'BG 12.2024'!$B:$E,4,FALSE),0),0)</f>
        <v>0</v>
      </c>
      <c r="I239" s="21"/>
      <c r="J239" s="28">
        <f>+IF(F239="i",IFERROR(VLOOKUP(C239,'BG 2023'!$B:$E,3,FALSE),0),0)</f>
        <v>0</v>
      </c>
      <c r="K239" s="21">
        <f>+IF(F239="i",IFERROR(VLOOKUP(C239,'BG 2023'!$B:$E,4,FALSE),0),0)</f>
        <v>0</v>
      </c>
      <c r="M239" s="15" t="e">
        <f>+VLOOKUP(C239,'BG 2023'!$B:$E,1,0)</f>
        <v>#N/A</v>
      </c>
      <c r="N239" s="806" t="e">
        <f>+VLOOKUP(C239,'BG 2023'!$B:$E,3,0)</f>
        <v>#N/A</v>
      </c>
      <c r="O239" s="807" t="e">
        <f t="shared" si="14"/>
        <v>#N/A</v>
      </c>
      <c r="P239" s="807"/>
      <c r="R239" s="807">
        <f>+IFERROR(VLOOKUP(C239,'CA FE'!$A:$C,3,0),0)-G239</f>
        <v>0</v>
      </c>
    </row>
    <row r="240" spans="1:18">
      <c r="A240" s="354" t="s">
        <v>10</v>
      </c>
      <c r="B240" s="354"/>
      <c r="C240" s="355">
        <v>1140214402</v>
      </c>
      <c r="D240" s="354" t="s">
        <v>64</v>
      </c>
      <c r="E240" s="356" t="s">
        <v>640</v>
      </c>
      <c r="F240" s="356" t="str">
        <f t="shared" si="15"/>
        <v>I</v>
      </c>
      <c r="G240" s="28">
        <f>+IF(F240="i",IFERROR(VLOOKUP(C240,'BG 12.2024'!$B:$E,3,FALSE),0),0)</f>
        <v>0</v>
      </c>
      <c r="H240" s="21">
        <f>+IF(F240="i",IFERROR(VLOOKUP(C240,'BG 12.2024'!$B:$E,4,FALSE),0),0)</f>
        <v>0</v>
      </c>
      <c r="I240" s="21"/>
      <c r="J240" s="28">
        <f>+IF(F240="i",IFERROR(VLOOKUP(C240,'BG 2023'!$B:$E,3,FALSE),0),0)</f>
        <v>0</v>
      </c>
      <c r="K240" s="21">
        <f>+IF(F240="i",IFERROR(VLOOKUP(C240,'BG 2023'!$B:$E,4,FALSE),0),0)</f>
        <v>0</v>
      </c>
      <c r="M240" s="15" t="e">
        <f>+VLOOKUP(C240,'BG 2023'!$B:$E,1,0)</f>
        <v>#N/A</v>
      </c>
      <c r="N240" s="806" t="e">
        <f>+VLOOKUP(C240,'BG 2023'!$B:$E,3,0)</f>
        <v>#N/A</v>
      </c>
      <c r="O240" s="807" t="e">
        <f t="shared" si="14"/>
        <v>#N/A</v>
      </c>
      <c r="P240" s="807"/>
      <c r="R240" s="807">
        <f>+IFERROR(VLOOKUP(C240,'CA FE'!$A:$C,3,0),0)-G240</f>
        <v>0</v>
      </c>
    </row>
    <row r="241" spans="1:18">
      <c r="A241" s="354" t="s">
        <v>10</v>
      </c>
      <c r="B241" s="354"/>
      <c r="C241" s="355">
        <v>11402145</v>
      </c>
      <c r="D241" s="354" t="s">
        <v>65</v>
      </c>
      <c r="E241" s="356" t="s">
        <v>634</v>
      </c>
      <c r="F241" s="356" t="str">
        <f t="shared" si="15"/>
        <v>NI</v>
      </c>
      <c r="G241" s="28">
        <f>+IF(F241="i",IFERROR(VLOOKUP(C241,'BG 12.2024'!$B:$E,3,FALSE),0),0)</f>
        <v>0</v>
      </c>
      <c r="H241" s="21">
        <f>+IF(F241="i",IFERROR(VLOOKUP(C241,'BG 12.2024'!$B:$E,4,FALSE),0),0)</f>
        <v>0</v>
      </c>
      <c r="I241" s="21"/>
      <c r="J241" s="28">
        <f>+IF(F241="i",IFERROR(VLOOKUP(C241,'BG 2023'!$B:$E,3,FALSE),0),0)</f>
        <v>0</v>
      </c>
      <c r="K241" s="21">
        <f>+IF(F241="i",IFERROR(VLOOKUP(C241,'BG 2023'!$B:$E,4,FALSE),0),0)</f>
        <v>0</v>
      </c>
      <c r="M241" s="15" t="e">
        <f>+VLOOKUP(C241,'BG 2023'!$B:$E,1,0)</f>
        <v>#N/A</v>
      </c>
      <c r="N241" s="806" t="e">
        <f>+VLOOKUP(C241,'BG 2023'!$B:$E,3,0)</f>
        <v>#N/A</v>
      </c>
      <c r="O241" s="807" t="e">
        <f t="shared" si="14"/>
        <v>#N/A</v>
      </c>
      <c r="P241" s="807"/>
      <c r="R241" s="807">
        <f>+IFERROR(VLOOKUP(C241,'CA FE'!$A:$C,3,0),0)-G241</f>
        <v>0</v>
      </c>
    </row>
    <row r="242" spans="1:18">
      <c r="A242" s="354" t="s">
        <v>10</v>
      </c>
      <c r="B242" s="354"/>
      <c r="C242" s="355">
        <v>1140214501</v>
      </c>
      <c r="D242" s="354" t="s">
        <v>66</v>
      </c>
      <c r="E242" s="356" t="s">
        <v>634</v>
      </c>
      <c r="F242" s="356" t="str">
        <f t="shared" si="15"/>
        <v>I</v>
      </c>
      <c r="G242" s="28">
        <f>+IF(F242="i",IFERROR(VLOOKUP(C242,'BG 12.2024'!$B:$E,3,FALSE),0),0)</f>
        <v>0</v>
      </c>
      <c r="H242" s="21">
        <f>+IF(F242="i",IFERROR(VLOOKUP(C242,'BG 12.2024'!$B:$E,4,FALSE),0),0)</f>
        <v>0</v>
      </c>
      <c r="I242" s="21"/>
      <c r="J242" s="28">
        <f>+IF(F242="i",IFERROR(VLOOKUP(C242,'BG 2023'!$B:$E,3,FALSE),0),0)</f>
        <v>0</v>
      </c>
      <c r="K242" s="21">
        <f>+IF(F242="i",IFERROR(VLOOKUP(C242,'BG 2023'!$B:$E,4,FALSE),0),0)</f>
        <v>0</v>
      </c>
      <c r="M242" s="15" t="e">
        <f>+VLOOKUP(C242,'BG 2023'!$B:$E,1,0)</f>
        <v>#N/A</v>
      </c>
      <c r="N242" s="806" t="e">
        <f>+VLOOKUP(C242,'BG 2023'!$B:$E,3,0)</f>
        <v>#N/A</v>
      </c>
      <c r="O242" s="807" t="e">
        <f t="shared" si="14"/>
        <v>#N/A</v>
      </c>
      <c r="P242" s="807"/>
      <c r="R242" s="807">
        <f>+IFERROR(VLOOKUP(C242,'CA FE'!$A:$C,3,0),0)-G242</f>
        <v>0</v>
      </c>
    </row>
    <row r="243" spans="1:18">
      <c r="A243" s="354" t="s">
        <v>10</v>
      </c>
      <c r="B243" s="354"/>
      <c r="C243" s="355">
        <v>1140214502</v>
      </c>
      <c r="D243" s="354" t="s">
        <v>690</v>
      </c>
      <c r="E243" s="356" t="s">
        <v>640</v>
      </c>
      <c r="F243" s="356" t="str">
        <f t="shared" si="15"/>
        <v>I</v>
      </c>
      <c r="G243" s="28">
        <f>+IF(F243="i",IFERROR(VLOOKUP(C243,'BG 12.2024'!$B:$E,3,FALSE),0),0)</f>
        <v>0</v>
      </c>
      <c r="H243" s="21">
        <f>+IF(F243="i",IFERROR(VLOOKUP(C243,'BG 12.2024'!$B:$E,4,FALSE),0),0)</f>
        <v>0</v>
      </c>
      <c r="I243" s="21"/>
      <c r="J243" s="28">
        <f>+IF(F243="i",IFERROR(VLOOKUP(C243,'BG 2023'!$B:$E,3,FALSE),0),0)</f>
        <v>0</v>
      </c>
      <c r="K243" s="21">
        <f>+IF(F243="i",IFERROR(VLOOKUP(C243,'BG 2023'!$B:$E,4,FALSE),0),0)</f>
        <v>0</v>
      </c>
      <c r="M243" s="15" t="e">
        <f>+VLOOKUP(C243,'BG 2023'!$B:$E,1,0)</f>
        <v>#N/A</v>
      </c>
      <c r="N243" s="806" t="e">
        <f>+VLOOKUP(C243,'BG 2023'!$B:$E,3,0)</f>
        <v>#N/A</v>
      </c>
      <c r="O243" s="807" t="e">
        <f t="shared" si="14"/>
        <v>#N/A</v>
      </c>
      <c r="P243" s="807"/>
      <c r="R243" s="807">
        <f>+IFERROR(VLOOKUP(C243,'CA FE'!$A:$C,3,0),0)-G243</f>
        <v>0</v>
      </c>
    </row>
    <row r="244" spans="1:18">
      <c r="A244" s="354" t="s">
        <v>10</v>
      </c>
      <c r="B244" s="354"/>
      <c r="C244" s="355">
        <v>11402146</v>
      </c>
      <c r="D244" s="354" t="s">
        <v>691</v>
      </c>
      <c r="E244" s="356" t="s">
        <v>634</v>
      </c>
      <c r="F244" s="356" t="str">
        <f t="shared" si="15"/>
        <v>NI</v>
      </c>
      <c r="G244" s="28">
        <f>+IF(F244="i",IFERROR(VLOOKUP(C244,'BG 12.2024'!$B:$E,3,FALSE),0),0)</f>
        <v>0</v>
      </c>
      <c r="H244" s="21">
        <f>+IF(F244="i",IFERROR(VLOOKUP(C244,'BG 12.2024'!$B:$E,4,FALSE),0),0)</f>
        <v>0</v>
      </c>
      <c r="I244" s="21"/>
      <c r="J244" s="28">
        <f>+IF(F244="i",IFERROR(VLOOKUP(C244,'BG 2023'!$B:$E,3,FALSE),0),0)</f>
        <v>0</v>
      </c>
      <c r="K244" s="21">
        <f>+IF(F244="i",IFERROR(VLOOKUP(C244,'BG 2023'!$B:$E,4,FALSE),0),0)</f>
        <v>0</v>
      </c>
      <c r="M244" s="15" t="e">
        <f>+VLOOKUP(C244,'BG 2023'!$B:$E,1,0)</f>
        <v>#N/A</v>
      </c>
      <c r="N244" s="806" t="e">
        <f>+VLOOKUP(C244,'BG 2023'!$B:$E,3,0)</f>
        <v>#N/A</v>
      </c>
      <c r="O244" s="807" t="e">
        <f t="shared" si="14"/>
        <v>#N/A</v>
      </c>
      <c r="P244" s="807"/>
      <c r="R244" s="807">
        <f>+IFERROR(VLOOKUP(C244,'CA FE'!$A:$C,3,0),0)-G244</f>
        <v>0</v>
      </c>
    </row>
    <row r="245" spans="1:18">
      <c r="A245" s="354" t="s">
        <v>10</v>
      </c>
      <c r="B245" s="354"/>
      <c r="C245" s="355">
        <v>1140214601</v>
      </c>
      <c r="D245" s="354" t="s">
        <v>692</v>
      </c>
      <c r="E245" s="356" t="s">
        <v>634</v>
      </c>
      <c r="F245" s="356" t="str">
        <f t="shared" si="15"/>
        <v>I</v>
      </c>
      <c r="G245" s="28">
        <f>+IF(F245="i",IFERROR(VLOOKUP(C245,'BG 12.2024'!$B:$E,3,FALSE),0),0)</f>
        <v>0</v>
      </c>
      <c r="H245" s="21">
        <f>+IF(F245="i",IFERROR(VLOOKUP(C245,'BG 12.2024'!$B:$E,4,FALSE),0),0)</f>
        <v>0</v>
      </c>
      <c r="I245" s="21"/>
      <c r="J245" s="28">
        <f>+IF(F245="i",IFERROR(VLOOKUP(C245,'BG 2023'!$B:$E,3,FALSE),0),0)</f>
        <v>0</v>
      </c>
      <c r="K245" s="21">
        <f>+IF(F245="i",IFERROR(VLOOKUP(C245,'BG 2023'!$B:$E,4,FALSE),0),0)</f>
        <v>0</v>
      </c>
      <c r="M245" s="15" t="e">
        <f>+VLOOKUP(C245,'BG 2023'!$B:$E,1,0)</f>
        <v>#N/A</v>
      </c>
      <c r="N245" s="806" t="e">
        <f>+VLOOKUP(C245,'BG 2023'!$B:$E,3,0)</f>
        <v>#N/A</v>
      </c>
      <c r="O245" s="807" t="e">
        <f t="shared" si="14"/>
        <v>#N/A</v>
      </c>
      <c r="P245" s="807"/>
      <c r="R245" s="807">
        <f>+IFERROR(VLOOKUP(C245,'CA FE'!$A:$C,3,0),0)-G245</f>
        <v>0</v>
      </c>
    </row>
    <row r="246" spans="1:18">
      <c r="A246" s="354" t="s">
        <v>10</v>
      </c>
      <c r="B246" s="354"/>
      <c r="C246" s="355">
        <v>1140214602</v>
      </c>
      <c r="D246" s="354" t="s">
        <v>693</v>
      </c>
      <c r="E246" s="356" t="s">
        <v>640</v>
      </c>
      <c r="F246" s="356" t="str">
        <f t="shared" si="15"/>
        <v>I</v>
      </c>
      <c r="G246" s="28">
        <f>+IF(F246="i",IFERROR(VLOOKUP(C246,'BG 12.2024'!$B:$E,3,FALSE),0),0)</f>
        <v>0</v>
      </c>
      <c r="H246" s="21">
        <f>+IF(F246="i",IFERROR(VLOOKUP(C246,'BG 12.2024'!$B:$E,4,FALSE),0),0)</f>
        <v>0</v>
      </c>
      <c r="I246" s="21"/>
      <c r="J246" s="28">
        <f>+IF(F246="i",IFERROR(VLOOKUP(C246,'BG 2023'!$B:$E,3,FALSE),0),0)</f>
        <v>0</v>
      </c>
      <c r="K246" s="21">
        <f>+IF(F246="i",IFERROR(VLOOKUP(C246,'BG 2023'!$B:$E,4,FALSE),0),0)</f>
        <v>0</v>
      </c>
      <c r="M246" s="15" t="e">
        <f>+VLOOKUP(C246,'BG 2023'!$B:$E,1,0)</f>
        <v>#N/A</v>
      </c>
      <c r="N246" s="806" t="e">
        <f>+VLOOKUP(C246,'BG 2023'!$B:$E,3,0)</f>
        <v>#N/A</v>
      </c>
      <c r="O246" s="807" t="e">
        <f t="shared" si="14"/>
        <v>#N/A</v>
      </c>
      <c r="P246" s="807"/>
      <c r="R246" s="807">
        <f>+IFERROR(VLOOKUP(C246,'CA FE'!$A:$C,3,0),0)-G246</f>
        <v>0</v>
      </c>
    </row>
    <row r="247" spans="1:18">
      <c r="A247" s="354" t="s">
        <v>10</v>
      </c>
      <c r="B247" s="354"/>
      <c r="C247" s="355">
        <v>1140215</v>
      </c>
      <c r="D247" s="354" t="s">
        <v>697</v>
      </c>
      <c r="E247" s="356" t="s">
        <v>634</v>
      </c>
      <c r="F247" s="356" t="str">
        <f t="shared" si="15"/>
        <v>NI</v>
      </c>
      <c r="G247" s="28">
        <f>+IF(F247="i",IFERROR(VLOOKUP(C247,'BG 12.2024'!$B:$E,3,FALSE),0),0)</f>
        <v>0</v>
      </c>
      <c r="H247" s="21">
        <f>+IF(F247="i",IFERROR(VLOOKUP(C247,'BG 12.2024'!$B:$E,4,FALSE),0),0)</f>
        <v>0</v>
      </c>
      <c r="I247" s="21"/>
      <c r="J247" s="28">
        <f>+IF(F247="i",IFERROR(VLOOKUP(C247,'BG 2023'!$B:$E,3,FALSE),0),0)</f>
        <v>0</v>
      </c>
      <c r="K247" s="21">
        <f>+IF(F247="i",IFERROR(VLOOKUP(C247,'BG 2023'!$B:$E,4,FALSE),0),0)</f>
        <v>0</v>
      </c>
      <c r="M247" s="15" t="e">
        <f>+VLOOKUP(C247,'BG 2023'!$B:$E,1,0)</f>
        <v>#N/A</v>
      </c>
      <c r="N247" s="806" t="e">
        <f>+VLOOKUP(C247,'BG 2023'!$B:$E,3,0)</f>
        <v>#N/A</v>
      </c>
      <c r="O247" s="807" t="e">
        <f t="shared" si="14"/>
        <v>#N/A</v>
      </c>
      <c r="P247" s="807"/>
      <c r="R247" s="807">
        <f>+IFERROR(VLOOKUP(C247,'CA FE'!$A:$C,3,0),0)-G247</f>
        <v>0</v>
      </c>
    </row>
    <row r="248" spans="1:18">
      <c r="A248" s="354" t="s">
        <v>10</v>
      </c>
      <c r="B248" s="354"/>
      <c r="C248" s="355">
        <v>11402151</v>
      </c>
      <c r="D248" s="354" t="s">
        <v>698</v>
      </c>
      <c r="E248" s="356" t="s">
        <v>634</v>
      </c>
      <c r="F248" s="356" t="str">
        <f t="shared" si="15"/>
        <v>NI</v>
      </c>
      <c r="G248" s="28">
        <f>+IF(F248="i",IFERROR(VLOOKUP(C248,'BG 12.2024'!$B:$E,3,FALSE),0),0)</f>
        <v>0</v>
      </c>
      <c r="H248" s="21">
        <f>+IF(F248="i",IFERROR(VLOOKUP(C248,'BG 12.2024'!$B:$E,4,FALSE),0),0)</f>
        <v>0</v>
      </c>
      <c r="I248" s="21"/>
      <c r="J248" s="28">
        <f>+IF(F248="i",IFERROR(VLOOKUP(C248,'BG 2023'!$B:$E,3,FALSE),0),0)</f>
        <v>0</v>
      </c>
      <c r="K248" s="21">
        <f>+IF(F248="i",IFERROR(VLOOKUP(C248,'BG 2023'!$B:$E,4,FALSE),0),0)</f>
        <v>0</v>
      </c>
      <c r="M248" s="15" t="e">
        <f>+VLOOKUP(C248,'BG 2023'!$B:$E,1,0)</f>
        <v>#N/A</v>
      </c>
      <c r="N248" s="806" t="e">
        <f>+VLOOKUP(C248,'BG 2023'!$B:$E,3,0)</f>
        <v>#N/A</v>
      </c>
      <c r="O248" s="807" t="e">
        <f t="shared" si="14"/>
        <v>#N/A</v>
      </c>
      <c r="P248" s="807"/>
      <c r="R248" s="807">
        <f>+IFERROR(VLOOKUP(C248,'CA FE'!$A:$C,3,0),0)-G248</f>
        <v>0</v>
      </c>
    </row>
    <row r="249" spans="1:18">
      <c r="A249" s="354" t="s">
        <v>10</v>
      </c>
      <c r="B249" s="354"/>
      <c r="C249" s="355">
        <v>1140215101</v>
      </c>
      <c r="D249" s="354" t="s">
        <v>699</v>
      </c>
      <c r="E249" s="356" t="s">
        <v>634</v>
      </c>
      <c r="F249" s="356" t="str">
        <f t="shared" si="15"/>
        <v>I</v>
      </c>
      <c r="G249" s="28">
        <f>+IF(F249="i",IFERROR(VLOOKUP(C249,'BG 12.2024'!$B:$E,3,FALSE),0),0)</f>
        <v>0</v>
      </c>
      <c r="H249" s="21">
        <f>+IF(F249="i",IFERROR(VLOOKUP(C249,'BG 12.2024'!$B:$E,4,FALSE),0),0)</f>
        <v>0</v>
      </c>
      <c r="I249" s="21"/>
      <c r="J249" s="28">
        <f>+IF(F249="i",IFERROR(VLOOKUP(C249,'BG 2023'!$B:$E,3,FALSE),0),0)</f>
        <v>0</v>
      </c>
      <c r="K249" s="21">
        <f>+IF(F249="i",IFERROR(VLOOKUP(C249,'BG 2023'!$B:$E,4,FALSE),0),0)</f>
        <v>0</v>
      </c>
      <c r="M249" s="15" t="e">
        <f>+VLOOKUP(C249,'BG 2023'!$B:$E,1,0)</f>
        <v>#N/A</v>
      </c>
      <c r="N249" s="806" t="e">
        <f>+VLOOKUP(C249,'BG 2023'!$B:$E,3,0)</f>
        <v>#N/A</v>
      </c>
      <c r="O249" s="807" t="e">
        <f t="shared" si="14"/>
        <v>#N/A</v>
      </c>
      <c r="P249" s="807"/>
      <c r="R249" s="807">
        <f>+IFERROR(VLOOKUP(C249,'CA FE'!$A:$C,3,0),0)-G249</f>
        <v>0</v>
      </c>
    </row>
    <row r="250" spans="1:18">
      <c r="A250" s="354" t="s">
        <v>10</v>
      </c>
      <c r="B250" s="354"/>
      <c r="C250" s="355">
        <v>1140215102</v>
      </c>
      <c r="D250" s="354" t="s">
        <v>700</v>
      </c>
      <c r="E250" s="356" t="s">
        <v>640</v>
      </c>
      <c r="F250" s="356" t="str">
        <f t="shared" si="15"/>
        <v>I</v>
      </c>
      <c r="G250" s="28">
        <f>+IF(F250="i",IFERROR(VLOOKUP(C250,'BG 12.2024'!$B:$E,3,FALSE),0),0)</f>
        <v>0</v>
      </c>
      <c r="H250" s="21">
        <f>+IF(F250="i",IFERROR(VLOOKUP(C250,'BG 12.2024'!$B:$E,4,FALSE),0),0)</f>
        <v>0</v>
      </c>
      <c r="I250" s="21"/>
      <c r="J250" s="28">
        <f>+IF(F250="i",IFERROR(VLOOKUP(C250,'BG 2023'!$B:$E,3,FALSE),0),0)</f>
        <v>0</v>
      </c>
      <c r="K250" s="21">
        <f>+IF(F250="i",IFERROR(VLOOKUP(C250,'BG 2023'!$B:$E,4,FALSE),0),0)</f>
        <v>0</v>
      </c>
      <c r="M250" s="15" t="e">
        <f>+VLOOKUP(C250,'BG 2023'!$B:$E,1,0)</f>
        <v>#N/A</v>
      </c>
      <c r="N250" s="806" t="e">
        <f>+VLOOKUP(C250,'BG 2023'!$B:$E,3,0)</f>
        <v>#N/A</v>
      </c>
      <c r="O250" s="807" t="e">
        <f t="shared" si="14"/>
        <v>#N/A</v>
      </c>
      <c r="P250" s="807"/>
      <c r="R250" s="807">
        <f>+IFERROR(VLOOKUP(C250,'CA FE'!$A:$C,3,0),0)-G250</f>
        <v>0</v>
      </c>
    </row>
    <row r="251" spans="1:18">
      <c r="A251" s="354" t="s">
        <v>10</v>
      </c>
      <c r="B251" s="354"/>
      <c r="C251" s="355">
        <v>11402152</v>
      </c>
      <c r="D251" s="354" t="s">
        <v>684</v>
      </c>
      <c r="E251" s="356" t="s">
        <v>634</v>
      </c>
      <c r="F251" s="356" t="str">
        <f t="shared" si="15"/>
        <v>NI</v>
      </c>
      <c r="G251" s="28">
        <f>+IF(F251="i",IFERROR(VLOOKUP(C251,'BG 12.2024'!$B:$E,3,FALSE),0),0)</f>
        <v>0</v>
      </c>
      <c r="H251" s="21">
        <f>+IF(F251="i",IFERROR(VLOOKUP(C251,'BG 12.2024'!$B:$E,4,FALSE),0),0)</f>
        <v>0</v>
      </c>
      <c r="I251" s="21"/>
      <c r="J251" s="28">
        <f>+IF(F251="i",IFERROR(VLOOKUP(C251,'BG 2023'!$B:$E,3,FALSE),0),0)</f>
        <v>0</v>
      </c>
      <c r="K251" s="21">
        <f>+IF(F251="i",IFERROR(VLOOKUP(C251,'BG 2023'!$B:$E,4,FALSE),0),0)</f>
        <v>0</v>
      </c>
      <c r="M251" s="15" t="e">
        <f>+VLOOKUP(C251,'BG 2023'!$B:$E,1,0)</f>
        <v>#N/A</v>
      </c>
      <c r="N251" s="806" t="e">
        <f>+VLOOKUP(C251,'BG 2023'!$B:$E,3,0)</f>
        <v>#N/A</v>
      </c>
      <c r="O251" s="807" t="e">
        <f t="shared" si="14"/>
        <v>#N/A</v>
      </c>
      <c r="P251" s="807"/>
      <c r="R251" s="807">
        <f>+IFERROR(VLOOKUP(C251,'CA FE'!$A:$C,3,0),0)-G251</f>
        <v>0</v>
      </c>
    </row>
    <row r="252" spans="1:18">
      <c r="A252" s="354" t="s">
        <v>10</v>
      </c>
      <c r="B252" s="354"/>
      <c r="C252" s="355">
        <v>1140215201</v>
      </c>
      <c r="D252" s="354" t="s">
        <v>701</v>
      </c>
      <c r="E252" s="356" t="s">
        <v>634</v>
      </c>
      <c r="F252" s="356" t="str">
        <f t="shared" si="15"/>
        <v>I</v>
      </c>
      <c r="G252" s="28">
        <f>+IF(F252="i",IFERROR(VLOOKUP(C252,'BG 12.2024'!$B:$E,3,FALSE),0),0)</f>
        <v>0</v>
      </c>
      <c r="H252" s="21">
        <f>+IF(F252="i",IFERROR(VLOOKUP(C252,'BG 12.2024'!$B:$E,4,FALSE),0),0)</f>
        <v>0</v>
      </c>
      <c r="I252" s="21"/>
      <c r="J252" s="28">
        <f>+IF(F252="i",IFERROR(VLOOKUP(C252,'BG 2023'!$B:$E,3,FALSE),0),0)</f>
        <v>0</v>
      </c>
      <c r="K252" s="21">
        <f>+IF(F252="i",IFERROR(VLOOKUP(C252,'BG 2023'!$B:$E,4,FALSE),0),0)</f>
        <v>0</v>
      </c>
      <c r="M252" s="15" t="e">
        <f>+VLOOKUP(C252,'BG 2023'!$B:$E,1,0)</f>
        <v>#N/A</v>
      </c>
      <c r="N252" s="806" t="e">
        <f>+VLOOKUP(C252,'BG 2023'!$B:$E,3,0)</f>
        <v>#N/A</v>
      </c>
      <c r="O252" s="807" t="e">
        <f t="shared" si="14"/>
        <v>#N/A</v>
      </c>
      <c r="P252" s="807"/>
      <c r="R252" s="807">
        <f>+IFERROR(VLOOKUP(C252,'CA FE'!$A:$C,3,0),0)-G252</f>
        <v>0</v>
      </c>
    </row>
    <row r="253" spans="1:18">
      <c r="A253" s="354" t="s">
        <v>10</v>
      </c>
      <c r="B253" s="354"/>
      <c r="C253" s="355">
        <v>1140215202</v>
      </c>
      <c r="D253" s="354" t="s">
        <v>702</v>
      </c>
      <c r="E253" s="356" t="s">
        <v>640</v>
      </c>
      <c r="F253" s="356" t="str">
        <f t="shared" si="15"/>
        <v>I</v>
      </c>
      <c r="G253" s="28">
        <f>+IF(F253="i",IFERROR(VLOOKUP(C253,'BG 12.2024'!$B:$E,3,FALSE),0),0)</f>
        <v>0</v>
      </c>
      <c r="H253" s="21">
        <f>+IF(F253="i",IFERROR(VLOOKUP(C253,'BG 12.2024'!$B:$E,4,FALSE),0),0)</f>
        <v>0</v>
      </c>
      <c r="I253" s="21"/>
      <c r="J253" s="28">
        <f>+IF(F253="i",IFERROR(VLOOKUP(C253,'BG 2023'!$B:$E,3,FALSE),0),0)</f>
        <v>0</v>
      </c>
      <c r="K253" s="21">
        <f>+IF(F253="i",IFERROR(VLOOKUP(C253,'BG 2023'!$B:$E,4,FALSE),0),0)</f>
        <v>0</v>
      </c>
      <c r="M253" s="15" t="e">
        <f>+VLOOKUP(C253,'BG 2023'!$B:$E,1,0)</f>
        <v>#N/A</v>
      </c>
      <c r="N253" s="806" t="e">
        <f>+VLOOKUP(C253,'BG 2023'!$B:$E,3,0)</f>
        <v>#N/A</v>
      </c>
      <c r="O253" s="807" t="e">
        <f t="shared" si="14"/>
        <v>#N/A</v>
      </c>
      <c r="P253" s="807"/>
      <c r="R253" s="807">
        <f>+IFERROR(VLOOKUP(C253,'CA FE'!$A:$C,3,0),0)-G253</f>
        <v>0</v>
      </c>
    </row>
    <row r="254" spans="1:18">
      <c r="A254" s="354" t="s">
        <v>10</v>
      </c>
      <c r="B254" s="354"/>
      <c r="C254" s="355">
        <v>1140219</v>
      </c>
      <c r="D254" s="354" t="s">
        <v>71</v>
      </c>
      <c r="E254" s="356" t="s">
        <v>634</v>
      </c>
      <c r="F254" s="356" t="str">
        <f t="shared" si="15"/>
        <v>NI</v>
      </c>
      <c r="G254" s="28">
        <f>+IF(F254="i",IFERROR(VLOOKUP(C254,'BG 12.2024'!$B:$E,3,FALSE),0),0)</f>
        <v>0</v>
      </c>
      <c r="H254" s="21">
        <f>+IF(F254="i",IFERROR(VLOOKUP(C254,'BG 12.2024'!$B:$E,4,FALSE),0),0)</f>
        <v>0</v>
      </c>
      <c r="I254" s="21"/>
      <c r="J254" s="28">
        <f>+IF(F254="i",IFERROR(VLOOKUP(C254,'BG 2023'!$B:$E,3,FALSE),0),0)</f>
        <v>0</v>
      </c>
      <c r="K254" s="21">
        <f>+IF(F254="i",IFERROR(VLOOKUP(C254,'BG 2023'!$B:$E,4,FALSE),0),0)</f>
        <v>0</v>
      </c>
      <c r="M254" s="15">
        <f>+VLOOKUP(C254,'BG 2023'!$B:$E,1,0)</f>
        <v>1140219</v>
      </c>
      <c r="N254" s="806">
        <f>+VLOOKUP(C254,'BG 2023'!$B:$E,3,0)</f>
        <v>-48992731</v>
      </c>
      <c r="O254" s="807">
        <f t="shared" si="14"/>
        <v>-48992731</v>
      </c>
      <c r="P254" s="807"/>
      <c r="R254" s="807">
        <f>+IFERROR(VLOOKUP(C254,'CA FE'!$A:$C,3,0),0)-G254</f>
        <v>0</v>
      </c>
    </row>
    <row r="255" spans="1:18">
      <c r="A255" s="354" t="s">
        <v>10</v>
      </c>
      <c r="B255" s="354"/>
      <c r="C255" s="355">
        <v>11402191</v>
      </c>
      <c r="D255" s="354" t="s">
        <v>72</v>
      </c>
      <c r="E255" s="356" t="s">
        <v>634</v>
      </c>
      <c r="F255" s="356" t="str">
        <f t="shared" si="15"/>
        <v>NI</v>
      </c>
      <c r="G255" s="28">
        <f>+IF(F255="i",IFERROR(VLOOKUP(C255,'BG 12.2024'!$B:$E,3,FALSE),0),0)</f>
        <v>0</v>
      </c>
      <c r="H255" s="21">
        <f>+IF(F255="i",IFERROR(VLOOKUP(C255,'BG 12.2024'!$B:$E,4,FALSE),0),0)</f>
        <v>0</v>
      </c>
      <c r="I255" s="21"/>
      <c r="J255" s="28">
        <f>+IF(F255="i",IFERROR(VLOOKUP(C255,'BG 2023'!$B:$E,3,FALSE),0),0)</f>
        <v>0</v>
      </c>
      <c r="K255" s="21">
        <f>+IF(F255="i",IFERROR(VLOOKUP(C255,'BG 2023'!$B:$E,4,FALSE),0),0)</f>
        <v>0</v>
      </c>
      <c r="M255" s="15">
        <f>+VLOOKUP(C255,'BG 2023'!$B:$E,1,0)</f>
        <v>11402191</v>
      </c>
      <c r="N255" s="806">
        <f>+VLOOKUP(C255,'BG 2023'!$B:$E,3,0)</f>
        <v>-105144100</v>
      </c>
      <c r="O255" s="807">
        <f t="shared" si="14"/>
        <v>-105144100</v>
      </c>
      <c r="P255" s="807"/>
      <c r="R255" s="807">
        <f>+IFERROR(VLOOKUP(C255,'CA FE'!$A:$C,3,0),0)-G255</f>
        <v>0</v>
      </c>
    </row>
    <row r="256" spans="1:18">
      <c r="A256" s="989" t="s">
        <v>193</v>
      </c>
      <c r="B256" s="354" t="s">
        <v>703</v>
      </c>
      <c r="C256" s="355">
        <v>1140219101</v>
      </c>
      <c r="D256" s="354" t="s">
        <v>73</v>
      </c>
      <c r="E256" s="356" t="s">
        <v>634</v>
      </c>
      <c r="F256" s="356" t="str">
        <f t="shared" si="15"/>
        <v>I</v>
      </c>
      <c r="G256" s="988">
        <f>-+IF(F256="i",IFERROR(VLOOKUP(C256,'BG 12.2024'!$B:$E,3,FALSE),0),0)</f>
        <v>0</v>
      </c>
      <c r="H256" s="21">
        <f>-+IF(F256="i",IFERROR(VLOOKUP(C256,'BG 12.2024'!$B:$E,4,FALSE),0),0)</f>
        <v>0</v>
      </c>
      <c r="I256" s="21"/>
      <c r="J256" s="1381">
        <f>-+IF(F256="i",IFERROR(VLOOKUP(C256,'BG 2023'!$B:$E,3,FALSE),0),0)</f>
        <v>32</v>
      </c>
      <c r="K256" s="992">
        <f>+-IF(F256="i",IFERROR(VLOOKUP(C256,'BG 2023'!$B:$E,4,FALSE),0),0)</f>
        <v>0</v>
      </c>
      <c r="M256" s="15">
        <f>+VLOOKUP(C256,'BG 2023'!$B:$E,1,0)</f>
        <v>1140219101</v>
      </c>
      <c r="N256" s="806">
        <f>+VLOOKUP(C256,'BG 2023'!$B:$E,3,0)</f>
        <v>-32</v>
      </c>
      <c r="O256" s="807">
        <f t="shared" si="14"/>
        <v>-32</v>
      </c>
      <c r="P256" s="807"/>
      <c r="R256" s="807">
        <f>+IFERROR(VLOOKUP(C256,'CA FE'!$A:$C,3,0),0)-G256</f>
        <v>0</v>
      </c>
    </row>
    <row r="257" spans="1:18">
      <c r="A257" s="989" t="s">
        <v>193</v>
      </c>
      <c r="B257" s="354" t="s">
        <v>703</v>
      </c>
      <c r="C257" s="355">
        <v>1140219102</v>
      </c>
      <c r="D257" s="354" t="s">
        <v>704</v>
      </c>
      <c r="E257" s="356" t="s">
        <v>640</v>
      </c>
      <c r="F257" s="356" t="str">
        <f t="shared" si="15"/>
        <v>I</v>
      </c>
      <c r="G257" s="28">
        <f>+IF(F257="i",IFERROR(VLOOKUP(C257,'BG 12.2024'!$B:$E,3,FALSE),0),0)</f>
        <v>0</v>
      </c>
      <c r="H257" s="21">
        <f>+IF(F257="i",IFERROR(VLOOKUP(C257,'BG 12.2024'!$B:$E,4,FALSE),0),0)</f>
        <v>0</v>
      </c>
      <c r="I257" s="21"/>
      <c r="J257" s="28">
        <f>+IF(F257="i",IFERROR(VLOOKUP(C257,'BG 2023'!$B:$E,3,FALSE),0),0)</f>
        <v>0</v>
      </c>
      <c r="K257" s="21">
        <f>+IF(F257="i",IFERROR(VLOOKUP(C257,'BG 2023'!$B:$E,4,FALSE),0),0)</f>
        <v>0</v>
      </c>
      <c r="M257" s="15" t="e">
        <f>+VLOOKUP(C257,'BG 2023'!$B:$E,1,0)</f>
        <v>#N/A</v>
      </c>
      <c r="N257" s="806" t="e">
        <f>+VLOOKUP(C257,'BG 2023'!$B:$E,3,0)</f>
        <v>#N/A</v>
      </c>
      <c r="O257" s="807" t="e">
        <f t="shared" si="14"/>
        <v>#N/A</v>
      </c>
      <c r="P257" s="807"/>
      <c r="R257" s="807">
        <f>+IFERROR(VLOOKUP(C257,'CA FE'!$A:$C,3,0),0)-G257</f>
        <v>0</v>
      </c>
    </row>
    <row r="258" spans="1:18">
      <c r="A258" s="989" t="s">
        <v>193</v>
      </c>
      <c r="B258" s="354"/>
      <c r="C258" s="355">
        <v>1140219103</v>
      </c>
      <c r="D258" s="354" t="s">
        <v>705</v>
      </c>
      <c r="E258" s="356" t="s">
        <v>634</v>
      </c>
      <c r="F258" s="356" t="str">
        <f t="shared" si="15"/>
        <v>I</v>
      </c>
      <c r="G258" s="28">
        <f>+IF(F258="i",IFERROR(VLOOKUP(C258,'BG 12.2024'!$B:$E,3,FALSE),0),0)</f>
        <v>0</v>
      </c>
      <c r="H258" s="21">
        <f>+IF(F258="i",IFERROR(VLOOKUP(C258,'BG 12.2024'!$B:$E,4,FALSE),0),0)</f>
        <v>0</v>
      </c>
      <c r="I258" s="21"/>
      <c r="J258" s="28">
        <f>+IF(F258="i",IFERROR(VLOOKUP(C258,'BG 2023'!$B:$E,3,FALSE),0),0)</f>
        <v>0</v>
      </c>
      <c r="K258" s="21">
        <f>+IF(F258="i",IFERROR(VLOOKUP(C258,'BG 2023'!$B:$E,4,FALSE),0),0)</f>
        <v>0</v>
      </c>
      <c r="M258" s="15" t="e">
        <f>+VLOOKUP(C258,'BG 2023'!$B:$E,1,0)</f>
        <v>#N/A</v>
      </c>
      <c r="N258" s="806" t="e">
        <f>+VLOOKUP(C258,'BG 2023'!$B:$E,3,0)</f>
        <v>#N/A</v>
      </c>
      <c r="O258" s="807" t="e">
        <f t="shared" si="14"/>
        <v>#N/A</v>
      </c>
      <c r="P258" s="807"/>
      <c r="R258" s="807">
        <f>+IFERROR(VLOOKUP(C258,'CA FE'!$A:$C,3,0),0)-G258</f>
        <v>0</v>
      </c>
    </row>
    <row r="259" spans="1:18">
      <c r="A259" s="989" t="s">
        <v>193</v>
      </c>
      <c r="B259" s="354" t="s">
        <v>703</v>
      </c>
      <c r="C259" s="355">
        <v>1140219104</v>
      </c>
      <c r="D259" s="354" t="s">
        <v>527</v>
      </c>
      <c r="E259" s="356" t="s">
        <v>640</v>
      </c>
      <c r="F259" s="356" t="str">
        <f t="shared" si="15"/>
        <v>I</v>
      </c>
      <c r="G259" s="988">
        <f>-+IF(F259="i",IFERROR(VLOOKUP(C259,'BG 12.2024'!$B:$E,3,FALSE),0),0)</f>
        <v>0</v>
      </c>
      <c r="H259" s="21">
        <f>-+IF(F259="i",IFERROR(VLOOKUP(C259,'BG 12.2024'!$B:$E,4,FALSE),0),0)</f>
        <v>0</v>
      </c>
      <c r="I259" s="21"/>
      <c r="J259" s="28">
        <f>+IF(F259="i",IFERROR(VLOOKUP(C259,'BG 2023'!$B:$E,3,FALSE),0),0)</f>
        <v>0</v>
      </c>
      <c r="K259" s="21">
        <f>+-IF(F259="i",IFERROR(VLOOKUP(C259,'BG 2023'!$B:$E,4,FALSE),0),0)</f>
        <v>0</v>
      </c>
      <c r="M259" s="15" t="e">
        <f>+VLOOKUP(C259,'BG 2023'!$B:$E,1,0)</f>
        <v>#N/A</v>
      </c>
      <c r="N259" s="806" t="e">
        <f>+VLOOKUP(C259,'BG 2023'!$B:$E,3,0)</f>
        <v>#N/A</v>
      </c>
      <c r="O259" s="807" t="e">
        <f t="shared" si="14"/>
        <v>#N/A</v>
      </c>
      <c r="P259" s="807"/>
      <c r="R259" s="807">
        <f>+IFERROR(VLOOKUP(C259,'CA FE'!$A:$C,3,0),0)-G259</f>
        <v>0</v>
      </c>
    </row>
    <row r="260" spans="1:18">
      <c r="A260" s="989" t="s">
        <v>193</v>
      </c>
      <c r="B260" s="354" t="s">
        <v>703</v>
      </c>
      <c r="C260" s="355">
        <v>1140219105</v>
      </c>
      <c r="D260" s="354" t="s">
        <v>74</v>
      </c>
      <c r="E260" s="356" t="s">
        <v>634</v>
      </c>
      <c r="F260" s="356" t="str">
        <f t="shared" si="15"/>
        <v>I</v>
      </c>
      <c r="G260" s="988">
        <f>+IF(F260="i",IFERROR(VLOOKUP(C260,'BG 12.2024'!$B:$E,3,FALSE),0),0)</f>
        <v>0</v>
      </c>
      <c r="H260" s="992">
        <f>+IF(F260="i",IFERROR(VLOOKUP(C260,'BG 12.2024'!$B:$E,4,FALSE),0),0)</f>
        <v>0</v>
      </c>
      <c r="I260" s="21"/>
      <c r="J260" s="1381">
        <f>-IF(F260="i",IFERROR(VLOOKUP(C260,'BG 2023'!$B:$E,3,FALSE),0),0)</f>
        <v>29227291</v>
      </c>
      <c r="K260" s="992">
        <f>-+IF(F260="i",IFERROR(VLOOKUP(C260,'BG 2023'!$B:$E,4,FALSE),0),0)</f>
        <v>4023.8099999999972</v>
      </c>
      <c r="M260" s="15">
        <f>+VLOOKUP(C260,'BG 2023'!$B:$E,1,0)</f>
        <v>1140219105</v>
      </c>
      <c r="N260" s="806">
        <f>+VLOOKUP(C260,'BG 2023'!$B:$E,3,0)</f>
        <v>-29227291</v>
      </c>
      <c r="O260" s="807">
        <f t="shared" si="14"/>
        <v>-29227291</v>
      </c>
      <c r="P260" s="807"/>
      <c r="R260" s="807">
        <f>+IFERROR(VLOOKUP(C260,'CA FE'!$A:$C,3,0),0)-G260</f>
        <v>0</v>
      </c>
    </row>
    <row r="261" spans="1:18">
      <c r="A261" s="989" t="s">
        <v>193</v>
      </c>
      <c r="B261" s="354" t="s">
        <v>703</v>
      </c>
      <c r="C261" s="355">
        <v>1140219106</v>
      </c>
      <c r="D261" s="354" t="s">
        <v>706</v>
      </c>
      <c r="E261" s="356" t="s">
        <v>640</v>
      </c>
      <c r="F261" s="356" t="str">
        <f t="shared" si="15"/>
        <v>I</v>
      </c>
      <c r="G261" s="948">
        <f>+IF(F261="i",IFERROR(VLOOKUP(C261,'BG 12.2024'!$B:$E,3,FALSE),0),0)</f>
        <v>0</v>
      </c>
      <c r="H261" s="21">
        <f>+IF(F261="i",IFERROR(VLOOKUP(C261,'BG 12.2024'!$B:$E,4,FALSE),0),0)</f>
        <v>0</v>
      </c>
      <c r="I261" s="21"/>
      <c r="J261" s="28">
        <f>+IF(F261="i",IFERROR(VLOOKUP(C261,'BG 2023'!$B:$E,3,FALSE),0),0)</f>
        <v>0</v>
      </c>
      <c r="K261" s="21">
        <f>+IF(F261="i",IFERROR(VLOOKUP(C261,'BG 2023'!$B:$E,4,FALSE),0),0)</f>
        <v>0</v>
      </c>
      <c r="M261" s="15" t="e">
        <f>+VLOOKUP(C261,'BG 2023'!$B:$E,1,0)</f>
        <v>#N/A</v>
      </c>
      <c r="N261" s="806" t="e">
        <f>+VLOOKUP(C261,'BG 2023'!$B:$E,3,0)</f>
        <v>#N/A</v>
      </c>
      <c r="O261" s="807" t="e">
        <f t="shared" si="14"/>
        <v>#N/A</v>
      </c>
      <c r="P261" s="807"/>
      <c r="R261" s="807">
        <f>+IFERROR(VLOOKUP(C261,'CA FE'!$A:$C,3,0),0)-G261</f>
        <v>0</v>
      </c>
    </row>
    <row r="262" spans="1:18">
      <c r="A262" s="989" t="s">
        <v>193</v>
      </c>
      <c r="B262" s="354" t="s">
        <v>703</v>
      </c>
      <c r="C262" s="355">
        <v>1140219107</v>
      </c>
      <c r="D262" s="354" t="s">
        <v>707</v>
      </c>
      <c r="E262" s="356" t="s">
        <v>634</v>
      </c>
      <c r="F262" s="356" t="str">
        <f t="shared" si="15"/>
        <v>I</v>
      </c>
      <c r="G262" s="28">
        <f>+IF(F262="i",IFERROR(VLOOKUP(C262,'BG 12.2024'!$B:$E,3,FALSE),0),0)</f>
        <v>0</v>
      </c>
      <c r="H262" s="21">
        <f>+IF(F262="i",IFERROR(VLOOKUP(C262,'BG 12.2024'!$B:$E,4,FALSE),0),0)</f>
        <v>0</v>
      </c>
      <c r="I262" s="21"/>
      <c r="J262" s="28">
        <f>+IF(F262="i",IFERROR(VLOOKUP(C262,'BG 2023'!$B:$E,3,FALSE),0),0)</f>
        <v>0</v>
      </c>
      <c r="K262" s="21">
        <f>+IF(F262="i",IFERROR(VLOOKUP(C262,'BG 2023'!$B:$E,4,FALSE),0),0)</f>
        <v>0</v>
      </c>
      <c r="M262" s="15" t="e">
        <f>+VLOOKUP(C262,'BG 2023'!$B:$E,1,0)</f>
        <v>#N/A</v>
      </c>
      <c r="N262" s="806" t="e">
        <f>+VLOOKUP(C262,'BG 2023'!$B:$E,3,0)</f>
        <v>#N/A</v>
      </c>
      <c r="O262" s="807" t="e">
        <f t="shared" si="14"/>
        <v>#N/A</v>
      </c>
      <c r="P262" s="807"/>
      <c r="R262" s="807">
        <f>+IFERROR(VLOOKUP(C262,'CA FE'!$A:$C,3,0),0)-G262</f>
        <v>0</v>
      </c>
    </row>
    <row r="263" spans="1:18">
      <c r="A263" s="989" t="s">
        <v>193</v>
      </c>
      <c r="B263" s="354" t="s">
        <v>703</v>
      </c>
      <c r="C263" s="355">
        <v>1140219108</v>
      </c>
      <c r="D263" s="354" t="s">
        <v>75</v>
      </c>
      <c r="E263" s="356" t="s">
        <v>640</v>
      </c>
      <c r="F263" s="356" t="str">
        <f t="shared" si="15"/>
        <v>I</v>
      </c>
      <c r="G263" s="988">
        <f>-+IF(F263="i",IFERROR(VLOOKUP(C263,'BG 12.2024'!$B:$E,3,FALSE),0),0)</f>
        <v>0</v>
      </c>
      <c r="H263" s="21">
        <f>-+IF(F263="i",IFERROR(VLOOKUP(C263,'BG 12.2024'!$B:$E,4,FALSE),0),0)</f>
        <v>0</v>
      </c>
      <c r="I263" s="21"/>
      <c r="J263" s="28">
        <f>+-IF(F263="i",IFERROR(VLOOKUP(C263,'BG 2023'!$B:$E,3,FALSE),0),0)</f>
        <v>291</v>
      </c>
      <c r="K263" s="21">
        <f>+-IF(F263="i",IFERROR(VLOOKUP(C263,'BG 2023'!$B:$E,4,FALSE),0),0)</f>
        <v>4.0000000000000036E-2</v>
      </c>
      <c r="M263" s="15">
        <f>+VLOOKUP(C263,'BG 2023'!$B:$E,1,0)</f>
        <v>1140219108</v>
      </c>
      <c r="N263" s="806">
        <f>+VLOOKUP(C263,'BG 2023'!$B:$E,3,0)</f>
        <v>-291</v>
      </c>
      <c r="O263" s="807">
        <f t="shared" si="14"/>
        <v>-291</v>
      </c>
      <c r="P263" s="807"/>
      <c r="R263" s="807">
        <f>+IFERROR(VLOOKUP(C263,'CA FE'!$A:$C,3,0),0)-G263</f>
        <v>0</v>
      </c>
    </row>
    <row r="264" spans="1:18">
      <c r="A264" s="989" t="s">
        <v>193</v>
      </c>
      <c r="B264" s="354" t="s">
        <v>703</v>
      </c>
      <c r="C264" s="355">
        <v>1140219109</v>
      </c>
      <c r="D264" s="354" t="s">
        <v>76</v>
      </c>
      <c r="E264" s="356" t="s">
        <v>634</v>
      </c>
      <c r="F264" s="356" t="str">
        <f t="shared" si="15"/>
        <v>I</v>
      </c>
      <c r="G264" s="28">
        <f>+IF(F264="i",IFERROR(VLOOKUP(C264,'BG 12.2024'!$B:$E,3,FALSE),0),0)</f>
        <v>0</v>
      </c>
      <c r="H264" s="21">
        <f>+IF(F264="i",IFERROR(VLOOKUP(C264,'BG 12.2024'!$B:$E,4,FALSE),0),0)</f>
        <v>0</v>
      </c>
      <c r="I264" s="21"/>
      <c r="J264" s="988">
        <f>+-IF(F264="i",IFERROR(VLOOKUP(C264,'BG 2023'!$B:$E,3,FALSE),0),0)</f>
        <v>40671392</v>
      </c>
      <c r="K264" s="992">
        <f>+-IF(F264="i",IFERROR(VLOOKUP(C264,'BG 2023'!$B:$E,4,FALSE),0),0)</f>
        <v>5599.3500000000022</v>
      </c>
      <c r="M264" s="15">
        <f>+VLOOKUP(C264,'BG 2023'!$B:$E,1,0)</f>
        <v>1140219109</v>
      </c>
      <c r="N264" s="806">
        <f>+VLOOKUP(C264,'BG 2023'!$B:$E,3,0)</f>
        <v>-40671392</v>
      </c>
      <c r="O264" s="807">
        <f t="shared" si="14"/>
        <v>-40671392</v>
      </c>
      <c r="P264" s="807"/>
      <c r="R264" s="807">
        <f>+IFERROR(VLOOKUP(C264,'CA FE'!$A:$C,3,0),0)-G264</f>
        <v>0</v>
      </c>
    </row>
    <row r="265" spans="1:18">
      <c r="A265" s="989" t="s">
        <v>193</v>
      </c>
      <c r="B265" s="354"/>
      <c r="C265" s="355">
        <v>1140219110</v>
      </c>
      <c r="D265" s="354" t="s">
        <v>708</v>
      </c>
      <c r="E265" s="356" t="s">
        <v>640</v>
      </c>
      <c r="F265" s="356" t="str">
        <f t="shared" si="15"/>
        <v>I</v>
      </c>
      <c r="G265" s="28">
        <f>+IF(F265="i",IFERROR(VLOOKUP(C265,'BG 12.2024'!$B:$E,3,FALSE),0),0)</f>
        <v>0</v>
      </c>
      <c r="H265" s="21">
        <f>+IF(F265="i",IFERROR(VLOOKUP(C265,'BG 12.2024'!$B:$E,4,FALSE),0),0)</f>
        <v>0</v>
      </c>
      <c r="I265" s="21"/>
      <c r="J265" s="28">
        <f>+IF(F265="i",IFERROR(VLOOKUP(C265,'BG 2023'!$B:$E,3,FALSE),0),0)</f>
        <v>0</v>
      </c>
      <c r="K265" s="21">
        <f>+IF(F265="i",IFERROR(VLOOKUP(C265,'BG 2023'!$B:$E,4,FALSE),0),0)</f>
        <v>0</v>
      </c>
      <c r="M265" s="15" t="e">
        <f>+VLOOKUP(C265,'BG 2023'!$B:$E,1,0)</f>
        <v>#N/A</v>
      </c>
      <c r="N265" s="806" t="e">
        <f>+VLOOKUP(C265,'BG 2023'!$B:$E,3,0)</f>
        <v>#N/A</v>
      </c>
      <c r="O265" s="807" t="e">
        <f t="shared" si="14"/>
        <v>#N/A</v>
      </c>
      <c r="P265" s="807"/>
      <c r="R265" s="807">
        <f>+IFERROR(VLOOKUP(C265,'CA FE'!$A:$C,3,0),0)-G265</f>
        <v>0</v>
      </c>
    </row>
    <row r="266" spans="1:18">
      <c r="A266" s="989" t="s">
        <v>193</v>
      </c>
      <c r="B266" s="354"/>
      <c r="C266" s="355">
        <v>1140219111</v>
      </c>
      <c r="D266" s="354" t="s">
        <v>709</v>
      </c>
      <c r="E266" s="356" t="s">
        <v>634</v>
      </c>
      <c r="F266" s="356" t="str">
        <f t="shared" si="15"/>
        <v>I</v>
      </c>
      <c r="G266" s="28">
        <f>+IF(F266="i",IFERROR(VLOOKUP(C266,'BG 12.2024'!$B:$E,3,FALSE),0),0)</f>
        <v>0</v>
      </c>
      <c r="H266" s="21">
        <f>+IF(F266="i",IFERROR(VLOOKUP(C266,'BG 12.2024'!$B:$E,4,FALSE),0),0)</f>
        <v>0</v>
      </c>
      <c r="I266" s="21"/>
      <c r="J266" s="28">
        <f>+IF(F266="i",IFERROR(VLOOKUP(C266,'BG 2023'!$B:$E,3,FALSE),0),0)</f>
        <v>0</v>
      </c>
      <c r="K266" s="21">
        <f>+IF(F266="i",IFERROR(VLOOKUP(C266,'BG 2023'!$B:$E,4,FALSE),0),0)</f>
        <v>0</v>
      </c>
      <c r="M266" s="15" t="e">
        <f>+VLOOKUP(C266,'BG 2023'!$B:$E,1,0)</f>
        <v>#N/A</v>
      </c>
      <c r="N266" s="806" t="e">
        <f>+VLOOKUP(C266,'BG 2023'!$B:$E,3,0)</f>
        <v>#N/A</v>
      </c>
      <c r="O266" s="807" t="e">
        <f t="shared" si="14"/>
        <v>#N/A</v>
      </c>
      <c r="P266" s="807"/>
      <c r="R266" s="807">
        <f>+IFERROR(VLOOKUP(C266,'CA FE'!$A:$C,3,0),0)-G266</f>
        <v>0</v>
      </c>
    </row>
    <row r="267" spans="1:18">
      <c r="A267" s="989" t="s">
        <v>193</v>
      </c>
      <c r="B267" s="354"/>
      <c r="C267" s="355">
        <v>1140219112</v>
      </c>
      <c r="D267" s="354" t="s">
        <v>710</v>
      </c>
      <c r="E267" s="356" t="s">
        <v>640</v>
      </c>
      <c r="F267" s="356" t="str">
        <f t="shared" si="15"/>
        <v>I</v>
      </c>
      <c r="G267" s="28">
        <f>+IF(F267="i",IFERROR(VLOOKUP(C267,'BG 12.2024'!$B:$E,3,FALSE),0),0)</f>
        <v>0</v>
      </c>
      <c r="H267" s="21">
        <f>+IF(F267="i",IFERROR(VLOOKUP(C267,'BG 12.2024'!$B:$E,4,FALSE),0),0)</f>
        <v>0</v>
      </c>
      <c r="I267" s="21"/>
      <c r="J267" s="28">
        <f>+IF(F267="i",IFERROR(VLOOKUP(C267,'BG 2023'!$B:$E,3,FALSE),0),0)</f>
        <v>0</v>
      </c>
      <c r="K267" s="21">
        <f>+IF(F267="i",IFERROR(VLOOKUP(C267,'BG 2023'!$B:$E,4,FALSE),0),0)</f>
        <v>0</v>
      </c>
      <c r="M267" s="15" t="e">
        <f>+VLOOKUP(C267,'BG 2023'!$B:$E,1,0)</f>
        <v>#N/A</v>
      </c>
      <c r="N267" s="806" t="e">
        <f>+VLOOKUP(C267,'BG 2023'!$B:$E,3,0)</f>
        <v>#N/A</v>
      </c>
      <c r="O267" s="807" t="e">
        <f t="shared" si="14"/>
        <v>#N/A</v>
      </c>
      <c r="P267" s="807"/>
      <c r="R267" s="807">
        <f>+IFERROR(VLOOKUP(C267,'CA FE'!$A:$C,3,0),0)-G267</f>
        <v>0</v>
      </c>
    </row>
    <row r="268" spans="1:18">
      <c r="A268" s="989" t="s">
        <v>193</v>
      </c>
      <c r="B268" s="354" t="s">
        <v>703</v>
      </c>
      <c r="C268" s="355">
        <v>1140219113</v>
      </c>
      <c r="D268" s="354" t="s">
        <v>77</v>
      </c>
      <c r="E268" s="356" t="s">
        <v>634</v>
      </c>
      <c r="F268" s="356" t="str">
        <f t="shared" si="15"/>
        <v>I</v>
      </c>
      <c r="G268" s="988">
        <f>-+IF(F268="i",IFERROR(VLOOKUP(C268,'BG 12.2024'!$B:$E,3,FALSE),0),0)</f>
        <v>0</v>
      </c>
      <c r="H268" s="992">
        <f>-+IF(F268="i",IFERROR(VLOOKUP(C268,'BG 12.2024'!$B:$E,4,FALSE),0),0)</f>
        <v>0</v>
      </c>
      <c r="I268" s="992"/>
      <c r="J268" s="988">
        <f>+-IF(F268="i",IFERROR(VLOOKUP(C268,'BG 2023'!$B:$E,3,FALSE),0),0)</f>
        <v>58</v>
      </c>
      <c r="K268" s="992">
        <f>+-IF(F268="i",IFERROR(VLOOKUP(C268,'BG 2023'!$B:$E,4,FALSE),0),0)</f>
        <v>1.0000000000218279E-2</v>
      </c>
      <c r="M268" s="15">
        <f>+VLOOKUP(C268,'BG 2023'!$B:$E,1,0)</f>
        <v>1140219113</v>
      </c>
      <c r="N268" s="806">
        <f>+VLOOKUP(C268,'BG 2023'!$B:$E,3,0)</f>
        <v>-58</v>
      </c>
      <c r="O268" s="807">
        <f t="shared" si="14"/>
        <v>-58</v>
      </c>
      <c r="P268" s="807"/>
      <c r="R268" s="807">
        <f>+IFERROR(VLOOKUP(C268,'CA FE'!$A:$C,3,0),0)-G268</f>
        <v>0</v>
      </c>
    </row>
    <row r="269" spans="1:18">
      <c r="A269" s="989" t="s">
        <v>193</v>
      </c>
      <c r="B269" s="354" t="s">
        <v>688</v>
      </c>
      <c r="C269" s="355">
        <v>1140219114</v>
      </c>
      <c r="D269" s="354" t="s">
        <v>704</v>
      </c>
      <c r="E269" s="356" t="s">
        <v>640</v>
      </c>
      <c r="F269" s="356" t="str">
        <f t="shared" si="15"/>
        <v>I</v>
      </c>
      <c r="G269" s="28">
        <f>+IF(F269="i",IFERROR(VLOOKUP(C269,'BG 12.2024'!$B:$E,3,FALSE),0),0)</f>
        <v>0</v>
      </c>
      <c r="H269" s="21">
        <f>+IF(F269="i",IFERROR(VLOOKUP(C269,'BG 12.2024'!$B:$E,4,FALSE),0),0)</f>
        <v>0</v>
      </c>
      <c r="I269" s="21"/>
      <c r="J269" s="28">
        <f>+IF(F269="i",IFERROR(VLOOKUP(C269,'BG 2023'!$B:$E,3,FALSE),0),0)</f>
        <v>0</v>
      </c>
      <c r="K269" s="21">
        <f>+IF(F269="i",IFERROR(VLOOKUP(C269,'BG 2023'!$B:$E,4,FALSE),0),0)</f>
        <v>0</v>
      </c>
      <c r="M269" s="15" t="e">
        <f>+VLOOKUP(C269,'BG 2023'!$B:$E,1,0)</f>
        <v>#N/A</v>
      </c>
      <c r="N269" s="806" t="e">
        <f>+VLOOKUP(C269,'BG 2023'!$B:$E,3,0)</f>
        <v>#N/A</v>
      </c>
      <c r="O269" s="807" t="e">
        <f t="shared" si="14"/>
        <v>#N/A</v>
      </c>
      <c r="P269" s="807"/>
      <c r="R269" s="807">
        <f>+IFERROR(VLOOKUP(C269,'CA FE'!$A:$C,3,0),0)-G269</f>
        <v>0</v>
      </c>
    </row>
    <row r="270" spans="1:18">
      <c r="A270" s="989" t="s">
        <v>193</v>
      </c>
      <c r="B270" s="354"/>
      <c r="C270" s="355">
        <v>1140219115</v>
      </c>
      <c r="D270" s="354" t="s">
        <v>705</v>
      </c>
      <c r="E270" s="356" t="s">
        <v>634</v>
      </c>
      <c r="F270" s="356" t="str">
        <f t="shared" si="15"/>
        <v>I</v>
      </c>
      <c r="G270" s="28">
        <f>+IF(F270="i",IFERROR(VLOOKUP(C270,'BG 12.2024'!$B:$E,3,FALSE),0),0)</f>
        <v>0</v>
      </c>
      <c r="H270" s="21">
        <f>+IF(F270="i",IFERROR(VLOOKUP(C270,'BG 12.2024'!$B:$E,4,FALSE),0),0)</f>
        <v>0</v>
      </c>
      <c r="I270" s="21"/>
      <c r="J270" s="28">
        <f>+IF(F270="i",IFERROR(VLOOKUP(C270,'BG 2023'!$B:$E,3,FALSE),0),0)</f>
        <v>0</v>
      </c>
      <c r="K270" s="21">
        <f>+IF(F270="i",IFERROR(VLOOKUP(C270,'BG 2023'!$B:$E,4,FALSE),0),0)</f>
        <v>0</v>
      </c>
      <c r="M270" s="15" t="e">
        <f>+VLOOKUP(C270,'BG 2023'!$B:$E,1,0)</f>
        <v>#N/A</v>
      </c>
      <c r="N270" s="806" t="e">
        <f>+VLOOKUP(C270,'BG 2023'!$B:$E,3,0)</f>
        <v>#N/A</v>
      </c>
      <c r="O270" s="807" t="e">
        <f t="shared" si="14"/>
        <v>#N/A</v>
      </c>
      <c r="P270" s="807"/>
      <c r="R270" s="807">
        <f>+IFERROR(VLOOKUP(C270,'CA FE'!$A:$C,3,0),0)-G270</f>
        <v>0</v>
      </c>
    </row>
    <row r="271" spans="1:18">
      <c r="A271" s="989" t="s">
        <v>193</v>
      </c>
      <c r="B271" s="354"/>
      <c r="C271" s="355">
        <v>1140219116</v>
      </c>
      <c r="D271" s="354" t="s">
        <v>527</v>
      </c>
      <c r="E271" s="356" t="s">
        <v>640</v>
      </c>
      <c r="F271" s="356" t="str">
        <f t="shared" si="15"/>
        <v>I</v>
      </c>
      <c r="G271" s="28">
        <f>+IF(F271="i",IFERROR(VLOOKUP(C271,'BG 12.2024'!$B:$E,3,FALSE),0),0)</f>
        <v>0</v>
      </c>
      <c r="H271" s="21">
        <f>+IF(F271="i",IFERROR(VLOOKUP(C271,'BG 12.2024'!$B:$E,4,FALSE),0),0)</f>
        <v>0</v>
      </c>
      <c r="I271" s="21"/>
      <c r="J271" s="28">
        <f>+IF(F271="i",IFERROR(VLOOKUP(C271,'BG 2023'!$B:$E,3,FALSE),0),0)</f>
        <v>0</v>
      </c>
      <c r="K271" s="21">
        <f>+IF(F271="i",IFERROR(VLOOKUP(C271,'BG 2023'!$B:$E,4,FALSE),0),0)</f>
        <v>0</v>
      </c>
      <c r="M271" s="15" t="e">
        <f>+VLOOKUP(C271,'BG 2023'!$B:$E,1,0)</f>
        <v>#N/A</v>
      </c>
      <c r="N271" s="806" t="e">
        <f>+VLOOKUP(C271,'BG 2023'!$B:$E,3,0)</f>
        <v>#N/A</v>
      </c>
      <c r="O271" s="807" t="e">
        <f t="shared" si="14"/>
        <v>#N/A</v>
      </c>
      <c r="P271" s="807"/>
      <c r="R271" s="807">
        <f>+IFERROR(VLOOKUP(C271,'CA FE'!$A:$C,3,0),0)-G271</f>
        <v>0</v>
      </c>
    </row>
    <row r="272" spans="1:18">
      <c r="A272" s="989" t="s">
        <v>193</v>
      </c>
      <c r="B272" s="354" t="s">
        <v>703</v>
      </c>
      <c r="C272" s="355">
        <v>1140219117</v>
      </c>
      <c r="D272" s="354" t="s">
        <v>78</v>
      </c>
      <c r="E272" s="356" t="s">
        <v>634</v>
      </c>
      <c r="F272" s="356" t="str">
        <f t="shared" si="15"/>
        <v>I</v>
      </c>
      <c r="G272" s="988">
        <f>+IF(F272="i",IFERROR(VLOOKUP(C272,'BG 12.2024'!$B:$E,3,FALSE),0),0)</f>
        <v>0</v>
      </c>
      <c r="H272" s="992">
        <f>+IF(F272="i",IFERROR(VLOOKUP(C272,'BG 12.2024'!$B:$E,4,FALSE),0),0)</f>
        <v>0</v>
      </c>
      <c r="I272" s="992"/>
      <c r="J272" s="988">
        <f>+-IF(F272="i",IFERROR(VLOOKUP(C272,'BG 2023'!$B:$E,3,FALSE),0),0)</f>
        <v>30202434</v>
      </c>
      <c r="K272" s="992">
        <f>+-IF(F272="i",IFERROR(VLOOKUP(C272,'BG 2023'!$B:$E,4,FALSE),0),0)</f>
        <v>4158.0599999999995</v>
      </c>
      <c r="M272" s="15">
        <f>+VLOOKUP(C272,'BG 2023'!$B:$E,1,0)</f>
        <v>1140219117</v>
      </c>
      <c r="N272" s="806">
        <f>+VLOOKUP(C272,'BG 2023'!$B:$E,3,0)</f>
        <v>-30202434</v>
      </c>
      <c r="O272" s="807">
        <f t="shared" si="14"/>
        <v>-30202434</v>
      </c>
      <c r="P272" s="807"/>
      <c r="R272" s="807">
        <f>+IFERROR(VLOOKUP(C272,'CA FE'!$A:$C,3,0),0)-G272</f>
        <v>0</v>
      </c>
    </row>
    <row r="273" spans="1:18">
      <c r="A273" s="989" t="s">
        <v>193</v>
      </c>
      <c r="B273" s="354" t="s">
        <v>703</v>
      </c>
      <c r="C273" s="355">
        <v>1140219118</v>
      </c>
      <c r="D273" s="354" t="s">
        <v>79</v>
      </c>
      <c r="E273" s="356" t="s">
        <v>640</v>
      </c>
      <c r="F273" s="356" t="str">
        <f t="shared" si="15"/>
        <v>I</v>
      </c>
      <c r="G273" s="988">
        <f>-+IF(F273="i",IFERROR(VLOOKUP(C273,'BG 12.2024'!$B:$E,3,FALSE),0),0)</f>
        <v>0</v>
      </c>
      <c r="H273" s="992">
        <f>-+IF(F273="i",IFERROR(VLOOKUP(C273,'BG 12.2024'!$B:$E,4,FALSE),0),0)</f>
        <v>0</v>
      </c>
      <c r="I273" s="992"/>
      <c r="J273" s="988">
        <f>+-IF(F273="i",IFERROR(VLOOKUP(C273,'BG 2023'!$B:$E,3,FALSE),0),0)</f>
        <v>5042602</v>
      </c>
      <c r="K273" s="992">
        <f>+-IF(F273="i",IFERROR(VLOOKUP(C273,'BG 2023'!$B:$E,4,FALSE),0),0)</f>
        <v>694.23000000000013</v>
      </c>
      <c r="M273" s="15">
        <f>+VLOOKUP(C273,'BG 2023'!$B:$E,1,0)</f>
        <v>1140219118</v>
      </c>
      <c r="N273" s="806">
        <f>+VLOOKUP(C273,'BG 2023'!$B:$E,3,0)</f>
        <v>-5042602</v>
      </c>
      <c r="O273" s="807">
        <f t="shared" si="14"/>
        <v>-5042602</v>
      </c>
      <c r="P273" s="807"/>
      <c r="R273" s="807">
        <f>+IFERROR(VLOOKUP(C273,'CA FE'!$A:$C,3,0),0)-G273</f>
        <v>0</v>
      </c>
    </row>
    <row r="274" spans="1:18">
      <c r="A274" s="989" t="s">
        <v>193</v>
      </c>
      <c r="B274" s="354"/>
      <c r="C274" s="355">
        <v>1140219119</v>
      </c>
      <c r="D274" s="354" t="s">
        <v>707</v>
      </c>
      <c r="E274" s="356" t="s">
        <v>634</v>
      </c>
      <c r="F274" s="356" t="str">
        <f t="shared" si="15"/>
        <v>I</v>
      </c>
      <c r="G274" s="28">
        <f>+IF(F274="i",IFERROR(VLOOKUP(C274,'BG 12.2024'!$B:$E,3,FALSE),0),0)</f>
        <v>0</v>
      </c>
      <c r="H274" s="21">
        <f>+IF(F274="i",IFERROR(VLOOKUP(C274,'BG 12.2024'!$B:$E,4,FALSE),0),0)</f>
        <v>0</v>
      </c>
      <c r="I274" s="21"/>
      <c r="J274" s="28">
        <f>+IF(F274="i",IFERROR(VLOOKUP(C274,'BG 2023'!$B:$E,3,FALSE),0),0)</f>
        <v>0</v>
      </c>
      <c r="K274" s="21">
        <f>+IF(F274="i",IFERROR(VLOOKUP(C274,'BG 2023'!$B:$E,4,FALSE),0),0)</f>
        <v>0</v>
      </c>
      <c r="M274" s="15" t="e">
        <f>+VLOOKUP(C274,'BG 2023'!$B:$E,1,0)</f>
        <v>#N/A</v>
      </c>
      <c r="N274" s="806" t="e">
        <f>+VLOOKUP(C274,'BG 2023'!$B:$E,3,0)</f>
        <v>#N/A</v>
      </c>
      <c r="O274" s="807" t="e">
        <f t="shared" si="14"/>
        <v>#N/A</v>
      </c>
      <c r="P274" s="807"/>
      <c r="R274" s="807">
        <f>+IFERROR(VLOOKUP(C274,'CA FE'!$A:$C,3,0),0)-G274</f>
        <v>0</v>
      </c>
    </row>
    <row r="275" spans="1:18">
      <c r="A275" s="989" t="s">
        <v>193</v>
      </c>
      <c r="B275" s="354"/>
      <c r="C275" s="355">
        <v>1140219120</v>
      </c>
      <c r="D275" s="354" t="s">
        <v>75</v>
      </c>
      <c r="E275" s="356" t="s">
        <v>640</v>
      </c>
      <c r="F275" s="356" t="str">
        <f t="shared" si="15"/>
        <v>I</v>
      </c>
      <c r="G275" s="28">
        <f>+IF(F275="i",IFERROR(VLOOKUP(C275,'BG 12.2024'!$B:$E,3,FALSE),0),0)</f>
        <v>0</v>
      </c>
      <c r="H275" s="21">
        <f>+IF(F275="i",IFERROR(VLOOKUP(C275,'BG 12.2024'!$B:$E,4,FALSE),0),0)</f>
        <v>0</v>
      </c>
      <c r="I275" s="21"/>
      <c r="J275" s="28">
        <f>+IF(F275="i",IFERROR(VLOOKUP(C275,'BG 2023'!$B:$E,3,FALSE),0),0)</f>
        <v>0</v>
      </c>
      <c r="K275" s="21">
        <f>+IF(F275="i",IFERROR(VLOOKUP(C275,'BG 2023'!$B:$E,4,FALSE),0),0)</f>
        <v>0</v>
      </c>
      <c r="M275" s="15" t="e">
        <f>+VLOOKUP(C275,'BG 2023'!$B:$E,1,0)</f>
        <v>#N/A</v>
      </c>
      <c r="N275" s="806" t="e">
        <f>+VLOOKUP(C275,'BG 2023'!$B:$E,3,0)</f>
        <v>#N/A</v>
      </c>
      <c r="O275" s="807" t="e">
        <f t="shared" si="14"/>
        <v>#N/A</v>
      </c>
      <c r="P275" s="807"/>
      <c r="R275" s="807">
        <f>+IFERROR(VLOOKUP(C275,'CA FE'!$A:$C,3,0),0)-G275</f>
        <v>0</v>
      </c>
    </row>
    <row r="276" spans="1:18">
      <c r="A276" s="989" t="s">
        <v>193</v>
      </c>
      <c r="B276" s="354"/>
      <c r="C276" s="355">
        <v>1140219121</v>
      </c>
      <c r="D276" s="354" t="s">
        <v>711</v>
      </c>
      <c r="E276" s="356" t="s">
        <v>634</v>
      </c>
      <c r="F276" s="356" t="str">
        <f t="shared" si="15"/>
        <v>I</v>
      </c>
      <c r="G276" s="28">
        <f>+IF(F276="i",IFERROR(VLOOKUP(C276,'BG 12.2024'!$B:$E,3,FALSE),0),0)</f>
        <v>0</v>
      </c>
      <c r="H276" s="21">
        <f>+IF(F276="i",IFERROR(VLOOKUP(C276,'BG 12.2024'!$B:$E,4,FALSE),0),0)</f>
        <v>0</v>
      </c>
      <c r="I276" s="21"/>
      <c r="J276" s="28">
        <f>+IF(F276="i",IFERROR(VLOOKUP(C276,'BG 2023'!$B:$E,3,FALSE),0),0)</f>
        <v>0</v>
      </c>
      <c r="K276" s="21">
        <f>+IF(F276="i",IFERROR(VLOOKUP(C276,'BG 2023'!$B:$E,4,FALSE),0),0)</f>
        <v>0</v>
      </c>
      <c r="M276" s="15" t="e">
        <f>+VLOOKUP(C276,'BG 2023'!$B:$E,1,0)</f>
        <v>#N/A</v>
      </c>
      <c r="N276" s="806" t="e">
        <f>+VLOOKUP(C276,'BG 2023'!$B:$E,3,0)</f>
        <v>#N/A</v>
      </c>
      <c r="O276" s="807" t="e">
        <f t="shared" si="14"/>
        <v>#N/A</v>
      </c>
      <c r="P276" s="807"/>
      <c r="R276" s="807">
        <f>+IFERROR(VLOOKUP(C276,'CA FE'!$A:$C,3,0),0)-G276</f>
        <v>0</v>
      </c>
    </row>
    <row r="277" spans="1:18">
      <c r="A277" s="989" t="s">
        <v>193</v>
      </c>
      <c r="B277" s="354"/>
      <c r="C277" s="355">
        <v>1140219122</v>
      </c>
      <c r="D277" s="354" t="s">
        <v>712</v>
      </c>
      <c r="E277" s="356" t="s">
        <v>640</v>
      </c>
      <c r="F277" s="356" t="str">
        <f t="shared" si="15"/>
        <v>I</v>
      </c>
      <c r="G277" s="28">
        <f>+IF(F277="i",IFERROR(VLOOKUP(C277,'BG 12.2024'!$B:$E,3,FALSE),0),0)</f>
        <v>0</v>
      </c>
      <c r="H277" s="21">
        <f>+IF(F277="i",IFERROR(VLOOKUP(C277,'BG 12.2024'!$B:$E,4,FALSE),0),0)</f>
        <v>0</v>
      </c>
      <c r="I277" s="21"/>
      <c r="J277" s="28">
        <f>+IF(F277="i",IFERROR(VLOOKUP(C277,'BG 2023'!$B:$E,3,FALSE),0),0)</f>
        <v>0</v>
      </c>
      <c r="K277" s="21">
        <f>+IF(F277="i",IFERROR(VLOOKUP(C277,'BG 2023'!$B:$E,4,FALSE),0),0)</f>
        <v>0</v>
      </c>
      <c r="M277" s="15" t="e">
        <f>+VLOOKUP(C277,'BG 2023'!$B:$E,1,0)</f>
        <v>#N/A</v>
      </c>
      <c r="N277" s="806" t="e">
        <f>+VLOOKUP(C277,'BG 2023'!$B:$E,3,0)</f>
        <v>#N/A</v>
      </c>
      <c r="O277" s="807" t="e">
        <f t="shared" si="14"/>
        <v>#N/A</v>
      </c>
      <c r="P277" s="807"/>
      <c r="R277" s="807">
        <f>+IFERROR(VLOOKUP(C277,'CA FE'!$A:$C,3,0),0)-G277</f>
        <v>0</v>
      </c>
    </row>
    <row r="278" spans="1:18">
      <c r="A278" s="989" t="s">
        <v>193</v>
      </c>
      <c r="B278" s="354"/>
      <c r="C278" s="355">
        <v>1140219123</v>
      </c>
      <c r="D278" s="354" t="s">
        <v>709</v>
      </c>
      <c r="E278" s="356" t="s">
        <v>634</v>
      </c>
      <c r="F278" s="356" t="str">
        <f t="shared" si="15"/>
        <v>I</v>
      </c>
      <c r="G278" s="28">
        <f>+IF(F278="i",IFERROR(VLOOKUP(C278,'BG 12.2024'!$B:$E,3,FALSE),0),0)</f>
        <v>0</v>
      </c>
      <c r="H278" s="21">
        <f>+IF(F278="i",IFERROR(VLOOKUP(C278,'BG 12.2024'!$B:$E,4,FALSE),0),0)</f>
        <v>0</v>
      </c>
      <c r="I278" s="21"/>
      <c r="J278" s="28">
        <f>+IF(F278="i",IFERROR(VLOOKUP(C278,'BG 2023'!$B:$E,3,FALSE),0),0)</f>
        <v>0</v>
      </c>
      <c r="K278" s="21">
        <f>+IF(F278="i",IFERROR(VLOOKUP(C278,'BG 2023'!$B:$E,4,FALSE),0),0)</f>
        <v>0</v>
      </c>
      <c r="M278" s="15" t="e">
        <f>+VLOOKUP(C278,'BG 2023'!$B:$E,1,0)</f>
        <v>#N/A</v>
      </c>
      <c r="N278" s="806" t="e">
        <f>+VLOOKUP(C278,'BG 2023'!$B:$E,3,0)</f>
        <v>#N/A</v>
      </c>
      <c r="O278" s="807" t="e">
        <f t="shared" si="14"/>
        <v>#N/A</v>
      </c>
      <c r="P278" s="807"/>
      <c r="R278" s="807">
        <f>+IFERROR(VLOOKUP(C278,'CA FE'!$A:$C,3,0),0)-G278</f>
        <v>0</v>
      </c>
    </row>
    <row r="279" spans="1:18">
      <c r="A279" s="989" t="s">
        <v>193</v>
      </c>
      <c r="B279" s="354"/>
      <c r="C279" s="355">
        <v>1140219124</v>
      </c>
      <c r="D279" s="354" t="s">
        <v>710</v>
      </c>
      <c r="E279" s="356" t="s">
        <v>640</v>
      </c>
      <c r="F279" s="356" t="str">
        <f t="shared" si="15"/>
        <v>I</v>
      </c>
      <c r="G279" s="28">
        <f>+IF(F279="i",IFERROR(VLOOKUP(C279,'BG 12.2024'!$B:$E,3,FALSE),0),0)</f>
        <v>0</v>
      </c>
      <c r="H279" s="21">
        <f>+IF(F279="i",IFERROR(VLOOKUP(C279,'BG 12.2024'!$B:$E,4,FALSE),0),0)</f>
        <v>0</v>
      </c>
      <c r="I279" s="21"/>
      <c r="J279" s="28">
        <f>+IF(F279="i",IFERROR(VLOOKUP(C279,'BG 2023'!$B:$E,3,FALSE),0),0)</f>
        <v>0</v>
      </c>
      <c r="K279" s="21">
        <f>+IF(F279="i",IFERROR(VLOOKUP(C279,'BG 2023'!$B:$E,4,FALSE),0),0)</f>
        <v>0</v>
      </c>
      <c r="M279" s="15" t="e">
        <f>+VLOOKUP(C279,'BG 2023'!$B:$E,1,0)</f>
        <v>#N/A</v>
      </c>
      <c r="N279" s="806" t="e">
        <f>+VLOOKUP(C279,'BG 2023'!$B:$E,3,0)</f>
        <v>#N/A</v>
      </c>
      <c r="O279" s="807" t="e">
        <f t="shared" si="14"/>
        <v>#N/A</v>
      </c>
      <c r="P279" s="807"/>
      <c r="R279" s="807">
        <f>+IFERROR(VLOOKUP(C279,'CA FE'!$A:$C,3,0),0)-G279</f>
        <v>0</v>
      </c>
    </row>
    <row r="280" spans="1:18">
      <c r="A280" s="989" t="s">
        <v>193</v>
      </c>
      <c r="B280" s="354"/>
      <c r="C280" s="355">
        <v>1140219125</v>
      </c>
      <c r="D280" s="354" t="s">
        <v>713</v>
      </c>
      <c r="E280" s="356" t="s">
        <v>634</v>
      </c>
      <c r="F280" s="356" t="str">
        <f t="shared" si="15"/>
        <v>I</v>
      </c>
      <c r="G280" s="28">
        <f>+IF(F280="i",IFERROR(VLOOKUP(C280,'BG 12.2024'!$B:$E,3,FALSE),0),0)</f>
        <v>0</v>
      </c>
      <c r="H280" s="21">
        <f>+IF(F280="i",IFERROR(VLOOKUP(C280,'BG 12.2024'!$B:$E,4,FALSE),0),0)</f>
        <v>0</v>
      </c>
      <c r="I280" s="21"/>
      <c r="J280" s="28">
        <f>+IF(F280="i",IFERROR(VLOOKUP(C280,'BG 2023'!$B:$E,3,FALSE),0),0)</f>
        <v>0</v>
      </c>
      <c r="K280" s="21">
        <f>+IF(F280="i",IFERROR(VLOOKUP(C280,'BG 2023'!$B:$E,4,FALSE),0),0)</f>
        <v>0</v>
      </c>
      <c r="M280" s="15" t="e">
        <f>+VLOOKUP(C280,'BG 2023'!$B:$E,1,0)</f>
        <v>#N/A</v>
      </c>
      <c r="N280" s="806" t="e">
        <f>+VLOOKUP(C280,'BG 2023'!$B:$E,3,0)</f>
        <v>#N/A</v>
      </c>
      <c r="O280" s="807" t="e">
        <f t="shared" si="14"/>
        <v>#N/A</v>
      </c>
      <c r="P280" s="807"/>
      <c r="R280" s="807">
        <f>+IFERROR(VLOOKUP(C280,'CA FE'!$A:$C,3,0),0)-G280</f>
        <v>0</v>
      </c>
    </row>
    <row r="281" spans="1:18">
      <c r="A281" s="989" t="s">
        <v>193</v>
      </c>
      <c r="B281" s="354"/>
      <c r="C281" s="355">
        <v>1140219126</v>
      </c>
      <c r="D281" s="354" t="s">
        <v>713</v>
      </c>
      <c r="E281" s="356" t="s">
        <v>634</v>
      </c>
      <c r="F281" s="356" t="str">
        <f t="shared" si="15"/>
        <v>I</v>
      </c>
      <c r="G281" s="28">
        <f>+IF(F281="i",IFERROR(VLOOKUP(C281,'BG 12.2024'!$B:$E,3,FALSE),0),0)</f>
        <v>0</v>
      </c>
      <c r="H281" s="21">
        <f>+IF(F281="i",IFERROR(VLOOKUP(C281,'BG 12.2024'!$B:$E,4,FALSE),0),0)</f>
        <v>0</v>
      </c>
      <c r="I281" s="21"/>
      <c r="J281" s="28">
        <f>+IF(F281="i",IFERROR(VLOOKUP(C281,'BG 2023'!$B:$E,3,FALSE),0),0)</f>
        <v>0</v>
      </c>
      <c r="K281" s="21">
        <f>+IF(F281="i",IFERROR(VLOOKUP(C281,'BG 2023'!$B:$E,4,FALSE),0),0)</f>
        <v>0</v>
      </c>
      <c r="M281" s="15" t="e">
        <f>+VLOOKUP(C281,'BG 2023'!$B:$E,1,0)</f>
        <v>#N/A</v>
      </c>
      <c r="N281" s="806" t="e">
        <f>+VLOOKUP(C281,'BG 2023'!$B:$E,3,0)</f>
        <v>#N/A</v>
      </c>
      <c r="O281" s="807" t="e">
        <f t="shared" si="14"/>
        <v>#N/A</v>
      </c>
      <c r="P281" s="807"/>
      <c r="R281" s="807">
        <f>+IFERROR(VLOOKUP(C281,'CA FE'!$A:$C,3,0),0)-G281</f>
        <v>0</v>
      </c>
    </row>
    <row r="282" spans="1:18">
      <c r="A282" s="989" t="s">
        <v>193</v>
      </c>
      <c r="B282" s="354"/>
      <c r="C282" s="355">
        <v>1140219127</v>
      </c>
      <c r="D282" s="354" t="s">
        <v>714</v>
      </c>
      <c r="E282" s="356" t="s">
        <v>634</v>
      </c>
      <c r="F282" s="356" t="str">
        <f t="shared" si="15"/>
        <v>I</v>
      </c>
      <c r="G282" s="28">
        <f>+IF(F282="i",IFERROR(VLOOKUP(C282,'BG 12.2024'!$B:$E,3,FALSE),0),0)</f>
        <v>0</v>
      </c>
      <c r="H282" s="21">
        <f>+IF(F282="i",IFERROR(VLOOKUP(C282,'BG 12.2024'!$B:$E,4,FALSE),0),0)</f>
        <v>0</v>
      </c>
      <c r="I282" s="21"/>
      <c r="J282" s="28">
        <f>+IF(F282="i",IFERROR(VLOOKUP(C282,'BG 2023'!$B:$E,3,FALSE),0),0)</f>
        <v>0</v>
      </c>
      <c r="K282" s="21">
        <f>+IF(F282="i",IFERROR(VLOOKUP(C282,'BG 2023'!$B:$E,4,FALSE),0),0)</f>
        <v>0</v>
      </c>
      <c r="M282" s="15" t="e">
        <f>+VLOOKUP(C282,'BG 2023'!$B:$E,1,0)</f>
        <v>#N/A</v>
      </c>
      <c r="N282" s="806" t="e">
        <f>+VLOOKUP(C282,'BG 2023'!$B:$E,3,0)</f>
        <v>#N/A</v>
      </c>
      <c r="O282" s="807" t="e">
        <f t="shared" si="14"/>
        <v>#N/A</v>
      </c>
      <c r="P282" s="807"/>
      <c r="R282" s="807">
        <f>+IFERROR(VLOOKUP(C282,'CA FE'!$A:$C,3,0),0)-G282</f>
        <v>0</v>
      </c>
    </row>
    <row r="283" spans="1:18">
      <c r="A283" s="989" t="s">
        <v>193</v>
      </c>
      <c r="B283" s="354"/>
      <c r="C283" s="355">
        <v>1140219128</v>
      </c>
      <c r="D283" s="354" t="s">
        <v>714</v>
      </c>
      <c r="E283" s="356" t="s">
        <v>634</v>
      </c>
      <c r="F283" s="356" t="str">
        <f t="shared" si="15"/>
        <v>I</v>
      </c>
      <c r="G283" s="28">
        <f>+IF(F283="i",IFERROR(VLOOKUP(C283,'BG 12.2024'!$B:$E,3,FALSE),0),0)</f>
        <v>0</v>
      </c>
      <c r="H283" s="21">
        <f>+IF(F283="i",IFERROR(VLOOKUP(C283,'BG 12.2024'!$B:$E,4,FALSE),0),0)</f>
        <v>0</v>
      </c>
      <c r="I283" s="21"/>
      <c r="J283" s="28">
        <f>+IF(F283="i",IFERROR(VLOOKUP(C283,'BG 2023'!$B:$E,3,FALSE),0),0)</f>
        <v>0</v>
      </c>
      <c r="K283" s="21">
        <f>+IF(F283="i",IFERROR(VLOOKUP(C283,'BG 2023'!$B:$E,4,FALSE),0),0)</f>
        <v>0</v>
      </c>
      <c r="M283" s="15" t="e">
        <f>+VLOOKUP(C283,'BG 2023'!$B:$E,1,0)</f>
        <v>#N/A</v>
      </c>
      <c r="N283" s="806" t="e">
        <f>+VLOOKUP(C283,'BG 2023'!$B:$E,3,0)</f>
        <v>#N/A</v>
      </c>
      <c r="O283" s="807" t="e">
        <f t="shared" si="14"/>
        <v>#N/A</v>
      </c>
      <c r="P283" s="807"/>
      <c r="R283" s="807">
        <f>+IFERROR(VLOOKUP(C283,'CA FE'!$A:$C,3,0),0)-G283</f>
        <v>0</v>
      </c>
    </row>
    <row r="284" spans="1:18">
      <c r="A284" s="989" t="s">
        <v>193</v>
      </c>
      <c r="B284" s="354" t="s">
        <v>703</v>
      </c>
      <c r="C284" s="355">
        <v>1140219129</v>
      </c>
      <c r="D284" s="354" t="s">
        <v>528</v>
      </c>
      <c r="E284" s="356" t="s">
        <v>634</v>
      </c>
      <c r="F284" s="356" t="str">
        <f t="shared" si="15"/>
        <v>I</v>
      </c>
      <c r="G284" s="28">
        <f>+IF(F284="i",IFERROR(VLOOKUP(C284,'BG 12.2024'!$B:$E,3,FALSE),0),0)</f>
        <v>0</v>
      </c>
      <c r="H284" s="21">
        <f>+IF(F284="i",IFERROR(VLOOKUP(C284,'BG 12.2024'!$B:$E,4,FALSE),0),0)</f>
        <v>0</v>
      </c>
      <c r="I284" s="21"/>
      <c r="J284" s="28">
        <f>+IF(F284="i",IFERROR(VLOOKUP(C284,'BG 2023'!$B:$E,3,FALSE),0),0)</f>
        <v>0</v>
      </c>
      <c r="K284" s="21">
        <f>+IF(F284="i",IFERROR(VLOOKUP(C284,'BG 2023'!$B:$E,4,FALSE),0),0)</f>
        <v>0</v>
      </c>
      <c r="M284" s="15" t="e">
        <f>+VLOOKUP(C284,'BG 2023'!$B:$E,1,0)</f>
        <v>#N/A</v>
      </c>
      <c r="N284" s="806" t="e">
        <f>+VLOOKUP(C284,'BG 2023'!$B:$E,3,0)</f>
        <v>#N/A</v>
      </c>
      <c r="O284" s="807" t="e">
        <f t="shared" ref="O284:O347" si="16">+N284-G284</f>
        <v>#N/A</v>
      </c>
      <c r="P284" s="807"/>
      <c r="R284" s="807">
        <f>+IFERROR(VLOOKUP(C284,'CA FE'!$A:$C,3,0),0)-G284</f>
        <v>0</v>
      </c>
    </row>
    <row r="285" spans="1:18">
      <c r="A285" s="989" t="s">
        <v>193</v>
      </c>
      <c r="B285" s="354"/>
      <c r="C285" s="355">
        <v>1140219130</v>
      </c>
      <c r="D285" s="354" t="s">
        <v>715</v>
      </c>
      <c r="E285" s="356" t="s">
        <v>640</v>
      </c>
      <c r="F285" s="356" t="str">
        <f t="shared" ref="F285" si="17">+IF(LEN(C285)&gt;8,"I","NI")</f>
        <v>I</v>
      </c>
      <c r="G285" s="28">
        <f>+IF(F285="i",IFERROR(VLOOKUP(C285,'BG 12.2024'!$B:$E,3,FALSE),0),0)</f>
        <v>0</v>
      </c>
      <c r="H285" s="21">
        <f>+IF(F285="i",IFERROR(VLOOKUP(C285,'BG 12.2024'!$B:$E,4,FALSE),0),0)</f>
        <v>0</v>
      </c>
      <c r="I285" s="21"/>
      <c r="J285" s="28">
        <f>+IF(F285="i",IFERROR(VLOOKUP(C285,'BG 2023'!$B:$E,3,FALSE),0),0)</f>
        <v>0</v>
      </c>
      <c r="K285" s="21">
        <f>+IF(F285="i",IFERROR(VLOOKUP(C285,'BG 2023'!$B:$E,4,FALSE),0),0)</f>
        <v>0</v>
      </c>
      <c r="M285" s="15" t="e">
        <f>+VLOOKUP(C285,'BG 2023'!$B:$E,1,0)</f>
        <v>#N/A</v>
      </c>
      <c r="N285" s="806" t="e">
        <f>+VLOOKUP(C285,'BG 2023'!$B:$E,3,0)</f>
        <v>#N/A</v>
      </c>
      <c r="O285" s="807" t="e">
        <f t="shared" si="16"/>
        <v>#N/A</v>
      </c>
      <c r="P285" s="807"/>
      <c r="R285" s="807">
        <f>+IFERROR(VLOOKUP(C285,'CA FE'!$A:$C,3,0),0)-G285</f>
        <v>0</v>
      </c>
    </row>
    <row r="286" spans="1:18">
      <c r="A286" s="989" t="s">
        <v>193</v>
      </c>
      <c r="B286" s="354" t="s">
        <v>703</v>
      </c>
      <c r="C286" s="355">
        <v>1140219131</v>
      </c>
      <c r="D286" s="354" t="s">
        <v>146</v>
      </c>
      <c r="E286" s="356" t="s">
        <v>634</v>
      </c>
      <c r="F286" s="356" t="str">
        <f t="shared" si="15"/>
        <v>I</v>
      </c>
      <c r="G286" s="28">
        <f>+IF(F286="i",IFERROR(VLOOKUP(C286,'BG 12.2024'!$B:$E,3,FALSE),0),0)</f>
        <v>0</v>
      </c>
      <c r="H286" s="21">
        <f>+IF(F286="i",IFERROR(VLOOKUP(C286,'BG 12.2024'!$B:$E,4,FALSE),0),0)</f>
        <v>0</v>
      </c>
      <c r="I286" s="21"/>
      <c r="J286" s="28">
        <f>+IF(F286="i",IFERROR(VLOOKUP(C286,'BG 2023'!$B:$E,3,FALSE),0),0)</f>
        <v>0</v>
      </c>
      <c r="K286" s="21">
        <f>+IF(F286="i",IFERROR(VLOOKUP(C286,'BG 2023'!$B:$E,4,FALSE),0),0)</f>
        <v>0</v>
      </c>
      <c r="M286" s="15" t="e">
        <f>+VLOOKUP(C286,'BG 2023'!$B:$E,1,0)</f>
        <v>#N/A</v>
      </c>
      <c r="N286" s="806" t="e">
        <f>+VLOOKUP(C286,'BG 2023'!$B:$E,3,0)</f>
        <v>#N/A</v>
      </c>
      <c r="O286" s="807" t="e">
        <f t="shared" si="16"/>
        <v>#N/A</v>
      </c>
      <c r="P286" s="807"/>
      <c r="R286" s="807">
        <f>+IFERROR(VLOOKUP(C286,'CA FE'!$A:$C,3,0),0)-G286</f>
        <v>0</v>
      </c>
    </row>
    <row r="287" spans="1:18">
      <c r="A287" s="354" t="s">
        <v>10</v>
      </c>
      <c r="B287" s="354"/>
      <c r="C287" s="355">
        <v>11402192</v>
      </c>
      <c r="D287" s="354" t="s">
        <v>80</v>
      </c>
      <c r="E287" s="356" t="s">
        <v>634</v>
      </c>
      <c r="F287" s="356" t="str">
        <f t="shared" si="15"/>
        <v>NI</v>
      </c>
      <c r="G287" s="28">
        <f>+IF(F287="i",IFERROR(VLOOKUP(C287,'BG 12.2024'!$B:$E,3,FALSE),0),0)</f>
        <v>0</v>
      </c>
      <c r="H287" s="21">
        <f>+IF(F287="i",IFERROR(VLOOKUP(C287,'BG 12.2024'!$B:$E,4,FALSE),0),0)</f>
        <v>0</v>
      </c>
      <c r="I287" s="21"/>
      <c r="J287" s="28">
        <f>+IF(F287="i",IFERROR(VLOOKUP(C287,'BG 2023'!$B:$E,3,FALSE),0),0)</f>
        <v>0</v>
      </c>
      <c r="K287" s="21">
        <f>+IF(F287="i",IFERROR(VLOOKUP(C287,'BG 2023'!$B:$E,4,FALSE),0),0)</f>
        <v>0</v>
      </c>
      <c r="M287" s="15">
        <f>+VLOOKUP(C287,'BG 2023'!$B:$E,1,0)</f>
        <v>11402192</v>
      </c>
      <c r="N287" s="806">
        <f>+VLOOKUP(C287,'BG 2023'!$B:$E,3,0)</f>
        <v>56151369</v>
      </c>
      <c r="O287" s="807">
        <f t="shared" si="16"/>
        <v>56151369</v>
      </c>
      <c r="P287" s="807"/>
      <c r="R287" s="807">
        <f>+IFERROR(VLOOKUP(C287,'CA FE'!$A:$C,3,0),0)-G287</f>
        <v>0</v>
      </c>
    </row>
    <row r="288" spans="1:18">
      <c r="A288" s="354" t="s">
        <v>10</v>
      </c>
      <c r="B288" s="354" t="s">
        <v>688</v>
      </c>
      <c r="C288" s="355">
        <v>1140219201</v>
      </c>
      <c r="D288" s="354" t="s">
        <v>81</v>
      </c>
      <c r="E288" s="356" t="s">
        <v>634</v>
      </c>
      <c r="F288" s="356" t="str">
        <f t="shared" ref="F288:F351" si="18">+IF(LEN(C288)&gt;8,"I","NI")</f>
        <v>I</v>
      </c>
      <c r="G288" s="28">
        <f>+IF(F288="i",IFERROR(VLOOKUP(C288,'BG 12.2024'!$B:$E,3,FALSE),0),0)</f>
        <v>8869921</v>
      </c>
      <c r="H288" s="21">
        <f>+IF(F288="i",IFERROR(VLOOKUP(C288,'BG 12.2024'!$B:$E,4,FALSE),0),0)</f>
        <v>1132.630000000001</v>
      </c>
      <c r="I288" s="21"/>
      <c r="J288" s="28">
        <f>+IF(F288="i",IFERROR(VLOOKUP(C288,'BG 2023'!$B:$E,3,FALSE),0),0)</f>
        <v>8415111</v>
      </c>
      <c r="K288" s="21">
        <f>+IF(F288="i",IFERROR(VLOOKUP(C288,'BG 2023'!$B:$E,4,FALSE),0),0)</f>
        <v>1158.5299999999997</v>
      </c>
      <c r="M288" s="15">
        <f>+VLOOKUP(C288,'BG 2023'!$B:$E,1,0)</f>
        <v>1140219201</v>
      </c>
      <c r="N288" s="806">
        <f>+VLOOKUP(C288,'BG 2023'!$B:$E,3,0)</f>
        <v>8415111</v>
      </c>
      <c r="O288" s="807">
        <f t="shared" si="16"/>
        <v>-454810</v>
      </c>
      <c r="P288" s="807"/>
      <c r="R288" s="807">
        <f>+IFERROR(VLOOKUP(C288,'CA FE'!$A:$C,3,0),0)-G288</f>
        <v>0</v>
      </c>
    </row>
    <row r="289" spans="1:18">
      <c r="A289" s="354" t="s">
        <v>10</v>
      </c>
      <c r="B289" s="1210" t="s">
        <v>688</v>
      </c>
      <c r="C289" s="355">
        <v>1140219202</v>
      </c>
      <c r="D289" s="354" t="s">
        <v>716</v>
      </c>
      <c r="E289" s="356" t="s">
        <v>640</v>
      </c>
      <c r="F289" s="356" t="str">
        <f t="shared" si="18"/>
        <v>I</v>
      </c>
      <c r="G289" s="28">
        <f>+IF(F289="i",IFERROR(VLOOKUP(C289,'BG 12.2024'!$B:$E,3,FALSE),0),0)</f>
        <v>0</v>
      </c>
      <c r="H289" s="21">
        <f>+IF(F289="i",IFERROR(VLOOKUP(C289,'BG 12.2024'!$B:$E,4,FALSE),0),0)</f>
        <v>0</v>
      </c>
      <c r="I289" s="21"/>
      <c r="J289" s="28">
        <f>+IF(F289="i",IFERROR(VLOOKUP(C289,'BG 2023'!$B:$E,3,FALSE),0),0)</f>
        <v>0</v>
      </c>
      <c r="K289" s="21">
        <f>+IF(F289="i",IFERROR(VLOOKUP(C289,'BG 2023'!$B:$E,4,FALSE),0),0)</f>
        <v>0</v>
      </c>
      <c r="M289" s="15" t="e">
        <f>+VLOOKUP(C289,'BG 2023'!$B:$E,1,0)</f>
        <v>#N/A</v>
      </c>
      <c r="N289" s="806" t="e">
        <f>+VLOOKUP(C289,'BG 2023'!$B:$E,3,0)</f>
        <v>#N/A</v>
      </c>
      <c r="O289" s="807" t="e">
        <f t="shared" si="16"/>
        <v>#N/A</v>
      </c>
      <c r="P289" s="807"/>
      <c r="R289" s="807">
        <f>+IFERROR(VLOOKUP(C289,'CA FE'!$A:$C,3,0),0)-G289</f>
        <v>0</v>
      </c>
    </row>
    <row r="290" spans="1:18">
      <c r="A290" s="354" t="s">
        <v>10</v>
      </c>
      <c r="B290" s="354" t="s">
        <v>688</v>
      </c>
      <c r="C290" s="355">
        <v>1140219203</v>
      </c>
      <c r="D290" s="354" t="s">
        <v>574</v>
      </c>
      <c r="E290" s="356" t="s">
        <v>634</v>
      </c>
      <c r="F290" s="356" t="str">
        <f t="shared" si="18"/>
        <v>I</v>
      </c>
      <c r="G290" s="28">
        <f>+IF(F290="i",IFERROR(VLOOKUP(C290,'BG 12.2024'!$B:$E,3,FALSE),0),0)</f>
        <v>5994593</v>
      </c>
      <c r="H290" s="21">
        <f>+IF(F290="i",IFERROR(VLOOKUP(C290,'BG 12.2024'!$B:$E,4,FALSE),0),0)</f>
        <v>765.47000000000116</v>
      </c>
      <c r="I290" s="21"/>
      <c r="J290" s="28">
        <f>+IF(F290="i",IFERROR(VLOOKUP(C290,'BG 2023'!$B:$E,3,FALSE),0),0)</f>
        <v>0</v>
      </c>
      <c r="K290" s="21">
        <f>+IF(F290="i",IFERROR(VLOOKUP(C290,'BG 2023'!$B:$E,4,FALSE),0),0)</f>
        <v>0</v>
      </c>
      <c r="M290" s="15" t="e">
        <f>+VLOOKUP(C290,'BG 2023'!$B:$E,1,0)</f>
        <v>#N/A</v>
      </c>
      <c r="N290" s="806" t="e">
        <f>+VLOOKUP(C290,'BG 2023'!$B:$E,3,0)</f>
        <v>#N/A</v>
      </c>
      <c r="O290" s="807" t="e">
        <f t="shared" si="16"/>
        <v>#N/A</v>
      </c>
      <c r="P290" s="807"/>
      <c r="R290" s="807">
        <f>+IFERROR(VLOOKUP(C290,'CA FE'!$A:$C,3,0),0)-G290</f>
        <v>0</v>
      </c>
    </row>
    <row r="291" spans="1:18">
      <c r="A291" s="354" t="s">
        <v>10</v>
      </c>
      <c r="B291" s="354" t="s">
        <v>688</v>
      </c>
      <c r="C291" s="355">
        <v>1140219204</v>
      </c>
      <c r="D291" s="354" t="s">
        <v>717</v>
      </c>
      <c r="E291" s="356" t="s">
        <v>640</v>
      </c>
      <c r="F291" s="356" t="str">
        <f t="shared" si="18"/>
        <v>I</v>
      </c>
      <c r="G291" s="28">
        <f>+IF(F291="i",IFERROR(VLOOKUP(C291,'BG 12.2024'!$B:$E,3,FALSE),0),0)</f>
        <v>0</v>
      </c>
      <c r="H291" s="21">
        <f>+IF(F291="i",IFERROR(VLOOKUP(C291,'BG 12.2024'!$B:$E,4,FALSE),0),0)</f>
        <v>0</v>
      </c>
      <c r="I291" s="21"/>
      <c r="J291" s="28">
        <f>+IF(F291="i",IFERROR(VLOOKUP(C291,'BG 2023'!$B:$E,3,FALSE),0),0)</f>
        <v>0</v>
      </c>
      <c r="K291" s="21">
        <f>+IF(F291="i",IFERROR(VLOOKUP(C291,'BG 2023'!$B:$E,4,FALSE),0),0)</f>
        <v>0</v>
      </c>
      <c r="M291" s="15" t="e">
        <f>+VLOOKUP(C291,'BG 2023'!$B:$E,1,0)</f>
        <v>#N/A</v>
      </c>
      <c r="N291" s="806" t="e">
        <f>+VLOOKUP(C291,'BG 2023'!$B:$E,3,0)</f>
        <v>#N/A</v>
      </c>
      <c r="O291" s="807" t="e">
        <f t="shared" si="16"/>
        <v>#N/A</v>
      </c>
      <c r="P291" s="807"/>
      <c r="R291" s="807">
        <f>+IFERROR(VLOOKUP(C291,'CA FE'!$A:$C,3,0),0)-G291</f>
        <v>0</v>
      </c>
    </row>
    <row r="292" spans="1:18">
      <c r="A292" s="354" t="s">
        <v>10</v>
      </c>
      <c r="B292" s="354" t="s">
        <v>688</v>
      </c>
      <c r="C292" s="355">
        <v>1140219205</v>
      </c>
      <c r="D292" s="354" t="s">
        <v>82</v>
      </c>
      <c r="E292" s="356" t="s">
        <v>634</v>
      </c>
      <c r="F292" s="356" t="str">
        <f t="shared" si="18"/>
        <v>I</v>
      </c>
      <c r="G292" s="28">
        <f>+IF(F292="i",IFERROR(VLOOKUP(C292,'BG 12.2024'!$B:$E,3,FALSE),0),0)</f>
        <v>23942612</v>
      </c>
      <c r="H292" s="21">
        <f>+IF(F292="i",IFERROR(VLOOKUP(C292,'BG 12.2024'!$B:$E,4,FALSE),0),0)</f>
        <v>3057.3100000000268</v>
      </c>
      <c r="I292" s="21"/>
      <c r="J292" s="28">
        <f>+IF(F292="i",IFERROR(VLOOKUP(C292,'BG 2023'!$B:$E,3,FALSE),0),0)</f>
        <v>15297971</v>
      </c>
      <c r="K292" s="21">
        <f>+IF(F292="i",IFERROR(VLOOKUP(C292,'BG 2023'!$B:$E,4,FALSE),0),0)</f>
        <v>2106.1200000000008</v>
      </c>
      <c r="M292" s="15">
        <f>+VLOOKUP(C292,'BG 2023'!$B:$E,1,0)</f>
        <v>1140219205</v>
      </c>
      <c r="N292" s="806">
        <f>+VLOOKUP(C292,'BG 2023'!$B:$E,3,0)</f>
        <v>15297971</v>
      </c>
      <c r="O292" s="807">
        <f t="shared" si="16"/>
        <v>-8644641</v>
      </c>
      <c r="P292" s="807"/>
      <c r="R292" s="807">
        <f>+IFERROR(VLOOKUP(C292,'CA FE'!$A:$C,3,0),0)-G292</f>
        <v>0</v>
      </c>
    </row>
    <row r="293" spans="1:18">
      <c r="A293" s="354" t="s">
        <v>10</v>
      </c>
      <c r="B293" s="354" t="s">
        <v>688</v>
      </c>
      <c r="C293" s="355">
        <v>1140219206</v>
      </c>
      <c r="D293" s="354" t="s">
        <v>83</v>
      </c>
      <c r="E293" s="356" t="s">
        <v>640</v>
      </c>
      <c r="F293" s="356" t="str">
        <f t="shared" si="18"/>
        <v>I</v>
      </c>
      <c r="G293" s="28">
        <f>+IF(F293="i",IFERROR(VLOOKUP(C293,'BG 12.2024'!$B:$E,3,FALSE),0),0)</f>
        <v>6093817</v>
      </c>
      <c r="H293" s="21">
        <f>+IF(F293="i",IFERROR(VLOOKUP(C293,'BG 12.2024'!$B:$E,4,FALSE),0),0)</f>
        <v>778.1399999999993</v>
      </c>
      <c r="I293" s="21"/>
      <c r="J293" s="28">
        <f>+IF(F293="i",IFERROR(VLOOKUP(C293,'BG 2023'!$B:$E,3,FALSE),0),0)</f>
        <v>3062693</v>
      </c>
      <c r="K293" s="840">
        <f>+IF(F293="i",IFERROR(VLOOKUP(C293,'BG 2023'!$B:$E,4,FALSE),0),0)</f>
        <v>421.64999999999964</v>
      </c>
      <c r="M293" s="15">
        <f>+VLOOKUP(C293,'BG 2023'!$B:$E,1,0)</f>
        <v>1140219206</v>
      </c>
      <c r="N293" s="806">
        <f>+VLOOKUP(C293,'BG 2023'!$B:$E,3,0)</f>
        <v>3062693</v>
      </c>
      <c r="O293" s="807">
        <f t="shared" si="16"/>
        <v>-3031124</v>
      </c>
      <c r="P293" s="807"/>
      <c r="R293" s="807">
        <f>+IFERROR(VLOOKUP(C293,'CA FE'!$A:$C,3,0),0)-G293</f>
        <v>0</v>
      </c>
    </row>
    <row r="294" spans="1:18">
      <c r="A294" s="354" t="s">
        <v>10</v>
      </c>
      <c r="B294" s="354" t="s">
        <v>688</v>
      </c>
      <c r="C294" s="355">
        <v>1140219207</v>
      </c>
      <c r="D294" s="354" t="s">
        <v>84</v>
      </c>
      <c r="E294" s="356" t="s">
        <v>634</v>
      </c>
      <c r="F294" s="356" t="str">
        <f t="shared" si="18"/>
        <v>I</v>
      </c>
      <c r="G294" s="28">
        <f>+IF(F294="i",IFERROR(VLOOKUP(C294,'BG 12.2024'!$B:$E,3,FALSE),0),0)</f>
        <v>20946393</v>
      </c>
      <c r="H294" s="21">
        <f>+IF(F294="i",IFERROR(VLOOKUP(C294,'BG 12.2024'!$B:$E,4,FALSE),0),0)</f>
        <v>2674.7200000000012</v>
      </c>
      <c r="I294" s="21"/>
      <c r="J294" s="28">
        <f>+IF(F294="i",IFERROR(VLOOKUP(C294,'BG 2023'!$B:$E,3,FALSE),0),0)</f>
        <v>19195223</v>
      </c>
      <c r="K294" s="21">
        <f>+IF(F294="i",IFERROR(VLOOKUP(C294,'BG 2023'!$B:$E,4,FALSE),0),0)</f>
        <v>2642.66</v>
      </c>
      <c r="M294" s="15">
        <f>+VLOOKUP(C294,'BG 2023'!$B:$E,1,0)</f>
        <v>1140219207</v>
      </c>
      <c r="N294" s="806">
        <f>+VLOOKUP(C294,'BG 2023'!$B:$E,3,0)</f>
        <v>19195223</v>
      </c>
      <c r="O294" s="807">
        <f t="shared" si="16"/>
        <v>-1751170</v>
      </c>
      <c r="P294" s="807"/>
      <c r="R294" s="807">
        <f>+IFERROR(VLOOKUP(C294,'CA FE'!$A:$C,3,0),0)-G294</f>
        <v>0</v>
      </c>
    </row>
    <row r="295" spans="1:18">
      <c r="A295" s="354" t="s">
        <v>10</v>
      </c>
      <c r="B295" s="354" t="s">
        <v>688</v>
      </c>
      <c r="C295" s="355">
        <v>1140219208</v>
      </c>
      <c r="D295" s="354" t="s">
        <v>85</v>
      </c>
      <c r="E295" s="356" t="s">
        <v>640</v>
      </c>
      <c r="F295" s="356" t="str">
        <f t="shared" si="18"/>
        <v>I</v>
      </c>
      <c r="G295" s="28">
        <f>+IF(F295="i",IFERROR(VLOOKUP(C295,'BG 12.2024'!$B:$E,3,FALSE),0),0)</f>
        <v>0</v>
      </c>
      <c r="H295" s="21">
        <f>+IF(F295="i",IFERROR(VLOOKUP(C295,'BG 12.2024'!$B:$E,4,FALSE),0),0)</f>
        <v>0</v>
      </c>
      <c r="I295" s="21"/>
      <c r="J295" s="28">
        <f>+IF(F295="i",IFERROR(VLOOKUP(C295,'BG 2023'!$B:$E,3,FALSE),0),0)</f>
        <v>4736151</v>
      </c>
      <c r="K295" s="840">
        <f>+IF(F295="i",IFERROR(VLOOKUP(C295,'BG 2023'!$B:$E,4,FALSE),0),0)</f>
        <v>652.04000000000087</v>
      </c>
      <c r="M295" s="15">
        <f>+VLOOKUP(C295,'BG 2023'!$B:$E,1,0)</f>
        <v>1140219208</v>
      </c>
      <c r="N295" s="806">
        <f>+VLOOKUP(C295,'BG 2023'!$B:$E,3,0)</f>
        <v>4736151</v>
      </c>
      <c r="O295" s="807">
        <f t="shared" si="16"/>
        <v>4736151</v>
      </c>
      <c r="P295" s="807"/>
      <c r="R295" s="807">
        <f>+IFERROR(VLOOKUP(C295,'CA FE'!$A:$C,3,0),0)-G295</f>
        <v>0</v>
      </c>
    </row>
    <row r="296" spans="1:18" ht="12" customHeight="1">
      <c r="A296" s="354" t="s">
        <v>10</v>
      </c>
      <c r="B296" s="354"/>
      <c r="C296" s="355">
        <v>1140219209</v>
      </c>
      <c r="D296" s="354" t="s">
        <v>718</v>
      </c>
      <c r="E296" s="356" t="s">
        <v>634</v>
      </c>
      <c r="F296" s="356" t="str">
        <f t="shared" si="18"/>
        <v>I</v>
      </c>
      <c r="G296" s="28">
        <f>+IF(F296="i",IFERROR(VLOOKUP(C296,'BG 12.2024'!$B:$E,3,FALSE),0),0)</f>
        <v>0</v>
      </c>
      <c r="H296" s="21">
        <f>+IF(F296="i",IFERROR(VLOOKUP(C296,'BG 12.2024'!$B:$E,4,FALSE),0),0)</f>
        <v>0</v>
      </c>
      <c r="I296" s="21"/>
      <c r="J296" s="28">
        <f>+IF(F296="i",IFERROR(VLOOKUP(C296,'BG 2023'!$B:$E,3,FALSE),0),0)</f>
        <v>0</v>
      </c>
      <c r="K296" s="21">
        <f>+IF(F296="i",IFERROR(VLOOKUP(C296,'BG 2023'!$B:$E,4,FALSE),0),0)</f>
        <v>0</v>
      </c>
      <c r="M296" s="15" t="e">
        <f>+VLOOKUP(C296,'BG 2023'!$B:$E,1,0)</f>
        <v>#N/A</v>
      </c>
      <c r="N296" s="806" t="e">
        <f>+VLOOKUP(C296,'BG 2023'!$B:$E,3,0)</f>
        <v>#N/A</v>
      </c>
      <c r="O296" s="807" t="e">
        <f t="shared" si="16"/>
        <v>#N/A</v>
      </c>
      <c r="P296" s="807"/>
      <c r="R296" s="807">
        <f>+IFERROR(VLOOKUP(C296,'CA FE'!$A:$C,3,0),0)-G296</f>
        <v>0</v>
      </c>
    </row>
    <row r="297" spans="1:18" ht="12" customHeight="1">
      <c r="A297" s="354" t="s">
        <v>10</v>
      </c>
      <c r="B297" s="354"/>
      <c r="C297" s="355">
        <v>1140219210</v>
      </c>
      <c r="D297" s="354" t="s">
        <v>719</v>
      </c>
      <c r="E297" s="356" t="s">
        <v>640</v>
      </c>
      <c r="F297" s="356" t="str">
        <f t="shared" si="18"/>
        <v>I</v>
      </c>
      <c r="G297" s="28">
        <f>+IF(F297="i",IFERROR(VLOOKUP(C297,'BG 12.2024'!$B:$E,3,FALSE),0),0)</f>
        <v>0</v>
      </c>
      <c r="H297" s="21">
        <f>+IF(F297="i",IFERROR(VLOOKUP(C297,'BG 12.2024'!$B:$E,4,FALSE),0),0)</f>
        <v>0</v>
      </c>
      <c r="I297" s="21"/>
      <c r="J297" s="28">
        <f>+IF(F297="i",IFERROR(VLOOKUP(C297,'BG 2023'!$B:$E,3,FALSE),0),0)</f>
        <v>0</v>
      </c>
      <c r="K297" s="21">
        <f>+IF(F297="i",IFERROR(VLOOKUP(C297,'BG 2023'!$B:$E,4,FALSE),0),0)</f>
        <v>0</v>
      </c>
      <c r="M297" s="15" t="e">
        <f>+VLOOKUP(C297,'BG 2023'!$B:$E,1,0)</f>
        <v>#N/A</v>
      </c>
      <c r="N297" s="806" t="e">
        <f>+VLOOKUP(C297,'BG 2023'!$B:$E,3,0)</f>
        <v>#N/A</v>
      </c>
      <c r="O297" s="807" t="e">
        <f t="shared" si="16"/>
        <v>#N/A</v>
      </c>
      <c r="P297" s="807"/>
      <c r="R297" s="807">
        <f>+IFERROR(VLOOKUP(C297,'CA FE'!$A:$C,3,0),0)-G297</f>
        <v>0</v>
      </c>
    </row>
    <row r="298" spans="1:18" ht="12" customHeight="1">
      <c r="A298" s="354" t="s">
        <v>10</v>
      </c>
      <c r="B298" s="354"/>
      <c r="C298" s="355">
        <v>1140219211</v>
      </c>
      <c r="D298" s="354" t="s">
        <v>720</v>
      </c>
      <c r="E298" s="356" t="s">
        <v>634</v>
      </c>
      <c r="F298" s="356" t="str">
        <f t="shared" si="18"/>
        <v>I</v>
      </c>
      <c r="G298" s="28">
        <f>+IF(F298="i",IFERROR(VLOOKUP(C298,'BG 12.2024'!$B:$E,3,FALSE),0),0)</f>
        <v>0</v>
      </c>
      <c r="H298" s="21">
        <f>+IF(F298="i",IFERROR(VLOOKUP(C298,'BG 12.2024'!$B:$E,4,FALSE),0),0)</f>
        <v>0</v>
      </c>
      <c r="I298" s="21"/>
      <c r="J298" s="28">
        <f>+IF(F298="i",IFERROR(VLOOKUP(C298,'BG 2023'!$B:$E,3,FALSE),0),0)</f>
        <v>0</v>
      </c>
      <c r="K298" s="21">
        <f>+IF(F298="i",IFERROR(VLOOKUP(C298,'BG 2023'!$B:$E,4,FALSE),0),0)</f>
        <v>0</v>
      </c>
      <c r="M298" s="15" t="e">
        <f>+VLOOKUP(C298,'BG 2023'!$B:$E,1,0)</f>
        <v>#N/A</v>
      </c>
      <c r="N298" s="806" t="e">
        <f>+VLOOKUP(C298,'BG 2023'!$B:$E,3,0)</f>
        <v>#N/A</v>
      </c>
      <c r="O298" s="807" t="e">
        <f t="shared" si="16"/>
        <v>#N/A</v>
      </c>
      <c r="P298" s="807"/>
      <c r="R298" s="807">
        <f>+IFERROR(VLOOKUP(C298,'CA FE'!$A:$C,3,0),0)-G298</f>
        <v>0</v>
      </c>
    </row>
    <row r="299" spans="1:18" ht="12" customHeight="1">
      <c r="A299" s="354" t="s">
        <v>10</v>
      </c>
      <c r="B299" s="354"/>
      <c r="C299" s="355">
        <v>1140219212</v>
      </c>
      <c r="D299" s="354" t="s">
        <v>721</v>
      </c>
      <c r="E299" s="356" t="s">
        <v>640</v>
      </c>
      <c r="F299" s="356" t="str">
        <f t="shared" si="18"/>
        <v>I</v>
      </c>
      <c r="G299" s="28">
        <f>+IF(F299="i",IFERROR(VLOOKUP(C299,'BG 12.2024'!$B:$E,3,FALSE),0),0)</f>
        <v>0</v>
      </c>
      <c r="H299" s="21">
        <f>+IF(F299="i",IFERROR(VLOOKUP(C299,'BG 12.2024'!$B:$E,4,FALSE),0),0)</f>
        <v>0</v>
      </c>
      <c r="I299" s="21"/>
      <c r="J299" s="28">
        <f>+IF(F299="i",IFERROR(VLOOKUP(C299,'BG 2023'!$B:$E,3,FALSE),0),0)</f>
        <v>0</v>
      </c>
      <c r="K299" s="21">
        <f>+IF(F299="i",IFERROR(VLOOKUP(C299,'BG 2023'!$B:$E,4,FALSE),0),0)</f>
        <v>0</v>
      </c>
      <c r="M299" s="15" t="e">
        <f>+VLOOKUP(C299,'BG 2023'!$B:$E,1,0)</f>
        <v>#N/A</v>
      </c>
      <c r="N299" s="806" t="e">
        <f>+VLOOKUP(C299,'BG 2023'!$B:$E,3,0)</f>
        <v>#N/A</v>
      </c>
      <c r="O299" s="807" t="e">
        <f t="shared" si="16"/>
        <v>#N/A</v>
      </c>
      <c r="P299" s="807"/>
      <c r="R299" s="807">
        <f>+IFERROR(VLOOKUP(C299,'CA FE'!$A:$C,3,0),0)-G299</f>
        <v>0</v>
      </c>
    </row>
    <row r="300" spans="1:18" ht="12" customHeight="1">
      <c r="A300" s="354" t="s">
        <v>10</v>
      </c>
      <c r="B300" s="354" t="s">
        <v>688</v>
      </c>
      <c r="C300" s="355">
        <v>1140219213</v>
      </c>
      <c r="D300" s="354" t="s">
        <v>86</v>
      </c>
      <c r="E300" s="356" t="s">
        <v>634</v>
      </c>
      <c r="F300" s="356" t="str">
        <f t="shared" si="18"/>
        <v>I</v>
      </c>
      <c r="G300" s="28">
        <f>+IF(F300="i",IFERROR(VLOOKUP(C300,'BG 12.2024'!$B:$E,3,FALSE),0),0)</f>
        <v>140</v>
      </c>
      <c r="H300" s="21">
        <f>+IF(F300="i",IFERROR(VLOOKUP(C300,'BG 12.2024'!$B:$E,4,FALSE),0),0)</f>
        <v>1.999999999998181E-2</v>
      </c>
      <c r="I300" s="21"/>
      <c r="J300" s="28">
        <f>+IF(F300="i",IFERROR(VLOOKUP(C300,'BG 2023'!$B:$E,3,FALSE),0),0)</f>
        <v>5444220</v>
      </c>
      <c r="K300" s="21">
        <f>+IF(F300="i",IFERROR(VLOOKUP(C300,'BG 2023'!$B:$E,4,FALSE),0),0)</f>
        <v>749.52</v>
      </c>
      <c r="M300" s="15">
        <f>+VLOOKUP(C300,'BG 2023'!$B:$E,1,0)</f>
        <v>1140219213</v>
      </c>
      <c r="N300" s="806">
        <f>+VLOOKUP(C300,'BG 2023'!$B:$E,3,0)</f>
        <v>5444220</v>
      </c>
      <c r="O300" s="807">
        <f t="shared" si="16"/>
        <v>5444080</v>
      </c>
      <c r="P300" s="807"/>
      <c r="R300" s="807">
        <f>+IFERROR(VLOOKUP(C300,'CA FE'!$A:$C,3,0),0)-G300</f>
        <v>0</v>
      </c>
    </row>
    <row r="301" spans="1:18" ht="12" customHeight="1">
      <c r="A301" s="354" t="s">
        <v>10</v>
      </c>
      <c r="B301" s="354"/>
      <c r="C301" s="355">
        <v>1140219214</v>
      </c>
      <c r="D301" s="354" t="s">
        <v>716</v>
      </c>
      <c r="E301" s="356" t="s">
        <v>640</v>
      </c>
      <c r="F301" s="356" t="str">
        <f t="shared" si="18"/>
        <v>I</v>
      </c>
      <c r="G301" s="28">
        <f>+IF(F301="i",IFERROR(VLOOKUP(C301,'BG 12.2024'!$B:$E,3,FALSE),0),0)</f>
        <v>0</v>
      </c>
      <c r="H301" s="21">
        <f>+IF(F301="i",IFERROR(VLOOKUP(C301,'BG 12.2024'!$B:$E,4,FALSE),0),0)</f>
        <v>0</v>
      </c>
      <c r="I301" s="21"/>
      <c r="J301" s="28">
        <f>+IF(F301="i",IFERROR(VLOOKUP(C301,'BG 2023'!$B:$E,3,FALSE),0),0)</f>
        <v>0</v>
      </c>
      <c r="K301" s="21">
        <f>+IF(F301="i",IFERROR(VLOOKUP(C301,'BG 2023'!$B:$E,4,FALSE),0),0)</f>
        <v>0</v>
      </c>
      <c r="M301" s="15" t="e">
        <f>+VLOOKUP(C301,'BG 2023'!$B:$E,1,0)</f>
        <v>#N/A</v>
      </c>
      <c r="N301" s="806" t="e">
        <f>+VLOOKUP(C301,'BG 2023'!$B:$E,3,0)</f>
        <v>#N/A</v>
      </c>
      <c r="O301" s="807" t="e">
        <f t="shared" si="16"/>
        <v>#N/A</v>
      </c>
      <c r="P301" s="807"/>
      <c r="R301" s="807">
        <f>+IFERROR(VLOOKUP(C301,'CA FE'!$A:$C,3,0),0)-G301</f>
        <v>0</v>
      </c>
    </row>
    <row r="302" spans="1:18" ht="12" customHeight="1">
      <c r="A302" s="354" t="s">
        <v>10</v>
      </c>
      <c r="B302" s="354"/>
      <c r="C302" s="355">
        <v>1140219215</v>
      </c>
      <c r="D302" s="354" t="s">
        <v>574</v>
      </c>
      <c r="E302" s="356" t="s">
        <v>634</v>
      </c>
      <c r="F302" s="356" t="str">
        <f t="shared" si="18"/>
        <v>I</v>
      </c>
      <c r="G302" s="28">
        <f>+IF(F302="i",IFERROR(VLOOKUP(C302,'BG 12.2024'!$B:$E,3,FALSE),0),0)</f>
        <v>0</v>
      </c>
      <c r="H302" s="21">
        <f>+IF(F302="i",IFERROR(VLOOKUP(C302,'BG 12.2024'!$B:$E,4,FALSE),0),0)</f>
        <v>0</v>
      </c>
      <c r="I302" s="21"/>
      <c r="J302" s="28">
        <f>+IF(F302="i",IFERROR(VLOOKUP(C302,'BG 2023'!$B:$E,3,FALSE),0),0)</f>
        <v>0</v>
      </c>
      <c r="K302" s="21">
        <f>+IF(F302="i",IFERROR(VLOOKUP(C302,'BG 2023'!$B:$E,4,FALSE),0),0)</f>
        <v>0</v>
      </c>
      <c r="M302" s="15" t="e">
        <f>+VLOOKUP(C302,'BG 2023'!$B:$E,1,0)</f>
        <v>#N/A</v>
      </c>
      <c r="N302" s="806" t="e">
        <f>+VLOOKUP(C302,'BG 2023'!$B:$E,3,0)</f>
        <v>#N/A</v>
      </c>
      <c r="O302" s="807" t="e">
        <f t="shared" si="16"/>
        <v>#N/A</v>
      </c>
      <c r="P302" s="807"/>
      <c r="R302" s="807">
        <f>+IFERROR(VLOOKUP(C302,'CA FE'!$A:$C,3,0),0)-G302</f>
        <v>0</v>
      </c>
    </row>
    <row r="303" spans="1:18" ht="12" customHeight="1">
      <c r="A303" s="354" t="s">
        <v>10</v>
      </c>
      <c r="B303" s="354"/>
      <c r="C303" s="355">
        <v>1140219216</v>
      </c>
      <c r="D303" s="354" t="s">
        <v>717</v>
      </c>
      <c r="E303" s="356" t="s">
        <v>640</v>
      </c>
      <c r="F303" s="356" t="str">
        <f t="shared" si="18"/>
        <v>I</v>
      </c>
      <c r="G303" s="28">
        <f>+IF(F303="i",IFERROR(VLOOKUP(C303,'BG 12.2024'!$B:$E,3,FALSE),0),0)</f>
        <v>0</v>
      </c>
      <c r="H303" s="21">
        <f>+IF(F303="i",IFERROR(VLOOKUP(C303,'BG 12.2024'!$B:$E,4,FALSE),0),0)</f>
        <v>0</v>
      </c>
      <c r="I303" s="21"/>
      <c r="J303" s="28">
        <f>+IF(F303="i",IFERROR(VLOOKUP(C303,'BG 2023'!$B:$E,3,FALSE),0),0)</f>
        <v>0</v>
      </c>
      <c r="K303" s="21">
        <f>+IF(F303="i",IFERROR(VLOOKUP(C303,'BG 2023'!$B:$E,4,FALSE),0),0)</f>
        <v>0</v>
      </c>
      <c r="M303" s="15" t="e">
        <f>+VLOOKUP(C303,'BG 2023'!$B:$E,1,0)</f>
        <v>#N/A</v>
      </c>
      <c r="N303" s="806" t="e">
        <f>+VLOOKUP(C303,'BG 2023'!$B:$E,3,0)</f>
        <v>#N/A</v>
      </c>
      <c r="O303" s="807" t="e">
        <f t="shared" si="16"/>
        <v>#N/A</v>
      </c>
      <c r="P303" s="807"/>
      <c r="R303" s="807">
        <f>+IFERROR(VLOOKUP(C303,'CA FE'!$A:$C,3,0),0)-G303</f>
        <v>0</v>
      </c>
    </row>
    <row r="304" spans="1:18" ht="12" customHeight="1">
      <c r="A304" s="354" t="s">
        <v>10</v>
      </c>
      <c r="B304" s="354"/>
      <c r="C304" s="355">
        <v>1140219217</v>
      </c>
      <c r="D304" s="354" t="s">
        <v>722</v>
      </c>
      <c r="E304" s="356" t="s">
        <v>634</v>
      </c>
      <c r="F304" s="356" t="str">
        <f t="shared" si="18"/>
        <v>I</v>
      </c>
      <c r="G304" s="28">
        <f>+IF(F304="i",IFERROR(VLOOKUP(C304,'BG 12.2024'!$B:$E,3,FALSE),0),0)</f>
        <v>0</v>
      </c>
      <c r="H304" s="21">
        <f>+IF(F304="i",IFERROR(VLOOKUP(C304,'BG 12.2024'!$B:$E,4,FALSE),0),0)</f>
        <v>0</v>
      </c>
      <c r="I304" s="21"/>
      <c r="J304" s="28">
        <f>+IF(F304="i",IFERROR(VLOOKUP(C304,'BG 2023'!$B:$E,3,FALSE),0),0)</f>
        <v>0</v>
      </c>
      <c r="K304" s="21">
        <f>+IF(F304="i",IFERROR(VLOOKUP(C304,'BG 2023'!$B:$E,4,FALSE),0),0)</f>
        <v>0</v>
      </c>
      <c r="M304" s="15" t="e">
        <f>+VLOOKUP(C304,'BG 2023'!$B:$E,1,0)</f>
        <v>#N/A</v>
      </c>
      <c r="N304" s="806" t="e">
        <f>+VLOOKUP(C304,'BG 2023'!$B:$E,3,0)</f>
        <v>#N/A</v>
      </c>
      <c r="O304" s="807" t="e">
        <f t="shared" si="16"/>
        <v>#N/A</v>
      </c>
      <c r="P304" s="807"/>
      <c r="R304" s="807">
        <f>+IFERROR(VLOOKUP(C304,'CA FE'!$A:$C,3,0),0)-G304</f>
        <v>0</v>
      </c>
    </row>
    <row r="305" spans="1:18" ht="12" customHeight="1">
      <c r="A305" s="354" t="s">
        <v>10</v>
      </c>
      <c r="B305" s="354"/>
      <c r="C305" s="355">
        <v>1140219218</v>
      </c>
      <c r="D305" s="354" t="s">
        <v>723</v>
      </c>
      <c r="E305" s="356" t="s">
        <v>640</v>
      </c>
      <c r="F305" s="356" t="str">
        <f t="shared" si="18"/>
        <v>I</v>
      </c>
      <c r="G305" s="28">
        <f>+IF(F305="i",IFERROR(VLOOKUP(C305,'BG 12.2024'!$B:$E,3,FALSE),0),0)</f>
        <v>0</v>
      </c>
      <c r="H305" s="21">
        <f>+IF(F305="i",IFERROR(VLOOKUP(C305,'BG 12.2024'!$B:$E,4,FALSE),0),0)</f>
        <v>0</v>
      </c>
      <c r="I305" s="21"/>
      <c r="J305" s="28">
        <f>+IF(F305="i",IFERROR(VLOOKUP(C305,'BG 2023'!$B:$E,3,FALSE),0),0)</f>
        <v>0</v>
      </c>
      <c r="K305" s="21">
        <f>+IF(F305="i",IFERROR(VLOOKUP(C305,'BG 2023'!$B:$E,4,FALSE),0),0)</f>
        <v>0</v>
      </c>
      <c r="M305" s="15" t="e">
        <f>+VLOOKUP(C305,'BG 2023'!$B:$E,1,0)</f>
        <v>#N/A</v>
      </c>
      <c r="N305" s="806" t="e">
        <f>+VLOOKUP(C305,'BG 2023'!$B:$E,3,0)</f>
        <v>#N/A</v>
      </c>
      <c r="O305" s="807" t="e">
        <f t="shared" si="16"/>
        <v>#N/A</v>
      </c>
      <c r="P305" s="807"/>
      <c r="R305" s="807">
        <f>+IFERROR(VLOOKUP(C305,'CA FE'!$A:$C,3,0),0)-G305</f>
        <v>0</v>
      </c>
    </row>
    <row r="306" spans="1:18" ht="12" customHeight="1">
      <c r="A306" s="354" t="s">
        <v>10</v>
      </c>
      <c r="B306" s="354"/>
      <c r="C306" s="355">
        <v>1140219219</v>
      </c>
      <c r="D306" s="354" t="s">
        <v>84</v>
      </c>
      <c r="E306" s="356" t="s">
        <v>634</v>
      </c>
      <c r="F306" s="356" t="str">
        <f t="shared" si="18"/>
        <v>I</v>
      </c>
      <c r="G306" s="28">
        <f>+IF(F306="i",IFERROR(VLOOKUP(C306,'BG 12.2024'!$B:$E,3,FALSE),0),0)</f>
        <v>0</v>
      </c>
      <c r="H306" s="21">
        <f>+IF(F306="i",IFERROR(VLOOKUP(C306,'BG 12.2024'!$B:$E,4,FALSE),0),0)</f>
        <v>0</v>
      </c>
      <c r="I306" s="21"/>
      <c r="J306" s="28">
        <f>+IF(F306="i",IFERROR(VLOOKUP(C306,'BG 2023'!$B:$E,3,FALSE),0),0)</f>
        <v>0</v>
      </c>
      <c r="K306" s="21">
        <f>+IF(F306="i",IFERROR(VLOOKUP(C306,'BG 2023'!$B:$E,4,FALSE),0),0)</f>
        <v>0</v>
      </c>
      <c r="M306" s="15" t="e">
        <f>+VLOOKUP(C306,'BG 2023'!$B:$E,1,0)</f>
        <v>#N/A</v>
      </c>
      <c r="N306" s="806" t="e">
        <f>+VLOOKUP(C306,'BG 2023'!$B:$E,3,0)</f>
        <v>#N/A</v>
      </c>
      <c r="O306" s="807" t="e">
        <f t="shared" si="16"/>
        <v>#N/A</v>
      </c>
      <c r="P306" s="807"/>
      <c r="R306" s="807">
        <f>+IFERROR(VLOOKUP(C306,'CA FE'!$A:$C,3,0),0)-G306</f>
        <v>0</v>
      </c>
    </row>
    <row r="307" spans="1:18" ht="12" customHeight="1">
      <c r="A307" s="354" t="s">
        <v>10</v>
      </c>
      <c r="B307" s="354"/>
      <c r="C307" s="355">
        <v>1140219220</v>
      </c>
      <c r="D307" s="354" t="s">
        <v>85</v>
      </c>
      <c r="E307" s="356" t="s">
        <v>640</v>
      </c>
      <c r="F307" s="356" t="str">
        <f t="shared" si="18"/>
        <v>I</v>
      </c>
      <c r="G307" s="28">
        <f>+IF(F307="i",IFERROR(VLOOKUP(C307,'BG 12.2024'!$B:$E,3,FALSE),0),0)</f>
        <v>0</v>
      </c>
      <c r="H307" s="21">
        <f>+IF(F307="i",IFERROR(VLOOKUP(C307,'BG 12.2024'!$B:$E,4,FALSE),0),0)</f>
        <v>0</v>
      </c>
      <c r="I307" s="21"/>
      <c r="J307" s="28">
        <f>+IF(F307="i",IFERROR(VLOOKUP(C307,'BG 2023'!$B:$E,3,FALSE),0),0)</f>
        <v>0</v>
      </c>
      <c r="K307" s="21">
        <f>+IF(F307="i",IFERROR(VLOOKUP(C307,'BG 2023'!$B:$E,4,FALSE),0),0)</f>
        <v>0</v>
      </c>
      <c r="M307" s="15" t="e">
        <f>+VLOOKUP(C307,'BG 2023'!$B:$E,1,0)</f>
        <v>#N/A</v>
      </c>
      <c r="N307" s="806" t="e">
        <f>+VLOOKUP(C307,'BG 2023'!$B:$E,3,0)</f>
        <v>#N/A</v>
      </c>
      <c r="O307" s="807" t="e">
        <f t="shared" si="16"/>
        <v>#N/A</v>
      </c>
      <c r="P307" s="807"/>
      <c r="R307" s="807">
        <f>+IFERROR(VLOOKUP(C307,'CA FE'!$A:$C,3,0),0)-G307</f>
        <v>0</v>
      </c>
    </row>
    <row r="308" spans="1:18" ht="12" customHeight="1">
      <c r="A308" s="354" t="s">
        <v>10</v>
      </c>
      <c r="B308" s="354"/>
      <c r="C308" s="355">
        <v>1140219221</v>
      </c>
      <c r="D308" s="354" t="s">
        <v>724</v>
      </c>
      <c r="E308" s="356" t="s">
        <v>634</v>
      </c>
      <c r="F308" s="356" t="str">
        <f t="shared" si="18"/>
        <v>I</v>
      </c>
      <c r="G308" s="28">
        <f>+IF(F308="i",IFERROR(VLOOKUP(C308,'BG 12.2024'!$B:$E,3,FALSE),0),0)</f>
        <v>0</v>
      </c>
      <c r="H308" s="21">
        <f>+IF(F308="i",IFERROR(VLOOKUP(C308,'BG 12.2024'!$B:$E,4,FALSE),0),0)</f>
        <v>0</v>
      </c>
      <c r="I308" s="21"/>
      <c r="J308" s="28">
        <f>+IF(F308="i",IFERROR(VLOOKUP(C308,'BG 2023'!$B:$E,3,FALSE),0),0)</f>
        <v>0</v>
      </c>
      <c r="K308" s="21">
        <f>+IF(F308="i",IFERROR(VLOOKUP(C308,'BG 2023'!$B:$E,4,FALSE),0),0)</f>
        <v>0</v>
      </c>
      <c r="M308" s="15" t="e">
        <f>+VLOOKUP(C308,'BG 2023'!$B:$E,1,0)</f>
        <v>#N/A</v>
      </c>
      <c r="N308" s="806" t="e">
        <f>+VLOOKUP(C308,'BG 2023'!$B:$E,3,0)</f>
        <v>#N/A</v>
      </c>
      <c r="O308" s="807" t="e">
        <f t="shared" si="16"/>
        <v>#N/A</v>
      </c>
      <c r="P308" s="807"/>
      <c r="R308" s="807">
        <f>+IFERROR(VLOOKUP(C308,'CA FE'!$A:$C,3,0),0)-G308</f>
        <v>0</v>
      </c>
    </row>
    <row r="309" spans="1:18" ht="12" customHeight="1">
      <c r="A309" s="354" t="s">
        <v>10</v>
      </c>
      <c r="B309" s="354"/>
      <c r="C309" s="355">
        <v>1140219222</v>
      </c>
      <c r="D309" s="354" t="s">
        <v>725</v>
      </c>
      <c r="E309" s="356" t="s">
        <v>640</v>
      </c>
      <c r="F309" s="356" t="str">
        <f t="shared" si="18"/>
        <v>I</v>
      </c>
      <c r="G309" s="28">
        <f>+IF(F309="i",IFERROR(VLOOKUP(C309,'BG 12.2024'!$B:$E,3,FALSE),0),0)</f>
        <v>0</v>
      </c>
      <c r="H309" s="21">
        <f>+IF(F309="i",IFERROR(VLOOKUP(C309,'BG 12.2024'!$B:$E,4,FALSE),0),0)</f>
        <v>0</v>
      </c>
      <c r="I309" s="21"/>
      <c r="J309" s="28">
        <f>+IF(F309="i",IFERROR(VLOOKUP(C309,'BG 2023'!$B:$E,3,FALSE),0),0)</f>
        <v>0</v>
      </c>
      <c r="K309" s="21">
        <f>+IF(F309="i",IFERROR(VLOOKUP(C309,'BG 2023'!$B:$E,4,FALSE),0),0)</f>
        <v>0</v>
      </c>
      <c r="M309" s="15" t="e">
        <f>+VLOOKUP(C309,'BG 2023'!$B:$E,1,0)</f>
        <v>#N/A</v>
      </c>
      <c r="N309" s="806" t="e">
        <f>+VLOOKUP(C309,'BG 2023'!$B:$E,3,0)</f>
        <v>#N/A</v>
      </c>
      <c r="O309" s="807" t="e">
        <f t="shared" si="16"/>
        <v>#N/A</v>
      </c>
      <c r="P309" s="807"/>
      <c r="R309" s="807">
        <f>+IFERROR(VLOOKUP(C309,'CA FE'!$A:$C,3,0),0)-G309</f>
        <v>0</v>
      </c>
    </row>
    <row r="310" spans="1:18" ht="12" customHeight="1">
      <c r="A310" s="354" t="s">
        <v>10</v>
      </c>
      <c r="B310" s="354"/>
      <c r="C310" s="355">
        <v>1140219223</v>
      </c>
      <c r="D310" s="354" t="s">
        <v>720</v>
      </c>
      <c r="E310" s="356" t="s">
        <v>634</v>
      </c>
      <c r="F310" s="356" t="str">
        <f t="shared" si="18"/>
        <v>I</v>
      </c>
      <c r="G310" s="28">
        <f>+IF(F310="i",IFERROR(VLOOKUP(C310,'BG 12.2024'!$B:$E,3,FALSE),0),0)</f>
        <v>0</v>
      </c>
      <c r="H310" s="21">
        <f>+IF(F310="i",IFERROR(VLOOKUP(C310,'BG 12.2024'!$B:$E,4,FALSE),0),0)</f>
        <v>0</v>
      </c>
      <c r="I310" s="21"/>
      <c r="J310" s="28">
        <f>+IF(F310="i",IFERROR(VLOOKUP(C310,'BG 2023'!$B:$E,3,FALSE),0),0)</f>
        <v>0</v>
      </c>
      <c r="K310" s="21">
        <f>+IF(F310="i",IFERROR(VLOOKUP(C310,'BG 2023'!$B:$E,4,FALSE),0),0)</f>
        <v>0</v>
      </c>
      <c r="M310" s="15" t="e">
        <f>+VLOOKUP(C310,'BG 2023'!$B:$E,1,0)</f>
        <v>#N/A</v>
      </c>
      <c r="N310" s="806" t="e">
        <f>+VLOOKUP(C310,'BG 2023'!$B:$E,3,0)</f>
        <v>#N/A</v>
      </c>
      <c r="O310" s="807" t="e">
        <f t="shared" si="16"/>
        <v>#N/A</v>
      </c>
      <c r="P310" s="807"/>
      <c r="R310" s="807">
        <f>+IFERROR(VLOOKUP(C310,'CA FE'!$A:$C,3,0),0)-G310</f>
        <v>0</v>
      </c>
    </row>
    <row r="311" spans="1:18" ht="12" customHeight="1">
      <c r="A311" s="354" t="s">
        <v>10</v>
      </c>
      <c r="B311" s="354"/>
      <c r="C311" s="355">
        <v>1140219224</v>
      </c>
      <c r="D311" s="354" t="s">
        <v>721</v>
      </c>
      <c r="E311" s="356" t="s">
        <v>640</v>
      </c>
      <c r="F311" s="356" t="str">
        <f t="shared" si="18"/>
        <v>I</v>
      </c>
      <c r="G311" s="28">
        <f>+IF(F311="i",IFERROR(VLOOKUP(C311,'BG 12.2024'!$B:$E,3,FALSE),0),0)</f>
        <v>0</v>
      </c>
      <c r="H311" s="21">
        <f>+IF(F311="i",IFERROR(VLOOKUP(C311,'BG 12.2024'!$B:$E,4,FALSE),0),0)</f>
        <v>0</v>
      </c>
      <c r="I311" s="21"/>
      <c r="J311" s="28">
        <f>+IF(F311="i",IFERROR(VLOOKUP(C311,'BG 2023'!$B:$E,3,FALSE),0),0)</f>
        <v>0</v>
      </c>
      <c r="K311" s="21">
        <f>+IF(F311="i",IFERROR(VLOOKUP(C311,'BG 2023'!$B:$E,4,FALSE),0),0)</f>
        <v>0</v>
      </c>
      <c r="M311" s="15" t="e">
        <f>+VLOOKUP(C311,'BG 2023'!$B:$E,1,0)</f>
        <v>#N/A</v>
      </c>
      <c r="N311" s="806" t="e">
        <f>+VLOOKUP(C311,'BG 2023'!$B:$E,3,0)</f>
        <v>#N/A</v>
      </c>
      <c r="O311" s="807" t="e">
        <f t="shared" si="16"/>
        <v>#N/A</v>
      </c>
      <c r="P311" s="807"/>
      <c r="R311" s="807">
        <f>+IFERROR(VLOOKUP(C311,'CA FE'!$A:$C,3,0),0)-G311</f>
        <v>0</v>
      </c>
    </row>
    <row r="312" spans="1:18" ht="12" customHeight="1">
      <c r="A312" s="354" t="s">
        <v>10</v>
      </c>
      <c r="B312" s="354"/>
      <c r="C312" s="355">
        <v>1140219225</v>
      </c>
      <c r="D312" s="354" t="s">
        <v>726</v>
      </c>
      <c r="E312" s="356" t="s">
        <v>634</v>
      </c>
      <c r="F312" s="356" t="str">
        <f t="shared" si="18"/>
        <v>I</v>
      </c>
      <c r="G312" s="28">
        <f>+IF(F312="i",IFERROR(VLOOKUP(C312,'BG 12.2024'!$B:$E,3,FALSE),0),0)</f>
        <v>0</v>
      </c>
      <c r="H312" s="21">
        <f>+IF(F312="i",IFERROR(VLOOKUP(C312,'BG 12.2024'!$B:$E,4,FALSE),0),0)</f>
        <v>0</v>
      </c>
      <c r="I312" s="21"/>
      <c r="J312" s="28">
        <f>+IF(F312="i",IFERROR(VLOOKUP(C312,'BG 2023'!$B:$E,3,FALSE),0),0)</f>
        <v>0</v>
      </c>
      <c r="K312" s="21">
        <f>+IF(F312="i",IFERROR(VLOOKUP(C312,'BG 2023'!$B:$E,4,FALSE),0),0)</f>
        <v>0</v>
      </c>
      <c r="M312" s="15" t="e">
        <f>+VLOOKUP(C312,'BG 2023'!$B:$E,1,0)</f>
        <v>#N/A</v>
      </c>
      <c r="N312" s="806" t="e">
        <f>+VLOOKUP(C312,'BG 2023'!$B:$E,3,0)</f>
        <v>#N/A</v>
      </c>
      <c r="O312" s="807" t="e">
        <f t="shared" si="16"/>
        <v>#N/A</v>
      </c>
      <c r="P312" s="807"/>
      <c r="R312" s="807">
        <f>+IFERROR(VLOOKUP(C312,'CA FE'!$A:$C,3,0),0)-G312</f>
        <v>0</v>
      </c>
    </row>
    <row r="313" spans="1:18" ht="12" customHeight="1">
      <c r="A313" s="354" t="s">
        <v>10</v>
      </c>
      <c r="B313" s="354"/>
      <c r="C313" s="355">
        <v>1140219226</v>
      </c>
      <c r="D313" s="354" t="s">
        <v>726</v>
      </c>
      <c r="E313" s="356" t="s">
        <v>634</v>
      </c>
      <c r="F313" s="356" t="str">
        <f t="shared" si="18"/>
        <v>I</v>
      </c>
      <c r="G313" s="28">
        <f>+IF(F313="i",IFERROR(VLOOKUP(C313,'BG 12.2024'!$B:$E,3,FALSE),0),0)</f>
        <v>0</v>
      </c>
      <c r="H313" s="21">
        <f>+IF(F313="i",IFERROR(VLOOKUP(C313,'BG 12.2024'!$B:$E,4,FALSE),0),0)</f>
        <v>0</v>
      </c>
      <c r="I313" s="21"/>
      <c r="J313" s="28">
        <f>+IF(F313="i",IFERROR(VLOOKUP(C313,'BG 2023'!$B:$E,3,FALSE),0),0)</f>
        <v>0</v>
      </c>
      <c r="K313" s="21">
        <f>+IF(F313="i",IFERROR(VLOOKUP(C313,'BG 2023'!$B:$E,4,FALSE),0),0)</f>
        <v>0</v>
      </c>
      <c r="M313" s="15" t="e">
        <f>+VLOOKUP(C313,'BG 2023'!$B:$E,1,0)</f>
        <v>#N/A</v>
      </c>
      <c r="N313" s="806" t="e">
        <f>+VLOOKUP(C313,'BG 2023'!$B:$E,3,0)</f>
        <v>#N/A</v>
      </c>
      <c r="O313" s="807" t="e">
        <f t="shared" si="16"/>
        <v>#N/A</v>
      </c>
      <c r="P313" s="807"/>
      <c r="R313" s="807">
        <f>+IFERROR(VLOOKUP(C313,'CA FE'!$A:$C,3,0),0)-G313</f>
        <v>0</v>
      </c>
    </row>
    <row r="314" spans="1:18" ht="12" customHeight="1">
      <c r="A314" s="354" t="s">
        <v>10</v>
      </c>
      <c r="B314" s="354"/>
      <c r="C314" s="355">
        <v>1140219227</v>
      </c>
      <c r="D314" s="354" t="s">
        <v>727</v>
      </c>
      <c r="E314" s="356" t="s">
        <v>634</v>
      </c>
      <c r="F314" s="356" t="str">
        <f t="shared" si="18"/>
        <v>I</v>
      </c>
      <c r="G314" s="28">
        <f>+IF(F314="i",IFERROR(VLOOKUP(C314,'BG 12.2024'!$B:$E,3,FALSE),0),0)</f>
        <v>0</v>
      </c>
      <c r="H314" s="21">
        <f>+IF(F314="i",IFERROR(VLOOKUP(C314,'BG 12.2024'!$B:$E,4,FALSE),0),0)</f>
        <v>0</v>
      </c>
      <c r="I314" s="21"/>
      <c r="J314" s="28">
        <f>+IF(F314="i",IFERROR(VLOOKUP(C314,'BG 2023'!$B:$E,3,FALSE),0),0)</f>
        <v>0</v>
      </c>
      <c r="K314" s="21">
        <f>+IF(F314="i",IFERROR(VLOOKUP(C314,'BG 2023'!$B:$E,4,FALSE),0),0)</f>
        <v>0</v>
      </c>
      <c r="M314" s="15" t="e">
        <f>+VLOOKUP(C314,'BG 2023'!$B:$E,1,0)</f>
        <v>#N/A</v>
      </c>
      <c r="N314" s="806" t="e">
        <f>+VLOOKUP(C314,'BG 2023'!$B:$E,3,0)</f>
        <v>#N/A</v>
      </c>
      <c r="O314" s="807" t="e">
        <f t="shared" si="16"/>
        <v>#N/A</v>
      </c>
      <c r="P314" s="807"/>
      <c r="R314" s="807">
        <f>+IFERROR(VLOOKUP(C314,'CA FE'!$A:$C,3,0),0)-G314</f>
        <v>0</v>
      </c>
    </row>
    <row r="315" spans="1:18" ht="12" customHeight="1">
      <c r="A315" s="354" t="s">
        <v>10</v>
      </c>
      <c r="B315" s="354"/>
      <c r="C315" s="355">
        <v>1140219228</v>
      </c>
      <c r="D315" s="354" t="s">
        <v>727</v>
      </c>
      <c r="E315" s="356" t="s">
        <v>634</v>
      </c>
      <c r="F315" s="356" t="str">
        <f t="shared" si="18"/>
        <v>I</v>
      </c>
      <c r="G315" s="28">
        <f>+IF(F315="i",IFERROR(VLOOKUP(C315,'BG 12.2024'!$B:$E,3,FALSE),0),0)</f>
        <v>0</v>
      </c>
      <c r="H315" s="21">
        <f>+IF(F315="i",IFERROR(VLOOKUP(C315,'BG 12.2024'!$B:$E,4,FALSE),0),0)</f>
        <v>0</v>
      </c>
      <c r="I315" s="21"/>
      <c r="J315" s="28">
        <f>+IF(F315="i",IFERROR(VLOOKUP(C315,'BG 2023'!$B:$E,3,FALSE),0),0)</f>
        <v>0</v>
      </c>
      <c r="K315" s="21">
        <f>+IF(F315="i",IFERROR(VLOOKUP(C315,'BG 2023'!$B:$E,4,FALSE),0),0)</f>
        <v>0</v>
      </c>
      <c r="M315" s="15" t="e">
        <f>+VLOOKUP(C315,'BG 2023'!$B:$E,1,0)</f>
        <v>#N/A</v>
      </c>
      <c r="N315" s="806" t="e">
        <f>+VLOOKUP(C315,'BG 2023'!$B:$E,3,0)</f>
        <v>#N/A</v>
      </c>
      <c r="O315" s="807" t="e">
        <f t="shared" si="16"/>
        <v>#N/A</v>
      </c>
      <c r="P315" s="807"/>
      <c r="R315" s="807">
        <f>+IFERROR(VLOOKUP(C315,'CA FE'!$A:$C,3,0),0)-G315</f>
        <v>0</v>
      </c>
    </row>
    <row r="316" spans="1:18" ht="12" customHeight="1">
      <c r="A316" s="354" t="s">
        <v>10</v>
      </c>
      <c r="B316" s="354" t="s">
        <v>688</v>
      </c>
      <c r="C316" s="355">
        <v>1140219229</v>
      </c>
      <c r="D316" s="354" t="s">
        <v>728</v>
      </c>
      <c r="E316" s="356" t="s">
        <v>634</v>
      </c>
      <c r="F316" s="356" t="str">
        <f t="shared" ref="F316" si="19">+IF(LEN(C316)&gt;8,"I","NI")</f>
        <v>I</v>
      </c>
      <c r="G316" s="28">
        <f>+IF(F316="i",IFERROR(VLOOKUP(C316,'BG 12.2024'!$B:$E,3,FALSE),0),0)</f>
        <v>11246160</v>
      </c>
      <c r="H316" s="21">
        <f>+IF(F316="i",IFERROR(VLOOKUP(C316,'BG 12.2024'!$B:$E,4,FALSE),0),0)</f>
        <v>1436.0599999999977</v>
      </c>
      <c r="I316" s="21"/>
      <c r="J316" s="28">
        <f>+IF(F316="i",IFERROR(VLOOKUP(C316,'BG 2023'!$B:$E,3,FALSE),0),0)</f>
        <v>0</v>
      </c>
      <c r="K316" s="21">
        <f>+IF(F316="i",IFERROR(VLOOKUP(C316,'BG 2023'!$B:$E,4,FALSE),0),0)</f>
        <v>0</v>
      </c>
      <c r="M316" s="15" t="e">
        <f>+VLOOKUP(C316,'BG 2023'!$B:$E,1,0)</f>
        <v>#N/A</v>
      </c>
      <c r="N316" s="806" t="e">
        <f>+VLOOKUP(C316,'BG 2023'!$B:$E,3,0)</f>
        <v>#N/A</v>
      </c>
      <c r="O316" s="807" t="e">
        <f t="shared" si="16"/>
        <v>#N/A</v>
      </c>
      <c r="P316" s="807"/>
      <c r="R316" s="807">
        <f>+IFERROR(VLOOKUP(C316,'CA FE'!$A:$C,3,0),0)-G316</f>
        <v>0</v>
      </c>
    </row>
    <row r="317" spans="1:18" ht="12" customHeight="1">
      <c r="A317" s="354" t="s">
        <v>10</v>
      </c>
      <c r="B317" s="354"/>
      <c r="C317" s="355">
        <v>1140219230</v>
      </c>
      <c r="D317" s="354" t="s">
        <v>729</v>
      </c>
      <c r="E317" s="356" t="s">
        <v>640</v>
      </c>
      <c r="F317" s="356" t="str">
        <f t="shared" si="18"/>
        <v>I</v>
      </c>
      <c r="G317" s="28">
        <f>+IF(F317="i",IFERROR(VLOOKUP(C317,'BG 12.2024'!$B:$E,3,FALSE),0),0)</f>
        <v>0</v>
      </c>
      <c r="H317" s="21">
        <f>+IF(F317="i",IFERROR(VLOOKUP(C317,'BG 12.2024'!$B:$E,4,FALSE),0),0)</f>
        <v>0</v>
      </c>
      <c r="I317" s="21"/>
      <c r="J317" s="28">
        <f>+IF(F317="i",IFERROR(VLOOKUP(C317,'BG 2023'!$B:$E,3,FALSE),0),0)</f>
        <v>0</v>
      </c>
      <c r="K317" s="21">
        <f>+IF(F317="i",IFERROR(VLOOKUP(C317,'BG 2023'!$B:$E,4,FALSE),0),0)</f>
        <v>0</v>
      </c>
      <c r="M317" s="15" t="e">
        <f>+VLOOKUP(C317,'BG 2023'!$B:$E,1,0)</f>
        <v>#N/A</v>
      </c>
      <c r="N317" s="806" t="e">
        <f>+VLOOKUP(C317,'BG 2023'!$B:$E,3,0)</f>
        <v>#N/A</v>
      </c>
      <c r="O317" s="807" t="e">
        <f t="shared" si="16"/>
        <v>#N/A</v>
      </c>
      <c r="P317" s="807"/>
      <c r="R317" s="807">
        <f>+IFERROR(VLOOKUP(C317,'CA FE'!$A:$C,3,0),0)-G317</f>
        <v>0</v>
      </c>
    </row>
    <row r="318" spans="1:18" ht="12" customHeight="1">
      <c r="A318" s="354" t="s">
        <v>10</v>
      </c>
      <c r="B318" s="354"/>
      <c r="C318" s="355">
        <v>1140224</v>
      </c>
      <c r="D318" s="354" t="s">
        <v>87</v>
      </c>
      <c r="E318" s="356" t="s">
        <v>634</v>
      </c>
      <c r="F318" s="356" t="str">
        <f t="shared" si="18"/>
        <v>NI</v>
      </c>
      <c r="G318" s="28">
        <f>+IF(F318="i",IFERROR(VLOOKUP(C318,'BG 12.2024'!$B:$E,3,FALSE),0),0)</f>
        <v>0</v>
      </c>
      <c r="H318" s="21">
        <f>+IF(F318="i",IFERROR(VLOOKUP(C318,'BG 12.2024'!$B:$E,4,FALSE),0),0)</f>
        <v>0</v>
      </c>
      <c r="I318" s="21"/>
      <c r="J318" s="28">
        <f>+IF(F318="i",IFERROR(VLOOKUP(C318,'BG 2023'!$B:$E,3,FALSE),0),0)</f>
        <v>0</v>
      </c>
      <c r="K318" s="21">
        <f>+IF(F318="i",IFERROR(VLOOKUP(C318,'BG 2023'!$B:$E,4,FALSE),0),0)</f>
        <v>0</v>
      </c>
      <c r="M318" s="15">
        <f>+VLOOKUP(C318,'BG 2023'!$B:$E,1,0)</f>
        <v>1140224</v>
      </c>
      <c r="N318" s="806">
        <f>+VLOOKUP(C318,'BG 2023'!$B:$E,3,0)</f>
        <v>263608071</v>
      </c>
      <c r="O318" s="807">
        <f t="shared" si="16"/>
        <v>263608071</v>
      </c>
      <c r="P318" s="807"/>
      <c r="R318" s="807">
        <f>+IFERROR(VLOOKUP(C318,'CA FE'!$A:$C,3,0),0)-G318</f>
        <v>0</v>
      </c>
    </row>
    <row r="319" spans="1:18" ht="12" customHeight="1">
      <c r="A319" s="354" t="s">
        <v>10</v>
      </c>
      <c r="B319" s="354"/>
      <c r="C319" s="355">
        <v>11402241</v>
      </c>
      <c r="D319" s="354" t="s">
        <v>88</v>
      </c>
      <c r="E319" s="356" t="s">
        <v>634</v>
      </c>
      <c r="F319" s="356" t="str">
        <f t="shared" si="18"/>
        <v>NI</v>
      </c>
      <c r="G319" s="28">
        <f>+IF(F319="i",IFERROR(VLOOKUP(C319,'BG 12.2024'!$B:$E,3,FALSE),0),0)</f>
        <v>0</v>
      </c>
      <c r="H319" s="21">
        <f>+IF(F319="i",IFERROR(VLOOKUP(C319,'BG 12.2024'!$B:$E,4,FALSE),0),0)</f>
        <v>0</v>
      </c>
      <c r="I319" s="21"/>
      <c r="J319" s="28">
        <f>+IF(F319="i",IFERROR(VLOOKUP(C319,'BG 2023'!$B:$E,3,FALSE),0),0)</f>
        <v>0</v>
      </c>
      <c r="K319" s="21">
        <f>+IF(F319="i",IFERROR(VLOOKUP(C319,'BG 2023'!$B:$E,4,FALSE),0),0)</f>
        <v>0</v>
      </c>
      <c r="M319" s="15">
        <f>+VLOOKUP(C319,'BG 2023'!$B:$E,1,0)</f>
        <v>11402241</v>
      </c>
      <c r="N319" s="806">
        <f>+VLOOKUP(C319,'BG 2023'!$B:$E,3,0)</f>
        <v>4398148011</v>
      </c>
      <c r="O319" s="807">
        <f t="shared" si="16"/>
        <v>4398148011</v>
      </c>
      <c r="P319" s="807"/>
      <c r="R319" s="807">
        <f>+IFERROR(VLOOKUP(C319,'CA FE'!$A:$C,3,0),0)-G319</f>
        <v>0</v>
      </c>
    </row>
    <row r="320" spans="1:18" ht="12" customHeight="1">
      <c r="A320" s="354" t="s">
        <v>10</v>
      </c>
      <c r="B320" s="354" t="s">
        <v>688</v>
      </c>
      <c r="C320" s="355">
        <v>1140224101</v>
      </c>
      <c r="D320" s="354" t="s">
        <v>89</v>
      </c>
      <c r="E320" s="356" t="s">
        <v>634</v>
      </c>
      <c r="F320" s="356" t="str">
        <f t="shared" si="18"/>
        <v>I</v>
      </c>
      <c r="G320" s="28">
        <f>+IF(F320="i",IFERROR(VLOOKUP(C320,'BG 12.2024'!$B:$E,3,FALSE),0),0)</f>
        <v>757489998</v>
      </c>
      <c r="H320" s="21">
        <f>+IF(F320="i",IFERROR(VLOOKUP(C320,'BG 12.2024'!$B:$E,4,FALSE),0),0)</f>
        <v>96726.449999999953</v>
      </c>
      <c r="I320" s="21"/>
      <c r="J320" s="28">
        <f>+IF(F320="i",IFERROR(VLOOKUP(C320,'BG 2023'!$B:$E,3,FALSE),0),0)</f>
        <v>974369932</v>
      </c>
      <c r="K320" s="21">
        <f>+IF(F320="i",IFERROR(VLOOKUP(C320,'BG 2023'!$B:$E,4,FALSE),0),0)</f>
        <v>134144.40000000002</v>
      </c>
      <c r="M320" s="15">
        <f>+VLOOKUP(C320,'BG 2023'!$B:$E,1,0)</f>
        <v>1140224101</v>
      </c>
      <c r="N320" s="806">
        <f>+VLOOKUP(C320,'BG 2023'!$B:$E,3,0)</f>
        <v>974369932</v>
      </c>
      <c r="O320" s="807">
        <f t="shared" si="16"/>
        <v>216879934</v>
      </c>
      <c r="P320" s="807"/>
      <c r="R320" s="807">
        <f>+IFERROR(VLOOKUP(C320,'CA FE'!$A:$C,3,0),0)-G320</f>
        <v>0</v>
      </c>
    </row>
    <row r="321" spans="1:18" ht="12" customHeight="1">
      <c r="A321" s="354" t="s">
        <v>10</v>
      </c>
      <c r="B321" s="354" t="s">
        <v>688</v>
      </c>
      <c r="C321" s="355">
        <v>1140224102</v>
      </c>
      <c r="D321" s="354" t="s">
        <v>730</v>
      </c>
      <c r="E321" s="356" t="s">
        <v>640</v>
      </c>
      <c r="F321" s="356" t="str">
        <f t="shared" si="18"/>
        <v>I</v>
      </c>
      <c r="G321" s="28">
        <f>+IF(F321="i",IFERROR(VLOOKUP(C321,'BG 12.2024'!$B:$E,3,FALSE),0),0)</f>
        <v>348853109</v>
      </c>
      <c r="H321" s="1229">
        <f>+IF(F321="i",IFERROR(VLOOKUP(C321,'BG 12.2024'!$B:$E,4,FALSE),0),0)</f>
        <v>44546.23000000001</v>
      </c>
      <c r="I321" s="21"/>
      <c r="J321" s="28">
        <f>+IF(F321="i",IFERROR(VLOOKUP(C321,'BG 2023'!$B:$E,3,FALSE),0),0)</f>
        <v>0</v>
      </c>
      <c r="K321" s="21">
        <f>+IF(F321="i",IFERROR(VLOOKUP(C321,'BG 2023'!$B:$E,4,FALSE),0),0)</f>
        <v>0</v>
      </c>
      <c r="M321" s="15" t="e">
        <f>+VLOOKUP(C321,'BG 2023'!$B:$E,1,0)</f>
        <v>#N/A</v>
      </c>
      <c r="N321" s="806" t="e">
        <f>+VLOOKUP(C321,'BG 2023'!$B:$E,3,0)</f>
        <v>#N/A</v>
      </c>
      <c r="O321" s="807" t="e">
        <f t="shared" si="16"/>
        <v>#N/A</v>
      </c>
      <c r="P321" s="807"/>
      <c r="R321" s="807">
        <f>+IFERROR(VLOOKUP(C321,'CA FE'!$A:$C,3,0),0)-G321</f>
        <v>0</v>
      </c>
    </row>
    <row r="322" spans="1:18" ht="12" customHeight="1">
      <c r="A322" s="354" t="s">
        <v>10</v>
      </c>
      <c r="B322" s="354" t="s">
        <v>688</v>
      </c>
      <c r="C322" s="355">
        <v>1140224103</v>
      </c>
      <c r="D322" s="354" t="s">
        <v>575</v>
      </c>
      <c r="E322" s="356" t="s">
        <v>634</v>
      </c>
      <c r="F322" s="356" t="str">
        <f t="shared" si="18"/>
        <v>I</v>
      </c>
      <c r="G322" s="28">
        <f>+IF(F322="i",IFERROR(VLOOKUP(C322,'BG 12.2024'!$B:$E,3,FALSE),0),0)</f>
        <v>794488714</v>
      </c>
      <c r="H322" s="21">
        <f>+IF(F322="i",IFERROR(VLOOKUP(C322,'BG 12.2024'!$B:$E,4,FALSE),0),0)</f>
        <v>101450.93999999996</v>
      </c>
      <c r="I322" s="21"/>
      <c r="J322" s="28">
        <f>+IF(F322="i",IFERROR(VLOOKUP(C322,'BG 2023'!$B:$E,3,FALSE),0),0)</f>
        <v>0</v>
      </c>
      <c r="K322" s="21">
        <f>+IF(F322="i",IFERROR(VLOOKUP(C322,'BG 2023'!$B:$E,4,FALSE),0),0)</f>
        <v>0</v>
      </c>
      <c r="M322" s="15" t="e">
        <f>+VLOOKUP(C322,'BG 2023'!$B:$E,1,0)</f>
        <v>#N/A</v>
      </c>
      <c r="N322" s="806" t="e">
        <f>+VLOOKUP(C322,'BG 2023'!$B:$E,3,0)</f>
        <v>#N/A</v>
      </c>
      <c r="O322" s="807" t="e">
        <f t="shared" si="16"/>
        <v>#N/A</v>
      </c>
      <c r="P322" s="807"/>
      <c r="R322" s="807">
        <f>+IFERROR(VLOOKUP(C322,'CA FE'!$A:$C,3,0),0)-G322</f>
        <v>0</v>
      </c>
    </row>
    <row r="323" spans="1:18" ht="12" customHeight="1">
      <c r="A323" s="354" t="s">
        <v>10</v>
      </c>
      <c r="B323" s="354" t="s">
        <v>688</v>
      </c>
      <c r="C323" s="355">
        <v>1140224104</v>
      </c>
      <c r="D323" s="354" t="s">
        <v>529</v>
      </c>
      <c r="E323" s="356" t="s">
        <v>640</v>
      </c>
      <c r="F323" s="356" t="str">
        <f t="shared" si="18"/>
        <v>I</v>
      </c>
      <c r="G323" s="28">
        <f>+IF(F323="i",IFERROR(VLOOKUP(C323,'BG 12.2024'!$B:$E,3,FALSE),0),0)</f>
        <v>338442154</v>
      </c>
      <c r="H323" s="1229">
        <f>+IF(F323="i",IFERROR(VLOOKUP(C323,'BG 12.2024'!$B:$E,4,FALSE),0),0)</f>
        <v>43216.820000000036</v>
      </c>
      <c r="I323" s="21"/>
      <c r="J323" s="28">
        <f>+IF(F323="i",IFERROR(VLOOKUP(C323,'BG 2023'!$B:$E,3,FALSE),0),0)</f>
        <v>0</v>
      </c>
      <c r="K323" s="21">
        <f>+IF(F323="i",IFERROR(VLOOKUP(C323,'BG 2023'!$B:$E,4,FALSE),0),0)</f>
        <v>0</v>
      </c>
      <c r="M323" s="15" t="e">
        <f>+VLOOKUP(C323,'BG 2023'!$B:$E,1,0)</f>
        <v>#N/A</v>
      </c>
      <c r="N323" s="806" t="e">
        <f>+VLOOKUP(C323,'BG 2023'!$B:$E,3,0)</f>
        <v>#N/A</v>
      </c>
      <c r="O323" s="807" t="e">
        <f t="shared" si="16"/>
        <v>#N/A</v>
      </c>
      <c r="P323" s="807"/>
      <c r="R323" s="807">
        <f>+IFERROR(VLOOKUP(C323,'CA FE'!$A:$C,3,0),0)-G323</f>
        <v>0</v>
      </c>
    </row>
    <row r="324" spans="1:18" ht="12" customHeight="1">
      <c r="A324" s="354" t="s">
        <v>10</v>
      </c>
      <c r="B324" s="354" t="s">
        <v>688</v>
      </c>
      <c r="C324" s="355">
        <v>1140224105</v>
      </c>
      <c r="D324" s="354" t="s">
        <v>90</v>
      </c>
      <c r="E324" s="356" t="s">
        <v>634</v>
      </c>
      <c r="F324" s="356" t="str">
        <f t="shared" si="18"/>
        <v>I</v>
      </c>
      <c r="G324" s="28">
        <f>+IF(F324="i",IFERROR(VLOOKUP(C324,'BG 12.2024'!$B:$E,3,FALSE),0),0)</f>
        <v>1236512765</v>
      </c>
      <c r="H324" s="21">
        <f>+IF(F324="i",IFERROR(VLOOKUP(C324,'BG 12.2024'!$B:$E,4,FALSE),0),0)</f>
        <v>157894.49000000022</v>
      </c>
      <c r="I324" s="21"/>
      <c r="J324" s="28">
        <f>+IF(F324="i",IFERROR(VLOOKUP(C324,'BG 2023'!$B:$E,3,FALSE),0),0)</f>
        <v>1624982891</v>
      </c>
      <c r="K324" s="21">
        <f>+IF(F324="i",IFERROR(VLOOKUP(C324,'BG 2023'!$B:$E,4,FALSE),0),0)</f>
        <v>223716.21999999974</v>
      </c>
      <c r="M324" s="15">
        <f>+VLOOKUP(C324,'BG 2023'!$B:$E,1,0)</f>
        <v>1140224105</v>
      </c>
      <c r="N324" s="806">
        <f>+VLOOKUP(C324,'BG 2023'!$B:$E,3,0)</f>
        <v>1624982891</v>
      </c>
      <c r="O324" s="807">
        <f t="shared" si="16"/>
        <v>388470126</v>
      </c>
      <c r="P324" s="807"/>
      <c r="R324" s="807">
        <f>+IFERROR(VLOOKUP(C324,'CA FE'!$A:$C,3,0),0)-G324</f>
        <v>0</v>
      </c>
    </row>
    <row r="325" spans="1:18" ht="12" customHeight="1">
      <c r="A325" s="354" t="s">
        <v>10</v>
      </c>
      <c r="B325" s="354" t="s">
        <v>688</v>
      </c>
      <c r="C325" s="355">
        <v>1140224106</v>
      </c>
      <c r="D325" s="354" t="s">
        <v>91</v>
      </c>
      <c r="E325" s="356" t="s">
        <v>640</v>
      </c>
      <c r="F325" s="356" t="str">
        <f t="shared" si="18"/>
        <v>I</v>
      </c>
      <c r="G325" s="28">
        <f>+IF(F325="i",IFERROR(VLOOKUP(C325,'BG 12.2024'!$B:$E,3,FALSE),0),0)</f>
        <v>232780758</v>
      </c>
      <c r="H325" s="1229">
        <f>+IF(F325="i",IFERROR(VLOOKUP(C325,'BG 12.2024'!$B:$E,4,FALSE),0),0)</f>
        <v>29724.560000000518</v>
      </c>
      <c r="I325" s="21"/>
      <c r="J325" s="28">
        <f>+IF(F325="i",IFERROR(VLOOKUP(C325,'BG 2023'!$B:$E,3,FALSE),0),0)</f>
        <v>209720741</v>
      </c>
      <c r="K325" s="840">
        <f>+IF(F325="i",IFERROR(VLOOKUP(C325,'BG 2023'!$B:$E,4,FALSE),0),0)</f>
        <v>28872.877000000095</v>
      </c>
      <c r="M325" s="15">
        <f>+VLOOKUP(C325,'BG 2023'!$B:$E,1,0)</f>
        <v>1140224106</v>
      </c>
      <c r="N325" s="806">
        <f>+VLOOKUP(C325,'BG 2023'!$B:$E,3,0)</f>
        <v>209720741</v>
      </c>
      <c r="O325" s="807">
        <f t="shared" si="16"/>
        <v>-23060017</v>
      </c>
      <c r="P325" s="807"/>
      <c r="R325" s="807">
        <f>+IFERROR(VLOOKUP(C325,'CA FE'!$A:$C,3,0),0)-G325</f>
        <v>0</v>
      </c>
    </row>
    <row r="326" spans="1:18" ht="12" customHeight="1">
      <c r="A326" s="354" t="s">
        <v>10</v>
      </c>
      <c r="B326" s="354" t="s">
        <v>688</v>
      </c>
      <c r="C326" s="355">
        <v>1140224107</v>
      </c>
      <c r="D326" s="354" t="s">
        <v>92</v>
      </c>
      <c r="E326" s="356" t="s">
        <v>634</v>
      </c>
      <c r="F326" s="356" t="str">
        <f t="shared" si="18"/>
        <v>I</v>
      </c>
      <c r="G326" s="28">
        <f>+IF(F326="i",IFERROR(VLOOKUP(C326,'BG 12.2024'!$B:$E,3,FALSE),0),0)</f>
        <v>1245127389</v>
      </c>
      <c r="H326" s="21">
        <f>+IF(F326="i",IFERROR(VLOOKUP(C326,'BG 12.2024'!$B:$E,4,FALSE),0),0)</f>
        <v>158994.52000000002</v>
      </c>
      <c r="I326" s="21"/>
      <c r="J326" s="28">
        <f>+IF(F326="i",IFERROR(VLOOKUP(C326,'BG 2023'!$B:$E,3,FALSE),0),0)</f>
        <v>605676966</v>
      </c>
      <c r="K326" s="21">
        <f>+IF(F326="i",IFERROR(VLOOKUP(C326,'BG 2023'!$B:$E,4,FALSE),0),0)</f>
        <v>83385.349999999977</v>
      </c>
      <c r="M326" s="15">
        <f>+VLOOKUP(C326,'BG 2023'!$B:$E,1,0)</f>
        <v>1140224107</v>
      </c>
      <c r="N326" s="806">
        <f>+VLOOKUP(C326,'BG 2023'!$B:$E,3,0)</f>
        <v>605676966</v>
      </c>
      <c r="O326" s="807">
        <f t="shared" si="16"/>
        <v>-639450423</v>
      </c>
      <c r="P326" s="807"/>
      <c r="R326" s="807">
        <f>+IFERROR(VLOOKUP(C326,'CA FE'!$A:$C,3,0),0)-G326</f>
        <v>0</v>
      </c>
    </row>
    <row r="327" spans="1:18" ht="12" customHeight="1">
      <c r="A327" s="354" t="s">
        <v>10</v>
      </c>
      <c r="B327" s="354" t="s">
        <v>688</v>
      </c>
      <c r="C327" s="355">
        <v>1140224108</v>
      </c>
      <c r="D327" s="354" t="s">
        <v>93</v>
      </c>
      <c r="E327" s="356" t="s">
        <v>640</v>
      </c>
      <c r="F327" s="356" t="str">
        <f t="shared" si="18"/>
        <v>I</v>
      </c>
      <c r="G327" s="28">
        <f>+IF(F327="i",IFERROR(VLOOKUP(C327,'BG 12.2024'!$B:$E,3,FALSE),0),0)</f>
        <v>0</v>
      </c>
      <c r="H327" s="21">
        <f>+IF(F327="i",IFERROR(VLOOKUP(C327,'BG 12.2024'!$B:$E,4,FALSE),0),0)</f>
        <v>0</v>
      </c>
      <c r="I327" s="21"/>
      <c r="J327" s="28">
        <f>+IF(F327="i",IFERROR(VLOOKUP(C327,'BG 2023'!$B:$E,3,FALSE),0),0)</f>
        <v>491200782</v>
      </c>
      <c r="K327" s="840">
        <f>+IF(F327="i",IFERROR(VLOOKUP(C327,'BG 2023'!$B:$E,4,FALSE),0),0)</f>
        <v>67625.070000000298</v>
      </c>
      <c r="M327" s="15">
        <f>+VLOOKUP(C327,'BG 2023'!$B:$E,1,0)</f>
        <v>1140224108</v>
      </c>
      <c r="N327" s="806">
        <f>+VLOOKUP(C327,'BG 2023'!$B:$E,3,0)</f>
        <v>491200782</v>
      </c>
      <c r="O327" s="807">
        <f t="shared" si="16"/>
        <v>491200782</v>
      </c>
      <c r="P327" s="807"/>
      <c r="R327" s="807">
        <f>+IFERROR(VLOOKUP(C327,'CA FE'!$A:$C,3,0),0)-G327</f>
        <v>0</v>
      </c>
    </row>
    <row r="328" spans="1:18" ht="12" customHeight="1">
      <c r="A328" s="354" t="s">
        <v>10</v>
      </c>
      <c r="B328" s="354"/>
      <c r="C328" s="355">
        <v>1140224109</v>
      </c>
      <c r="D328" s="354" t="s">
        <v>731</v>
      </c>
      <c r="E328" s="356" t="s">
        <v>634</v>
      </c>
      <c r="F328" s="356" t="str">
        <f t="shared" si="18"/>
        <v>I</v>
      </c>
      <c r="G328" s="28">
        <f>+IF(F328="i",IFERROR(VLOOKUP(C328,'BG 12.2024'!$B:$E,3,FALSE),0),0)</f>
        <v>0</v>
      </c>
      <c r="H328" s="21">
        <f>+IF(F328="i",IFERROR(VLOOKUP(C328,'BG 12.2024'!$B:$E,4,FALSE),0),0)</f>
        <v>0</v>
      </c>
      <c r="I328" s="21"/>
      <c r="J328" s="28">
        <f>+IF(F328="i",IFERROR(VLOOKUP(C328,'BG 2023'!$B:$E,3,FALSE),0),0)</f>
        <v>0</v>
      </c>
      <c r="K328" s="21">
        <f>+IF(F328="i",IFERROR(VLOOKUP(C328,'BG 2023'!$B:$E,4,FALSE),0),0)</f>
        <v>0</v>
      </c>
      <c r="M328" s="15" t="e">
        <f>+VLOOKUP(C328,'BG 2023'!$B:$E,1,0)</f>
        <v>#N/A</v>
      </c>
      <c r="N328" s="806" t="e">
        <f>+VLOOKUP(C328,'BG 2023'!$B:$E,3,0)</f>
        <v>#N/A</v>
      </c>
      <c r="O328" s="807" t="e">
        <f t="shared" si="16"/>
        <v>#N/A</v>
      </c>
      <c r="P328" s="807"/>
      <c r="R328" s="807">
        <f>+IFERROR(VLOOKUP(C328,'CA FE'!$A:$C,3,0),0)-G328</f>
        <v>0</v>
      </c>
    </row>
    <row r="329" spans="1:18" ht="12" customHeight="1">
      <c r="A329" s="354" t="s">
        <v>10</v>
      </c>
      <c r="B329" s="354"/>
      <c r="C329" s="355">
        <v>1140224110</v>
      </c>
      <c r="D329" s="354" t="s">
        <v>732</v>
      </c>
      <c r="E329" s="356" t="s">
        <v>640</v>
      </c>
      <c r="F329" s="356" t="str">
        <f t="shared" si="18"/>
        <v>I</v>
      </c>
      <c r="G329" s="28">
        <f>+IF(F329="i",IFERROR(VLOOKUP(C329,'BG 12.2024'!$B:$E,3,FALSE),0),0)</f>
        <v>0</v>
      </c>
      <c r="H329" s="21">
        <f>+IF(F329="i",IFERROR(VLOOKUP(C329,'BG 12.2024'!$B:$E,4,FALSE),0),0)</f>
        <v>0</v>
      </c>
      <c r="I329" s="21"/>
      <c r="J329" s="28">
        <f>+IF(F329="i",IFERROR(VLOOKUP(C329,'BG 2023'!$B:$E,3,FALSE),0),0)</f>
        <v>0</v>
      </c>
      <c r="K329" s="21">
        <f>+IF(F329="i",IFERROR(VLOOKUP(C329,'BG 2023'!$B:$E,4,FALSE),0),0)</f>
        <v>0</v>
      </c>
      <c r="M329" s="15" t="e">
        <f>+VLOOKUP(C329,'BG 2023'!$B:$E,1,0)</f>
        <v>#N/A</v>
      </c>
      <c r="N329" s="806" t="e">
        <f>+VLOOKUP(C329,'BG 2023'!$B:$E,3,0)</f>
        <v>#N/A</v>
      </c>
      <c r="O329" s="807" t="e">
        <f t="shared" si="16"/>
        <v>#N/A</v>
      </c>
      <c r="P329" s="807"/>
      <c r="R329" s="807">
        <f>+IFERROR(VLOOKUP(C329,'CA FE'!$A:$C,3,0),0)-G329</f>
        <v>0</v>
      </c>
    </row>
    <row r="330" spans="1:18" ht="12" customHeight="1">
      <c r="A330" s="354" t="s">
        <v>10</v>
      </c>
      <c r="B330" s="354"/>
      <c r="C330" s="355">
        <v>1140224111</v>
      </c>
      <c r="D330" s="354" t="s">
        <v>733</v>
      </c>
      <c r="E330" s="356" t="s">
        <v>634</v>
      </c>
      <c r="F330" s="356" t="str">
        <f t="shared" si="18"/>
        <v>I</v>
      </c>
      <c r="G330" s="28">
        <f>+IF(F330="i",IFERROR(VLOOKUP(C330,'BG 12.2024'!$B:$E,3,FALSE),0),0)</f>
        <v>0</v>
      </c>
      <c r="H330" s="21">
        <f>+IF(F330="i",IFERROR(VLOOKUP(C330,'BG 12.2024'!$B:$E,4,FALSE),0),0)</f>
        <v>0</v>
      </c>
      <c r="I330" s="21"/>
      <c r="J330" s="28">
        <f>+IF(F330="i",IFERROR(VLOOKUP(C330,'BG 2023'!$B:$E,3,FALSE),0),0)</f>
        <v>0</v>
      </c>
      <c r="K330" s="21">
        <f>+IF(F330="i",IFERROR(VLOOKUP(C330,'BG 2023'!$B:$E,4,FALSE),0),0)</f>
        <v>0</v>
      </c>
      <c r="M330" s="15" t="e">
        <f>+VLOOKUP(C330,'BG 2023'!$B:$E,1,0)</f>
        <v>#N/A</v>
      </c>
      <c r="N330" s="806" t="e">
        <f>+VLOOKUP(C330,'BG 2023'!$B:$E,3,0)</f>
        <v>#N/A</v>
      </c>
      <c r="O330" s="807" t="e">
        <f t="shared" si="16"/>
        <v>#N/A</v>
      </c>
      <c r="P330" s="807"/>
      <c r="R330" s="807">
        <f>+IFERROR(VLOOKUP(C330,'CA FE'!$A:$C,3,0),0)-G330</f>
        <v>0</v>
      </c>
    </row>
    <row r="331" spans="1:18" ht="12" customHeight="1">
      <c r="A331" s="354" t="s">
        <v>10</v>
      </c>
      <c r="B331" s="354"/>
      <c r="C331" s="355">
        <v>1140224112</v>
      </c>
      <c r="D331" s="354" t="s">
        <v>734</v>
      </c>
      <c r="E331" s="356" t="s">
        <v>640</v>
      </c>
      <c r="F331" s="356" t="str">
        <f t="shared" si="18"/>
        <v>I</v>
      </c>
      <c r="G331" s="28">
        <f>+IF(F331="i",IFERROR(VLOOKUP(C331,'BG 12.2024'!$B:$E,3,FALSE),0),0)</f>
        <v>0</v>
      </c>
      <c r="H331" s="21">
        <f>+IF(F331="i",IFERROR(VLOOKUP(C331,'BG 12.2024'!$B:$E,4,FALSE),0),0)</f>
        <v>0</v>
      </c>
      <c r="I331" s="21"/>
      <c r="J331" s="28">
        <f>+IF(F331="i",IFERROR(VLOOKUP(C331,'BG 2023'!$B:$E,3,FALSE),0),0)</f>
        <v>0</v>
      </c>
      <c r="K331" s="21">
        <f>+IF(F331="i",IFERROR(VLOOKUP(C331,'BG 2023'!$B:$E,4,FALSE),0),0)</f>
        <v>0</v>
      </c>
      <c r="M331" s="15" t="e">
        <f>+VLOOKUP(C331,'BG 2023'!$B:$E,1,0)</f>
        <v>#N/A</v>
      </c>
      <c r="N331" s="806" t="e">
        <f>+VLOOKUP(C331,'BG 2023'!$B:$E,3,0)</f>
        <v>#N/A</v>
      </c>
      <c r="O331" s="807" t="e">
        <f t="shared" si="16"/>
        <v>#N/A</v>
      </c>
      <c r="P331" s="807"/>
      <c r="R331" s="807">
        <f>+IFERROR(VLOOKUP(C331,'CA FE'!$A:$C,3,0),0)-G331</f>
        <v>0</v>
      </c>
    </row>
    <row r="332" spans="1:18" ht="12" customHeight="1">
      <c r="A332" s="354" t="s">
        <v>10</v>
      </c>
      <c r="B332" s="354" t="s">
        <v>688</v>
      </c>
      <c r="C332" s="355">
        <v>1140224113</v>
      </c>
      <c r="D332" s="354" t="s">
        <v>94</v>
      </c>
      <c r="E332" s="356" t="s">
        <v>634</v>
      </c>
      <c r="F332" s="356" t="str">
        <f t="shared" si="18"/>
        <v>I</v>
      </c>
      <c r="G332" s="28">
        <f>+IF(F332="i",IFERROR(VLOOKUP(C332,'BG 12.2024'!$B:$E,3,FALSE),0),0)</f>
        <v>3514635424</v>
      </c>
      <c r="H332" s="21">
        <f>+IF(F332="i",IFERROR(VLOOKUP(C332,'BG 12.2024'!$B:$E,4,FALSE),0),0)</f>
        <v>448795.65000000014</v>
      </c>
      <c r="I332" s="21"/>
      <c r="J332" s="28">
        <f>+IF(F332="i",IFERROR(VLOOKUP(C332,'BG 2023'!$B:$E,3,FALSE),0),0)</f>
        <v>186824247</v>
      </c>
      <c r="K332" s="21">
        <f>+IF(F332="i",IFERROR(VLOOKUP(C332,'BG 2023'!$B:$E,4,FALSE),0),0)</f>
        <v>25720.649999999907</v>
      </c>
      <c r="M332" s="15">
        <f>+VLOOKUP(C332,'BG 2023'!$B:$E,1,0)</f>
        <v>1140224113</v>
      </c>
      <c r="N332" s="806">
        <f>+VLOOKUP(C332,'BG 2023'!$B:$E,3,0)</f>
        <v>186824247</v>
      </c>
      <c r="O332" s="807">
        <f t="shared" si="16"/>
        <v>-3327811177</v>
      </c>
      <c r="P332" s="807"/>
      <c r="R332" s="807">
        <f>+IFERROR(VLOOKUP(C332,'CA FE'!$A:$C,3,0),0)-G332</f>
        <v>0</v>
      </c>
    </row>
    <row r="333" spans="1:18" ht="12" customHeight="1">
      <c r="A333" s="354" t="s">
        <v>10</v>
      </c>
      <c r="B333" s="354" t="s">
        <v>688</v>
      </c>
      <c r="C333" s="355">
        <v>1140224114</v>
      </c>
      <c r="D333" s="354" t="s">
        <v>730</v>
      </c>
      <c r="E333" s="356" t="s">
        <v>640</v>
      </c>
      <c r="F333" s="356" t="str">
        <f t="shared" si="18"/>
        <v>I</v>
      </c>
      <c r="G333" s="28">
        <f>+IF(F333="i",IFERROR(VLOOKUP(C333,'BG 12.2024'!$B:$E,3,FALSE),0),0)</f>
        <v>914728601</v>
      </c>
      <c r="H333" s="21">
        <f>+IF(F333="i",IFERROR(VLOOKUP(C333,'BG 12.2024'!$B:$E,4,FALSE),0),0)</f>
        <v>116804.78000000003</v>
      </c>
      <c r="I333" s="21"/>
      <c r="J333" s="28">
        <f>+IF(F333="i",IFERROR(VLOOKUP(C333,'BG 2023'!$B:$E,3,FALSE),0),0)</f>
        <v>0</v>
      </c>
      <c r="K333" s="21">
        <f>+IF(F333="i",IFERROR(VLOOKUP(C333,'BG 2023'!$B:$E,4,FALSE),0),0)</f>
        <v>0</v>
      </c>
      <c r="M333" s="15" t="e">
        <f>+VLOOKUP(C333,'BG 2023'!$B:$E,1,0)</f>
        <v>#N/A</v>
      </c>
      <c r="N333" s="806" t="e">
        <f>+VLOOKUP(C333,'BG 2023'!$B:$E,3,0)</f>
        <v>#N/A</v>
      </c>
      <c r="O333" s="807" t="e">
        <f t="shared" si="16"/>
        <v>#N/A</v>
      </c>
      <c r="P333" s="807"/>
      <c r="R333" s="807">
        <f>+IFERROR(VLOOKUP(C333,'CA FE'!$A:$C,3,0),0)-G333</f>
        <v>0</v>
      </c>
    </row>
    <row r="334" spans="1:18" ht="12" customHeight="1">
      <c r="A334" s="354" t="s">
        <v>10</v>
      </c>
      <c r="B334" s="354"/>
      <c r="C334" s="355">
        <v>1140224115</v>
      </c>
      <c r="D334" s="354" t="s">
        <v>735</v>
      </c>
      <c r="E334" s="356" t="s">
        <v>634</v>
      </c>
      <c r="F334" s="356" t="str">
        <f t="shared" si="18"/>
        <v>I</v>
      </c>
      <c r="G334" s="28">
        <f>+IF(F334="i",IFERROR(VLOOKUP(C334,'BG 12.2024'!$B:$E,3,FALSE),0),0)</f>
        <v>0</v>
      </c>
      <c r="H334" s="21">
        <f>+IF(F334="i",IFERROR(VLOOKUP(C334,'BG 12.2024'!$B:$E,4,FALSE),0),0)</f>
        <v>0</v>
      </c>
      <c r="I334" s="21"/>
      <c r="J334" s="28">
        <f>+IF(F334="i",IFERROR(VLOOKUP(C334,'BG 2023'!$B:$E,3,FALSE),0),0)</f>
        <v>0</v>
      </c>
      <c r="K334" s="21">
        <f>+IF(F334="i",IFERROR(VLOOKUP(C334,'BG 2023'!$B:$E,4,FALSE),0),0)</f>
        <v>0</v>
      </c>
      <c r="M334" s="15" t="e">
        <f>+VLOOKUP(C334,'BG 2023'!$B:$E,1,0)</f>
        <v>#N/A</v>
      </c>
      <c r="N334" s="806" t="e">
        <f>+VLOOKUP(C334,'BG 2023'!$B:$E,3,0)</f>
        <v>#N/A</v>
      </c>
      <c r="O334" s="807" t="e">
        <f t="shared" si="16"/>
        <v>#N/A</v>
      </c>
      <c r="P334" s="807"/>
      <c r="R334" s="807">
        <f>+IFERROR(VLOOKUP(C334,'CA FE'!$A:$C,3,0),0)-G334</f>
        <v>0</v>
      </c>
    </row>
    <row r="335" spans="1:18" ht="12" customHeight="1">
      <c r="A335" s="354" t="s">
        <v>10</v>
      </c>
      <c r="B335" s="354"/>
      <c r="C335" s="355">
        <v>1140224116</v>
      </c>
      <c r="D335" s="354" t="s">
        <v>736</v>
      </c>
      <c r="E335" s="356" t="s">
        <v>640</v>
      </c>
      <c r="F335" s="356" t="str">
        <f t="shared" si="18"/>
        <v>I</v>
      </c>
      <c r="G335" s="28">
        <f>+IF(F335="i",IFERROR(VLOOKUP(C335,'BG 12.2024'!$B:$E,3,FALSE),0),0)</f>
        <v>0</v>
      </c>
      <c r="H335" s="21">
        <f>+IF(F335="i",IFERROR(VLOOKUP(C335,'BG 12.2024'!$B:$E,4,FALSE),0),0)</f>
        <v>0</v>
      </c>
      <c r="I335" s="21"/>
      <c r="J335" s="28">
        <f>+IF(F335="i",IFERROR(VLOOKUP(C335,'BG 2023'!$B:$E,3,FALSE),0),0)</f>
        <v>0</v>
      </c>
      <c r="K335" s="21">
        <f>+IF(F335="i",IFERROR(VLOOKUP(C335,'BG 2023'!$B:$E,4,FALSE),0),0)</f>
        <v>0</v>
      </c>
      <c r="M335" s="15" t="e">
        <f>+VLOOKUP(C335,'BG 2023'!$B:$E,1,0)</f>
        <v>#N/A</v>
      </c>
      <c r="N335" s="806" t="e">
        <f>+VLOOKUP(C335,'BG 2023'!$B:$E,3,0)</f>
        <v>#N/A</v>
      </c>
      <c r="O335" s="807" t="e">
        <f t="shared" si="16"/>
        <v>#N/A</v>
      </c>
      <c r="P335" s="807"/>
      <c r="R335" s="807">
        <f>+IFERROR(VLOOKUP(C335,'CA FE'!$A:$C,3,0),0)-G335</f>
        <v>0</v>
      </c>
    </row>
    <row r="336" spans="1:18" ht="12" customHeight="1">
      <c r="A336" s="354" t="s">
        <v>10</v>
      </c>
      <c r="B336" s="354" t="s">
        <v>688</v>
      </c>
      <c r="C336" s="355">
        <v>1140224117</v>
      </c>
      <c r="D336" s="354" t="s">
        <v>95</v>
      </c>
      <c r="E336" s="356" t="s">
        <v>634</v>
      </c>
      <c r="F336" s="356" t="str">
        <f t="shared" si="18"/>
        <v>I</v>
      </c>
      <c r="G336" s="28">
        <f>+IF(F336="i",IFERROR(VLOOKUP(C336,'BG 12.2024'!$B:$E,3,FALSE),0),0)</f>
        <v>5700000</v>
      </c>
      <c r="H336" s="21">
        <f>+IF(F336="i",IFERROR(VLOOKUP(C336,'BG 12.2024'!$B:$E,4,FALSE),0),0)</f>
        <v>727.84999999999127</v>
      </c>
      <c r="I336" s="21"/>
      <c r="J336" s="28">
        <f>+IF(F336="i",IFERROR(VLOOKUP(C336,'BG 2023'!$B:$E,3,FALSE),0),0)</f>
        <v>296735753</v>
      </c>
      <c r="K336" s="21">
        <f>+IF(F336="i",IFERROR(VLOOKUP(C336,'BG 2023'!$B:$E,4,FALSE),0),0)</f>
        <v>40852.49</v>
      </c>
      <c r="M336" s="15">
        <f>+VLOOKUP(C336,'BG 2023'!$B:$E,1,0)</f>
        <v>1140224117</v>
      </c>
      <c r="N336" s="806">
        <f>+VLOOKUP(C336,'BG 2023'!$B:$E,3,0)</f>
        <v>296735753</v>
      </c>
      <c r="O336" s="807">
        <f t="shared" si="16"/>
        <v>291035753</v>
      </c>
      <c r="P336" s="807"/>
      <c r="R336" s="807">
        <f>+IFERROR(VLOOKUP(C336,'CA FE'!$A:$C,3,0),0)-G336</f>
        <v>0</v>
      </c>
    </row>
    <row r="337" spans="1:18" ht="12" customHeight="1">
      <c r="A337" s="354" t="s">
        <v>10</v>
      </c>
      <c r="B337" s="354" t="s">
        <v>688</v>
      </c>
      <c r="C337" s="355">
        <v>1140224118</v>
      </c>
      <c r="D337" s="354" t="s">
        <v>96</v>
      </c>
      <c r="E337" s="356" t="s">
        <v>640</v>
      </c>
      <c r="F337" s="356" t="str">
        <f t="shared" si="18"/>
        <v>I</v>
      </c>
      <c r="G337" s="28">
        <f>+IF(F337="i",IFERROR(VLOOKUP(C337,'BG 12.2024'!$B:$E,3,FALSE),0),0)</f>
        <v>0</v>
      </c>
      <c r="H337" s="21">
        <f>+IF(F337="i",IFERROR(VLOOKUP(C337,'BG 12.2024'!$B:$E,4,FALSE),0),0)</f>
        <v>0</v>
      </c>
      <c r="I337" s="21"/>
      <c r="J337" s="28">
        <f>+IF(F337="i",IFERROR(VLOOKUP(C337,'BG 2023'!$B:$E,3,FALSE),0),0)</f>
        <v>8636699</v>
      </c>
      <c r="K337" s="840">
        <f>+IF(F337="i",IFERROR(VLOOKUP(C337,'BG 2023'!$B:$E,4,FALSE),0),0)</f>
        <v>1189.0399999999972</v>
      </c>
      <c r="M337" s="15">
        <f>+VLOOKUP(C337,'BG 2023'!$B:$E,1,0)</f>
        <v>1140224118</v>
      </c>
      <c r="N337" s="806">
        <f>+VLOOKUP(C337,'BG 2023'!$B:$E,3,0)</f>
        <v>8636699</v>
      </c>
      <c r="O337" s="807">
        <f t="shared" si="16"/>
        <v>8636699</v>
      </c>
      <c r="P337" s="807"/>
      <c r="R337" s="807">
        <f>+IFERROR(VLOOKUP(C337,'CA FE'!$A:$C,3,0),0)-G337</f>
        <v>0</v>
      </c>
    </row>
    <row r="338" spans="1:18" ht="12" customHeight="1">
      <c r="A338" s="354" t="s">
        <v>10</v>
      </c>
      <c r="B338" s="354"/>
      <c r="C338" s="355">
        <v>1140224119</v>
      </c>
      <c r="D338" s="354" t="s">
        <v>92</v>
      </c>
      <c r="E338" s="356" t="s">
        <v>634</v>
      </c>
      <c r="F338" s="356" t="str">
        <f t="shared" si="18"/>
        <v>I</v>
      </c>
      <c r="G338" s="28">
        <f>+IF(F338="i",IFERROR(VLOOKUP(C338,'BG 12.2024'!$B:$E,3,FALSE),0),0)</f>
        <v>0</v>
      </c>
      <c r="H338" s="21">
        <f>+IF(F338="i",IFERROR(VLOOKUP(C338,'BG 12.2024'!$B:$E,4,FALSE),0),0)</f>
        <v>0</v>
      </c>
      <c r="I338" s="21"/>
      <c r="J338" s="28">
        <f>+IF(F338="i",IFERROR(VLOOKUP(C338,'BG 2023'!$B:$E,3,FALSE),0),0)</f>
        <v>0</v>
      </c>
      <c r="K338" s="21">
        <f>+IF(F338="i",IFERROR(VLOOKUP(C338,'BG 2023'!$B:$E,4,FALSE),0),0)</f>
        <v>0</v>
      </c>
      <c r="M338" s="15" t="e">
        <f>+VLOOKUP(C338,'BG 2023'!$B:$E,1,0)</f>
        <v>#N/A</v>
      </c>
      <c r="N338" s="806" t="e">
        <f>+VLOOKUP(C338,'BG 2023'!$B:$E,3,0)</f>
        <v>#N/A</v>
      </c>
      <c r="O338" s="807" t="e">
        <f t="shared" si="16"/>
        <v>#N/A</v>
      </c>
      <c r="P338" s="807"/>
      <c r="R338" s="807">
        <f>+IFERROR(VLOOKUP(C338,'CA FE'!$A:$C,3,0),0)-G338</f>
        <v>0</v>
      </c>
    </row>
    <row r="339" spans="1:18" ht="12" customHeight="1">
      <c r="A339" s="354" t="s">
        <v>10</v>
      </c>
      <c r="B339" s="354"/>
      <c r="C339" s="355">
        <v>1140224120</v>
      </c>
      <c r="D339" s="354" t="s">
        <v>93</v>
      </c>
      <c r="E339" s="356" t="s">
        <v>640</v>
      </c>
      <c r="F339" s="356" t="str">
        <f t="shared" si="18"/>
        <v>I</v>
      </c>
      <c r="G339" s="28">
        <f>+IF(F339="i",IFERROR(VLOOKUP(C339,'BG 12.2024'!$B:$E,3,FALSE),0),0)</f>
        <v>0</v>
      </c>
      <c r="H339" s="21">
        <f>+IF(F339="i",IFERROR(VLOOKUP(C339,'BG 12.2024'!$B:$E,4,FALSE),0),0)</f>
        <v>0</v>
      </c>
      <c r="I339" s="21"/>
      <c r="J339" s="28">
        <f>+IF(F339="i",IFERROR(VLOOKUP(C339,'BG 2023'!$B:$E,3,FALSE),0),0)</f>
        <v>0</v>
      </c>
      <c r="K339" s="21">
        <f>+IF(F339="i",IFERROR(VLOOKUP(C339,'BG 2023'!$B:$E,4,FALSE),0),0)</f>
        <v>0</v>
      </c>
      <c r="M339" s="15" t="e">
        <f>+VLOOKUP(C339,'BG 2023'!$B:$E,1,0)</f>
        <v>#N/A</v>
      </c>
      <c r="N339" s="806" t="e">
        <f>+VLOOKUP(C339,'BG 2023'!$B:$E,3,0)</f>
        <v>#N/A</v>
      </c>
      <c r="O339" s="807" t="e">
        <f t="shared" si="16"/>
        <v>#N/A</v>
      </c>
      <c r="P339" s="807"/>
      <c r="R339" s="807">
        <f>+IFERROR(VLOOKUP(C339,'CA FE'!$A:$C,3,0),0)-G339</f>
        <v>0</v>
      </c>
    </row>
    <row r="340" spans="1:18" ht="12" customHeight="1">
      <c r="A340" s="354" t="s">
        <v>10</v>
      </c>
      <c r="B340" s="354"/>
      <c r="C340" s="355">
        <v>1140224121</v>
      </c>
      <c r="D340" s="354" t="s">
        <v>737</v>
      </c>
      <c r="E340" s="356" t="s">
        <v>634</v>
      </c>
      <c r="F340" s="356" t="str">
        <f t="shared" si="18"/>
        <v>I</v>
      </c>
      <c r="G340" s="28">
        <f>+IF(F340="i",IFERROR(VLOOKUP(C340,'BG 12.2024'!$B:$E,3,FALSE),0),0)</f>
        <v>0</v>
      </c>
      <c r="H340" s="21">
        <f>+IF(F340="i",IFERROR(VLOOKUP(C340,'BG 12.2024'!$B:$E,4,FALSE),0),0)</f>
        <v>0</v>
      </c>
      <c r="I340" s="21"/>
      <c r="J340" s="28">
        <f>+IF(F340="i",IFERROR(VLOOKUP(C340,'BG 2023'!$B:$E,3,FALSE),0),0)</f>
        <v>0</v>
      </c>
      <c r="K340" s="21">
        <f>+IF(F340="i",IFERROR(VLOOKUP(C340,'BG 2023'!$B:$E,4,FALSE),0),0)</f>
        <v>0</v>
      </c>
      <c r="M340" s="15" t="e">
        <f>+VLOOKUP(C340,'BG 2023'!$B:$E,1,0)</f>
        <v>#N/A</v>
      </c>
      <c r="N340" s="806" t="e">
        <f>+VLOOKUP(C340,'BG 2023'!$B:$E,3,0)</f>
        <v>#N/A</v>
      </c>
      <c r="O340" s="807" t="e">
        <f t="shared" si="16"/>
        <v>#N/A</v>
      </c>
      <c r="P340" s="807"/>
      <c r="R340" s="807">
        <f>+IFERROR(VLOOKUP(C340,'CA FE'!$A:$C,3,0),0)-G340</f>
        <v>0</v>
      </c>
    </row>
    <row r="341" spans="1:18" ht="12" customHeight="1">
      <c r="A341" s="354" t="s">
        <v>10</v>
      </c>
      <c r="B341" s="354"/>
      <c r="C341" s="355">
        <v>1140224122</v>
      </c>
      <c r="D341" s="354" t="s">
        <v>738</v>
      </c>
      <c r="E341" s="356" t="s">
        <v>640</v>
      </c>
      <c r="F341" s="356" t="str">
        <f t="shared" si="18"/>
        <v>I</v>
      </c>
      <c r="G341" s="28">
        <f>+IF(F341="i",IFERROR(VLOOKUP(C341,'BG 12.2024'!$B:$E,3,FALSE),0),0)</f>
        <v>0</v>
      </c>
      <c r="H341" s="21">
        <f>+IF(F341="i",IFERROR(VLOOKUP(C341,'BG 12.2024'!$B:$E,4,FALSE),0),0)</f>
        <v>0</v>
      </c>
      <c r="I341" s="21"/>
      <c r="J341" s="28">
        <f>+IF(F341="i",IFERROR(VLOOKUP(C341,'BG 2023'!$B:$E,3,FALSE),0),0)</f>
        <v>0</v>
      </c>
      <c r="K341" s="21">
        <f>+IF(F341="i",IFERROR(VLOOKUP(C341,'BG 2023'!$B:$E,4,FALSE),0),0)</f>
        <v>0</v>
      </c>
      <c r="M341" s="15" t="e">
        <f>+VLOOKUP(C341,'BG 2023'!$B:$E,1,0)</f>
        <v>#N/A</v>
      </c>
      <c r="N341" s="806" t="e">
        <f>+VLOOKUP(C341,'BG 2023'!$B:$E,3,0)</f>
        <v>#N/A</v>
      </c>
      <c r="O341" s="807" t="e">
        <f t="shared" si="16"/>
        <v>#N/A</v>
      </c>
      <c r="P341" s="807"/>
      <c r="R341" s="807">
        <f>+IFERROR(VLOOKUP(C341,'CA FE'!$A:$C,3,0),0)-G341</f>
        <v>0</v>
      </c>
    </row>
    <row r="342" spans="1:18" ht="12" customHeight="1">
      <c r="A342" s="354" t="s">
        <v>10</v>
      </c>
      <c r="B342" s="354"/>
      <c r="C342" s="355">
        <v>1140224123</v>
      </c>
      <c r="D342" s="354" t="s">
        <v>733</v>
      </c>
      <c r="E342" s="356" t="s">
        <v>634</v>
      </c>
      <c r="F342" s="356" t="str">
        <f t="shared" si="18"/>
        <v>I</v>
      </c>
      <c r="G342" s="28">
        <f>+IF(F342="i",IFERROR(VLOOKUP(C342,'BG 12.2024'!$B:$E,3,FALSE),0),0)</f>
        <v>0</v>
      </c>
      <c r="H342" s="21">
        <f>+IF(F342="i",IFERROR(VLOOKUP(C342,'BG 12.2024'!$B:$E,4,FALSE),0),0)</f>
        <v>0</v>
      </c>
      <c r="I342" s="21"/>
      <c r="J342" s="28">
        <f>+IF(F342="i",IFERROR(VLOOKUP(C342,'BG 2023'!$B:$E,3,FALSE),0),0)</f>
        <v>0</v>
      </c>
      <c r="K342" s="21">
        <f>+IF(F342="i",IFERROR(VLOOKUP(C342,'BG 2023'!$B:$E,4,FALSE),0),0)</f>
        <v>0</v>
      </c>
      <c r="M342" s="15" t="e">
        <f>+VLOOKUP(C342,'BG 2023'!$B:$E,1,0)</f>
        <v>#N/A</v>
      </c>
      <c r="N342" s="806" t="e">
        <f>+VLOOKUP(C342,'BG 2023'!$B:$E,3,0)</f>
        <v>#N/A</v>
      </c>
      <c r="O342" s="807" t="e">
        <f t="shared" si="16"/>
        <v>#N/A</v>
      </c>
      <c r="P342" s="807"/>
      <c r="R342" s="807">
        <f>+IFERROR(VLOOKUP(C342,'CA FE'!$A:$C,3,0),0)-G342</f>
        <v>0</v>
      </c>
    </row>
    <row r="343" spans="1:18" ht="12" customHeight="1">
      <c r="A343" s="354" t="s">
        <v>10</v>
      </c>
      <c r="B343" s="354"/>
      <c r="C343" s="355">
        <v>1140224124</v>
      </c>
      <c r="D343" s="354" t="s">
        <v>734</v>
      </c>
      <c r="E343" s="356" t="s">
        <v>640</v>
      </c>
      <c r="F343" s="356" t="str">
        <f t="shared" si="18"/>
        <v>I</v>
      </c>
      <c r="G343" s="28">
        <f>+IF(F343="i",IFERROR(VLOOKUP(C343,'BG 12.2024'!$B:$E,3,FALSE),0),0)</f>
        <v>0</v>
      </c>
      <c r="H343" s="21">
        <f>+IF(F343="i",IFERROR(VLOOKUP(C343,'BG 12.2024'!$B:$E,4,FALSE),0),0)</f>
        <v>0</v>
      </c>
      <c r="I343" s="21"/>
      <c r="J343" s="28">
        <f>+IF(F343="i",IFERROR(VLOOKUP(C343,'BG 2023'!$B:$E,3,FALSE),0),0)</f>
        <v>0</v>
      </c>
      <c r="K343" s="21">
        <f>+IF(F343="i",IFERROR(VLOOKUP(C343,'BG 2023'!$B:$E,4,FALSE),0),0)</f>
        <v>0</v>
      </c>
      <c r="M343" s="15" t="e">
        <f>+VLOOKUP(C343,'BG 2023'!$B:$E,1,0)</f>
        <v>#N/A</v>
      </c>
      <c r="N343" s="806" t="e">
        <f>+VLOOKUP(C343,'BG 2023'!$B:$E,3,0)</f>
        <v>#N/A</v>
      </c>
      <c r="O343" s="807" t="e">
        <f t="shared" si="16"/>
        <v>#N/A</v>
      </c>
      <c r="P343" s="807"/>
      <c r="R343" s="807">
        <f>+IFERROR(VLOOKUP(C343,'CA FE'!$A:$C,3,0),0)-G343</f>
        <v>0</v>
      </c>
    </row>
    <row r="344" spans="1:18" ht="12" customHeight="1">
      <c r="A344" s="354" t="s">
        <v>10</v>
      </c>
      <c r="B344" s="354"/>
      <c r="C344" s="355">
        <v>1140224125</v>
      </c>
      <c r="D344" s="354" t="s">
        <v>739</v>
      </c>
      <c r="E344" s="356" t="s">
        <v>634</v>
      </c>
      <c r="F344" s="356" t="str">
        <f t="shared" si="18"/>
        <v>I</v>
      </c>
      <c r="G344" s="28">
        <f>+IF(F344="i",IFERROR(VLOOKUP(C344,'BG 12.2024'!$B:$E,3,FALSE),0),0)</f>
        <v>0</v>
      </c>
      <c r="H344" s="21">
        <f>+IF(F344="i",IFERROR(VLOOKUP(C344,'BG 12.2024'!$B:$E,4,FALSE),0),0)</f>
        <v>0</v>
      </c>
      <c r="I344" s="21"/>
      <c r="J344" s="28">
        <f>+IF(F344="i",IFERROR(VLOOKUP(C344,'BG 2023'!$B:$E,3,FALSE),0),0)</f>
        <v>0</v>
      </c>
      <c r="K344" s="21">
        <f>+IF(F344="i",IFERROR(VLOOKUP(C344,'BG 2023'!$B:$E,4,FALSE),0),0)</f>
        <v>0</v>
      </c>
      <c r="M344" s="15" t="e">
        <f>+VLOOKUP(C344,'BG 2023'!$B:$E,1,0)</f>
        <v>#N/A</v>
      </c>
      <c r="N344" s="806" t="e">
        <f>+VLOOKUP(C344,'BG 2023'!$B:$E,3,0)</f>
        <v>#N/A</v>
      </c>
      <c r="O344" s="807" t="e">
        <f t="shared" si="16"/>
        <v>#N/A</v>
      </c>
      <c r="P344" s="807"/>
      <c r="R344" s="807">
        <f>+IFERROR(VLOOKUP(C344,'CA FE'!$A:$C,3,0),0)-G344</f>
        <v>0</v>
      </c>
    </row>
    <row r="345" spans="1:18" ht="12" customHeight="1">
      <c r="A345" s="354" t="s">
        <v>10</v>
      </c>
      <c r="B345" s="354"/>
      <c r="C345" s="355">
        <v>1140224126</v>
      </c>
      <c r="D345" s="354" t="s">
        <v>739</v>
      </c>
      <c r="E345" s="356" t="s">
        <v>634</v>
      </c>
      <c r="F345" s="356" t="str">
        <f t="shared" si="18"/>
        <v>I</v>
      </c>
      <c r="G345" s="28">
        <f>+IF(F345="i",IFERROR(VLOOKUP(C345,'BG 12.2024'!$B:$E,3,FALSE),0),0)</f>
        <v>0</v>
      </c>
      <c r="H345" s="21">
        <f>+IF(F345="i",IFERROR(VLOOKUP(C345,'BG 12.2024'!$B:$E,4,FALSE),0),0)</f>
        <v>0</v>
      </c>
      <c r="I345" s="21"/>
      <c r="J345" s="28">
        <f>+IF(F345="i",IFERROR(VLOOKUP(C345,'BG 2023'!$B:$E,3,FALSE),0),0)</f>
        <v>0</v>
      </c>
      <c r="K345" s="21">
        <f>+IF(F345="i",IFERROR(VLOOKUP(C345,'BG 2023'!$B:$E,4,FALSE),0),0)</f>
        <v>0</v>
      </c>
      <c r="M345" s="15" t="e">
        <f>+VLOOKUP(C345,'BG 2023'!$B:$E,1,0)</f>
        <v>#N/A</v>
      </c>
      <c r="N345" s="806" t="e">
        <f>+VLOOKUP(C345,'BG 2023'!$B:$E,3,0)</f>
        <v>#N/A</v>
      </c>
      <c r="O345" s="807" t="e">
        <f t="shared" si="16"/>
        <v>#N/A</v>
      </c>
      <c r="P345" s="807"/>
      <c r="R345" s="807">
        <f>+IFERROR(VLOOKUP(C345,'CA FE'!$A:$C,3,0),0)-G345</f>
        <v>0</v>
      </c>
    </row>
    <row r="346" spans="1:18" ht="12" customHeight="1">
      <c r="A346" s="354" t="s">
        <v>10</v>
      </c>
      <c r="B346" s="354"/>
      <c r="C346" s="355">
        <v>1140224127</v>
      </c>
      <c r="D346" s="354" t="s">
        <v>740</v>
      </c>
      <c r="E346" s="356" t="s">
        <v>634</v>
      </c>
      <c r="F346" s="356" t="str">
        <f t="shared" si="18"/>
        <v>I</v>
      </c>
      <c r="G346" s="28">
        <f>+IF(F346="i",IFERROR(VLOOKUP(C346,'BG 12.2024'!$B:$E,3,FALSE),0),0)</f>
        <v>0</v>
      </c>
      <c r="H346" s="21">
        <f>+IF(F346="i",IFERROR(VLOOKUP(C346,'BG 12.2024'!$B:$E,4,FALSE),0),0)</f>
        <v>0</v>
      </c>
      <c r="I346" s="21"/>
      <c r="J346" s="28">
        <f>+IF(F346="i",IFERROR(VLOOKUP(C346,'BG 2023'!$B:$E,3,FALSE),0),0)</f>
        <v>0</v>
      </c>
      <c r="K346" s="21">
        <f>+IF(F346="i",IFERROR(VLOOKUP(C346,'BG 2023'!$B:$E,4,FALSE),0),0)</f>
        <v>0</v>
      </c>
      <c r="M346" s="15" t="e">
        <f>+VLOOKUP(C346,'BG 2023'!$B:$E,1,0)</f>
        <v>#N/A</v>
      </c>
      <c r="N346" s="806" t="e">
        <f>+VLOOKUP(C346,'BG 2023'!$B:$E,3,0)</f>
        <v>#N/A</v>
      </c>
      <c r="O346" s="807" t="e">
        <f t="shared" si="16"/>
        <v>#N/A</v>
      </c>
      <c r="P346" s="807"/>
      <c r="R346" s="807">
        <f>+IFERROR(VLOOKUP(C346,'CA FE'!$A:$C,3,0),0)-G346</f>
        <v>0</v>
      </c>
    </row>
    <row r="347" spans="1:18" ht="12" customHeight="1">
      <c r="A347" s="354" t="s">
        <v>10</v>
      </c>
      <c r="B347" s="354"/>
      <c r="C347" s="355">
        <v>1140224128</v>
      </c>
      <c r="D347" s="354" t="s">
        <v>740</v>
      </c>
      <c r="E347" s="356" t="s">
        <v>634</v>
      </c>
      <c r="F347" s="356" t="str">
        <f t="shared" si="18"/>
        <v>I</v>
      </c>
      <c r="G347" s="28">
        <f>+IF(F347="i",IFERROR(VLOOKUP(C347,'BG 12.2024'!$B:$E,3,FALSE),0),0)</f>
        <v>0</v>
      </c>
      <c r="H347" s="21">
        <f>+IF(F347="i",IFERROR(VLOOKUP(C347,'BG 12.2024'!$B:$E,4,FALSE),0),0)</f>
        <v>0</v>
      </c>
      <c r="I347" s="21"/>
      <c r="J347" s="28">
        <f>+IF(F347="i",IFERROR(VLOOKUP(C347,'BG 2023'!$B:$E,3,FALSE),0),0)</f>
        <v>0</v>
      </c>
      <c r="K347" s="21">
        <f>+IF(F347="i",IFERROR(VLOOKUP(C347,'BG 2023'!$B:$E,4,FALSE),0),0)</f>
        <v>0</v>
      </c>
      <c r="M347" s="15" t="e">
        <f>+VLOOKUP(C347,'BG 2023'!$B:$E,1,0)</f>
        <v>#N/A</v>
      </c>
      <c r="N347" s="806" t="e">
        <f>+VLOOKUP(C347,'BG 2023'!$B:$E,3,0)</f>
        <v>#N/A</v>
      </c>
      <c r="O347" s="807" t="e">
        <f t="shared" si="16"/>
        <v>#N/A</v>
      </c>
      <c r="P347" s="807"/>
      <c r="R347" s="807">
        <f>+IFERROR(VLOOKUP(C347,'CA FE'!$A:$C,3,0),0)-G347</f>
        <v>0</v>
      </c>
    </row>
    <row r="348" spans="1:18" ht="12" customHeight="1">
      <c r="A348" s="354" t="s">
        <v>10</v>
      </c>
      <c r="B348" s="354" t="s">
        <v>688</v>
      </c>
      <c r="C348" s="355">
        <v>1140224129</v>
      </c>
      <c r="D348" s="354" t="s">
        <v>530</v>
      </c>
      <c r="E348" s="356" t="s">
        <v>634</v>
      </c>
      <c r="F348" s="356" t="str">
        <f t="shared" si="18"/>
        <v>I</v>
      </c>
      <c r="G348" s="28">
        <f>+IF(F348="i",IFERROR(VLOOKUP(C348,'BG 12.2024'!$B:$E,3,FALSE),0),0)</f>
        <v>561815068</v>
      </c>
      <c r="H348" s="21">
        <f>+IF(F348="i",IFERROR(VLOOKUP(C348,'BG 12.2024'!$B:$E,4,FALSE),0),0)</f>
        <v>71740.05999999959</v>
      </c>
      <c r="I348" s="21"/>
      <c r="J348" s="28">
        <f>+IF(F348="i",IFERROR(VLOOKUP(C348,'BG 2023'!$B:$E,3,FALSE),0),0)</f>
        <v>0</v>
      </c>
      <c r="K348" s="21">
        <f>+IF(F348="i",IFERROR(VLOOKUP(C348,'BG 2023'!$B:$E,4,FALSE),0),0)</f>
        <v>0</v>
      </c>
      <c r="M348" s="15" t="e">
        <f>+VLOOKUP(C348,'BG 2023'!$B:$E,1,0)</f>
        <v>#N/A</v>
      </c>
      <c r="N348" s="806" t="e">
        <f>+VLOOKUP(C348,'BG 2023'!$B:$E,3,0)</f>
        <v>#N/A</v>
      </c>
      <c r="O348" s="807" t="e">
        <f t="shared" ref="O348:O411" si="20">+N348-G348</f>
        <v>#N/A</v>
      </c>
      <c r="P348" s="807"/>
      <c r="R348" s="807">
        <f>+IFERROR(VLOOKUP(C348,'CA FE'!$A:$C,3,0),0)-G348</f>
        <v>0</v>
      </c>
    </row>
    <row r="349" spans="1:18" ht="12" customHeight="1">
      <c r="A349" s="354" t="s">
        <v>10</v>
      </c>
      <c r="B349" s="354"/>
      <c r="C349" s="355">
        <v>1140224130</v>
      </c>
      <c r="D349" s="354" t="s">
        <v>741</v>
      </c>
      <c r="E349" s="356" t="s">
        <v>640</v>
      </c>
      <c r="F349" s="356" t="str">
        <f t="shared" si="18"/>
        <v>I</v>
      </c>
      <c r="G349" s="28">
        <f>+IF(F349="i",IFERROR(VLOOKUP(C349,'BG 12.2024'!$B:$E,3,FALSE),0),0)</f>
        <v>0</v>
      </c>
      <c r="H349" s="21">
        <f>+IF(F349="i",IFERROR(VLOOKUP(C349,'BG 12.2024'!$B:$E,4,FALSE),0),0)</f>
        <v>0</v>
      </c>
      <c r="I349" s="21"/>
      <c r="J349" s="28">
        <f>+IF(F349="i",IFERROR(VLOOKUP(C349,'BG 2023'!$B:$E,3,FALSE),0),0)</f>
        <v>0</v>
      </c>
      <c r="K349" s="21">
        <f>+IF(F349="i",IFERROR(VLOOKUP(C349,'BG 2023'!$B:$E,4,FALSE),0),0)</f>
        <v>0</v>
      </c>
      <c r="M349" s="15" t="e">
        <f>+VLOOKUP(C349,'BG 2023'!$B:$E,1,0)</f>
        <v>#N/A</v>
      </c>
      <c r="N349" s="806" t="e">
        <f>+VLOOKUP(C349,'BG 2023'!$B:$E,3,0)</f>
        <v>#N/A</v>
      </c>
      <c r="O349" s="807" t="e">
        <f t="shared" si="20"/>
        <v>#N/A</v>
      </c>
      <c r="P349" s="807"/>
      <c r="R349" s="807">
        <f>+IFERROR(VLOOKUP(C349,'CA FE'!$A:$C,3,0),0)-G349</f>
        <v>0</v>
      </c>
    </row>
    <row r="350" spans="1:18" ht="12" customHeight="1">
      <c r="A350" s="354" t="s">
        <v>10</v>
      </c>
      <c r="B350" s="354"/>
      <c r="C350" s="355">
        <v>11402242</v>
      </c>
      <c r="D350" s="354" t="s">
        <v>97</v>
      </c>
      <c r="E350" s="356" t="s">
        <v>634</v>
      </c>
      <c r="F350" s="356" t="str">
        <f t="shared" si="18"/>
        <v>NI</v>
      </c>
      <c r="G350" s="28">
        <f>+IF(F350="i",IFERROR(VLOOKUP(C350,'BG 12.2024'!$B:$E,3,FALSE),0),0)</f>
        <v>0</v>
      </c>
      <c r="H350" s="21">
        <f>+IF(F350="i",IFERROR(VLOOKUP(C350,'BG 12.2024'!$B:$E,4,FALSE),0),0)</f>
        <v>0</v>
      </c>
      <c r="I350" s="21"/>
      <c r="J350" s="28">
        <f>+IF(F350="i",IFERROR(VLOOKUP(C350,'BG 2023'!$B:$E,3,FALSE),0),0)</f>
        <v>0</v>
      </c>
      <c r="K350" s="21">
        <f>+IF(F350="i",IFERROR(VLOOKUP(C350,'BG 2023'!$B:$E,4,FALSE),0),0)</f>
        <v>0</v>
      </c>
      <c r="M350" s="15">
        <f>+VLOOKUP(C350,'BG 2023'!$B:$E,1,0)</f>
        <v>11402242</v>
      </c>
      <c r="N350" s="806">
        <f>+VLOOKUP(C350,'BG 2023'!$B:$E,3,0)</f>
        <v>-4134539940</v>
      </c>
      <c r="O350" s="807">
        <f t="shared" si="20"/>
        <v>-4134539940</v>
      </c>
      <c r="P350" s="807"/>
      <c r="R350" s="807">
        <f>+IFERROR(VLOOKUP(C350,'CA FE'!$A:$C,3,0),0)-G350</f>
        <v>0</v>
      </c>
    </row>
    <row r="351" spans="1:18" ht="12" customHeight="1">
      <c r="A351" s="354" t="s">
        <v>10</v>
      </c>
      <c r="B351" s="354" t="s">
        <v>688</v>
      </c>
      <c r="C351" s="355">
        <v>1140224201</v>
      </c>
      <c r="D351" s="354" t="s">
        <v>98</v>
      </c>
      <c r="E351" s="356" t="s">
        <v>634</v>
      </c>
      <c r="F351" s="356" t="str">
        <f t="shared" si="18"/>
        <v>I</v>
      </c>
      <c r="G351" s="28">
        <f>+IF(F351="i",IFERROR(VLOOKUP(C351,'BG 12.2024'!$B:$E,3,FALSE),0),0)</f>
        <v>-719525582</v>
      </c>
      <c r="H351" s="21">
        <f>+IF(F351="i",IFERROR(VLOOKUP(C351,'BG 12.2024'!$B:$E,4,FALSE),0),0)</f>
        <v>-91878.649999999907</v>
      </c>
      <c r="I351" s="21"/>
      <c r="J351" s="28">
        <f>+IF(F351="i",IFERROR(VLOOKUP(C351,'BG 2023'!$B:$E,3,FALSE),0),0)</f>
        <v>-934172412</v>
      </c>
      <c r="K351" s="21">
        <f>+IF(F351="i",IFERROR(VLOOKUP(C351,'BG 2023'!$B:$E,4,FALSE),0),0)</f>
        <v>-128610.28999999998</v>
      </c>
      <c r="M351" s="15">
        <f>+VLOOKUP(C351,'BG 2023'!$B:$E,1,0)</f>
        <v>1140224201</v>
      </c>
      <c r="N351" s="806">
        <f>+VLOOKUP(C351,'BG 2023'!$B:$E,3,0)</f>
        <v>-934172412</v>
      </c>
      <c r="O351" s="807">
        <f t="shared" si="20"/>
        <v>-214646830</v>
      </c>
      <c r="P351" s="807"/>
      <c r="R351" s="807">
        <f>+IFERROR(VLOOKUP(C351,'CA FE'!$A:$C,3,0),0)-G351</f>
        <v>0</v>
      </c>
    </row>
    <row r="352" spans="1:18" ht="12" customHeight="1">
      <c r="A352" s="354" t="s">
        <v>10</v>
      </c>
      <c r="B352" s="354" t="s">
        <v>688</v>
      </c>
      <c r="C352" s="355">
        <v>1140224202</v>
      </c>
      <c r="D352" s="354" t="s">
        <v>742</v>
      </c>
      <c r="E352" s="356" t="s">
        <v>640</v>
      </c>
      <c r="F352" s="356" t="str">
        <f t="shared" ref="F352:F417" si="21">+IF(LEN(C352)&gt;8,"I","NI")</f>
        <v>I</v>
      </c>
      <c r="G352" s="28">
        <f>+IF(F352="i",IFERROR(VLOOKUP(C352,'BG 12.2024'!$B:$E,3,FALSE),0),0)</f>
        <v>-345283464</v>
      </c>
      <c r="H352" s="1229">
        <f>+IF(F352="i",IFERROR(VLOOKUP(C352,'BG 12.2024'!$B:$E,4,FALSE),0),0)</f>
        <v>-44090.41</v>
      </c>
      <c r="I352" s="21"/>
      <c r="J352" s="28">
        <f>+IF(F352="i",IFERROR(VLOOKUP(C352,'BG 2023'!$B:$E,3,FALSE),0),0)</f>
        <v>0</v>
      </c>
      <c r="K352" s="21">
        <f>+IF(F352="i",IFERROR(VLOOKUP(C352,'BG 2023'!$B:$E,4,FALSE),0),0)</f>
        <v>0</v>
      </c>
      <c r="M352" s="15" t="e">
        <f>+VLOOKUP(C352,'BG 2023'!$B:$E,1,0)</f>
        <v>#N/A</v>
      </c>
      <c r="N352" s="806" t="e">
        <f>+VLOOKUP(C352,'BG 2023'!$B:$E,3,0)</f>
        <v>#N/A</v>
      </c>
      <c r="O352" s="807" t="e">
        <f t="shared" si="20"/>
        <v>#N/A</v>
      </c>
      <c r="P352" s="807"/>
      <c r="R352" s="807">
        <f>+IFERROR(VLOOKUP(C352,'CA FE'!$A:$C,3,0),0)-G352</f>
        <v>0</v>
      </c>
    </row>
    <row r="353" spans="1:18" ht="12" customHeight="1">
      <c r="A353" s="354" t="s">
        <v>10</v>
      </c>
      <c r="B353" s="354" t="s">
        <v>688</v>
      </c>
      <c r="C353" s="355">
        <v>1140224203</v>
      </c>
      <c r="D353" s="354" t="s">
        <v>576</v>
      </c>
      <c r="E353" s="356" t="s">
        <v>634</v>
      </c>
      <c r="F353" s="356" t="str">
        <f t="shared" si="21"/>
        <v>I</v>
      </c>
      <c r="G353" s="28">
        <f>+IF(F353="i",IFERROR(VLOOKUP(C353,'BG 12.2024'!$B:$E,3,FALSE),0),0)</f>
        <v>-786766932</v>
      </c>
      <c r="H353" s="21">
        <f>+IF(F353="i",IFERROR(VLOOKUP(C353,'BG 12.2024'!$B:$E,4,FALSE),0),0)</f>
        <v>-100464.91999999993</v>
      </c>
      <c r="I353" s="21"/>
      <c r="J353" s="28">
        <f>+IF(F353="i",IFERROR(VLOOKUP(C353,'BG 2023'!$B:$E,3,FALSE),0),0)</f>
        <v>0</v>
      </c>
      <c r="K353" s="21">
        <f>+IF(F353="i",IFERROR(VLOOKUP(C353,'BG 2023'!$B:$E,4,FALSE),0),0)</f>
        <v>0</v>
      </c>
      <c r="M353" s="15" t="e">
        <f>+VLOOKUP(C353,'BG 2023'!$B:$E,1,0)</f>
        <v>#N/A</v>
      </c>
      <c r="N353" s="806" t="e">
        <f>+VLOOKUP(C353,'BG 2023'!$B:$E,3,0)</f>
        <v>#N/A</v>
      </c>
      <c r="O353" s="807" t="e">
        <f t="shared" si="20"/>
        <v>#N/A</v>
      </c>
      <c r="P353" s="807"/>
      <c r="R353" s="807">
        <f>+IFERROR(VLOOKUP(C353,'CA FE'!$A:$C,3,0),0)-G353</f>
        <v>0</v>
      </c>
    </row>
    <row r="354" spans="1:18" ht="12" customHeight="1">
      <c r="A354" s="354" t="s">
        <v>10</v>
      </c>
      <c r="B354" s="354" t="s">
        <v>688</v>
      </c>
      <c r="C354" s="355">
        <v>1140224204</v>
      </c>
      <c r="D354" s="354" t="s">
        <v>531</v>
      </c>
      <c r="E354" s="356" t="s">
        <v>640</v>
      </c>
      <c r="F354" s="356" t="str">
        <f t="shared" si="21"/>
        <v>I</v>
      </c>
      <c r="G354" s="28">
        <f>+IF(F354="i",IFERROR(VLOOKUP(C354,'BG 12.2024'!$B:$E,3,FALSE),0),0)</f>
        <v>-328966486</v>
      </c>
      <c r="H354" s="1229">
        <f>+IF(F354="i",IFERROR(VLOOKUP(C354,'BG 12.2024'!$B:$E,4,FALSE),0),0)</f>
        <v>-42006.84</v>
      </c>
      <c r="I354" s="21"/>
      <c r="J354" s="28">
        <f>+IF(F354="i",IFERROR(VLOOKUP(C354,'BG 2023'!$B:$E,3,FALSE),0),0)</f>
        <v>0</v>
      </c>
      <c r="K354" s="21">
        <f>+IF(F354="i",IFERROR(VLOOKUP(C354,'BG 2023'!$B:$E,4,FALSE),0),0)</f>
        <v>0</v>
      </c>
      <c r="M354" s="15" t="e">
        <f>+VLOOKUP(C354,'BG 2023'!$B:$E,1,0)</f>
        <v>#N/A</v>
      </c>
      <c r="N354" s="806" t="e">
        <f>+VLOOKUP(C354,'BG 2023'!$B:$E,3,0)</f>
        <v>#N/A</v>
      </c>
      <c r="O354" s="807" t="e">
        <f t="shared" si="20"/>
        <v>#N/A</v>
      </c>
      <c r="P354" s="807"/>
      <c r="R354" s="807">
        <f>+IFERROR(VLOOKUP(C354,'CA FE'!$A:$C,3,0),0)-G354</f>
        <v>0</v>
      </c>
    </row>
    <row r="355" spans="1:18" ht="12" customHeight="1">
      <c r="A355" s="354" t="s">
        <v>10</v>
      </c>
      <c r="B355" s="354" t="s">
        <v>688</v>
      </c>
      <c r="C355" s="355">
        <v>1140224205</v>
      </c>
      <c r="D355" s="354" t="s">
        <v>99</v>
      </c>
      <c r="E355" s="356" t="s">
        <v>634</v>
      </c>
      <c r="F355" s="356" t="str">
        <f t="shared" si="21"/>
        <v>I</v>
      </c>
      <c r="G355" s="28">
        <f>+IF(F355="i",IFERROR(VLOOKUP(C355,'BG 12.2024'!$B:$E,3,FALSE),0),0)</f>
        <v>-1095621644</v>
      </c>
      <c r="H355" s="21">
        <f>+IF(F355="i",IFERROR(VLOOKUP(C355,'BG 12.2024'!$B:$E,4,FALSE),0),0)</f>
        <v>-139903.61999999918</v>
      </c>
      <c r="I355" s="21"/>
      <c r="J355" s="28">
        <f>+IF(F355="i",IFERROR(VLOOKUP(C355,'BG 2023'!$B:$E,3,FALSE),0),0)</f>
        <v>-1503071658</v>
      </c>
      <c r="K355" s="21">
        <f>+IF(F355="i",IFERROR(VLOOKUP(C355,'BG 2023'!$B:$E,4,FALSE),0),0)</f>
        <v>-206932.33999999985</v>
      </c>
      <c r="M355" s="15">
        <f>+VLOOKUP(C355,'BG 2023'!$B:$E,1,0)</f>
        <v>1140224205</v>
      </c>
      <c r="N355" s="806">
        <f>+VLOOKUP(C355,'BG 2023'!$B:$E,3,0)</f>
        <v>-1503071658</v>
      </c>
      <c r="O355" s="807">
        <f t="shared" si="20"/>
        <v>-407450014</v>
      </c>
      <c r="P355" s="807"/>
      <c r="R355" s="807">
        <f>+IFERROR(VLOOKUP(C355,'CA FE'!$A:$C,3,0),0)-G355</f>
        <v>0</v>
      </c>
    </row>
    <row r="356" spans="1:18" ht="12" customHeight="1">
      <c r="A356" s="354" t="s">
        <v>10</v>
      </c>
      <c r="B356" s="354" t="s">
        <v>688</v>
      </c>
      <c r="C356" s="355">
        <v>1140224206</v>
      </c>
      <c r="D356" s="354" t="s">
        <v>100</v>
      </c>
      <c r="E356" s="356" t="s">
        <v>640</v>
      </c>
      <c r="F356" s="356" t="str">
        <f t="shared" si="21"/>
        <v>I</v>
      </c>
      <c r="G356" s="28">
        <f>+IF(F356="i",IFERROR(VLOOKUP(C356,'BG 12.2024'!$B:$E,3,FALSE),0),0)</f>
        <v>-214001866</v>
      </c>
      <c r="H356" s="1229">
        <f>+IF(F356="i",IFERROR(VLOOKUP(C356,'BG 12.2024'!$B:$E,4,FALSE),0),0)</f>
        <v>-27326.61999999918</v>
      </c>
      <c r="I356" s="21"/>
      <c r="J356" s="28">
        <f>+IF(F356="i",IFERROR(VLOOKUP(C356,'BG 2023'!$B:$E,3,FALSE),0),0)</f>
        <v>-206221346</v>
      </c>
      <c r="K356" s="840">
        <f>+IF(F356="i",IFERROR(VLOOKUP(C356,'BG 2023'!$B:$E,4,FALSE),0),0)</f>
        <v>-28391.104999999981</v>
      </c>
      <c r="M356" s="15">
        <f>+VLOOKUP(C356,'BG 2023'!$B:$E,1,0)</f>
        <v>1140224206</v>
      </c>
      <c r="N356" s="806">
        <f>+VLOOKUP(C356,'BG 2023'!$B:$E,3,0)</f>
        <v>-206221346</v>
      </c>
      <c r="O356" s="807">
        <f t="shared" si="20"/>
        <v>7780520</v>
      </c>
      <c r="P356" s="807"/>
      <c r="R356" s="807">
        <f>+IFERROR(VLOOKUP(C356,'CA FE'!$A:$C,3,0),0)-G356</f>
        <v>0</v>
      </c>
    </row>
    <row r="357" spans="1:18" ht="12" customHeight="1">
      <c r="A357" s="354" t="s">
        <v>10</v>
      </c>
      <c r="B357" s="354" t="s">
        <v>688</v>
      </c>
      <c r="C357" s="355">
        <v>1140224207</v>
      </c>
      <c r="D357" s="354" t="s">
        <v>101</v>
      </c>
      <c r="E357" s="356" t="s">
        <v>634</v>
      </c>
      <c r="F357" s="356" t="str">
        <f t="shared" si="21"/>
        <v>I</v>
      </c>
      <c r="G357" s="28">
        <f>+IF(F357="i",IFERROR(VLOOKUP(C357,'BG 12.2024'!$B:$E,3,FALSE),0),0)</f>
        <v>-1231608756</v>
      </c>
      <c r="H357" s="21">
        <f>+IF(F357="i",IFERROR(VLOOKUP(C357,'BG 12.2024'!$B:$E,4,FALSE),0),0)</f>
        <v>-157268.28000000003</v>
      </c>
      <c r="I357" s="21"/>
      <c r="J357" s="28">
        <f>+IF(F357="i",IFERROR(VLOOKUP(C357,'BG 2023'!$B:$E,3,FALSE),0),0)</f>
        <v>-589580116</v>
      </c>
      <c r="K357" s="21">
        <f>+IF(F357="i",IFERROR(VLOOKUP(C357,'BG 2023'!$B:$E,4,FALSE),0),0)</f>
        <v>-81169.239999999991</v>
      </c>
      <c r="M357" s="15">
        <f>+VLOOKUP(C357,'BG 2023'!$B:$E,1,0)</f>
        <v>1140224207</v>
      </c>
      <c r="N357" s="806">
        <f>+VLOOKUP(C357,'BG 2023'!$B:$E,3,0)</f>
        <v>-589580116</v>
      </c>
      <c r="O357" s="807">
        <f t="shared" si="20"/>
        <v>642028640</v>
      </c>
      <c r="P357" s="807"/>
      <c r="R357" s="807">
        <f>+IFERROR(VLOOKUP(C357,'CA FE'!$A:$C,3,0),0)-G357</f>
        <v>0</v>
      </c>
    </row>
    <row r="358" spans="1:18" ht="12" customHeight="1">
      <c r="A358" s="354" t="s">
        <v>10</v>
      </c>
      <c r="B358" s="354" t="s">
        <v>688</v>
      </c>
      <c r="C358" s="355">
        <v>1140224208</v>
      </c>
      <c r="D358" s="354" t="s">
        <v>102</v>
      </c>
      <c r="E358" s="356" t="s">
        <v>640</v>
      </c>
      <c r="F358" s="356" t="str">
        <f t="shared" si="21"/>
        <v>I</v>
      </c>
      <c r="G358" s="28">
        <f>+IF(F358="i",IFERROR(VLOOKUP(C358,'BG 12.2024'!$B:$E,3,FALSE),0),0)</f>
        <v>0</v>
      </c>
      <c r="H358" s="21">
        <f>+IF(F358="i",IFERROR(VLOOKUP(C358,'BG 12.2024'!$B:$E,4,FALSE),0),0)</f>
        <v>0</v>
      </c>
      <c r="I358" s="21"/>
      <c r="J358" s="28">
        <f>+IF(F358="i",IFERROR(VLOOKUP(C358,'BG 2023'!$B:$E,3,FALSE),0),0)</f>
        <v>-475731297</v>
      </c>
      <c r="K358" s="840">
        <f>+IF(F358="i",IFERROR(VLOOKUP(C358,'BG 2023'!$B:$E,4,FALSE),0),0)</f>
        <v>-65495.340000000317</v>
      </c>
      <c r="M358" s="15">
        <f>+VLOOKUP(C358,'BG 2023'!$B:$E,1,0)</f>
        <v>1140224208</v>
      </c>
      <c r="N358" s="806">
        <f>+VLOOKUP(C358,'BG 2023'!$B:$E,3,0)</f>
        <v>-475731297</v>
      </c>
      <c r="O358" s="807">
        <f t="shared" si="20"/>
        <v>-475731297</v>
      </c>
      <c r="P358" s="807"/>
      <c r="R358" s="807">
        <f>+IFERROR(VLOOKUP(C358,'CA FE'!$A:$C,3,0),0)-G358</f>
        <v>0</v>
      </c>
    </row>
    <row r="359" spans="1:18" ht="12" customHeight="1">
      <c r="A359" s="354" t="s">
        <v>10</v>
      </c>
      <c r="B359" s="354"/>
      <c r="C359" s="355">
        <v>1140224209</v>
      </c>
      <c r="D359" s="354" t="s">
        <v>743</v>
      </c>
      <c r="E359" s="356" t="s">
        <v>634</v>
      </c>
      <c r="F359" s="356" t="str">
        <f t="shared" si="21"/>
        <v>I</v>
      </c>
      <c r="G359" s="28">
        <f>+IF(F359="i",IFERROR(VLOOKUP(C359,'BG 12.2024'!$B:$E,3,FALSE),0),0)</f>
        <v>0</v>
      </c>
      <c r="H359" s="21">
        <f>+IF(F359="i",IFERROR(VLOOKUP(C359,'BG 12.2024'!$B:$E,4,FALSE),0),0)</f>
        <v>0</v>
      </c>
      <c r="I359" s="21"/>
      <c r="J359" s="28">
        <f>+IF(F359="i",IFERROR(VLOOKUP(C359,'BG 2023'!$B:$E,3,FALSE),0),0)</f>
        <v>0</v>
      </c>
      <c r="K359" s="21">
        <f>+IF(F359="i",IFERROR(VLOOKUP(C359,'BG 2023'!$B:$E,4,FALSE),0),0)</f>
        <v>0</v>
      </c>
      <c r="M359" s="15" t="e">
        <f>+VLOOKUP(C359,'BG 2023'!$B:$E,1,0)</f>
        <v>#N/A</v>
      </c>
      <c r="N359" s="806" t="e">
        <f>+VLOOKUP(C359,'BG 2023'!$B:$E,3,0)</f>
        <v>#N/A</v>
      </c>
      <c r="O359" s="807" t="e">
        <f t="shared" si="20"/>
        <v>#N/A</v>
      </c>
      <c r="P359" s="807"/>
      <c r="R359" s="807">
        <f>+IFERROR(VLOOKUP(C359,'CA FE'!$A:$C,3,0),0)-G359</f>
        <v>0</v>
      </c>
    </row>
    <row r="360" spans="1:18" ht="12" customHeight="1">
      <c r="A360" s="354" t="s">
        <v>10</v>
      </c>
      <c r="B360" s="354"/>
      <c r="C360" s="355">
        <v>1140224210</v>
      </c>
      <c r="D360" s="354" t="s">
        <v>744</v>
      </c>
      <c r="E360" s="356" t="s">
        <v>640</v>
      </c>
      <c r="F360" s="356" t="str">
        <f t="shared" si="21"/>
        <v>I</v>
      </c>
      <c r="G360" s="28">
        <f>+IF(F360="i",IFERROR(VLOOKUP(C360,'BG 12.2024'!$B:$E,3,FALSE),0),0)</f>
        <v>0</v>
      </c>
      <c r="H360" s="21">
        <f>+IF(F360="i",IFERROR(VLOOKUP(C360,'BG 12.2024'!$B:$E,4,FALSE),0),0)</f>
        <v>0</v>
      </c>
      <c r="I360" s="21"/>
      <c r="J360" s="28">
        <f>+IF(F360="i",IFERROR(VLOOKUP(C360,'BG 2023'!$B:$E,3,FALSE),0),0)</f>
        <v>0</v>
      </c>
      <c r="K360" s="21">
        <f>+IF(F360="i",IFERROR(VLOOKUP(C360,'BG 2023'!$B:$E,4,FALSE),0),0)</f>
        <v>0</v>
      </c>
      <c r="M360" s="15" t="e">
        <f>+VLOOKUP(C360,'BG 2023'!$B:$E,1,0)</f>
        <v>#N/A</v>
      </c>
      <c r="N360" s="806" t="e">
        <f>+VLOOKUP(C360,'BG 2023'!$B:$E,3,0)</f>
        <v>#N/A</v>
      </c>
      <c r="O360" s="807" t="e">
        <f t="shared" si="20"/>
        <v>#N/A</v>
      </c>
      <c r="P360" s="807"/>
      <c r="R360" s="807">
        <f>+IFERROR(VLOOKUP(C360,'CA FE'!$A:$C,3,0),0)-G360</f>
        <v>0</v>
      </c>
    </row>
    <row r="361" spans="1:18" ht="12" customHeight="1">
      <c r="A361" s="354" t="s">
        <v>10</v>
      </c>
      <c r="B361" s="354"/>
      <c r="C361" s="355">
        <v>1140224211</v>
      </c>
      <c r="D361" s="354" t="s">
        <v>745</v>
      </c>
      <c r="E361" s="356" t="s">
        <v>634</v>
      </c>
      <c r="F361" s="356" t="str">
        <f t="shared" si="21"/>
        <v>I</v>
      </c>
      <c r="G361" s="28">
        <f>+IF(F361="i",IFERROR(VLOOKUP(C361,'BG 12.2024'!$B:$E,3,FALSE),0),0)</f>
        <v>0</v>
      </c>
      <c r="H361" s="21">
        <f>+IF(F361="i",IFERROR(VLOOKUP(C361,'BG 12.2024'!$B:$E,4,FALSE),0),0)</f>
        <v>0</v>
      </c>
      <c r="I361" s="21"/>
      <c r="J361" s="28">
        <f>+IF(F361="i",IFERROR(VLOOKUP(C361,'BG 2023'!$B:$E,3,FALSE),0),0)</f>
        <v>0</v>
      </c>
      <c r="K361" s="21">
        <f>+IF(F361="i",IFERROR(VLOOKUP(C361,'BG 2023'!$B:$E,4,FALSE),0),0)</f>
        <v>0</v>
      </c>
      <c r="M361" s="15" t="e">
        <f>+VLOOKUP(C361,'BG 2023'!$B:$E,1,0)</f>
        <v>#N/A</v>
      </c>
      <c r="N361" s="806" t="e">
        <f>+VLOOKUP(C361,'BG 2023'!$B:$E,3,0)</f>
        <v>#N/A</v>
      </c>
      <c r="O361" s="807" t="e">
        <f t="shared" si="20"/>
        <v>#N/A</v>
      </c>
      <c r="P361" s="807"/>
      <c r="R361" s="807">
        <f>+IFERROR(VLOOKUP(C361,'CA FE'!$A:$C,3,0),0)-G361</f>
        <v>0</v>
      </c>
    </row>
    <row r="362" spans="1:18" ht="12" customHeight="1">
      <c r="A362" s="354" t="s">
        <v>10</v>
      </c>
      <c r="B362" s="354"/>
      <c r="C362" s="355">
        <v>1140224212</v>
      </c>
      <c r="D362" s="354" t="s">
        <v>746</v>
      </c>
      <c r="E362" s="356" t="s">
        <v>640</v>
      </c>
      <c r="F362" s="356" t="str">
        <f t="shared" si="21"/>
        <v>I</v>
      </c>
      <c r="G362" s="28">
        <f>+IF(F362="i",IFERROR(VLOOKUP(C362,'BG 12.2024'!$B:$E,3,FALSE),0),0)</f>
        <v>0</v>
      </c>
      <c r="H362" s="21">
        <f>+IF(F362="i",IFERROR(VLOOKUP(C362,'BG 12.2024'!$B:$E,4,FALSE),0),0)</f>
        <v>0</v>
      </c>
      <c r="I362" s="21"/>
      <c r="J362" s="28">
        <f>+IF(F362="i",IFERROR(VLOOKUP(C362,'BG 2023'!$B:$E,3,FALSE),0),0)</f>
        <v>0</v>
      </c>
      <c r="K362" s="21">
        <f>+IF(F362="i",IFERROR(VLOOKUP(C362,'BG 2023'!$B:$E,4,FALSE),0),0)</f>
        <v>0</v>
      </c>
      <c r="M362" s="15" t="e">
        <f>+VLOOKUP(C362,'BG 2023'!$B:$E,1,0)</f>
        <v>#N/A</v>
      </c>
      <c r="N362" s="806" t="e">
        <f>+VLOOKUP(C362,'BG 2023'!$B:$E,3,0)</f>
        <v>#N/A</v>
      </c>
      <c r="O362" s="807" t="e">
        <f t="shared" si="20"/>
        <v>#N/A</v>
      </c>
      <c r="P362" s="807"/>
      <c r="R362" s="807">
        <f>+IFERROR(VLOOKUP(C362,'CA FE'!$A:$C,3,0),0)-G362</f>
        <v>0</v>
      </c>
    </row>
    <row r="363" spans="1:18" ht="12" customHeight="1">
      <c r="A363" s="354" t="s">
        <v>10</v>
      </c>
      <c r="B363" s="354" t="s">
        <v>688</v>
      </c>
      <c r="C363" s="355">
        <v>1140224213</v>
      </c>
      <c r="D363" s="354" t="s">
        <v>103</v>
      </c>
      <c r="E363" s="356" t="s">
        <v>634</v>
      </c>
      <c r="F363" s="356" t="str">
        <f t="shared" si="21"/>
        <v>I</v>
      </c>
      <c r="G363" s="28">
        <f>+IF(F363="i",IFERROR(VLOOKUP(C363,'BG 12.2024'!$B:$E,3,FALSE),0),0)</f>
        <v>-3429569562</v>
      </c>
      <c r="H363" s="21">
        <f>+IF(F363="i",IFERROR(VLOOKUP(C363,'BG 12.2024'!$B:$E,4,FALSE),0),0)</f>
        <v>-437933.29999999981</v>
      </c>
      <c r="I363" s="21"/>
      <c r="J363" s="28">
        <f>+IF(F363="i",IFERROR(VLOOKUP(C363,'BG 2023'!$B:$E,3,FALSE),0),0)</f>
        <v>-125421507</v>
      </c>
      <c r="K363" s="21">
        <f>+IF(F363="i",IFERROR(VLOOKUP(C363,'BG 2023'!$B:$E,4,FALSE),0),0)</f>
        <v>-17267.149999999907</v>
      </c>
      <c r="M363" s="15">
        <f>+VLOOKUP(C363,'BG 2023'!$B:$E,1,0)</f>
        <v>1140224213</v>
      </c>
      <c r="N363" s="806">
        <f>+VLOOKUP(C363,'BG 2023'!$B:$E,3,0)</f>
        <v>-125421507</v>
      </c>
      <c r="O363" s="807">
        <f t="shared" si="20"/>
        <v>3304148055</v>
      </c>
      <c r="P363" s="807"/>
      <c r="R363" s="807">
        <f>+IFERROR(VLOOKUP(C363,'CA FE'!$A:$C,3,0),0)-G363</f>
        <v>0</v>
      </c>
    </row>
    <row r="364" spans="1:18" ht="12" customHeight="1">
      <c r="A364" s="354" t="s">
        <v>10</v>
      </c>
      <c r="B364" s="354" t="s">
        <v>688</v>
      </c>
      <c r="C364" s="355">
        <v>1140224214</v>
      </c>
      <c r="D364" s="354" t="s">
        <v>747</v>
      </c>
      <c r="E364" s="356" t="s">
        <v>640</v>
      </c>
      <c r="F364" s="356" t="str">
        <f t="shared" si="21"/>
        <v>I</v>
      </c>
      <c r="G364" s="28">
        <f>+IF(F364="i",IFERROR(VLOOKUP(C364,'BG 12.2024'!$B:$E,3,FALSE),0),0)</f>
        <v>-901530657</v>
      </c>
      <c r="H364" s="21">
        <f>+IF(F364="i",IFERROR(VLOOKUP(C364,'BG 12.2024'!$B:$E,4,FALSE),0),0)</f>
        <v>-115119.49000000005</v>
      </c>
      <c r="I364" s="21"/>
      <c r="J364" s="28">
        <f>+IF(F364="i",IFERROR(VLOOKUP(C364,'BG 2023'!$B:$E,3,FALSE),0),0)</f>
        <v>0</v>
      </c>
      <c r="K364" s="21">
        <f>+IF(F364="i",IFERROR(VLOOKUP(C364,'BG 2023'!$B:$E,4,FALSE),0),0)</f>
        <v>0</v>
      </c>
      <c r="M364" s="15" t="e">
        <f>+VLOOKUP(C364,'BG 2023'!$B:$E,1,0)</f>
        <v>#N/A</v>
      </c>
      <c r="N364" s="806" t="e">
        <f>+VLOOKUP(C364,'BG 2023'!$B:$E,3,0)</f>
        <v>#N/A</v>
      </c>
      <c r="O364" s="807" t="e">
        <f t="shared" si="20"/>
        <v>#N/A</v>
      </c>
      <c r="P364" s="807"/>
      <c r="R364" s="807">
        <f>+IFERROR(VLOOKUP(C364,'CA FE'!$A:$C,3,0),0)-G364</f>
        <v>0</v>
      </c>
    </row>
    <row r="365" spans="1:18" ht="12" customHeight="1">
      <c r="A365" s="354" t="s">
        <v>10</v>
      </c>
      <c r="B365" s="354"/>
      <c r="C365" s="355">
        <v>1140224215</v>
      </c>
      <c r="D365" s="354" t="s">
        <v>748</v>
      </c>
      <c r="E365" s="356" t="s">
        <v>634</v>
      </c>
      <c r="F365" s="356" t="str">
        <f t="shared" si="21"/>
        <v>I</v>
      </c>
      <c r="G365" s="28">
        <f>+IF(F365="i",IFERROR(VLOOKUP(C365,'BG 12.2024'!$B:$E,3,FALSE),0),0)</f>
        <v>0</v>
      </c>
      <c r="H365" s="21">
        <f>+IF(F365="i",IFERROR(VLOOKUP(C365,'BG 12.2024'!$B:$E,4,FALSE),0),0)</f>
        <v>0</v>
      </c>
      <c r="I365" s="21"/>
      <c r="J365" s="28">
        <f>+IF(F365="i",IFERROR(VLOOKUP(C365,'BG 2023'!$B:$E,3,FALSE),0),0)</f>
        <v>0</v>
      </c>
      <c r="K365" s="21">
        <f>+IF(F365="i",IFERROR(VLOOKUP(C365,'BG 2023'!$B:$E,4,FALSE),0),0)</f>
        <v>0</v>
      </c>
      <c r="M365" s="15" t="e">
        <f>+VLOOKUP(C365,'BG 2023'!$B:$E,1,0)</f>
        <v>#N/A</v>
      </c>
      <c r="N365" s="806" t="e">
        <f>+VLOOKUP(C365,'BG 2023'!$B:$E,3,0)</f>
        <v>#N/A</v>
      </c>
      <c r="O365" s="807" t="e">
        <f t="shared" si="20"/>
        <v>#N/A</v>
      </c>
      <c r="P365" s="807"/>
      <c r="R365" s="807">
        <f>+IFERROR(VLOOKUP(C365,'CA FE'!$A:$C,3,0),0)-G365</f>
        <v>0</v>
      </c>
    </row>
    <row r="366" spans="1:18" ht="12" customHeight="1">
      <c r="A366" s="354" t="s">
        <v>10</v>
      </c>
      <c r="B366" s="354"/>
      <c r="C366" s="355">
        <v>1140224216</v>
      </c>
      <c r="D366" s="354" t="s">
        <v>749</v>
      </c>
      <c r="E366" s="356" t="s">
        <v>640</v>
      </c>
      <c r="F366" s="356" t="str">
        <f t="shared" si="21"/>
        <v>I</v>
      </c>
      <c r="G366" s="28">
        <f>+IF(F366="i",IFERROR(VLOOKUP(C366,'BG 12.2024'!$B:$E,3,FALSE),0),0)</f>
        <v>0</v>
      </c>
      <c r="H366" s="21">
        <f>+IF(F366="i",IFERROR(VLOOKUP(C366,'BG 12.2024'!$B:$E,4,FALSE),0),0)</f>
        <v>0</v>
      </c>
      <c r="I366" s="21"/>
      <c r="J366" s="28">
        <f>+IF(F366="i",IFERROR(VLOOKUP(C366,'BG 2023'!$B:$E,3,FALSE),0),0)</f>
        <v>0</v>
      </c>
      <c r="K366" s="21">
        <f>+IF(F366="i",IFERROR(VLOOKUP(C366,'BG 2023'!$B:$E,4,FALSE),0),0)</f>
        <v>0</v>
      </c>
      <c r="M366" s="15" t="e">
        <f>+VLOOKUP(C366,'BG 2023'!$B:$E,1,0)</f>
        <v>#N/A</v>
      </c>
      <c r="N366" s="806" t="e">
        <f>+VLOOKUP(C366,'BG 2023'!$B:$E,3,0)</f>
        <v>#N/A</v>
      </c>
      <c r="O366" s="807" t="e">
        <f t="shared" si="20"/>
        <v>#N/A</v>
      </c>
      <c r="P366" s="807"/>
      <c r="R366" s="807">
        <f>+IFERROR(VLOOKUP(C366,'CA FE'!$A:$C,3,0),0)-G366</f>
        <v>0</v>
      </c>
    </row>
    <row r="367" spans="1:18" ht="12" customHeight="1">
      <c r="A367" s="354" t="s">
        <v>10</v>
      </c>
      <c r="B367" s="354" t="s">
        <v>688</v>
      </c>
      <c r="C367" s="355">
        <v>1140224217</v>
      </c>
      <c r="D367" s="354" t="s">
        <v>104</v>
      </c>
      <c r="E367" s="356" t="s">
        <v>634</v>
      </c>
      <c r="F367" s="356" t="str">
        <f t="shared" si="21"/>
        <v>I</v>
      </c>
      <c r="G367" s="28">
        <f>+IF(F367="i",IFERROR(VLOOKUP(C367,'BG 12.2024'!$B:$E,3,FALSE),0),0)</f>
        <v>-156164</v>
      </c>
      <c r="H367" s="21">
        <f>+IF(F367="i",IFERROR(VLOOKUP(C367,'BG 12.2024'!$B:$E,4,FALSE),0),0)</f>
        <v>-19.940000000002328</v>
      </c>
      <c r="I367" s="21"/>
      <c r="J367" s="28">
        <f>+IF(F367="i",IFERROR(VLOOKUP(C367,'BG 2023'!$B:$E,3,FALSE),0),0)</f>
        <v>-292102877</v>
      </c>
      <c r="K367" s="21">
        <f>+IF(F367="i",IFERROR(VLOOKUP(C367,'BG 2023'!$B:$E,4,FALSE),0),0)</f>
        <v>-40214.67</v>
      </c>
      <c r="M367" s="15">
        <f>+VLOOKUP(C367,'BG 2023'!$B:$E,1,0)</f>
        <v>1140224217</v>
      </c>
      <c r="N367" s="806">
        <f>+VLOOKUP(C367,'BG 2023'!$B:$E,3,0)</f>
        <v>-292102877</v>
      </c>
      <c r="O367" s="807">
        <f t="shared" si="20"/>
        <v>-291946713</v>
      </c>
      <c r="P367" s="807"/>
      <c r="R367" s="807">
        <f>+IFERROR(VLOOKUP(C367,'CA FE'!$A:$C,3,0),0)-G367</f>
        <v>0</v>
      </c>
    </row>
    <row r="368" spans="1:18" ht="12" customHeight="1">
      <c r="A368" s="354" t="s">
        <v>10</v>
      </c>
      <c r="B368" s="354" t="s">
        <v>688</v>
      </c>
      <c r="C368" s="355">
        <v>1140224218</v>
      </c>
      <c r="D368" s="354" t="s">
        <v>105</v>
      </c>
      <c r="E368" s="356" t="s">
        <v>640</v>
      </c>
      <c r="F368" s="356" t="str">
        <f t="shared" si="21"/>
        <v>I</v>
      </c>
      <c r="G368" s="28">
        <f>+IF(F368="i",IFERROR(VLOOKUP(C368,'BG 12.2024'!$B:$E,3,FALSE),0),0)</f>
        <v>0</v>
      </c>
      <c r="H368" s="21">
        <f>+IF(F368="i",IFERROR(VLOOKUP(C368,'BG 12.2024'!$B:$E,4,FALSE),0),0)</f>
        <v>0</v>
      </c>
      <c r="I368" s="21"/>
      <c r="J368" s="28">
        <f>+IF(F368="i",IFERROR(VLOOKUP(C368,'BG 2023'!$B:$E,3,FALSE),0),0)</f>
        <v>-8238727</v>
      </c>
      <c r="K368" s="840">
        <f>+IF(F368="i",IFERROR(VLOOKUP(C368,'BG 2023'!$B:$E,4,FALSE),0),0)</f>
        <v>-1134.25</v>
      </c>
      <c r="M368" s="15">
        <f>+VLOOKUP(C368,'BG 2023'!$B:$E,1,0)</f>
        <v>1140224218</v>
      </c>
      <c r="N368" s="806">
        <f>+VLOOKUP(C368,'BG 2023'!$B:$E,3,0)</f>
        <v>-8238727</v>
      </c>
      <c r="O368" s="807">
        <f t="shared" si="20"/>
        <v>-8238727</v>
      </c>
      <c r="P368" s="807"/>
      <c r="R368" s="807">
        <f>+IFERROR(VLOOKUP(C368,'CA FE'!$A:$C,3,0),0)-G368</f>
        <v>0</v>
      </c>
    </row>
    <row r="369" spans="1:18" ht="12" customHeight="1">
      <c r="A369" s="354" t="s">
        <v>10</v>
      </c>
      <c r="B369" s="354"/>
      <c r="C369" s="355">
        <v>1140224219</v>
      </c>
      <c r="D369" s="354" t="s">
        <v>750</v>
      </c>
      <c r="E369" s="356" t="s">
        <v>634</v>
      </c>
      <c r="F369" s="356" t="str">
        <f t="shared" si="21"/>
        <v>I</v>
      </c>
      <c r="G369" s="28">
        <f>+IF(F369="i",IFERROR(VLOOKUP(C369,'BG 12.2024'!$B:$E,3,FALSE),0),0)</f>
        <v>0</v>
      </c>
      <c r="H369" s="21">
        <f>+IF(F369="i",IFERROR(VLOOKUP(C369,'BG 12.2024'!$B:$E,4,FALSE),0),0)</f>
        <v>0</v>
      </c>
      <c r="I369" s="21"/>
      <c r="J369" s="28">
        <f>+IF(F369="i",IFERROR(VLOOKUP(C369,'BG 2023'!$B:$E,3,FALSE),0),0)</f>
        <v>0</v>
      </c>
      <c r="K369" s="21">
        <f>+IF(F369="i",IFERROR(VLOOKUP(C369,'BG 2023'!$B:$E,4,FALSE),0),0)</f>
        <v>0</v>
      </c>
      <c r="M369" s="15" t="e">
        <f>+VLOOKUP(C369,'BG 2023'!$B:$E,1,0)</f>
        <v>#N/A</v>
      </c>
      <c r="N369" s="806" t="e">
        <f>+VLOOKUP(C369,'BG 2023'!$B:$E,3,0)</f>
        <v>#N/A</v>
      </c>
      <c r="O369" s="807" t="e">
        <f t="shared" si="20"/>
        <v>#N/A</v>
      </c>
      <c r="P369" s="807"/>
      <c r="R369" s="807">
        <f>+IFERROR(VLOOKUP(C369,'CA FE'!$A:$C,3,0),0)-G369</f>
        <v>0</v>
      </c>
    </row>
    <row r="370" spans="1:18" ht="12" customHeight="1">
      <c r="A370" s="354" t="s">
        <v>10</v>
      </c>
      <c r="B370" s="354"/>
      <c r="C370" s="355">
        <v>1140224220</v>
      </c>
      <c r="D370" s="354" t="s">
        <v>751</v>
      </c>
      <c r="E370" s="356" t="s">
        <v>640</v>
      </c>
      <c r="F370" s="356" t="str">
        <f t="shared" si="21"/>
        <v>I</v>
      </c>
      <c r="G370" s="28">
        <f>+IF(F370="i",IFERROR(VLOOKUP(C370,'BG 12.2024'!$B:$E,3,FALSE),0),0)</f>
        <v>0</v>
      </c>
      <c r="H370" s="21">
        <f>+IF(F370="i",IFERROR(VLOOKUP(C370,'BG 12.2024'!$B:$E,4,FALSE),0),0)</f>
        <v>0</v>
      </c>
      <c r="I370" s="21"/>
      <c r="J370" s="28">
        <f>+IF(F370="i",IFERROR(VLOOKUP(C370,'BG 2023'!$B:$E,3,FALSE),0),0)</f>
        <v>0</v>
      </c>
      <c r="K370" s="21">
        <f>+IF(F370="i",IFERROR(VLOOKUP(C370,'BG 2023'!$B:$E,4,FALSE),0),0)</f>
        <v>0</v>
      </c>
      <c r="M370" s="15" t="e">
        <f>+VLOOKUP(C370,'BG 2023'!$B:$E,1,0)</f>
        <v>#N/A</v>
      </c>
      <c r="N370" s="806" t="e">
        <f>+VLOOKUP(C370,'BG 2023'!$B:$E,3,0)</f>
        <v>#N/A</v>
      </c>
      <c r="O370" s="807" t="e">
        <f t="shared" si="20"/>
        <v>#N/A</v>
      </c>
      <c r="P370" s="807"/>
      <c r="R370" s="807">
        <f>+IFERROR(VLOOKUP(C370,'CA FE'!$A:$C,3,0),0)-G370</f>
        <v>0</v>
      </c>
    </row>
    <row r="371" spans="1:18" ht="12" customHeight="1">
      <c r="A371" s="354" t="s">
        <v>10</v>
      </c>
      <c r="B371" s="354"/>
      <c r="C371" s="355">
        <v>1140224221</v>
      </c>
      <c r="D371" s="354" t="s">
        <v>752</v>
      </c>
      <c r="E371" s="356" t="s">
        <v>634</v>
      </c>
      <c r="F371" s="356" t="str">
        <f t="shared" si="21"/>
        <v>I</v>
      </c>
      <c r="G371" s="28">
        <f>+IF(F371="i",IFERROR(VLOOKUP(C371,'BG 12.2024'!$B:$E,3,FALSE),0),0)</f>
        <v>0</v>
      </c>
      <c r="H371" s="21">
        <f>+IF(F371="i",IFERROR(VLOOKUP(C371,'BG 12.2024'!$B:$E,4,FALSE),0),0)</f>
        <v>0</v>
      </c>
      <c r="I371" s="21"/>
      <c r="J371" s="28">
        <f>+IF(F371="i",IFERROR(VLOOKUP(C371,'BG 2023'!$B:$E,3,FALSE),0),0)</f>
        <v>0</v>
      </c>
      <c r="K371" s="21">
        <f>+IF(F371="i",IFERROR(VLOOKUP(C371,'BG 2023'!$B:$E,4,FALSE),0),0)</f>
        <v>0</v>
      </c>
      <c r="M371" s="15" t="e">
        <f>+VLOOKUP(C371,'BG 2023'!$B:$E,1,0)</f>
        <v>#N/A</v>
      </c>
      <c r="N371" s="806" t="e">
        <f>+VLOOKUP(C371,'BG 2023'!$B:$E,3,0)</f>
        <v>#N/A</v>
      </c>
      <c r="O371" s="807" t="e">
        <f t="shared" si="20"/>
        <v>#N/A</v>
      </c>
      <c r="P371" s="807"/>
      <c r="R371" s="807">
        <f>+IFERROR(VLOOKUP(C371,'CA FE'!$A:$C,3,0),0)-G371</f>
        <v>0</v>
      </c>
    </row>
    <row r="372" spans="1:18" ht="12" customHeight="1">
      <c r="A372" s="354" t="s">
        <v>10</v>
      </c>
      <c r="B372" s="354"/>
      <c r="C372" s="355">
        <v>1140224222</v>
      </c>
      <c r="D372" s="354" t="s">
        <v>753</v>
      </c>
      <c r="E372" s="356" t="s">
        <v>640</v>
      </c>
      <c r="F372" s="356" t="str">
        <f t="shared" si="21"/>
        <v>I</v>
      </c>
      <c r="G372" s="28">
        <f>+IF(F372="i",IFERROR(VLOOKUP(C372,'BG 12.2024'!$B:$E,3,FALSE),0),0)</f>
        <v>0</v>
      </c>
      <c r="H372" s="21">
        <f>+IF(F372="i",IFERROR(VLOOKUP(C372,'BG 12.2024'!$B:$E,4,FALSE),0),0)</f>
        <v>0</v>
      </c>
      <c r="I372" s="21"/>
      <c r="J372" s="28">
        <f>+IF(F372="i",IFERROR(VLOOKUP(C372,'BG 2023'!$B:$E,3,FALSE),0),0)</f>
        <v>0</v>
      </c>
      <c r="K372" s="21">
        <f>+IF(F372="i",IFERROR(VLOOKUP(C372,'BG 2023'!$B:$E,4,FALSE),0),0)</f>
        <v>0</v>
      </c>
      <c r="M372" s="15" t="e">
        <f>+VLOOKUP(C372,'BG 2023'!$B:$E,1,0)</f>
        <v>#N/A</v>
      </c>
      <c r="N372" s="806" t="e">
        <f>+VLOOKUP(C372,'BG 2023'!$B:$E,3,0)</f>
        <v>#N/A</v>
      </c>
      <c r="O372" s="807" t="e">
        <f t="shared" si="20"/>
        <v>#N/A</v>
      </c>
      <c r="P372" s="807"/>
      <c r="R372" s="807">
        <f>+IFERROR(VLOOKUP(C372,'CA FE'!$A:$C,3,0),0)-G372</f>
        <v>0</v>
      </c>
    </row>
    <row r="373" spans="1:18" ht="12" customHeight="1">
      <c r="A373" s="354" t="s">
        <v>10</v>
      </c>
      <c r="B373" s="354"/>
      <c r="C373" s="355">
        <v>1140224223</v>
      </c>
      <c r="D373" s="354" t="s">
        <v>754</v>
      </c>
      <c r="E373" s="356" t="s">
        <v>634</v>
      </c>
      <c r="F373" s="356" t="str">
        <f t="shared" si="21"/>
        <v>I</v>
      </c>
      <c r="G373" s="28">
        <f>+IF(F373="i",IFERROR(VLOOKUP(C373,'BG 12.2024'!$B:$E,3,FALSE),0),0)</f>
        <v>0</v>
      </c>
      <c r="H373" s="21">
        <f>+IF(F373="i",IFERROR(VLOOKUP(C373,'BG 12.2024'!$B:$E,4,FALSE),0),0)</f>
        <v>0</v>
      </c>
      <c r="I373" s="21"/>
      <c r="J373" s="28">
        <f>+IF(F373="i",IFERROR(VLOOKUP(C373,'BG 2023'!$B:$E,3,FALSE),0),0)</f>
        <v>0</v>
      </c>
      <c r="K373" s="21">
        <f>+IF(F373="i",IFERROR(VLOOKUP(C373,'BG 2023'!$B:$E,4,FALSE),0),0)</f>
        <v>0</v>
      </c>
      <c r="M373" s="15" t="e">
        <f>+VLOOKUP(C373,'BG 2023'!$B:$E,1,0)</f>
        <v>#N/A</v>
      </c>
      <c r="N373" s="806" t="e">
        <f>+VLOOKUP(C373,'BG 2023'!$B:$E,3,0)</f>
        <v>#N/A</v>
      </c>
      <c r="O373" s="807" t="e">
        <f t="shared" si="20"/>
        <v>#N/A</v>
      </c>
      <c r="P373" s="807"/>
      <c r="R373" s="807">
        <f>+IFERROR(VLOOKUP(C373,'CA FE'!$A:$C,3,0),0)-G373</f>
        <v>0</v>
      </c>
    </row>
    <row r="374" spans="1:18" ht="12" customHeight="1">
      <c r="A374" s="354" t="s">
        <v>10</v>
      </c>
      <c r="B374" s="354"/>
      <c r="C374" s="355">
        <v>1140224224</v>
      </c>
      <c r="D374" s="354" t="s">
        <v>755</v>
      </c>
      <c r="E374" s="356" t="s">
        <v>640</v>
      </c>
      <c r="F374" s="356" t="str">
        <f t="shared" si="21"/>
        <v>I</v>
      </c>
      <c r="G374" s="28">
        <f>+IF(F374="i",IFERROR(VLOOKUP(C374,'BG 12.2024'!$B:$E,3,FALSE),0),0)</f>
        <v>0</v>
      </c>
      <c r="H374" s="21">
        <f>+IF(F374="i",IFERROR(VLOOKUP(C374,'BG 12.2024'!$B:$E,4,FALSE),0),0)</f>
        <v>0</v>
      </c>
      <c r="I374" s="21"/>
      <c r="J374" s="28">
        <f>+IF(F374="i",IFERROR(VLOOKUP(C374,'BG 2023'!$B:$E,3,FALSE),0),0)</f>
        <v>0</v>
      </c>
      <c r="K374" s="21">
        <f>+IF(F374="i",IFERROR(VLOOKUP(C374,'BG 2023'!$B:$E,4,FALSE),0),0)</f>
        <v>0</v>
      </c>
      <c r="M374" s="15" t="e">
        <f>+VLOOKUP(C374,'BG 2023'!$B:$E,1,0)</f>
        <v>#N/A</v>
      </c>
      <c r="N374" s="806" t="e">
        <f>+VLOOKUP(C374,'BG 2023'!$B:$E,3,0)</f>
        <v>#N/A</v>
      </c>
      <c r="O374" s="807" t="e">
        <f t="shared" si="20"/>
        <v>#N/A</v>
      </c>
      <c r="P374" s="807"/>
      <c r="R374" s="807">
        <f>+IFERROR(VLOOKUP(C374,'CA FE'!$A:$C,3,0),0)-G374</f>
        <v>0</v>
      </c>
    </row>
    <row r="375" spans="1:18" ht="12" customHeight="1">
      <c r="A375" s="354" t="s">
        <v>10</v>
      </c>
      <c r="B375" s="354"/>
      <c r="C375" s="355">
        <v>1140224225</v>
      </c>
      <c r="D375" s="354" t="s">
        <v>756</v>
      </c>
      <c r="E375" s="356" t="s">
        <v>634</v>
      </c>
      <c r="F375" s="356" t="str">
        <f t="shared" si="21"/>
        <v>I</v>
      </c>
      <c r="G375" s="28">
        <f>+IF(F375="i",IFERROR(VLOOKUP(C375,'BG 12.2024'!$B:$E,3,FALSE),0),0)</f>
        <v>0</v>
      </c>
      <c r="H375" s="21">
        <f>+IF(F375="i",IFERROR(VLOOKUP(C375,'BG 12.2024'!$B:$E,4,FALSE),0),0)</f>
        <v>0</v>
      </c>
      <c r="I375" s="21"/>
      <c r="J375" s="28">
        <f>+IF(F375="i",IFERROR(VLOOKUP(C375,'BG 2023'!$B:$E,3,FALSE),0),0)</f>
        <v>0</v>
      </c>
      <c r="K375" s="21">
        <f>+IF(F375="i",IFERROR(VLOOKUP(C375,'BG 2023'!$B:$E,4,FALSE),0),0)</f>
        <v>0</v>
      </c>
      <c r="M375" s="15" t="e">
        <f>+VLOOKUP(C375,'BG 2023'!$B:$E,1,0)</f>
        <v>#N/A</v>
      </c>
      <c r="N375" s="806" t="e">
        <f>+VLOOKUP(C375,'BG 2023'!$B:$E,3,0)</f>
        <v>#N/A</v>
      </c>
      <c r="O375" s="807" t="e">
        <f t="shared" si="20"/>
        <v>#N/A</v>
      </c>
      <c r="P375" s="807"/>
      <c r="R375" s="807">
        <f>+IFERROR(VLOOKUP(C375,'CA FE'!$A:$C,3,0),0)-G375</f>
        <v>0</v>
      </c>
    </row>
    <row r="376" spans="1:18" ht="12" customHeight="1">
      <c r="A376" s="354" t="s">
        <v>10</v>
      </c>
      <c r="B376" s="354"/>
      <c r="C376" s="355">
        <v>1140224226</v>
      </c>
      <c r="D376" s="354" t="s">
        <v>757</v>
      </c>
      <c r="E376" s="356" t="s">
        <v>640</v>
      </c>
      <c r="F376" s="356" t="str">
        <f t="shared" si="21"/>
        <v>I</v>
      </c>
      <c r="G376" s="28">
        <f>+IF(F376="i",IFERROR(VLOOKUP(C376,'BG 12.2024'!$B:$E,3,FALSE),0),0)</f>
        <v>0</v>
      </c>
      <c r="H376" s="21">
        <f>+IF(F376="i",IFERROR(VLOOKUP(C376,'BG 12.2024'!$B:$E,4,FALSE),0),0)</f>
        <v>0</v>
      </c>
      <c r="I376" s="21"/>
      <c r="J376" s="28">
        <f>+IF(F376="i",IFERROR(VLOOKUP(C376,'BG 2023'!$B:$E,3,FALSE),0),0)</f>
        <v>0</v>
      </c>
      <c r="K376" s="21">
        <f>+IF(F376="i",IFERROR(VLOOKUP(C376,'BG 2023'!$B:$E,4,FALSE),0),0)</f>
        <v>0</v>
      </c>
      <c r="M376" s="15" t="e">
        <f>+VLOOKUP(C376,'BG 2023'!$B:$E,1,0)</f>
        <v>#N/A</v>
      </c>
      <c r="N376" s="806" t="e">
        <f>+VLOOKUP(C376,'BG 2023'!$B:$E,3,0)</f>
        <v>#N/A</v>
      </c>
      <c r="O376" s="807" t="e">
        <f t="shared" si="20"/>
        <v>#N/A</v>
      </c>
      <c r="P376" s="807"/>
      <c r="R376" s="807">
        <f>+IFERROR(VLOOKUP(C376,'CA FE'!$A:$C,3,0),0)-G376</f>
        <v>0</v>
      </c>
    </row>
    <row r="377" spans="1:18" ht="12" customHeight="1">
      <c r="A377" s="354" t="s">
        <v>10</v>
      </c>
      <c r="B377" s="354"/>
      <c r="C377" s="355">
        <v>1140224227</v>
      </c>
      <c r="D377" s="354" t="s">
        <v>758</v>
      </c>
      <c r="E377" s="356" t="s">
        <v>634</v>
      </c>
      <c r="F377" s="356" t="str">
        <f t="shared" si="21"/>
        <v>I</v>
      </c>
      <c r="G377" s="28">
        <f>+IF(F377="i",IFERROR(VLOOKUP(C377,'BG 12.2024'!$B:$E,3,FALSE),0),0)</f>
        <v>0</v>
      </c>
      <c r="H377" s="21">
        <f>+IF(F377="i",IFERROR(VLOOKUP(C377,'BG 12.2024'!$B:$E,4,FALSE),0),0)</f>
        <v>0</v>
      </c>
      <c r="I377" s="21"/>
      <c r="J377" s="28">
        <f>+IF(F377="i",IFERROR(VLOOKUP(C377,'BG 2023'!$B:$E,3,FALSE),0),0)</f>
        <v>0</v>
      </c>
      <c r="K377" s="21">
        <f>+IF(F377="i",IFERROR(VLOOKUP(C377,'BG 2023'!$B:$E,4,FALSE),0),0)</f>
        <v>0</v>
      </c>
      <c r="M377" s="15" t="e">
        <f>+VLOOKUP(C377,'BG 2023'!$B:$E,1,0)</f>
        <v>#N/A</v>
      </c>
      <c r="N377" s="806" t="e">
        <f>+VLOOKUP(C377,'BG 2023'!$B:$E,3,0)</f>
        <v>#N/A</v>
      </c>
      <c r="O377" s="807" t="e">
        <f t="shared" si="20"/>
        <v>#N/A</v>
      </c>
      <c r="P377" s="807"/>
      <c r="R377" s="807">
        <f>+IFERROR(VLOOKUP(C377,'CA FE'!$A:$C,3,0),0)-G377</f>
        <v>0</v>
      </c>
    </row>
    <row r="378" spans="1:18" ht="12" customHeight="1">
      <c r="A378" s="354" t="s">
        <v>10</v>
      </c>
      <c r="B378" s="354"/>
      <c r="C378" s="355">
        <v>1140224228</v>
      </c>
      <c r="D378" s="354" t="s">
        <v>759</v>
      </c>
      <c r="E378" s="356" t="s">
        <v>640</v>
      </c>
      <c r="F378" s="356" t="str">
        <f t="shared" si="21"/>
        <v>I</v>
      </c>
      <c r="G378" s="28">
        <f>+IF(F378="i",IFERROR(VLOOKUP(C378,'BG 12.2024'!$B:$E,3,FALSE),0),0)</f>
        <v>0</v>
      </c>
      <c r="H378" s="21">
        <f>+IF(F378="i",IFERROR(VLOOKUP(C378,'BG 12.2024'!$B:$E,4,FALSE),0),0)</f>
        <v>0</v>
      </c>
      <c r="I378" s="21"/>
      <c r="J378" s="28">
        <f>+IF(F378="i",IFERROR(VLOOKUP(C378,'BG 2023'!$B:$E,3,FALSE),0),0)</f>
        <v>0</v>
      </c>
      <c r="K378" s="21">
        <f>+IF(F378="i",IFERROR(VLOOKUP(C378,'BG 2023'!$B:$E,4,FALSE),0),0)</f>
        <v>0</v>
      </c>
      <c r="M378" s="15" t="e">
        <f>+VLOOKUP(C378,'BG 2023'!$B:$E,1,0)</f>
        <v>#N/A</v>
      </c>
      <c r="N378" s="806" t="e">
        <f>+VLOOKUP(C378,'BG 2023'!$B:$E,3,0)</f>
        <v>#N/A</v>
      </c>
      <c r="O378" s="807" t="e">
        <f t="shared" si="20"/>
        <v>#N/A</v>
      </c>
      <c r="P378" s="807"/>
      <c r="R378" s="807">
        <f>+IFERROR(VLOOKUP(C378,'CA FE'!$A:$C,3,0),0)-G378</f>
        <v>0</v>
      </c>
    </row>
    <row r="379" spans="1:18" ht="12" customHeight="1">
      <c r="A379" s="354" t="s">
        <v>10</v>
      </c>
      <c r="B379" s="354" t="s">
        <v>688</v>
      </c>
      <c r="C379" s="355">
        <v>1140224229</v>
      </c>
      <c r="D379" s="354" t="s">
        <v>532</v>
      </c>
      <c r="E379" s="356" t="s">
        <v>634</v>
      </c>
      <c r="F379" s="356" t="str">
        <f t="shared" si="21"/>
        <v>I</v>
      </c>
      <c r="G379" s="28">
        <f>+IF(F379="i",IFERROR(VLOOKUP(C379,'BG 12.2024'!$B:$E,3,FALSE),0),0)</f>
        <v>-411179112</v>
      </c>
      <c r="H379" s="21">
        <f>+IF(F379="i",IFERROR(VLOOKUP(C379,'BG 12.2024'!$B:$E,4,FALSE),0),0)</f>
        <v>-52504.849999999627</v>
      </c>
      <c r="I379" s="21"/>
      <c r="J379" s="28">
        <f>+IF(F379="i",IFERROR(VLOOKUP(C379,'BG 2023'!$B:$E,3,FALSE),0),0)</f>
        <v>0</v>
      </c>
      <c r="K379" s="21">
        <f>+IF(F379="i",IFERROR(VLOOKUP(C379,'BG 2023'!$B:$E,4,FALSE),0),0)</f>
        <v>0</v>
      </c>
      <c r="M379" s="15" t="e">
        <f>+VLOOKUP(C379,'BG 2023'!$B:$E,1,0)</f>
        <v>#N/A</v>
      </c>
      <c r="N379" s="806" t="e">
        <f>+VLOOKUP(C379,'BG 2023'!$B:$E,3,0)</f>
        <v>#N/A</v>
      </c>
      <c r="O379" s="807" t="e">
        <f t="shared" si="20"/>
        <v>#N/A</v>
      </c>
      <c r="P379" s="807"/>
      <c r="R379" s="807">
        <f>+IFERROR(VLOOKUP(C379,'CA FE'!$A:$C,3,0),0)-G379</f>
        <v>0</v>
      </c>
    </row>
    <row r="380" spans="1:18" ht="12" customHeight="1">
      <c r="A380" s="354" t="s">
        <v>10</v>
      </c>
      <c r="B380" s="354"/>
      <c r="C380" s="355">
        <v>1140224230</v>
      </c>
      <c r="D380" s="354" t="s">
        <v>760</v>
      </c>
      <c r="E380" s="356" t="s">
        <v>640</v>
      </c>
      <c r="F380" s="356" t="str">
        <f t="shared" si="21"/>
        <v>I</v>
      </c>
      <c r="G380" s="28">
        <f>+IF(F380="i",IFERROR(VLOOKUP(C380,'BG 12.2024'!$B:$E,3,FALSE),0),0)</f>
        <v>0</v>
      </c>
      <c r="H380" s="21">
        <f>+IF(F380="i",IFERROR(VLOOKUP(C380,'BG 12.2024'!$B:$E,4,FALSE),0),0)</f>
        <v>0</v>
      </c>
      <c r="I380" s="21"/>
      <c r="J380" s="28">
        <f>+IF(F380="i",IFERROR(VLOOKUP(C380,'BG 2023'!$B:$E,3,FALSE),0),0)</f>
        <v>0</v>
      </c>
      <c r="K380" s="21">
        <f>+IF(F380="i",IFERROR(VLOOKUP(C380,'BG 2023'!$B:$E,4,FALSE),0),0)</f>
        <v>0</v>
      </c>
      <c r="M380" s="15" t="e">
        <f>+VLOOKUP(C380,'BG 2023'!$B:$E,1,0)</f>
        <v>#N/A</v>
      </c>
      <c r="N380" s="806" t="e">
        <f>+VLOOKUP(C380,'BG 2023'!$B:$E,3,0)</f>
        <v>#N/A</v>
      </c>
      <c r="O380" s="807" t="e">
        <f t="shared" si="20"/>
        <v>#N/A</v>
      </c>
      <c r="P380" s="807"/>
      <c r="R380" s="807">
        <f>+IFERROR(VLOOKUP(C380,'CA FE'!$A:$C,3,0),0)-G380</f>
        <v>0</v>
      </c>
    </row>
    <row r="381" spans="1:18" ht="12" customHeight="1">
      <c r="A381" s="354" t="s">
        <v>10</v>
      </c>
      <c r="B381" s="354"/>
      <c r="C381" s="355">
        <v>1140225</v>
      </c>
      <c r="D381" s="354" t="s">
        <v>761</v>
      </c>
      <c r="E381" s="356" t="s">
        <v>634</v>
      </c>
      <c r="F381" s="356" t="str">
        <f t="shared" si="21"/>
        <v>NI</v>
      </c>
      <c r="G381" s="28">
        <f>+IF(F381="i",IFERROR(VLOOKUP(C381,'BG 12.2024'!$B:$E,3,FALSE),0),0)</f>
        <v>0</v>
      </c>
      <c r="H381" s="21">
        <f>+IF(F381="i",IFERROR(VLOOKUP(C381,'BG 12.2024'!$B:$E,4,FALSE),0),0)</f>
        <v>0</v>
      </c>
      <c r="I381" s="21"/>
      <c r="J381" s="28">
        <f>+IF(F381="i",IFERROR(VLOOKUP(C381,'BG 2023'!$B:$E,3,FALSE),0),0)</f>
        <v>0</v>
      </c>
      <c r="K381" s="21">
        <f>+IF(F381="i",IFERROR(VLOOKUP(C381,'BG 2023'!$B:$E,4,FALSE),0),0)</f>
        <v>0</v>
      </c>
      <c r="M381" s="15">
        <f>+VLOOKUP(C381,'BG 2023'!$B:$E,1,0)</f>
        <v>1140225</v>
      </c>
      <c r="N381" s="806">
        <f>+VLOOKUP(C381,'BG 2023'!$B:$E,3,0)</f>
        <v>-429744274</v>
      </c>
      <c r="O381" s="807">
        <f t="shared" si="20"/>
        <v>-429744274</v>
      </c>
      <c r="P381" s="807"/>
      <c r="R381" s="807">
        <f>+IFERROR(VLOOKUP(C381,'CA FE'!$A:$C,3,0),0)-G381</f>
        <v>0</v>
      </c>
    </row>
    <row r="382" spans="1:18" ht="12" customHeight="1">
      <c r="A382" s="354" t="s">
        <v>10</v>
      </c>
      <c r="B382" s="354"/>
      <c r="C382" s="355">
        <v>11402251</v>
      </c>
      <c r="D382" s="354" t="s">
        <v>761</v>
      </c>
      <c r="E382" s="356" t="s">
        <v>634</v>
      </c>
      <c r="F382" s="356" t="str">
        <f t="shared" si="21"/>
        <v>NI</v>
      </c>
      <c r="G382" s="28">
        <f>+IF(F382="i",IFERROR(VLOOKUP(C382,'BG 12.2024'!$B:$E,3,FALSE),0),0)</f>
        <v>0</v>
      </c>
      <c r="H382" s="21">
        <f>+IF(F382="i",IFERROR(VLOOKUP(C382,'BG 12.2024'!$B:$E,4,FALSE),0),0)</f>
        <v>0</v>
      </c>
      <c r="I382" s="21"/>
      <c r="J382" s="28">
        <f>+IF(F382="i",IFERROR(VLOOKUP(C382,'BG 2023'!$B:$E,3,FALSE),0),0)</f>
        <v>0</v>
      </c>
      <c r="K382" s="21">
        <f>+IF(F382="i",IFERROR(VLOOKUP(C382,'BG 2023'!$B:$E,4,FALSE),0),0)</f>
        <v>0</v>
      </c>
      <c r="M382" s="15">
        <f>+VLOOKUP(C382,'BG 2023'!$B:$E,1,0)</f>
        <v>11402251</v>
      </c>
      <c r="N382" s="806">
        <f>+VLOOKUP(C382,'BG 2023'!$B:$E,3,0)</f>
        <v>-108757733</v>
      </c>
      <c r="O382" s="807">
        <f t="shared" si="20"/>
        <v>-108757733</v>
      </c>
      <c r="P382" s="807"/>
      <c r="R382" s="807">
        <f>+IFERROR(VLOOKUP(C382,'CA FE'!$A:$C,3,0),0)-G382</f>
        <v>0</v>
      </c>
    </row>
    <row r="383" spans="1:18" ht="12" customHeight="1">
      <c r="A383" s="354" t="s">
        <v>10</v>
      </c>
      <c r="B383" s="354"/>
      <c r="C383" s="355">
        <v>1140225101</v>
      </c>
      <c r="D383" s="354" t="s">
        <v>762</v>
      </c>
      <c r="E383" s="356" t="s">
        <v>634</v>
      </c>
      <c r="F383" s="356" t="str">
        <f t="shared" si="21"/>
        <v>I</v>
      </c>
      <c r="G383" s="28">
        <f>+IF(F383="i",IFERROR(VLOOKUP(C383,'BG 12.2024'!$B:$E,3,FALSE),0),0)</f>
        <v>0</v>
      </c>
      <c r="H383" s="21">
        <f>+IF(F383="i",IFERROR(VLOOKUP(C383,'BG 12.2024'!$B:$E,4,FALSE),0),0)</f>
        <v>0</v>
      </c>
      <c r="I383" s="21"/>
      <c r="J383" s="28">
        <f>+IF(F383="i",IFERROR(VLOOKUP(C383,'BG 2023'!$B:$E,3,FALSE),0),0)</f>
        <v>0</v>
      </c>
      <c r="K383" s="21">
        <f>+IF(F383="i",IFERROR(VLOOKUP(C383,'BG 2023'!$B:$E,4,FALSE),0),0)</f>
        <v>0</v>
      </c>
      <c r="M383" s="15" t="e">
        <f>+VLOOKUP(C383,'BG 2023'!$B:$E,1,0)</f>
        <v>#N/A</v>
      </c>
      <c r="N383" s="806" t="e">
        <f>+VLOOKUP(C383,'BG 2023'!$B:$E,3,0)</f>
        <v>#N/A</v>
      </c>
      <c r="O383" s="807" t="e">
        <f t="shared" si="20"/>
        <v>#N/A</v>
      </c>
      <c r="P383" s="807"/>
      <c r="R383" s="807">
        <f>+IFERROR(VLOOKUP(C383,'CA FE'!$A:$C,3,0),0)-G383</f>
        <v>0</v>
      </c>
    </row>
    <row r="384" spans="1:18" ht="12" customHeight="1">
      <c r="A384" s="354" t="s">
        <v>10</v>
      </c>
      <c r="B384" s="354"/>
      <c r="C384" s="355">
        <v>1140225102</v>
      </c>
      <c r="D384" s="354" t="s">
        <v>763</v>
      </c>
      <c r="E384" s="356" t="s">
        <v>640</v>
      </c>
      <c r="F384" s="356" t="str">
        <f t="shared" si="21"/>
        <v>I</v>
      </c>
      <c r="G384" s="28">
        <f>+IF(F384="i",IFERROR(VLOOKUP(C384,'BG 12.2024'!$B:$E,3,FALSE),0),0)</f>
        <v>0</v>
      </c>
      <c r="H384" s="21">
        <f>+IF(F384="i",IFERROR(VLOOKUP(C384,'BG 12.2024'!$B:$E,4,FALSE),0),0)</f>
        <v>0</v>
      </c>
      <c r="I384" s="21"/>
      <c r="J384" s="28">
        <f>+IF(F384="i",IFERROR(VLOOKUP(C384,'BG 2023'!$B:$E,3,FALSE),0),0)</f>
        <v>0</v>
      </c>
      <c r="K384" s="21">
        <f>+IF(F384="i",IFERROR(VLOOKUP(C384,'BG 2023'!$B:$E,4,FALSE),0),0)</f>
        <v>0</v>
      </c>
      <c r="M384" s="15" t="e">
        <f>+VLOOKUP(C384,'BG 2023'!$B:$E,1,0)</f>
        <v>#N/A</v>
      </c>
      <c r="N384" s="806" t="e">
        <f>+VLOOKUP(C384,'BG 2023'!$B:$E,3,0)</f>
        <v>#N/A</v>
      </c>
      <c r="O384" s="807" t="e">
        <f t="shared" si="20"/>
        <v>#N/A</v>
      </c>
      <c r="P384" s="807"/>
      <c r="R384" s="807">
        <f>+IFERROR(VLOOKUP(C384,'CA FE'!$A:$C,3,0),0)-G384</f>
        <v>0</v>
      </c>
    </row>
    <row r="385" spans="1:18" ht="12" customHeight="1">
      <c r="A385" s="354" t="s">
        <v>10</v>
      </c>
      <c r="B385" s="354"/>
      <c r="C385" s="355">
        <v>1140225103</v>
      </c>
      <c r="D385" s="354" t="s">
        <v>764</v>
      </c>
      <c r="E385" s="356" t="s">
        <v>634</v>
      </c>
      <c r="F385" s="356" t="str">
        <f t="shared" si="21"/>
        <v>I</v>
      </c>
      <c r="G385" s="28">
        <f>+IF(F385="i",IFERROR(VLOOKUP(C385,'BG 12.2024'!$B:$E,3,FALSE),0),0)</f>
        <v>0</v>
      </c>
      <c r="H385" s="21">
        <f>+IF(F385="i",IFERROR(VLOOKUP(C385,'BG 12.2024'!$B:$E,4,FALSE),0),0)</f>
        <v>0</v>
      </c>
      <c r="I385" s="21"/>
      <c r="J385" s="28">
        <f>+IF(F385="i",IFERROR(VLOOKUP(C385,'BG 2023'!$B:$E,3,FALSE),0),0)</f>
        <v>0</v>
      </c>
      <c r="K385" s="21">
        <f>+IF(F385="i",IFERROR(VLOOKUP(C385,'BG 2023'!$B:$E,4,FALSE),0),0)</f>
        <v>0</v>
      </c>
      <c r="M385" s="15" t="e">
        <f>+VLOOKUP(C385,'BG 2023'!$B:$E,1,0)</f>
        <v>#N/A</v>
      </c>
      <c r="N385" s="806" t="e">
        <f>+VLOOKUP(C385,'BG 2023'!$B:$E,3,0)</f>
        <v>#N/A</v>
      </c>
      <c r="O385" s="807" t="e">
        <f t="shared" si="20"/>
        <v>#N/A</v>
      </c>
      <c r="P385" s="807"/>
      <c r="R385" s="807">
        <f>+IFERROR(VLOOKUP(C385,'CA FE'!$A:$C,3,0),0)-G385</f>
        <v>0</v>
      </c>
    </row>
    <row r="386" spans="1:18" ht="12" customHeight="1">
      <c r="A386" s="354" t="s">
        <v>10</v>
      </c>
      <c r="B386" s="354"/>
      <c r="C386" s="355">
        <v>1140225104</v>
      </c>
      <c r="D386" s="354" t="s">
        <v>765</v>
      </c>
      <c r="E386" s="356" t="s">
        <v>640</v>
      </c>
      <c r="F386" s="356" t="str">
        <f t="shared" si="21"/>
        <v>I</v>
      </c>
      <c r="G386" s="28">
        <f>+IF(F386="i",IFERROR(VLOOKUP(C386,'BG 12.2024'!$B:$E,3,FALSE),0),0)</f>
        <v>0</v>
      </c>
      <c r="H386" s="21">
        <f>+IF(F386="i",IFERROR(VLOOKUP(C386,'BG 12.2024'!$B:$E,4,FALSE),0),0)</f>
        <v>0</v>
      </c>
      <c r="I386" s="21"/>
      <c r="J386" s="28">
        <f>+IF(F386="i",IFERROR(VLOOKUP(C386,'BG 2023'!$B:$E,3,FALSE),0),0)</f>
        <v>0</v>
      </c>
      <c r="K386" s="21">
        <f>+IF(F386="i",IFERROR(VLOOKUP(C386,'BG 2023'!$B:$E,4,FALSE),0),0)</f>
        <v>0</v>
      </c>
      <c r="M386" s="15" t="e">
        <f>+VLOOKUP(C386,'BG 2023'!$B:$E,1,0)</f>
        <v>#N/A</v>
      </c>
      <c r="N386" s="806" t="e">
        <f>+VLOOKUP(C386,'BG 2023'!$B:$E,3,0)</f>
        <v>#N/A</v>
      </c>
      <c r="O386" s="807" t="e">
        <f t="shared" si="20"/>
        <v>#N/A</v>
      </c>
      <c r="P386" s="807"/>
      <c r="R386" s="807">
        <f>+IFERROR(VLOOKUP(C386,'CA FE'!$A:$C,3,0),0)-G386</f>
        <v>0</v>
      </c>
    </row>
    <row r="387" spans="1:18" ht="12" customHeight="1">
      <c r="A387" s="354" t="s">
        <v>10</v>
      </c>
      <c r="B387" s="354"/>
      <c r="C387" s="355">
        <v>1140225105</v>
      </c>
      <c r="D387" s="354" t="s">
        <v>766</v>
      </c>
      <c r="E387" s="356" t="s">
        <v>634</v>
      </c>
      <c r="F387" s="356" t="str">
        <f t="shared" si="21"/>
        <v>I</v>
      </c>
      <c r="G387" s="28">
        <f>+IF(F387="i",IFERROR(VLOOKUP(C387,'BG 12.2024'!$B:$E,3,FALSE),0),0)</f>
        <v>0</v>
      </c>
      <c r="H387" s="21">
        <f>+IF(F387="i",IFERROR(VLOOKUP(C387,'BG 12.2024'!$B:$E,4,FALSE),0),0)</f>
        <v>0</v>
      </c>
      <c r="I387" s="21"/>
      <c r="J387" s="28">
        <f>+IF(F387="i",IFERROR(VLOOKUP(C387,'BG 2023'!$B:$E,3,FALSE),0),0)</f>
        <v>0</v>
      </c>
      <c r="K387" s="21">
        <f>+IF(F387="i",IFERROR(VLOOKUP(C387,'BG 2023'!$B:$E,4,FALSE),0),0)</f>
        <v>0</v>
      </c>
      <c r="M387" s="15" t="e">
        <f>+VLOOKUP(C387,'BG 2023'!$B:$E,1,0)</f>
        <v>#N/A</v>
      </c>
      <c r="N387" s="806" t="e">
        <f>+VLOOKUP(C387,'BG 2023'!$B:$E,3,0)</f>
        <v>#N/A</v>
      </c>
      <c r="O387" s="807" t="e">
        <f t="shared" si="20"/>
        <v>#N/A</v>
      </c>
      <c r="P387" s="807"/>
      <c r="R387" s="807">
        <f>+IFERROR(VLOOKUP(C387,'CA FE'!$A:$C,3,0),0)-G387</f>
        <v>0</v>
      </c>
    </row>
    <row r="388" spans="1:18" ht="12" customHeight="1">
      <c r="A388" s="354" t="s">
        <v>10</v>
      </c>
      <c r="B388" s="354"/>
      <c r="C388" s="355">
        <v>1140225106</v>
      </c>
      <c r="D388" s="354" t="s">
        <v>767</v>
      </c>
      <c r="E388" s="356" t="s">
        <v>640</v>
      </c>
      <c r="F388" s="356" t="str">
        <f t="shared" si="21"/>
        <v>I</v>
      </c>
      <c r="G388" s="28">
        <f>+IF(F388="i",IFERROR(VLOOKUP(C388,'BG 12.2024'!$B:$E,3,FALSE),0),0)</f>
        <v>0</v>
      </c>
      <c r="H388" s="21">
        <f>+IF(F388="i",IFERROR(VLOOKUP(C388,'BG 12.2024'!$B:$E,4,FALSE),0),0)</f>
        <v>0</v>
      </c>
      <c r="I388" s="21"/>
      <c r="J388" s="28">
        <f>+IF(F388="i",IFERROR(VLOOKUP(C388,'BG 2023'!$B:$E,3,FALSE),0),0)</f>
        <v>0</v>
      </c>
      <c r="K388" s="21">
        <f>+IF(F388="i",IFERROR(VLOOKUP(C388,'BG 2023'!$B:$E,4,FALSE),0),0)</f>
        <v>0</v>
      </c>
      <c r="M388" s="15" t="e">
        <f>+VLOOKUP(C388,'BG 2023'!$B:$E,1,0)</f>
        <v>#N/A</v>
      </c>
      <c r="N388" s="806" t="e">
        <f>+VLOOKUP(C388,'BG 2023'!$B:$E,3,0)</f>
        <v>#N/A</v>
      </c>
      <c r="O388" s="807" t="e">
        <f t="shared" si="20"/>
        <v>#N/A</v>
      </c>
      <c r="P388" s="807"/>
      <c r="R388" s="807">
        <f>+IFERROR(VLOOKUP(C388,'CA FE'!$A:$C,3,0),0)-G388</f>
        <v>0</v>
      </c>
    </row>
    <row r="389" spans="1:18" ht="12" customHeight="1">
      <c r="A389" s="354" t="s">
        <v>10</v>
      </c>
      <c r="B389" s="354"/>
      <c r="C389" s="355">
        <v>1140225107</v>
      </c>
      <c r="D389" s="354" t="s">
        <v>768</v>
      </c>
      <c r="E389" s="356" t="s">
        <v>634</v>
      </c>
      <c r="F389" s="356" t="str">
        <f t="shared" si="21"/>
        <v>I</v>
      </c>
      <c r="G389" s="28">
        <f>+IF(F389="i",IFERROR(VLOOKUP(C389,'BG 12.2024'!$B:$E,3,FALSE),0),0)</f>
        <v>0</v>
      </c>
      <c r="H389" s="21">
        <f>+IF(F389="i",IFERROR(VLOOKUP(C389,'BG 12.2024'!$B:$E,4,FALSE),0),0)</f>
        <v>0</v>
      </c>
      <c r="I389" s="21"/>
      <c r="J389" s="28">
        <f>+IF(F389="i",IFERROR(VLOOKUP(C389,'BG 2023'!$B:$E,3,FALSE),0),0)</f>
        <v>0</v>
      </c>
      <c r="K389" s="21">
        <f>+IF(F389="i",IFERROR(VLOOKUP(C389,'BG 2023'!$B:$E,4,FALSE),0),0)</f>
        <v>0</v>
      </c>
      <c r="M389" s="15" t="e">
        <f>+VLOOKUP(C389,'BG 2023'!$B:$E,1,0)</f>
        <v>#N/A</v>
      </c>
      <c r="N389" s="806" t="e">
        <f>+VLOOKUP(C389,'BG 2023'!$B:$E,3,0)</f>
        <v>#N/A</v>
      </c>
      <c r="O389" s="807" t="e">
        <f t="shared" si="20"/>
        <v>#N/A</v>
      </c>
      <c r="P389" s="807"/>
      <c r="R389" s="807">
        <f>+IFERROR(VLOOKUP(C389,'CA FE'!$A:$C,3,0),0)-G389</f>
        <v>0</v>
      </c>
    </row>
    <row r="390" spans="1:18" ht="12" customHeight="1">
      <c r="A390" s="354" t="s">
        <v>10</v>
      </c>
      <c r="B390" s="354" t="s">
        <v>769</v>
      </c>
      <c r="C390" s="355">
        <v>1140225108</v>
      </c>
      <c r="D390" s="354" t="s">
        <v>107</v>
      </c>
      <c r="E390" s="356" t="s">
        <v>640</v>
      </c>
      <c r="F390" s="356" t="str">
        <f t="shared" si="21"/>
        <v>I</v>
      </c>
      <c r="G390" s="28">
        <f>+IF(F390="i",IFERROR(VLOOKUP(C390,'BG 12.2024'!$B:$E,3,FALSE),0),0)</f>
        <v>0</v>
      </c>
      <c r="H390" s="1229">
        <f>+IF(F390="i",IFERROR(VLOOKUP(C390,'BG 12.2024'!$B:$E,4,FALSE),0),0)</f>
        <v>0</v>
      </c>
      <c r="I390" s="21"/>
      <c r="J390" s="28">
        <f>+IF(F390="i",IFERROR(VLOOKUP(C390,'BG 2023'!$B:$E,3,FALSE),0),0)</f>
        <v>-108757733</v>
      </c>
      <c r="K390" s="840">
        <f>+IF(F390="i",IFERROR(VLOOKUP(C390,'BG 2023'!$B:$E,4,FALSE),0),0)</f>
        <v>-14973</v>
      </c>
      <c r="M390" s="15">
        <f>+VLOOKUP(C390,'BG 2023'!$B:$E,1,0)</f>
        <v>1140225108</v>
      </c>
      <c r="N390" s="806">
        <f>+VLOOKUP(C390,'BG 2023'!$B:$E,3,0)</f>
        <v>-108757733</v>
      </c>
      <c r="O390" s="807">
        <f t="shared" si="20"/>
        <v>-108757733</v>
      </c>
      <c r="P390" s="807"/>
      <c r="R390" s="807">
        <f>+IFERROR(VLOOKUP(C390,'CA FE'!$A:$C,3,0),0)-G390</f>
        <v>0</v>
      </c>
    </row>
    <row r="391" spans="1:18" ht="12" customHeight="1">
      <c r="A391" s="354" t="s">
        <v>10</v>
      </c>
      <c r="B391" s="354"/>
      <c r="C391" s="355">
        <v>1140225109</v>
      </c>
      <c r="D391" s="354" t="s">
        <v>770</v>
      </c>
      <c r="E391" s="356" t="s">
        <v>634</v>
      </c>
      <c r="F391" s="356" t="str">
        <f t="shared" si="21"/>
        <v>I</v>
      </c>
      <c r="G391" s="28">
        <f>+IF(F391="i",IFERROR(VLOOKUP(C391,'BG 12.2024'!$B:$E,3,FALSE),0),0)</f>
        <v>0</v>
      </c>
      <c r="H391" s="21">
        <f>+IF(F391="i",IFERROR(VLOOKUP(C391,'BG 12.2024'!$B:$E,4,FALSE),0),0)</f>
        <v>0</v>
      </c>
      <c r="I391" s="21"/>
      <c r="J391" s="28">
        <f>+IF(F391="i",IFERROR(VLOOKUP(C391,'BG 2023'!$B:$E,3,FALSE),0),0)</f>
        <v>0</v>
      </c>
      <c r="K391" s="21">
        <f>+IF(F391="i",IFERROR(VLOOKUP(C391,'BG 2023'!$B:$E,4,FALSE),0),0)</f>
        <v>0</v>
      </c>
      <c r="M391" s="15" t="e">
        <f>+VLOOKUP(C391,'BG 2023'!$B:$E,1,0)</f>
        <v>#N/A</v>
      </c>
      <c r="N391" s="806" t="e">
        <f>+VLOOKUP(C391,'BG 2023'!$B:$E,3,0)</f>
        <v>#N/A</v>
      </c>
      <c r="O391" s="807" t="e">
        <f t="shared" si="20"/>
        <v>#N/A</v>
      </c>
      <c r="P391" s="807"/>
      <c r="R391" s="807">
        <f>+IFERROR(VLOOKUP(C391,'CA FE'!$A:$C,3,0),0)-G391</f>
        <v>0</v>
      </c>
    </row>
    <row r="392" spans="1:18" ht="12" customHeight="1">
      <c r="A392" s="354" t="s">
        <v>10</v>
      </c>
      <c r="B392" s="354"/>
      <c r="C392" s="355">
        <v>1140225110</v>
      </c>
      <c r="D392" s="354" t="s">
        <v>771</v>
      </c>
      <c r="E392" s="356" t="s">
        <v>640</v>
      </c>
      <c r="F392" s="356" t="str">
        <f t="shared" si="21"/>
        <v>I</v>
      </c>
      <c r="G392" s="28">
        <f>+IF(F392="i",IFERROR(VLOOKUP(C392,'BG 12.2024'!$B:$E,3,FALSE),0),0)</f>
        <v>0</v>
      </c>
      <c r="H392" s="21">
        <f>+IF(F392="i",IFERROR(VLOOKUP(C392,'BG 12.2024'!$B:$E,4,FALSE),0),0)</f>
        <v>0</v>
      </c>
      <c r="I392" s="21"/>
      <c r="J392" s="28">
        <f>+IF(F392="i",IFERROR(VLOOKUP(C392,'BG 2023'!$B:$E,3,FALSE),0),0)</f>
        <v>0</v>
      </c>
      <c r="K392" s="21">
        <f>+IF(F392="i",IFERROR(VLOOKUP(C392,'BG 2023'!$B:$E,4,FALSE),0),0)</f>
        <v>0</v>
      </c>
      <c r="M392" s="15" t="e">
        <f>+VLOOKUP(C392,'BG 2023'!$B:$E,1,0)</f>
        <v>#N/A</v>
      </c>
      <c r="N392" s="806" t="e">
        <f>+VLOOKUP(C392,'BG 2023'!$B:$E,3,0)</f>
        <v>#N/A</v>
      </c>
      <c r="O392" s="807" t="e">
        <f t="shared" si="20"/>
        <v>#N/A</v>
      </c>
      <c r="P392" s="807"/>
      <c r="R392" s="807">
        <f>+IFERROR(VLOOKUP(C392,'CA FE'!$A:$C,3,0),0)-G392</f>
        <v>0</v>
      </c>
    </row>
    <row r="393" spans="1:18" ht="12" customHeight="1">
      <c r="A393" s="354" t="s">
        <v>10</v>
      </c>
      <c r="B393" s="354"/>
      <c r="C393" s="355">
        <v>1140225111</v>
      </c>
      <c r="D393" s="354" t="s">
        <v>772</v>
      </c>
      <c r="E393" s="356" t="s">
        <v>634</v>
      </c>
      <c r="F393" s="356" t="str">
        <f t="shared" si="21"/>
        <v>I</v>
      </c>
      <c r="G393" s="28">
        <f>+IF(F393="i",IFERROR(VLOOKUP(C393,'BG 12.2024'!$B:$E,3,FALSE),0),0)</f>
        <v>0</v>
      </c>
      <c r="H393" s="21">
        <f>+IF(F393="i",IFERROR(VLOOKUP(C393,'BG 12.2024'!$B:$E,4,FALSE),0),0)</f>
        <v>0</v>
      </c>
      <c r="I393" s="21"/>
      <c r="J393" s="28">
        <f>+IF(F393="i",IFERROR(VLOOKUP(C393,'BG 2023'!$B:$E,3,FALSE),0),0)</f>
        <v>0</v>
      </c>
      <c r="K393" s="21">
        <f>+IF(F393="i",IFERROR(VLOOKUP(C393,'BG 2023'!$B:$E,4,FALSE),0),0)</f>
        <v>0</v>
      </c>
      <c r="M393" s="15" t="e">
        <f>+VLOOKUP(C393,'BG 2023'!$B:$E,1,0)</f>
        <v>#N/A</v>
      </c>
      <c r="N393" s="806" t="e">
        <f>+VLOOKUP(C393,'BG 2023'!$B:$E,3,0)</f>
        <v>#N/A</v>
      </c>
      <c r="O393" s="807" t="e">
        <f t="shared" si="20"/>
        <v>#N/A</v>
      </c>
      <c r="P393" s="807"/>
      <c r="R393" s="807">
        <f>+IFERROR(VLOOKUP(C393,'CA FE'!$A:$C,3,0),0)-G393</f>
        <v>0</v>
      </c>
    </row>
    <row r="394" spans="1:18" ht="12" customHeight="1">
      <c r="A394" s="354" t="s">
        <v>10</v>
      </c>
      <c r="B394" s="354"/>
      <c r="C394" s="355">
        <v>1140225112</v>
      </c>
      <c r="D394" s="354" t="s">
        <v>773</v>
      </c>
      <c r="E394" s="356" t="s">
        <v>640</v>
      </c>
      <c r="F394" s="356" t="str">
        <f t="shared" si="21"/>
        <v>I</v>
      </c>
      <c r="G394" s="28">
        <f>+IF(F394="i",IFERROR(VLOOKUP(C394,'BG 12.2024'!$B:$E,3,FALSE),0),0)</f>
        <v>0</v>
      </c>
      <c r="H394" s="21">
        <f>+IF(F394="i",IFERROR(VLOOKUP(C394,'BG 12.2024'!$B:$E,4,FALSE),0),0)</f>
        <v>0</v>
      </c>
      <c r="I394" s="21"/>
      <c r="J394" s="28">
        <f>+IF(F394="i",IFERROR(VLOOKUP(C394,'BG 2023'!$B:$E,3,FALSE),0),0)</f>
        <v>0</v>
      </c>
      <c r="K394" s="21">
        <f>+IF(F394="i",IFERROR(VLOOKUP(C394,'BG 2023'!$B:$E,4,FALSE),0),0)</f>
        <v>0</v>
      </c>
      <c r="M394" s="15" t="e">
        <f>+VLOOKUP(C394,'BG 2023'!$B:$E,1,0)</f>
        <v>#N/A</v>
      </c>
      <c r="N394" s="806" t="e">
        <f>+VLOOKUP(C394,'BG 2023'!$B:$E,3,0)</f>
        <v>#N/A</v>
      </c>
      <c r="O394" s="807" t="e">
        <f t="shared" si="20"/>
        <v>#N/A</v>
      </c>
      <c r="P394" s="807"/>
      <c r="R394" s="807">
        <f>+IFERROR(VLOOKUP(C394,'CA FE'!$A:$C,3,0),0)-G394</f>
        <v>0</v>
      </c>
    </row>
    <row r="395" spans="1:18" ht="12" customHeight="1">
      <c r="A395" s="354" t="s">
        <v>10</v>
      </c>
      <c r="B395" s="354"/>
      <c r="C395" s="355">
        <v>1140225113</v>
      </c>
      <c r="D395" s="354" t="s">
        <v>774</v>
      </c>
      <c r="E395" s="356" t="s">
        <v>634</v>
      </c>
      <c r="F395" s="356" t="str">
        <f t="shared" si="21"/>
        <v>I</v>
      </c>
      <c r="G395" s="28">
        <f>+IF(F395="i",IFERROR(VLOOKUP(C395,'BG 12.2024'!$B:$E,3,FALSE),0),0)</f>
        <v>0</v>
      </c>
      <c r="H395" s="21">
        <f>+IF(F395="i",IFERROR(VLOOKUP(C395,'BG 12.2024'!$B:$E,4,FALSE),0),0)</f>
        <v>0</v>
      </c>
      <c r="I395" s="21"/>
      <c r="J395" s="28">
        <f>+IF(F395="i",IFERROR(VLOOKUP(C395,'BG 2023'!$B:$E,3,FALSE),0),0)</f>
        <v>0</v>
      </c>
      <c r="K395" s="21">
        <f>+IF(F395="i",IFERROR(VLOOKUP(C395,'BG 2023'!$B:$E,4,FALSE),0),0)</f>
        <v>0</v>
      </c>
      <c r="M395" s="15" t="e">
        <f>+VLOOKUP(C395,'BG 2023'!$B:$E,1,0)</f>
        <v>#N/A</v>
      </c>
      <c r="N395" s="806" t="e">
        <f>+VLOOKUP(C395,'BG 2023'!$B:$E,3,0)</f>
        <v>#N/A</v>
      </c>
      <c r="O395" s="807" t="e">
        <f t="shared" si="20"/>
        <v>#N/A</v>
      </c>
      <c r="P395" s="807"/>
      <c r="R395" s="807">
        <f>+IFERROR(VLOOKUP(C395,'CA FE'!$A:$C,3,0),0)-G395</f>
        <v>0</v>
      </c>
    </row>
    <row r="396" spans="1:18" ht="12" customHeight="1">
      <c r="A396" s="354" t="s">
        <v>10</v>
      </c>
      <c r="B396" s="354"/>
      <c r="C396" s="355">
        <v>1140225114</v>
      </c>
      <c r="D396" s="354" t="s">
        <v>775</v>
      </c>
      <c r="E396" s="356" t="s">
        <v>640</v>
      </c>
      <c r="F396" s="356" t="str">
        <f t="shared" si="21"/>
        <v>I</v>
      </c>
      <c r="G396" s="28">
        <f>+IF(F396="i",IFERROR(VLOOKUP(C396,'BG 12.2024'!$B:$E,3,FALSE),0),0)</f>
        <v>0</v>
      </c>
      <c r="H396" s="21">
        <f>+IF(F396="i",IFERROR(VLOOKUP(C396,'BG 12.2024'!$B:$E,4,FALSE),0),0)</f>
        <v>0</v>
      </c>
      <c r="I396" s="21"/>
      <c r="J396" s="28">
        <f>+IF(F396="i",IFERROR(VLOOKUP(C396,'BG 2023'!$B:$E,3,FALSE),0),0)</f>
        <v>0</v>
      </c>
      <c r="K396" s="21">
        <f>+IF(F396="i",IFERROR(VLOOKUP(C396,'BG 2023'!$B:$E,4,FALSE),0),0)</f>
        <v>0</v>
      </c>
      <c r="M396" s="15" t="e">
        <f>+VLOOKUP(C396,'BG 2023'!$B:$E,1,0)</f>
        <v>#N/A</v>
      </c>
      <c r="N396" s="806" t="e">
        <f>+VLOOKUP(C396,'BG 2023'!$B:$E,3,0)</f>
        <v>#N/A</v>
      </c>
      <c r="O396" s="807" t="e">
        <f t="shared" si="20"/>
        <v>#N/A</v>
      </c>
      <c r="P396" s="807"/>
      <c r="R396" s="807">
        <f>+IFERROR(VLOOKUP(C396,'CA FE'!$A:$C,3,0),0)-G396</f>
        <v>0</v>
      </c>
    </row>
    <row r="397" spans="1:18" ht="12" customHeight="1">
      <c r="A397" s="354" t="s">
        <v>10</v>
      </c>
      <c r="B397" s="354"/>
      <c r="C397" s="355">
        <v>1140225115</v>
      </c>
      <c r="D397" s="354" t="s">
        <v>776</v>
      </c>
      <c r="E397" s="356" t="s">
        <v>634</v>
      </c>
      <c r="F397" s="356" t="str">
        <f t="shared" si="21"/>
        <v>I</v>
      </c>
      <c r="G397" s="28">
        <f>+IF(F397="i",IFERROR(VLOOKUP(C397,'BG 12.2024'!$B:$E,3,FALSE),0),0)</f>
        <v>0</v>
      </c>
      <c r="H397" s="21">
        <f>+IF(F397="i",IFERROR(VLOOKUP(C397,'BG 12.2024'!$B:$E,4,FALSE),0),0)</f>
        <v>0</v>
      </c>
      <c r="I397" s="21"/>
      <c r="J397" s="28">
        <f>+IF(F397="i",IFERROR(VLOOKUP(C397,'BG 2023'!$B:$E,3,FALSE),0),0)</f>
        <v>0</v>
      </c>
      <c r="K397" s="21">
        <f>+IF(F397="i",IFERROR(VLOOKUP(C397,'BG 2023'!$B:$E,4,FALSE),0),0)</f>
        <v>0</v>
      </c>
      <c r="M397" s="15" t="e">
        <f>+VLOOKUP(C397,'BG 2023'!$B:$E,1,0)</f>
        <v>#N/A</v>
      </c>
      <c r="N397" s="806" t="e">
        <f>+VLOOKUP(C397,'BG 2023'!$B:$E,3,0)</f>
        <v>#N/A</v>
      </c>
      <c r="O397" s="807" t="e">
        <f t="shared" si="20"/>
        <v>#N/A</v>
      </c>
      <c r="P397" s="807"/>
      <c r="R397" s="807">
        <f>+IFERROR(VLOOKUP(C397,'CA FE'!$A:$C,3,0),0)-G397</f>
        <v>0</v>
      </c>
    </row>
    <row r="398" spans="1:18" ht="12" customHeight="1">
      <c r="A398" s="354" t="s">
        <v>10</v>
      </c>
      <c r="B398" s="354"/>
      <c r="C398" s="355">
        <v>1140225116</v>
      </c>
      <c r="D398" s="354" t="s">
        <v>777</v>
      </c>
      <c r="E398" s="356" t="s">
        <v>640</v>
      </c>
      <c r="F398" s="356" t="str">
        <f t="shared" si="21"/>
        <v>I</v>
      </c>
      <c r="G398" s="28">
        <f>+IF(F398="i",IFERROR(VLOOKUP(C398,'BG 12.2024'!$B:$E,3,FALSE),0),0)</f>
        <v>0</v>
      </c>
      <c r="H398" s="21">
        <f>+IF(F398="i",IFERROR(VLOOKUP(C398,'BG 12.2024'!$B:$E,4,FALSE),0),0)</f>
        <v>0</v>
      </c>
      <c r="I398" s="21"/>
      <c r="J398" s="28">
        <f>+IF(F398="i",IFERROR(VLOOKUP(C398,'BG 2023'!$B:$E,3,FALSE),0),0)</f>
        <v>0</v>
      </c>
      <c r="K398" s="21">
        <f>+IF(F398="i",IFERROR(VLOOKUP(C398,'BG 2023'!$B:$E,4,FALSE),0),0)</f>
        <v>0</v>
      </c>
      <c r="M398" s="15" t="e">
        <f>+VLOOKUP(C398,'BG 2023'!$B:$E,1,0)</f>
        <v>#N/A</v>
      </c>
      <c r="N398" s="806" t="e">
        <f>+VLOOKUP(C398,'BG 2023'!$B:$E,3,0)</f>
        <v>#N/A</v>
      </c>
      <c r="O398" s="807" t="e">
        <f t="shared" si="20"/>
        <v>#N/A</v>
      </c>
      <c r="P398" s="807"/>
      <c r="R398" s="807">
        <f>+IFERROR(VLOOKUP(C398,'CA FE'!$A:$C,3,0),0)-G398</f>
        <v>0</v>
      </c>
    </row>
    <row r="399" spans="1:18" ht="12" customHeight="1">
      <c r="A399" s="354" t="s">
        <v>10</v>
      </c>
      <c r="B399" s="354"/>
      <c r="C399" s="355">
        <v>1140225117</v>
      </c>
      <c r="D399" s="354" t="s">
        <v>778</v>
      </c>
      <c r="E399" s="356" t="s">
        <v>634</v>
      </c>
      <c r="F399" s="356" t="str">
        <f t="shared" si="21"/>
        <v>I</v>
      </c>
      <c r="G399" s="28">
        <f>+IF(F399="i",IFERROR(VLOOKUP(C399,'BG 12.2024'!$B:$E,3,FALSE),0),0)</f>
        <v>0</v>
      </c>
      <c r="H399" s="21">
        <f>+IF(F399="i",IFERROR(VLOOKUP(C399,'BG 12.2024'!$B:$E,4,FALSE),0),0)</f>
        <v>0</v>
      </c>
      <c r="I399" s="21"/>
      <c r="J399" s="28">
        <f>+IF(F399="i",IFERROR(VLOOKUP(C399,'BG 2023'!$B:$E,3,FALSE),0),0)</f>
        <v>0</v>
      </c>
      <c r="K399" s="21">
        <f>+IF(F399="i",IFERROR(VLOOKUP(C399,'BG 2023'!$B:$E,4,FALSE),0),0)</f>
        <v>0</v>
      </c>
      <c r="M399" s="15" t="e">
        <f>+VLOOKUP(C399,'BG 2023'!$B:$E,1,0)</f>
        <v>#N/A</v>
      </c>
      <c r="N399" s="806" t="e">
        <f>+VLOOKUP(C399,'BG 2023'!$B:$E,3,0)</f>
        <v>#N/A</v>
      </c>
      <c r="O399" s="807" t="e">
        <f t="shared" si="20"/>
        <v>#N/A</v>
      </c>
      <c r="P399" s="807"/>
      <c r="R399" s="807">
        <f>+IFERROR(VLOOKUP(C399,'CA FE'!$A:$C,3,0),0)-G399</f>
        <v>0</v>
      </c>
    </row>
    <row r="400" spans="1:18" ht="12" customHeight="1">
      <c r="A400" s="354" t="s">
        <v>10</v>
      </c>
      <c r="B400" s="354"/>
      <c r="C400" s="355">
        <v>1140225118</v>
      </c>
      <c r="D400" s="354" t="s">
        <v>779</v>
      </c>
      <c r="E400" s="356" t="s">
        <v>640</v>
      </c>
      <c r="F400" s="356" t="str">
        <f t="shared" si="21"/>
        <v>I</v>
      </c>
      <c r="G400" s="28">
        <f>+IF(F400="i",IFERROR(VLOOKUP(C400,'BG 12.2024'!$B:$E,3,FALSE),0),0)</f>
        <v>0</v>
      </c>
      <c r="H400" s="21">
        <f>+IF(F400="i",IFERROR(VLOOKUP(C400,'BG 12.2024'!$B:$E,4,FALSE),0),0)</f>
        <v>0</v>
      </c>
      <c r="I400" s="21"/>
      <c r="J400" s="28">
        <f>+IF(F400="i",IFERROR(VLOOKUP(C400,'BG 2023'!$B:$E,3,FALSE),0),0)</f>
        <v>0</v>
      </c>
      <c r="K400" s="21">
        <f>+IF(F400="i",IFERROR(VLOOKUP(C400,'BG 2023'!$B:$E,4,FALSE),0),0)</f>
        <v>0</v>
      </c>
      <c r="M400" s="15" t="e">
        <f>+VLOOKUP(C400,'BG 2023'!$B:$E,1,0)</f>
        <v>#N/A</v>
      </c>
      <c r="N400" s="806" t="e">
        <f>+VLOOKUP(C400,'BG 2023'!$B:$E,3,0)</f>
        <v>#N/A</v>
      </c>
      <c r="O400" s="807" t="e">
        <f t="shared" si="20"/>
        <v>#N/A</v>
      </c>
      <c r="P400" s="807"/>
      <c r="R400" s="807">
        <f>+IFERROR(VLOOKUP(C400,'CA FE'!$A:$C,3,0),0)-G400</f>
        <v>0</v>
      </c>
    </row>
    <row r="401" spans="1:18" ht="12" customHeight="1">
      <c r="A401" s="354" t="s">
        <v>10</v>
      </c>
      <c r="B401" s="354"/>
      <c r="C401" s="355">
        <v>1140225119</v>
      </c>
      <c r="D401" s="354" t="s">
        <v>780</v>
      </c>
      <c r="E401" s="356" t="s">
        <v>634</v>
      </c>
      <c r="F401" s="356" t="str">
        <f t="shared" si="21"/>
        <v>I</v>
      </c>
      <c r="G401" s="28">
        <f>+IF(F401="i",IFERROR(VLOOKUP(C401,'BG 12.2024'!$B:$E,3,FALSE),0),0)</f>
        <v>0</v>
      </c>
      <c r="H401" s="21">
        <f>+IF(F401="i",IFERROR(VLOOKUP(C401,'BG 12.2024'!$B:$E,4,FALSE),0),0)</f>
        <v>0</v>
      </c>
      <c r="I401" s="21"/>
      <c r="J401" s="28">
        <f>+IF(F401="i",IFERROR(VLOOKUP(C401,'BG 2023'!$B:$E,3,FALSE),0),0)</f>
        <v>0</v>
      </c>
      <c r="K401" s="21">
        <f>+IF(F401="i",IFERROR(VLOOKUP(C401,'BG 2023'!$B:$E,4,FALSE),0),0)</f>
        <v>0</v>
      </c>
      <c r="M401" s="15" t="e">
        <f>+VLOOKUP(C401,'BG 2023'!$B:$E,1,0)</f>
        <v>#N/A</v>
      </c>
      <c r="N401" s="806" t="e">
        <f>+VLOOKUP(C401,'BG 2023'!$B:$E,3,0)</f>
        <v>#N/A</v>
      </c>
      <c r="O401" s="807" t="e">
        <f t="shared" si="20"/>
        <v>#N/A</v>
      </c>
      <c r="P401" s="807"/>
      <c r="R401" s="807">
        <f>+IFERROR(VLOOKUP(C401,'CA FE'!$A:$C,3,0),0)-G401</f>
        <v>0</v>
      </c>
    </row>
    <row r="402" spans="1:18" ht="12" customHeight="1">
      <c r="A402" s="354" t="s">
        <v>10</v>
      </c>
      <c r="B402" s="354"/>
      <c r="C402" s="355">
        <v>1140225120</v>
      </c>
      <c r="D402" s="354" t="s">
        <v>781</v>
      </c>
      <c r="E402" s="356" t="s">
        <v>640</v>
      </c>
      <c r="F402" s="356" t="str">
        <f t="shared" si="21"/>
        <v>I</v>
      </c>
      <c r="G402" s="28">
        <f>+IF(F402="i",IFERROR(VLOOKUP(C402,'BG 12.2024'!$B:$E,3,FALSE),0),0)</f>
        <v>0</v>
      </c>
      <c r="H402" s="21">
        <f>+IF(F402="i",IFERROR(VLOOKUP(C402,'BG 12.2024'!$B:$E,4,FALSE),0),0)</f>
        <v>0</v>
      </c>
      <c r="I402" s="21"/>
      <c r="J402" s="28">
        <f>+IF(F402="i",IFERROR(VLOOKUP(C402,'BG 2023'!$B:$E,3,FALSE),0),0)</f>
        <v>0</v>
      </c>
      <c r="K402" s="21">
        <f>+IF(F402="i",IFERROR(VLOOKUP(C402,'BG 2023'!$B:$E,4,FALSE),0),0)</f>
        <v>0</v>
      </c>
      <c r="M402" s="15" t="e">
        <f>+VLOOKUP(C402,'BG 2023'!$B:$E,1,0)</f>
        <v>#N/A</v>
      </c>
      <c r="N402" s="806" t="e">
        <f>+VLOOKUP(C402,'BG 2023'!$B:$E,3,0)</f>
        <v>#N/A</v>
      </c>
      <c r="O402" s="807" t="e">
        <f t="shared" si="20"/>
        <v>#N/A</v>
      </c>
      <c r="P402" s="807"/>
      <c r="R402" s="807">
        <f>+IFERROR(VLOOKUP(C402,'CA FE'!$A:$C,3,0),0)-G402</f>
        <v>0</v>
      </c>
    </row>
    <row r="403" spans="1:18" ht="12" customHeight="1">
      <c r="A403" s="354" t="s">
        <v>10</v>
      </c>
      <c r="B403" s="354"/>
      <c r="C403" s="355">
        <v>1140225121</v>
      </c>
      <c r="D403" s="354" t="s">
        <v>782</v>
      </c>
      <c r="E403" s="356" t="s">
        <v>634</v>
      </c>
      <c r="F403" s="356" t="str">
        <f t="shared" si="21"/>
        <v>I</v>
      </c>
      <c r="G403" s="28">
        <f>+IF(F403="i",IFERROR(VLOOKUP(C403,'BG 12.2024'!$B:$E,3,FALSE),0),0)</f>
        <v>0</v>
      </c>
      <c r="H403" s="21">
        <f>+IF(F403="i",IFERROR(VLOOKUP(C403,'BG 12.2024'!$B:$E,4,FALSE),0),0)</f>
        <v>0</v>
      </c>
      <c r="I403" s="21"/>
      <c r="J403" s="28">
        <f>+IF(F403="i",IFERROR(VLOOKUP(C403,'BG 2023'!$B:$E,3,FALSE),0),0)</f>
        <v>0</v>
      </c>
      <c r="K403" s="21">
        <f>+IF(F403="i",IFERROR(VLOOKUP(C403,'BG 2023'!$B:$E,4,FALSE),0),0)</f>
        <v>0</v>
      </c>
      <c r="M403" s="15" t="e">
        <f>+VLOOKUP(C403,'BG 2023'!$B:$E,1,0)</f>
        <v>#N/A</v>
      </c>
      <c r="N403" s="806" t="e">
        <f>+VLOOKUP(C403,'BG 2023'!$B:$E,3,0)</f>
        <v>#N/A</v>
      </c>
      <c r="O403" s="807" t="e">
        <f t="shared" si="20"/>
        <v>#N/A</v>
      </c>
      <c r="P403" s="807"/>
      <c r="R403" s="807">
        <f>+IFERROR(VLOOKUP(C403,'CA FE'!$A:$C,3,0),0)-G403</f>
        <v>0</v>
      </c>
    </row>
    <row r="404" spans="1:18" ht="12" customHeight="1">
      <c r="A404" s="354" t="s">
        <v>10</v>
      </c>
      <c r="B404" s="354"/>
      <c r="C404" s="355">
        <v>1140225122</v>
      </c>
      <c r="D404" s="354" t="s">
        <v>783</v>
      </c>
      <c r="E404" s="356" t="s">
        <v>640</v>
      </c>
      <c r="F404" s="356" t="str">
        <f t="shared" si="21"/>
        <v>I</v>
      </c>
      <c r="G404" s="28">
        <f>+IF(F404="i",IFERROR(VLOOKUP(C404,'BG 12.2024'!$B:$E,3,FALSE),0),0)</f>
        <v>0</v>
      </c>
      <c r="H404" s="21">
        <f>+IF(F404="i",IFERROR(VLOOKUP(C404,'BG 12.2024'!$B:$E,4,FALSE),0),0)</f>
        <v>0</v>
      </c>
      <c r="I404" s="21"/>
      <c r="J404" s="28">
        <f>+IF(F404="i",IFERROR(VLOOKUP(C404,'BG 2023'!$B:$E,3,FALSE),0),0)</f>
        <v>0</v>
      </c>
      <c r="K404" s="21">
        <f>+IF(F404="i",IFERROR(VLOOKUP(C404,'BG 2023'!$B:$E,4,FALSE),0),0)</f>
        <v>0</v>
      </c>
      <c r="M404" s="15" t="e">
        <f>+VLOOKUP(C404,'BG 2023'!$B:$E,1,0)</f>
        <v>#N/A</v>
      </c>
      <c r="N404" s="806" t="e">
        <f>+VLOOKUP(C404,'BG 2023'!$B:$E,3,0)</f>
        <v>#N/A</v>
      </c>
      <c r="O404" s="807" t="e">
        <f t="shared" si="20"/>
        <v>#N/A</v>
      </c>
      <c r="P404" s="807"/>
      <c r="R404" s="807">
        <f>+IFERROR(VLOOKUP(C404,'CA FE'!$A:$C,3,0),0)-G404</f>
        <v>0</v>
      </c>
    </row>
    <row r="405" spans="1:18" ht="12" customHeight="1">
      <c r="A405" s="354" t="s">
        <v>10</v>
      </c>
      <c r="B405" s="354"/>
      <c r="C405" s="355">
        <v>1140225123</v>
      </c>
      <c r="D405" s="354" t="s">
        <v>784</v>
      </c>
      <c r="E405" s="356" t="s">
        <v>634</v>
      </c>
      <c r="F405" s="356" t="str">
        <f t="shared" si="21"/>
        <v>I</v>
      </c>
      <c r="G405" s="28">
        <f>+IF(F405="i",IFERROR(VLOOKUP(C405,'BG 12.2024'!$B:$E,3,FALSE),0),0)</f>
        <v>0</v>
      </c>
      <c r="H405" s="21">
        <f>+IF(F405="i",IFERROR(VLOOKUP(C405,'BG 12.2024'!$B:$E,4,FALSE),0),0)</f>
        <v>0</v>
      </c>
      <c r="I405" s="21"/>
      <c r="J405" s="28">
        <f>+IF(F405="i",IFERROR(VLOOKUP(C405,'BG 2023'!$B:$E,3,FALSE),0),0)</f>
        <v>0</v>
      </c>
      <c r="K405" s="21">
        <f>+IF(F405="i",IFERROR(VLOOKUP(C405,'BG 2023'!$B:$E,4,FALSE),0),0)</f>
        <v>0</v>
      </c>
      <c r="M405" s="15" t="e">
        <f>+VLOOKUP(C405,'BG 2023'!$B:$E,1,0)</f>
        <v>#N/A</v>
      </c>
      <c r="N405" s="806" t="e">
        <f>+VLOOKUP(C405,'BG 2023'!$B:$E,3,0)</f>
        <v>#N/A</v>
      </c>
      <c r="O405" s="807" t="e">
        <f t="shared" si="20"/>
        <v>#N/A</v>
      </c>
      <c r="P405" s="807"/>
      <c r="R405" s="807">
        <f>+IFERROR(VLOOKUP(C405,'CA FE'!$A:$C,3,0),0)-G405</f>
        <v>0</v>
      </c>
    </row>
    <row r="406" spans="1:18" ht="12" customHeight="1">
      <c r="A406" s="354" t="s">
        <v>10</v>
      </c>
      <c r="B406" s="354"/>
      <c r="C406" s="355">
        <v>1140225124</v>
      </c>
      <c r="D406" s="354" t="s">
        <v>785</v>
      </c>
      <c r="E406" s="356" t="s">
        <v>640</v>
      </c>
      <c r="F406" s="356" t="str">
        <f t="shared" si="21"/>
        <v>I</v>
      </c>
      <c r="G406" s="28">
        <f>+IF(F406="i",IFERROR(VLOOKUP(C406,'BG 12.2024'!$B:$E,3,FALSE),0),0)</f>
        <v>0</v>
      </c>
      <c r="H406" s="21">
        <f>+IF(F406="i",IFERROR(VLOOKUP(C406,'BG 12.2024'!$B:$E,4,FALSE),0),0)</f>
        <v>0</v>
      </c>
      <c r="I406" s="21"/>
      <c r="J406" s="28">
        <f>+IF(F406="i",IFERROR(VLOOKUP(C406,'BG 2023'!$B:$E,3,FALSE),0),0)</f>
        <v>0</v>
      </c>
      <c r="K406" s="21">
        <f>+IF(F406="i",IFERROR(VLOOKUP(C406,'BG 2023'!$B:$E,4,FALSE),0),0)</f>
        <v>0</v>
      </c>
      <c r="M406" s="15" t="e">
        <f>+VLOOKUP(C406,'BG 2023'!$B:$E,1,0)</f>
        <v>#N/A</v>
      </c>
      <c r="N406" s="806" t="e">
        <f>+VLOOKUP(C406,'BG 2023'!$B:$E,3,0)</f>
        <v>#N/A</v>
      </c>
      <c r="O406" s="807" t="e">
        <f t="shared" si="20"/>
        <v>#N/A</v>
      </c>
      <c r="P406" s="807"/>
      <c r="R406" s="807">
        <f>+IFERROR(VLOOKUP(C406,'CA FE'!$A:$C,3,0),0)-G406</f>
        <v>0</v>
      </c>
    </row>
    <row r="407" spans="1:18" ht="12" customHeight="1">
      <c r="A407" s="354" t="s">
        <v>10</v>
      </c>
      <c r="B407" s="354"/>
      <c r="C407" s="355">
        <v>1140225125</v>
      </c>
      <c r="D407" s="354" t="s">
        <v>786</v>
      </c>
      <c r="E407" s="356" t="s">
        <v>634</v>
      </c>
      <c r="F407" s="356" t="str">
        <f t="shared" si="21"/>
        <v>I</v>
      </c>
      <c r="G407" s="28">
        <f>+IF(F407="i",IFERROR(VLOOKUP(C407,'BG 12.2024'!$B:$E,3,FALSE),0),0)</f>
        <v>0</v>
      </c>
      <c r="H407" s="21">
        <f>+IF(F407="i",IFERROR(VLOOKUP(C407,'BG 12.2024'!$B:$E,4,FALSE),0),0)</f>
        <v>0</v>
      </c>
      <c r="I407" s="21"/>
      <c r="J407" s="28">
        <f>+IF(F407="i",IFERROR(VLOOKUP(C407,'BG 2023'!$B:$E,3,FALSE),0),0)</f>
        <v>0</v>
      </c>
      <c r="K407" s="21">
        <f>+IF(F407="i",IFERROR(VLOOKUP(C407,'BG 2023'!$B:$E,4,FALSE),0),0)</f>
        <v>0</v>
      </c>
      <c r="M407" s="15" t="e">
        <f>+VLOOKUP(C407,'BG 2023'!$B:$E,1,0)</f>
        <v>#N/A</v>
      </c>
      <c r="N407" s="806" t="e">
        <f>+VLOOKUP(C407,'BG 2023'!$B:$E,3,0)</f>
        <v>#N/A</v>
      </c>
      <c r="O407" s="807" t="e">
        <f t="shared" si="20"/>
        <v>#N/A</v>
      </c>
      <c r="P407" s="807"/>
      <c r="R407" s="807">
        <f>+IFERROR(VLOOKUP(C407,'CA FE'!$A:$C,3,0),0)-G407</f>
        <v>0</v>
      </c>
    </row>
    <row r="408" spans="1:18" ht="12" customHeight="1">
      <c r="A408" s="354" t="s">
        <v>10</v>
      </c>
      <c r="B408" s="354"/>
      <c r="C408" s="355">
        <v>1140225126</v>
      </c>
      <c r="D408" s="354" t="s">
        <v>787</v>
      </c>
      <c r="E408" s="356" t="s">
        <v>640</v>
      </c>
      <c r="F408" s="356" t="str">
        <f t="shared" si="21"/>
        <v>I</v>
      </c>
      <c r="G408" s="28">
        <f>+IF(F408="i",IFERROR(VLOOKUP(C408,'BG 12.2024'!$B:$E,3,FALSE),0),0)</f>
        <v>0</v>
      </c>
      <c r="H408" s="21">
        <f>+IF(F408="i",IFERROR(VLOOKUP(C408,'BG 12.2024'!$B:$E,4,FALSE),0),0)</f>
        <v>0</v>
      </c>
      <c r="I408" s="21"/>
      <c r="J408" s="28">
        <f>+IF(F408="i",IFERROR(VLOOKUP(C408,'BG 2023'!$B:$E,3,FALSE),0),0)</f>
        <v>0</v>
      </c>
      <c r="K408" s="21">
        <f>+IF(F408="i",IFERROR(VLOOKUP(C408,'BG 2023'!$B:$E,4,FALSE),0),0)</f>
        <v>0</v>
      </c>
      <c r="M408" s="15" t="e">
        <f>+VLOOKUP(C408,'BG 2023'!$B:$E,1,0)</f>
        <v>#N/A</v>
      </c>
      <c r="N408" s="806" t="e">
        <f>+VLOOKUP(C408,'BG 2023'!$B:$E,3,0)</f>
        <v>#N/A</v>
      </c>
      <c r="O408" s="807" t="e">
        <f t="shared" si="20"/>
        <v>#N/A</v>
      </c>
      <c r="P408" s="807"/>
      <c r="R408" s="807">
        <f>+IFERROR(VLOOKUP(C408,'CA FE'!$A:$C,3,0),0)-G408</f>
        <v>0</v>
      </c>
    </row>
    <row r="409" spans="1:18" ht="12" customHeight="1">
      <c r="A409" s="354" t="s">
        <v>10</v>
      </c>
      <c r="B409" s="354"/>
      <c r="C409" s="355">
        <v>1140225127</v>
      </c>
      <c r="D409" s="354" t="s">
        <v>788</v>
      </c>
      <c r="E409" s="356" t="s">
        <v>634</v>
      </c>
      <c r="F409" s="356" t="str">
        <f t="shared" si="21"/>
        <v>I</v>
      </c>
      <c r="G409" s="28">
        <f>+IF(F409="i",IFERROR(VLOOKUP(C409,'BG 12.2024'!$B:$E,3,FALSE),0),0)</f>
        <v>0</v>
      </c>
      <c r="H409" s="21">
        <f>+IF(F409="i",IFERROR(VLOOKUP(C409,'BG 12.2024'!$B:$E,4,FALSE),0),0)</f>
        <v>0</v>
      </c>
      <c r="I409" s="21"/>
      <c r="J409" s="28">
        <f>+IF(F409="i",IFERROR(VLOOKUP(C409,'BG 2023'!$B:$E,3,FALSE),0),0)</f>
        <v>0</v>
      </c>
      <c r="K409" s="21">
        <f>+IF(F409="i",IFERROR(VLOOKUP(C409,'BG 2023'!$B:$E,4,FALSE),0),0)</f>
        <v>0</v>
      </c>
      <c r="M409" s="15" t="e">
        <f>+VLOOKUP(C409,'BG 2023'!$B:$E,1,0)</f>
        <v>#N/A</v>
      </c>
      <c r="N409" s="806" t="e">
        <f>+VLOOKUP(C409,'BG 2023'!$B:$E,3,0)</f>
        <v>#N/A</v>
      </c>
      <c r="O409" s="807" t="e">
        <f t="shared" si="20"/>
        <v>#N/A</v>
      </c>
      <c r="P409" s="807"/>
      <c r="R409" s="807">
        <f>+IFERROR(VLOOKUP(C409,'CA FE'!$A:$C,3,0),0)-G409</f>
        <v>0</v>
      </c>
    </row>
    <row r="410" spans="1:18" ht="12" customHeight="1">
      <c r="A410" s="354" t="s">
        <v>10</v>
      </c>
      <c r="B410" s="354"/>
      <c r="C410" s="355">
        <v>1140225128</v>
      </c>
      <c r="D410" s="354" t="s">
        <v>789</v>
      </c>
      <c r="E410" s="356" t="s">
        <v>640</v>
      </c>
      <c r="F410" s="356" t="str">
        <f t="shared" si="21"/>
        <v>I</v>
      </c>
      <c r="G410" s="28">
        <f>+IF(F410="i",IFERROR(VLOOKUP(C410,'BG 12.2024'!$B:$E,3,FALSE),0),0)</f>
        <v>0</v>
      </c>
      <c r="H410" s="21">
        <f>+IF(F410="i",IFERROR(VLOOKUP(C410,'BG 12.2024'!$B:$E,4,FALSE),0),0)</f>
        <v>0</v>
      </c>
      <c r="I410" s="21"/>
      <c r="J410" s="28">
        <f>+IF(F410="i",IFERROR(VLOOKUP(C410,'BG 2023'!$B:$E,3,FALSE),0),0)</f>
        <v>0</v>
      </c>
      <c r="K410" s="21">
        <f>+IF(F410="i",IFERROR(VLOOKUP(C410,'BG 2023'!$B:$E,4,FALSE),0),0)</f>
        <v>0</v>
      </c>
      <c r="M410" s="15" t="e">
        <f>+VLOOKUP(C410,'BG 2023'!$B:$E,1,0)</f>
        <v>#N/A</v>
      </c>
      <c r="N410" s="806" t="e">
        <f>+VLOOKUP(C410,'BG 2023'!$B:$E,3,0)</f>
        <v>#N/A</v>
      </c>
      <c r="O410" s="807" t="e">
        <f t="shared" si="20"/>
        <v>#N/A</v>
      </c>
      <c r="P410" s="807"/>
      <c r="R410" s="807">
        <f>+IFERROR(VLOOKUP(C410,'CA FE'!$A:$C,3,0),0)-G410</f>
        <v>0</v>
      </c>
    </row>
    <row r="411" spans="1:18" ht="12" customHeight="1">
      <c r="A411" s="354" t="s">
        <v>10</v>
      </c>
      <c r="B411" s="354"/>
      <c r="C411" s="355">
        <v>1140225129</v>
      </c>
      <c r="D411" s="354" t="s">
        <v>790</v>
      </c>
      <c r="E411" s="356" t="s">
        <v>634</v>
      </c>
      <c r="F411" s="356" t="str">
        <f t="shared" si="21"/>
        <v>I</v>
      </c>
      <c r="G411" s="28">
        <f>+IF(F411="i",IFERROR(VLOOKUP(C411,'BG 12.2024'!$B:$E,3,FALSE),0),0)</f>
        <v>0</v>
      </c>
      <c r="H411" s="21">
        <f>+IF(F411="i",IFERROR(VLOOKUP(C411,'BG 12.2024'!$B:$E,4,FALSE),0),0)</f>
        <v>0</v>
      </c>
      <c r="I411" s="21"/>
      <c r="J411" s="28">
        <f>+IF(F411="i",IFERROR(VLOOKUP(C411,'BG 2023'!$B:$E,3,FALSE),0),0)</f>
        <v>0</v>
      </c>
      <c r="K411" s="21">
        <f>+IF(F411="i",IFERROR(VLOOKUP(C411,'BG 2023'!$B:$E,4,FALSE),0),0)</f>
        <v>0</v>
      </c>
      <c r="M411" s="15" t="e">
        <f>+VLOOKUP(C411,'BG 2023'!$B:$E,1,0)</f>
        <v>#N/A</v>
      </c>
      <c r="N411" s="806" t="e">
        <f>+VLOOKUP(C411,'BG 2023'!$B:$E,3,0)</f>
        <v>#N/A</v>
      </c>
      <c r="O411" s="807" t="e">
        <f t="shared" si="20"/>
        <v>#N/A</v>
      </c>
      <c r="P411" s="807"/>
      <c r="R411" s="807">
        <f>+IFERROR(VLOOKUP(C411,'CA FE'!$A:$C,3,0),0)-G411</f>
        <v>0</v>
      </c>
    </row>
    <row r="412" spans="1:18">
      <c r="A412" s="354" t="s">
        <v>10</v>
      </c>
      <c r="B412" s="354"/>
      <c r="C412" s="355">
        <v>1140225130</v>
      </c>
      <c r="D412" s="354" t="s">
        <v>791</v>
      </c>
      <c r="E412" s="356" t="s">
        <v>640</v>
      </c>
      <c r="F412" s="356" t="str">
        <f t="shared" si="21"/>
        <v>I</v>
      </c>
      <c r="G412" s="28">
        <f>+IF(F412="i",IFERROR(VLOOKUP(C412,'BG 12.2024'!$B:$E,3,FALSE),0),0)</f>
        <v>0</v>
      </c>
      <c r="H412" s="21">
        <f>+IF(F412="i",IFERROR(VLOOKUP(C412,'BG 12.2024'!$B:$E,4,FALSE),0),0)</f>
        <v>0</v>
      </c>
      <c r="I412" s="21"/>
      <c r="J412" s="28">
        <f>+IF(F412="i",IFERROR(VLOOKUP(C412,'BG 2023'!$B:$E,3,FALSE),0),0)</f>
        <v>0</v>
      </c>
      <c r="K412" s="21">
        <f>+IF(F412="i",IFERROR(VLOOKUP(C412,'BG 2023'!$B:$E,4,FALSE),0),0)</f>
        <v>0</v>
      </c>
      <c r="M412" s="15" t="e">
        <f>+VLOOKUP(C412,'BG 2023'!$B:$E,1,0)</f>
        <v>#N/A</v>
      </c>
      <c r="N412" s="806" t="e">
        <f>+VLOOKUP(C412,'BG 2023'!$B:$E,3,0)</f>
        <v>#N/A</v>
      </c>
      <c r="O412" s="807" t="e">
        <f t="shared" ref="O412:O477" si="22">+N412-G412</f>
        <v>#N/A</v>
      </c>
      <c r="P412" s="807"/>
      <c r="R412" s="807">
        <f>+IFERROR(VLOOKUP(C412,'CA FE'!$A:$C,3,0),0)-G412</f>
        <v>0</v>
      </c>
    </row>
    <row r="413" spans="1:18">
      <c r="A413" s="354" t="s">
        <v>10</v>
      </c>
      <c r="B413" s="354"/>
      <c r="C413" s="355">
        <v>11402252</v>
      </c>
      <c r="D413" s="354" t="s">
        <v>108</v>
      </c>
      <c r="E413" s="356" t="s">
        <v>634</v>
      </c>
      <c r="F413" s="356" t="str">
        <f t="shared" si="21"/>
        <v>NI</v>
      </c>
      <c r="G413" s="28">
        <f>+IF(F413="i",IFERROR(VLOOKUP(C413,'BG 12.2024'!$B:$E,3,FALSE),0),0)</f>
        <v>0</v>
      </c>
      <c r="H413" s="21">
        <f>+IF(F413="i",IFERROR(VLOOKUP(C413,'BG 12.2024'!$B:$E,4,FALSE),0),0)</f>
        <v>0</v>
      </c>
      <c r="I413" s="21"/>
      <c r="J413" s="28">
        <f>+IF(F413="i",IFERROR(VLOOKUP(C413,'BG 2023'!$B:$E,3,FALSE),0),0)</f>
        <v>0</v>
      </c>
      <c r="K413" s="21">
        <f>+IF(F413="i",IFERROR(VLOOKUP(C413,'BG 2023'!$B:$E,4,FALSE),0),0)</f>
        <v>0</v>
      </c>
      <c r="M413" s="15">
        <f>+VLOOKUP(C413,'BG 2023'!$B:$E,1,0)</f>
        <v>11402252</v>
      </c>
      <c r="N413" s="806">
        <f>+VLOOKUP(C413,'BG 2023'!$B:$E,3,0)</f>
        <v>-320986541</v>
      </c>
      <c r="O413" s="807">
        <f t="shared" si="22"/>
        <v>-320986541</v>
      </c>
      <c r="P413" s="807"/>
      <c r="R413" s="807">
        <f>+IFERROR(VLOOKUP(C413,'CA FE'!$A:$C,3,0),0)-G413</f>
        <v>0</v>
      </c>
    </row>
    <row r="414" spans="1:18" ht="12" customHeight="1">
      <c r="A414" s="354" t="s">
        <v>10</v>
      </c>
      <c r="B414" s="354" t="s">
        <v>769</v>
      </c>
      <c r="C414" s="355">
        <v>1140225202</v>
      </c>
      <c r="D414" s="354" t="s">
        <v>109</v>
      </c>
      <c r="E414" s="356" t="s">
        <v>640</v>
      </c>
      <c r="F414" s="356" t="str">
        <f t="shared" si="21"/>
        <v>I</v>
      </c>
      <c r="G414" s="28">
        <f>+IF(F414="i",IFERROR(VLOOKUP(C414,'BG 12.2024'!$B:$E,3,FALSE),0),0)</f>
        <v>-693820112</v>
      </c>
      <c r="H414" s="1229">
        <f>+IF(F414="i",IFERROR(VLOOKUP(C414,'BG 12.2024'!$B:$E,4,FALSE),0),0)</f>
        <v>-88596.23</v>
      </c>
      <c r="I414" s="21"/>
      <c r="J414" s="28">
        <f>+IF(F414="i",IFERROR(VLOOKUP(C414,'BG 2023'!$B:$E,3,FALSE),0),0)</f>
        <v>-320986541</v>
      </c>
      <c r="K414" s="840">
        <f>+IF(F414="i",IFERROR(VLOOKUP(C414,'BG 2023'!$B:$E,4,FALSE),0),0)</f>
        <v>-44191.169999999984</v>
      </c>
      <c r="M414" s="15">
        <f>+VLOOKUP(C414,'BG 2023'!$B:$E,1,0)</f>
        <v>1140225202</v>
      </c>
      <c r="N414" s="806">
        <f>+VLOOKUP(C414,'BG 2023'!$B:$E,3,0)</f>
        <v>-320986541</v>
      </c>
      <c r="O414" s="807">
        <f t="shared" si="22"/>
        <v>372833571</v>
      </c>
      <c r="P414" s="807"/>
      <c r="R414" s="807">
        <f>+IFERROR(VLOOKUP(C414,'CA FE'!$A:$C,3,0),0)-G414</f>
        <v>0</v>
      </c>
    </row>
    <row r="415" spans="1:18" ht="12" customHeight="1">
      <c r="A415" s="354" t="s">
        <v>10</v>
      </c>
      <c r="B415" s="354"/>
      <c r="C415" s="355">
        <v>114023</v>
      </c>
      <c r="D415" s="354" t="s">
        <v>792</v>
      </c>
      <c r="E415" s="356" t="s">
        <v>640</v>
      </c>
      <c r="F415" s="356" t="str">
        <f t="shared" si="21"/>
        <v>NI</v>
      </c>
      <c r="G415" s="28">
        <f>+IF(F415="i",IFERROR(VLOOKUP(C415,'BG 12.2024'!$B:$E,3,FALSE),0),0)</f>
        <v>0</v>
      </c>
      <c r="H415" s="21">
        <f>+IF(F415="i",IFERROR(VLOOKUP(C415,'BG 12.2024'!$B:$E,4,FALSE),0),0)</f>
        <v>0</v>
      </c>
      <c r="I415" s="21"/>
      <c r="J415" s="28">
        <f>+IF(F415="i",IFERROR(VLOOKUP(C415,'BG 2023'!$B:$E,3,FALSE),0),0)</f>
        <v>0</v>
      </c>
      <c r="K415" s="21">
        <f>+IF(F415="i",IFERROR(VLOOKUP(C415,'BG 2023'!$B:$E,4,FALSE),0),0)</f>
        <v>0</v>
      </c>
      <c r="M415" s="15" t="e">
        <f>+VLOOKUP(C415,'BG 2023'!$B:$E,1,0)</f>
        <v>#N/A</v>
      </c>
      <c r="N415" s="806" t="e">
        <f>+VLOOKUP(C415,'BG 2023'!$B:$E,3,0)</f>
        <v>#N/A</v>
      </c>
      <c r="O415" s="807" t="e">
        <f t="shared" si="22"/>
        <v>#N/A</v>
      </c>
      <c r="P415" s="807"/>
      <c r="R415" s="807">
        <f>+IFERROR(VLOOKUP(C415,'CA FE'!$A:$C,3,0),0)-G415</f>
        <v>0</v>
      </c>
    </row>
    <row r="416" spans="1:18" ht="12" customHeight="1">
      <c r="A416" s="354" t="s">
        <v>10</v>
      </c>
      <c r="B416" s="354"/>
      <c r="C416" s="355">
        <v>1140231</v>
      </c>
      <c r="D416" s="354" t="s">
        <v>793</v>
      </c>
      <c r="E416" s="356" t="s">
        <v>640</v>
      </c>
      <c r="F416" s="356" t="str">
        <f t="shared" si="21"/>
        <v>NI</v>
      </c>
      <c r="G416" s="28">
        <f>+IF(F416="i",IFERROR(VLOOKUP(C416,'BG 12.2024'!$B:$E,3,FALSE),0),0)</f>
        <v>0</v>
      </c>
      <c r="H416" s="21">
        <f>+IF(F416="i",IFERROR(VLOOKUP(C416,'BG 12.2024'!$B:$E,4,FALSE),0),0)</f>
        <v>0</v>
      </c>
      <c r="I416" s="21"/>
      <c r="J416" s="28">
        <f>+IF(F416="i",IFERROR(VLOOKUP(C416,'BG 2023'!$B:$E,3,FALSE),0),0)</f>
        <v>0</v>
      </c>
      <c r="K416" s="21">
        <f>+IF(F416="i",IFERROR(VLOOKUP(C416,'BG 2023'!$B:$E,4,FALSE),0),0)</f>
        <v>0</v>
      </c>
      <c r="M416" s="15" t="e">
        <f>+VLOOKUP(C416,'BG 2023'!$B:$E,1,0)</f>
        <v>#N/A</v>
      </c>
      <c r="N416" s="806" t="e">
        <f>+VLOOKUP(C416,'BG 2023'!$B:$E,3,0)</f>
        <v>#N/A</v>
      </c>
      <c r="O416" s="807" t="e">
        <f t="shared" si="22"/>
        <v>#N/A</v>
      </c>
      <c r="P416" s="807"/>
      <c r="R416" s="807">
        <f>+IFERROR(VLOOKUP(C416,'CA FE'!$A:$C,3,0),0)-G416</f>
        <v>0</v>
      </c>
    </row>
    <row r="417" spans="1:18" ht="12" customHeight="1">
      <c r="A417" s="354" t="s">
        <v>10</v>
      </c>
      <c r="B417" s="354"/>
      <c r="C417" s="355">
        <v>11402311</v>
      </c>
      <c r="D417" s="354" t="s">
        <v>525</v>
      </c>
      <c r="E417" s="356" t="s">
        <v>634</v>
      </c>
      <c r="F417" s="356" t="str">
        <f t="shared" si="21"/>
        <v>NI</v>
      </c>
      <c r="G417" s="28">
        <f>+IF(F417="i",IFERROR(VLOOKUP(C417,'BG 12.2024'!$B:$E,3,FALSE),0),0)</f>
        <v>0</v>
      </c>
      <c r="H417" s="21">
        <f>+IF(F417="i",IFERROR(VLOOKUP(C417,'BG 12.2024'!$B:$E,4,FALSE),0),0)</f>
        <v>0</v>
      </c>
      <c r="I417" s="21"/>
      <c r="J417" s="28">
        <f>+IF(F417="i",IFERROR(VLOOKUP(C417,'BG 2023'!$B:$E,3,FALSE),0),0)</f>
        <v>0</v>
      </c>
      <c r="K417" s="21">
        <f>+IF(F417="i",IFERROR(VLOOKUP(C417,'BG 2023'!$B:$E,4,FALSE),0),0)</f>
        <v>0</v>
      </c>
      <c r="M417" s="15" t="e">
        <f>+VLOOKUP(C417,'BG 2023'!$B:$E,1,0)</f>
        <v>#N/A</v>
      </c>
      <c r="N417" s="806" t="e">
        <f>+VLOOKUP(C417,'BG 2023'!$B:$E,3,0)</f>
        <v>#N/A</v>
      </c>
      <c r="O417" s="807" t="e">
        <f t="shared" si="22"/>
        <v>#N/A</v>
      </c>
      <c r="P417" s="807"/>
      <c r="R417" s="807">
        <f>+IFERROR(VLOOKUP(C417,'CA FE'!$A:$C,3,0),0)-G417</f>
        <v>0</v>
      </c>
    </row>
    <row r="418" spans="1:18" ht="12" customHeight="1">
      <c r="A418" s="354" t="s">
        <v>10</v>
      </c>
      <c r="B418" s="354"/>
      <c r="C418" s="355">
        <v>1140231101</v>
      </c>
      <c r="D418" s="354" t="s">
        <v>279</v>
      </c>
      <c r="E418" s="356" t="s">
        <v>634</v>
      </c>
      <c r="F418" s="356" t="str">
        <f t="shared" ref="F418:F534" si="23">+IF(LEN(C418)&gt;8,"I","NI")</f>
        <v>I</v>
      </c>
      <c r="G418" s="28">
        <f>+IF(F418="i",IFERROR(VLOOKUP(C418,'BG 12.2024'!$B:$E,3,FALSE),0),0)</f>
        <v>0</v>
      </c>
      <c r="H418" s="21">
        <f>+IF(F418="i",IFERROR(VLOOKUP(C418,'BG 12.2024'!$B:$E,4,FALSE),0),0)</f>
        <v>0</v>
      </c>
      <c r="I418" s="21"/>
      <c r="J418" s="28">
        <f>+IF(F418="i",IFERROR(VLOOKUP(C418,'BG 2023'!$B:$E,3,FALSE),0),0)</f>
        <v>0</v>
      </c>
      <c r="K418" s="21">
        <f>+IF(F418="i",IFERROR(VLOOKUP(C418,'BG 2023'!$B:$E,4,FALSE),0),0)</f>
        <v>0</v>
      </c>
      <c r="M418" s="15" t="e">
        <f>+VLOOKUP(C418,'BG 2023'!$B:$E,1,0)</f>
        <v>#N/A</v>
      </c>
      <c r="N418" s="806" t="e">
        <f>+VLOOKUP(C418,'BG 2023'!$B:$E,3,0)</f>
        <v>#N/A</v>
      </c>
      <c r="O418" s="807" t="e">
        <f t="shared" si="22"/>
        <v>#N/A</v>
      </c>
      <c r="P418" s="807"/>
      <c r="R418" s="807">
        <f>+IFERROR(VLOOKUP(C418,'CA FE'!$A:$C,3,0),0)-G418</f>
        <v>0</v>
      </c>
    </row>
    <row r="419" spans="1:18" ht="12" customHeight="1">
      <c r="A419" s="354" t="s">
        <v>10</v>
      </c>
      <c r="B419" s="354"/>
      <c r="C419" s="355">
        <v>1140231102</v>
      </c>
      <c r="D419" s="354" t="s">
        <v>689</v>
      </c>
      <c r="E419" s="356" t="s">
        <v>640</v>
      </c>
      <c r="F419" s="356" t="str">
        <f t="shared" si="23"/>
        <v>I</v>
      </c>
      <c r="G419" s="28">
        <f>+IF(F419="i",IFERROR(VLOOKUP(C419,'BG 12.2024'!$B:$E,3,FALSE),0),0)</f>
        <v>0</v>
      </c>
      <c r="H419" s="21">
        <f>+IF(F419="i",IFERROR(VLOOKUP(C419,'BG 12.2024'!$B:$E,4,FALSE),0),0)</f>
        <v>0</v>
      </c>
      <c r="I419" s="21"/>
      <c r="J419" s="28">
        <f>+IF(F419="i",IFERROR(VLOOKUP(C419,'BG 2023'!$B:$E,3,FALSE),0),0)</f>
        <v>0</v>
      </c>
      <c r="K419" s="21">
        <f>+IF(F419="i",IFERROR(VLOOKUP(C419,'BG 2023'!$B:$E,4,FALSE),0),0)</f>
        <v>0</v>
      </c>
      <c r="M419" s="15" t="e">
        <f>+VLOOKUP(C419,'BG 2023'!$B:$E,1,0)</f>
        <v>#N/A</v>
      </c>
      <c r="N419" s="806" t="e">
        <f>+VLOOKUP(C419,'BG 2023'!$B:$E,3,0)</f>
        <v>#N/A</v>
      </c>
      <c r="O419" s="807" t="e">
        <f t="shared" si="22"/>
        <v>#N/A</v>
      </c>
      <c r="P419" s="807"/>
      <c r="R419" s="807">
        <f>+IFERROR(VLOOKUP(C419,'CA FE'!$A:$C,3,0),0)-G419</f>
        <v>0</v>
      </c>
    </row>
    <row r="420" spans="1:18" ht="12" customHeight="1">
      <c r="A420" s="354" t="s">
        <v>10</v>
      </c>
      <c r="B420" s="354"/>
      <c r="C420" s="355">
        <v>11402312</v>
      </c>
      <c r="D420" s="354" t="s">
        <v>56</v>
      </c>
      <c r="E420" s="356" t="s">
        <v>634</v>
      </c>
      <c r="F420" s="356" t="str">
        <f t="shared" si="23"/>
        <v>NI</v>
      </c>
      <c r="G420" s="28">
        <f>+IF(F420="i",IFERROR(VLOOKUP(C420,'BG 12.2024'!$B:$E,3,FALSE),0),0)</f>
        <v>0</v>
      </c>
      <c r="H420" s="21">
        <f>+IF(F420="i",IFERROR(VLOOKUP(C420,'BG 12.2024'!$B:$E,4,FALSE),0),0)</f>
        <v>0</v>
      </c>
      <c r="I420" s="21"/>
      <c r="J420" s="28">
        <f>+IF(F420="i",IFERROR(VLOOKUP(C420,'BG 2023'!$B:$E,3,FALSE),0),0)</f>
        <v>0</v>
      </c>
      <c r="K420" s="21">
        <f>+IF(F420="i",IFERROR(VLOOKUP(C420,'BG 2023'!$B:$E,4,FALSE),0),0)</f>
        <v>0</v>
      </c>
      <c r="M420" s="15" t="e">
        <f>+VLOOKUP(C420,'BG 2023'!$B:$E,1,0)</f>
        <v>#N/A</v>
      </c>
      <c r="N420" s="806" t="e">
        <f>+VLOOKUP(C420,'BG 2023'!$B:$E,3,0)</f>
        <v>#N/A</v>
      </c>
      <c r="O420" s="807" t="e">
        <f t="shared" si="22"/>
        <v>#N/A</v>
      </c>
      <c r="P420" s="807"/>
      <c r="R420" s="807">
        <f>+IFERROR(VLOOKUP(C420,'CA FE'!$A:$C,3,0),0)-G420</f>
        <v>0</v>
      </c>
    </row>
    <row r="421" spans="1:18" ht="12" customHeight="1">
      <c r="A421" s="354" t="s">
        <v>10</v>
      </c>
      <c r="B421" s="354"/>
      <c r="C421" s="355">
        <v>1140231201</v>
      </c>
      <c r="D421" s="354" t="s">
        <v>57</v>
      </c>
      <c r="E421" s="356" t="s">
        <v>634</v>
      </c>
      <c r="F421" s="356" t="str">
        <f t="shared" si="23"/>
        <v>I</v>
      </c>
      <c r="G421" s="28">
        <f>+IF(F421="i",IFERROR(VLOOKUP(C421,'BG 12.2024'!$B:$E,3,FALSE),0),0)</f>
        <v>0</v>
      </c>
      <c r="H421" s="21">
        <f>+IF(F421="i",IFERROR(VLOOKUP(C421,'BG 12.2024'!$B:$E,4,FALSE),0),0)</f>
        <v>0</v>
      </c>
      <c r="I421" s="21"/>
      <c r="J421" s="28">
        <f>+IF(F421="i",IFERROR(VLOOKUP(C421,'BG 2023'!$B:$E,3,FALSE),0),0)</f>
        <v>0</v>
      </c>
      <c r="K421" s="21">
        <f>+IF(F421="i",IFERROR(VLOOKUP(C421,'BG 2023'!$B:$E,4,FALSE),0),0)</f>
        <v>0</v>
      </c>
      <c r="M421" s="15" t="e">
        <f>+VLOOKUP(C421,'BG 2023'!$B:$E,1,0)</f>
        <v>#N/A</v>
      </c>
      <c r="N421" s="806" t="e">
        <f>+VLOOKUP(C421,'BG 2023'!$B:$E,3,0)</f>
        <v>#N/A</v>
      </c>
      <c r="O421" s="807" t="e">
        <f t="shared" si="22"/>
        <v>#N/A</v>
      </c>
      <c r="P421" s="807"/>
      <c r="R421" s="807">
        <f>+IFERROR(VLOOKUP(C421,'CA FE'!$A:$C,3,0),0)-G421</f>
        <v>0</v>
      </c>
    </row>
    <row r="422" spans="1:18" ht="12" customHeight="1">
      <c r="A422" s="354" t="s">
        <v>10</v>
      </c>
      <c r="B422" s="354"/>
      <c r="C422" s="355">
        <v>1140231202</v>
      </c>
      <c r="D422" s="354" t="s">
        <v>254</v>
      </c>
      <c r="E422" s="356" t="s">
        <v>640</v>
      </c>
      <c r="F422" s="356" t="str">
        <f t="shared" si="23"/>
        <v>I</v>
      </c>
      <c r="G422" s="28">
        <f>+IF(F422="i",IFERROR(VLOOKUP(C422,'BG 12.2024'!$B:$E,3,FALSE),0),0)</f>
        <v>0</v>
      </c>
      <c r="H422" s="21">
        <f>+IF(F422="i",IFERROR(VLOOKUP(C422,'BG 12.2024'!$B:$E,4,FALSE),0),0)</f>
        <v>0</v>
      </c>
      <c r="I422" s="21"/>
      <c r="J422" s="28">
        <f>+IF(F422="i",IFERROR(VLOOKUP(C422,'BG 2023'!$B:$E,3,FALSE),0),0)</f>
        <v>0</v>
      </c>
      <c r="K422" s="21">
        <f>+IF(F422="i",IFERROR(VLOOKUP(C422,'BG 2023'!$B:$E,4,FALSE),0),0)</f>
        <v>0</v>
      </c>
      <c r="M422" s="15" t="e">
        <f>+VLOOKUP(C422,'BG 2023'!$B:$E,1,0)</f>
        <v>#N/A</v>
      </c>
      <c r="N422" s="806" t="e">
        <f>+VLOOKUP(C422,'BG 2023'!$B:$E,3,0)</f>
        <v>#N/A</v>
      </c>
      <c r="O422" s="807" t="e">
        <f t="shared" si="22"/>
        <v>#N/A</v>
      </c>
      <c r="P422" s="807"/>
      <c r="R422" s="807">
        <f>+IFERROR(VLOOKUP(C422,'CA FE'!$A:$C,3,0),0)-G422</f>
        <v>0</v>
      </c>
    </row>
    <row r="423" spans="1:18" ht="12" customHeight="1">
      <c r="A423" s="354" t="s">
        <v>10</v>
      </c>
      <c r="B423" s="354"/>
      <c r="C423" s="355">
        <v>11402313</v>
      </c>
      <c r="D423" s="354" t="s">
        <v>526</v>
      </c>
      <c r="E423" s="356" t="s">
        <v>634</v>
      </c>
      <c r="F423" s="356" t="str">
        <f t="shared" si="23"/>
        <v>NI</v>
      </c>
      <c r="G423" s="28">
        <f>+IF(F423="i",IFERROR(VLOOKUP(C423,'BG 12.2024'!$B:$E,3,FALSE),0),0)</f>
        <v>0</v>
      </c>
      <c r="H423" s="21">
        <f>+IF(F423="i",IFERROR(VLOOKUP(C423,'BG 12.2024'!$B:$E,4,FALSE),0),0)</f>
        <v>0</v>
      </c>
      <c r="I423" s="21"/>
      <c r="J423" s="28">
        <f>+IF(F423="i",IFERROR(VLOOKUP(C423,'BG 2023'!$B:$E,3,FALSE),0),0)</f>
        <v>0</v>
      </c>
      <c r="K423" s="21">
        <f>+IF(F423="i",IFERROR(VLOOKUP(C423,'BG 2023'!$B:$E,4,FALSE),0),0)</f>
        <v>0</v>
      </c>
      <c r="M423" s="15" t="e">
        <f>+VLOOKUP(C423,'BG 2023'!$B:$E,1,0)</f>
        <v>#N/A</v>
      </c>
      <c r="N423" s="806" t="e">
        <f>+VLOOKUP(C423,'BG 2023'!$B:$E,3,0)</f>
        <v>#N/A</v>
      </c>
      <c r="O423" s="807" t="e">
        <f t="shared" si="22"/>
        <v>#N/A</v>
      </c>
      <c r="P423" s="807"/>
      <c r="R423" s="807">
        <f>+IFERROR(VLOOKUP(C423,'CA FE'!$A:$C,3,0),0)-G423</f>
        <v>0</v>
      </c>
    </row>
    <row r="424" spans="1:18" ht="12" customHeight="1">
      <c r="A424" s="354" t="s">
        <v>10</v>
      </c>
      <c r="B424" s="354"/>
      <c r="C424" s="355">
        <v>1140231301</v>
      </c>
      <c r="D424" s="354" t="s">
        <v>256</v>
      </c>
      <c r="E424" s="356" t="s">
        <v>634</v>
      </c>
      <c r="F424" s="356" t="str">
        <f t="shared" si="23"/>
        <v>I</v>
      </c>
      <c r="G424" s="28">
        <f>+IF(F424="i",IFERROR(VLOOKUP(C424,'BG 12.2024'!$B:$E,3,FALSE),0),0)</f>
        <v>0</v>
      </c>
      <c r="H424" s="21">
        <f>+IF(F424="i",IFERROR(VLOOKUP(C424,'BG 12.2024'!$B:$E,4,FALSE),0),0)</f>
        <v>0</v>
      </c>
      <c r="I424" s="21"/>
      <c r="J424" s="28">
        <f>+IF(F424="i",IFERROR(VLOOKUP(C424,'BG 2023'!$B:$E,3,FALSE),0),0)</f>
        <v>0</v>
      </c>
      <c r="K424" s="21">
        <f>+IF(F424="i",IFERROR(VLOOKUP(C424,'BG 2023'!$B:$E,4,FALSE),0),0)</f>
        <v>0</v>
      </c>
      <c r="M424" s="15" t="e">
        <f>+VLOOKUP(C424,'BG 2023'!$B:$E,1,0)</f>
        <v>#N/A</v>
      </c>
      <c r="N424" s="806" t="e">
        <f>+VLOOKUP(C424,'BG 2023'!$B:$E,3,0)</f>
        <v>#N/A</v>
      </c>
      <c r="O424" s="807" t="e">
        <f t="shared" si="22"/>
        <v>#N/A</v>
      </c>
      <c r="P424" s="807"/>
      <c r="R424" s="807">
        <f>+IFERROR(VLOOKUP(C424,'CA FE'!$A:$C,3,0),0)-G424</f>
        <v>0</v>
      </c>
    </row>
    <row r="425" spans="1:18" ht="12" customHeight="1">
      <c r="A425" s="354" t="s">
        <v>10</v>
      </c>
      <c r="B425" s="354"/>
      <c r="C425" s="355">
        <v>1140231302</v>
      </c>
      <c r="D425" s="354" t="s">
        <v>258</v>
      </c>
      <c r="E425" s="356" t="s">
        <v>640</v>
      </c>
      <c r="F425" s="356" t="str">
        <f t="shared" si="23"/>
        <v>I</v>
      </c>
      <c r="G425" s="28">
        <f>+IF(F425="i",IFERROR(VLOOKUP(C425,'BG 12.2024'!$B:$E,3,FALSE),0),0)</f>
        <v>0</v>
      </c>
      <c r="H425" s="21">
        <f>+IF(F425="i",IFERROR(VLOOKUP(C425,'BG 12.2024'!$B:$E,4,FALSE),0),0)</f>
        <v>0</v>
      </c>
      <c r="I425" s="21"/>
      <c r="J425" s="28">
        <f>+IF(F425="i",IFERROR(VLOOKUP(C425,'BG 2023'!$B:$E,3,FALSE),0),0)</f>
        <v>0</v>
      </c>
      <c r="K425" s="21">
        <f>+IF(F425="i",IFERROR(VLOOKUP(C425,'BG 2023'!$B:$E,4,FALSE),0),0)</f>
        <v>0</v>
      </c>
      <c r="M425" s="15" t="e">
        <f>+VLOOKUP(C425,'BG 2023'!$B:$E,1,0)</f>
        <v>#N/A</v>
      </c>
      <c r="N425" s="806" t="e">
        <f>+VLOOKUP(C425,'BG 2023'!$B:$E,3,0)</f>
        <v>#N/A</v>
      </c>
      <c r="O425" s="807" t="e">
        <f t="shared" si="22"/>
        <v>#N/A</v>
      </c>
      <c r="P425" s="807"/>
      <c r="R425" s="807">
        <f>+IFERROR(VLOOKUP(C425,'CA FE'!$A:$C,3,0),0)-G425</f>
        <v>0</v>
      </c>
    </row>
    <row r="426" spans="1:18" ht="12" customHeight="1">
      <c r="A426" s="354" t="s">
        <v>10</v>
      </c>
      <c r="B426" s="354"/>
      <c r="C426" s="355">
        <v>11402314</v>
      </c>
      <c r="D426" s="354" t="s">
        <v>58</v>
      </c>
      <c r="E426" s="356" t="s">
        <v>634</v>
      </c>
      <c r="F426" s="356" t="str">
        <f t="shared" si="23"/>
        <v>NI</v>
      </c>
      <c r="G426" s="28">
        <f>+IF(F426="i",IFERROR(VLOOKUP(C426,'BG 12.2024'!$B:$E,3,FALSE),0),0)</f>
        <v>0</v>
      </c>
      <c r="H426" s="21">
        <f>+IF(F426="i",IFERROR(VLOOKUP(C426,'BG 12.2024'!$B:$E,4,FALSE),0),0)</f>
        <v>0</v>
      </c>
      <c r="I426" s="21"/>
      <c r="J426" s="28">
        <f>+IF(F426="i",IFERROR(VLOOKUP(C426,'BG 2023'!$B:$E,3,FALSE),0),0)</f>
        <v>0</v>
      </c>
      <c r="K426" s="21">
        <f>+IF(F426="i",IFERROR(VLOOKUP(C426,'BG 2023'!$B:$E,4,FALSE),0),0)</f>
        <v>0</v>
      </c>
      <c r="M426" s="15" t="e">
        <f>+VLOOKUP(C426,'BG 2023'!$B:$E,1,0)</f>
        <v>#N/A</v>
      </c>
      <c r="N426" s="806" t="e">
        <f>+VLOOKUP(C426,'BG 2023'!$B:$E,3,0)</f>
        <v>#N/A</v>
      </c>
      <c r="O426" s="807" t="e">
        <f t="shared" si="22"/>
        <v>#N/A</v>
      </c>
      <c r="P426" s="807"/>
      <c r="R426" s="807">
        <f>+IFERROR(VLOOKUP(C426,'CA FE'!$A:$C,3,0),0)-G426</f>
        <v>0</v>
      </c>
    </row>
    <row r="427" spans="1:18" ht="12" customHeight="1">
      <c r="A427" s="354" t="s">
        <v>10</v>
      </c>
      <c r="B427" s="354"/>
      <c r="C427" s="355">
        <v>1140231401</v>
      </c>
      <c r="D427" s="354" t="s">
        <v>59</v>
      </c>
      <c r="E427" s="356" t="s">
        <v>634</v>
      </c>
      <c r="F427" s="356" t="str">
        <f t="shared" si="23"/>
        <v>I</v>
      </c>
      <c r="G427" s="28">
        <f>+IF(F427="i",IFERROR(VLOOKUP(C427,'BG 12.2024'!$B:$E,3,FALSE),0),0)</f>
        <v>0</v>
      </c>
      <c r="H427" s="21">
        <f>+IF(F427="i",IFERROR(VLOOKUP(C427,'BG 12.2024'!$B:$E,4,FALSE),0),0)</f>
        <v>0</v>
      </c>
      <c r="I427" s="21"/>
      <c r="J427" s="28">
        <f>+IF(F427="i",IFERROR(VLOOKUP(C427,'BG 2023'!$B:$E,3,FALSE),0),0)</f>
        <v>0</v>
      </c>
      <c r="K427" s="21">
        <f>+IF(F427="i",IFERROR(VLOOKUP(C427,'BG 2023'!$B:$E,4,FALSE),0),0)</f>
        <v>0</v>
      </c>
      <c r="M427" s="15" t="e">
        <f>+VLOOKUP(C427,'BG 2023'!$B:$E,1,0)</f>
        <v>#N/A</v>
      </c>
      <c r="N427" s="806" t="e">
        <f>+VLOOKUP(C427,'BG 2023'!$B:$E,3,0)</f>
        <v>#N/A</v>
      </c>
      <c r="O427" s="807" t="e">
        <f t="shared" si="22"/>
        <v>#N/A</v>
      </c>
      <c r="P427" s="807"/>
      <c r="R427" s="807">
        <f>+IFERROR(VLOOKUP(C427,'CA FE'!$A:$C,3,0),0)-G427</f>
        <v>0</v>
      </c>
    </row>
    <row r="428" spans="1:18" ht="12" customHeight="1">
      <c r="A428" s="354" t="s">
        <v>10</v>
      </c>
      <c r="B428" s="354"/>
      <c r="C428" s="355">
        <v>1140231402</v>
      </c>
      <c r="D428" s="354" t="s">
        <v>60</v>
      </c>
      <c r="E428" s="356" t="s">
        <v>640</v>
      </c>
      <c r="F428" s="356" t="str">
        <f t="shared" si="23"/>
        <v>I</v>
      </c>
      <c r="G428" s="28">
        <f>+IF(F428="i",IFERROR(VLOOKUP(C428,'BG 12.2024'!$B:$E,3,FALSE),0),0)</f>
        <v>0</v>
      </c>
      <c r="H428" s="21">
        <f>+IF(F428="i",IFERROR(VLOOKUP(C428,'BG 12.2024'!$B:$E,4,FALSE),0),0)</f>
        <v>0</v>
      </c>
      <c r="I428" s="21"/>
      <c r="J428" s="28">
        <f>+IF(F428="i",IFERROR(VLOOKUP(C428,'BG 2023'!$B:$E,3,FALSE),0),0)</f>
        <v>0</v>
      </c>
      <c r="K428" s="21">
        <f>+IF(F428="i",IFERROR(VLOOKUP(C428,'BG 2023'!$B:$E,4,FALSE),0),0)</f>
        <v>0</v>
      </c>
      <c r="M428" s="15" t="e">
        <f>+VLOOKUP(C428,'BG 2023'!$B:$E,1,0)</f>
        <v>#N/A</v>
      </c>
      <c r="N428" s="806" t="e">
        <f>+VLOOKUP(C428,'BG 2023'!$B:$E,3,0)</f>
        <v>#N/A</v>
      </c>
      <c r="O428" s="807" t="e">
        <f t="shared" si="22"/>
        <v>#N/A</v>
      </c>
      <c r="P428" s="807"/>
      <c r="R428" s="807">
        <f>+IFERROR(VLOOKUP(C428,'CA FE'!$A:$C,3,0),0)-G428</f>
        <v>0</v>
      </c>
    </row>
    <row r="429" spans="1:18" ht="12" customHeight="1">
      <c r="A429" s="354" t="s">
        <v>10</v>
      </c>
      <c r="B429" s="354"/>
      <c r="C429" s="355">
        <v>11403</v>
      </c>
      <c r="D429" s="354" t="s">
        <v>110</v>
      </c>
      <c r="E429" s="356" t="s">
        <v>634</v>
      </c>
      <c r="F429" s="356" t="str">
        <f t="shared" si="23"/>
        <v>NI</v>
      </c>
      <c r="G429" s="28">
        <f>+IF(F429="i",IFERROR(VLOOKUP(C429,'BG 12.2024'!$B:$E,3,FALSE),0),0)</f>
        <v>0</v>
      </c>
      <c r="H429" s="21">
        <f>+IF(F429="i",IFERROR(VLOOKUP(C429,'BG 12.2024'!$B:$E,4,FALSE),0),0)</f>
        <v>0</v>
      </c>
      <c r="I429" s="21"/>
      <c r="J429" s="28">
        <f>+IF(F429="i",IFERROR(VLOOKUP(C429,'BG 2023'!$B:$E,3,FALSE),0),0)</f>
        <v>0</v>
      </c>
      <c r="K429" s="21">
        <f>+IF(F429="i",IFERROR(VLOOKUP(C429,'BG 2023'!$B:$E,4,FALSE),0),0)</f>
        <v>0</v>
      </c>
      <c r="M429" s="15">
        <f>+VLOOKUP(C429,'BG 2023'!$B:$E,1,0)</f>
        <v>11403</v>
      </c>
      <c r="N429" s="806">
        <f>+VLOOKUP(C429,'BG 2023'!$B:$E,3,0)</f>
        <v>9947415978</v>
      </c>
      <c r="O429" s="807">
        <f t="shared" si="22"/>
        <v>9947415978</v>
      </c>
      <c r="P429" s="807"/>
      <c r="R429" s="807">
        <f>+IFERROR(VLOOKUP(C429,'CA FE'!$A:$C,3,0),0)-G429</f>
        <v>0</v>
      </c>
    </row>
    <row r="430" spans="1:18" ht="12" customHeight="1">
      <c r="A430" s="354" t="s">
        <v>10</v>
      </c>
      <c r="B430" s="354"/>
      <c r="C430" s="355">
        <v>114031</v>
      </c>
      <c r="D430" s="354" t="s">
        <v>111</v>
      </c>
      <c r="E430" s="356" t="s">
        <v>634</v>
      </c>
      <c r="F430" s="356" t="str">
        <f t="shared" si="23"/>
        <v>NI</v>
      </c>
      <c r="G430" s="28">
        <f>+IF(F430="i",IFERROR(VLOOKUP(C430,'BG 12.2024'!$B:$E,3,FALSE),0),0)</f>
        <v>0</v>
      </c>
      <c r="H430" s="21">
        <f>+IF(F430="i",IFERROR(VLOOKUP(C430,'BG 12.2024'!$B:$E,4,FALSE),0),0)</f>
        <v>0</v>
      </c>
      <c r="I430" s="21"/>
      <c r="J430" s="28">
        <f>+IF(F430="i",IFERROR(VLOOKUP(C430,'BG 2023'!$B:$E,3,FALSE),0),0)</f>
        <v>0</v>
      </c>
      <c r="K430" s="21">
        <f>+IF(F430="i",IFERROR(VLOOKUP(C430,'BG 2023'!$B:$E,4,FALSE),0),0)</f>
        <v>0</v>
      </c>
      <c r="M430" s="15">
        <f>+VLOOKUP(C430,'BG 2023'!$B:$E,1,0)</f>
        <v>114031</v>
      </c>
      <c r="N430" s="806">
        <f>+VLOOKUP(C430,'BG 2023'!$B:$E,3,0)</f>
        <v>9947415978</v>
      </c>
      <c r="O430" s="807">
        <f t="shared" si="22"/>
        <v>9947415978</v>
      </c>
      <c r="P430" s="807"/>
      <c r="R430" s="807">
        <f>+IFERROR(VLOOKUP(C430,'CA FE'!$A:$C,3,0),0)-G430</f>
        <v>0</v>
      </c>
    </row>
    <row r="431" spans="1:18" ht="12" customHeight="1">
      <c r="A431" s="354" t="s">
        <v>10</v>
      </c>
      <c r="B431" s="354"/>
      <c r="C431" s="355">
        <v>1140311</v>
      </c>
      <c r="D431" s="354" t="s">
        <v>112</v>
      </c>
      <c r="E431" s="356" t="s">
        <v>634</v>
      </c>
      <c r="F431" s="356" t="str">
        <f t="shared" si="23"/>
        <v>NI</v>
      </c>
      <c r="G431" s="28">
        <f>+IF(F431="i",IFERROR(VLOOKUP(C431,'BG 12.2024'!$B:$E,3,FALSE),0),0)</f>
        <v>0</v>
      </c>
      <c r="H431" s="21">
        <f>+IF(F431="i",IFERROR(VLOOKUP(C431,'BG 12.2024'!$B:$E,4,FALSE),0),0)</f>
        <v>0</v>
      </c>
      <c r="I431" s="21"/>
      <c r="J431" s="28">
        <f>+IF(F431="i",IFERROR(VLOOKUP(C431,'BG 2023'!$B:$E,3,FALSE),0),0)</f>
        <v>0</v>
      </c>
      <c r="K431" s="21">
        <f>+IF(F431="i",IFERROR(VLOOKUP(C431,'BG 2023'!$B:$E,4,FALSE),0),0)</f>
        <v>0</v>
      </c>
      <c r="M431" s="15">
        <f>+VLOOKUP(C431,'BG 2023'!$B:$E,1,0)</f>
        <v>1140311</v>
      </c>
      <c r="N431" s="806">
        <f>+VLOOKUP(C431,'BG 2023'!$B:$E,3,0)</f>
        <v>7942758328</v>
      </c>
      <c r="O431" s="807">
        <f t="shared" si="22"/>
        <v>7942758328</v>
      </c>
      <c r="P431" s="807"/>
      <c r="R431" s="807">
        <f>+IFERROR(VLOOKUP(C431,'CA FE'!$A:$C,3,0),0)-G431</f>
        <v>0</v>
      </c>
    </row>
    <row r="432" spans="1:18" ht="12" customHeight="1">
      <c r="A432" s="354" t="s">
        <v>10</v>
      </c>
      <c r="B432" s="354"/>
      <c r="C432" s="355">
        <v>11403111</v>
      </c>
      <c r="D432" s="354" t="s">
        <v>113</v>
      </c>
      <c r="E432" s="356" t="s">
        <v>634</v>
      </c>
      <c r="F432" s="356" t="str">
        <f t="shared" si="23"/>
        <v>NI</v>
      </c>
      <c r="G432" s="28">
        <f>+IF(F432="i",IFERROR(VLOOKUP(C432,'BG 12.2024'!$B:$E,3,FALSE),0),0)</f>
        <v>0</v>
      </c>
      <c r="H432" s="21">
        <f>+IF(F432="i",IFERROR(VLOOKUP(C432,'BG 12.2024'!$B:$E,4,FALSE),0),0)</f>
        <v>0</v>
      </c>
      <c r="I432" s="21"/>
      <c r="J432" s="28">
        <f>+IF(F432="i",IFERROR(VLOOKUP(C432,'BG 2023'!$B:$E,3,FALSE),0),0)</f>
        <v>0</v>
      </c>
      <c r="K432" s="21">
        <f>+IF(F432="i",IFERROR(VLOOKUP(C432,'BG 2023'!$B:$E,4,FALSE),0),0)</f>
        <v>0</v>
      </c>
      <c r="M432" s="15">
        <f>+VLOOKUP(C432,'BG 2023'!$B:$E,1,0)</f>
        <v>11403111</v>
      </c>
      <c r="N432" s="806">
        <f>+VLOOKUP(C432,'BG 2023'!$B:$E,3,0)</f>
        <v>7837413610</v>
      </c>
      <c r="O432" s="807">
        <f t="shared" si="22"/>
        <v>7837413610</v>
      </c>
      <c r="P432" s="807"/>
      <c r="R432" s="807">
        <f>+IFERROR(VLOOKUP(C432,'CA FE'!$A:$C,3,0),0)-G432</f>
        <v>0</v>
      </c>
    </row>
    <row r="433" spans="1:18" ht="12" customHeight="1">
      <c r="A433" s="354" t="s">
        <v>10</v>
      </c>
      <c r="B433" s="354" t="s">
        <v>794</v>
      </c>
      <c r="C433" s="355">
        <v>1140311101</v>
      </c>
      <c r="D433" s="354" t="s">
        <v>795</v>
      </c>
      <c r="E433" s="356" t="s">
        <v>634</v>
      </c>
      <c r="F433" s="356" t="str">
        <f t="shared" si="23"/>
        <v>I</v>
      </c>
      <c r="G433" s="28">
        <f>+IF(F433="i",IFERROR(VLOOKUP(C433,'BG 12.2024'!$B:$E,3,FALSE),0),0)</f>
        <v>2449000000</v>
      </c>
      <c r="H433" s="21">
        <f>+IF(F433="i",IFERROR(VLOOKUP(C433,'BG 12.2024'!$B:$E,4,FALSE),0),0)</f>
        <v>312721.0700000003</v>
      </c>
      <c r="I433" s="21"/>
      <c r="J433" s="28">
        <f>+IF(F433="i",IFERROR(VLOOKUP(C433,'BG 2023'!$B:$E,3,FALSE),0),0)</f>
        <v>0</v>
      </c>
      <c r="K433" s="21">
        <f>+IF(F433="i",IFERROR(VLOOKUP(C433,'BG 2023'!$B:$E,4,FALSE),0),0)</f>
        <v>0</v>
      </c>
      <c r="M433" s="15" t="e">
        <f>+VLOOKUP(C433,'BG 2023'!$B:$E,1,0)</f>
        <v>#N/A</v>
      </c>
      <c r="N433" s="806" t="e">
        <f>+VLOOKUP(C433,'BG 2023'!$B:$E,3,0)</f>
        <v>#N/A</v>
      </c>
      <c r="O433" s="807" t="e">
        <f t="shared" si="22"/>
        <v>#N/A</v>
      </c>
      <c r="P433" s="807"/>
      <c r="R433" s="807">
        <f>+IFERROR(VLOOKUP(C433,'CA FE'!$A:$C,3,0),0)-G433</f>
        <v>0</v>
      </c>
    </row>
    <row r="434" spans="1:18" ht="12" customHeight="1">
      <c r="A434" s="354" t="s">
        <v>10</v>
      </c>
      <c r="B434" s="354" t="s">
        <v>794</v>
      </c>
      <c r="C434" s="355">
        <v>1140311102</v>
      </c>
      <c r="D434" s="354" t="s">
        <v>114</v>
      </c>
      <c r="E434" s="356" t="s">
        <v>640</v>
      </c>
      <c r="F434" s="356" t="str">
        <f t="shared" si="23"/>
        <v>I</v>
      </c>
      <c r="G434" s="28">
        <f>+IF(F434="i",IFERROR(VLOOKUP(C434,'BG 12.2024'!$B:$E,3,FALSE),0),0)</f>
        <v>10282444380</v>
      </c>
      <c r="H434" s="1229">
        <f>+IF(F434="i",IFERROR(VLOOKUP(C434,'BG 12.2024'!$B:$E,4,FALSE),0),0)</f>
        <v>1313000</v>
      </c>
      <c r="I434" s="21"/>
      <c r="J434" s="28">
        <f>+IF(F434="i",IFERROR(VLOOKUP(C434,'BG 2023'!$B:$E,3,FALSE),0),0)</f>
        <v>7837413610</v>
      </c>
      <c r="K434" s="840">
        <f>+IF(F434="i",IFERROR(VLOOKUP(C434,'BG 2023'!$B:$E,4,FALSE),0),0)</f>
        <v>1079000</v>
      </c>
      <c r="M434" s="15">
        <f>+VLOOKUP(C434,'BG 2023'!$B:$E,1,0)</f>
        <v>1140311102</v>
      </c>
      <c r="N434" s="806">
        <f>+VLOOKUP(C434,'BG 2023'!$B:$E,3,0)</f>
        <v>7837413610</v>
      </c>
      <c r="O434" s="807">
        <f t="shared" si="22"/>
        <v>-2445030770</v>
      </c>
      <c r="P434" s="807"/>
      <c r="R434" s="807">
        <f>+IFERROR(VLOOKUP(C434,'CA FE'!$A:$C,3,0),0)-G434</f>
        <v>0</v>
      </c>
    </row>
    <row r="435" spans="1:18" ht="12" customHeight="1">
      <c r="A435" s="354" t="s">
        <v>10</v>
      </c>
      <c r="B435" s="1210" t="s">
        <v>794</v>
      </c>
      <c r="C435" s="355">
        <v>1140311103</v>
      </c>
      <c r="D435" s="354" t="s">
        <v>796</v>
      </c>
      <c r="E435" s="356" t="s">
        <v>634</v>
      </c>
      <c r="F435" s="356" t="str">
        <f t="shared" si="23"/>
        <v>I</v>
      </c>
      <c r="G435" s="28">
        <f>+IF(F435="i",IFERROR(VLOOKUP(C435,'BG 12.2024'!$B:$E,3,FALSE),0),0)</f>
        <v>1000000000</v>
      </c>
      <c r="H435" s="21">
        <f>+IF(F435="i",IFERROR(VLOOKUP(C435,'BG 12.2024'!$B:$E,4,FALSE),0),0)</f>
        <v>127693.37000000011</v>
      </c>
      <c r="I435" s="21"/>
      <c r="J435" s="28">
        <f>+IF(F435="i",IFERROR(VLOOKUP(C435,'BG 2023'!$B:$E,3,FALSE),0),0)</f>
        <v>0</v>
      </c>
      <c r="K435" s="21">
        <f>+IF(F435="i",IFERROR(VLOOKUP(C435,'BG 2023'!$B:$E,4,FALSE),0),0)</f>
        <v>0</v>
      </c>
      <c r="M435" s="15" t="e">
        <f>+VLOOKUP(C435,'BG 2023'!$B:$E,1,0)</f>
        <v>#N/A</v>
      </c>
      <c r="N435" s="806" t="e">
        <f>+VLOOKUP(C435,'BG 2023'!$B:$E,3,0)</f>
        <v>#N/A</v>
      </c>
      <c r="O435" s="807" t="e">
        <f t="shared" si="22"/>
        <v>#N/A</v>
      </c>
      <c r="P435" s="807"/>
      <c r="R435" s="807">
        <f>+IFERROR(VLOOKUP(C435,'CA FE'!$A:$C,3,0),0)-G435</f>
        <v>0</v>
      </c>
    </row>
    <row r="436" spans="1:18" ht="12" customHeight="1">
      <c r="A436" s="354" t="s">
        <v>10</v>
      </c>
      <c r="B436" s="354"/>
      <c r="C436" s="355">
        <v>1140311104</v>
      </c>
      <c r="D436" s="354" t="s">
        <v>797</v>
      </c>
      <c r="E436" s="356" t="s">
        <v>634</v>
      </c>
      <c r="F436" s="356" t="str">
        <f t="shared" si="23"/>
        <v>I</v>
      </c>
      <c r="G436" s="28">
        <f>+IF(F436="i",IFERROR(VLOOKUP(C436,'BG 12.2024'!$B:$E,3,FALSE),0),0)</f>
        <v>0</v>
      </c>
      <c r="H436" s="21">
        <f>+IF(F436="i",IFERROR(VLOOKUP(C436,'BG 12.2024'!$B:$E,4,FALSE),0),0)</f>
        <v>0</v>
      </c>
      <c r="I436" s="21"/>
      <c r="J436" s="28">
        <f>+IF(F436="i",IFERROR(VLOOKUP(C436,'BG 2023'!$B:$E,3,FALSE),0),0)</f>
        <v>0</v>
      </c>
      <c r="K436" s="21">
        <f>+IF(F436="i",IFERROR(VLOOKUP(C436,'BG 2023'!$B:$E,4,FALSE),0),0)</f>
        <v>0</v>
      </c>
      <c r="M436" s="15" t="e">
        <f>+VLOOKUP(C436,'BG 2023'!$B:$E,1,0)</f>
        <v>#N/A</v>
      </c>
      <c r="N436" s="806" t="e">
        <f>+VLOOKUP(C436,'BG 2023'!$B:$E,3,0)</f>
        <v>#N/A</v>
      </c>
      <c r="O436" s="807" t="e">
        <f t="shared" si="22"/>
        <v>#N/A</v>
      </c>
      <c r="P436" s="807"/>
      <c r="R436" s="807">
        <f>+IFERROR(VLOOKUP(C436,'CA FE'!$A:$C,3,0),0)-G436</f>
        <v>0</v>
      </c>
    </row>
    <row r="437" spans="1:18" ht="12" customHeight="1">
      <c r="A437" s="354" t="s">
        <v>10</v>
      </c>
      <c r="B437" s="354"/>
      <c r="C437" s="355">
        <v>11403112</v>
      </c>
      <c r="D437" s="354" t="s">
        <v>115</v>
      </c>
      <c r="E437" s="356" t="s">
        <v>634</v>
      </c>
      <c r="F437" s="356" t="str">
        <f t="shared" si="23"/>
        <v>NI</v>
      </c>
      <c r="G437" s="28">
        <f>+IF(F437="i",IFERROR(VLOOKUP(C437,'BG 12.2024'!$B:$E,3,FALSE),0),0)</f>
        <v>0</v>
      </c>
      <c r="H437" s="21">
        <f>+IF(F437="i",IFERROR(VLOOKUP(C437,'BG 12.2024'!$B:$E,4,FALSE),0),0)</f>
        <v>0</v>
      </c>
      <c r="I437" s="21"/>
      <c r="J437" s="28">
        <f>+IF(F437="i",IFERROR(VLOOKUP(C437,'BG 2023'!$B:$E,3,FALSE),0),0)</f>
        <v>0</v>
      </c>
      <c r="K437" s="21">
        <f>+IF(F437="i",IFERROR(VLOOKUP(C437,'BG 2023'!$B:$E,4,FALSE),0),0)</f>
        <v>0</v>
      </c>
      <c r="M437" s="15">
        <f>+VLOOKUP(C437,'BG 2023'!$B:$E,1,0)</f>
        <v>11403112</v>
      </c>
      <c r="N437" s="806">
        <f>+VLOOKUP(C437,'BG 2023'!$B:$E,3,0)</f>
        <v>2493044516</v>
      </c>
      <c r="O437" s="807">
        <f t="shared" si="22"/>
        <v>2493044516</v>
      </c>
      <c r="P437" s="807"/>
      <c r="R437" s="807">
        <f>+IFERROR(VLOOKUP(C437,'CA FE'!$A:$C,3,0),0)-G437</f>
        <v>0</v>
      </c>
    </row>
    <row r="438" spans="1:18" ht="12" customHeight="1">
      <c r="A438" s="354" t="s">
        <v>10</v>
      </c>
      <c r="B438" s="354" t="s">
        <v>794</v>
      </c>
      <c r="C438" s="355">
        <v>1140311201</v>
      </c>
      <c r="D438" s="354" t="s">
        <v>115</v>
      </c>
      <c r="E438" s="356" t="s">
        <v>634</v>
      </c>
      <c r="F438" s="356" t="str">
        <f t="shared" si="23"/>
        <v>I</v>
      </c>
      <c r="G438" s="28">
        <f>+IF(F438="i",IFERROR(VLOOKUP(C438,'BG 12.2024'!$B:$E,3,FALSE),0),0)</f>
        <v>905101766</v>
      </c>
      <c r="H438" s="21">
        <f>+IF(F438="i",IFERROR(VLOOKUP(C438,'BG 12.2024'!$B:$E,4,FALSE),0),0)</f>
        <v>115575.5</v>
      </c>
      <c r="I438" s="21"/>
      <c r="J438" s="28">
        <f>+IF(F438="i",IFERROR(VLOOKUP(C438,'BG 2023'!$B:$E,3,FALSE),0),0)</f>
        <v>0</v>
      </c>
      <c r="K438" s="21">
        <f>+IF(F438="i",IFERROR(VLOOKUP(C438,'BG 2023'!$B:$E,4,FALSE),0),0)</f>
        <v>0</v>
      </c>
      <c r="M438" s="15" t="e">
        <f>+VLOOKUP(C438,'BG 2023'!$B:$E,1,0)</f>
        <v>#N/A</v>
      </c>
      <c r="N438" s="806" t="e">
        <f>+VLOOKUP(C438,'BG 2023'!$B:$E,3,0)</f>
        <v>#N/A</v>
      </c>
      <c r="O438" s="807" t="e">
        <f t="shared" si="22"/>
        <v>#N/A</v>
      </c>
      <c r="P438" s="807"/>
      <c r="R438" s="807">
        <f>+IFERROR(VLOOKUP(C438,'CA FE'!$A:$C,3,0),0)-G438</f>
        <v>0</v>
      </c>
    </row>
    <row r="439" spans="1:18" ht="12" customHeight="1">
      <c r="A439" s="354" t="s">
        <v>10</v>
      </c>
      <c r="B439" s="354" t="s">
        <v>794</v>
      </c>
      <c r="C439" s="355">
        <v>1140311202</v>
      </c>
      <c r="D439" s="354" t="s">
        <v>116</v>
      </c>
      <c r="E439" s="356" t="s">
        <v>640</v>
      </c>
      <c r="F439" s="356" t="str">
        <f t="shared" si="23"/>
        <v>I</v>
      </c>
      <c r="G439" s="28">
        <f>+IF(F439="i",IFERROR(VLOOKUP(C439,'BG 12.2024'!$B:$E,3,FALSE),0),0)</f>
        <v>2469254151</v>
      </c>
      <c r="H439" s="1229">
        <f>+IF(F439="i",IFERROR(VLOOKUP(C439,'BG 12.2024'!$B:$E,4,FALSE),0),0)</f>
        <v>315307.3899999999</v>
      </c>
      <c r="I439" s="21"/>
      <c r="J439" s="28">
        <f>+IF(F439="i",IFERROR(VLOOKUP(C439,'BG 2023'!$B:$E,3,FALSE),0),0)</f>
        <v>2493044516</v>
      </c>
      <c r="K439" s="840">
        <f>+IF(F439="i",IFERROR(VLOOKUP(C439,'BG 2023'!$B:$E,4,FALSE),0),0)</f>
        <v>343224.83999999985</v>
      </c>
      <c r="M439" s="15">
        <f>+VLOOKUP(C439,'BG 2023'!$B:$E,1,0)</f>
        <v>1140311202</v>
      </c>
      <c r="N439" s="806">
        <f>+VLOOKUP(C439,'BG 2023'!$B:$E,3,0)</f>
        <v>2493044516</v>
      </c>
      <c r="O439" s="807">
        <f t="shared" si="22"/>
        <v>23790365</v>
      </c>
      <c r="P439" s="807"/>
      <c r="R439" s="807">
        <f>+IFERROR(VLOOKUP(C439,'CA FE'!$A:$C,3,0),0)-G439</f>
        <v>0</v>
      </c>
    </row>
    <row r="440" spans="1:18" ht="12" customHeight="1">
      <c r="A440" s="354" t="s">
        <v>10</v>
      </c>
      <c r="B440" s="1210" t="s">
        <v>794</v>
      </c>
      <c r="C440" s="355">
        <v>1140311203</v>
      </c>
      <c r="D440" s="354" t="s">
        <v>2704</v>
      </c>
      <c r="E440" s="356" t="s">
        <v>634</v>
      </c>
      <c r="F440" s="356" t="str">
        <f t="shared" ref="F440" si="24">+IF(LEN(C440)&gt;8,"I","NI")</f>
        <v>I</v>
      </c>
      <c r="G440" s="28">
        <f>+IF(F440="i",IFERROR(VLOOKUP(C440,'BG 12.2024'!$B:$E,3,FALSE),0),0)</f>
        <v>206712329</v>
      </c>
      <c r="H440" s="21">
        <f>+IF(F440="i",IFERROR(VLOOKUP(C440,'BG 12.2024'!$B:$E,4,FALSE),0),0)</f>
        <v>26395.789999999804</v>
      </c>
      <c r="I440" s="21"/>
      <c r="J440" s="28">
        <f>+IF(F440="i",IFERROR(VLOOKUP(C440,'BG 2023'!$B:$E,3,FALSE),0),0)</f>
        <v>0</v>
      </c>
      <c r="K440" s="21">
        <f>+IF(F440="i",IFERROR(VLOOKUP(C440,'BG 2023'!$B:$E,4,FALSE),0),0)</f>
        <v>0</v>
      </c>
      <c r="N440" s="806"/>
      <c r="O440" s="807"/>
      <c r="P440" s="807"/>
      <c r="R440" s="807"/>
    </row>
    <row r="441" spans="1:18" ht="12" customHeight="1">
      <c r="A441" s="354" t="s">
        <v>10</v>
      </c>
      <c r="B441" s="354"/>
      <c r="C441" s="355">
        <v>11403113</v>
      </c>
      <c r="D441" s="354" t="s">
        <v>117</v>
      </c>
      <c r="E441" s="356" t="s">
        <v>634</v>
      </c>
      <c r="F441" s="356" t="str">
        <f t="shared" si="23"/>
        <v>NI</v>
      </c>
      <c r="G441" s="28">
        <f>+IF(F441="i",IFERROR(VLOOKUP(C441,'BG 12.2024'!$B:$E,3,FALSE),0),0)</f>
        <v>0</v>
      </c>
      <c r="H441" s="21">
        <f>+IF(F441="i",IFERROR(VLOOKUP(C441,'BG 12.2024'!$B:$E,4,FALSE),0),0)</f>
        <v>0</v>
      </c>
      <c r="I441" s="21"/>
      <c r="J441" s="28">
        <f>+IF(F441="i",IFERROR(VLOOKUP(C441,'BG 2023'!$B:$E,3,FALSE),0),0)</f>
        <v>0</v>
      </c>
      <c r="K441" s="21">
        <f>+IF(F441="i",IFERROR(VLOOKUP(C441,'BG 2023'!$B:$E,4,FALSE),0),0)</f>
        <v>0</v>
      </c>
      <c r="M441" s="15">
        <f>+VLOOKUP(C441,'BG 2023'!$B:$E,1,0)</f>
        <v>11403113</v>
      </c>
      <c r="N441" s="806">
        <f>+VLOOKUP(C441,'BG 2023'!$B:$E,3,0)</f>
        <v>-2409845743</v>
      </c>
      <c r="O441" s="807">
        <f t="shared" si="22"/>
        <v>-2409845743</v>
      </c>
      <c r="P441" s="807"/>
      <c r="Q441" s="1203">
        <v>1140311202</v>
      </c>
      <c r="R441" s="807">
        <f>+IFERROR(VLOOKUP(C441,'CA FE'!$A:$C,3,0),0)-G441</f>
        <v>0</v>
      </c>
    </row>
    <row r="442" spans="1:18" ht="12" customHeight="1">
      <c r="A442" s="354" t="s">
        <v>10</v>
      </c>
      <c r="B442" s="354" t="s">
        <v>794</v>
      </c>
      <c r="C442" s="355">
        <v>1140311301</v>
      </c>
      <c r="D442" s="354" t="s">
        <v>117</v>
      </c>
      <c r="E442" s="356" t="s">
        <v>634</v>
      </c>
      <c r="F442" s="356" t="str">
        <f t="shared" si="23"/>
        <v>I</v>
      </c>
      <c r="G442" s="28">
        <f>+IF(F442="i",IFERROR(VLOOKUP(C442,'BG 12.2024'!$B:$E,3,FALSE),0),0)</f>
        <v>-824405077</v>
      </c>
      <c r="H442" s="21">
        <f>+IF(F442="i",IFERROR(VLOOKUP(C442,'BG 12.2024'!$B:$E,4,FALSE),0),0)</f>
        <v>-105271.05999999982</v>
      </c>
      <c r="I442" s="21"/>
      <c r="J442" s="28">
        <f>+IF(F442="i",IFERROR(VLOOKUP(C442,'BG 2023'!$B:$E,3,FALSE),0),0)</f>
        <v>0</v>
      </c>
      <c r="K442" s="21">
        <f>+IF(F442="i",IFERROR(VLOOKUP(C442,'BG 2023'!$B:$E,4,FALSE),0),0)</f>
        <v>0</v>
      </c>
      <c r="M442" s="15" t="e">
        <f>+VLOOKUP(C442,'BG 2023'!$B:$E,1,0)</f>
        <v>#N/A</v>
      </c>
      <c r="N442" s="806" t="e">
        <f>+VLOOKUP(C442,'BG 2023'!$B:$E,3,0)</f>
        <v>#N/A</v>
      </c>
      <c r="O442" s="807" t="e">
        <f t="shared" si="22"/>
        <v>#N/A</v>
      </c>
      <c r="P442" s="807"/>
      <c r="R442" s="807">
        <f>+IFERROR(VLOOKUP(C442,'CA FE'!$A:$C,3,0),0)-G442</f>
        <v>0</v>
      </c>
    </row>
    <row r="443" spans="1:18" ht="12" customHeight="1">
      <c r="A443" s="354" t="s">
        <v>10</v>
      </c>
      <c r="B443" s="354" t="s">
        <v>794</v>
      </c>
      <c r="C443" s="355">
        <v>1140311302</v>
      </c>
      <c r="D443" s="354" t="s">
        <v>118</v>
      </c>
      <c r="E443" s="356" t="s">
        <v>640</v>
      </c>
      <c r="F443" s="356" t="str">
        <f t="shared" si="23"/>
        <v>I</v>
      </c>
      <c r="G443" s="28">
        <f>+IF(F443="i",IFERROR(VLOOKUP(C443,'BG 12.2024'!$B:$E,3,FALSE),0),0)</f>
        <v>-2358763608</v>
      </c>
      <c r="H443" s="1229">
        <f>+IF(F443="i",IFERROR(VLOOKUP(C443,'BG 12.2024'!$B:$E,4,FALSE),0),0)</f>
        <v>-301198.48</v>
      </c>
      <c r="I443" s="21"/>
      <c r="J443" s="28">
        <f>+IF(F443="i",IFERROR(VLOOKUP(C443,'BG 2023'!$B:$E,3,FALSE),0),0)</f>
        <v>-2409845743</v>
      </c>
      <c r="K443" s="840">
        <f>+IF(F443="i",IFERROR(VLOOKUP(C443,'BG 2023'!$B:$E,4,FALSE),0),0)</f>
        <v>-331770.61800000025</v>
      </c>
      <c r="M443" s="15">
        <f>+VLOOKUP(C443,'BG 2023'!$B:$E,1,0)</f>
        <v>1140311302</v>
      </c>
      <c r="N443" s="806">
        <f>+VLOOKUP(C443,'BG 2023'!$B:$E,3,0)</f>
        <v>-2409845743</v>
      </c>
      <c r="O443" s="807">
        <f t="shared" si="22"/>
        <v>-51082135</v>
      </c>
      <c r="P443" s="807"/>
      <c r="R443" s="807">
        <f>+IFERROR(VLOOKUP(C443,'CA FE'!$A:$C,3,0),0)-G443</f>
        <v>0</v>
      </c>
    </row>
    <row r="444" spans="1:18" ht="12" customHeight="1">
      <c r="A444" s="354" t="s">
        <v>10</v>
      </c>
      <c r="B444" s="1210" t="s">
        <v>794</v>
      </c>
      <c r="C444" s="355">
        <v>1140311303</v>
      </c>
      <c r="D444" s="354" t="s">
        <v>2706</v>
      </c>
      <c r="E444" s="356" t="s">
        <v>634</v>
      </c>
      <c r="F444" s="356" t="str">
        <f t="shared" ref="F444" si="25">+IF(LEN(C444)&gt;8,"I","NI")</f>
        <v>I</v>
      </c>
      <c r="G444" s="28">
        <f>+IF(F444="i",IFERROR(VLOOKUP(C444,'BG 12.2024'!$B:$E,3,FALSE),0),0)</f>
        <v>-215547945</v>
      </c>
      <c r="H444" s="21">
        <f>+IF(F444="i",IFERROR(VLOOKUP(C444,'BG 12.2024'!$B:$E,4,FALSE),0),0)</f>
        <v>-27524.039999999804</v>
      </c>
      <c r="I444" s="21"/>
      <c r="J444" s="28">
        <f>+IF(F444="i",IFERROR(VLOOKUP(C444,'BG 2023'!$B:$E,3,FALSE),0),0)</f>
        <v>0</v>
      </c>
      <c r="K444" s="21">
        <f>+IF(F444="i",IFERROR(VLOOKUP(C444,'BG 2023'!$B:$E,4,FALSE),0),0)</f>
        <v>0</v>
      </c>
      <c r="N444" s="806"/>
      <c r="O444" s="807"/>
      <c r="P444" s="807"/>
      <c r="R444" s="807"/>
    </row>
    <row r="445" spans="1:18" ht="11.25" customHeight="1">
      <c r="A445" s="354" t="s">
        <v>10</v>
      </c>
      <c r="B445" s="354"/>
      <c r="C445" s="355">
        <v>11403114</v>
      </c>
      <c r="D445" s="354" t="s">
        <v>798</v>
      </c>
      <c r="E445" s="356" t="s">
        <v>634</v>
      </c>
      <c r="F445" s="356" t="str">
        <f t="shared" si="23"/>
        <v>NI</v>
      </c>
      <c r="G445" s="28">
        <f>+IF(F445="i",IFERROR(VLOOKUP(C445,'BG 12.2024'!$B:$E,3,FALSE),0),0)</f>
        <v>0</v>
      </c>
      <c r="H445" s="21">
        <f>+IF(F445="i",IFERROR(VLOOKUP(C445,'BG 12.2024'!$B:$E,4,FALSE),0),0)</f>
        <v>0</v>
      </c>
      <c r="I445" s="21"/>
      <c r="J445" s="28">
        <f>+IF(F445="i",IFERROR(VLOOKUP(C445,'BG 2023'!$B:$E,3,FALSE),0),0)</f>
        <v>0</v>
      </c>
      <c r="K445" s="21">
        <f>+IF(F445="i",IFERROR(VLOOKUP(C445,'BG 2023'!$B:$E,4,FALSE),0),0)</f>
        <v>0</v>
      </c>
      <c r="M445" s="15">
        <f>+VLOOKUP(C445,'BG 2023'!$B:$E,1,0)</f>
        <v>11403114</v>
      </c>
      <c r="N445" s="806">
        <f>+VLOOKUP(C445,'BG 2023'!$B:$E,3,0)</f>
        <v>22147761</v>
      </c>
      <c r="O445" s="807">
        <f t="shared" si="22"/>
        <v>22147761</v>
      </c>
      <c r="P445" s="807"/>
      <c r="Q445" s="1203">
        <v>1140311302</v>
      </c>
      <c r="R445" s="807">
        <f>+IFERROR(VLOOKUP(C445,'CA FE'!$A:$C,3,0),0)-G445</f>
        <v>0</v>
      </c>
    </row>
    <row r="446" spans="1:18" ht="11.25" customHeight="1">
      <c r="A446" s="354" t="s">
        <v>10</v>
      </c>
      <c r="B446" s="1210" t="s">
        <v>794</v>
      </c>
      <c r="C446" s="355">
        <v>1140311401</v>
      </c>
      <c r="D446" s="354" t="s">
        <v>799</v>
      </c>
      <c r="E446" s="356" t="s">
        <v>634</v>
      </c>
      <c r="F446" s="356" t="str">
        <f t="shared" si="23"/>
        <v>I</v>
      </c>
      <c r="G446" s="28">
        <f>+IF(F446="i",IFERROR(VLOOKUP(C446,'BG 12.2024'!$B:$E,3,FALSE),0),0)</f>
        <v>7157704</v>
      </c>
      <c r="H446" s="21">
        <f>+IF(F446="i",IFERROR(VLOOKUP(C446,'BG 12.2024'!$B:$E,4,FALSE),0),0)</f>
        <v>913.98999999999069</v>
      </c>
      <c r="I446" s="21"/>
      <c r="J446" s="28">
        <f>+IF(F446="i",IFERROR(VLOOKUP(C446,'BG 2023'!$B:$E,3,FALSE),0),0)</f>
        <v>0</v>
      </c>
      <c r="K446" s="21">
        <f>+IF(F446="i",IFERROR(VLOOKUP(C446,'BG 2023'!$B:$E,4,FALSE),0),0)</f>
        <v>0</v>
      </c>
      <c r="M446" s="15" t="e">
        <f>+VLOOKUP(C446,'BG 2023'!$B:$E,1,0)</f>
        <v>#N/A</v>
      </c>
      <c r="N446" s="806" t="e">
        <f>+VLOOKUP(C446,'BG 2023'!$B:$E,3,0)</f>
        <v>#N/A</v>
      </c>
      <c r="O446" s="807" t="e">
        <f t="shared" si="22"/>
        <v>#N/A</v>
      </c>
      <c r="P446" s="807"/>
      <c r="R446" s="807">
        <f>+IFERROR(VLOOKUP(C446,'CA FE'!$A:$C,3,0),0)-G446</f>
        <v>0</v>
      </c>
    </row>
    <row r="447" spans="1:18" ht="12" customHeight="1">
      <c r="A447" s="354" t="s">
        <v>10</v>
      </c>
      <c r="B447" s="354" t="s">
        <v>794</v>
      </c>
      <c r="C447" s="355">
        <v>1140311402</v>
      </c>
      <c r="D447" s="354" t="s">
        <v>120</v>
      </c>
      <c r="E447" s="356" t="s">
        <v>640</v>
      </c>
      <c r="F447" s="356" t="str">
        <f t="shared" si="23"/>
        <v>I</v>
      </c>
      <c r="G447" s="28">
        <f>+IF(F447="i",IFERROR(VLOOKUP(C447,'BG 12.2024'!$B:$E,3,FALSE),0),0)</f>
        <v>23209662</v>
      </c>
      <c r="H447" s="1229">
        <f>+IF(F447="i",IFERROR(VLOOKUP(C447,'BG 12.2024'!$B:$E,4,FALSE),0),0)</f>
        <v>2963.7199999999993</v>
      </c>
      <c r="I447" s="21"/>
      <c r="J447" s="28">
        <f>+IF(F447="i",IFERROR(VLOOKUP(C447,'BG 2023'!$B:$E,3,FALSE),0),0)</f>
        <v>22147761</v>
      </c>
      <c r="K447" s="840">
        <f>+IF(F447="i",IFERROR(VLOOKUP(C447,'BG 2023'!$B:$E,4,FALSE),0),0)</f>
        <v>3049.1480000000015</v>
      </c>
      <c r="M447" s="15">
        <f>+VLOOKUP(C447,'BG 2023'!$B:$E,1,0)</f>
        <v>1140311402</v>
      </c>
      <c r="N447" s="806">
        <f>+VLOOKUP(C447,'BG 2023'!$B:$E,3,0)</f>
        <v>22147761</v>
      </c>
      <c r="O447" s="807">
        <f t="shared" si="22"/>
        <v>-1061901</v>
      </c>
      <c r="P447" s="807"/>
      <c r="R447" s="807">
        <f>+IFERROR(VLOOKUP(C447,'CA FE'!$A:$C,3,0),0)-G447</f>
        <v>0</v>
      </c>
    </row>
    <row r="448" spans="1:18" ht="12" customHeight="1">
      <c r="A448" s="354" t="s">
        <v>10</v>
      </c>
      <c r="B448" s="1210" t="s">
        <v>794</v>
      </c>
      <c r="C448" s="355">
        <v>1140311403</v>
      </c>
      <c r="D448" s="354" t="s">
        <v>800</v>
      </c>
      <c r="E448" s="356" t="s">
        <v>634</v>
      </c>
      <c r="F448" s="356" t="str">
        <f t="shared" si="23"/>
        <v>I</v>
      </c>
      <c r="G448" s="28">
        <f>+IF(F448="i",IFERROR(VLOOKUP(C448,'BG 12.2024'!$B:$E,3,FALSE),0),0)</f>
        <v>0</v>
      </c>
      <c r="H448" s="21">
        <f>+IF(F448="i",IFERROR(VLOOKUP(C448,'BG 12.2024'!$B:$E,4,FALSE),0),0)</f>
        <v>0</v>
      </c>
      <c r="I448" s="21"/>
      <c r="J448" s="28">
        <f>+IF(F448="i",IFERROR(VLOOKUP(C448,'BG 2023'!$B:$E,3,FALSE),0),0)</f>
        <v>0</v>
      </c>
      <c r="K448" s="21">
        <f>+IF(F448="i",IFERROR(VLOOKUP(C448,'BG 2023'!$B:$E,4,FALSE),0),0)</f>
        <v>0</v>
      </c>
      <c r="M448" s="15" t="e">
        <f>+VLOOKUP(C448,'BG 2023'!$B:$E,1,0)</f>
        <v>#N/A</v>
      </c>
      <c r="N448" s="806" t="e">
        <f>+VLOOKUP(C448,'BG 2023'!$B:$E,3,0)</f>
        <v>#N/A</v>
      </c>
      <c r="O448" s="807" t="e">
        <f t="shared" si="22"/>
        <v>#N/A</v>
      </c>
      <c r="P448" s="807"/>
      <c r="R448" s="807">
        <f>+IFERROR(VLOOKUP(C448,'CA FE'!$A:$C,3,0),0)-G448</f>
        <v>0</v>
      </c>
    </row>
    <row r="449" spans="1:18">
      <c r="A449" s="354" t="s">
        <v>10</v>
      </c>
      <c r="B449" s="354"/>
      <c r="C449" s="355">
        <v>11403115</v>
      </c>
      <c r="D449" s="354" t="s">
        <v>121</v>
      </c>
      <c r="E449" s="356" t="s">
        <v>634</v>
      </c>
      <c r="F449" s="356" t="str">
        <f t="shared" si="23"/>
        <v>NI</v>
      </c>
      <c r="G449" s="28">
        <f>+IF(F449="i",IFERROR(VLOOKUP(C449,'BG 12.2024'!$B:$E,3,FALSE),0),0)</f>
        <v>0</v>
      </c>
      <c r="H449" s="21">
        <f>+IF(F449="i",IFERROR(VLOOKUP(C449,'BG 12.2024'!$B:$E,4,FALSE),0),0)</f>
        <v>0</v>
      </c>
      <c r="I449" s="21"/>
      <c r="J449" s="28">
        <f>+IF(F449="i",IFERROR(VLOOKUP(C449,'BG 2023'!$B:$E,3,FALSE),0),0)</f>
        <v>0</v>
      </c>
      <c r="K449" s="21">
        <f>+IF(F449="i",IFERROR(VLOOKUP(C449,'BG 2023'!$B:$E,4,FALSE),0),0)</f>
        <v>0</v>
      </c>
      <c r="M449" s="15">
        <f>+VLOOKUP(C449,'BG 2023'!$B:$E,1,0)</f>
        <v>11403115</v>
      </c>
      <c r="N449" s="806">
        <f>+VLOOKUP(C449,'BG 2023'!$B:$E,3,0)</f>
        <v>-1816</v>
      </c>
      <c r="O449" s="807">
        <f t="shared" si="22"/>
        <v>-1816</v>
      </c>
      <c r="P449" s="807"/>
      <c r="R449" s="807">
        <f>+IFERROR(VLOOKUP(C449,'CA FE'!$A:$C,3,0),0)-G449</f>
        <v>0</v>
      </c>
    </row>
    <row r="450" spans="1:18" ht="12" customHeight="1">
      <c r="A450" s="354" t="s">
        <v>10</v>
      </c>
      <c r="B450" s="354" t="s">
        <v>794</v>
      </c>
      <c r="C450" s="355">
        <v>1140311501</v>
      </c>
      <c r="D450" s="354" t="s">
        <v>801</v>
      </c>
      <c r="E450" s="356" t="s">
        <v>634</v>
      </c>
      <c r="F450" s="356" t="str">
        <f t="shared" si="23"/>
        <v>I</v>
      </c>
      <c r="G450" s="28">
        <f>+IF(F450="i",IFERROR(VLOOKUP(C450,'BG 12.2024'!$B:$E,3,FALSE),0),0)</f>
        <v>0</v>
      </c>
      <c r="H450" s="21">
        <f>+IF(F450="i",IFERROR(VLOOKUP(C450,'BG 12.2024'!$B:$E,4,FALSE),0),0)</f>
        <v>0</v>
      </c>
      <c r="I450" s="21"/>
      <c r="J450" s="28">
        <f>+IF(F450="i",IFERROR(VLOOKUP(C450,'BG 2023'!$B:$E,3,FALSE),0),0)</f>
        <v>0</v>
      </c>
      <c r="K450" s="21">
        <f>+IF(F450="i",IFERROR(VLOOKUP(C450,'BG 2023'!$B:$E,4,FALSE),0),0)</f>
        <v>0</v>
      </c>
      <c r="M450" s="15" t="e">
        <f>+VLOOKUP(C450,'BG 2023'!$B:$E,1,0)</f>
        <v>#N/A</v>
      </c>
      <c r="N450" s="806" t="e">
        <f>+VLOOKUP(C450,'BG 2023'!$B:$E,3,0)</f>
        <v>#N/A</v>
      </c>
      <c r="O450" s="807" t="e">
        <f t="shared" si="22"/>
        <v>#N/A</v>
      </c>
      <c r="P450" s="807"/>
      <c r="R450" s="807">
        <f>+IFERROR(VLOOKUP(C450,'CA FE'!$A:$C,3,0),0)-G450</f>
        <v>0</v>
      </c>
    </row>
    <row r="451" spans="1:18">
      <c r="A451" s="989" t="s">
        <v>193</v>
      </c>
      <c r="B451" s="354" t="s">
        <v>802</v>
      </c>
      <c r="C451" s="355">
        <v>1140311502</v>
      </c>
      <c r="D451" s="354" t="s">
        <v>122</v>
      </c>
      <c r="E451" s="356" t="s">
        <v>640</v>
      </c>
      <c r="F451" s="356" t="str">
        <f t="shared" si="23"/>
        <v>I</v>
      </c>
      <c r="G451" s="988">
        <f>-+IF(F451="i",IFERROR(VLOOKUP(C451,'BG 12.2024'!$B:$E,3,FALSE),0),0)</f>
        <v>0</v>
      </c>
      <c r="H451" s="992">
        <f>-+IF(F451="i",IFERROR(VLOOKUP(C451,'BG 12.2024'!$B:$E,4,FALSE),0),0)</f>
        <v>0</v>
      </c>
      <c r="I451" s="992"/>
      <c r="J451" s="988">
        <f>+-IF(F451="i",IFERROR(VLOOKUP(C451,'BG 2023'!$B:$E,3,FALSE),0),0)</f>
        <v>1816</v>
      </c>
      <c r="K451" s="992">
        <f>+-IF(F451="i",IFERROR(VLOOKUP(C451,'BG 2023'!$B:$E,4,FALSE),0),0)</f>
        <v>0.25</v>
      </c>
      <c r="M451" s="15">
        <f>+VLOOKUP(C451,'BG 2023'!$B:$E,1,0)</f>
        <v>1140311502</v>
      </c>
      <c r="N451" s="806">
        <f>+VLOOKUP(C451,'BG 2023'!$B:$E,3,0)</f>
        <v>-1816</v>
      </c>
      <c r="O451" s="807">
        <f t="shared" si="22"/>
        <v>-1816</v>
      </c>
      <c r="P451" s="807"/>
      <c r="R451" s="807">
        <f>+IFERROR(VLOOKUP(C451,'CA FE'!$A:$C,3,0),0)-G451</f>
        <v>0</v>
      </c>
    </row>
    <row r="452" spans="1:18">
      <c r="A452" s="354" t="s">
        <v>10</v>
      </c>
      <c r="B452" s="354"/>
      <c r="C452" s="355">
        <v>1140312</v>
      </c>
      <c r="D452" s="354" t="s">
        <v>123</v>
      </c>
      <c r="E452" s="356" t="s">
        <v>634</v>
      </c>
      <c r="F452" s="356" t="str">
        <f t="shared" si="23"/>
        <v>NI</v>
      </c>
      <c r="G452" s="28">
        <f>+IF(F452="i",IFERROR(VLOOKUP(C452,'BG 12.2024'!$B:$E,3,FALSE),0),0)</f>
        <v>0</v>
      </c>
      <c r="H452" s="21">
        <f>+IF(F452="i",IFERROR(VLOOKUP(C452,'BG 12.2024'!$B:$E,4,FALSE),0),0)</f>
        <v>0</v>
      </c>
      <c r="I452" s="21"/>
      <c r="J452" s="28">
        <f>+IF(F452="i",IFERROR(VLOOKUP(C452,'BG 2023'!$B:$E,3,FALSE),0),0)</f>
        <v>0</v>
      </c>
      <c r="K452" s="21">
        <f>+IF(F452="i",IFERROR(VLOOKUP(C452,'BG 2023'!$B:$E,4,FALSE),0),0)</f>
        <v>0</v>
      </c>
      <c r="M452" s="15">
        <f>+VLOOKUP(C452,'BG 2023'!$B:$E,1,0)</f>
        <v>1140312</v>
      </c>
      <c r="N452" s="806">
        <f>+VLOOKUP(C452,'BG 2023'!$B:$E,3,0)</f>
        <v>2004657650</v>
      </c>
      <c r="O452" s="807">
        <f t="shared" si="22"/>
        <v>2004657650</v>
      </c>
      <c r="P452" s="807"/>
      <c r="R452" s="807">
        <f>+IFERROR(VLOOKUP(C452,'CA FE'!$A:$C,3,0),0)-G452</f>
        <v>0</v>
      </c>
    </row>
    <row r="453" spans="1:18">
      <c r="A453" s="354" t="s">
        <v>10</v>
      </c>
      <c r="B453" s="354"/>
      <c r="C453" s="355">
        <v>11403121</v>
      </c>
      <c r="D453" s="354" t="s">
        <v>123</v>
      </c>
      <c r="E453" s="356" t="s">
        <v>634</v>
      </c>
      <c r="F453" s="356" t="str">
        <f t="shared" si="23"/>
        <v>NI</v>
      </c>
      <c r="G453" s="28">
        <f>+IF(F453="i",IFERROR(VLOOKUP(C453,'BG 12.2024'!$B:$E,3,FALSE),0),0)</f>
        <v>0</v>
      </c>
      <c r="H453" s="21">
        <f>+IF(F453="i",IFERROR(VLOOKUP(C453,'BG 12.2024'!$B:$E,4,FALSE),0),0)</f>
        <v>0</v>
      </c>
      <c r="I453" s="21"/>
      <c r="J453" s="28">
        <f>+IF(F453="i",IFERROR(VLOOKUP(C453,'BG 2023'!$B:$E,3,FALSE),0),0)</f>
        <v>0</v>
      </c>
      <c r="K453" s="21">
        <f>+IF(F453="i",IFERROR(VLOOKUP(C453,'BG 2023'!$B:$E,4,FALSE),0),0)</f>
        <v>0</v>
      </c>
      <c r="M453" s="15">
        <f>+VLOOKUP(C453,'BG 2023'!$B:$E,1,0)</f>
        <v>11403121</v>
      </c>
      <c r="N453" s="806">
        <f>+VLOOKUP(C453,'BG 2023'!$B:$E,3,0)</f>
        <v>2002394670</v>
      </c>
      <c r="O453" s="807">
        <f t="shared" si="22"/>
        <v>2002394670</v>
      </c>
      <c r="P453" s="807"/>
      <c r="R453" s="807">
        <f>+IFERROR(VLOOKUP(C453,'CA FE'!$A:$C,3,0),0)-G453</f>
        <v>0</v>
      </c>
    </row>
    <row r="454" spans="1:18">
      <c r="A454" s="354" t="s">
        <v>10</v>
      </c>
      <c r="B454" s="354"/>
      <c r="C454" s="355">
        <v>1140312101</v>
      </c>
      <c r="D454" s="354" t="s">
        <v>57</v>
      </c>
      <c r="E454" s="356" t="s">
        <v>634</v>
      </c>
      <c r="F454" s="356" t="str">
        <f t="shared" si="23"/>
        <v>I</v>
      </c>
      <c r="G454" s="28">
        <f>+IF(F454="i",IFERROR(VLOOKUP(C454,'BG 12.2024'!$B:$E,3,FALSE),0),0)</f>
        <v>0</v>
      </c>
      <c r="H454" s="21">
        <f>+IF(F454="i",IFERROR(VLOOKUP(C454,'BG 12.2024'!$B:$E,4,FALSE),0),0)</f>
        <v>0</v>
      </c>
      <c r="I454" s="21"/>
      <c r="J454" s="28">
        <f>+IF(F454="i",IFERROR(VLOOKUP(C454,'BG 2023'!$B:$E,3,FALSE),0),0)</f>
        <v>0</v>
      </c>
      <c r="K454" s="21">
        <f>+IF(F454="i",IFERROR(VLOOKUP(C454,'BG 2023'!$B:$E,4,FALSE),0),0)</f>
        <v>0</v>
      </c>
      <c r="M454" s="15" t="e">
        <f>+VLOOKUP(C454,'BG 2023'!$B:$E,1,0)</f>
        <v>#N/A</v>
      </c>
      <c r="N454" s="806" t="e">
        <f>+VLOOKUP(C454,'BG 2023'!$B:$E,3,0)</f>
        <v>#N/A</v>
      </c>
      <c r="O454" s="807" t="e">
        <f t="shared" si="22"/>
        <v>#N/A</v>
      </c>
      <c r="P454" s="807"/>
      <c r="R454" s="807">
        <f>+IFERROR(VLOOKUP(C454,'CA FE'!$A:$C,3,0),0)-G454</f>
        <v>0</v>
      </c>
    </row>
    <row r="455" spans="1:18">
      <c r="A455" s="354" t="s">
        <v>10</v>
      </c>
      <c r="B455" s="354"/>
      <c r="C455" s="355">
        <v>1140312102</v>
      </c>
      <c r="D455" s="354" t="s">
        <v>254</v>
      </c>
      <c r="E455" s="356" t="s">
        <v>640</v>
      </c>
      <c r="F455" s="356" t="str">
        <f t="shared" si="23"/>
        <v>I</v>
      </c>
      <c r="G455" s="28">
        <f>+IF(F455="i",IFERROR(VLOOKUP(C455,'BG 12.2024'!$B:$E,3,FALSE),0),0)</f>
        <v>0</v>
      </c>
      <c r="H455" s="21">
        <f>+IF(F455="i",IFERROR(VLOOKUP(C455,'BG 12.2024'!$B:$E,4,FALSE),0),0)</f>
        <v>0</v>
      </c>
      <c r="I455" s="21"/>
      <c r="J455" s="28">
        <f>+IF(F455="i",IFERROR(VLOOKUP(C455,'BG 2023'!$B:$E,3,FALSE),0),0)</f>
        <v>0</v>
      </c>
      <c r="K455" s="21">
        <f>+IF(F455="i",IFERROR(VLOOKUP(C455,'BG 2023'!$B:$E,4,FALSE),0),0)</f>
        <v>0</v>
      </c>
      <c r="M455" s="15" t="e">
        <f>+VLOOKUP(C455,'BG 2023'!$B:$E,1,0)</f>
        <v>#N/A</v>
      </c>
      <c r="N455" s="806" t="e">
        <f>+VLOOKUP(C455,'BG 2023'!$B:$E,3,0)</f>
        <v>#N/A</v>
      </c>
      <c r="O455" s="807" t="e">
        <f t="shared" si="22"/>
        <v>#N/A</v>
      </c>
      <c r="P455" s="807"/>
      <c r="R455" s="807">
        <f>+IFERROR(VLOOKUP(C455,'CA FE'!$A:$C,3,0),0)-G455</f>
        <v>0</v>
      </c>
    </row>
    <row r="456" spans="1:18">
      <c r="A456" s="354" t="s">
        <v>10</v>
      </c>
      <c r="B456" s="354"/>
      <c r="C456" s="355">
        <v>1140312103</v>
      </c>
      <c r="D456" s="354" t="s">
        <v>256</v>
      </c>
      <c r="E456" s="356" t="s">
        <v>634</v>
      </c>
      <c r="F456" s="356" t="str">
        <f t="shared" si="23"/>
        <v>I</v>
      </c>
      <c r="G456" s="28">
        <f>+IF(F456="i",IFERROR(VLOOKUP(C456,'BG 12.2024'!$B:$E,3,FALSE),0),0)</f>
        <v>0</v>
      </c>
      <c r="H456" s="21">
        <f>+IF(F456="i",IFERROR(VLOOKUP(C456,'BG 12.2024'!$B:$E,4,FALSE),0),0)</f>
        <v>0</v>
      </c>
      <c r="I456" s="21"/>
      <c r="J456" s="28">
        <f>+IF(F456="i",IFERROR(VLOOKUP(C456,'BG 2023'!$B:$E,3,FALSE),0),0)</f>
        <v>0</v>
      </c>
      <c r="K456" s="21">
        <f>+IF(F456="i",IFERROR(VLOOKUP(C456,'BG 2023'!$B:$E,4,FALSE),0),0)</f>
        <v>0</v>
      </c>
      <c r="M456" s="15" t="e">
        <f>+VLOOKUP(C456,'BG 2023'!$B:$E,1,0)</f>
        <v>#N/A</v>
      </c>
      <c r="N456" s="806" t="e">
        <f>+VLOOKUP(C456,'BG 2023'!$B:$E,3,0)</f>
        <v>#N/A</v>
      </c>
      <c r="O456" s="807" t="e">
        <f t="shared" si="22"/>
        <v>#N/A</v>
      </c>
      <c r="P456" s="807"/>
      <c r="R456" s="807">
        <f>+IFERROR(VLOOKUP(C456,'CA FE'!$A:$C,3,0),0)-G456</f>
        <v>0</v>
      </c>
    </row>
    <row r="457" spans="1:18">
      <c r="A457" s="354" t="s">
        <v>10</v>
      </c>
      <c r="B457" s="354"/>
      <c r="C457" s="355">
        <v>1140312104</v>
      </c>
      <c r="D457" s="354" t="s">
        <v>258</v>
      </c>
      <c r="E457" s="356" t="s">
        <v>640</v>
      </c>
      <c r="F457" s="356" t="str">
        <f t="shared" si="23"/>
        <v>I</v>
      </c>
      <c r="G457" s="28">
        <f>+IF(F457="i",IFERROR(VLOOKUP(C457,'BG 12.2024'!$B:$E,3,FALSE),0),0)</f>
        <v>0</v>
      </c>
      <c r="H457" s="21">
        <f>+IF(F457="i",IFERROR(VLOOKUP(C457,'BG 12.2024'!$B:$E,4,FALSE),0),0)</f>
        <v>0</v>
      </c>
      <c r="I457" s="21"/>
      <c r="J457" s="28">
        <f>+IF(F457="i",IFERROR(VLOOKUP(C457,'BG 2023'!$B:$E,3,FALSE),0),0)</f>
        <v>0</v>
      </c>
      <c r="K457" s="21">
        <f>+IF(F457="i",IFERROR(VLOOKUP(C457,'BG 2023'!$B:$E,4,FALSE),0),0)</f>
        <v>0</v>
      </c>
      <c r="M457" s="15" t="e">
        <f>+VLOOKUP(C457,'BG 2023'!$B:$E,1,0)</f>
        <v>#N/A</v>
      </c>
      <c r="N457" s="806" t="e">
        <f>+VLOOKUP(C457,'BG 2023'!$B:$E,3,0)</f>
        <v>#N/A</v>
      </c>
      <c r="O457" s="807" t="e">
        <f t="shared" si="22"/>
        <v>#N/A</v>
      </c>
      <c r="P457" s="807"/>
      <c r="R457" s="807">
        <f>+IFERROR(VLOOKUP(C457,'CA FE'!$A:$C,3,0),0)-G457</f>
        <v>0</v>
      </c>
    </row>
    <row r="458" spans="1:18">
      <c r="A458" s="354" t="s">
        <v>10</v>
      </c>
      <c r="B458" s="354"/>
      <c r="C458" s="355">
        <v>1140312105</v>
      </c>
      <c r="D458" s="354" t="s">
        <v>59</v>
      </c>
      <c r="E458" s="356" t="s">
        <v>634</v>
      </c>
      <c r="F458" s="356" t="str">
        <f t="shared" si="23"/>
        <v>I</v>
      </c>
      <c r="G458" s="28">
        <f>+IF(F458="i",IFERROR(VLOOKUP(C458,'BG 12.2024'!$B:$E,3,FALSE),0),0)</f>
        <v>0</v>
      </c>
      <c r="H458" s="21">
        <f>+IF(F458="i",IFERROR(VLOOKUP(C458,'BG 12.2024'!$B:$E,4,FALSE),0),0)</f>
        <v>0</v>
      </c>
      <c r="I458" s="21"/>
      <c r="J458" s="28">
        <f>+IF(F458="i",IFERROR(VLOOKUP(C458,'BG 2023'!$B:$E,3,FALSE),0),0)</f>
        <v>0</v>
      </c>
      <c r="K458" s="21">
        <f>+IF(F458="i",IFERROR(VLOOKUP(C458,'BG 2023'!$B:$E,4,FALSE),0),0)</f>
        <v>0</v>
      </c>
      <c r="M458" s="15" t="e">
        <f>+VLOOKUP(C458,'BG 2023'!$B:$E,1,0)</f>
        <v>#N/A</v>
      </c>
      <c r="N458" s="806" t="e">
        <f>+VLOOKUP(C458,'BG 2023'!$B:$E,3,0)</f>
        <v>#N/A</v>
      </c>
      <c r="O458" s="807" t="e">
        <f t="shared" si="22"/>
        <v>#N/A</v>
      </c>
      <c r="P458" s="807"/>
      <c r="R458" s="807">
        <f>+IFERROR(VLOOKUP(C458,'CA FE'!$A:$C,3,0),0)-G458</f>
        <v>0</v>
      </c>
    </row>
    <row r="459" spans="1:18">
      <c r="A459" s="354" t="s">
        <v>10</v>
      </c>
      <c r="B459" s="354"/>
      <c r="C459" s="355">
        <v>1140312106</v>
      </c>
      <c r="D459" s="354" t="s">
        <v>60</v>
      </c>
      <c r="E459" s="356" t="s">
        <v>640</v>
      </c>
      <c r="F459" s="356" t="str">
        <f t="shared" si="23"/>
        <v>I</v>
      </c>
      <c r="G459" s="28">
        <f>+IF(F459="i",IFERROR(VLOOKUP(C459,'BG 12.2024'!$B:$E,3,FALSE),0),0)</f>
        <v>0</v>
      </c>
      <c r="H459" s="21">
        <f>+IF(F459="i",IFERROR(VLOOKUP(C459,'BG 12.2024'!$B:$E,4,FALSE),0),0)</f>
        <v>0</v>
      </c>
      <c r="I459" s="21"/>
      <c r="J459" s="28">
        <f>+IF(F459="i",IFERROR(VLOOKUP(C459,'BG 2023'!$B:$E,3,FALSE),0),0)</f>
        <v>0</v>
      </c>
      <c r="K459" s="21">
        <f>+IF(F459="i",IFERROR(VLOOKUP(C459,'BG 2023'!$B:$E,4,FALSE),0),0)</f>
        <v>0</v>
      </c>
      <c r="M459" s="15" t="e">
        <f>+VLOOKUP(C459,'BG 2023'!$B:$E,1,0)</f>
        <v>#N/A</v>
      </c>
      <c r="N459" s="806" t="e">
        <f>+VLOOKUP(C459,'BG 2023'!$B:$E,3,0)</f>
        <v>#N/A</v>
      </c>
      <c r="O459" s="807" t="e">
        <f t="shared" si="22"/>
        <v>#N/A</v>
      </c>
      <c r="P459" s="807"/>
      <c r="R459" s="807">
        <f>+IFERROR(VLOOKUP(C459,'CA FE'!$A:$C,3,0),0)-G459</f>
        <v>0</v>
      </c>
    </row>
    <row r="460" spans="1:18">
      <c r="A460" s="354" t="s">
        <v>10</v>
      </c>
      <c r="B460" s="354"/>
      <c r="C460" s="355">
        <v>1140312107</v>
      </c>
      <c r="D460" s="354" t="s">
        <v>63</v>
      </c>
      <c r="E460" s="356" t="s">
        <v>634</v>
      </c>
      <c r="F460" s="356" t="str">
        <f t="shared" si="23"/>
        <v>I</v>
      </c>
      <c r="G460" s="28">
        <f>+IF(F460="i",IFERROR(VLOOKUP(C460,'BG 12.2024'!$B:$E,3,FALSE),0),0)</f>
        <v>0</v>
      </c>
      <c r="H460" s="21">
        <f>+IF(F460="i",IFERROR(VLOOKUP(C460,'BG 12.2024'!$B:$E,4,FALSE),0),0)</f>
        <v>0</v>
      </c>
      <c r="I460" s="21"/>
      <c r="J460" s="28">
        <f>+IF(F460="i",IFERROR(VLOOKUP(C460,'BG 2023'!$B:$E,3,FALSE),0),0)</f>
        <v>0</v>
      </c>
      <c r="K460" s="21">
        <f>+IF(F460="i",IFERROR(VLOOKUP(C460,'BG 2023'!$B:$E,4,FALSE),0),0)</f>
        <v>0</v>
      </c>
      <c r="M460" s="15" t="e">
        <f>+VLOOKUP(C460,'BG 2023'!$B:$E,1,0)</f>
        <v>#N/A</v>
      </c>
      <c r="N460" s="806" t="e">
        <f>+VLOOKUP(C460,'BG 2023'!$B:$E,3,0)</f>
        <v>#N/A</v>
      </c>
      <c r="O460" s="807" t="e">
        <f t="shared" si="22"/>
        <v>#N/A</v>
      </c>
      <c r="P460" s="807"/>
      <c r="R460" s="807">
        <f>+IFERROR(VLOOKUP(C460,'CA FE'!$A:$C,3,0),0)-G460</f>
        <v>0</v>
      </c>
    </row>
    <row r="461" spans="1:18">
      <c r="A461" s="354" t="s">
        <v>10</v>
      </c>
      <c r="B461" s="354"/>
      <c r="C461" s="355">
        <v>1140312108</v>
      </c>
      <c r="D461" s="354" t="s">
        <v>64</v>
      </c>
      <c r="E461" s="356" t="s">
        <v>640</v>
      </c>
      <c r="F461" s="356" t="str">
        <f t="shared" si="23"/>
        <v>I</v>
      </c>
      <c r="G461" s="28">
        <f>+IF(F461="i",IFERROR(VLOOKUP(C461,'BG 12.2024'!$B:$E,3,FALSE),0),0)</f>
        <v>0</v>
      </c>
      <c r="H461" s="21">
        <f>+IF(F461="i",IFERROR(VLOOKUP(C461,'BG 12.2024'!$B:$E,4,FALSE),0),0)</f>
        <v>0</v>
      </c>
      <c r="I461" s="21"/>
      <c r="J461" s="28">
        <f>+IF(F461="i",IFERROR(VLOOKUP(C461,'BG 2023'!$B:$E,3,FALSE),0),0)</f>
        <v>0</v>
      </c>
      <c r="K461" s="21">
        <f>+IF(F461="i",IFERROR(VLOOKUP(C461,'BG 2023'!$B:$E,4,FALSE),0),0)</f>
        <v>0</v>
      </c>
      <c r="M461" s="15" t="e">
        <f>+VLOOKUP(C461,'BG 2023'!$B:$E,1,0)</f>
        <v>#N/A</v>
      </c>
      <c r="N461" s="806" t="e">
        <f>+VLOOKUP(C461,'BG 2023'!$B:$E,3,0)</f>
        <v>#N/A</v>
      </c>
      <c r="O461" s="807" t="e">
        <f t="shared" si="22"/>
        <v>#N/A</v>
      </c>
      <c r="P461" s="807"/>
      <c r="R461" s="807">
        <f>+IFERROR(VLOOKUP(C461,'CA FE'!$A:$C,3,0),0)-G461</f>
        <v>0</v>
      </c>
    </row>
    <row r="462" spans="1:18">
      <c r="A462" s="354" t="s">
        <v>10</v>
      </c>
      <c r="B462" s="354"/>
      <c r="C462" s="355">
        <v>1140312109</v>
      </c>
      <c r="D462" s="354" t="s">
        <v>66</v>
      </c>
      <c r="E462" s="356" t="s">
        <v>634</v>
      </c>
      <c r="F462" s="356" t="str">
        <f t="shared" si="23"/>
        <v>I</v>
      </c>
      <c r="G462" s="28">
        <f>+IF(F462="i",IFERROR(VLOOKUP(C462,'BG 12.2024'!$B:$E,3,FALSE),0),0)</f>
        <v>0</v>
      </c>
      <c r="H462" s="21">
        <f>+IF(F462="i",IFERROR(VLOOKUP(C462,'BG 12.2024'!$B:$E,4,FALSE),0),0)</f>
        <v>0</v>
      </c>
      <c r="I462" s="21"/>
      <c r="J462" s="28">
        <f>+IF(F462="i",IFERROR(VLOOKUP(C462,'BG 2023'!$B:$E,3,FALSE),0),0)</f>
        <v>0</v>
      </c>
      <c r="K462" s="21">
        <f>+IF(F462="i",IFERROR(VLOOKUP(C462,'BG 2023'!$B:$E,4,FALSE),0),0)</f>
        <v>0</v>
      </c>
      <c r="M462" s="15" t="e">
        <f>+VLOOKUP(C462,'BG 2023'!$B:$E,1,0)</f>
        <v>#N/A</v>
      </c>
      <c r="N462" s="806" t="e">
        <f>+VLOOKUP(C462,'BG 2023'!$B:$E,3,0)</f>
        <v>#N/A</v>
      </c>
      <c r="O462" s="807" t="e">
        <f t="shared" si="22"/>
        <v>#N/A</v>
      </c>
      <c r="P462" s="807"/>
      <c r="R462" s="807">
        <f>+IFERROR(VLOOKUP(C462,'CA FE'!$A:$C,3,0),0)-G462</f>
        <v>0</v>
      </c>
    </row>
    <row r="463" spans="1:18">
      <c r="A463" s="354" t="s">
        <v>10</v>
      </c>
      <c r="B463" s="354"/>
      <c r="C463" s="355">
        <v>1140312110</v>
      </c>
      <c r="D463" s="354" t="s">
        <v>690</v>
      </c>
      <c r="E463" s="356" t="s">
        <v>640</v>
      </c>
      <c r="F463" s="356" t="str">
        <f t="shared" si="23"/>
        <v>I</v>
      </c>
      <c r="G463" s="28">
        <f>+IF(F463="i",IFERROR(VLOOKUP(C463,'BG 12.2024'!$B:$E,3,FALSE),0),0)</f>
        <v>0</v>
      </c>
      <c r="H463" s="21">
        <f>+IF(F463="i",IFERROR(VLOOKUP(C463,'BG 12.2024'!$B:$E,4,FALSE),0),0)</f>
        <v>0</v>
      </c>
      <c r="I463" s="21"/>
      <c r="J463" s="28">
        <f>+IF(F463="i",IFERROR(VLOOKUP(C463,'BG 2023'!$B:$E,3,FALSE),0),0)</f>
        <v>0</v>
      </c>
      <c r="K463" s="21">
        <f>+IF(F463="i",IFERROR(VLOOKUP(C463,'BG 2023'!$B:$E,4,FALSE),0),0)</f>
        <v>0</v>
      </c>
      <c r="M463" s="15" t="e">
        <f>+VLOOKUP(C463,'BG 2023'!$B:$E,1,0)</f>
        <v>#N/A</v>
      </c>
      <c r="N463" s="806" t="e">
        <f>+VLOOKUP(C463,'BG 2023'!$B:$E,3,0)</f>
        <v>#N/A</v>
      </c>
      <c r="O463" s="807" t="e">
        <f t="shared" si="22"/>
        <v>#N/A</v>
      </c>
      <c r="P463" s="807"/>
      <c r="R463" s="807">
        <f>+IFERROR(VLOOKUP(C463,'CA FE'!$A:$C,3,0),0)-G463</f>
        <v>0</v>
      </c>
    </row>
    <row r="464" spans="1:18">
      <c r="A464" s="354" t="s">
        <v>10</v>
      </c>
      <c r="B464" s="354"/>
      <c r="C464" s="355">
        <v>1140312111</v>
      </c>
      <c r="D464" s="354" t="s">
        <v>692</v>
      </c>
      <c r="E464" s="356" t="s">
        <v>634</v>
      </c>
      <c r="F464" s="356" t="str">
        <f t="shared" si="23"/>
        <v>I</v>
      </c>
      <c r="G464" s="28">
        <f>+IF(F464="i",IFERROR(VLOOKUP(C464,'BG 12.2024'!$B:$E,3,FALSE),0),0)</f>
        <v>0</v>
      </c>
      <c r="H464" s="21">
        <f>+IF(F464="i",IFERROR(VLOOKUP(C464,'BG 12.2024'!$B:$E,4,FALSE),0),0)</f>
        <v>0</v>
      </c>
      <c r="I464" s="21"/>
      <c r="J464" s="28">
        <f>+IF(F464="i",IFERROR(VLOOKUP(C464,'BG 2023'!$B:$E,3,FALSE),0),0)</f>
        <v>0</v>
      </c>
      <c r="K464" s="21">
        <f>+IF(F464="i",IFERROR(VLOOKUP(C464,'BG 2023'!$B:$E,4,FALSE),0),0)</f>
        <v>0</v>
      </c>
      <c r="M464" s="15" t="e">
        <f>+VLOOKUP(C464,'BG 2023'!$B:$E,1,0)</f>
        <v>#N/A</v>
      </c>
      <c r="N464" s="806" t="e">
        <f>+VLOOKUP(C464,'BG 2023'!$B:$E,3,0)</f>
        <v>#N/A</v>
      </c>
      <c r="O464" s="807" t="e">
        <f t="shared" si="22"/>
        <v>#N/A</v>
      </c>
      <c r="P464" s="807"/>
      <c r="R464" s="807">
        <f>+IFERROR(VLOOKUP(C464,'CA FE'!$A:$C,3,0),0)-G464</f>
        <v>0</v>
      </c>
    </row>
    <row r="465" spans="1:18">
      <c r="A465" s="354" t="s">
        <v>10</v>
      </c>
      <c r="B465" s="354"/>
      <c r="C465" s="355">
        <v>1140312112</v>
      </c>
      <c r="D465" s="354" t="s">
        <v>693</v>
      </c>
      <c r="E465" s="356" t="s">
        <v>640</v>
      </c>
      <c r="F465" s="356" t="str">
        <f t="shared" si="23"/>
        <v>I</v>
      </c>
      <c r="G465" s="28">
        <f>+IF(F465="i",IFERROR(VLOOKUP(C465,'BG 12.2024'!$B:$E,3,FALSE),0),0)</f>
        <v>0</v>
      </c>
      <c r="H465" s="21">
        <f>+IF(F465="i",IFERROR(VLOOKUP(C465,'BG 12.2024'!$B:$E,4,FALSE),0),0)</f>
        <v>0</v>
      </c>
      <c r="I465" s="21"/>
      <c r="J465" s="28">
        <f>+IF(F465="i",IFERROR(VLOOKUP(C465,'BG 2023'!$B:$E,3,FALSE),0),0)</f>
        <v>0</v>
      </c>
      <c r="K465" s="21">
        <f>+IF(F465="i",IFERROR(VLOOKUP(C465,'BG 2023'!$B:$E,4,FALSE),0),0)</f>
        <v>0</v>
      </c>
      <c r="M465" s="15" t="e">
        <f>+VLOOKUP(C465,'BG 2023'!$B:$E,1,0)</f>
        <v>#N/A</v>
      </c>
      <c r="N465" s="806" t="e">
        <f>+VLOOKUP(C465,'BG 2023'!$B:$E,3,0)</f>
        <v>#N/A</v>
      </c>
      <c r="O465" s="807" t="e">
        <f t="shared" si="22"/>
        <v>#N/A</v>
      </c>
      <c r="P465" s="807"/>
      <c r="R465" s="807">
        <f>+IFERROR(VLOOKUP(C465,'CA FE'!$A:$C,3,0),0)-G465</f>
        <v>0</v>
      </c>
    </row>
    <row r="466" spans="1:18">
      <c r="A466" s="354" t="s">
        <v>10</v>
      </c>
      <c r="B466" s="354"/>
      <c r="C466" s="355">
        <v>1140312113</v>
      </c>
      <c r="D466" s="354" t="s">
        <v>803</v>
      </c>
      <c r="E466" s="356" t="s">
        <v>634</v>
      </c>
      <c r="F466" s="356" t="str">
        <f t="shared" si="23"/>
        <v>I</v>
      </c>
      <c r="G466" s="28">
        <f>+IF(F466="i",IFERROR(VLOOKUP(C466,'BG 12.2024'!$B:$E,3,FALSE),0),0)</f>
        <v>0</v>
      </c>
      <c r="H466" s="21">
        <f>+IF(F466="i",IFERROR(VLOOKUP(C466,'BG 12.2024'!$B:$E,4,FALSE),0),0)</f>
        <v>0</v>
      </c>
      <c r="I466" s="21"/>
      <c r="J466" s="28">
        <f>+IF(F466="i",IFERROR(VLOOKUP(C466,'BG 2023'!$B:$E,3,FALSE),0),0)</f>
        <v>0</v>
      </c>
      <c r="K466" s="21">
        <f>+IF(F466="i",IFERROR(VLOOKUP(C466,'BG 2023'!$B:$E,4,FALSE),0),0)</f>
        <v>0</v>
      </c>
      <c r="M466" s="15" t="e">
        <f>+VLOOKUP(C466,'BG 2023'!$B:$E,1,0)</f>
        <v>#N/A</v>
      </c>
      <c r="N466" s="806" t="e">
        <f>+VLOOKUP(C466,'BG 2023'!$B:$E,3,0)</f>
        <v>#N/A</v>
      </c>
      <c r="O466" s="807" t="e">
        <f t="shared" si="22"/>
        <v>#N/A</v>
      </c>
      <c r="P466" s="807"/>
      <c r="R466" s="807">
        <f>+IFERROR(VLOOKUP(C466,'CA FE'!$A:$C,3,0),0)-G466</f>
        <v>0</v>
      </c>
    </row>
    <row r="467" spans="1:18">
      <c r="A467" s="354" t="s">
        <v>10</v>
      </c>
      <c r="B467" s="354"/>
      <c r="C467" s="355">
        <v>1140312114</v>
      </c>
      <c r="D467" s="354" t="s">
        <v>254</v>
      </c>
      <c r="E467" s="356" t="s">
        <v>640</v>
      </c>
      <c r="F467" s="356" t="str">
        <f t="shared" si="23"/>
        <v>I</v>
      </c>
      <c r="G467" s="28">
        <f>+IF(F467="i",IFERROR(VLOOKUP(C467,'BG 12.2024'!$B:$E,3,FALSE),0),0)</f>
        <v>0</v>
      </c>
      <c r="H467" s="21">
        <f>+IF(F467="i",IFERROR(VLOOKUP(C467,'BG 12.2024'!$B:$E,4,FALSE),0),0)</f>
        <v>0</v>
      </c>
      <c r="I467" s="21"/>
      <c r="J467" s="28">
        <f>+IF(F467="i",IFERROR(VLOOKUP(C467,'BG 2023'!$B:$E,3,FALSE),0),0)</f>
        <v>0</v>
      </c>
      <c r="K467" s="21">
        <f>+IF(F467="i",IFERROR(VLOOKUP(C467,'BG 2023'!$B:$E,4,FALSE),0),0)</f>
        <v>0</v>
      </c>
      <c r="M467" s="15" t="e">
        <f>+VLOOKUP(C467,'BG 2023'!$B:$E,1,0)</f>
        <v>#N/A</v>
      </c>
      <c r="N467" s="806" t="e">
        <f>+VLOOKUP(C467,'BG 2023'!$B:$E,3,0)</f>
        <v>#N/A</v>
      </c>
      <c r="O467" s="807" t="e">
        <f t="shared" si="22"/>
        <v>#N/A</v>
      </c>
      <c r="P467" s="807"/>
      <c r="R467" s="807">
        <f>+IFERROR(VLOOKUP(C467,'CA FE'!$A:$C,3,0),0)-G467</f>
        <v>0</v>
      </c>
    </row>
    <row r="468" spans="1:18">
      <c r="A468" s="354" t="s">
        <v>10</v>
      </c>
      <c r="B468" s="354"/>
      <c r="C468" s="355">
        <v>1140312115</v>
      </c>
      <c r="D468" s="354" t="s">
        <v>256</v>
      </c>
      <c r="E468" s="356" t="s">
        <v>634</v>
      </c>
      <c r="F468" s="356" t="str">
        <f t="shared" si="23"/>
        <v>I</v>
      </c>
      <c r="G468" s="28">
        <f>+IF(F468="i",IFERROR(VLOOKUP(C468,'BG 12.2024'!$B:$E,3,FALSE),0),0)</f>
        <v>0</v>
      </c>
      <c r="H468" s="21">
        <f>+IF(F468="i",IFERROR(VLOOKUP(C468,'BG 12.2024'!$B:$E,4,FALSE),0),0)</f>
        <v>0</v>
      </c>
      <c r="I468" s="21"/>
      <c r="J468" s="28">
        <f>+IF(F468="i",IFERROR(VLOOKUP(C468,'BG 2023'!$B:$E,3,FALSE),0),0)</f>
        <v>0</v>
      </c>
      <c r="K468" s="21">
        <f>+IF(F468="i",IFERROR(VLOOKUP(C468,'BG 2023'!$B:$E,4,FALSE),0),0)</f>
        <v>0</v>
      </c>
      <c r="M468" s="15" t="e">
        <f>+VLOOKUP(C468,'BG 2023'!$B:$E,1,0)</f>
        <v>#N/A</v>
      </c>
      <c r="N468" s="806" t="e">
        <f>+VLOOKUP(C468,'BG 2023'!$B:$E,3,0)</f>
        <v>#N/A</v>
      </c>
      <c r="O468" s="807" t="e">
        <f t="shared" si="22"/>
        <v>#N/A</v>
      </c>
      <c r="P468" s="807"/>
      <c r="R468" s="807">
        <f>+IFERROR(VLOOKUP(C468,'CA FE'!$A:$C,3,0),0)-G468</f>
        <v>0</v>
      </c>
    </row>
    <row r="469" spans="1:18">
      <c r="A469" s="354" t="s">
        <v>10</v>
      </c>
      <c r="B469" s="354"/>
      <c r="C469" s="355">
        <v>1140312116</v>
      </c>
      <c r="D469" s="354" t="s">
        <v>258</v>
      </c>
      <c r="E469" s="356" t="s">
        <v>640</v>
      </c>
      <c r="F469" s="356" t="str">
        <f t="shared" si="23"/>
        <v>I</v>
      </c>
      <c r="G469" s="28">
        <f>+IF(F469="i",IFERROR(VLOOKUP(C469,'BG 12.2024'!$B:$E,3,FALSE),0),0)</f>
        <v>0</v>
      </c>
      <c r="H469" s="21">
        <f>+IF(F469="i",IFERROR(VLOOKUP(C469,'BG 12.2024'!$B:$E,4,FALSE),0),0)</f>
        <v>0</v>
      </c>
      <c r="I469" s="21"/>
      <c r="J469" s="28">
        <f>+IF(F469="i",IFERROR(VLOOKUP(C469,'BG 2023'!$B:$E,3,FALSE),0),0)</f>
        <v>0</v>
      </c>
      <c r="K469" s="21">
        <f>+IF(F469="i",IFERROR(VLOOKUP(C469,'BG 2023'!$B:$E,4,FALSE),0),0)</f>
        <v>0</v>
      </c>
      <c r="M469" s="15" t="e">
        <f>+VLOOKUP(C469,'BG 2023'!$B:$E,1,0)</f>
        <v>#N/A</v>
      </c>
      <c r="N469" s="806" t="e">
        <f>+VLOOKUP(C469,'BG 2023'!$B:$E,3,0)</f>
        <v>#N/A</v>
      </c>
      <c r="O469" s="807" t="e">
        <f t="shared" si="22"/>
        <v>#N/A</v>
      </c>
      <c r="P469" s="807"/>
      <c r="R469" s="807">
        <f>+IFERROR(VLOOKUP(C469,'CA FE'!$A:$C,3,0),0)-G469</f>
        <v>0</v>
      </c>
    </row>
    <row r="470" spans="1:18">
      <c r="A470" s="354" t="s">
        <v>10</v>
      </c>
      <c r="B470" s="354"/>
      <c r="C470" s="355">
        <v>1140312117</v>
      </c>
      <c r="D470" s="354" t="s">
        <v>271</v>
      </c>
      <c r="E470" s="356" t="s">
        <v>634</v>
      </c>
      <c r="F470" s="356" t="str">
        <f t="shared" si="23"/>
        <v>I</v>
      </c>
      <c r="G470" s="28">
        <f>+IF(F470="i",IFERROR(VLOOKUP(C470,'BG 12.2024'!$B:$E,3,FALSE),0),0)</f>
        <v>0</v>
      </c>
      <c r="H470" s="21">
        <f>+IF(F470="i",IFERROR(VLOOKUP(C470,'BG 12.2024'!$B:$E,4,FALSE),0),0)</f>
        <v>0</v>
      </c>
      <c r="I470" s="21"/>
      <c r="J470" s="28">
        <f>+IF(F470="i",IFERROR(VLOOKUP(C470,'BG 2023'!$B:$E,3,FALSE),0),0)</f>
        <v>0</v>
      </c>
      <c r="K470" s="21">
        <f>+IF(F470="i",IFERROR(VLOOKUP(C470,'BG 2023'!$B:$E,4,FALSE),0),0)</f>
        <v>0</v>
      </c>
      <c r="M470" s="15" t="e">
        <f>+VLOOKUP(C470,'BG 2023'!$B:$E,1,0)</f>
        <v>#N/A</v>
      </c>
      <c r="N470" s="806" t="e">
        <f>+VLOOKUP(C470,'BG 2023'!$B:$E,3,0)</f>
        <v>#N/A</v>
      </c>
      <c r="O470" s="807" t="e">
        <f t="shared" si="22"/>
        <v>#N/A</v>
      </c>
      <c r="P470" s="807"/>
      <c r="R470" s="807">
        <f>+IFERROR(VLOOKUP(C470,'CA FE'!$A:$C,3,0),0)-G470</f>
        <v>0</v>
      </c>
    </row>
    <row r="471" spans="1:18">
      <c r="A471" s="354" t="s">
        <v>10</v>
      </c>
      <c r="B471" s="354"/>
      <c r="C471" s="355">
        <v>1140312118</v>
      </c>
      <c r="D471" s="354" t="s">
        <v>274</v>
      </c>
      <c r="E471" s="356" t="s">
        <v>640</v>
      </c>
      <c r="F471" s="356" t="str">
        <f t="shared" si="23"/>
        <v>I</v>
      </c>
      <c r="G471" s="28">
        <f>+IF(F471="i",IFERROR(VLOOKUP(C471,'BG 12.2024'!$B:$E,3,FALSE),0),0)</f>
        <v>0</v>
      </c>
      <c r="H471" s="21">
        <f>+IF(F471="i",IFERROR(VLOOKUP(C471,'BG 12.2024'!$B:$E,4,FALSE),0),0)</f>
        <v>0</v>
      </c>
      <c r="I471" s="21"/>
      <c r="J471" s="28">
        <f>+IF(F471="i",IFERROR(VLOOKUP(C471,'BG 2023'!$B:$E,3,FALSE),0),0)</f>
        <v>0</v>
      </c>
      <c r="K471" s="21">
        <f>+IF(F471="i",IFERROR(VLOOKUP(C471,'BG 2023'!$B:$E,4,FALSE),0),0)</f>
        <v>0</v>
      </c>
      <c r="M471" s="15" t="e">
        <f>+VLOOKUP(C471,'BG 2023'!$B:$E,1,0)</f>
        <v>#N/A</v>
      </c>
      <c r="N471" s="806" t="e">
        <f>+VLOOKUP(C471,'BG 2023'!$B:$E,3,0)</f>
        <v>#N/A</v>
      </c>
      <c r="O471" s="807" t="e">
        <f t="shared" si="22"/>
        <v>#N/A</v>
      </c>
      <c r="P471" s="807"/>
      <c r="R471" s="807">
        <f>+IFERROR(VLOOKUP(C471,'CA FE'!$A:$C,3,0),0)-G471</f>
        <v>0</v>
      </c>
    </row>
    <row r="472" spans="1:18">
      <c r="A472" s="354" t="s">
        <v>10</v>
      </c>
      <c r="B472" s="1208" t="s">
        <v>794</v>
      </c>
      <c r="C472" s="355">
        <v>1140312119</v>
      </c>
      <c r="D472" s="354" t="s">
        <v>63</v>
      </c>
      <c r="E472" s="356" t="s">
        <v>634</v>
      </c>
      <c r="F472" s="356" t="str">
        <f t="shared" si="23"/>
        <v>I</v>
      </c>
      <c r="G472" s="28">
        <f>+IF(F472="i",IFERROR(VLOOKUP(C472,'BG 12.2024'!$B:$E,3,FALSE),0),0)</f>
        <v>0</v>
      </c>
      <c r="H472" s="21">
        <f>+IF(F472="i",IFERROR(VLOOKUP(C472,'BG 12.2024'!$B:$E,4,FALSE),0),0)</f>
        <v>0</v>
      </c>
      <c r="I472" s="21"/>
      <c r="J472" s="28">
        <f>+IF(F472="i",IFERROR(VLOOKUP(C472,'BG 2023'!$B:$E,3,FALSE),0),0)</f>
        <v>2002394670</v>
      </c>
      <c r="K472" s="21">
        <f>+IF(F472="i",IFERROR(VLOOKUP(C472,'BG 2023'!$B:$E,4,FALSE),0),0)</f>
        <v>275675.62</v>
      </c>
      <c r="M472" s="15">
        <f>+VLOOKUP(C472,'BG 2023'!$B:$E,1,0)</f>
        <v>1140312119</v>
      </c>
      <c r="N472" s="806">
        <f>+VLOOKUP(C472,'BG 2023'!$B:$E,3,0)</f>
        <v>2002394670</v>
      </c>
      <c r="O472" s="807">
        <f t="shared" si="22"/>
        <v>2002394670</v>
      </c>
      <c r="P472" s="807"/>
      <c r="R472" s="807">
        <f>+IFERROR(VLOOKUP(C472,'CA FE'!$A:$C,3,0),0)-G472</f>
        <v>0</v>
      </c>
    </row>
    <row r="473" spans="1:18">
      <c r="A473" s="354" t="s">
        <v>10</v>
      </c>
      <c r="B473" s="354"/>
      <c r="C473" s="355">
        <v>1140312120</v>
      </c>
      <c r="D473" s="354" t="s">
        <v>64</v>
      </c>
      <c r="E473" s="356" t="s">
        <v>640</v>
      </c>
      <c r="F473" s="356" t="str">
        <f t="shared" si="23"/>
        <v>I</v>
      </c>
      <c r="G473" s="28">
        <f>+IF(F473="i",IFERROR(VLOOKUP(C473,'BG 12.2024'!$B:$E,3,FALSE),0),0)</f>
        <v>0</v>
      </c>
      <c r="H473" s="21">
        <f>+IF(F473="i",IFERROR(VLOOKUP(C473,'BG 12.2024'!$B:$E,4,FALSE),0),0)</f>
        <v>0</v>
      </c>
      <c r="I473" s="21"/>
      <c r="J473" s="28">
        <f>+IF(F473="i",IFERROR(VLOOKUP(C473,'BG 2023'!$B:$E,3,FALSE),0),0)</f>
        <v>0</v>
      </c>
      <c r="K473" s="21">
        <f>+IF(F473="i",IFERROR(VLOOKUP(C473,'BG 2023'!$B:$E,4,FALSE),0),0)</f>
        <v>0</v>
      </c>
      <c r="M473" s="15" t="e">
        <f>+VLOOKUP(C473,'BG 2023'!$B:$E,1,0)</f>
        <v>#N/A</v>
      </c>
      <c r="N473" s="806" t="e">
        <f>+VLOOKUP(C473,'BG 2023'!$B:$E,3,0)</f>
        <v>#N/A</v>
      </c>
      <c r="O473" s="807" t="e">
        <f t="shared" si="22"/>
        <v>#N/A</v>
      </c>
      <c r="P473" s="807"/>
      <c r="R473" s="807">
        <f>+IFERROR(VLOOKUP(C473,'CA FE'!$A:$C,3,0),0)-G473</f>
        <v>0</v>
      </c>
    </row>
    <row r="474" spans="1:18">
      <c r="A474" s="354" t="s">
        <v>10</v>
      </c>
      <c r="B474" s="354"/>
      <c r="C474" s="355">
        <v>1140312121</v>
      </c>
      <c r="D474" s="354" t="s">
        <v>804</v>
      </c>
      <c r="E474" s="356" t="s">
        <v>634</v>
      </c>
      <c r="F474" s="356" t="str">
        <f t="shared" si="23"/>
        <v>I</v>
      </c>
      <c r="G474" s="28">
        <f>+IF(F474="i",IFERROR(VLOOKUP(C474,'BG 12.2024'!$B:$E,3,FALSE),0),0)</f>
        <v>0</v>
      </c>
      <c r="H474" s="21">
        <f>+IF(F474="i",IFERROR(VLOOKUP(C474,'BG 12.2024'!$B:$E,4,FALSE),0),0)</f>
        <v>0</v>
      </c>
      <c r="I474" s="21"/>
      <c r="J474" s="28">
        <f>+IF(F474="i",IFERROR(VLOOKUP(C474,'BG 2023'!$B:$E,3,FALSE),0),0)</f>
        <v>0</v>
      </c>
      <c r="K474" s="21">
        <f>+IF(F474="i",IFERROR(VLOOKUP(C474,'BG 2023'!$B:$E,4,FALSE),0),0)</f>
        <v>0</v>
      </c>
      <c r="M474" s="15" t="e">
        <f>+VLOOKUP(C474,'BG 2023'!$B:$E,1,0)</f>
        <v>#N/A</v>
      </c>
      <c r="N474" s="806" t="e">
        <f>+VLOOKUP(C474,'BG 2023'!$B:$E,3,0)</f>
        <v>#N/A</v>
      </c>
      <c r="O474" s="807" t="e">
        <f t="shared" si="22"/>
        <v>#N/A</v>
      </c>
      <c r="P474" s="807"/>
      <c r="R474" s="807">
        <f>+IFERROR(VLOOKUP(C474,'CA FE'!$A:$C,3,0),0)-G474</f>
        <v>0</v>
      </c>
    </row>
    <row r="475" spans="1:18">
      <c r="A475" s="354" t="s">
        <v>10</v>
      </c>
      <c r="B475" s="354"/>
      <c r="C475" s="355">
        <v>1140312122</v>
      </c>
      <c r="D475" s="354" t="s">
        <v>805</v>
      </c>
      <c r="E475" s="356" t="s">
        <v>640</v>
      </c>
      <c r="F475" s="356" t="str">
        <f t="shared" si="23"/>
        <v>I</v>
      </c>
      <c r="G475" s="28">
        <f>+IF(F475="i",IFERROR(VLOOKUP(C475,'BG 12.2024'!$B:$E,3,FALSE),0),0)</f>
        <v>0</v>
      </c>
      <c r="H475" s="21">
        <f>+IF(F475="i",IFERROR(VLOOKUP(C475,'BG 12.2024'!$B:$E,4,FALSE),0),0)</f>
        <v>0</v>
      </c>
      <c r="I475" s="21"/>
      <c r="J475" s="28">
        <f>+IF(F475="i",IFERROR(VLOOKUP(C475,'BG 2023'!$B:$E,3,FALSE),0),0)</f>
        <v>0</v>
      </c>
      <c r="K475" s="21">
        <f>+IF(F475="i",IFERROR(VLOOKUP(C475,'BG 2023'!$B:$E,4,FALSE),0),0)</f>
        <v>0</v>
      </c>
      <c r="M475" s="15" t="e">
        <f>+VLOOKUP(C475,'BG 2023'!$B:$E,1,0)</f>
        <v>#N/A</v>
      </c>
      <c r="N475" s="806" t="e">
        <f>+VLOOKUP(C475,'BG 2023'!$B:$E,3,0)</f>
        <v>#N/A</v>
      </c>
      <c r="O475" s="807" t="e">
        <f t="shared" si="22"/>
        <v>#N/A</v>
      </c>
      <c r="P475" s="807"/>
      <c r="R475" s="807">
        <f>+IFERROR(VLOOKUP(C475,'CA FE'!$A:$C,3,0),0)-G475</f>
        <v>0</v>
      </c>
    </row>
    <row r="476" spans="1:18">
      <c r="A476" s="354" t="s">
        <v>10</v>
      </c>
      <c r="B476" s="354"/>
      <c r="C476" s="355">
        <v>1140312123</v>
      </c>
      <c r="D476" s="354" t="s">
        <v>692</v>
      </c>
      <c r="E476" s="356" t="s">
        <v>634</v>
      </c>
      <c r="F476" s="356" t="str">
        <f t="shared" si="23"/>
        <v>I</v>
      </c>
      <c r="G476" s="28">
        <f>+IF(F476="i",IFERROR(VLOOKUP(C476,'BG 12.2024'!$B:$E,3,FALSE),0),0)</f>
        <v>0</v>
      </c>
      <c r="H476" s="21">
        <f>+IF(F476="i",IFERROR(VLOOKUP(C476,'BG 12.2024'!$B:$E,4,FALSE),0),0)</f>
        <v>0</v>
      </c>
      <c r="I476" s="21"/>
      <c r="J476" s="28">
        <f>+IF(F476="i",IFERROR(VLOOKUP(C476,'BG 2023'!$B:$E,3,FALSE),0),0)</f>
        <v>0</v>
      </c>
      <c r="K476" s="21">
        <f>+IF(F476="i",IFERROR(VLOOKUP(C476,'BG 2023'!$B:$E,4,FALSE),0),0)</f>
        <v>0</v>
      </c>
      <c r="M476" s="15" t="e">
        <f>+VLOOKUP(C476,'BG 2023'!$B:$E,1,0)</f>
        <v>#N/A</v>
      </c>
      <c r="N476" s="806" t="e">
        <f>+VLOOKUP(C476,'BG 2023'!$B:$E,3,0)</f>
        <v>#N/A</v>
      </c>
      <c r="O476" s="807" t="e">
        <f t="shared" si="22"/>
        <v>#N/A</v>
      </c>
      <c r="P476" s="807"/>
      <c r="R476" s="807">
        <f>+IFERROR(VLOOKUP(C476,'CA FE'!$A:$C,3,0),0)-G476</f>
        <v>0</v>
      </c>
    </row>
    <row r="477" spans="1:18">
      <c r="A477" s="354" t="s">
        <v>10</v>
      </c>
      <c r="B477" s="354"/>
      <c r="C477" s="355">
        <v>1140312124</v>
      </c>
      <c r="D477" s="354" t="s">
        <v>693</v>
      </c>
      <c r="E477" s="356" t="s">
        <v>640</v>
      </c>
      <c r="F477" s="356" t="str">
        <f t="shared" si="23"/>
        <v>I</v>
      </c>
      <c r="G477" s="28">
        <f>+IF(F477="i",IFERROR(VLOOKUP(C477,'BG 12.2024'!$B:$E,3,FALSE),0),0)</f>
        <v>0</v>
      </c>
      <c r="H477" s="21">
        <f>+IF(F477="i",IFERROR(VLOOKUP(C477,'BG 12.2024'!$B:$E,4,FALSE),0),0)</f>
        <v>0</v>
      </c>
      <c r="I477" s="21"/>
      <c r="J477" s="28">
        <f>+IF(F477="i",IFERROR(VLOOKUP(C477,'BG 2023'!$B:$E,3,FALSE),0),0)</f>
        <v>0</v>
      </c>
      <c r="K477" s="21">
        <f>+IF(F477="i",IFERROR(VLOOKUP(C477,'BG 2023'!$B:$E,4,FALSE),0),0)</f>
        <v>0</v>
      </c>
      <c r="M477" s="15" t="e">
        <f>+VLOOKUP(C477,'BG 2023'!$B:$E,1,0)</f>
        <v>#N/A</v>
      </c>
      <c r="N477" s="806" t="e">
        <f>+VLOOKUP(C477,'BG 2023'!$B:$E,3,0)</f>
        <v>#N/A</v>
      </c>
      <c r="O477" s="807" t="e">
        <f t="shared" si="22"/>
        <v>#N/A</v>
      </c>
      <c r="P477" s="807"/>
      <c r="R477" s="807">
        <f>+IFERROR(VLOOKUP(C477,'CA FE'!$A:$C,3,0),0)-G477</f>
        <v>0</v>
      </c>
    </row>
    <row r="478" spans="1:18">
      <c r="A478" s="354" t="s">
        <v>10</v>
      </c>
      <c r="B478" s="354" t="s">
        <v>794</v>
      </c>
      <c r="C478" s="355">
        <v>1140312125</v>
      </c>
      <c r="D478" s="354" t="s">
        <v>279</v>
      </c>
      <c r="E478" s="356" t="s">
        <v>634</v>
      </c>
      <c r="F478" s="356" t="str">
        <f t="shared" si="23"/>
        <v>I</v>
      </c>
      <c r="G478" s="28">
        <f>+IF(F478="i",IFERROR(VLOOKUP(C478,'BG 12.2024'!$B:$E,3,FALSE),0),0)</f>
        <v>0</v>
      </c>
      <c r="H478" s="21">
        <f>+IF(F478="i",IFERROR(VLOOKUP(C478,'BG 12.2024'!$B:$E,4,FALSE),0),0)</f>
        <v>0</v>
      </c>
      <c r="I478" s="21"/>
      <c r="J478" s="28">
        <f>+IF(F478="i",IFERROR(VLOOKUP(C478,'BG 2023'!$B:$E,3,FALSE),0),0)</f>
        <v>0</v>
      </c>
      <c r="K478" s="21">
        <f>+IF(F478="i",IFERROR(VLOOKUP(C478,'BG 2023'!$B:$E,4,FALSE),0),0)</f>
        <v>0</v>
      </c>
      <c r="M478" s="15" t="e">
        <f>+VLOOKUP(C478,'BG 2023'!$B:$E,1,0)</f>
        <v>#N/A</v>
      </c>
      <c r="N478" s="806" t="e">
        <f>+VLOOKUP(C478,'BG 2023'!$B:$E,3,0)</f>
        <v>#N/A</v>
      </c>
      <c r="O478" s="807" t="e">
        <f t="shared" ref="O478:O589" si="26">+N478-G478</f>
        <v>#N/A</v>
      </c>
      <c r="P478" s="807"/>
      <c r="R478" s="807">
        <f>+IFERROR(VLOOKUP(C478,'CA FE'!$A:$C,3,0),0)-G478</f>
        <v>0</v>
      </c>
    </row>
    <row r="479" spans="1:18">
      <c r="A479" s="354" t="s">
        <v>10</v>
      </c>
      <c r="B479" s="354"/>
      <c r="C479" s="355">
        <v>1140312126</v>
      </c>
      <c r="D479" s="354" t="s">
        <v>689</v>
      </c>
      <c r="E479" s="356" t="s">
        <v>640</v>
      </c>
      <c r="F479" s="356" t="str">
        <f t="shared" si="23"/>
        <v>I</v>
      </c>
      <c r="G479" s="28">
        <f>+IF(F479="i",IFERROR(VLOOKUP(C479,'BG 12.2024'!$B:$E,3,FALSE),0),0)</f>
        <v>0</v>
      </c>
      <c r="H479" s="21">
        <f>+IF(F479="i",IFERROR(VLOOKUP(C479,'BG 12.2024'!$B:$E,4,FALSE),0),0)</f>
        <v>0</v>
      </c>
      <c r="I479" s="21"/>
      <c r="J479" s="28">
        <f>+IF(F479="i",IFERROR(VLOOKUP(C479,'BG 2023'!$B:$E,3,FALSE),0),0)</f>
        <v>0</v>
      </c>
      <c r="K479" s="21">
        <f>+IF(F479="i",IFERROR(VLOOKUP(C479,'BG 2023'!$B:$E,4,FALSE),0),0)</f>
        <v>0</v>
      </c>
      <c r="M479" s="15" t="e">
        <f>+VLOOKUP(C479,'BG 2023'!$B:$E,1,0)</f>
        <v>#N/A</v>
      </c>
      <c r="N479" s="806" t="e">
        <f>+VLOOKUP(C479,'BG 2023'!$B:$E,3,0)</f>
        <v>#N/A</v>
      </c>
      <c r="O479" s="807" t="e">
        <f t="shared" si="26"/>
        <v>#N/A</v>
      </c>
      <c r="P479" s="807"/>
      <c r="R479" s="807">
        <f>+IFERROR(VLOOKUP(C479,'CA FE'!$A:$C,3,0),0)-G479</f>
        <v>0</v>
      </c>
    </row>
    <row r="480" spans="1:18">
      <c r="A480" s="354" t="s">
        <v>10</v>
      </c>
      <c r="B480" s="354"/>
      <c r="C480" s="355">
        <v>11403122</v>
      </c>
      <c r="D480" s="354" t="s">
        <v>806</v>
      </c>
      <c r="E480" s="356" t="s">
        <v>634</v>
      </c>
      <c r="F480" s="356" t="str">
        <f t="shared" si="23"/>
        <v>NI</v>
      </c>
      <c r="G480" s="28">
        <f>+IF(F480="i",IFERROR(VLOOKUP(C480,'BG 12.2024'!$B:$E,3,FALSE),0),0)</f>
        <v>0</v>
      </c>
      <c r="H480" s="21">
        <f>+IF(F480="i",IFERROR(VLOOKUP(C480,'BG 12.2024'!$B:$E,4,FALSE),0),0)</f>
        <v>0</v>
      </c>
      <c r="I480" s="21"/>
      <c r="J480" s="28">
        <f>+IF(F480="i",IFERROR(VLOOKUP(C480,'BG 2023'!$B:$E,3,FALSE),0),0)</f>
        <v>0</v>
      </c>
      <c r="K480" s="21">
        <f>+IF(F480="i",IFERROR(VLOOKUP(C480,'BG 2023'!$B:$E,4,FALSE),0),0)</f>
        <v>0</v>
      </c>
      <c r="M480" s="15">
        <f>+VLOOKUP(C480,'BG 2023'!$B:$E,1,0)</f>
        <v>11403122</v>
      </c>
      <c r="N480" s="806">
        <f>+VLOOKUP(C480,'BG 2023'!$B:$E,3,0)</f>
        <v>3168172</v>
      </c>
      <c r="O480" s="807">
        <f t="shared" si="26"/>
        <v>3168172</v>
      </c>
      <c r="P480" s="807"/>
      <c r="R480" s="807">
        <f>+IFERROR(VLOOKUP(C480,'CA FE'!$A:$C,3,0),0)-G480</f>
        <v>0</v>
      </c>
    </row>
    <row r="481" spans="1:18">
      <c r="A481" s="354" t="s">
        <v>10</v>
      </c>
      <c r="B481" s="354" t="s">
        <v>794</v>
      </c>
      <c r="C481" s="355">
        <v>1140312201</v>
      </c>
      <c r="D481" s="354" t="s">
        <v>806</v>
      </c>
      <c r="E481" s="356" t="s">
        <v>634</v>
      </c>
      <c r="F481" s="356" t="str">
        <f t="shared" si="23"/>
        <v>I</v>
      </c>
      <c r="G481" s="28">
        <f>+IF(F481="i",IFERROR(VLOOKUP(C481,'BG 12.2024'!$B:$E,3,FALSE),0),0)</f>
        <v>0</v>
      </c>
      <c r="H481" s="21">
        <f>+IF(F481="i",IFERROR(VLOOKUP(C481,'BG 12.2024'!$B:$E,4,FALSE),0),0)</f>
        <v>0</v>
      </c>
      <c r="I481" s="21"/>
      <c r="J481" s="28">
        <f>+IF(F481="i",IFERROR(VLOOKUP(C481,'BG 2023'!$B:$E,3,FALSE),0),0)</f>
        <v>3168172</v>
      </c>
      <c r="K481" s="21">
        <f>+IF(F481="i",IFERROR(VLOOKUP(C481,'BG 2023'!$B:$E,4,FALSE),0),0)</f>
        <v>436.16999999999825</v>
      </c>
      <c r="M481" s="15">
        <f>+VLOOKUP(C481,'BG 2023'!$B:$E,1,0)</f>
        <v>1140312201</v>
      </c>
      <c r="N481" s="806">
        <f>+VLOOKUP(C481,'BG 2023'!$B:$E,3,0)</f>
        <v>3168172</v>
      </c>
      <c r="O481" s="807">
        <f t="shared" si="26"/>
        <v>3168172</v>
      </c>
      <c r="P481" s="807"/>
      <c r="R481" s="807">
        <f>+IFERROR(VLOOKUP(C481,'CA FE'!$A:$C,3,0),0)-G481</f>
        <v>0</v>
      </c>
    </row>
    <row r="482" spans="1:18">
      <c r="A482" s="354" t="s">
        <v>10</v>
      </c>
      <c r="B482" s="354"/>
      <c r="C482" s="355">
        <v>1140312202</v>
      </c>
      <c r="D482" s="354" t="s">
        <v>806</v>
      </c>
      <c r="E482" s="356" t="s">
        <v>640</v>
      </c>
      <c r="F482" s="356" t="str">
        <f t="shared" si="23"/>
        <v>I</v>
      </c>
      <c r="G482" s="28">
        <f>+IF(F482="i",IFERROR(VLOOKUP(C482,'BG 12.2024'!$B:$E,3,FALSE),0),0)</f>
        <v>0</v>
      </c>
      <c r="H482" s="21">
        <f>+IF(F482="i",IFERROR(VLOOKUP(C482,'BG 12.2024'!$B:$E,4,FALSE),0),0)</f>
        <v>0</v>
      </c>
      <c r="I482" s="21"/>
      <c r="J482" s="28">
        <f>+IF(F482="i",IFERROR(VLOOKUP(C482,'BG 2023'!$B:$E,3,FALSE),0),0)</f>
        <v>0</v>
      </c>
      <c r="K482" s="21">
        <f>+IF(F482="i",IFERROR(VLOOKUP(C482,'BG 2023'!$B:$E,4,FALSE),0),0)</f>
        <v>0</v>
      </c>
      <c r="M482" s="15" t="e">
        <f>+VLOOKUP(C482,'BG 2023'!$B:$E,1,0)</f>
        <v>#N/A</v>
      </c>
      <c r="N482" s="806" t="e">
        <f>+VLOOKUP(C482,'BG 2023'!$B:$E,3,0)</f>
        <v>#N/A</v>
      </c>
      <c r="O482" s="807" t="e">
        <f t="shared" si="26"/>
        <v>#N/A</v>
      </c>
      <c r="P482" s="807"/>
      <c r="R482" s="807">
        <f>+IFERROR(VLOOKUP(C482,'CA FE'!$A:$C,3,0),0)-G482</f>
        <v>0</v>
      </c>
    </row>
    <row r="483" spans="1:18">
      <c r="A483" s="354" t="s">
        <v>10</v>
      </c>
      <c r="B483" s="354"/>
      <c r="C483" s="355">
        <v>11403123</v>
      </c>
      <c r="D483" s="354" t="s">
        <v>125</v>
      </c>
      <c r="E483" s="356" t="s">
        <v>634</v>
      </c>
      <c r="F483" s="356" t="str">
        <f t="shared" si="23"/>
        <v>NI</v>
      </c>
      <c r="G483" s="28">
        <f>+IF(F483="i",IFERROR(VLOOKUP(C483,'BG 12.2024'!$B:$E,3,FALSE),0),0)</f>
        <v>0</v>
      </c>
      <c r="H483" s="21">
        <f>+IF(F483="i",IFERROR(VLOOKUP(C483,'BG 12.2024'!$B:$E,4,FALSE),0),0)</f>
        <v>0</v>
      </c>
      <c r="I483" s="21"/>
      <c r="J483" s="28">
        <f>+IF(F483="i",IFERROR(VLOOKUP(C483,'BG 2023'!$B:$E,3,FALSE),0),0)</f>
        <v>0</v>
      </c>
      <c r="K483" s="21">
        <f>+IF(F483="i",IFERROR(VLOOKUP(C483,'BG 2023'!$B:$E,4,FALSE),0),0)</f>
        <v>0</v>
      </c>
      <c r="M483" s="15">
        <f>+VLOOKUP(C483,'BG 2023'!$B:$E,1,0)</f>
        <v>11403123</v>
      </c>
      <c r="N483" s="806">
        <f>+VLOOKUP(C483,'BG 2023'!$B:$E,3,0)</f>
        <v>-905192</v>
      </c>
      <c r="O483" s="807">
        <f t="shared" si="26"/>
        <v>-905192</v>
      </c>
      <c r="P483" s="807"/>
      <c r="R483" s="807">
        <f>+IFERROR(VLOOKUP(C483,'CA FE'!$A:$C,3,0),0)-G483</f>
        <v>0</v>
      </c>
    </row>
    <row r="484" spans="1:18">
      <c r="A484" s="354" t="s">
        <v>10</v>
      </c>
      <c r="B484" s="354" t="s">
        <v>794</v>
      </c>
      <c r="C484" s="355">
        <v>1140312301</v>
      </c>
      <c r="D484" s="354" t="s">
        <v>125</v>
      </c>
      <c r="E484" s="356" t="s">
        <v>634</v>
      </c>
      <c r="F484" s="356" t="str">
        <f t="shared" si="23"/>
        <v>I</v>
      </c>
      <c r="G484" s="28">
        <f>+IF(F484="i",IFERROR(VLOOKUP(C484,'BG 12.2024'!$B:$E,3,FALSE),0),0)</f>
        <v>0</v>
      </c>
      <c r="H484" s="21">
        <f>+IF(F484="i",IFERROR(VLOOKUP(C484,'BG 12.2024'!$B:$E,4,FALSE),0),0)</f>
        <v>0</v>
      </c>
      <c r="I484" s="21"/>
      <c r="J484" s="28">
        <f>+IF(F484="i",IFERROR(VLOOKUP(C484,'BG 2023'!$B:$E,3,FALSE),0),0)</f>
        <v>-905192</v>
      </c>
      <c r="K484" s="21">
        <f>+IF(F484="i",IFERROR(VLOOKUP(C484,'BG 2023'!$B:$E,4,FALSE),0),0)</f>
        <v>-124.62000000000262</v>
      </c>
      <c r="M484" s="15">
        <f>+VLOOKUP(C484,'BG 2023'!$B:$E,1,0)</f>
        <v>1140312301</v>
      </c>
      <c r="N484" s="806">
        <f>+VLOOKUP(C484,'BG 2023'!$B:$E,3,0)</f>
        <v>-905192</v>
      </c>
      <c r="O484" s="807">
        <f t="shared" si="26"/>
        <v>-905192</v>
      </c>
      <c r="P484" s="807"/>
      <c r="R484" s="807">
        <f>+IFERROR(VLOOKUP(C484,'CA FE'!$A:$C,3,0),0)-G484</f>
        <v>0</v>
      </c>
    </row>
    <row r="485" spans="1:18">
      <c r="A485" s="354" t="s">
        <v>10</v>
      </c>
      <c r="B485" s="354"/>
      <c r="C485" s="355">
        <v>1140312302</v>
      </c>
      <c r="D485" s="354" t="s">
        <v>125</v>
      </c>
      <c r="E485" s="356" t="s">
        <v>640</v>
      </c>
      <c r="F485" s="356" t="str">
        <f t="shared" si="23"/>
        <v>I</v>
      </c>
      <c r="G485" s="28">
        <f>+IF(F485="i",IFERROR(VLOOKUP(C485,'BG 12.2024'!$B:$E,3,FALSE),0),0)</f>
        <v>0</v>
      </c>
      <c r="H485" s="21">
        <f>+IF(F485="i",IFERROR(VLOOKUP(C485,'BG 12.2024'!$B:$E,4,FALSE),0),0)</f>
        <v>0</v>
      </c>
      <c r="I485" s="21"/>
      <c r="J485" s="28">
        <f>+IF(F485="i",IFERROR(VLOOKUP(C485,'BG 2023'!$B:$E,3,FALSE),0),0)</f>
        <v>0</v>
      </c>
      <c r="K485" s="21">
        <f>+IF(F485="i",IFERROR(VLOOKUP(C485,'BG 2023'!$B:$E,4,FALSE),0),0)</f>
        <v>0</v>
      </c>
      <c r="M485" s="15" t="e">
        <f>+VLOOKUP(C485,'BG 2023'!$B:$E,1,0)</f>
        <v>#N/A</v>
      </c>
      <c r="N485" s="806" t="e">
        <f>+VLOOKUP(C485,'BG 2023'!$B:$E,3,0)</f>
        <v>#N/A</v>
      </c>
      <c r="O485" s="807" t="e">
        <f t="shared" si="26"/>
        <v>#N/A</v>
      </c>
      <c r="P485" s="807"/>
      <c r="R485" s="807">
        <f>+IFERROR(VLOOKUP(C485,'CA FE'!$A:$C,3,0),0)-G485</f>
        <v>0</v>
      </c>
    </row>
    <row r="486" spans="1:18">
      <c r="A486" s="354" t="s">
        <v>10</v>
      </c>
      <c r="B486" s="354"/>
      <c r="C486" s="355">
        <v>115</v>
      </c>
      <c r="D486" s="354" t="s">
        <v>126</v>
      </c>
      <c r="E486" s="356" t="s">
        <v>634</v>
      </c>
      <c r="F486" s="356" t="str">
        <f t="shared" si="23"/>
        <v>NI</v>
      </c>
      <c r="G486" s="28">
        <f>+IF(F486="i",IFERROR(VLOOKUP(C486,'BG 12.2024'!$B:$E,3,FALSE),0),0)</f>
        <v>0</v>
      </c>
      <c r="H486" s="21">
        <f>+IF(F486="i",IFERROR(VLOOKUP(C486,'BG 12.2024'!$B:$E,4,FALSE),0),0)</f>
        <v>0</v>
      </c>
      <c r="I486" s="21"/>
      <c r="J486" s="28">
        <f>+IF(F486="i",IFERROR(VLOOKUP(C486,'BG 2023'!$B:$E,3,FALSE),0),0)</f>
        <v>0</v>
      </c>
      <c r="K486" s="21">
        <f>+IF(F486="i",IFERROR(VLOOKUP(C486,'BG 2023'!$B:$E,4,FALSE),0),0)</f>
        <v>0</v>
      </c>
      <c r="N486" s="806"/>
      <c r="O486" s="807"/>
      <c r="P486" s="807"/>
      <c r="R486" s="807">
        <f>+IFERROR(VLOOKUP(C486,'CA FE'!$A:$C,3,0),0)-G486</f>
        <v>0</v>
      </c>
    </row>
    <row r="487" spans="1:18">
      <c r="A487" s="354" t="s">
        <v>10</v>
      </c>
      <c r="B487" s="354"/>
      <c r="C487" s="355">
        <v>11502</v>
      </c>
      <c r="D487" s="354" t="s">
        <v>127</v>
      </c>
      <c r="E487" s="356" t="s">
        <v>634</v>
      </c>
      <c r="F487" s="356" t="str">
        <f t="shared" si="23"/>
        <v>NI</v>
      </c>
      <c r="G487" s="28">
        <f>+IF(F487="i",IFERROR(VLOOKUP(C487,'BG 12.2024'!$B:$E,3,FALSE),0),0)</f>
        <v>0</v>
      </c>
      <c r="H487" s="21">
        <f>+IF(F487="i",IFERROR(VLOOKUP(C487,'BG 12.2024'!$B:$E,4,FALSE),0),0)</f>
        <v>0</v>
      </c>
      <c r="I487" s="21"/>
      <c r="J487" s="28">
        <f>+IF(F487="i",IFERROR(VLOOKUP(C487,'BG 2023'!$B:$E,3,FALSE),0),0)</f>
        <v>0</v>
      </c>
      <c r="K487" s="21">
        <f>+IF(F487="i",IFERROR(VLOOKUP(C487,'BG 2023'!$B:$E,4,FALSE),0),0)</f>
        <v>0</v>
      </c>
      <c r="N487" s="806"/>
      <c r="O487" s="807"/>
      <c r="P487" s="807"/>
      <c r="R487" s="807">
        <f>+IFERROR(VLOOKUP(C487,'CA FE'!$A:$C,3,0),0)-G487</f>
        <v>0</v>
      </c>
    </row>
    <row r="488" spans="1:18">
      <c r="A488" s="354" t="s">
        <v>10</v>
      </c>
      <c r="B488" s="354"/>
      <c r="C488" s="355">
        <v>115021</v>
      </c>
      <c r="D488" s="354" t="s">
        <v>128</v>
      </c>
      <c r="E488" s="356" t="s">
        <v>634</v>
      </c>
      <c r="F488" s="356" t="str">
        <f t="shared" si="23"/>
        <v>NI</v>
      </c>
      <c r="G488" s="28">
        <f>+IF(F488="i",IFERROR(VLOOKUP(C488,'BG 12.2024'!$B:$E,3,FALSE),0),0)</f>
        <v>0</v>
      </c>
      <c r="H488" s="21">
        <f>+IF(F488="i",IFERROR(VLOOKUP(C488,'BG 12.2024'!$B:$E,4,FALSE),0),0)</f>
        <v>0</v>
      </c>
      <c r="I488" s="21"/>
      <c r="J488" s="28">
        <f>+IF(F488="i",IFERROR(VLOOKUP(C488,'BG 2023'!$B:$E,3,FALSE),0),0)</f>
        <v>0</v>
      </c>
      <c r="K488" s="21">
        <f>+IF(F488="i",IFERROR(VLOOKUP(C488,'BG 2023'!$B:$E,4,FALSE),0),0)</f>
        <v>0</v>
      </c>
      <c r="N488" s="806"/>
      <c r="O488" s="807"/>
      <c r="P488" s="807"/>
      <c r="R488" s="807">
        <f>+IFERROR(VLOOKUP(C488,'CA FE'!$A:$C,3,0),0)-G488</f>
        <v>0</v>
      </c>
    </row>
    <row r="489" spans="1:18">
      <c r="A489" s="354" t="s">
        <v>10</v>
      </c>
      <c r="B489" s="354"/>
      <c r="C489" s="355">
        <v>1150211</v>
      </c>
      <c r="D489" s="354" t="s">
        <v>129</v>
      </c>
      <c r="E489" s="356" t="s">
        <v>634</v>
      </c>
      <c r="F489" s="356" t="str">
        <f t="shared" si="23"/>
        <v>NI</v>
      </c>
      <c r="G489" s="28">
        <f>+IF(F489="i",IFERROR(VLOOKUP(C489,'BG 12.2024'!$B:$E,3,FALSE),0),0)</f>
        <v>0</v>
      </c>
      <c r="H489" s="21">
        <f>+IF(F489="i",IFERROR(VLOOKUP(C489,'BG 12.2024'!$B:$E,4,FALSE),0),0)</f>
        <v>0</v>
      </c>
      <c r="I489" s="21"/>
      <c r="J489" s="28">
        <f>+IF(F489="i",IFERROR(VLOOKUP(C489,'BG 2023'!$B:$E,3,FALSE),0),0)</f>
        <v>0</v>
      </c>
      <c r="K489" s="21">
        <f>+IF(F489="i",IFERROR(VLOOKUP(C489,'BG 2023'!$B:$E,4,FALSE),0),0)</f>
        <v>0</v>
      </c>
      <c r="N489" s="806"/>
      <c r="O489" s="807"/>
      <c r="P489" s="807"/>
      <c r="R489" s="807">
        <f>+IFERROR(VLOOKUP(C489,'CA FE'!$A:$C,3,0),0)-G489</f>
        <v>0</v>
      </c>
    </row>
    <row r="490" spans="1:18">
      <c r="A490" s="354" t="s">
        <v>10</v>
      </c>
      <c r="B490" s="354"/>
      <c r="C490" s="355">
        <v>11502111</v>
      </c>
      <c r="D490" s="354" t="s">
        <v>130</v>
      </c>
      <c r="E490" s="356" t="s">
        <v>634</v>
      </c>
      <c r="F490" s="356" t="str">
        <f t="shared" si="23"/>
        <v>NI</v>
      </c>
      <c r="G490" s="28">
        <f>+IF(F490="i",IFERROR(VLOOKUP(C490,'BG 12.2024'!$B:$E,3,FALSE),0),0)</f>
        <v>0</v>
      </c>
      <c r="H490" s="21">
        <f>+IF(F490="i",IFERROR(VLOOKUP(C490,'BG 12.2024'!$B:$E,4,FALSE),0),0)</f>
        <v>0</v>
      </c>
      <c r="I490" s="21"/>
      <c r="J490" s="28">
        <f>+IF(F490="i",IFERROR(VLOOKUP(C490,'BG 2023'!$B:$E,3,FALSE),0),0)</f>
        <v>0</v>
      </c>
      <c r="K490" s="21">
        <f>+IF(F490="i",IFERROR(VLOOKUP(C490,'BG 2023'!$B:$E,4,FALSE),0),0)</f>
        <v>0</v>
      </c>
      <c r="N490" s="806"/>
      <c r="O490" s="807"/>
      <c r="P490" s="807"/>
      <c r="R490" s="807">
        <f>+IFERROR(VLOOKUP(C490,'CA FE'!$A:$C,3,0),0)-G490</f>
        <v>0</v>
      </c>
    </row>
    <row r="491" spans="1:18">
      <c r="A491" s="354" t="s">
        <v>10</v>
      </c>
      <c r="B491" s="354" t="s">
        <v>807</v>
      </c>
      <c r="C491" s="355">
        <v>1150211101</v>
      </c>
      <c r="D491" s="354" t="s">
        <v>131</v>
      </c>
      <c r="E491" s="356" t="s">
        <v>634</v>
      </c>
      <c r="F491" s="356" t="str">
        <f t="shared" si="23"/>
        <v>I</v>
      </c>
      <c r="G491" s="28">
        <f>+IF(F491="i",IFERROR(VLOOKUP(C491,'BG 12.2024'!$B:$E,3,FALSE),0),0)</f>
        <v>2501000000</v>
      </c>
      <c r="H491" s="21">
        <f>+IF(F491="i",IFERROR(VLOOKUP(C491,'BG 12.2024'!$B:$E,4,FALSE),0),0)</f>
        <v>319361.12000000011</v>
      </c>
      <c r="I491" s="21"/>
      <c r="J491" s="28">
        <f>+IF(F491="i",IFERROR(VLOOKUP(C491,'BG 2023'!$B:$E,3,FALSE),0),0)</f>
        <v>1350000000</v>
      </c>
      <c r="K491" s="21">
        <f>+IF(F491="i",IFERROR(VLOOKUP(C491,'BG 2023'!$B:$E,4,FALSE),0),0)</f>
        <v>185858.51</v>
      </c>
      <c r="N491" s="806"/>
      <c r="O491" s="807"/>
      <c r="P491" s="807"/>
      <c r="R491" s="807">
        <f>+IFERROR(VLOOKUP(C491,'CA FE'!$A:$C,3,0),0)-G491</f>
        <v>0</v>
      </c>
    </row>
    <row r="492" spans="1:18">
      <c r="A492" s="354" t="s">
        <v>10</v>
      </c>
      <c r="B492" s="354"/>
      <c r="C492" s="355">
        <v>11502112</v>
      </c>
      <c r="D492" s="354" t="s">
        <v>132</v>
      </c>
      <c r="E492" s="356" t="s">
        <v>634</v>
      </c>
      <c r="F492" s="356" t="str">
        <f t="shared" si="23"/>
        <v>NI</v>
      </c>
      <c r="G492" s="28">
        <f>+IF(F492="i",IFERROR(VLOOKUP(C492,'BG 12.2024'!$B:$E,3,FALSE),0),0)</f>
        <v>0</v>
      </c>
      <c r="H492" s="21">
        <f>+IF(F492="i",IFERROR(VLOOKUP(C492,'BG 12.2024'!$B:$E,4,FALSE),0),0)</f>
        <v>0</v>
      </c>
      <c r="I492" s="21"/>
      <c r="J492" s="28">
        <f>+IF(F492="i",IFERROR(VLOOKUP(C492,'BG 2023'!$B:$E,3,FALSE),0),0)</f>
        <v>0</v>
      </c>
      <c r="K492" s="21">
        <f>+IF(F492="i",IFERROR(VLOOKUP(C492,'BG 2023'!$B:$E,4,FALSE),0),0)</f>
        <v>0</v>
      </c>
      <c r="N492" s="806"/>
      <c r="O492" s="807"/>
      <c r="P492" s="807"/>
      <c r="R492" s="807">
        <f>+IFERROR(VLOOKUP(C492,'CA FE'!$A:$C,3,0),0)-G492</f>
        <v>0</v>
      </c>
    </row>
    <row r="493" spans="1:18">
      <c r="A493" s="354" t="s">
        <v>10</v>
      </c>
      <c r="B493" s="354" t="s">
        <v>807</v>
      </c>
      <c r="C493" s="355">
        <v>1150211201</v>
      </c>
      <c r="D493" s="354" t="s">
        <v>132</v>
      </c>
      <c r="E493" s="356" t="s">
        <v>634</v>
      </c>
      <c r="F493" s="356" t="str">
        <f t="shared" si="23"/>
        <v>I</v>
      </c>
      <c r="G493" s="28">
        <f>+IF(F493="i",IFERROR(VLOOKUP(C493,'BG 12.2024'!$B:$E,3,FALSE),0),0)</f>
        <v>800000000</v>
      </c>
      <c r="H493" s="21">
        <f>+IF(F493="i",IFERROR(VLOOKUP(C493,'BG 12.2024'!$B:$E,4,FALSE),0),0)</f>
        <v>102154.69999999995</v>
      </c>
      <c r="I493" s="21"/>
      <c r="J493" s="28">
        <f>+IF(F493="i",IFERROR(VLOOKUP(C493,'BG 2023'!$B:$E,3,FALSE),0),0)</f>
        <v>9500000000</v>
      </c>
      <c r="K493" s="21">
        <f>+IF(F493="i",IFERROR(VLOOKUP(C493,'BG 2023'!$B:$E,4,FALSE),0),0)</f>
        <v>1307893.2000000002</v>
      </c>
      <c r="N493" s="806"/>
      <c r="O493" s="807"/>
      <c r="P493" s="807"/>
      <c r="R493" s="807">
        <f>+IFERROR(VLOOKUP(C493,'CA FE'!$A:$C,3,0),0)-G493</f>
        <v>0</v>
      </c>
    </row>
    <row r="494" spans="1:18">
      <c r="A494" s="354" t="s">
        <v>10</v>
      </c>
      <c r="B494" s="354"/>
      <c r="C494" s="355">
        <v>1150212</v>
      </c>
      <c r="D494" s="354" t="s">
        <v>133</v>
      </c>
      <c r="E494" s="356" t="s">
        <v>634</v>
      </c>
      <c r="F494" s="356" t="str">
        <f t="shared" ref="F494:F495" si="27">+IF(LEN(C494)&gt;8,"I","NI")</f>
        <v>NI</v>
      </c>
      <c r="G494" s="28">
        <f>+IF(F494="i",IFERROR(VLOOKUP(C494,'BG 12.2024'!$B:$E,3,FALSE),0),0)</f>
        <v>0</v>
      </c>
      <c r="H494" s="21">
        <f>+IF(F494="i",IFERROR(VLOOKUP(C494,'BG 12.2024'!$B:$E,4,FALSE),0),0)</f>
        <v>0</v>
      </c>
      <c r="I494" s="21"/>
      <c r="J494" s="28">
        <f>+IF(F494="i",IFERROR(VLOOKUP(C494,'BG 2023'!$B:$E,3,FALSE),0),0)</f>
        <v>0</v>
      </c>
      <c r="K494" s="21"/>
      <c r="N494" s="806"/>
      <c r="O494" s="807"/>
      <c r="P494" s="807"/>
      <c r="R494" s="807">
        <f>+IFERROR(VLOOKUP(C494,'CA FE'!$A:$C,3,0),0)-G494</f>
        <v>0</v>
      </c>
    </row>
    <row r="495" spans="1:18">
      <c r="A495" s="354" t="s">
        <v>10</v>
      </c>
      <c r="B495" s="354" t="s">
        <v>807</v>
      </c>
      <c r="C495" s="355">
        <v>1150212201</v>
      </c>
      <c r="D495" s="354" t="s">
        <v>577</v>
      </c>
      <c r="E495" s="356" t="s">
        <v>634</v>
      </c>
      <c r="F495" s="356" t="str">
        <f t="shared" si="27"/>
        <v>I</v>
      </c>
      <c r="G495" s="28">
        <f>+IF(F495="i",IFERROR(VLOOKUP(C495,'BG 12.2024'!$B:$E,3,FALSE),0),0)</f>
        <v>0</v>
      </c>
      <c r="H495" s="21">
        <f>+IF(F495="i",IFERROR(VLOOKUP(C495,'BG 12.2024'!$B:$E,4,FALSE),0),0)</f>
        <v>0</v>
      </c>
      <c r="I495" s="21"/>
      <c r="J495" s="28">
        <f>+IF(F495="i",IFERROR(VLOOKUP(C495,'BG 2023'!$B:$E,3,FALSE),0),0)</f>
        <v>0</v>
      </c>
      <c r="K495" s="21"/>
      <c r="N495" s="806"/>
      <c r="O495" s="807"/>
      <c r="P495" s="807"/>
      <c r="R495" s="807">
        <f>+IFERROR(VLOOKUP(C495,'CA FE'!$A:$C,3,0),0)-G495</f>
        <v>0</v>
      </c>
    </row>
    <row r="496" spans="1:18">
      <c r="A496" s="354" t="s">
        <v>10</v>
      </c>
      <c r="B496" s="354"/>
      <c r="C496" s="355">
        <v>11502123</v>
      </c>
      <c r="D496" s="354" t="s">
        <v>134</v>
      </c>
      <c r="E496" s="356" t="s">
        <v>634</v>
      </c>
      <c r="F496" s="356" t="str">
        <f t="shared" si="23"/>
        <v>NI</v>
      </c>
      <c r="G496" s="28">
        <f>+IF(F496="i",IFERROR(VLOOKUP(C496,'BG 12.2024'!$B:$E,3,FALSE),0),0)</f>
        <v>0</v>
      </c>
      <c r="H496" s="21">
        <f>+IF(F496="i",IFERROR(VLOOKUP(C496,'BG 12.2024'!$B:$E,4,FALSE),0),0)</f>
        <v>0</v>
      </c>
      <c r="I496" s="21"/>
      <c r="J496" s="28">
        <f>+IF(F496="i",IFERROR(VLOOKUP(C496,'BG 2023'!$B:$E,3,FALSE),0),0)</f>
        <v>0</v>
      </c>
      <c r="K496" s="21">
        <f>+IF(F496="i",IFERROR(VLOOKUP(C496,'BG 2023'!$B:$E,4,FALSE),0),0)</f>
        <v>0</v>
      </c>
      <c r="N496" s="806"/>
      <c r="O496" s="807"/>
      <c r="P496" s="807"/>
      <c r="R496" s="807">
        <f>+IFERROR(VLOOKUP(C496,'CA FE'!$A:$C,3,0),0)-G496</f>
        <v>0</v>
      </c>
    </row>
    <row r="497" spans="1:19">
      <c r="A497" s="354" t="s">
        <v>10</v>
      </c>
      <c r="B497" s="354" t="s">
        <v>807</v>
      </c>
      <c r="C497" s="355">
        <v>1150212301</v>
      </c>
      <c r="D497" s="354" t="s">
        <v>135</v>
      </c>
      <c r="E497" s="356" t="s">
        <v>634</v>
      </c>
      <c r="F497" s="356" t="str">
        <f t="shared" si="23"/>
        <v>I</v>
      </c>
      <c r="G497" s="28">
        <f>+IF(F497="i",IFERROR(VLOOKUP(C497,'BG 12.2024'!$B:$E,3,FALSE),0),0)</f>
        <v>30310000000</v>
      </c>
      <c r="H497" s="21">
        <f>+IF(F497="i",IFERROR(VLOOKUP(C497,'BG 12.2024'!$B:$E,4,FALSE),0),0)</f>
        <v>3870386.1200000006</v>
      </c>
      <c r="I497" s="21"/>
      <c r="J497" s="28">
        <f>+IF(F497="i",IFERROR(VLOOKUP(C497,'BG 2023'!$B:$E,3,FALSE),0),0)</f>
        <v>11277000000</v>
      </c>
      <c r="K497" s="21">
        <f>+IF(F497="i",IFERROR(VLOOKUP(C497,'BG 2023'!$B:$E,4,FALSE),0),0)</f>
        <v>1552538.0699999996</v>
      </c>
      <c r="N497" s="806"/>
      <c r="O497" s="807"/>
      <c r="P497" s="807"/>
      <c r="R497" s="807">
        <f>+IFERROR(VLOOKUP(C497,'CA FE'!$A:$C,3,0),0)-G497</f>
        <v>0</v>
      </c>
    </row>
    <row r="498" spans="1:19">
      <c r="A498" s="354" t="s">
        <v>10</v>
      </c>
      <c r="B498" s="354"/>
      <c r="C498" s="355">
        <v>1150213</v>
      </c>
      <c r="D498" s="354" t="s">
        <v>136</v>
      </c>
      <c r="E498" s="356" t="s">
        <v>634</v>
      </c>
      <c r="F498" s="356" t="str">
        <f t="shared" si="23"/>
        <v>NI</v>
      </c>
      <c r="G498" s="28">
        <f>+IF(F498="i",IFERROR(VLOOKUP(C498,'BG 12.2024'!$B:$E,3,FALSE),0),0)</f>
        <v>0</v>
      </c>
      <c r="H498" s="21">
        <f>+IF(F498="i",IFERROR(VLOOKUP(C498,'BG 12.2024'!$B:$E,4,FALSE),0),0)</f>
        <v>0</v>
      </c>
      <c r="I498" s="21"/>
      <c r="J498" s="28">
        <f>+IF(F498="i",IFERROR(VLOOKUP(C498,'BG 2023'!$B:$E,3,FALSE),0),0)</f>
        <v>0</v>
      </c>
      <c r="K498" s="21">
        <f>+IF(F498="i",IFERROR(VLOOKUP(C498,'BG 2023'!$B:$E,4,FALSE),0),0)</f>
        <v>0</v>
      </c>
      <c r="N498" s="806"/>
      <c r="O498" s="807"/>
      <c r="P498" s="807"/>
      <c r="R498" s="807">
        <f>+IFERROR(VLOOKUP(C498,'CA FE'!$A:$C,3,0),0)-G498</f>
        <v>0</v>
      </c>
    </row>
    <row r="499" spans="1:19">
      <c r="A499" s="354" t="s">
        <v>10</v>
      </c>
      <c r="B499" s="354"/>
      <c r="C499" s="355">
        <v>11502131</v>
      </c>
      <c r="D499" s="354" t="s">
        <v>137</v>
      </c>
      <c r="E499" s="356" t="s">
        <v>634</v>
      </c>
      <c r="F499" s="356" t="str">
        <f t="shared" si="23"/>
        <v>NI</v>
      </c>
      <c r="G499" s="28">
        <f>+IF(F499="i",IFERROR(VLOOKUP(C499,'BG 12.2024'!$B:$E,3,FALSE),0),0)</f>
        <v>0</v>
      </c>
      <c r="H499" s="21">
        <f>+IF(F499="i",IFERROR(VLOOKUP(C499,'BG 12.2024'!$B:$E,4,FALSE),0),0)</f>
        <v>0</v>
      </c>
      <c r="I499" s="21"/>
      <c r="J499" s="28">
        <f>+IF(F499="i",IFERROR(VLOOKUP(C499,'BG 2023'!$B:$E,3,FALSE),0),0)</f>
        <v>0</v>
      </c>
      <c r="K499" s="21">
        <f>+IF(F499="i",IFERROR(VLOOKUP(C499,'BG 2023'!$B:$E,4,FALSE),0),0)</f>
        <v>0</v>
      </c>
      <c r="N499" s="806"/>
      <c r="O499" s="807"/>
      <c r="P499" s="807"/>
      <c r="R499" s="807">
        <f>+IFERROR(VLOOKUP(C499,'CA FE'!$A:$C,3,0),0)-G499</f>
        <v>0</v>
      </c>
    </row>
    <row r="500" spans="1:19">
      <c r="A500" s="354" t="s">
        <v>10</v>
      </c>
      <c r="B500" s="354" t="s">
        <v>807</v>
      </c>
      <c r="C500" s="355">
        <v>1150213101</v>
      </c>
      <c r="D500" s="354" t="s">
        <v>138</v>
      </c>
      <c r="E500" s="356" t="s">
        <v>634</v>
      </c>
      <c r="F500" s="356" t="str">
        <f t="shared" si="23"/>
        <v>I</v>
      </c>
      <c r="G500" s="28">
        <f>+IF(F500="i",IFERROR(VLOOKUP(C500,'BG 12.2024'!$B:$E,3,FALSE),0),0)</f>
        <v>1500000000</v>
      </c>
      <c r="H500" s="21">
        <f>+IF(F500="i",IFERROR(VLOOKUP(C500,'BG 12.2024'!$B:$E,4,FALSE),0),0)</f>
        <v>191540.06</v>
      </c>
      <c r="I500" s="21"/>
      <c r="J500" s="28">
        <f>+IF(F500="i",IFERROR(VLOOKUP(C500,'BG 2023'!$B:$E,3,FALSE),0),0)</f>
        <v>50000000</v>
      </c>
      <c r="K500" s="21">
        <f>+IF(F500="i",IFERROR(VLOOKUP(C500,'BG 2023'!$B:$E,4,FALSE),0),0)</f>
        <v>6883.65</v>
      </c>
      <c r="N500" s="806"/>
      <c r="O500" s="807"/>
      <c r="P500" s="807"/>
      <c r="R500" s="807">
        <f>+IFERROR(VLOOKUP(C500,'CA FE'!$A:$C,3,0),0)-G500</f>
        <v>0</v>
      </c>
    </row>
    <row r="501" spans="1:19">
      <c r="A501" s="354" t="s">
        <v>10</v>
      </c>
      <c r="B501" s="354"/>
      <c r="C501" s="355">
        <v>1150214</v>
      </c>
      <c r="D501" s="354" t="s">
        <v>139</v>
      </c>
      <c r="E501" s="356" t="s">
        <v>634</v>
      </c>
      <c r="F501" s="356" t="str">
        <f t="shared" si="23"/>
        <v>NI</v>
      </c>
      <c r="G501" s="28">
        <f>+IF(F501="i",IFERROR(VLOOKUP(C501,'BG 12.2024'!$B:$E,3,FALSE),0),0)</f>
        <v>0</v>
      </c>
      <c r="H501" s="21">
        <f>+IF(F501="i",IFERROR(VLOOKUP(C501,'BG 12.2024'!$B:$E,4,FALSE),0),0)</f>
        <v>0</v>
      </c>
      <c r="I501" s="21"/>
      <c r="J501" s="28">
        <f>+IF(F501="i",IFERROR(VLOOKUP(C501,'BG 2023'!$B:$E,3,FALSE),0),0)</f>
        <v>0</v>
      </c>
      <c r="K501" s="21">
        <f>+IF(F501="i",IFERROR(VLOOKUP(C501,'BG 2023'!$B:$E,4,FALSE),0),0)</f>
        <v>0</v>
      </c>
      <c r="N501" s="806"/>
      <c r="O501" s="807"/>
      <c r="P501" s="807"/>
      <c r="R501" s="807">
        <f>+IFERROR(VLOOKUP(C501,'CA FE'!$A:$C,3,0),0)-G501</f>
        <v>0</v>
      </c>
    </row>
    <row r="502" spans="1:19">
      <c r="A502" s="354" t="s">
        <v>10</v>
      </c>
      <c r="B502" s="354"/>
      <c r="C502" s="355">
        <v>11502141</v>
      </c>
      <c r="D502" s="354" t="s">
        <v>140</v>
      </c>
      <c r="E502" s="356" t="s">
        <v>634</v>
      </c>
      <c r="F502" s="356" t="str">
        <f t="shared" si="23"/>
        <v>NI</v>
      </c>
      <c r="G502" s="28">
        <f>+IF(F502="i",IFERROR(VLOOKUP(C502,'BG 12.2024'!$B:$E,3,FALSE),0),0)</f>
        <v>0</v>
      </c>
      <c r="H502" s="21">
        <f>+IF(F502="i",IFERROR(VLOOKUP(C502,'BG 12.2024'!$B:$E,4,FALSE),0),0)</f>
        <v>0</v>
      </c>
      <c r="I502" s="21"/>
      <c r="J502" s="28">
        <f>+IF(F502="i",IFERROR(VLOOKUP(C502,'BG 2023'!$B:$E,3,FALSE),0),0)</f>
        <v>0</v>
      </c>
      <c r="K502" s="21">
        <f>+IF(F502="i",IFERROR(VLOOKUP(C502,'BG 2023'!$B:$E,4,FALSE),0),0)</f>
        <v>0</v>
      </c>
      <c r="N502" s="806"/>
      <c r="O502" s="807"/>
      <c r="P502" s="807"/>
      <c r="R502" s="807">
        <f>+IFERROR(VLOOKUP(C502,'CA FE'!$A:$C,3,0),0)-G502</f>
        <v>0</v>
      </c>
    </row>
    <row r="503" spans="1:19" ht="14.4">
      <c r="A503" s="354" t="s">
        <v>10</v>
      </c>
      <c r="B503" s="354" t="s">
        <v>807</v>
      </c>
      <c r="C503" s="355">
        <v>1150214101</v>
      </c>
      <c r="D503" s="354" t="s">
        <v>141</v>
      </c>
      <c r="E503" s="356" t="s">
        <v>634</v>
      </c>
      <c r="F503" s="356" t="str">
        <f t="shared" si="23"/>
        <v>I</v>
      </c>
      <c r="G503" s="28">
        <f>+IF(F503="i",IFERROR(VLOOKUP(C503,'BG 12.2024'!$B:$E,3,FALSE),0),0)</f>
        <v>355000000</v>
      </c>
      <c r="H503" s="21">
        <f>+IF(F503="i",IFERROR(VLOOKUP(C503,'BG 12.2024'!$B:$E,4,FALSE),0),0)</f>
        <v>45331.150000000023</v>
      </c>
      <c r="I503" s="21"/>
      <c r="J503" s="28">
        <f>+IF(F503="i",IFERROR(VLOOKUP(C503,'BG 2023'!$B:$E,3,FALSE),0),0)</f>
        <v>3500000000</v>
      </c>
      <c r="K503" s="21">
        <f>+IF(F503="i",IFERROR(VLOOKUP(C503,'BG 2023'!$B:$E,4,FALSE),0),0)</f>
        <v>481855.39</v>
      </c>
      <c r="N503" s="806"/>
      <c r="O503" s="807"/>
      <c r="P503" s="807"/>
      <c r="R503" s="807">
        <f>+IFERROR(VLOOKUP(C503,'CA FE'!$A:$C,3,0),0)-G503</f>
        <v>0</v>
      </c>
      <c r="S503" s="1203">
        <v>1150214101</v>
      </c>
    </row>
    <row r="504" spans="1:19" ht="14.4">
      <c r="A504" s="354" t="s">
        <v>10</v>
      </c>
      <c r="B504" s="354"/>
      <c r="C504" s="355">
        <v>11502142</v>
      </c>
      <c r="D504" s="354" t="s">
        <v>2708</v>
      </c>
      <c r="E504" s="356" t="s">
        <v>634</v>
      </c>
      <c r="F504" s="356" t="str">
        <f t="shared" ref="F504:F505" si="28">+IF(LEN(C504)&gt;8,"I","NI")</f>
        <v>NI</v>
      </c>
      <c r="G504" s="28">
        <f>+IF(F504="i",IFERROR(VLOOKUP(C504,'BG 12.2024'!$B:$E,3,FALSE),0),0)</f>
        <v>0</v>
      </c>
      <c r="H504" s="21">
        <f>+IF(F504="i",IFERROR(VLOOKUP(C504,'BG 12.2024'!$B:$E,4,FALSE),0),0)</f>
        <v>0</v>
      </c>
      <c r="I504" s="21"/>
      <c r="J504" s="28">
        <f>+IF(F504="i",IFERROR(VLOOKUP(C504,'BG 2023'!$B:$E,3,FALSE),0),0)</f>
        <v>0</v>
      </c>
      <c r="K504" s="21">
        <f>+IF(F504="i",IFERROR(VLOOKUP(C504,'BG 2023'!$B:$E,4,FALSE),0),0)</f>
        <v>0</v>
      </c>
      <c r="N504" s="806"/>
      <c r="O504" s="807"/>
      <c r="P504" s="807"/>
      <c r="R504" s="807"/>
      <c r="S504" s="1203"/>
    </row>
    <row r="505" spans="1:19" ht="14.4">
      <c r="A505" s="354" t="s">
        <v>10</v>
      </c>
      <c r="B505" s="1210" t="s">
        <v>807</v>
      </c>
      <c r="C505" s="355">
        <v>1150214201</v>
      </c>
      <c r="D505" s="354" t="s">
        <v>2708</v>
      </c>
      <c r="E505" s="356" t="s">
        <v>634</v>
      </c>
      <c r="F505" s="356" t="str">
        <f t="shared" si="28"/>
        <v>I</v>
      </c>
      <c r="G505" s="28">
        <f>+IF(F505="i",IFERROR(VLOOKUP(C505,'BG 12.2024'!$B:$E,3,FALSE),0),0)</f>
        <v>1000000000</v>
      </c>
      <c r="H505" s="21">
        <f>+IF(F505="i",IFERROR(VLOOKUP(C505,'BG 12.2024'!$B:$E,4,FALSE),0),0)</f>
        <v>127693.37000000001</v>
      </c>
      <c r="I505" s="21"/>
      <c r="J505" s="28">
        <f>+IF(F505="i",IFERROR(VLOOKUP(C505,'BG 2023'!$B:$E,3,FALSE),0),0)</f>
        <v>0</v>
      </c>
      <c r="K505" s="21">
        <f>+IF(F505="i",IFERROR(VLOOKUP(C505,'BG 2023'!$B:$E,4,FALSE),0),0)</f>
        <v>0</v>
      </c>
      <c r="N505" s="806"/>
      <c r="O505" s="807"/>
      <c r="P505" s="807"/>
      <c r="R505" s="807"/>
      <c r="S505" s="1203"/>
    </row>
    <row r="506" spans="1:19">
      <c r="A506" s="354" t="s">
        <v>10</v>
      </c>
      <c r="B506" s="354"/>
      <c r="C506" s="355">
        <v>1150219</v>
      </c>
      <c r="D506" s="354" t="s">
        <v>71</v>
      </c>
      <c r="E506" s="356" t="s">
        <v>634</v>
      </c>
      <c r="F506" s="356" t="str">
        <f t="shared" si="23"/>
        <v>NI</v>
      </c>
      <c r="G506" s="28">
        <f>+IF(F506="i",IFERROR(VLOOKUP(C506,'BG 12.2024'!$B:$E,3,FALSE),0),0)</f>
        <v>0</v>
      </c>
      <c r="H506" s="21">
        <f>+IF(F506="i",IFERROR(VLOOKUP(C506,'BG 12.2024'!$B:$E,4,FALSE),0),0)</f>
        <v>0</v>
      </c>
      <c r="I506" s="21"/>
      <c r="J506" s="28">
        <f>+IF(F506="i",IFERROR(VLOOKUP(C506,'BG 2023'!$B:$E,3,FALSE),0),0)</f>
        <v>0</v>
      </c>
      <c r="K506" s="21">
        <f>+IF(F506="i",IFERROR(VLOOKUP(C506,'BG 2023'!$B:$E,4,FALSE),0),0)</f>
        <v>0</v>
      </c>
      <c r="N506" s="806"/>
      <c r="O506" s="807"/>
      <c r="P506" s="807"/>
      <c r="R506" s="807">
        <f>+IFERROR(VLOOKUP(C506,'CA FE'!$A:$C,3,0),0)-G506</f>
        <v>0</v>
      </c>
    </row>
    <row r="507" spans="1:19">
      <c r="A507" s="354" t="s">
        <v>10</v>
      </c>
      <c r="B507" s="354"/>
      <c r="C507" s="355">
        <v>11502191</v>
      </c>
      <c r="D507" s="354" t="s">
        <v>142</v>
      </c>
      <c r="E507" s="356" t="s">
        <v>634</v>
      </c>
      <c r="F507" s="356" t="str">
        <f t="shared" si="23"/>
        <v>NI</v>
      </c>
      <c r="G507" s="28">
        <f>+IF(F507="i",IFERROR(VLOOKUP(C507,'BG 12.2024'!$B:$E,3,FALSE),0),0)</f>
        <v>0</v>
      </c>
      <c r="H507" s="21">
        <f>+IF(F507="i",IFERROR(VLOOKUP(C507,'BG 12.2024'!$B:$E,4,FALSE),0),0)</f>
        <v>0</v>
      </c>
      <c r="I507" s="21"/>
      <c r="J507" s="28">
        <f>+IF(F507="i",IFERROR(VLOOKUP(C507,'BG 2023'!$B:$E,3,FALSE),0),0)</f>
        <v>0</v>
      </c>
      <c r="K507" s="21">
        <f>+IF(F507="i",IFERROR(VLOOKUP(C507,'BG 2023'!$B:$E,4,FALSE),0),0)</f>
        <v>0</v>
      </c>
      <c r="N507" s="806"/>
      <c r="O507" s="807"/>
      <c r="P507" s="807"/>
      <c r="R507" s="807">
        <f>+IFERROR(VLOOKUP(C507,'CA FE'!$A:$C,3,0),0)-G507</f>
        <v>0</v>
      </c>
    </row>
    <row r="508" spans="1:19">
      <c r="A508" s="989" t="s">
        <v>193</v>
      </c>
      <c r="B508" s="354" t="s">
        <v>808</v>
      </c>
      <c r="C508" s="355">
        <v>1150219105</v>
      </c>
      <c r="D508" s="354" t="s">
        <v>143</v>
      </c>
      <c r="E508" s="356" t="s">
        <v>634</v>
      </c>
      <c r="F508" s="356" t="str">
        <f t="shared" si="23"/>
        <v>I</v>
      </c>
      <c r="G508" s="988">
        <f>-+IF(F508="i",IFERROR(VLOOKUP(C508,'BG 12.2024'!$B:$E,3,FALSE),0),0)</f>
        <v>0</v>
      </c>
      <c r="H508" s="992">
        <f>-+IF(F508="i",IFERROR(VLOOKUP(C508,'BG 12.2024'!$B:$E,4,FALSE),0),0)</f>
        <v>0</v>
      </c>
      <c r="I508" s="992"/>
      <c r="J508" s="988">
        <f>+-IF(F508="i",IFERROR(VLOOKUP(C508,'BG 2023'!$B:$E,3,FALSE),0),0)</f>
        <v>33711796</v>
      </c>
      <c r="K508" s="992">
        <f>+-IF(F508="i",IFERROR(VLOOKUP(C508,'BG 2023'!$B:$E,4,FALSE),0),0)</f>
        <v>4641.2</v>
      </c>
      <c r="N508" s="806"/>
      <c r="O508" s="807"/>
      <c r="P508" s="807"/>
      <c r="R508" s="807">
        <f>+IFERROR(VLOOKUP(C508,'CA FE'!$A:$C,3,0),0)-G508</f>
        <v>0</v>
      </c>
    </row>
    <row r="509" spans="1:19">
      <c r="A509" s="989" t="s">
        <v>193</v>
      </c>
      <c r="B509" s="354" t="s">
        <v>808</v>
      </c>
      <c r="C509" s="355">
        <v>1150219107</v>
      </c>
      <c r="D509" s="354" t="s">
        <v>144</v>
      </c>
      <c r="E509" s="356" t="s">
        <v>634</v>
      </c>
      <c r="F509" s="356" t="str">
        <f t="shared" si="23"/>
        <v>I</v>
      </c>
      <c r="G509" s="988">
        <f>-+IF(F509="i",IFERROR(VLOOKUP(C509,'BG 12.2024'!$B:$E,3,FALSE),0),0)</f>
        <v>0</v>
      </c>
      <c r="H509" s="992">
        <f>-+IF(F509="i",IFERROR(VLOOKUP(C509,'BG 12.2024'!$B:$E,4,FALSE),0),0)</f>
        <v>0</v>
      </c>
      <c r="I509" s="992"/>
      <c r="J509" s="988">
        <f>+-IF(F509="i",IFERROR(VLOOKUP(C509,'BG 2023'!$B:$E,3,FALSE),0),0)</f>
        <v>5538932</v>
      </c>
      <c r="K509" s="992">
        <f>+-IF(F509="i",IFERROR(VLOOKUP(C509,'BG 2023'!$B:$E,4,FALSE),0),0)</f>
        <v>762.56</v>
      </c>
      <c r="N509" s="806"/>
      <c r="O509" s="807"/>
      <c r="P509" s="807"/>
      <c r="R509" s="807">
        <f>+IFERROR(VLOOKUP(C509,'CA FE'!$A:$C,3,0),0)-G509</f>
        <v>0</v>
      </c>
    </row>
    <row r="510" spans="1:19">
      <c r="A510" s="989" t="s">
        <v>193</v>
      </c>
      <c r="B510" s="354" t="s">
        <v>808</v>
      </c>
      <c r="C510" s="355">
        <v>1150219108</v>
      </c>
      <c r="D510" s="354" t="s">
        <v>2709</v>
      </c>
      <c r="E510" s="356" t="s">
        <v>634</v>
      </c>
      <c r="F510" s="356" t="str">
        <f t="shared" ref="F510" si="29">+IF(LEN(C510)&gt;8,"I","NI")</f>
        <v>I</v>
      </c>
      <c r="G510" s="988">
        <f>-+IF(F510="i",IFERROR(VLOOKUP(C510,'BG 12.2024'!$B:$E,3,FALSE),0),0)</f>
        <v>0</v>
      </c>
      <c r="H510" s="992">
        <f>-+IF(F510="i",IFERROR(VLOOKUP(C510,'BG 12.2024'!$B:$E,4,FALSE),0),0)</f>
        <v>0</v>
      </c>
      <c r="I510" s="992"/>
      <c r="J510" s="988">
        <f>+-IF(F510="i",IFERROR(VLOOKUP(C510,'BG 2023'!$B:$E,3,FALSE),0),0)</f>
        <v>0</v>
      </c>
      <c r="K510" s="992">
        <f>+-IF(F510="i",IFERROR(VLOOKUP(C510,'BG 2023'!$B:$E,4,FALSE),0),0)</f>
        <v>0</v>
      </c>
      <c r="N510" s="806"/>
      <c r="O510" s="807"/>
      <c r="P510" s="807"/>
      <c r="R510" s="807"/>
    </row>
    <row r="511" spans="1:19" ht="14.4">
      <c r="A511" s="989" t="s">
        <v>193</v>
      </c>
      <c r="B511" s="354" t="s">
        <v>808</v>
      </c>
      <c r="C511" s="355">
        <v>1150219113</v>
      </c>
      <c r="D511" s="354" t="s">
        <v>145</v>
      </c>
      <c r="E511" s="356" t="s">
        <v>634</v>
      </c>
      <c r="F511" s="356" t="str">
        <f t="shared" si="23"/>
        <v>I</v>
      </c>
      <c r="G511" s="988">
        <f>-+IF(F511="i",IFERROR(VLOOKUP(C511,'BG 12.2024'!$B:$E,3,FALSE),0),0)</f>
        <v>0</v>
      </c>
      <c r="H511" s="992">
        <f>-+IF(F511="i",IFERROR(VLOOKUP(C511,'BG 12.2024'!$B:$E,4,FALSE),0),0)</f>
        <v>0</v>
      </c>
      <c r="I511" s="992"/>
      <c r="J511" s="988">
        <f>+-IF(F511="i",IFERROR(VLOOKUP(C511,'BG 2023'!$B:$E,3,FALSE),0),0)</f>
        <v>74950851</v>
      </c>
      <c r="K511" s="992">
        <f>+-IF(F511="i",IFERROR(VLOOKUP(C511,'BG 2023'!$B:$E,4,FALSE),0),0)</f>
        <v>10318.710000000001</v>
      </c>
      <c r="N511" s="806"/>
      <c r="O511" s="807"/>
      <c r="P511" s="807"/>
      <c r="R511" s="807">
        <f>+IFERROR(VLOOKUP(C511,'CA FE'!$A:$C,3,0),0)-G511</f>
        <v>0</v>
      </c>
      <c r="S511" s="1204">
        <v>1150219105</v>
      </c>
    </row>
    <row r="512" spans="1:19">
      <c r="A512" s="989" t="s">
        <v>193</v>
      </c>
      <c r="B512" s="354" t="s">
        <v>808</v>
      </c>
      <c r="C512" s="355">
        <v>1150219131</v>
      </c>
      <c r="D512" s="354" t="s">
        <v>146</v>
      </c>
      <c r="E512" s="356" t="s">
        <v>634</v>
      </c>
      <c r="F512" s="356" t="str">
        <f t="shared" si="23"/>
        <v>I</v>
      </c>
      <c r="G512" s="988">
        <f>-+IF(F512="i",IFERROR(VLOOKUP(C512,'BG 12.2024'!$B:$E,3,FALSE),0),0)</f>
        <v>0</v>
      </c>
      <c r="H512" s="992">
        <f>-+IF(F512="i",IFERROR(VLOOKUP(C512,'BG 12.2024'!$B:$E,4,FALSE),0),0)</f>
        <v>0</v>
      </c>
      <c r="I512" s="992"/>
      <c r="J512" s="988">
        <f>+-IF(F512="i",IFERROR(VLOOKUP(C512,'BG 2023'!$B:$E,3,FALSE),0),0)</f>
        <v>461394478</v>
      </c>
      <c r="K512" s="992">
        <f>+-IF(F512="i",IFERROR(VLOOKUP(C512,'BG 2023'!$B:$E,4,FALSE),0),0)</f>
        <v>63521.55</v>
      </c>
      <c r="N512" s="806"/>
      <c r="O512" s="807"/>
      <c r="P512" s="807"/>
      <c r="R512" s="807">
        <f>+IFERROR(VLOOKUP(C512,'CA FE'!$A:$C,3,0),0)-G512</f>
        <v>0</v>
      </c>
    </row>
    <row r="513" spans="1:20">
      <c r="A513" s="354" t="s">
        <v>10</v>
      </c>
      <c r="B513" s="354"/>
      <c r="C513" s="355">
        <v>11502192</v>
      </c>
      <c r="D513" s="354" t="s">
        <v>147</v>
      </c>
      <c r="E513" s="356" t="s">
        <v>634</v>
      </c>
      <c r="F513" s="356" t="str">
        <f t="shared" si="23"/>
        <v>NI</v>
      </c>
      <c r="G513" s="28">
        <f>+IF(F513="i",IFERROR(VLOOKUP(C513,'BG 12.2024'!$B:$E,3,FALSE),0),0)</f>
        <v>0</v>
      </c>
      <c r="H513" s="21">
        <f>+IF(F513="i",IFERROR(VLOOKUP(C513,'BG 12.2024'!$B:$E,4,FALSE),0),0)</f>
        <v>0</v>
      </c>
      <c r="I513" s="21"/>
      <c r="J513" s="28">
        <f>+IF(F513="i",IFERROR(VLOOKUP(C513,'BG 2023'!$B:$E,3,FALSE),0),0)</f>
        <v>0</v>
      </c>
      <c r="K513" s="21">
        <f>+IF(F513="i",IFERROR(VLOOKUP(C513,'BG 2023'!$B:$E,4,FALSE),0),0)</f>
        <v>0</v>
      </c>
      <c r="N513" s="806"/>
      <c r="O513" s="807"/>
      <c r="P513" s="807"/>
      <c r="R513" s="807">
        <f>+IFERROR(VLOOKUP(C513,'CA FE'!$A:$C,3,0),0)-G513</f>
        <v>0</v>
      </c>
    </row>
    <row r="514" spans="1:20">
      <c r="A514" s="354" t="s">
        <v>10</v>
      </c>
      <c r="B514" s="354" t="s">
        <v>807</v>
      </c>
      <c r="C514" s="355">
        <v>1150219203</v>
      </c>
      <c r="D514" s="354" t="s">
        <v>578</v>
      </c>
      <c r="E514" s="356" t="s">
        <v>634</v>
      </c>
      <c r="F514" s="356" t="str">
        <f t="shared" ref="F514" si="30">+IF(LEN(C514)&gt;8,"I","NI")</f>
        <v>I</v>
      </c>
      <c r="G514" s="28">
        <f>+IF(F514="i",IFERROR(VLOOKUP(C514,'BG 12.2024'!$B:$E,3,FALSE),0),0)</f>
        <v>0</v>
      </c>
      <c r="H514" s="21">
        <f>+IF(F514="i",IFERROR(VLOOKUP(C514,'BG 12.2024'!$B:$E,4,FALSE),0),0)</f>
        <v>0</v>
      </c>
      <c r="I514" s="21"/>
      <c r="J514" s="28"/>
      <c r="K514" s="21"/>
      <c r="N514" s="806"/>
      <c r="O514" s="807"/>
      <c r="P514" s="807"/>
      <c r="R514" s="807">
        <f>+IFERROR(VLOOKUP(C514,'CA FE'!$A:$C,3,0),0)-G514</f>
        <v>0</v>
      </c>
    </row>
    <row r="515" spans="1:20">
      <c r="A515" s="354" t="s">
        <v>10</v>
      </c>
      <c r="B515" s="354" t="s">
        <v>807</v>
      </c>
      <c r="C515" s="355">
        <v>1150219205</v>
      </c>
      <c r="D515" s="354" t="s">
        <v>148</v>
      </c>
      <c r="E515" s="356" t="s">
        <v>634</v>
      </c>
      <c r="F515" s="356" t="str">
        <f t="shared" si="23"/>
        <v>I</v>
      </c>
      <c r="G515" s="28">
        <f>+IF(F515="i",IFERROR(VLOOKUP(C515,'BG 12.2024'!$B:$E,3,FALSE),0),0)</f>
        <v>274548887</v>
      </c>
      <c r="H515" s="21">
        <f>+IF(F515="i",IFERROR(VLOOKUP(C515,'BG 12.2024'!$B:$E,4,FALSE),0),0)</f>
        <v>35058.07</v>
      </c>
      <c r="I515" s="21"/>
      <c r="J515" s="28">
        <f>+IF(F515="i",IFERROR(VLOOKUP(C515,'BG 2023'!$B:$E,3,FALSE),0),0)</f>
        <v>45776005</v>
      </c>
      <c r="K515" s="21">
        <f>+IF(F515="i",IFERROR(VLOOKUP(C515,'BG 2023'!$B:$E,4,FALSE),0),0)</f>
        <v>6302.12</v>
      </c>
      <c r="N515" s="806"/>
      <c r="O515" s="807"/>
      <c r="P515" s="807"/>
      <c r="R515" s="807">
        <f>+IFERROR(VLOOKUP(C515,'CA FE'!$A:$C,3,0),0)-G515</f>
        <v>0</v>
      </c>
    </row>
    <row r="516" spans="1:20">
      <c r="A516" s="354" t="s">
        <v>10</v>
      </c>
      <c r="B516" s="354" t="s">
        <v>807</v>
      </c>
      <c r="C516" s="355">
        <v>1150219213</v>
      </c>
      <c r="D516" s="354" t="s">
        <v>149</v>
      </c>
      <c r="E516" s="356" t="s">
        <v>634</v>
      </c>
      <c r="F516" s="356" t="str">
        <f t="shared" si="23"/>
        <v>I</v>
      </c>
      <c r="G516" s="28">
        <f>+IF(F516="i",IFERROR(VLOOKUP(C516,'BG 12.2024'!$B:$E,3,FALSE),0),0)</f>
        <v>0</v>
      </c>
      <c r="H516" s="21">
        <f>+IF(F516="i",IFERROR(VLOOKUP(C516,'BG 12.2024'!$B:$E,4,FALSE),0),0)</f>
        <v>0</v>
      </c>
      <c r="I516" s="21"/>
      <c r="J516" s="28">
        <f>+IF(F516="i",IFERROR(VLOOKUP(C516,'BG 2023'!$B:$E,3,FALSE),0),0)</f>
        <v>7396789</v>
      </c>
      <c r="K516" s="21">
        <f>+IF(F516="i",IFERROR(VLOOKUP(C516,'BG 2023'!$B:$E,4,FALSE),0),0)</f>
        <v>1018.3399999999998</v>
      </c>
      <c r="N516" s="806"/>
      <c r="O516" s="807"/>
      <c r="P516" s="807"/>
      <c r="R516" s="807">
        <f>+IFERROR(VLOOKUP(C516,'CA FE'!$A:$C,3,0),0)-G516</f>
        <v>0</v>
      </c>
    </row>
    <row r="517" spans="1:20">
      <c r="A517" s="354" t="s">
        <v>10</v>
      </c>
      <c r="B517" s="354" t="s">
        <v>807</v>
      </c>
      <c r="C517" s="355">
        <v>1150219229</v>
      </c>
      <c r="D517" s="354" t="s">
        <v>150</v>
      </c>
      <c r="E517" s="356" t="s">
        <v>634</v>
      </c>
      <c r="F517" s="356" t="str">
        <f t="shared" si="23"/>
        <v>I</v>
      </c>
      <c r="G517" s="28">
        <f>+IF(F517="i",IFERROR(VLOOKUP(C517,'BG 12.2024'!$B:$E,3,FALSE),0),0)</f>
        <v>163964599</v>
      </c>
      <c r="H517" s="21">
        <f>+IF(F517="i",IFERROR(VLOOKUP(C517,'BG 12.2024'!$B:$E,4,FALSE),0),0)</f>
        <v>20937.190000000002</v>
      </c>
      <c r="I517" s="21"/>
      <c r="J517" s="28">
        <f>+IF(F517="i",IFERROR(VLOOKUP(C517,'BG 2023'!$B:$E,3,FALSE),0),0)</f>
        <v>4585773</v>
      </c>
      <c r="K517" s="21">
        <f>+IF(F517="i",IFERROR(VLOOKUP(C517,'BG 2023'!$B:$E,4,FALSE),0),0)</f>
        <v>631.34</v>
      </c>
      <c r="N517" s="806"/>
      <c r="O517" s="807"/>
      <c r="P517" s="807"/>
      <c r="R517" s="807">
        <f>+IFERROR(VLOOKUP(C517,'CA FE'!$A:$C,3,0),0)-G517</f>
        <v>0</v>
      </c>
    </row>
    <row r="518" spans="1:20">
      <c r="A518" s="354" t="s">
        <v>10</v>
      </c>
      <c r="B518" s="354"/>
      <c r="C518" s="355">
        <v>1150224</v>
      </c>
      <c r="D518" s="354" t="s">
        <v>151</v>
      </c>
      <c r="E518" s="356" t="s">
        <v>634</v>
      </c>
      <c r="F518" s="356" t="str">
        <f t="shared" si="23"/>
        <v>NI</v>
      </c>
      <c r="G518" s="28">
        <f>+IF(F518="i",IFERROR(VLOOKUP(C518,'BG 12.2024'!$B:$E,3,FALSE),0),0)</f>
        <v>0</v>
      </c>
      <c r="H518" s="21">
        <f>+IF(F518="i",IFERROR(VLOOKUP(C518,'BG 12.2024'!$B:$E,4,FALSE),0),0)</f>
        <v>0</v>
      </c>
      <c r="I518" s="21"/>
      <c r="J518" s="28">
        <f>+IF(F518="i",IFERROR(VLOOKUP(C518,'BG 2023'!$B:$E,3,FALSE),0),0)</f>
        <v>0</v>
      </c>
      <c r="K518" s="21">
        <f>+IF(F518="i",IFERROR(VLOOKUP(C518,'BG 2023'!$B:$E,4,FALSE),0),0)</f>
        <v>0</v>
      </c>
      <c r="N518" s="806"/>
      <c r="O518" s="807"/>
      <c r="P518" s="807"/>
      <c r="R518" s="807">
        <f>+IFERROR(VLOOKUP(C518,'CA FE'!$A:$C,3,0),0)-G518</f>
        <v>0</v>
      </c>
    </row>
    <row r="519" spans="1:20">
      <c r="A519" s="354" t="s">
        <v>10</v>
      </c>
      <c r="B519" s="354"/>
      <c r="C519" s="355">
        <v>11502241</v>
      </c>
      <c r="D519" s="354" t="s">
        <v>152</v>
      </c>
      <c r="E519" s="356" t="s">
        <v>634</v>
      </c>
      <c r="F519" s="356" t="str">
        <f t="shared" si="23"/>
        <v>NI</v>
      </c>
      <c r="G519" s="28">
        <f>+IF(F519="i",IFERROR(VLOOKUP(C519,'BG 12.2024'!$B:$E,3,FALSE),0),0)</f>
        <v>0</v>
      </c>
      <c r="H519" s="21">
        <f>+IF(F519="i",IFERROR(VLOOKUP(C519,'BG 12.2024'!$B:$E,4,FALSE),0),0)</f>
        <v>0</v>
      </c>
      <c r="I519" s="21"/>
      <c r="J519" s="28">
        <f>+IF(F519="i",IFERROR(VLOOKUP(C519,'BG 2023'!$B:$E,3,FALSE),0),0)</f>
        <v>0</v>
      </c>
      <c r="K519" s="21">
        <f>+IF(F519="i",IFERROR(VLOOKUP(C519,'BG 2023'!$B:$E,4,FALSE),0),0)</f>
        <v>0</v>
      </c>
      <c r="N519" s="806"/>
      <c r="O519" s="807"/>
      <c r="P519" s="807"/>
      <c r="R519" s="807">
        <f>+IFERROR(VLOOKUP(C519,'CA FE'!$A:$C,3,0),0)-G519</f>
        <v>0</v>
      </c>
    </row>
    <row r="520" spans="1:20">
      <c r="A520" s="354" t="s">
        <v>10</v>
      </c>
      <c r="B520" s="354" t="s">
        <v>807</v>
      </c>
      <c r="C520" s="355">
        <v>1150224103</v>
      </c>
      <c r="D520" s="354" t="s">
        <v>579</v>
      </c>
      <c r="E520" s="356" t="s">
        <v>634</v>
      </c>
      <c r="F520" s="356" t="str">
        <f t="shared" ref="F520" si="31">+IF(LEN(C520)&gt;8,"I","NI")</f>
        <v>I</v>
      </c>
      <c r="G520" s="28">
        <f>+IF(F520="i",IFERROR(VLOOKUP(C520,'BG 12.2024'!$B:$E,3,FALSE),0),0)</f>
        <v>0</v>
      </c>
      <c r="H520" s="21">
        <f>+IF(F520="i",IFERROR(VLOOKUP(C520,'BG 12.2024'!$B:$E,4,FALSE),0),0)</f>
        <v>0</v>
      </c>
      <c r="I520" s="21"/>
      <c r="J520" s="28">
        <f>+IF(F520="i",IFERROR(VLOOKUP(C520,'BG 2023'!$B:$E,3,FALSE),0),0)</f>
        <v>0</v>
      </c>
      <c r="K520" s="21"/>
      <c r="N520" s="806"/>
      <c r="O520" s="807"/>
      <c r="P520" s="807"/>
      <c r="R520" s="807">
        <f>+IFERROR(VLOOKUP(C520,'CA FE'!$A:$C,3,0),0)-G520</f>
        <v>0</v>
      </c>
    </row>
    <row r="521" spans="1:20">
      <c r="A521" s="354" t="s">
        <v>10</v>
      </c>
      <c r="B521" s="354" t="s">
        <v>807</v>
      </c>
      <c r="C521" s="355">
        <v>1150224105</v>
      </c>
      <c r="D521" s="354" t="s">
        <v>153</v>
      </c>
      <c r="E521" s="356" t="s">
        <v>634</v>
      </c>
      <c r="F521" s="356" t="str">
        <f t="shared" si="23"/>
        <v>I</v>
      </c>
      <c r="G521" s="28">
        <f>+IF(F521="i",IFERROR(VLOOKUP(C521,'BG 12.2024'!$B:$E,3,FALSE),0),0)</f>
        <v>4426317953</v>
      </c>
      <c r="H521" s="21">
        <f>+IF(F521="i",IFERROR(VLOOKUP(C521,'BG 12.2024'!$B:$E,4,FALSE),0),0)</f>
        <v>565211.47</v>
      </c>
      <c r="I521" s="21"/>
      <c r="J521" s="28">
        <f>+IF(F521="i",IFERROR(VLOOKUP(C521,'BG 2023'!$B:$E,3,FALSE),0),0)</f>
        <v>1395814328</v>
      </c>
      <c r="K521" s="21">
        <f>+IF(F521="i",IFERROR(VLOOKUP(C521,'BG 2023'!$B:$E,4,FALSE),0),0)</f>
        <v>192165.9</v>
      </c>
      <c r="N521" s="806"/>
      <c r="O521" s="807"/>
      <c r="P521" s="807"/>
      <c r="R521" s="807">
        <f>+IFERROR(VLOOKUP(C521,'CA FE'!$A:$C,3,0),0)-G521</f>
        <v>0</v>
      </c>
    </row>
    <row r="522" spans="1:20">
      <c r="A522" s="354" t="s">
        <v>10</v>
      </c>
      <c r="B522" s="354" t="s">
        <v>807</v>
      </c>
      <c r="C522" s="355">
        <v>1150224107</v>
      </c>
      <c r="D522" s="354" t="s">
        <v>154</v>
      </c>
      <c r="E522" s="356" t="s">
        <v>634</v>
      </c>
      <c r="F522" s="356" t="str">
        <f t="shared" si="23"/>
        <v>I</v>
      </c>
      <c r="G522" s="28">
        <f>+IF(F522="i",IFERROR(VLOOKUP(C522,'BG 12.2024'!$B:$E,3,FALSE),0),0)</f>
        <v>355167123</v>
      </c>
      <c r="H522" s="21">
        <f>+IF(F522="i",IFERROR(VLOOKUP(C522,'BG 12.2024'!$B:$E,4,FALSE),0),0)</f>
        <v>45352.49</v>
      </c>
      <c r="I522" s="21"/>
      <c r="J522" s="28">
        <f>+IF(F522="i",IFERROR(VLOOKUP(C522,'BG 2023'!$B:$E,3,FALSE),0),0)</f>
        <v>29578082</v>
      </c>
      <c r="K522" s="21">
        <f>+IF(F522="i",IFERROR(VLOOKUP(C522,'BG 2023'!$B:$E,4,FALSE),0),0)</f>
        <v>4072.1000000000008</v>
      </c>
      <c r="N522" s="806"/>
      <c r="O522" s="807"/>
      <c r="P522" s="807"/>
      <c r="R522" s="807">
        <f>+IFERROR(VLOOKUP(C522,'CA FE'!$A:$C,3,0),0)-G522</f>
        <v>0</v>
      </c>
    </row>
    <row r="523" spans="1:20">
      <c r="A523" s="354" t="s">
        <v>10</v>
      </c>
      <c r="B523" s="1210" t="s">
        <v>807</v>
      </c>
      <c r="C523" s="355">
        <v>1150224108</v>
      </c>
      <c r="D523" s="354" t="s">
        <v>2710</v>
      </c>
      <c r="E523" s="356" t="s">
        <v>634</v>
      </c>
      <c r="F523" s="356" t="str">
        <f t="shared" ref="F523" si="32">+IF(LEN(C523)&gt;8,"I","NI")</f>
        <v>I</v>
      </c>
      <c r="G523" s="28">
        <f>+IF(F523="i",IFERROR(VLOOKUP(C523,'BG 12.2024'!$B:$E,3,FALSE),0),0)</f>
        <v>269993973</v>
      </c>
      <c r="H523" s="21">
        <f>+IF(F523="i",IFERROR(VLOOKUP(C523,'BG 12.2024'!$B:$E,4,FALSE),0),0)</f>
        <v>34476.44</v>
      </c>
      <c r="I523" s="21"/>
      <c r="J523" s="28">
        <f>+IF(F523="i",IFERROR(VLOOKUP(C523,'BG 2023'!$B:$E,3,FALSE),0),0)</f>
        <v>0</v>
      </c>
      <c r="K523" s="21">
        <f>+IF(F523="i",IFERROR(VLOOKUP(C523,'BG 2023'!$B:$E,4,FALSE),0),0)</f>
        <v>0</v>
      </c>
      <c r="N523" s="806"/>
      <c r="O523" s="807"/>
      <c r="P523" s="807"/>
      <c r="R523" s="807"/>
    </row>
    <row r="524" spans="1:20" ht="14.4">
      <c r="A524" s="354" t="s">
        <v>10</v>
      </c>
      <c r="B524" s="354" t="s">
        <v>807</v>
      </c>
      <c r="C524" s="355">
        <v>1150224113</v>
      </c>
      <c r="D524" s="354" t="s">
        <v>155</v>
      </c>
      <c r="E524" s="356" t="s">
        <v>634</v>
      </c>
      <c r="F524" s="356" t="str">
        <f t="shared" si="23"/>
        <v>I</v>
      </c>
      <c r="G524" s="28">
        <f>+IF(F524="i",IFERROR(VLOOKUP(C524,'BG 12.2024'!$B:$E,3,FALSE),0),0)</f>
        <v>79254966</v>
      </c>
      <c r="H524" s="21">
        <f>+IF(F524="i",IFERROR(VLOOKUP(C524,'BG 12.2024'!$B:$E,4,FALSE),0),0)</f>
        <v>10120.330000000002</v>
      </c>
      <c r="I524" s="21"/>
      <c r="J524" s="28">
        <f>+IF(F524="i",IFERROR(VLOOKUP(C524,'BG 2023'!$B:$E,3,FALSE),0),0)</f>
        <v>493469863</v>
      </c>
      <c r="K524" s="21">
        <f>+IF(F524="i",IFERROR(VLOOKUP(C524,'BG 2023'!$B:$E,4,FALSE),0),0)</f>
        <v>67937.460000000006</v>
      </c>
      <c r="N524" s="806"/>
      <c r="O524" s="807"/>
      <c r="P524" s="807"/>
      <c r="R524" s="807">
        <f>+IFERROR(VLOOKUP(C524,'CA FE'!$A:$C,3,0),0)-G524</f>
        <v>0</v>
      </c>
      <c r="T524" s="1203">
        <v>1150224105</v>
      </c>
    </row>
    <row r="525" spans="1:20">
      <c r="A525" s="354" t="s">
        <v>10</v>
      </c>
      <c r="B525" s="354" t="s">
        <v>807</v>
      </c>
      <c r="C525" s="355">
        <v>1150224129</v>
      </c>
      <c r="D525" s="354" t="s">
        <v>156</v>
      </c>
      <c r="E525" s="356" t="s">
        <v>634</v>
      </c>
      <c r="F525" s="356" t="str">
        <f t="shared" si="23"/>
        <v>I</v>
      </c>
      <c r="G525" s="28">
        <f>+IF(F525="i",IFERROR(VLOOKUP(C525,'BG 12.2024'!$B:$E,3,FALSE),0),0)</f>
        <v>1227984450</v>
      </c>
      <c r="H525" s="21">
        <f>+IF(F525="i",IFERROR(VLOOKUP(C525,'BG 12.2024'!$B:$E,4,FALSE),0),0)</f>
        <v>156805.47999999998</v>
      </c>
      <c r="I525" s="21"/>
      <c r="J525" s="28">
        <f>+IF(F525="i",IFERROR(VLOOKUP(C525,'BG 2023'!$B:$E,3,FALSE),0),0)</f>
        <v>158897260</v>
      </c>
      <c r="K525" s="21">
        <f>+IF(F525="i",IFERROR(VLOOKUP(C525,'BG 2023'!$B:$E,4,FALSE),0),0)</f>
        <v>21875.86</v>
      </c>
      <c r="N525" s="806"/>
      <c r="O525" s="807"/>
      <c r="P525" s="807"/>
      <c r="R525" s="807">
        <f>+IFERROR(VLOOKUP(C525,'CA FE'!$A:$C,3,0),0)-G525</f>
        <v>0</v>
      </c>
    </row>
    <row r="526" spans="1:20">
      <c r="A526" s="354" t="s">
        <v>10</v>
      </c>
      <c r="B526" s="354"/>
      <c r="C526" s="355">
        <v>11502242</v>
      </c>
      <c r="D526" s="354" t="s">
        <v>157</v>
      </c>
      <c r="E526" s="356" t="s">
        <v>634</v>
      </c>
      <c r="F526" s="356" t="str">
        <f t="shared" si="23"/>
        <v>NI</v>
      </c>
      <c r="G526" s="28">
        <f>+IF(F526="i",IFERROR(VLOOKUP(C526,'BG 12.2024'!$B:$E,3,FALSE),0),0)</f>
        <v>0</v>
      </c>
      <c r="H526" s="21">
        <f>+IF(F526="i",IFERROR(VLOOKUP(C526,'BG 12.2024'!$B:$E,4,FALSE),0),0)</f>
        <v>0</v>
      </c>
      <c r="I526" s="21"/>
      <c r="J526" s="28">
        <f>+IF(F526="i",IFERROR(VLOOKUP(C526,'BG 2023'!$B:$E,3,FALSE),0),0)</f>
        <v>0</v>
      </c>
      <c r="K526" s="21">
        <f>+IF(F526="i",IFERROR(VLOOKUP(C526,'BG 2023'!$B:$E,4,FALSE),0),0)</f>
        <v>0</v>
      </c>
      <c r="N526" s="806"/>
      <c r="O526" s="807"/>
      <c r="P526" s="807"/>
      <c r="R526" s="807">
        <f>+IFERROR(VLOOKUP(C526,'CA FE'!$A:$C,3,0),0)-G526</f>
        <v>0</v>
      </c>
    </row>
    <row r="527" spans="1:20">
      <c r="A527" s="354" t="s">
        <v>10</v>
      </c>
      <c r="B527" s="354" t="s">
        <v>807</v>
      </c>
      <c r="C527" s="355">
        <v>1150224203</v>
      </c>
      <c r="D527" s="354" t="s">
        <v>580</v>
      </c>
      <c r="E527" s="356" t="s">
        <v>634</v>
      </c>
      <c r="F527" s="356" t="str">
        <f t="shared" ref="F527" si="33">+IF(LEN(C527)&gt;8,"I","NI")</f>
        <v>I</v>
      </c>
      <c r="G527" s="28">
        <f>+IF(F527="i",IFERROR(VLOOKUP(C527,'BG 12.2024'!$B:$E,3,FALSE),0),0)</f>
        <v>0</v>
      </c>
      <c r="H527" s="21">
        <f>+IF(F527="i",IFERROR(VLOOKUP(C527,'BG 12.2024'!$B:$E,4,FALSE),0),0)</f>
        <v>0</v>
      </c>
      <c r="I527" s="21"/>
      <c r="J527" s="28">
        <f>+IF(F527="i",IFERROR(VLOOKUP(C527,'BG 2023'!$B:$E,3,FALSE),0),0)</f>
        <v>0</v>
      </c>
      <c r="K527" s="21"/>
      <c r="N527" s="806"/>
      <c r="O527" s="807"/>
      <c r="P527" s="807"/>
      <c r="R527" s="807">
        <f>+IFERROR(VLOOKUP(C527,'CA FE'!$A:$C,3,0),0)-G527</f>
        <v>0</v>
      </c>
    </row>
    <row r="528" spans="1:20">
      <c r="A528" s="354" t="s">
        <v>10</v>
      </c>
      <c r="B528" s="354" t="s">
        <v>807</v>
      </c>
      <c r="C528" s="355">
        <v>1150224205</v>
      </c>
      <c r="D528" s="354" t="s">
        <v>158</v>
      </c>
      <c r="E528" s="356" t="s">
        <v>634</v>
      </c>
      <c r="F528" s="356" t="str">
        <f t="shared" si="23"/>
        <v>I</v>
      </c>
      <c r="G528" s="28">
        <f>+IF(F528="i",IFERROR(VLOOKUP(C528,'BG 12.2024'!$B:$E,3,FALSE),0),0)</f>
        <v>-3421132884</v>
      </c>
      <c r="H528" s="21">
        <f>+IF(F528="i",IFERROR(VLOOKUP(C528,'BG 12.2024'!$B:$E,4,FALSE),0),0)</f>
        <v>-436855.99999999994</v>
      </c>
      <c r="I528" s="21"/>
      <c r="J528" s="28">
        <f>+IF(F528="i",IFERROR(VLOOKUP(C528,'BG 2023'!$B:$E,3,FALSE),0),0)</f>
        <v>-1277230400</v>
      </c>
      <c r="K528" s="21">
        <f>+IF(F528="i",IFERROR(VLOOKUP(C528,'BG 2023'!$B:$E,4,FALSE),0),0)</f>
        <v>-175840.09999999998</v>
      </c>
      <c r="N528" s="806"/>
      <c r="O528" s="807"/>
      <c r="P528" s="807"/>
      <c r="R528" s="807">
        <f>+IFERROR(VLOOKUP(C528,'CA FE'!$A:$C,3,0),0)-G528</f>
        <v>0</v>
      </c>
    </row>
    <row r="529" spans="1:20">
      <c r="A529" s="354" t="s">
        <v>10</v>
      </c>
      <c r="B529" s="1210" t="s">
        <v>807</v>
      </c>
      <c r="C529" s="355">
        <v>1150224208</v>
      </c>
      <c r="D529" s="354" t="s">
        <v>2711</v>
      </c>
      <c r="E529" s="356" t="s">
        <v>634</v>
      </c>
      <c r="F529" s="356" t="str">
        <f t="shared" ref="F529" si="34">+IF(LEN(C529)&gt;8,"I","NI")</f>
        <v>I</v>
      </c>
      <c r="G529" s="28">
        <f>+IF(F529="i",IFERROR(VLOOKUP(C529,'BG 12.2024'!$B:$E,3,FALSE),0),0)</f>
        <v>-268754521</v>
      </c>
      <c r="H529" s="21">
        <f>+IF(F529="i",IFERROR(VLOOKUP(C529,'BG 12.2024'!$B:$E,4,FALSE),0),0)</f>
        <v>-34318.17</v>
      </c>
      <c r="I529" s="21"/>
      <c r="J529" s="28">
        <f>+IF(F529="i",IFERROR(VLOOKUP(C529,'BG 2023'!$B:$E,3,FALSE),0),0)</f>
        <v>0</v>
      </c>
      <c r="K529" s="21">
        <f>+IF(F529="i",IFERROR(VLOOKUP(C529,'BG 2023'!$B:$E,4,FALSE),0),0)</f>
        <v>0</v>
      </c>
      <c r="N529" s="806"/>
      <c r="O529" s="807"/>
      <c r="P529" s="807"/>
      <c r="R529" s="807"/>
    </row>
    <row r="530" spans="1:20" ht="14.4">
      <c r="A530" s="354" t="s">
        <v>10</v>
      </c>
      <c r="B530" s="354" t="s">
        <v>807</v>
      </c>
      <c r="C530" s="355">
        <v>1150224207</v>
      </c>
      <c r="D530" s="354" t="s">
        <v>159</v>
      </c>
      <c r="E530" s="356" t="s">
        <v>634</v>
      </c>
      <c r="F530" s="356" t="str">
        <f t="shared" si="23"/>
        <v>I</v>
      </c>
      <c r="G530" s="28">
        <f>+IF(F530="i",IFERROR(VLOOKUP(C530,'BG 12.2024'!$B:$E,3,FALSE),0),0)</f>
        <v>-350679452</v>
      </c>
      <c r="H530" s="21">
        <f>+IF(F530="i",IFERROR(VLOOKUP(C530,'BG 12.2024'!$B:$E,4,FALSE),0),0)</f>
        <v>-44779.44</v>
      </c>
      <c r="I530" s="21"/>
      <c r="J530" s="28">
        <f>+IF(F530="i",IFERROR(VLOOKUP(C530,'BG 2023'!$B:$E,3,FALSE),0),0)</f>
        <v>-28208219</v>
      </c>
      <c r="K530" s="21">
        <f>+IF(F530="i",IFERROR(VLOOKUP(C530,'BG 2023'!$B:$E,4,FALSE),0),0)</f>
        <v>-3883.51</v>
      </c>
      <c r="N530" s="806"/>
      <c r="O530" s="807"/>
      <c r="P530" s="807"/>
      <c r="R530" s="807">
        <f>+IFERROR(VLOOKUP(C530,'CA FE'!$A:$C,3,0),0)-G530</f>
        <v>0</v>
      </c>
      <c r="T530" s="1203">
        <v>1150224205</v>
      </c>
    </row>
    <row r="531" spans="1:20">
      <c r="A531" s="354" t="s">
        <v>10</v>
      </c>
      <c r="B531" s="354" t="s">
        <v>807</v>
      </c>
      <c r="C531" s="355">
        <v>1150224213</v>
      </c>
      <c r="D531" s="354" t="s">
        <v>160</v>
      </c>
      <c r="E531" s="356" t="s">
        <v>634</v>
      </c>
      <c r="F531" s="356" t="str">
        <f t="shared" si="23"/>
        <v>I</v>
      </c>
      <c r="G531" s="28">
        <f>+IF(F531="i",IFERROR(VLOOKUP(C531,'BG 12.2024'!$B:$E,3,FALSE),0),0)</f>
        <v>-76563288</v>
      </c>
      <c r="H531" s="21">
        <f>+IF(F531="i",IFERROR(VLOOKUP(C531,'BG 12.2024'!$B:$E,4,FALSE),0),0)</f>
        <v>-9776.6200000000099</v>
      </c>
      <c r="I531" s="21"/>
      <c r="J531" s="28">
        <f>+IF(F531="i",IFERROR(VLOOKUP(C531,'BG 2023'!$B:$E,3,FALSE),0),0)</f>
        <v>-442682192</v>
      </c>
      <c r="K531" s="21">
        <f>+IF(F531="i",IFERROR(VLOOKUP(C531,'BG 2023'!$B:$E,4,FALSE),0),0)</f>
        <v>-60945.37</v>
      </c>
      <c r="N531" s="806"/>
      <c r="O531" s="807"/>
      <c r="P531" s="807"/>
      <c r="R531" s="807">
        <f>+IFERROR(VLOOKUP(C531,'CA FE'!$A:$C,3,0),0)-G531</f>
        <v>0</v>
      </c>
    </row>
    <row r="532" spans="1:20">
      <c r="A532" s="354" t="s">
        <v>10</v>
      </c>
      <c r="B532" s="354" t="s">
        <v>807</v>
      </c>
      <c r="C532" s="355">
        <v>1150224229</v>
      </c>
      <c r="D532" s="354" t="s">
        <v>161</v>
      </c>
      <c r="E532" s="356" t="s">
        <v>634</v>
      </c>
      <c r="F532" s="356" t="str">
        <f t="shared" si="23"/>
        <v>I</v>
      </c>
      <c r="G532" s="28">
        <f>+IF(F532="i",IFERROR(VLOOKUP(C532,'BG 12.2024'!$B:$E,3,FALSE),0),0)</f>
        <v>-1143351717</v>
      </c>
      <c r="H532" s="21">
        <f>+IF(F532="i",IFERROR(VLOOKUP(C532,'BG 12.2024'!$B:$E,4,FALSE),0),0)</f>
        <v>-145998.44000000006</v>
      </c>
      <c r="I532" s="21"/>
      <c r="J532" s="28">
        <f>+IF(F532="i",IFERROR(VLOOKUP(C532,'BG 2023'!$B:$E,3,FALSE),0),0)</f>
        <v>-148914695</v>
      </c>
      <c r="K532" s="21">
        <f>+IF(F532="i",IFERROR(VLOOKUP(C532,'BG 2023'!$B:$E,4,FALSE),0),0)</f>
        <v>-20501.53</v>
      </c>
      <c r="N532" s="806"/>
      <c r="O532" s="807"/>
      <c r="P532" s="807"/>
      <c r="R532" s="807">
        <f>+IFERROR(VLOOKUP(C532,'CA FE'!$A:$C,3,0),0)-G532</f>
        <v>0</v>
      </c>
    </row>
    <row r="533" spans="1:20">
      <c r="A533" s="354" t="s">
        <v>10</v>
      </c>
      <c r="B533" s="354"/>
      <c r="C533" s="355">
        <v>11404</v>
      </c>
      <c r="D533" s="354" t="s">
        <v>809</v>
      </c>
      <c r="E533" s="356" t="s">
        <v>634</v>
      </c>
      <c r="F533" s="356" t="str">
        <f t="shared" si="23"/>
        <v>NI</v>
      </c>
      <c r="G533" s="28">
        <f>+IF(F533="i",IFERROR(VLOOKUP(C533,'BG 12.2024'!$B:$E,3,FALSE),0),0)</f>
        <v>0</v>
      </c>
      <c r="H533" s="21">
        <f>+IF(F533="i",IFERROR(VLOOKUP(C533,'BG 12.2024'!$B:$E,4,FALSE),0),0)</f>
        <v>0</v>
      </c>
      <c r="I533" s="21"/>
      <c r="J533" s="28">
        <f>+IF(F533="i",IFERROR(VLOOKUP(C533,'BG 2023'!$B:$E,3,FALSE),0),0)</f>
        <v>0</v>
      </c>
      <c r="K533" s="21">
        <f>+IF(F533="i",IFERROR(VLOOKUP(C533,'BG 2023'!$B:$E,4,FALSE),0),0)</f>
        <v>0</v>
      </c>
      <c r="M533" s="15" t="e">
        <f>+VLOOKUP(C533,'BG 2023'!$B:$E,1,0)</f>
        <v>#N/A</v>
      </c>
      <c r="N533" s="806" t="e">
        <f>+VLOOKUP(C533,'BG 2023'!$B:$E,3,0)</f>
        <v>#N/A</v>
      </c>
      <c r="O533" s="807" t="e">
        <f t="shared" si="26"/>
        <v>#N/A</v>
      </c>
      <c r="P533" s="807"/>
      <c r="R533" s="807">
        <f>+IFERROR(VLOOKUP(C533,'CA FE'!$A:$C,3,0),0)-G533</f>
        <v>0</v>
      </c>
    </row>
    <row r="534" spans="1:20">
      <c r="A534" s="354" t="s">
        <v>10</v>
      </c>
      <c r="B534" s="354"/>
      <c r="C534" s="355">
        <v>114041</v>
      </c>
      <c r="D534" s="354" t="s">
        <v>810</v>
      </c>
      <c r="E534" s="356" t="s">
        <v>634</v>
      </c>
      <c r="F534" s="356" t="str">
        <f t="shared" si="23"/>
        <v>NI</v>
      </c>
      <c r="G534" s="28">
        <f>+IF(F534="i",IFERROR(VLOOKUP(C534,'BG 12.2024'!$B:$E,3,FALSE),0),0)</f>
        <v>0</v>
      </c>
      <c r="H534" s="21">
        <f>+IF(F534="i",IFERROR(VLOOKUP(C534,'BG 12.2024'!$B:$E,4,FALSE),0),0)</f>
        <v>0</v>
      </c>
      <c r="I534" s="21"/>
      <c r="J534" s="28">
        <f>+IF(F534="i",IFERROR(VLOOKUP(C534,'BG 2023'!$B:$E,3,FALSE),0),0)</f>
        <v>0</v>
      </c>
      <c r="K534" s="21">
        <f>+IF(F534="i",IFERROR(VLOOKUP(C534,'BG 2023'!$B:$E,4,FALSE),0),0)</f>
        <v>0</v>
      </c>
      <c r="M534" s="15" t="e">
        <f>+VLOOKUP(C534,'BG 2023'!$B:$E,1,0)</f>
        <v>#N/A</v>
      </c>
      <c r="N534" s="806" t="e">
        <f>+VLOOKUP(C534,'BG 2023'!$B:$E,3,0)</f>
        <v>#N/A</v>
      </c>
      <c r="O534" s="807" t="e">
        <f t="shared" si="26"/>
        <v>#N/A</v>
      </c>
      <c r="P534" s="807"/>
      <c r="R534" s="807">
        <f>+IFERROR(VLOOKUP(C534,'CA FE'!$A:$C,3,0),0)-G534</f>
        <v>0</v>
      </c>
    </row>
    <row r="535" spans="1:20">
      <c r="A535" s="354" t="s">
        <v>10</v>
      </c>
      <c r="B535" s="354"/>
      <c r="C535" s="355">
        <v>1140411</v>
      </c>
      <c r="D535" s="354" t="s">
        <v>811</v>
      </c>
      <c r="E535" s="356" t="s">
        <v>634</v>
      </c>
      <c r="F535" s="356" t="str">
        <f t="shared" ref="F535:F604" si="35">+IF(LEN(C535)&gt;8,"I","NI")</f>
        <v>NI</v>
      </c>
      <c r="G535" s="28">
        <f>+IF(F535="i",IFERROR(VLOOKUP(C535,'BG 12.2024'!$B:$E,3,FALSE),0),0)</f>
        <v>0</v>
      </c>
      <c r="H535" s="21">
        <f>+IF(F535="i",IFERROR(VLOOKUP(C535,'BG 12.2024'!$B:$E,4,FALSE),0),0)</f>
        <v>0</v>
      </c>
      <c r="I535" s="21"/>
      <c r="J535" s="28">
        <f>+IF(F535="i",IFERROR(VLOOKUP(C535,'BG 2023'!$B:$E,3,FALSE),0),0)</f>
        <v>0</v>
      </c>
      <c r="K535" s="21">
        <f>+IF(F535="i",IFERROR(VLOOKUP(C535,'BG 2023'!$B:$E,4,FALSE),0),0)</f>
        <v>0</v>
      </c>
      <c r="M535" s="15" t="e">
        <f>+VLOOKUP(C535,'BG 2023'!$B:$E,1,0)</f>
        <v>#N/A</v>
      </c>
      <c r="N535" s="806" t="e">
        <f>+VLOOKUP(C535,'BG 2023'!$B:$E,3,0)</f>
        <v>#N/A</v>
      </c>
      <c r="O535" s="807" t="e">
        <f t="shared" si="26"/>
        <v>#N/A</v>
      </c>
      <c r="P535" s="807"/>
      <c r="R535" s="807">
        <f>+IFERROR(VLOOKUP(C535,'CA FE'!$A:$C,3,0),0)-G535</f>
        <v>0</v>
      </c>
    </row>
    <row r="536" spans="1:20">
      <c r="A536" s="354" t="s">
        <v>10</v>
      </c>
      <c r="B536" s="354"/>
      <c r="C536" s="355">
        <v>11404111</v>
      </c>
      <c r="D536" s="354" t="s">
        <v>812</v>
      </c>
      <c r="E536" s="356" t="s">
        <v>634</v>
      </c>
      <c r="F536" s="356" t="str">
        <f t="shared" si="35"/>
        <v>NI</v>
      </c>
      <c r="G536" s="28">
        <f>+IF(F536="i",IFERROR(VLOOKUP(C536,'BG 12.2024'!$B:$E,3,FALSE),0),0)</f>
        <v>0</v>
      </c>
      <c r="H536" s="21">
        <f>+IF(F536="i",IFERROR(VLOOKUP(C536,'BG 12.2024'!$B:$E,4,FALSE),0),0)</f>
        <v>0</v>
      </c>
      <c r="I536" s="21"/>
      <c r="J536" s="28">
        <f>+IF(F536="i",IFERROR(VLOOKUP(C536,'BG 2023'!$B:$E,3,FALSE),0),0)</f>
        <v>0</v>
      </c>
      <c r="K536" s="21">
        <f>+IF(F536="i",IFERROR(VLOOKUP(C536,'BG 2023'!$B:$E,4,FALSE),0),0)</f>
        <v>0</v>
      </c>
      <c r="M536" s="15" t="e">
        <f>+VLOOKUP(C536,'BG 2023'!$B:$E,1,0)</f>
        <v>#N/A</v>
      </c>
      <c r="N536" s="806" t="e">
        <f>+VLOOKUP(C536,'BG 2023'!$B:$E,3,0)</f>
        <v>#N/A</v>
      </c>
      <c r="O536" s="807" t="e">
        <f t="shared" si="26"/>
        <v>#N/A</v>
      </c>
      <c r="P536" s="807"/>
      <c r="R536" s="807">
        <f>+IFERROR(VLOOKUP(C536,'CA FE'!$A:$C,3,0),0)-G536</f>
        <v>0</v>
      </c>
    </row>
    <row r="537" spans="1:20">
      <c r="A537" s="354" t="s">
        <v>10</v>
      </c>
      <c r="B537" s="354" t="s">
        <v>794</v>
      </c>
      <c r="C537" s="355">
        <v>1140411101</v>
      </c>
      <c r="D537" s="354" t="s">
        <v>813</v>
      </c>
      <c r="E537" s="356" t="s">
        <v>634</v>
      </c>
      <c r="F537" s="356" t="str">
        <f t="shared" si="35"/>
        <v>I</v>
      </c>
      <c r="G537" s="28">
        <f>+IF(F537="i",IFERROR(VLOOKUP(C537,'BG 12.2024'!$B:$E,3,FALSE),0),0)</f>
        <v>0</v>
      </c>
      <c r="H537" s="21">
        <f>+IF(F537="i",IFERROR(VLOOKUP(C537,'BG 12.2024'!$B:$E,4,FALSE),0),0)</f>
        <v>0</v>
      </c>
      <c r="I537" s="21"/>
      <c r="J537" s="28">
        <f>+IF(F537="i",IFERROR(VLOOKUP(C537,'BG 2023'!$B:$E,3,FALSE),0),0)</f>
        <v>0</v>
      </c>
      <c r="K537" s="21">
        <f>+IF(F537="i",IFERROR(VLOOKUP(C537,'BG 2023'!$B:$E,4,FALSE),0),0)</f>
        <v>0</v>
      </c>
      <c r="M537" s="15" t="e">
        <f>+VLOOKUP(C537,'BG 2023'!$B:$E,1,0)</f>
        <v>#N/A</v>
      </c>
      <c r="N537" s="806" t="e">
        <f>+VLOOKUP(C537,'BG 2023'!$B:$E,3,0)</f>
        <v>#N/A</v>
      </c>
      <c r="O537" s="807" t="e">
        <f t="shared" si="26"/>
        <v>#N/A</v>
      </c>
      <c r="P537" s="807"/>
      <c r="R537" s="807">
        <f>+IFERROR(VLOOKUP(C537,'CA FE'!$A:$C,3,0),0)-G537</f>
        <v>0</v>
      </c>
    </row>
    <row r="538" spans="1:20">
      <c r="A538" s="354" t="s">
        <v>10</v>
      </c>
      <c r="B538" s="354"/>
      <c r="C538" s="355">
        <v>119</v>
      </c>
      <c r="D538" s="354" t="s">
        <v>162</v>
      </c>
      <c r="E538" s="356" t="s">
        <v>634</v>
      </c>
      <c r="F538" s="356" t="str">
        <f t="shared" si="35"/>
        <v>NI</v>
      </c>
      <c r="G538" s="28">
        <f>+IF(F538="i",IFERROR(VLOOKUP(C538,'BG 12.2024'!$B:$E,3,FALSE),0),0)</f>
        <v>0</v>
      </c>
      <c r="H538" s="21">
        <f>+IF(F538="i",IFERROR(VLOOKUP(C538,'BG 12.2024'!$B:$E,4,FALSE),0),0)</f>
        <v>0</v>
      </c>
      <c r="I538" s="21"/>
      <c r="J538" s="28">
        <f>+IF(F538="i",IFERROR(VLOOKUP(C538,'BG 2023'!$B:$E,3,FALSE),0),0)</f>
        <v>0</v>
      </c>
      <c r="K538" s="21">
        <f>+IF(F538="i",IFERROR(VLOOKUP(C538,'BG 2023'!$B:$E,4,FALSE),0),0)</f>
        <v>0</v>
      </c>
      <c r="M538" s="15">
        <f>+VLOOKUP(C538,'BG 2023'!$B:$E,1,0)</f>
        <v>119</v>
      </c>
      <c r="N538" s="806">
        <f>+VLOOKUP(C538,'BG 2023'!$B:$E,3,0)</f>
        <v>18618097</v>
      </c>
      <c r="O538" s="807">
        <f t="shared" si="26"/>
        <v>18618097</v>
      </c>
      <c r="P538" s="807"/>
      <c r="R538" s="807">
        <f>+IFERROR(VLOOKUP(C538,'CA FE'!$A:$C,3,0),0)-G538</f>
        <v>0</v>
      </c>
    </row>
    <row r="539" spans="1:20">
      <c r="A539" s="354" t="s">
        <v>10</v>
      </c>
      <c r="B539" s="354"/>
      <c r="C539" s="355">
        <v>11901</v>
      </c>
      <c r="D539" s="354" t="s">
        <v>163</v>
      </c>
      <c r="E539" s="356" t="s">
        <v>634</v>
      </c>
      <c r="F539" s="356" t="str">
        <f t="shared" si="35"/>
        <v>NI</v>
      </c>
      <c r="G539" s="28">
        <f>+IF(F539="i",IFERROR(VLOOKUP(C539,'BG 12.2024'!$B:$E,3,FALSE),0),0)</f>
        <v>0</v>
      </c>
      <c r="H539" s="21">
        <f>+IF(F539="i",IFERROR(VLOOKUP(C539,'BG 12.2024'!$B:$E,4,FALSE),0),0)</f>
        <v>0</v>
      </c>
      <c r="I539" s="21"/>
      <c r="J539" s="28">
        <f>+IF(F539="i",IFERROR(VLOOKUP(C539,'BG 2023'!$B:$E,3,FALSE),0),0)</f>
        <v>0</v>
      </c>
      <c r="K539" s="21">
        <f>+IF(F539="i",IFERROR(VLOOKUP(C539,'BG 2023'!$B:$E,4,FALSE),0),0)</f>
        <v>0</v>
      </c>
      <c r="M539" s="15">
        <f>+VLOOKUP(C539,'BG 2023'!$B:$E,1,0)</f>
        <v>11901</v>
      </c>
      <c r="N539" s="806">
        <f>+VLOOKUP(C539,'BG 2023'!$B:$E,3,0)</f>
        <v>18618097</v>
      </c>
      <c r="O539" s="807">
        <f t="shared" si="26"/>
        <v>18618097</v>
      </c>
      <c r="P539" s="807"/>
      <c r="R539" s="807">
        <f>+IFERROR(VLOOKUP(C539,'CA FE'!$A:$C,3,0),0)-G539</f>
        <v>0</v>
      </c>
    </row>
    <row r="540" spans="1:20">
      <c r="A540" s="354" t="s">
        <v>10</v>
      </c>
      <c r="B540" s="354"/>
      <c r="C540" s="355">
        <v>119011</v>
      </c>
      <c r="D540" s="354" t="s">
        <v>163</v>
      </c>
      <c r="E540" s="356" t="s">
        <v>634</v>
      </c>
      <c r="F540" s="356" t="str">
        <f t="shared" si="35"/>
        <v>NI</v>
      </c>
      <c r="G540" s="28">
        <f>+IF(F540="i",IFERROR(VLOOKUP(C540,'BG 12.2024'!$B:$E,3,FALSE),0),0)</f>
        <v>0</v>
      </c>
      <c r="H540" s="21">
        <f>+IF(F540="i",IFERROR(VLOOKUP(C540,'BG 12.2024'!$B:$E,4,FALSE),0),0)</f>
        <v>0</v>
      </c>
      <c r="I540" s="21"/>
      <c r="J540" s="28">
        <f>+IF(F540="i",IFERROR(VLOOKUP(C540,'BG 2023'!$B:$E,3,FALSE),0),0)</f>
        <v>0</v>
      </c>
      <c r="K540" s="21">
        <f>+IF(F540="i",IFERROR(VLOOKUP(C540,'BG 2023'!$B:$E,4,FALSE),0),0)</f>
        <v>0</v>
      </c>
      <c r="M540" s="15">
        <f>+VLOOKUP(C540,'BG 2023'!$B:$E,1,0)</f>
        <v>119011</v>
      </c>
      <c r="N540" s="806">
        <f>+VLOOKUP(C540,'BG 2023'!$B:$E,3,0)</f>
        <v>18618097</v>
      </c>
      <c r="O540" s="807">
        <f t="shared" si="26"/>
        <v>18618097</v>
      </c>
      <c r="P540" s="807"/>
      <c r="R540" s="807">
        <f>+IFERROR(VLOOKUP(C540,'CA FE'!$A:$C,3,0),0)-G540</f>
        <v>0</v>
      </c>
    </row>
    <row r="541" spans="1:20">
      <c r="A541" s="354" t="s">
        <v>10</v>
      </c>
      <c r="B541" s="354"/>
      <c r="C541" s="355">
        <v>1190111</v>
      </c>
      <c r="D541" s="354" t="s">
        <v>163</v>
      </c>
      <c r="E541" s="356" t="s">
        <v>634</v>
      </c>
      <c r="F541" s="356" t="str">
        <f t="shared" si="35"/>
        <v>NI</v>
      </c>
      <c r="G541" s="28">
        <f>+IF(F541="i",IFERROR(VLOOKUP(C541,'BG 12.2024'!$B:$E,3,FALSE),0),0)</f>
        <v>0</v>
      </c>
      <c r="H541" s="21">
        <f>+IF(F541="i",IFERROR(VLOOKUP(C541,'BG 12.2024'!$B:$E,4,FALSE),0),0)</f>
        <v>0</v>
      </c>
      <c r="I541" s="21"/>
      <c r="J541" s="28">
        <f>+IF(F541="i",IFERROR(VLOOKUP(C541,'BG 2023'!$B:$E,3,FALSE),0),0)</f>
        <v>0</v>
      </c>
      <c r="K541" s="21">
        <f>+IF(F541="i",IFERROR(VLOOKUP(C541,'BG 2023'!$B:$E,4,FALSE),0),0)</f>
        <v>0</v>
      </c>
      <c r="M541" s="15">
        <f>+VLOOKUP(C541,'BG 2023'!$B:$E,1,0)</f>
        <v>1190111</v>
      </c>
      <c r="N541" s="806">
        <f>+VLOOKUP(C541,'BG 2023'!$B:$E,3,0)</f>
        <v>3866217</v>
      </c>
      <c r="O541" s="807">
        <f t="shared" si="26"/>
        <v>3866217</v>
      </c>
      <c r="P541" s="807"/>
      <c r="R541" s="807">
        <f>+IFERROR(VLOOKUP(C541,'CA FE'!$A:$C,3,0),0)-G541</f>
        <v>0</v>
      </c>
    </row>
    <row r="542" spans="1:20">
      <c r="A542" s="354" t="s">
        <v>10</v>
      </c>
      <c r="B542" s="354"/>
      <c r="C542" s="355">
        <v>11901111</v>
      </c>
      <c r="D542" s="354" t="s">
        <v>814</v>
      </c>
      <c r="E542" s="356" t="s">
        <v>634</v>
      </c>
      <c r="F542" s="356" t="str">
        <f t="shared" si="35"/>
        <v>NI</v>
      </c>
      <c r="G542" s="28">
        <f>+IF(F542="i",IFERROR(VLOOKUP(C542,'BG 12.2024'!$B:$E,3,FALSE),0),0)</f>
        <v>0</v>
      </c>
      <c r="H542" s="21">
        <f>+IF(F542="i",IFERROR(VLOOKUP(C542,'BG 12.2024'!$B:$E,4,FALSE),0),0)</f>
        <v>0</v>
      </c>
      <c r="I542" s="21"/>
      <c r="J542" s="28">
        <f>+IF(F542="i",IFERROR(VLOOKUP(C542,'BG 2023'!$B:$E,3,FALSE),0),0)</f>
        <v>0</v>
      </c>
      <c r="K542" s="21">
        <f>+IF(F542="i",IFERROR(VLOOKUP(C542,'BG 2023'!$B:$E,4,FALSE),0),0)</f>
        <v>0</v>
      </c>
      <c r="M542" s="15" t="e">
        <f>+VLOOKUP(C542,'BG 2023'!$B:$E,1,0)</f>
        <v>#N/A</v>
      </c>
      <c r="N542" s="806" t="e">
        <f>+VLOOKUP(C542,'BG 2023'!$B:$E,3,0)</f>
        <v>#N/A</v>
      </c>
      <c r="O542" s="807" t="e">
        <f t="shared" si="26"/>
        <v>#N/A</v>
      </c>
      <c r="P542" s="807"/>
      <c r="R542" s="807">
        <f>+IFERROR(VLOOKUP(C542,'CA FE'!$A:$C,3,0),0)-G542</f>
        <v>0</v>
      </c>
    </row>
    <row r="543" spans="1:20">
      <c r="A543" s="354" t="s">
        <v>10</v>
      </c>
      <c r="B543" s="354"/>
      <c r="C543" s="355">
        <v>1190111101</v>
      </c>
      <c r="D543" s="354" t="s">
        <v>815</v>
      </c>
      <c r="E543" s="356" t="s">
        <v>634</v>
      </c>
      <c r="F543" s="356" t="str">
        <f t="shared" si="35"/>
        <v>I</v>
      </c>
      <c r="G543" s="28">
        <f>+IF(F543="i",IFERROR(VLOOKUP(C543,'BG 12.2024'!$B:$E,3,FALSE),0),0)</f>
        <v>0</v>
      </c>
      <c r="H543" s="21">
        <f>+IF(F543="i",IFERROR(VLOOKUP(C543,'BG 12.2024'!$B:$E,4,FALSE),0),0)</f>
        <v>0</v>
      </c>
      <c r="I543" s="21"/>
      <c r="J543" s="28">
        <f>+IF(F543="i",IFERROR(VLOOKUP(C543,'BG 2023'!$B:$E,3,FALSE),0),0)</f>
        <v>0</v>
      </c>
      <c r="K543" s="21">
        <f>+IF(F543="i",IFERROR(VLOOKUP(C543,'BG 2023'!$B:$E,4,FALSE),0),0)</f>
        <v>0</v>
      </c>
      <c r="M543" s="15" t="e">
        <f>+VLOOKUP(C543,'BG 2023'!$B:$E,1,0)</f>
        <v>#N/A</v>
      </c>
      <c r="N543" s="806" t="e">
        <f>+VLOOKUP(C543,'BG 2023'!$B:$E,3,0)</f>
        <v>#N/A</v>
      </c>
      <c r="O543" s="807" t="e">
        <f t="shared" si="26"/>
        <v>#N/A</v>
      </c>
      <c r="P543" s="807"/>
      <c r="R543" s="807">
        <f>+IFERROR(VLOOKUP(C543,'CA FE'!$A:$C,3,0),0)-G543</f>
        <v>0</v>
      </c>
    </row>
    <row r="544" spans="1:20">
      <c r="A544" s="354" t="s">
        <v>10</v>
      </c>
      <c r="B544" s="354"/>
      <c r="C544" s="355">
        <v>1190111102</v>
      </c>
      <c r="D544" s="354" t="s">
        <v>816</v>
      </c>
      <c r="E544" s="356" t="s">
        <v>634</v>
      </c>
      <c r="F544" s="356" t="str">
        <f t="shared" si="35"/>
        <v>I</v>
      </c>
      <c r="G544" s="28">
        <f>+IF(F544="i",IFERROR(VLOOKUP(C544,'BG 12.2024'!$B:$E,3,FALSE),0),0)</f>
        <v>0</v>
      </c>
      <c r="H544" s="21">
        <f>+IF(F544="i",IFERROR(VLOOKUP(C544,'BG 12.2024'!$B:$E,4,FALSE),0),0)</f>
        <v>0</v>
      </c>
      <c r="I544" s="21"/>
      <c r="J544" s="28">
        <f>+IF(F544="i",IFERROR(VLOOKUP(C544,'BG 2023'!$B:$E,3,FALSE),0),0)</f>
        <v>0</v>
      </c>
      <c r="K544" s="21">
        <f>+IF(F544="i",IFERROR(VLOOKUP(C544,'BG 2023'!$B:$E,4,FALSE),0),0)</f>
        <v>0</v>
      </c>
      <c r="M544" s="15" t="e">
        <f>+VLOOKUP(C544,'BG 2023'!$B:$E,1,0)</f>
        <v>#N/A</v>
      </c>
      <c r="N544" s="806" t="e">
        <f>+VLOOKUP(C544,'BG 2023'!$B:$E,3,0)</f>
        <v>#N/A</v>
      </c>
      <c r="O544" s="807" t="e">
        <f t="shared" si="26"/>
        <v>#N/A</v>
      </c>
      <c r="P544" s="807"/>
      <c r="R544" s="807">
        <f>+IFERROR(VLOOKUP(C544,'CA FE'!$A:$C,3,0),0)-G544</f>
        <v>0</v>
      </c>
    </row>
    <row r="545" spans="1:18">
      <c r="A545" s="354" t="s">
        <v>10</v>
      </c>
      <c r="B545" s="354"/>
      <c r="C545" s="355">
        <v>1190111103</v>
      </c>
      <c r="D545" s="354" t="s">
        <v>482</v>
      </c>
      <c r="E545" s="356" t="s">
        <v>634</v>
      </c>
      <c r="F545" s="356" t="str">
        <f t="shared" si="35"/>
        <v>I</v>
      </c>
      <c r="G545" s="28">
        <f>+IF(F545="i",IFERROR(VLOOKUP(C545,'BG 12.2024'!$B:$E,3,FALSE),0),0)</f>
        <v>0</v>
      </c>
      <c r="H545" s="21">
        <f>+IF(F545="i",IFERROR(VLOOKUP(C545,'BG 12.2024'!$B:$E,4,FALSE),0),0)</f>
        <v>0</v>
      </c>
      <c r="I545" s="21"/>
      <c r="J545" s="28">
        <f>+IF(F545="i",IFERROR(VLOOKUP(C545,'BG 2023'!$B:$E,3,FALSE),0),0)</f>
        <v>0</v>
      </c>
      <c r="K545" s="21">
        <f>+IF(F545="i",IFERROR(VLOOKUP(C545,'BG 2023'!$B:$E,4,FALSE),0),0)</f>
        <v>0</v>
      </c>
      <c r="M545" s="15" t="e">
        <f>+VLOOKUP(C545,'BG 2023'!$B:$E,1,0)</f>
        <v>#N/A</v>
      </c>
      <c r="N545" s="806" t="e">
        <f>+VLOOKUP(C545,'BG 2023'!$B:$E,3,0)</f>
        <v>#N/A</v>
      </c>
      <c r="O545" s="807" t="e">
        <f t="shared" si="26"/>
        <v>#N/A</v>
      </c>
      <c r="P545" s="807"/>
      <c r="R545" s="807">
        <f>+IFERROR(VLOOKUP(C545,'CA FE'!$A:$C,3,0),0)-G545</f>
        <v>0</v>
      </c>
    </row>
    <row r="546" spans="1:18">
      <c r="A546" s="354" t="s">
        <v>10</v>
      </c>
      <c r="B546" s="354"/>
      <c r="C546" s="355">
        <v>11901112</v>
      </c>
      <c r="D546" s="354" t="s">
        <v>164</v>
      </c>
      <c r="E546" s="356" t="s">
        <v>634</v>
      </c>
      <c r="F546" s="356" t="str">
        <f t="shared" si="35"/>
        <v>NI</v>
      </c>
      <c r="G546" s="28">
        <f>+IF(F546="i",IFERROR(VLOOKUP(C546,'BG 12.2024'!$B:$E,3,FALSE),0),0)</f>
        <v>0</v>
      </c>
      <c r="H546" s="21">
        <f>+IF(F546="i",IFERROR(VLOOKUP(C546,'BG 12.2024'!$B:$E,4,FALSE),0),0)</f>
        <v>0</v>
      </c>
      <c r="I546" s="21"/>
      <c r="J546" s="28">
        <f>+IF(F546="i",IFERROR(VLOOKUP(C546,'BG 2023'!$B:$E,3,FALSE),0),0)</f>
        <v>0</v>
      </c>
      <c r="K546" s="21">
        <f>+IF(F546="i",IFERROR(VLOOKUP(C546,'BG 2023'!$B:$E,4,FALSE),0),0)</f>
        <v>0</v>
      </c>
      <c r="M546" s="15">
        <f>+VLOOKUP(C546,'BG 2023'!$B:$E,1,0)</f>
        <v>11901112</v>
      </c>
      <c r="N546" s="806">
        <f>+VLOOKUP(C546,'BG 2023'!$B:$E,3,0)</f>
        <v>7317917</v>
      </c>
      <c r="O546" s="807">
        <f t="shared" si="26"/>
        <v>7317917</v>
      </c>
      <c r="P546" s="807"/>
      <c r="R546" s="807">
        <f>+IFERROR(VLOOKUP(C546,'CA FE'!$A:$C,3,0),0)-G546</f>
        <v>0</v>
      </c>
    </row>
    <row r="547" spans="1:18">
      <c r="A547" s="354" t="s">
        <v>10</v>
      </c>
      <c r="B547" s="354"/>
      <c r="C547" s="355">
        <v>1190111201</v>
      </c>
      <c r="D547" s="354" t="s">
        <v>817</v>
      </c>
      <c r="E547" s="356" t="s">
        <v>634</v>
      </c>
      <c r="F547" s="356" t="str">
        <f t="shared" si="35"/>
        <v>I</v>
      </c>
      <c r="G547" s="28">
        <f>+IF(F547="i",IFERROR(VLOOKUP(C547,'BG 12.2024'!$B:$E,3,FALSE),0),0)</f>
        <v>0</v>
      </c>
      <c r="H547" s="21">
        <f>+IF(F547="i",IFERROR(VLOOKUP(C547,'BG 12.2024'!$B:$E,4,FALSE),0),0)</f>
        <v>0</v>
      </c>
      <c r="I547" s="21"/>
      <c r="J547" s="28">
        <f>+IF(F547="i",IFERROR(VLOOKUP(C547,'BG 2023'!$B:$E,3,FALSE),0),0)</f>
        <v>0</v>
      </c>
      <c r="K547" s="21">
        <f>+IF(F547="i",IFERROR(VLOOKUP(C547,'BG 2023'!$B:$E,4,FALSE),0),0)</f>
        <v>0</v>
      </c>
      <c r="M547" s="15" t="e">
        <f>+VLOOKUP(C547,'BG 2023'!$B:$E,1,0)</f>
        <v>#N/A</v>
      </c>
      <c r="N547" s="806" t="e">
        <f>+VLOOKUP(C547,'BG 2023'!$B:$E,3,0)</f>
        <v>#N/A</v>
      </c>
      <c r="O547" s="807" t="e">
        <f t="shared" si="26"/>
        <v>#N/A</v>
      </c>
      <c r="P547" s="807"/>
      <c r="R547" s="807">
        <f>+IFERROR(VLOOKUP(C547,'CA FE'!$A:$C,3,0),0)-G547</f>
        <v>0</v>
      </c>
    </row>
    <row r="548" spans="1:18">
      <c r="A548" s="354" t="s">
        <v>10</v>
      </c>
      <c r="B548" s="354"/>
      <c r="C548" s="355">
        <v>1190111202</v>
      </c>
      <c r="D548" s="354" t="s">
        <v>818</v>
      </c>
      <c r="E548" s="356" t="s">
        <v>634</v>
      </c>
      <c r="F548" s="356" t="str">
        <f t="shared" si="35"/>
        <v>I</v>
      </c>
      <c r="G548" s="28">
        <f>+IF(F548="i",IFERROR(VLOOKUP(C548,'BG 12.2024'!$B:$E,3,FALSE),0),0)</f>
        <v>0</v>
      </c>
      <c r="H548" s="21">
        <f>+IF(F548="i",IFERROR(VLOOKUP(C548,'BG 12.2024'!$B:$E,4,FALSE),0),0)</f>
        <v>0</v>
      </c>
      <c r="I548" s="21"/>
      <c r="J548" s="28">
        <f>+IF(F548="i",IFERROR(VLOOKUP(C548,'BG 2023'!$B:$E,3,FALSE),0),0)</f>
        <v>0</v>
      </c>
      <c r="K548" s="21">
        <f>+IF(F548="i",IFERROR(VLOOKUP(C548,'BG 2023'!$B:$E,4,FALSE),0),0)</f>
        <v>0</v>
      </c>
      <c r="M548" s="15" t="e">
        <f>+VLOOKUP(C548,'BG 2023'!$B:$E,1,0)</f>
        <v>#N/A</v>
      </c>
      <c r="N548" s="806" t="e">
        <f>+VLOOKUP(C548,'BG 2023'!$B:$E,3,0)</f>
        <v>#N/A</v>
      </c>
      <c r="O548" s="807" t="e">
        <f t="shared" si="26"/>
        <v>#N/A</v>
      </c>
      <c r="P548" s="807"/>
      <c r="R548" s="807">
        <f>+IFERROR(VLOOKUP(C548,'CA FE'!$A:$C,3,0),0)-G548</f>
        <v>0</v>
      </c>
    </row>
    <row r="549" spans="1:18">
      <c r="A549" s="354" t="s">
        <v>10</v>
      </c>
      <c r="B549" s="354" t="s">
        <v>661</v>
      </c>
      <c r="C549" s="355">
        <v>1190111203</v>
      </c>
      <c r="D549" s="354" t="s">
        <v>165</v>
      </c>
      <c r="E549" s="356" t="s">
        <v>634</v>
      </c>
      <c r="F549" s="356" t="str">
        <f t="shared" si="35"/>
        <v>I</v>
      </c>
      <c r="G549" s="28">
        <f>+IF(F549="i",IFERROR(VLOOKUP(C549,'BG 12.2024'!$B:$E,3,FALSE),0),0)</f>
        <v>2629222</v>
      </c>
      <c r="H549" s="21">
        <f>+IF(F549="i",IFERROR(VLOOKUP(C549,'BG 12.2024'!$B:$E,4,FALSE),0),0)</f>
        <v>366.93000000000006</v>
      </c>
      <c r="I549" s="21"/>
      <c r="J549" s="28">
        <f>+IF(F549="i",IFERROR(VLOOKUP(C549,'BG 2023'!$B:$E,3,FALSE),0),0)</f>
        <v>4430349</v>
      </c>
      <c r="K549" s="21">
        <f>+IF(F549="i",IFERROR(VLOOKUP(C549,'BG 2023'!$B:$E,4,FALSE),0),0)</f>
        <v>608.3900000000001</v>
      </c>
      <c r="M549" s="15">
        <f>+VLOOKUP(C549,'BG 2023'!$B:$E,1,0)</f>
        <v>1190111203</v>
      </c>
      <c r="N549" s="806">
        <f>+VLOOKUP(C549,'BG 2023'!$B:$E,3,0)</f>
        <v>4430349</v>
      </c>
      <c r="O549" s="807">
        <f t="shared" si="26"/>
        <v>1801127</v>
      </c>
      <c r="P549" s="807"/>
      <c r="R549" s="807">
        <f>+IFERROR(VLOOKUP(C549,'CA FE'!$A:$C,3,0),0)-G549</f>
        <v>0</v>
      </c>
    </row>
    <row r="550" spans="1:18">
      <c r="A550" s="354" t="s">
        <v>10</v>
      </c>
      <c r="B550" s="354"/>
      <c r="C550" s="355">
        <v>1190111204</v>
      </c>
      <c r="D550" s="354" t="s">
        <v>819</v>
      </c>
      <c r="E550" s="356" t="s">
        <v>634</v>
      </c>
      <c r="F550" s="356" t="str">
        <f t="shared" si="35"/>
        <v>I</v>
      </c>
      <c r="G550" s="28">
        <f>+IF(F550="i",IFERROR(VLOOKUP(C550,'BG 12.2024'!$B:$E,3,FALSE),0),0)</f>
        <v>0</v>
      </c>
      <c r="H550" s="21">
        <f>+IF(F550="i",IFERROR(VLOOKUP(C550,'BG 12.2024'!$B:$E,4,FALSE),0),0)</f>
        <v>0</v>
      </c>
      <c r="I550" s="21"/>
      <c r="J550" s="28">
        <f>+IF(F550="i",IFERROR(VLOOKUP(C550,'BG 2023'!$B:$E,3,FALSE),0),0)</f>
        <v>0</v>
      </c>
      <c r="K550" s="21">
        <f>+IF(F550="i",IFERROR(VLOOKUP(C550,'BG 2023'!$B:$E,4,FALSE),0),0)</f>
        <v>0</v>
      </c>
      <c r="M550" s="15" t="e">
        <f>+VLOOKUP(C550,'BG 2023'!$B:$E,1,0)</f>
        <v>#N/A</v>
      </c>
      <c r="N550" s="806" t="e">
        <f>+VLOOKUP(C550,'BG 2023'!$B:$E,3,0)</f>
        <v>#N/A</v>
      </c>
      <c r="O550" s="807" t="e">
        <f t="shared" si="26"/>
        <v>#N/A</v>
      </c>
      <c r="P550" s="807"/>
      <c r="R550" s="807">
        <f>+IFERROR(VLOOKUP(C550,'CA FE'!$A:$C,3,0),0)-G550</f>
        <v>0</v>
      </c>
    </row>
    <row r="551" spans="1:18">
      <c r="A551" s="354" t="s">
        <v>10</v>
      </c>
      <c r="B551" s="354"/>
      <c r="C551" s="355">
        <v>1190111205</v>
      </c>
      <c r="D551" s="354" t="s">
        <v>820</v>
      </c>
      <c r="E551" s="356" t="s">
        <v>634</v>
      </c>
      <c r="F551" s="356" t="str">
        <f t="shared" si="35"/>
        <v>I</v>
      </c>
      <c r="G551" s="28">
        <f>+IF(F551="i",IFERROR(VLOOKUP(C551,'BG 12.2024'!$B:$E,3,FALSE),0),0)</f>
        <v>0</v>
      </c>
      <c r="H551" s="21">
        <f>+IF(F551="i",IFERROR(VLOOKUP(C551,'BG 12.2024'!$B:$E,4,FALSE),0),0)</f>
        <v>0</v>
      </c>
      <c r="I551" s="21"/>
      <c r="J551" s="28">
        <f>+IF(F551="i",IFERROR(VLOOKUP(C551,'BG 2023'!$B:$E,3,FALSE),0),0)</f>
        <v>0</v>
      </c>
      <c r="K551" s="21">
        <f>+IF(F551="i",IFERROR(VLOOKUP(C551,'BG 2023'!$B:$E,4,FALSE),0),0)</f>
        <v>0</v>
      </c>
      <c r="M551" s="15" t="e">
        <f>+VLOOKUP(C551,'BG 2023'!$B:$E,1,0)</f>
        <v>#N/A</v>
      </c>
      <c r="N551" s="806" t="e">
        <f>+VLOOKUP(C551,'BG 2023'!$B:$E,3,0)</f>
        <v>#N/A</v>
      </c>
      <c r="O551" s="807" t="e">
        <f t="shared" si="26"/>
        <v>#N/A</v>
      </c>
      <c r="P551" s="807"/>
      <c r="R551" s="807">
        <f>+IFERROR(VLOOKUP(C551,'CA FE'!$A:$C,3,0),0)-G551</f>
        <v>0</v>
      </c>
    </row>
    <row r="552" spans="1:18">
      <c r="A552" s="354" t="s">
        <v>10</v>
      </c>
      <c r="B552" s="354" t="s">
        <v>661</v>
      </c>
      <c r="C552" s="355">
        <v>1190111206</v>
      </c>
      <c r="D552" s="354" t="s">
        <v>166</v>
      </c>
      <c r="E552" s="356" t="s">
        <v>634</v>
      </c>
      <c r="F552" s="356" t="str">
        <f t="shared" si="35"/>
        <v>I</v>
      </c>
      <c r="G552" s="28">
        <f>+IF(F552="i",IFERROR(VLOOKUP(C552,'BG 12.2024'!$B:$E,3,FALSE),0),0)</f>
        <v>300400</v>
      </c>
      <c r="H552" s="21">
        <f>+IF(F552="i",IFERROR(VLOOKUP(C552,'BG 12.2024'!$B:$E,4,FALSE),0),0)</f>
        <v>41.06</v>
      </c>
      <c r="I552" s="21"/>
      <c r="J552" s="28">
        <f>+IF(F552="i",IFERROR(VLOOKUP(C552,'BG 2023'!$B:$E,3,FALSE),0),0)</f>
        <v>490130</v>
      </c>
      <c r="K552" s="21">
        <f>+IF(F552="i",IFERROR(VLOOKUP(C552,'BG 2023'!$B:$E,4,FALSE),0),0)</f>
        <v>66.970000000000027</v>
      </c>
      <c r="M552" s="15">
        <f>+VLOOKUP(C552,'BG 2023'!$B:$E,1,0)</f>
        <v>1190111206</v>
      </c>
      <c r="N552" s="806">
        <f>+VLOOKUP(C552,'BG 2023'!$B:$E,3,0)</f>
        <v>490130</v>
      </c>
      <c r="O552" s="807">
        <f t="shared" si="26"/>
        <v>189730</v>
      </c>
      <c r="P552" s="807"/>
      <c r="R552" s="807">
        <f>+IFERROR(VLOOKUP(C552,'CA FE'!$A:$C,3,0),0)-G552</f>
        <v>0</v>
      </c>
    </row>
    <row r="553" spans="1:18">
      <c r="A553" s="354" t="s">
        <v>10</v>
      </c>
      <c r="B553" s="354" t="s">
        <v>661</v>
      </c>
      <c r="C553" s="355">
        <v>1190111207</v>
      </c>
      <c r="D553" s="354" t="s">
        <v>167</v>
      </c>
      <c r="E553" s="356" t="s">
        <v>634</v>
      </c>
      <c r="F553" s="356" t="str">
        <f t="shared" si="35"/>
        <v>I</v>
      </c>
      <c r="G553" s="28">
        <f>+IF(F553="i",IFERROR(VLOOKUP(C553,'BG 12.2024'!$B:$E,3,FALSE),0),0)</f>
        <v>2109379</v>
      </c>
      <c r="H553" s="21">
        <f>+IF(F553="i",IFERROR(VLOOKUP(C553,'BG 12.2024'!$B:$E,4,FALSE),0),0)</f>
        <v>289.89</v>
      </c>
      <c r="I553" s="21"/>
      <c r="J553" s="28">
        <f>+IF(F553="i",IFERROR(VLOOKUP(C553,'BG 2023'!$B:$E,3,FALSE),0),0)</f>
        <v>2397438</v>
      </c>
      <c r="K553" s="21">
        <f>+IF(F553="i",IFERROR(VLOOKUP(C553,'BG 2023'!$B:$E,4,FALSE),0),0)</f>
        <v>328.69999999999993</v>
      </c>
      <c r="M553" s="15">
        <f>+VLOOKUP(C553,'BG 2023'!$B:$E,1,0)</f>
        <v>1190111207</v>
      </c>
      <c r="N553" s="806">
        <f>+VLOOKUP(C553,'BG 2023'!$B:$E,3,0)</f>
        <v>2397438</v>
      </c>
      <c r="O553" s="807">
        <f t="shared" si="26"/>
        <v>288059</v>
      </c>
      <c r="P553" s="807"/>
      <c r="R553" s="807">
        <f>+IFERROR(VLOOKUP(C553,'CA FE'!$A:$C,3,0),0)-G553</f>
        <v>0</v>
      </c>
    </row>
    <row r="554" spans="1:18">
      <c r="A554" s="354" t="s">
        <v>10</v>
      </c>
      <c r="B554" s="354"/>
      <c r="C554" s="355">
        <v>11901113</v>
      </c>
      <c r="D554" s="354" t="s">
        <v>533</v>
      </c>
      <c r="E554" s="356" t="s">
        <v>634</v>
      </c>
      <c r="F554" s="356" t="str">
        <f t="shared" si="35"/>
        <v>NI</v>
      </c>
      <c r="G554" s="28">
        <f>+IF(F554="i",IFERROR(VLOOKUP(C554,'BG 12.2024'!$B:$E,3,FALSE),0),0)</f>
        <v>0</v>
      </c>
      <c r="H554" s="21">
        <f>+IF(F554="i",IFERROR(VLOOKUP(C554,'BG 12.2024'!$B:$E,4,FALSE),0),0)</f>
        <v>0</v>
      </c>
      <c r="I554" s="21"/>
      <c r="J554" s="28">
        <f>+IF(F554="i",IFERROR(VLOOKUP(C554,'BG 2023'!$B:$E,3,FALSE),0),0)</f>
        <v>0</v>
      </c>
      <c r="K554" s="21">
        <f>+IF(F554="i",IFERROR(VLOOKUP(C554,'BG 2023'!$B:$E,4,FALSE),0),0)</f>
        <v>0</v>
      </c>
      <c r="M554" s="15" t="e">
        <f>+VLOOKUP(C554,'BG 2023'!$B:$E,1,0)</f>
        <v>#N/A</v>
      </c>
      <c r="N554" s="806" t="e">
        <f>+VLOOKUP(C554,'BG 2023'!$B:$E,3,0)</f>
        <v>#N/A</v>
      </c>
      <c r="O554" s="807" t="e">
        <f t="shared" si="26"/>
        <v>#N/A</v>
      </c>
      <c r="P554" s="807"/>
      <c r="R554" s="807">
        <f>+IFERROR(VLOOKUP(C554,'CA FE'!$A:$C,3,0),0)-G554</f>
        <v>0</v>
      </c>
    </row>
    <row r="555" spans="1:18">
      <c r="A555" s="354" t="s">
        <v>10</v>
      </c>
      <c r="B555" s="354" t="s">
        <v>661</v>
      </c>
      <c r="C555" s="355">
        <v>1190111302</v>
      </c>
      <c r="D555" s="354" t="s">
        <v>359</v>
      </c>
      <c r="E555" s="356" t="s">
        <v>640</v>
      </c>
      <c r="F555" s="356" t="str">
        <f t="shared" si="35"/>
        <v>I</v>
      </c>
      <c r="G555" s="28">
        <f>+IF(F555="i",IFERROR(VLOOKUP(C555,'BG 12.2024'!$B:$E,3,FALSE),0),0)</f>
        <v>0</v>
      </c>
      <c r="H555" s="21">
        <f>+IF(F555="i",IFERROR(VLOOKUP(C555,'BG 12.2024'!$B:$E,4,FALSE),0),0)</f>
        <v>0</v>
      </c>
      <c r="I555" s="21"/>
      <c r="J555" s="28">
        <f>+IF(F555="i",IFERROR(VLOOKUP(C555,'BG 2023'!$B:$E,3,FALSE),0),0)</f>
        <v>0</v>
      </c>
      <c r="K555" s="21">
        <f>+IF(F555="i",IFERROR(VLOOKUP(C555,'BG 2023'!$B:$E,4,FALSE),0),0)</f>
        <v>0</v>
      </c>
      <c r="M555" s="15" t="e">
        <f>+VLOOKUP(C555,'BG 2023'!$B:$E,1,0)</f>
        <v>#N/A</v>
      </c>
      <c r="N555" s="806" t="e">
        <f>+VLOOKUP(C555,'BG 2023'!$B:$E,3,0)</f>
        <v>#N/A</v>
      </c>
      <c r="O555" s="807" t="e">
        <f t="shared" si="26"/>
        <v>#N/A</v>
      </c>
      <c r="P555" s="807"/>
      <c r="R555" s="807">
        <f>+IFERROR(VLOOKUP(C555,'CA FE'!$A:$C,3,0),0)-G555</f>
        <v>0</v>
      </c>
    </row>
    <row r="556" spans="1:18">
      <c r="A556" s="354" t="s">
        <v>10</v>
      </c>
      <c r="B556" s="354"/>
      <c r="C556" s="355">
        <v>11901114</v>
      </c>
      <c r="D556" s="354" t="s">
        <v>168</v>
      </c>
      <c r="E556" s="356" t="s">
        <v>634</v>
      </c>
      <c r="F556" s="356" t="str">
        <f t="shared" si="35"/>
        <v>NI</v>
      </c>
      <c r="G556" s="28">
        <f>+IF(F556="i",IFERROR(VLOOKUP(C556,'BG 12.2024'!$B:$E,3,FALSE),0),0)</f>
        <v>0</v>
      </c>
      <c r="H556" s="21">
        <f>+IF(F556="i",IFERROR(VLOOKUP(C556,'BG 12.2024'!$B:$E,4,FALSE),0),0)</f>
        <v>0</v>
      </c>
      <c r="I556" s="21"/>
      <c r="J556" s="28">
        <f>+IF(F556="i",IFERROR(VLOOKUP(C556,'BG 2023'!$B:$E,3,FALSE),0),0)</f>
        <v>0</v>
      </c>
      <c r="K556" s="21">
        <f>+IF(F556="i",IFERROR(VLOOKUP(C556,'BG 2023'!$B:$E,4,FALSE),0),0)</f>
        <v>0</v>
      </c>
      <c r="M556" s="15">
        <f>+VLOOKUP(C556,'BG 2023'!$B:$E,1,0)</f>
        <v>11901114</v>
      </c>
      <c r="N556" s="806">
        <f>+VLOOKUP(C556,'BG 2023'!$B:$E,3,0)</f>
        <v>11300180</v>
      </c>
      <c r="O556" s="807">
        <f t="shared" si="26"/>
        <v>11300180</v>
      </c>
      <c r="P556" s="807"/>
      <c r="R556" s="807">
        <f>+IFERROR(VLOOKUP(C556,'CA FE'!$A:$C,3,0),0)-G556</f>
        <v>0</v>
      </c>
    </row>
    <row r="557" spans="1:18">
      <c r="A557" s="354" t="s">
        <v>10</v>
      </c>
      <c r="B557" s="354"/>
      <c r="C557" s="355">
        <v>1190111401</v>
      </c>
      <c r="D557" s="354" t="s">
        <v>821</v>
      </c>
      <c r="E557" s="356" t="s">
        <v>634</v>
      </c>
      <c r="F557" s="356" t="str">
        <f t="shared" si="35"/>
        <v>I</v>
      </c>
      <c r="G557" s="28">
        <f>+IF(F557="i",IFERROR(VLOOKUP(C557,'BG 12.2024'!$B:$E,3,FALSE),0),0)</f>
        <v>0</v>
      </c>
      <c r="H557" s="21">
        <f>+IF(F557="i",IFERROR(VLOOKUP(C557,'BG 12.2024'!$B:$E,4,FALSE),0),0)</f>
        <v>0</v>
      </c>
      <c r="I557" s="21"/>
      <c r="J557" s="28">
        <f>+IF(F557="i",IFERROR(VLOOKUP(C557,'BG 2023'!$B:$E,3,FALSE),0),0)</f>
        <v>0</v>
      </c>
      <c r="K557" s="21">
        <f>+IF(F557="i",IFERROR(VLOOKUP(C557,'BG 2023'!$B:$E,4,FALSE),0),0)</f>
        <v>0</v>
      </c>
      <c r="M557" s="15" t="e">
        <f>+VLOOKUP(C557,'BG 2023'!$B:$E,1,0)</f>
        <v>#N/A</v>
      </c>
      <c r="N557" s="806" t="e">
        <f>+VLOOKUP(C557,'BG 2023'!$B:$E,3,0)</f>
        <v>#N/A</v>
      </c>
      <c r="O557" s="807" t="e">
        <f t="shared" si="26"/>
        <v>#N/A</v>
      </c>
      <c r="P557" s="807"/>
      <c r="R557" s="807">
        <f>+IFERROR(VLOOKUP(C557,'CA FE'!$A:$C,3,0),0)-G557</f>
        <v>0</v>
      </c>
    </row>
    <row r="558" spans="1:18">
      <c r="A558" s="354" t="s">
        <v>10</v>
      </c>
      <c r="B558" s="354" t="s">
        <v>661</v>
      </c>
      <c r="C558" s="355">
        <v>1190111403</v>
      </c>
      <c r="D558" s="354" t="s">
        <v>534</v>
      </c>
      <c r="E558" s="356" t="s">
        <v>640</v>
      </c>
      <c r="F558" s="356" t="str">
        <f t="shared" si="35"/>
        <v>I</v>
      </c>
      <c r="G558" s="28">
        <f>+IF(F558="i",IFERROR(VLOOKUP(C558,'BG 12.2024'!$B:$E,3,FALSE),0),0)</f>
        <v>0</v>
      </c>
      <c r="H558" s="21">
        <f>+IF(F558="i",IFERROR(VLOOKUP(C558,'BG 12.2024'!$B:$E,4,FALSE),0),0)</f>
        <v>0</v>
      </c>
      <c r="I558" s="21"/>
      <c r="J558" s="28">
        <f>+IF(F558="i",IFERROR(VLOOKUP(C558,'BG 2023'!$B:$E,3,FALSE),0),0)</f>
        <v>0</v>
      </c>
      <c r="K558" s="21">
        <f>+IF(F558="i",IFERROR(VLOOKUP(C558,'BG 2023'!$B:$E,4,FALSE),0),0)</f>
        <v>0</v>
      </c>
      <c r="M558" s="15" t="e">
        <f>+VLOOKUP(C558,'BG 2023'!$B:$E,1,0)</f>
        <v>#N/A</v>
      </c>
      <c r="N558" s="806" t="e">
        <f>+VLOOKUP(C558,'BG 2023'!$B:$E,3,0)</f>
        <v>#N/A</v>
      </c>
      <c r="O558" s="807" t="e">
        <f t="shared" si="26"/>
        <v>#N/A</v>
      </c>
      <c r="P558" s="807"/>
      <c r="R558" s="807">
        <f>+IFERROR(VLOOKUP(C558,'CA FE'!$A:$C,3,0),0)-G558</f>
        <v>0</v>
      </c>
    </row>
    <row r="559" spans="1:18">
      <c r="A559" s="354" t="s">
        <v>10</v>
      </c>
      <c r="B559" s="354"/>
      <c r="C559" s="355">
        <v>1190111404</v>
      </c>
      <c r="D559" s="354" t="s">
        <v>822</v>
      </c>
      <c r="E559" s="356" t="s">
        <v>634</v>
      </c>
      <c r="F559" s="356" t="str">
        <f t="shared" si="35"/>
        <v>I</v>
      </c>
      <c r="G559" s="28">
        <f>+IF(F559="i",IFERROR(VLOOKUP(C559,'BG 12.2024'!$B:$E,3,FALSE),0),0)</f>
        <v>0</v>
      </c>
      <c r="H559" s="21">
        <f>+IF(F559="i",IFERROR(VLOOKUP(C559,'BG 12.2024'!$B:$E,4,FALSE),0),0)</f>
        <v>0</v>
      </c>
      <c r="I559" s="21"/>
      <c r="J559" s="28">
        <f>+IF(F559="i",IFERROR(VLOOKUP(C559,'BG 2023'!$B:$E,3,FALSE),0),0)</f>
        <v>0</v>
      </c>
      <c r="K559" s="21">
        <f>+IF(F559="i",IFERROR(VLOOKUP(C559,'BG 2023'!$B:$E,4,FALSE),0),0)</f>
        <v>0</v>
      </c>
      <c r="M559" s="15" t="e">
        <f>+VLOOKUP(C559,'BG 2023'!$B:$E,1,0)</f>
        <v>#N/A</v>
      </c>
      <c r="N559" s="806" t="e">
        <f>+VLOOKUP(C559,'BG 2023'!$B:$E,3,0)</f>
        <v>#N/A</v>
      </c>
      <c r="O559" s="807" t="e">
        <f t="shared" si="26"/>
        <v>#N/A</v>
      </c>
      <c r="P559" s="807"/>
      <c r="R559" s="807">
        <f>+IFERROR(VLOOKUP(C559,'CA FE'!$A:$C,3,0),0)-G559</f>
        <v>0</v>
      </c>
    </row>
    <row r="560" spans="1:18">
      <c r="A560" s="354" t="s">
        <v>10</v>
      </c>
      <c r="B560" s="354" t="s">
        <v>661</v>
      </c>
      <c r="C560" s="355">
        <v>1190111406</v>
      </c>
      <c r="D560" s="354" t="s">
        <v>169</v>
      </c>
      <c r="E560" s="356" t="s">
        <v>640</v>
      </c>
      <c r="F560" s="356" t="str">
        <f t="shared" si="35"/>
        <v>I</v>
      </c>
      <c r="G560" s="28">
        <f>+IF(F560="i",IFERROR(VLOOKUP(C560,'BG 12.2024'!$B:$E,3,FALSE),0),0)</f>
        <v>49054883</v>
      </c>
      <c r="H560" s="21">
        <f>+IF(F560="i",IFERROR(VLOOKUP(C560,'BG 12.2024'!$B:$E,4,FALSE),0),0)</f>
        <v>6663.5099999999984</v>
      </c>
      <c r="I560" s="21"/>
      <c r="J560" s="28">
        <f>+IF(F560="i",IFERROR(VLOOKUP(C560,'BG 2023'!$B:$E,3,FALSE),0),0)</f>
        <v>10883676</v>
      </c>
      <c r="K560" s="21">
        <f>+IF(F560="i",IFERROR(VLOOKUP(C560,'BG 2023'!$B:$E,4,FALSE),0),0)</f>
        <v>1513.9349999999993</v>
      </c>
      <c r="M560" s="15">
        <f>+VLOOKUP(C560,'BG 2023'!$B:$E,1,0)</f>
        <v>1190111406</v>
      </c>
      <c r="N560" s="806">
        <f>+VLOOKUP(C560,'BG 2023'!$B:$E,3,0)</f>
        <v>10883676</v>
      </c>
      <c r="O560" s="807">
        <f t="shared" si="26"/>
        <v>-38171207</v>
      </c>
      <c r="P560" s="807"/>
      <c r="R560" s="807">
        <f>+IFERROR(VLOOKUP(C560,'CA FE'!$A:$C,3,0),0)-G560</f>
        <v>0</v>
      </c>
    </row>
    <row r="561" spans="1:18">
      <c r="A561" s="354" t="s">
        <v>10</v>
      </c>
      <c r="B561" s="354" t="s">
        <v>661</v>
      </c>
      <c r="C561" s="355">
        <v>1190111407</v>
      </c>
      <c r="D561" s="354" t="s">
        <v>170</v>
      </c>
      <c r="E561" s="356" t="s">
        <v>640</v>
      </c>
      <c r="F561" s="356" t="str">
        <f t="shared" si="35"/>
        <v>I</v>
      </c>
      <c r="G561" s="28">
        <f>+IF(F561="i",IFERROR(VLOOKUP(C561,'BG 12.2024'!$B:$E,3,FALSE),0),0)</f>
        <v>3550700</v>
      </c>
      <c r="H561" s="21">
        <f>+IF(F561="i",IFERROR(VLOOKUP(C561,'BG 12.2024'!$B:$E,4,FALSE),0),0)</f>
        <v>480.14999999999986</v>
      </c>
      <c r="I561" s="21"/>
      <c r="J561" s="28">
        <f>+IF(F561="i",IFERROR(VLOOKUP(C561,'BG 2023'!$B:$E,3,FALSE),0),0)</f>
        <v>416504</v>
      </c>
      <c r="K561" s="21">
        <f>+IF(F561="i",IFERROR(VLOOKUP(C561,'BG 2023'!$B:$E,4,FALSE),0),0)</f>
        <v>58.160000000000075</v>
      </c>
      <c r="M561" s="15">
        <f>+VLOOKUP(C561,'BG 2023'!$B:$E,1,0)</f>
        <v>1190111407</v>
      </c>
      <c r="N561" s="806">
        <f>+VLOOKUP(C561,'BG 2023'!$B:$E,3,0)</f>
        <v>416504</v>
      </c>
      <c r="O561" s="807">
        <f t="shared" si="26"/>
        <v>-3134196</v>
      </c>
      <c r="P561" s="807"/>
      <c r="R561" s="807">
        <f>+IFERROR(VLOOKUP(C561,'CA FE'!$A:$C,3,0),0)-G561</f>
        <v>0</v>
      </c>
    </row>
    <row r="562" spans="1:18">
      <c r="A562" s="354" t="s">
        <v>10</v>
      </c>
      <c r="B562" s="354" t="s">
        <v>661</v>
      </c>
      <c r="C562" s="355">
        <v>1190111408</v>
      </c>
      <c r="D562" s="354" t="s">
        <v>581</v>
      </c>
      <c r="E562" s="356" t="s">
        <v>640</v>
      </c>
      <c r="F562" s="356" t="str">
        <f t="shared" ref="F562" si="36">+IF(LEN(C562)&gt;8,"I","NI")</f>
        <v>I</v>
      </c>
      <c r="G562" s="28">
        <f>+IF(F562="i",IFERROR(VLOOKUP(C562,'BG 12.2024'!$B:$E,3,FALSE),0),0)</f>
        <v>0</v>
      </c>
      <c r="H562" s="21">
        <f>+IF(F562="i",IFERROR(VLOOKUP(C562,'BG 12.2024'!$B:$E,4,FALSE),0),0)</f>
        <v>0</v>
      </c>
      <c r="I562" s="21"/>
      <c r="J562" s="28">
        <f>+IF(F562="i",IFERROR(VLOOKUP(C562,'BG 2023'!$B:$E,3,FALSE),0),0)</f>
        <v>0</v>
      </c>
      <c r="K562" s="21"/>
      <c r="N562" s="806"/>
      <c r="O562" s="807"/>
      <c r="P562" s="807"/>
      <c r="R562" s="807">
        <f>+IFERROR(VLOOKUP(C562,'CA FE'!$A:$C,3,0),0)-G562</f>
        <v>0</v>
      </c>
    </row>
    <row r="563" spans="1:18">
      <c r="A563" s="354" t="s">
        <v>10</v>
      </c>
      <c r="B563" s="354"/>
      <c r="C563" s="355">
        <v>12</v>
      </c>
      <c r="D563" s="354" t="s">
        <v>171</v>
      </c>
      <c r="E563" s="356" t="s">
        <v>634</v>
      </c>
      <c r="F563" s="356" t="str">
        <f t="shared" si="35"/>
        <v>NI</v>
      </c>
      <c r="G563" s="28">
        <f>+IF(F563="i",IFERROR(VLOOKUP(C563,'BG 12.2024'!$B:$E,3,FALSE),0),0)</f>
        <v>0</v>
      </c>
      <c r="H563" s="21">
        <f>+IF(F563="i",IFERROR(VLOOKUP(C563,'BG 12.2024'!$B:$E,4,FALSE),0),0)</f>
        <v>0</v>
      </c>
      <c r="I563" s="21"/>
      <c r="J563" s="28">
        <f>+IF(F563="i",IFERROR(VLOOKUP(C563,'BG 2023'!$B:$E,3,FALSE),0),0)</f>
        <v>0</v>
      </c>
      <c r="K563" s="21">
        <f>+IF(F563="i",IFERROR(VLOOKUP(C563,'BG 2023'!$B:$E,4,FALSE),0),0)</f>
        <v>0</v>
      </c>
      <c r="M563" s="15">
        <f>+VLOOKUP(C563,'BG 2023'!$B:$E,1,0)</f>
        <v>12</v>
      </c>
      <c r="N563" s="806">
        <f>+VLOOKUP(C563,'BG 2023'!$B:$E,3,0)</f>
        <v>3747773228</v>
      </c>
      <c r="O563" s="807">
        <f t="shared" si="26"/>
        <v>3747773228</v>
      </c>
      <c r="P563" s="807"/>
      <c r="R563" s="807">
        <f>+IFERROR(VLOOKUP(C563,'CA FE'!$A:$C,3,0),0)-G563</f>
        <v>0</v>
      </c>
    </row>
    <row r="564" spans="1:18">
      <c r="A564" s="354" t="s">
        <v>10</v>
      </c>
      <c r="B564" s="354"/>
      <c r="C564" s="355">
        <v>121</v>
      </c>
      <c r="D564" s="354" t="s">
        <v>172</v>
      </c>
      <c r="E564" s="356" t="s">
        <v>634</v>
      </c>
      <c r="F564" s="356" t="str">
        <f t="shared" si="35"/>
        <v>NI</v>
      </c>
      <c r="G564" s="28">
        <f>+IF(F564="i",IFERROR(VLOOKUP(C564,'BG 12.2024'!$B:$E,3,FALSE),0),0)</f>
        <v>0</v>
      </c>
      <c r="H564" s="21">
        <f>+IF(F564="i",IFERROR(VLOOKUP(C564,'BG 12.2024'!$B:$E,4,FALSE),0),0)</f>
        <v>0</v>
      </c>
      <c r="I564" s="21"/>
      <c r="J564" s="28">
        <f>+IF(F564="i",IFERROR(VLOOKUP(C564,'BG 2023'!$B:$E,3,FALSE),0),0)</f>
        <v>0</v>
      </c>
      <c r="K564" s="21">
        <f>+IF(F564="i",IFERROR(VLOOKUP(C564,'BG 2023'!$B:$E,4,FALSE),0),0)</f>
        <v>0</v>
      </c>
      <c r="M564" s="15">
        <f>+VLOOKUP(C564,'BG 2023'!$B:$E,1,0)</f>
        <v>121</v>
      </c>
      <c r="N564" s="806">
        <f>+VLOOKUP(C564,'BG 2023'!$B:$E,3,0)</f>
        <v>1668742466</v>
      </c>
      <c r="O564" s="807">
        <f t="shared" si="26"/>
        <v>1668742466</v>
      </c>
      <c r="P564" s="807"/>
      <c r="R564" s="807">
        <f>+IFERROR(VLOOKUP(C564,'CA FE'!$A:$C,3,0),0)-G564</f>
        <v>0</v>
      </c>
    </row>
    <row r="565" spans="1:18">
      <c r="A565" s="354" t="s">
        <v>10</v>
      </c>
      <c r="B565" s="354"/>
      <c r="C565" s="355">
        <v>12101</v>
      </c>
      <c r="D565" s="354" t="s">
        <v>49</v>
      </c>
      <c r="E565" s="356" t="s">
        <v>634</v>
      </c>
      <c r="F565" s="356" t="str">
        <f t="shared" si="35"/>
        <v>NI</v>
      </c>
      <c r="G565" s="28">
        <f>+IF(F565="i",IFERROR(VLOOKUP(C565,'BG 12.2024'!$B:$E,3,FALSE),0),0)</f>
        <v>0</v>
      </c>
      <c r="H565" s="21">
        <f>+IF(F565="i",IFERROR(VLOOKUP(C565,'BG 12.2024'!$B:$E,4,FALSE),0),0)</f>
        <v>0</v>
      </c>
      <c r="I565" s="21"/>
      <c r="J565" s="28">
        <f>+IF(F565="i",IFERROR(VLOOKUP(C565,'BG 2023'!$B:$E,3,FALSE),0),0)</f>
        <v>0</v>
      </c>
      <c r="K565" s="21">
        <f>+IF(F565="i",IFERROR(VLOOKUP(C565,'BG 2023'!$B:$E,4,FALSE),0),0)</f>
        <v>0</v>
      </c>
      <c r="M565" s="15" t="e">
        <f>+VLOOKUP(C565,'BG 2023'!$B:$E,1,0)</f>
        <v>#N/A</v>
      </c>
      <c r="N565" s="806" t="e">
        <f>+VLOOKUP(C565,'BG 2023'!$B:$E,3,0)</f>
        <v>#N/A</v>
      </c>
      <c r="O565" s="807" t="e">
        <f t="shared" si="26"/>
        <v>#N/A</v>
      </c>
      <c r="P565" s="807"/>
      <c r="R565" s="807">
        <f>+IFERROR(VLOOKUP(C565,'CA FE'!$A:$C,3,0),0)-G565</f>
        <v>0</v>
      </c>
    </row>
    <row r="566" spans="1:18">
      <c r="A566" s="354" t="s">
        <v>10</v>
      </c>
      <c r="B566" s="354"/>
      <c r="C566" s="355">
        <v>121011</v>
      </c>
      <c r="D566" s="354" t="s">
        <v>50</v>
      </c>
      <c r="E566" s="356" t="s">
        <v>634</v>
      </c>
      <c r="F566" s="356" t="str">
        <f t="shared" si="35"/>
        <v>NI</v>
      </c>
      <c r="G566" s="28">
        <f>+IF(F566="i",IFERROR(VLOOKUP(C566,'BG 12.2024'!$B:$E,3,FALSE),0),0)</f>
        <v>0</v>
      </c>
      <c r="H566" s="21">
        <f>+IF(F566="i",IFERROR(VLOOKUP(C566,'BG 12.2024'!$B:$E,4,FALSE),0),0)</f>
        <v>0</v>
      </c>
      <c r="I566" s="21"/>
      <c r="J566" s="28">
        <f>+IF(F566="i",IFERROR(VLOOKUP(C566,'BG 2023'!$B:$E,3,FALSE),0),0)</f>
        <v>0</v>
      </c>
      <c r="K566" s="21">
        <f>+IF(F566="i",IFERROR(VLOOKUP(C566,'BG 2023'!$B:$E,4,FALSE),0),0)</f>
        <v>0</v>
      </c>
      <c r="M566" s="15" t="e">
        <f>+VLOOKUP(C566,'BG 2023'!$B:$E,1,0)</f>
        <v>#N/A</v>
      </c>
      <c r="N566" s="806" t="e">
        <f>+VLOOKUP(C566,'BG 2023'!$B:$E,3,0)</f>
        <v>#N/A</v>
      </c>
      <c r="O566" s="807" t="e">
        <f t="shared" si="26"/>
        <v>#N/A</v>
      </c>
      <c r="P566" s="807"/>
      <c r="R566" s="807">
        <f>+IFERROR(VLOOKUP(C566,'CA FE'!$A:$C,3,0),0)-G566</f>
        <v>0</v>
      </c>
    </row>
    <row r="567" spans="1:18">
      <c r="A567" s="354" t="s">
        <v>10</v>
      </c>
      <c r="B567" s="354"/>
      <c r="C567" s="355">
        <v>1210111</v>
      </c>
      <c r="D567" s="354" t="s">
        <v>51</v>
      </c>
      <c r="E567" s="356" t="s">
        <v>634</v>
      </c>
      <c r="F567" s="356" t="str">
        <f t="shared" si="35"/>
        <v>NI</v>
      </c>
      <c r="G567" s="28">
        <f>+IF(F567="i",IFERROR(VLOOKUP(C567,'BG 12.2024'!$B:$E,3,FALSE),0),0)</f>
        <v>0</v>
      </c>
      <c r="H567" s="21">
        <f>+IF(F567="i",IFERROR(VLOOKUP(C567,'BG 12.2024'!$B:$E,4,FALSE),0),0)</f>
        <v>0</v>
      </c>
      <c r="I567" s="21"/>
      <c r="J567" s="28">
        <f>+IF(F567="i",IFERROR(VLOOKUP(C567,'BG 2023'!$B:$E,3,FALSE),0),0)</f>
        <v>0</v>
      </c>
      <c r="K567" s="21">
        <f>+IF(F567="i",IFERROR(VLOOKUP(C567,'BG 2023'!$B:$E,4,FALSE),0),0)</f>
        <v>0</v>
      </c>
      <c r="M567" s="15" t="e">
        <f>+VLOOKUP(C567,'BG 2023'!$B:$E,1,0)</f>
        <v>#N/A</v>
      </c>
      <c r="N567" s="806" t="e">
        <f>+VLOOKUP(C567,'BG 2023'!$B:$E,3,0)</f>
        <v>#N/A</v>
      </c>
      <c r="O567" s="807" t="e">
        <f t="shared" si="26"/>
        <v>#N/A</v>
      </c>
      <c r="P567" s="807"/>
      <c r="R567" s="807">
        <f>+IFERROR(VLOOKUP(C567,'CA FE'!$A:$C,3,0),0)-G567</f>
        <v>0</v>
      </c>
    </row>
    <row r="568" spans="1:18">
      <c r="A568" s="354" t="s">
        <v>10</v>
      </c>
      <c r="B568" s="354"/>
      <c r="C568" s="355">
        <v>1210112</v>
      </c>
      <c r="D568" s="354" t="s">
        <v>61</v>
      </c>
      <c r="E568" s="356" t="s">
        <v>634</v>
      </c>
      <c r="F568" s="356" t="str">
        <f t="shared" si="35"/>
        <v>NI</v>
      </c>
      <c r="G568" s="28">
        <f>+IF(F568="i",IFERROR(VLOOKUP(C568,'BG 12.2024'!$B:$E,3,FALSE),0),0)</f>
        <v>0</v>
      </c>
      <c r="H568" s="21">
        <f>+IF(F568="i",IFERROR(VLOOKUP(C568,'BG 12.2024'!$B:$E,4,FALSE),0),0)</f>
        <v>0</v>
      </c>
      <c r="I568" s="21"/>
      <c r="J568" s="28">
        <f>+IF(F568="i",IFERROR(VLOOKUP(C568,'BG 2023'!$B:$E,3,FALSE),0),0)</f>
        <v>0</v>
      </c>
      <c r="K568" s="21">
        <f>+IF(F568="i",IFERROR(VLOOKUP(C568,'BG 2023'!$B:$E,4,FALSE),0),0)</f>
        <v>0</v>
      </c>
      <c r="M568" s="15" t="e">
        <f>+VLOOKUP(C568,'BG 2023'!$B:$E,1,0)</f>
        <v>#N/A</v>
      </c>
      <c r="N568" s="806" t="e">
        <f>+VLOOKUP(C568,'BG 2023'!$B:$E,3,0)</f>
        <v>#N/A</v>
      </c>
      <c r="O568" s="807" t="e">
        <f t="shared" si="26"/>
        <v>#N/A</v>
      </c>
      <c r="P568" s="807"/>
      <c r="R568" s="807">
        <f>+IFERROR(VLOOKUP(C568,'CA FE'!$A:$C,3,0),0)-G568</f>
        <v>0</v>
      </c>
    </row>
    <row r="569" spans="1:18">
      <c r="A569" s="354" t="s">
        <v>10</v>
      </c>
      <c r="B569" s="354"/>
      <c r="C569" s="355">
        <v>12101121</v>
      </c>
      <c r="D569" s="354" t="s">
        <v>823</v>
      </c>
      <c r="E569" s="356" t="s">
        <v>634</v>
      </c>
      <c r="F569" s="356" t="str">
        <f t="shared" si="35"/>
        <v>NI</v>
      </c>
      <c r="G569" s="28">
        <f>+IF(F569="i",IFERROR(VLOOKUP(C569,'BG 12.2024'!$B:$E,3,FALSE),0),0)</f>
        <v>0</v>
      </c>
      <c r="H569" s="21">
        <f>+IF(F569="i",IFERROR(VLOOKUP(C569,'BG 12.2024'!$B:$E,4,FALSE),0),0)</f>
        <v>0</v>
      </c>
      <c r="I569" s="21"/>
      <c r="J569" s="28">
        <f>+IF(F569="i",IFERROR(VLOOKUP(C569,'BG 2023'!$B:$E,3,FALSE),0),0)</f>
        <v>0</v>
      </c>
      <c r="K569" s="21">
        <f>+IF(F569="i",IFERROR(VLOOKUP(C569,'BG 2023'!$B:$E,4,FALSE),0),0)</f>
        <v>0</v>
      </c>
      <c r="M569" s="15" t="e">
        <f>+VLOOKUP(C569,'BG 2023'!$B:$E,1,0)</f>
        <v>#N/A</v>
      </c>
      <c r="N569" s="806" t="e">
        <f>+VLOOKUP(C569,'BG 2023'!$B:$E,3,0)</f>
        <v>#N/A</v>
      </c>
      <c r="O569" s="807" t="e">
        <f t="shared" si="26"/>
        <v>#N/A</v>
      </c>
      <c r="P569" s="807"/>
      <c r="R569" s="807">
        <f>+IFERROR(VLOOKUP(C569,'CA FE'!$A:$C,3,0),0)-G569</f>
        <v>0</v>
      </c>
    </row>
    <row r="570" spans="1:18">
      <c r="A570" s="354" t="s">
        <v>10</v>
      </c>
      <c r="B570" s="354"/>
      <c r="C570" s="355">
        <v>1210112101</v>
      </c>
      <c r="D570" s="354" t="s">
        <v>824</v>
      </c>
      <c r="E570" s="356" t="s">
        <v>634</v>
      </c>
      <c r="F570" s="356" t="str">
        <f t="shared" si="35"/>
        <v>I</v>
      </c>
      <c r="G570" s="28">
        <f>+IF(F570="i",IFERROR(VLOOKUP(C570,'BG 12.2024'!$B:$E,3,FALSE),0),0)</f>
        <v>0</v>
      </c>
      <c r="H570" s="21">
        <f>+IF(F570="i",IFERROR(VLOOKUP(C570,'BG 12.2024'!$B:$E,4,FALSE),0),0)</f>
        <v>0</v>
      </c>
      <c r="I570" s="21"/>
      <c r="J570" s="28">
        <f>+IF(F570="i",IFERROR(VLOOKUP(C570,'BG 2023'!$B:$E,3,FALSE),0),0)</f>
        <v>0</v>
      </c>
      <c r="K570" s="21">
        <f>+IF(F570="i",IFERROR(VLOOKUP(C570,'BG 2023'!$B:$E,4,FALSE),0),0)</f>
        <v>0</v>
      </c>
      <c r="M570" s="15" t="e">
        <f>+VLOOKUP(C570,'BG 2023'!$B:$E,1,0)</f>
        <v>#N/A</v>
      </c>
      <c r="N570" s="806" t="e">
        <f>+VLOOKUP(C570,'BG 2023'!$B:$E,3,0)</f>
        <v>#N/A</v>
      </c>
      <c r="O570" s="807" t="e">
        <f t="shared" si="26"/>
        <v>#N/A</v>
      </c>
      <c r="P570" s="807"/>
      <c r="R570" s="807">
        <f>+IFERROR(VLOOKUP(C570,'CA FE'!$A:$C,3,0),0)-G570</f>
        <v>0</v>
      </c>
    </row>
    <row r="571" spans="1:18">
      <c r="A571" s="354" t="s">
        <v>10</v>
      </c>
      <c r="B571" s="354"/>
      <c r="C571" s="355">
        <v>1210113</v>
      </c>
      <c r="D571" s="354" t="s">
        <v>67</v>
      </c>
      <c r="E571" s="356" t="s">
        <v>634</v>
      </c>
      <c r="F571" s="356" t="str">
        <f t="shared" si="35"/>
        <v>NI</v>
      </c>
      <c r="G571" s="28">
        <f>+IF(F571="i",IFERROR(VLOOKUP(C571,'BG 12.2024'!$B:$E,3,FALSE),0),0)</f>
        <v>0</v>
      </c>
      <c r="H571" s="21">
        <f>+IF(F571="i",IFERROR(VLOOKUP(C571,'BG 12.2024'!$B:$E,4,FALSE),0),0)</f>
        <v>0</v>
      </c>
      <c r="I571" s="21"/>
      <c r="J571" s="28">
        <f>+IF(F571="i",IFERROR(VLOOKUP(C571,'BG 2023'!$B:$E,3,FALSE),0),0)</f>
        <v>0</v>
      </c>
      <c r="K571" s="21">
        <f>+IF(F571="i",IFERROR(VLOOKUP(C571,'BG 2023'!$B:$E,4,FALSE),0),0)</f>
        <v>0</v>
      </c>
      <c r="M571" s="15" t="e">
        <f>+VLOOKUP(C571,'BG 2023'!$B:$E,1,0)</f>
        <v>#N/A</v>
      </c>
      <c r="N571" s="806" t="e">
        <f>+VLOOKUP(C571,'BG 2023'!$B:$E,3,0)</f>
        <v>#N/A</v>
      </c>
      <c r="O571" s="807" t="e">
        <f t="shared" si="26"/>
        <v>#N/A</v>
      </c>
      <c r="P571" s="807"/>
      <c r="R571" s="807">
        <f>+IFERROR(VLOOKUP(C571,'CA FE'!$A:$C,3,0),0)-G571</f>
        <v>0</v>
      </c>
    </row>
    <row r="572" spans="1:18">
      <c r="A572" s="354" t="s">
        <v>10</v>
      </c>
      <c r="B572" s="354"/>
      <c r="C572" s="355">
        <v>1210114</v>
      </c>
      <c r="D572" s="354" t="s">
        <v>684</v>
      </c>
      <c r="E572" s="356" t="s">
        <v>634</v>
      </c>
      <c r="F572" s="356" t="str">
        <f t="shared" si="35"/>
        <v>NI</v>
      </c>
      <c r="G572" s="28">
        <f>+IF(F572="i",IFERROR(VLOOKUP(C572,'BG 12.2024'!$B:$E,3,FALSE),0),0)</f>
        <v>0</v>
      </c>
      <c r="H572" s="21">
        <f>+IF(F572="i",IFERROR(VLOOKUP(C572,'BG 12.2024'!$B:$E,4,FALSE),0),0)</f>
        <v>0</v>
      </c>
      <c r="I572" s="21"/>
      <c r="J572" s="28">
        <f>+IF(F572="i",IFERROR(VLOOKUP(C572,'BG 2023'!$B:$E,3,FALSE),0),0)</f>
        <v>0</v>
      </c>
      <c r="K572" s="21">
        <f>+IF(F572="i",IFERROR(VLOOKUP(C572,'BG 2023'!$B:$E,4,FALSE),0),0)</f>
        <v>0</v>
      </c>
      <c r="M572" s="15" t="e">
        <f>+VLOOKUP(C572,'BG 2023'!$B:$E,1,0)</f>
        <v>#N/A</v>
      </c>
      <c r="N572" s="806" t="e">
        <f>+VLOOKUP(C572,'BG 2023'!$B:$E,3,0)</f>
        <v>#N/A</v>
      </c>
      <c r="O572" s="807" t="e">
        <f t="shared" si="26"/>
        <v>#N/A</v>
      </c>
      <c r="P572" s="807"/>
      <c r="R572" s="807">
        <f>+IFERROR(VLOOKUP(C572,'CA FE'!$A:$C,3,0),0)-G572</f>
        <v>0</v>
      </c>
    </row>
    <row r="573" spans="1:18">
      <c r="A573" s="354" t="s">
        <v>10</v>
      </c>
      <c r="B573" s="354"/>
      <c r="C573" s="355">
        <v>1210115</v>
      </c>
      <c r="D573" s="354" t="s">
        <v>825</v>
      </c>
      <c r="E573" s="356" t="s">
        <v>634</v>
      </c>
      <c r="F573" s="356" t="str">
        <f t="shared" si="35"/>
        <v>NI</v>
      </c>
      <c r="G573" s="28">
        <f>+IF(F573="i",IFERROR(VLOOKUP(C573,'BG 12.2024'!$B:$E,3,FALSE),0),0)</f>
        <v>0</v>
      </c>
      <c r="H573" s="21">
        <f>+IF(F573="i",IFERROR(VLOOKUP(C573,'BG 12.2024'!$B:$E,4,FALSE),0),0)</f>
        <v>0</v>
      </c>
      <c r="I573" s="21"/>
      <c r="J573" s="28">
        <f>+IF(F573="i",IFERROR(VLOOKUP(C573,'BG 2023'!$B:$E,3,FALSE),0),0)</f>
        <v>0</v>
      </c>
      <c r="K573" s="21">
        <f>+IF(F573="i",IFERROR(VLOOKUP(C573,'BG 2023'!$B:$E,4,FALSE),0),0)</f>
        <v>0</v>
      </c>
      <c r="M573" s="15" t="e">
        <f>+VLOOKUP(C573,'BG 2023'!$B:$E,1,0)</f>
        <v>#N/A</v>
      </c>
      <c r="N573" s="806" t="e">
        <f>+VLOOKUP(C573,'BG 2023'!$B:$E,3,0)</f>
        <v>#N/A</v>
      </c>
      <c r="O573" s="807" t="e">
        <f t="shared" si="26"/>
        <v>#N/A</v>
      </c>
      <c r="P573" s="807"/>
      <c r="R573" s="807">
        <f>+IFERROR(VLOOKUP(C573,'CA FE'!$A:$C,3,0),0)-G573</f>
        <v>0</v>
      </c>
    </row>
    <row r="574" spans="1:18">
      <c r="A574" s="354" t="s">
        <v>10</v>
      </c>
      <c r="B574" s="354"/>
      <c r="C574" s="355">
        <v>1210116</v>
      </c>
      <c r="D574" s="354" t="s">
        <v>826</v>
      </c>
      <c r="E574" s="356" t="s">
        <v>634</v>
      </c>
      <c r="F574" s="356" t="str">
        <f t="shared" si="35"/>
        <v>NI</v>
      </c>
      <c r="G574" s="28">
        <f>+IF(F574="i",IFERROR(VLOOKUP(C574,'BG 12.2024'!$B:$E,3,FALSE),0),0)</f>
        <v>0</v>
      </c>
      <c r="H574" s="21">
        <f>+IF(F574="i",IFERROR(VLOOKUP(C574,'BG 12.2024'!$B:$E,4,FALSE),0),0)</f>
        <v>0</v>
      </c>
      <c r="I574" s="21"/>
      <c r="J574" s="28">
        <f>+IF(F574="i",IFERROR(VLOOKUP(C574,'BG 2023'!$B:$E,3,FALSE),0),0)</f>
        <v>0</v>
      </c>
      <c r="K574" s="21">
        <f>+IF(F574="i",IFERROR(VLOOKUP(C574,'BG 2023'!$B:$E,4,FALSE),0),0)</f>
        <v>0</v>
      </c>
      <c r="M574" s="15" t="e">
        <f>+VLOOKUP(C574,'BG 2023'!$B:$E,1,0)</f>
        <v>#N/A</v>
      </c>
      <c r="N574" s="806" t="e">
        <f>+VLOOKUP(C574,'BG 2023'!$B:$E,3,0)</f>
        <v>#N/A</v>
      </c>
      <c r="O574" s="807" t="e">
        <f t="shared" si="26"/>
        <v>#N/A</v>
      </c>
      <c r="P574" s="807"/>
      <c r="R574" s="807">
        <f>+IFERROR(VLOOKUP(C574,'CA FE'!$A:$C,3,0),0)-G574</f>
        <v>0</v>
      </c>
    </row>
    <row r="575" spans="1:18">
      <c r="A575" s="354" t="s">
        <v>10</v>
      </c>
      <c r="B575" s="354"/>
      <c r="C575" s="355">
        <v>1210117</v>
      </c>
      <c r="D575" s="354" t="s">
        <v>827</v>
      </c>
      <c r="E575" s="356" t="s">
        <v>634</v>
      </c>
      <c r="F575" s="356" t="str">
        <f t="shared" si="35"/>
        <v>NI</v>
      </c>
      <c r="G575" s="28">
        <f>+IF(F575="i",IFERROR(VLOOKUP(C575,'BG 12.2024'!$B:$E,3,FALSE),0),0)</f>
        <v>0</v>
      </c>
      <c r="H575" s="21">
        <f>+IF(F575="i",IFERROR(VLOOKUP(C575,'BG 12.2024'!$B:$E,4,FALSE),0),0)</f>
        <v>0</v>
      </c>
      <c r="I575" s="21"/>
      <c r="J575" s="28">
        <f>+IF(F575="i",IFERROR(VLOOKUP(C575,'BG 2023'!$B:$E,3,FALSE),0),0)</f>
        <v>0</v>
      </c>
      <c r="K575" s="21">
        <f>+IF(F575="i",IFERROR(VLOOKUP(C575,'BG 2023'!$B:$E,4,FALSE),0),0)</f>
        <v>0</v>
      </c>
      <c r="M575" s="15" t="e">
        <f>+VLOOKUP(C575,'BG 2023'!$B:$E,1,0)</f>
        <v>#N/A</v>
      </c>
      <c r="N575" s="806" t="e">
        <f>+VLOOKUP(C575,'BG 2023'!$B:$E,3,0)</f>
        <v>#N/A</v>
      </c>
      <c r="O575" s="807" t="e">
        <f t="shared" si="26"/>
        <v>#N/A</v>
      </c>
      <c r="P575" s="807"/>
      <c r="R575" s="807">
        <f>+IFERROR(VLOOKUP(C575,'CA FE'!$A:$C,3,0),0)-G575</f>
        <v>0</v>
      </c>
    </row>
    <row r="576" spans="1:18">
      <c r="A576" s="354" t="s">
        <v>10</v>
      </c>
      <c r="B576" s="354"/>
      <c r="C576" s="355">
        <v>1210118</v>
      </c>
      <c r="D576" s="354" t="s">
        <v>828</v>
      </c>
      <c r="E576" s="356" t="s">
        <v>634</v>
      </c>
      <c r="F576" s="356" t="str">
        <f t="shared" si="35"/>
        <v>NI</v>
      </c>
      <c r="G576" s="28">
        <f>+IF(F576="i",IFERROR(VLOOKUP(C576,'BG 12.2024'!$B:$E,3,FALSE),0),0)</f>
        <v>0</v>
      </c>
      <c r="H576" s="21">
        <f>+IF(F576="i",IFERROR(VLOOKUP(C576,'BG 12.2024'!$B:$E,4,FALSE),0),0)</f>
        <v>0</v>
      </c>
      <c r="I576" s="21"/>
      <c r="J576" s="28">
        <f>+IF(F576="i",IFERROR(VLOOKUP(C576,'BG 2023'!$B:$E,3,FALSE),0),0)</f>
        <v>0</v>
      </c>
      <c r="K576" s="21">
        <f>+IF(F576="i",IFERROR(VLOOKUP(C576,'BG 2023'!$B:$E,4,FALSE),0),0)</f>
        <v>0</v>
      </c>
      <c r="M576" s="15" t="e">
        <f>+VLOOKUP(C576,'BG 2023'!$B:$E,1,0)</f>
        <v>#N/A</v>
      </c>
      <c r="N576" s="806" t="e">
        <f>+VLOOKUP(C576,'BG 2023'!$B:$E,3,0)</f>
        <v>#N/A</v>
      </c>
      <c r="O576" s="807" t="e">
        <f t="shared" si="26"/>
        <v>#N/A</v>
      </c>
      <c r="P576" s="807"/>
      <c r="R576" s="807">
        <f>+IFERROR(VLOOKUP(C576,'CA FE'!$A:$C,3,0),0)-G576</f>
        <v>0</v>
      </c>
    </row>
    <row r="577" spans="1:18">
      <c r="A577" s="354" t="s">
        <v>10</v>
      </c>
      <c r="B577" s="354"/>
      <c r="C577" s="355">
        <v>121012</v>
      </c>
      <c r="D577" s="354" t="s">
        <v>687</v>
      </c>
      <c r="E577" s="356" t="s">
        <v>634</v>
      </c>
      <c r="F577" s="356" t="str">
        <f t="shared" si="35"/>
        <v>NI</v>
      </c>
      <c r="G577" s="28">
        <f>+IF(F577="i",IFERROR(VLOOKUP(C577,'BG 12.2024'!$B:$E,3,FALSE),0),0)</f>
        <v>0</v>
      </c>
      <c r="H577" s="21">
        <f>+IF(F577="i",IFERROR(VLOOKUP(C577,'BG 12.2024'!$B:$E,4,FALSE),0),0)</f>
        <v>0</v>
      </c>
      <c r="I577" s="21"/>
      <c r="J577" s="28">
        <f>+IF(F577="i",IFERROR(VLOOKUP(C577,'BG 2023'!$B:$E,3,FALSE),0),0)</f>
        <v>0</v>
      </c>
      <c r="K577" s="21">
        <f>+IF(F577="i",IFERROR(VLOOKUP(C577,'BG 2023'!$B:$E,4,FALSE),0),0)</f>
        <v>0</v>
      </c>
      <c r="M577" s="15" t="e">
        <f>+VLOOKUP(C577,'BG 2023'!$B:$E,1,0)</f>
        <v>#N/A</v>
      </c>
      <c r="N577" s="806" t="e">
        <f>+VLOOKUP(C577,'BG 2023'!$B:$E,3,0)</f>
        <v>#N/A</v>
      </c>
      <c r="O577" s="807" t="e">
        <f t="shared" si="26"/>
        <v>#N/A</v>
      </c>
      <c r="P577" s="807"/>
      <c r="R577" s="807">
        <f>+IFERROR(VLOOKUP(C577,'CA FE'!$A:$C,3,0),0)-G577</f>
        <v>0</v>
      </c>
    </row>
    <row r="578" spans="1:18">
      <c r="A578" s="354" t="s">
        <v>10</v>
      </c>
      <c r="B578" s="354"/>
      <c r="C578" s="355">
        <v>1210121</v>
      </c>
      <c r="D578" s="354" t="s">
        <v>51</v>
      </c>
      <c r="E578" s="356" t="s">
        <v>634</v>
      </c>
      <c r="F578" s="356" t="str">
        <f t="shared" si="35"/>
        <v>NI</v>
      </c>
      <c r="G578" s="28">
        <f>+IF(F578="i",IFERROR(VLOOKUP(C578,'BG 12.2024'!$B:$E,3,FALSE),0),0)</f>
        <v>0</v>
      </c>
      <c r="H578" s="21">
        <f>+IF(F578="i",IFERROR(VLOOKUP(C578,'BG 12.2024'!$B:$E,4,FALSE),0),0)</f>
        <v>0</v>
      </c>
      <c r="I578" s="21"/>
      <c r="J578" s="28">
        <f>+IF(F578="i",IFERROR(VLOOKUP(C578,'BG 2023'!$B:$E,3,FALSE),0),0)</f>
        <v>0</v>
      </c>
      <c r="K578" s="21">
        <f>+IF(F578="i",IFERROR(VLOOKUP(C578,'BG 2023'!$B:$E,4,FALSE),0),0)</f>
        <v>0</v>
      </c>
      <c r="M578" s="15" t="e">
        <f>+VLOOKUP(C578,'BG 2023'!$B:$E,1,0)</f>
        <v>#N/A</v>
      </c>
      <c r="N578" s="806" t="e">
        <f>+VLOOKUP(C578,'BG 2023'!$B:$E,3,0)</f>
        <v>#N/A</v>
      </c>
      <c r="O578" s="807" t="e">
        <f t="shared" si="26"/>
        <v>#N/A</v>
      </c>
      <c r="P578" s="807"/>
      <c r="R578" s="807">
        <f>+IFERROR(VLOOKUP(C578,'CA FE'!$A:$C,3,0),0)-G578</f>
        <v>0</v>
      </c>
    </row>
    <row r="579" spans="1:18">
      <c r="A579" s="354" t="s">
        <v>10</v>
      </c>
      <c r="B579" s="354"/>
      <c r="C579" s="355">
        <v>1210122</v>
      </c>
      <c r="D579" s="354" t="s">
        <v>61</v>
      </c>
      <c r="E579" s="356" t="s">
        <v>634</v>
      </c>
      <c r="F579" s="356" t="str">
        <f t="shared" si="35"/>
        <v>NI</v>
      </c>
      <c r="G579" s="28">
        <f>+IF(F579="i",IFERROR(VLOOKUP(C579,'BG 12.2024'!$B:$E,3,FALSE),0),0)</f>
        <v>0</v>
      </c>
      <c r="H579" s="21">
        <f>+IF(F579="i",IFERROR(VLOOKUP(C579,'BG 12.2024'!$B:$E,4,FALSE),0),0)</f>
        <v>0</v>
      </c>
      <c r="I579" s="21"/>
      <c r="J579" s="28">
        <f>+IF(F579="i",IFERROR(VLOOKUP(C579,'BG 2023'!$B:$E,3,FALSE),0),0)</f>
        <v>0</v>
      </c>
      <c r="K579" s="21">
        <f>+IF(F579="i",IFERROR(VLOOKUP(C579,'BG 2023'!$B:$E,4,FALSE),0),0)</f>
        <v>0</v>
      </c>
      <c r="M579" s="15" t="e">
        <f>+VLOOKUP(C579,'BG 2023'!$B:$E,1,0)</f>
        <v>#N/A</v>
      </c>
      <c r="N579" s="806" t="e">
        <f>+VLOOKUP(C579,'BG 2023'!$B:$E,3,0)</f>
        <v>#N/A</v>
      </c>
      <c r="O579" s="807" t="e">
        <f t="shared" si="26"/>
        <v>#N/A</v>
      </c>
      <c r="P579" s="807"/>
      <c r="R579" s="807">
        <f>+IFERROR(VLOOKUP(C579,'CA FE'!$A:$C,3,0),0)-G579</f>
        <v>0</v>
      </c>
    </row>
    <row r="580" spans="1:18">
      <c r="A580" s="354" t="s">
        <v>10</v>
      </c>
      <c r="B580" s="354"/>
      <c r="C580" s="355">
        <v>1210123</v>
      </c>
      <c r="D580" s="354" t="s">
        <v>67</v>
      </c>
      <c r="E580" s="356" t="s">
        <v>634</v>
      </c>
      <c r="F580" s="356" t="str">
        <f t="shared" si="35"/>
        <v>NI</v>
      </c>
      <c r="G580" s="28">
        <f>+IF(F580="i",IFERROR(VLOOKUP(C580,'BG 12.2024'!$B:$E,3,FALSE),0),0)</f>
        <v>0</v>
      </c>
      <c r="H580" s="21">
        <f>+IF(F580="i",IFERROR(VLOOKUP(C580,'BG 12.2024'!$B:$E,4,FALSE),0),0)</f>
        <v>0</v>
      </c>
      <c r="I580" s="21"/>
      <c r="J580" s="28">
        <f>+IF(F580="i",IFERROR(VLOOKUP(C580,'BG 2023'!$B:$E,3,FALSE),0),0)</f>
        <v>0</v>
      </c>
      <c r="K580" s="21">
        <f>+IF(F580="i",IFERROR(VLOOKUP(C580,'BG 2023'!$B:$E,4,FALSE),0),0)</f>
        <v>0</v>
      </c>
      <c r="M580" s="15" t="e">
        <f>+VLOOKUP(C580,'BG 2023'!$B:$E,1,0)</f>
        <v>#N/A</v>
      </c>
      <c r="N580" s="806" t="e">
        <f>+VLOOKUP(C580,'BG 2023'!$B:$E,3,0)</f>
        <v>#N/A</v>
      </c>
      <c r="O580" s="807" t="e">
        <f t="shared" si="26"/>
        <v>#N/A</v>
      </c>
      <c r="P580" s="807"/>
      <c r="R580" s="807">
        <f>+IFERROR(VLOOKUP(C580,'CA FE'!$A:$C,3,0),0)-G580</f>
        <v>0</v>
      </c>
    </row>
    <row r="581" spans="1:18">
      <c r="A581" s="354" t="s">
        <v>10</v>
      </c>
      <c r="B581" s="354"/>
      <c r="C581" s="355">
        <v>1210124</v>
      </c>
      <c r="D581" s="354" t="s">
        <v>684</v>
      </c>
      <c r="E581" s="356" t="s">
        <v>634</v>
      </c>
      <c r="F581" s="356" t="str">
        <f t="shared" si="35"/>
        <v>NI</v>
      </c>
      <c r="G581" s="28">
        <f>+IF(F581="i",IFERROR(VLOOKUP(C581,'BG 12.2024'!$B:$E,3,FALSE),0),0)</f>
        <v>0</v>
      </c>
      <c r="H581" s="21">
        <f>+IF(F581="i",IFERROR(VLOOKUP(C581,'BG 12.2024'!$B:$E,4,FALSE),0),0)</f>
        <v>0</v>
      </c>
      <c r="I581" s="21"/>
      <c r="J581" s="28">
        <f>+IF(F581="i",IFERROR(VLOOKUP(C581,'BG 2023'!$B:$E,3,FALSE),0),0)</f>
        <v>0</v>
      </c>
      <c r="K581" s="21">
        <f>+IF(F581="i",IFERROR(VLOOKUP(C581,'BG 2023'!$B:$E,4,FALSE),0),0)</f>
        <v>0</v>
      </c>
      <c r="M581" s="15" t="e">
        <f>+VLOOKUP(C581,'BG 2023'!$B:$E,1,0)</f>
        <v>#N/A</v>
      </c>
      <c r="N581" s="806" t="e">
        <f>+VLOOKUP(C581,'BG 2023'!$B:$E,3,0)</f>
        <v>#N/A</v>
      </c>
      <c r="O581" s="807" t="e">
        <f t="shared" si="26"/>
        <v>#N/A</v>
      </c>
      <c r="P581" s="807"/>
      <c r="R581" s="807">
        <f>+IFERROR(VLOOKUP(C581,'CA FE'!$A:$C,3,0),0)-G581</f>
        <v>0</v>
      </c>
    </row>
    <row r="582" spans="1:18">
      <c r="A582" s="354" t="s">
        <v>10</v>
      </c>
      <c r="B582" s="354"/>
      <c r="C582" s="355">
        <v>1210125</v>
      </c>
      <c r="D582" s="354" t="s">
        <v>685</v>
      </c>
      <c r="E582" s="356" t="s">
        <v>634</v>
      </c>
      <c r="F582" s="356" t="str">
        <f t="shared" si="35"/>
        <v>NI</v>
      </c>
      <c r="G582" s="28">
        <f>+IF(F582="i",IFERROR(VLOOKUP(C582,'BG 12.2024'!$B:$E,3,FALSE),0),0)</f>
        <v>0</v>
      </c>
      <c r="H582" s="21">
        <f>+IF(F582="i",IFERROR(VLOOKUP(C582,'BG 12.2024'!$B:$E,4,FALSE),0),0)</f>
        <v>0</v>
      </c>
      <c r="I582" s="21"/>
      <c r="J582" s="28">
        <f>+IF(F582="i",IFERROR(VLOOKUP(C582,'BG 2023'!$B:$E,3,FALSE),0),0)</f>
        <v>0</v>
      </c>
      <c r="K582" s="21">
        <f>+IF(F582="i",IFERROR(VLOOKUP(C582,'BG 2023'!$B:$E,4,FALSE),0),0)</f>
        <v>0</v>
      </c>
      <c r="M582" s="15" t="e">
        <f>+VLOOKUP(C582,'BG 2023'!$B:$E,1,0)</f>
        <v>#N/A</v>
      </c>
      <c r="N582" s="806" t="e">
        <f>+VLOOKUP(C582,'BG 2023'!$B:$E,3,0)</f>
        <v>#N/A</v>
      </c>
      <c r="O582" s="807" t="e">
        <f t="shared" si="26"/>
        <v>#N/A</v>
      </c>
      <c r="P582" s="807"/>
      <c r="R582" s="807">
        <f>+IFERROR(VLOOKUP(C582,'CA FE'!$A:$C,3,0),0)-G582</f>
        <v>0</v>
      </c>
    </row>
    <row r="583" spans="1:18">
      <c r="A583" s="354" t="s">
        <v>10</v>
      </c>
      <c r="B583" s="354"/>
      <c r="C583" s="355">
        <v>1210126</v>
      </c>
      <c r="D583" s="354" t="s">
        <v>761</v>
      </c>
      <c r="E583" s="356" t="s">
        <v>634</v>
      </c>
      <c r="F583" s="356" t="str">
        <f t="shared" si="35"/>
        <v>NI</v>
      </c>
      <c r="G583" s="28">
        <f>+IF(F583="i",IFERROR(VLOOKUP(C583,'BG 12.2024'!$B:$E,3,FALSE),0),0)</f>
        <v>0</v>
      </c>
      <c r="H583" s="21">
        <f>+IF(F583="i",IFERROR(VLOOKUP(C583,'BG 12.2024'!$B:$E,4,FALSE),0),0)</f>
        <v>0</v>
      </c>
      <c r="I583" s="21"/>
      <c r="J583" s="28">
        <f>+IF(F583="i",IFERROR(VLOOKUP(C583,'BG 2023'!$B:$E,3,FALSE),0),0)</f>
        <v>0</v>
      </c>
      <c r="K583" s="21">
        <f>+IF(F583="i",IFERROR(VLOOKUP(C583,'BG 2023'!$B:$E,4,FALSE),0),0)</f>
        <v>0</v>
      </c>
      <c r="M583" s="15" t="e">
        <f>+VLOOKUP(C583,'BG 2023'!$B:$E,1,0)</f>
        <v>#N/A</v>
      </c>
      <c r="N583" s="806" t="e">
        <f>+VLOOKUP(C583,'BG 2023'!$B:$E,3,0)</f>
        <v>#N/A</v>
      </c>
      <c r="O583" s="807" t="e">
        <f t="shared" si="26"/>
        <v>#N/A</v>
      </c>
      <c r="P583" s="807"/>
      <c r="R583" s="807">
        <f>+IFERROR(VLOOKUP(C583,'CA FE'!$A:$C,3,0),0)-G583</f>
        <v>0</v>
      </c>
    </row>
    <row r="584" spans="1:18">
      <c r="A584" s="354" t="s">
        <v>10</v>
      </c>
      <c r="B584" s="354"/>
      <c r="C584" s="355">
        <v>12102</v>
      </c>
      <c r="D584" s="354" t="s">
        <v>54</v>
      </c>
      <c r="E584" s="356" t="s">
        <v>634</v>
      </c>
      <c r="F584" s="356" t="str">
        <f t="shared" si="35"/>
        <v>NI</v>
      </c>
      <c r="G584" s="28">
        <f>+IF(F584="i",IFERROR(VLOOKUP(C584,'BG 12.2024'!$B:$E,3,FALSE),0),0)</f>
        <v>0</v>
      </c>
      <c r="H584" s="21">
        <f>+IF(F584="i",IFERROR(VLOOKUP(C584,'BG 12.2024'!$B:$E,4,FALSE),0),0)</f>
        <v>0</v>
      </c>
      <c r="I584" s="21"/>
      <c r="J584" s="28">
        <f>+IF(F584="i",IFERROR(VLOOKUP(C584,'BG 2023'!$B:$E,3,FALSE),0),0)</f>
        <v>0</v>
      </c>
      <c r="K584" s="21">
        <f>+IF(F584="i",IFERROR(VLOOKUP(C584,'BG 2023'!$B:$E,4,FALSE),0),0)</f>
        <v>0</v>
      </c>
      <c r="M584" s="15">
        <f>+VLOOKUP(C584,'BG 2023'!$B:$E,1,0)</f>
        <v>12102</v>
      </c>
      <c r="N584" s="806">
        <f>+VLOOKUP(C584,'BG 2023'!$B:$E,3,0)</f>
        <v>665742466</v>
      </c>
      <c r="O584" s="807">
        <f t="shared" si="26"/>
        <v>665742466</v>
      </c>
      <c r="P584" s="807"/>
      <c r="R584" s="807">
        <f>+IFERROR(VLOOKUP(C584,'CA FE'!$A:$C,3,0),0)-G584</f>
        <v>0</v>
      </c>
    </row>
    <row r="585" spans="1:18">
      <c r="A585" s="354" t="s">
        <v>10</v>
      </c>
      <c r="B585" s="354"/>
      <c r="C585" s="355">
        <v>121021</v>
      </c>
      <c r="D585" s="354" t="s">
        <v>55</v>
      </c>
      <c r="E585" s="356" t="s">
        <v>634</v>
      </c>
      <c r="F585" s="356" t="str">
        <f t="shared" si="35"/>
        <v>NI</v>
      </c>
      <c r="G585" s="28">
        <f>+IF(F585="i",IFERROR(VLOOKUP(C585,'BG 12.2024'!$B:$E,3,FALSE),0),0)</f>
        <v>0</v>
      </c>
      <c r="H585" s="21">
        <f>+IF(F585="i",IFERROR(VLOOKUP(C585,'BG 12.2024'!$B:$E,4,FALSE),0),0)</f>
        <v>0</v>
      </c>
      <c r="I585" s="21"/>
      <c r="J585" s="28">
        <f>+IF(F585="i",IFERROR(VLOOKUP(C585,'BG 2023'!$B:$E,3,FALSE),0),0)</f>
        <v>0</v>
      </c>
      <c r="K585" s="21">
        <f>+IF(F585="i",IFERROR(VLOOKUP(C585,'BG 2023'!$B:$E,4,FALSE),0),0)</f>
        <v>0</v>
      </c>
      <c r="M585" s="15">
        <f>+VLOOKUP(C585,'BG 2023'!$B:$E,1,0)</f>
        <v>121021</v>
      </c>
      <c r="N585" s="806">
        <f>+VLOOKUP(C585,'BG 2023'!$B:$E,3,0)</f>
        <v>665742466</v>
      </c>
      <c r="O585" s="807">
        <f t="shared" si="26"/>
        <v>665742466</v>
      </c>
      <c r="P585" s="807"/>
      <c r="R585" s="807">
        <f>+IFERROR(VLOOKUP(C585,'CA FE'!$A:$C,3,0),0)-G585</f>
        <v>0</v>
      </c>
    </row>
    <row r="586" spans="1:18">
      <c r="A586" s="354" t="s">
        <v>10</v>
      </c>
      <c r="B586" s="354"/>
      <c r="C586" s="355">
        <v>1210211</v>
      </c>
      <c r="D586" s="354" t="s">
        <v>129</v>
      </c>
      <c r="E586" s="356" t="s">
        <v>634</v>
      </c>
      <c r="F586" s="356" t="str">
        <f t="shared" si="35"/>
        <v>NI</v>
      </c>
      <c r="G586" s="28">
        <f>+IF(F586="i",IFERROR(VLOOKUP(C586,'BG 12.2024'!$B:$E,3,FALSE),0),0)</f>
        <v>0</v>
      </c>
      <c r="H586" s="21">
        <f>+IF(F586="i",IFERROR(VLOOKUP(C586,'BG 12.2024'!$B:$E,4,FALSE),0),0)</f>
        <v>0</v>
      </c>
      <c r="I586" s="21"/>
      <c r="J586" s="28">
        <f>+IF(F586="i",IFERROR(VLOOKUP(C586,'BG 2023'!$B:$E,3,FALSE),0),0)</f>
        <v>0</v>
      </c>
      <c r="K586" s="21">
        <f>+IF(F586="i",IFERROR(VLOOKUP(C586,'BG 2023'!$B:$E,4,FALSE),0),0)</f>
        <v>0</v>
      </c>
      <c r="M586" s="15" t="e">
        <f>+VLOOKUP(C586,'BG 2023'!$B:$E,1,0)</f>
        <v>#N/A</v>
      </c>
      <c r="N586" s="806" t="e">
        <f>+VLOOKUP(C586,'BG 2023'!$B:$E,3,0)</f>
        <v>#N/A</v>
      </c>
      <c r="O586" s="807" t="e">
        <f t="shared" si="26"/>
        <v>#N/A</v>
      </c>
      <c r="P586" s="807"/>
      <c r="R586" s="807">
        <f>+IFERROR(VLOOKUP(C586,'CA FE'!$A:$C,3,0),0)-G586</f>
        <v>0</v>
      </c>
    </row>
    <row r="587" spans="1:18">
      <c r="A587" s="354" t="s">
        <v>10</v>
      </c>
      <c r="B587" s="354"/>
      <c r="C587" s="355">
        <v>1210212</v>
      </c>
      <c r="D587" s="354" t="s">
        <v>51</v>
      </c>
      <c r="E587" s="356" t="s">
        <v>634</v>
      </c>
      <c r="F587" s="356" t="str">
        <f t="shared" si="35"/>
        <v>NI</v>
      </c>
      <c r="G587" s="28">
        <f>+IF(F587="i",IFERROR(VLOOKUP(C587,'BG 12.2024'!$B:$E,3,FALSE),0),0)</f>
        <v>0</v>
      </c>
      <c r="H587" s="21">
        <f>+IF(F587="i",IFERROR(VLOOKUP(C587,'BG 12.2024'!$B:$E,4,FALSE),0),0)</f>
        <v>0</v>
      </c>
      <c r="I587" s="21"/>
      <c r="J587" s="28">
        <f>+IF(F587="i",IFERROR(VLOOKUP(C587,'BG 2023'!$B:$E,3,FALSE),0),0)</f>
        <v>0</v>
      </c>
      <c r="K587" s="21">
        <f>+IF(F587="i",IFERROR(VLOOKUP(C587,'BG 2023'!$B:$E,4,FALSE),0),0)</f>
        <v>0</v>
      </c>
      <c r="M587" s="15" t="e">
        <f>+VLOOKUP(C587,'BG 2023'!$B:$E,1,0)</f>
        <v>#N/A</v>
      </c>
      <c r="N587" s="806" t="e">
        <f>+VLOOKUP(C587,'BG 2023'!$B:$E,3,0)</f>
        <v>#N/A</v>
      </c>
      <c r="O587" s="807" t="e">
        <f t="shared" si="26"/>
        <v>#N/A</v>
      </c>
      <c r="P587" s="807"/>
      <c r="R587" s="807">
        <f>+IFERROR(VLOOKUP(C587,'CA FE'!$A:$C,3,0),0)-G587</f>
        <v>0</v>
      </c>
    </row>
    <row r="588" spans="1:18">
      <c r="A588" s="354" t="s">
        <v>10</v>
      </c>
      <c r="B588" s="354"/>
      <c r="C588" s="355">
        <v>1210213</v>
      </c>
      <c r="D588" s="354" t="s">
        <v>61</v>
      </c>
      <c r="E588" s="356" t="s">
        <v>634</v>
      </c>
      <c r="F588" s="356" t="str">
        <f t="shared" si="35"/>
        <v>NI</v>
      </c>
      <c r="G588" s="28">
        <f>+IF(F588="i",IFERROR(VLOOKUP(C588,'BG 12.2024'!$B:$E,3,FALSE),0),0)</f>
        <v>0</v>
      </c>
      <c r="H588" s="21">
        <f>+IF(F588="i",IFERROR(VLOOKUP(C588,'BG 12.2024'!$B:$E,4,FALSE),0),0)</f>
        <v>0</v>
      </c>
      <c r="I588" s="21"/>
      <c r="J588" s="28">
        <f>+IF(F588="i",IFERROR(VLOOKUP(C588,'BG 2023'!$B:$E,3,FALSE),0),0)</f>
        <v>0</v>
      </c>
      <c r="K588" s="21">
        <f>+IF(F588="i",IFERROR(VLOOKUP(C588,'BG 2023'!$B:$E,4,FALSE),0),0)</f>
        <v>0</v>
      </c>
      <c r="M588" s="15" t="e">
        <f>+VLOOKUP(C588,'BG 2023'!$B:$E,1,0)</f>
        <v>#N/A</v>
      </c>
      <c r="N588" s="806" t="e">
        <f>+VLOOKUP(C588,'BG 2023'!$B:$E,3,0)</f>
        <v>#N/A</v>
      </c>
      <c r="O588" s="807" t="e">
        <f t="shared" si="26"/>
        <v>#N/A</v>
      </c>
      <c r="P588" s="807"/>
      <c r="R588" s="807">
        <f>+IFERROR(VLOOKUP(C588,'CA FE'!$A:$C,3,0),0)-G588</f>
        <v>0</v>
      </c>
    </row>
    <row r="589" spans="1:18">
      <c r="A589" s="354" t="s">
        <v>10</v>
      </c>
      <c r="B589" s="354"/>
      <c r="C589" s="355">
        <v>1210214</v>
      </c>
      <c r="D589" s="354" t="s">
        <v>67</v>
      </c>
      <c r="E589" s="356" t="s">
        <v>634</v>
      </c>
      <c r="F589" s="356" t="str">
        <f t="shared" si="35"/>
        <v>NI</v>
      </c>
      <c r="G589" s="28">
        <f>+IF(F589="i",IFERROR(VLOOKUP(C589,'BG 12.2024'!$B:$E,3,FALSE),0),0)</f>
        <v>0</v>
      </c>
      <c r="H589" s="21">
        <f>+IF(F589="i",IFERROR(VLOOKUP(C589,'BG 12.2024'!$B:$E,4,FALSE),0),0)</f>
        <v>0</v>
      </c>
      <c r="I589" s="21"/>
      <c r="J589" s="28">
        <f>+IF(F589="i",IFERROR(VLOOKUP(C589,'BG 2023'!$B:$E,3,FALSE),0),0)</f>
        <v>0</v>
      </c>
      <c r="K589" s="21">
        <f>+IF(F589="i",IFERROR(VLOOKUP(C589,'BG 2023'!$B:$E,4,FALSE),0),0)</f>
        <v>0</v>
      </c>
      <c r="M589" s="15" t="e">
        <f>+VLOOKUP(C589,'BG 2023'!$B:$E,1,0)</f>
        <v>#N/A</v>
      </c>
      <c r="N589" s="806" t="e">
        <f>+VLOOKUP(C589,'BG 2023'!$B:$E,3,0)</f>
        <v>#N/A</v>
      </c>
      <c r="O589" s="807" t="e">
        <f t="shared" si="26"/>
        <v>#N/A</v>
      </c>
      <c r="P589" s="807"/>
      <c r="R589" s="807">
        <f>+IFERROR(VLOOKUP(C589,'CA FE'!$A:$C,3,0),0)-G589</f>
        <v>0</v>
      </c>
    </row>
    <row r="590" spans="1:18">
      <c r="A590" s="354" t="s">
        <v>10</v>
      </c>
      <c r="B590" s="354"/>
      <c r="C590" s="355">
        <v>1210215</v>
      </c>
      <c r="D590" s="354" t="s">
        <v>698</v>
      </c>
      <c r="E590" s="356" t="s">
        <v>634</v>
      </c>
      <c r="F590" s="356" t="str">
        <f t="shared" si="35"/>
        <v>NI</v>
      </c>
      <c r="G590" s="28">
        <f>+IF(F590="i",IFERROR(VLOOKUP(C590,'BG 12.2024'!$B:$E,3,FALSE),0),0)</f>
        <v>0</v>
      </c>
      <c r="H590" s="21">
        <f>+IF(F590="i",IFERROR(VLOOKUP(C590,'BG 12.2024'!$B:$E,4,FALSE),0),0)</f>
        <v>0</v>
      </c>
      <c r="I590" s="21"/>
      <c r="J590" s="28">
        <f>+IF(F590="i",IFERROR(VLOOKUP(C590,'BG 2023'!$B:$E,3,FALSE),0),0)</f>
        <v>0</v>
      </c>
      <c r="K590" s="21">
        <f>+IF(F590="i",IFERROR(VLOOKUP(C590,'BG 2023'!$B:$E,4,FALSE),0),0)</f>
        <v>0</v>
      </c>
      <c r="M590" s="15">
        <f>+VLOOKUP(C590,'BG 2023'!$B:$E,1,0)</f>
        <v>1210215</v>
      </c>
      <c r="N590" s="806">
        <f>+VLOOKUP(C590,'BG 2023'!$B:$E,3,0)</f>
        <v>665742466</v>
      </c>
      <c r="O590" s="807">
        <f t="shared" ref="O590:O657" si="37">+N590-G590</f>
        <v>665742466</v>
      </c>
      <c r="P590" s="807"/>
      <c r="R590" s="807">
        <f>+IFERROR(VLOOKUP(C590,'CA FE'!$A:$C,3,0),0)-G590</f>
        <v>0</v>
      </c>
    </row>
    <row r="591" spans="1:18">
      <c r="A591" s="354" t="s">
        <v>10</v>
      </c>
      <c r="B591" s="354"/>
      <c r="C591" s="355">
        <v>12102151</v>
      </c>
      <c r="D591" s="354" t="s">
        <v>582</v>
      </c>
      <c r="E591" s="356" t="s">
        <v>634</v>
      </c>
      <c r="F591" s="356" t="str">
        <f>+IF(LEN(C591)&gt;8,"I","NI")</f>
        <v>NI</v>
      </c>
      <c r="G591" s="28">
        <f>+IF(F591="i",IFERROR(VLOOKUP(C591,'BG 12.2024'!$B:$E,3,FALSE),0),0)</f>
        <v>0</v>
      </c>
      <c r="H591" s="21">
        <f>+IF(F591="i",IFERROR(VLOOKUP(C591,'BG 12.2024'!$B:$E,4,FALSE),0),0)</f>
        <v>0</v>
      </c>
      <c r="I591" s="21"/>
      <c r="J591" s="28">
        <f>+IF(F591="i",IFERROR(VLOOKUP(C591,'BG 2023'!$B:$E,3,FALSE),0),0)</f>
        <v>0</v>
      </c>
      <c r="K591" s="21"/>
      <c r="N591" s="806"/>
      <c r="O591" s="807"/>
      <c r="P591" s="807"/>
      <c r="R591" s="807">
        <f>+IFERROR(VLOOKUP(C591,'CA FE'!$A:$C,3,0),0)-G591</f>
        <v>0</v>
      </c>
    </row>
    <row r="592" spans="1:18">
      <c r="A592" s="354" t="s">
        <v>10</v>
      </c>
      <c r="B592" s="354"/>
      <c r="C592" s="355">
        <v>12102152</v>
      </c>
      <c r="D592" s="354" t="s">
        <v>174</v>
      </c>
      <c r="E592" s="356" t="s">
        <v>634</v>
      </c>
      <c r="F592" s="356" t="str">
        <f t="shared" si="35"/>
        <v>NI</v>
      </c>
      <c r="G592" s="28">
        <f>+IF(F592="i",IFERROR(VLOOKUP(C592,'BG 12.2024'!$B:$E,3,FALSE),0),0)</f>
        <v>0</v>
      </c>
      <c r="H592" s="21">
        <f>+IF(F592="i",IFERROR(VLOOKUP(C592,'BG 12.2024'!$B:$E,4,FALSE),0),0)</f>
        <v>0</v>
      </c>
      <c r="I592" s="21"/>
      <c r="J592" s="28">
        <f>+IF(F592="i",IFERROR(VLOOKUP(C592,'BG 2023'!$B:$E,3,FALSE),0),0)</f>
        <v>0</v>
      </c>
      <c r="K592" s="21">
        <f>+IF(F592="i",IFERROR(VLOOKUP(C592,'BG 2023'!$B:$E,4,FALSE),0),0)</f>
        <v>0</v>
      </c>
      <c r="M592" s="15">
        <f>+VLOOKUP(C592,'BG 2023'!$B:$E,1,0)</f>
        <v>12102152</v>
      </c>
      <c r="N592" s="806">
        <f>+VLOOKUP(C592,'BG 2023'!$B:$E,3,0)</f>
        <v>665742466</v>
      </c>
      <c r="O592" s="807">
        <f t="shared" si="37"/>
        <v>665742466</v>
      </c>
      <c r="P592" s="807"/>
      <c r="R592" s="807">
        <f>+IFERROR(VLOOKUP(C592,'CA FE'!$A:$C,3,0),0)-G592</f>
        <v>0</v>
      </c>
    </row>
    <row r="593" spans="1:18">
      <c r="A593" s="354" t="s">
        <v>10</v>
      </c>
      <c r="B593" s="354" t="s">
        <v>829</v>
      </c>
      <c r="C593" s="355">
        <v>1210215104</v>
      </c>
      <c r="D593" s="354" t="s">
        <v>583</v>
      </c>
      <c r="E593" s="356" t="s">
        <v>634</v>
      </c>
      <c r="F593" s="356" t="str">
        <f>+IF(LEN(C593)&gt;8,"I","NI")</f>
        <v>I</v>
      </c>
      <c r="G593" s="28">
        <f>+IF(F593="i",IFERROR(VLOOKUP(C593,'BG 12.2024'!$B:$E,3,FALSE),0),0)</f>
        <v>700000000</v>
      </c>
      <c r="H593" s="21">
        <f>+IF(F593="i",IFERROR(VLOOKUP(C593,'BG 12.2024'!$B:$E,4,FALSE),0),0)</f>
        <v>89385.36</v>
      </c>
      <c r="I593" s="21"/>
      <c r="J593" s="28">
        <f>+IF(F593="i",IFERROR(VLOOKUP(C593,'BG 2023'!$B:$E,3,FALSE),0),0)</f>
        <v>0</v>
      </c>
      <c r="K593" s="21"/>
      <c r="N593" s="806"/>
      <c r="O593" s="807"/>
      <c r="P593" s="807"/>
      <c r="R593" s="807">
        <f>+IFERROR(VLOOKUP(C593,'CA FE'!$A:$C,3,0),0)-G593</f>
        <v>0</v>
      </c>
    </row>
    <row r="594" spans="1:18">
      <c r="A594" s="354" t="s">
        <v>10</v>
      </c>
      <c r="B594" s="354" t="s">
        <v>829</v>
      </c>
      <c r="C594" s="355">
        <v>1210215105</v>
      </c>
      <c r="D594" s="354" t="s">
        <v>90</v>
      </c>
      <c r="E594" s="356" t="s">
        <v>634</v>
      </c>
      <c r="F594" s="356" t="str">
        <f>+IF(LEN(C594)&gt;8,"I","NI")</f>
        <v>I</v>
      </c>
      <c r="G594" s="28">
        <f>+IF(F594="i",IFERROR(VLOOKUP(C594,'BG 12.2024'!$B:$E,3,FALSE),0),0)</f>
        <v>196910959</v>
      </c>
      <c r="H594" s="21">
        <f>+IF(F594="i",IFERROR(VLOOKUP(C594,'BG 12.2024'!$B:$E,4,FALSE),0),0)</f>
        <v>25144.22</v>
      </c>
      <c r="I594" s="21"/>
      <c r="J594" s="28">
        <f>+IF(F594="i",IFERROR(VLOOKUP(C594,'BG 2023'!$B:$E,3,FALSE),0),0)</f>
        <v>0</v>
      </c>
      <c r="K594" s="21"/>
      <c r="N594" s="806"/>
      <c r="O594" s="807"/>
      <c r="P594" s="807"/>
      <c r="R594" s="807">
        <f>+IFERROR(VLOOKUP(C594,'CA FE'!$A:$C,3,0),0)-G594</f>
        <v>0</v>
      </c>
    </row>
    <row r="595" spans="1:18">
      <c r="A595" s="354" t="s">
        <v>10</v>
      </c>
      <c r="B595" s="354" t="s">
        <v>829</v>
      </c>
      <c r="C595" s="355">
        <v>1210215106</v>
      </c>
      <c r="D595" s="354" t="s">
        <v>584</v>
      </c>
      <c r="E595" s="356" t="s">
        <v>634</v>
      </c>
      <c r="F595" s="356" t="str">
        <f>+IF(LEN(C595)&gt;8,"I","NI")</f>
        <v>I</v>
      </c>
      <c r="G595" s="28">
        <f>+IF(F595="i",IFERROR(VLOOKUP(C595,'BG 12.2024'!$B:$E,3,FALSE),0),0)</f>
        <v>-160952055</v>
      </c>
      <c r="H595" s="21">
        <f>+IF(F595="i",IFERROR(VLOOKUP(C595,'BG 12.2024'!$B:$E,4,FALSE),0),0)</f>
        <v>-20552.509999999998</v>
      </c>
      <c r="I595" s="21"/>
      <c r="J595" s="28">
        <f>+IF(F595="i",IFERROR(VLOOKUP(C595,'BG 2023'!$B:$E,3,FALSE),0),0)</f>
        <v>0</v>
      </c>
      <c r="K595" s="21"/>
      <c r="N595" s="806"/>
      <c r="O595" s="807"/>
      <c r="P595" s="807"/>
      <c r="R595" s="807">
        <f>+IFERROR(VLOOKUP(C595,'CA FE'!$A:$C,3,0),0)-G595</f>
        <v>0</v>
      </c>
    </row>
    <row r="596" spans="1:18">
      <c r="A596" s="354" t="s">
        <v>10</v>
      </c>
      <c r="B596" s="354" t="s">
        <v>829</v>
      </c>
      <c r="C596" s="355">
        <v>1210215201</v>
      </c>
      <c r="D596" s="354" t="s">
        <v>830</v>
      </c>
      <c r="E596" s="356" t="s">
        <v>634</v>
      </c>
      <c r="F596" s="356" t="str">
        <f t="shared" si="35"/>
        <v>I</v>
      </c>
      <c r="G596" s="28">
        <f>+IF(F596="i",IFERROR(VLOOKUP(C596,'BG 12.2024'!$B:$E,3,FALSE),0),0)</f>
        <v>0</v>
      </c>
      <c r="H596" s="21">
        <f>+IF(F596="i",IFERROR(VLOOKUP(C596,'BG 12.2024'!$B:$E,4,FALSE),0),0)</f>
        <v>0</v>
      </c>
      <c r="I596" s="21"/>
      <c r="J596" s="28">
        <f>+IF(F596="i",IFERROR(VLOOKUP(C596,'BG 2023'!$B:$E,3,FALSE),0),0)</f>
        <v>650000000</v>
      </c>
      <c r="K596" s="21">
        <f>+IF(F596="i",IFERROR(VLOOKUP(C596,'BG 2023'!$B:$E,4,FALSE),0),0)</f>
        <v>89487.43</v>
      </c>
      <c r="M596" s="15">
        <f>+VLOOKUP(C596,'BG 2023'!$B:$E,1,0)</f>
        <v>1210215201</v>
      </c>
      <c r="N596" s="806">
        <f>+VLOOKUP(C596,'BG 2023'!$B:$E,3,0)</f>
        <v>650000000</v>
      </c>
      <c r="O596" s="807">
        <f t="shared" si="37"/>
        <v>650000000</v>
      </c>
      <c r="P596" s="807"/>
      <c r="R596" s="807">
        <f>+IFERROR(VLOOKUP(C596,'CA FE'!$A:$C,3,0),0)-G596</f>
        <v>0</v>
      </c>
    </row>
    <row r="597" spans="1:18">
      <c r="A597" s="354" t="s">
        <v>10</v>
      </c>
      <c r="B597" s="354" t="s">
        <v>829</v>
      </c>
      <c r="C597" s="355">
        <v>1210215202</v>
      </c>
      <c r="D597" s="354" t="s">
        <v>831</v>
      </c>
      <c r="E597" s="356" t="s">
        <v>634</v>
      </c>
      <c r="F597" s="356" t="str">
        <f t="shared" si="35"/>
        <v>I</v>
      </c>
      <c r="G597" s="28">
        <f>+IF(F597="i",IFERROR(VLOOKUP(C597,'BG 12.2024'!$B:$E,3,FALSE),0),0)</f>
        <v>0</v>
      </c>
      <c r="H597" s="21">
        <f>+IF(F597="i",IFERROR(VLOOKUP(C597,'BG 12.2024'!$B:$E,4,FALSE),0),0)</f>
        <v>0</v>
      </c>
      <c r="I597" s="21"/>
      <c r="J597" s="28">
        <f>+IF(F597="i",IFERROR(VLOOKUP(C597,'BG 2023'!$B:$E,3,FALSE),0),0)</f>
        <v>337884247</v>
      </c>
      <c r="K597" s="21">
        <f>+IF(F597="i",IFERROR(VLOOKUP(C597,'BG 2023'!$B:$E,4,FALSE),0),0)</f>
        <v>46517.53</v>
      </c>
      <c r="M597" s="15">
        <f>+VLOOKUP(C597,'BG 2023'!$B:$E,1,0)</f>
        <v>1210215202</v>
      </c>
      <c r="N597" s="806">
        <f>+VLOOKUP(C597,'BG 2023'!$B:$E,3,0)</f>
        <v>337884247</v>
      </c>
      <c r="O597" s="807">
        <f t="shared" si="37"/>
        <v>337884247</v>
      </c>
      <c r="P597" s="807"/>
      <c r="R597" s="807">
        <f>+IFERROR(VLOOKUP(C597,'CA FE'!$A:$C,3,0),0)-G597</f>
        <v>0</v>
      </c>
    </row>
    <row r="598" spans="1:18">
      <c r="A598" s="354" t="s">
        <v>10</v>
      </c>
      <c r="B598" s="354" t="s">
        <v>829</v>
      </c>
      <c r="C598" s="355">
        <v>1210215203</v>
      </c>
      <c r="D598" s="354" t="s">
        <v>832</v>
      </c>
      <c r="E598" s="356" t="s">
        <v>634</v>
      </c>
      <c r="F598" s="356" t="str">
        <f t="shared" si="35"/>
        <v>I</v>
      </c>
      <c r="G598" s="28">
        <f>+IF(F598="i",IFERROR(VLOOKUP(C598,'BG 12.2024'!$B:$E,3,FALSE),0),0)</f>
        <v>0</v>
      </c>
      <c r="H598" s="21">
        <f>+IF(F598="i",IFERROR(VLOOKUP(C598,'BG 12.2024'!$B:$E,4,FALSE),0),0)</f>
        <v>0</v>
      </c>
      <c r="I598" s="21"/>
      <c r="J598" s="28">
        <f>+IF(F598="i",IFERROR(VLOOKUP(C598,'BG 2023'!$B:$E,3,FALSE),0),0)</f>
        <v>-322141781</v>
      </c>
      <c r="K598" s="21">
        <f>+IF(F598="i",IFERROR(VLOOKUP(C598,'BG 2023'!$B:$E,4,FALSE),0),0)</f>
        <v>-44350.22</v>
      </c>
      <c r="M598" s="15">
        <f>+VLOOKUP(C598,'BG 2023'!$B:$E,1,0)</f>
        <v>1210215203</v>
      </c>
      <c r="N598" s="806">
        <f>+VLOOKUP(C598,'BG 2023'!$B:$E,3,0)</f>
        <v>-322141781</v>
      </c>
      <c r="O598" s="807">
        <f t="shared" si="37"/>
        <v>-322141781</v>
      </c>
      <c r="P598" s="807"/>
      <c r="R598" s="807">
        <f>+IFERROR(VLOOKUP(C598,'CA FE'!$A:$C,3,0),0)-G598</f>
        <v>0</v>
      </c>
    </row>
    <row r="599" spans="1:18">
      <c r="A599" s="354" t="s">
        <v>10</v>
      </c>
      <c r="B599" s="354"/>
      <c r="C599" s="355">
        <v>1210215101</v>
      </c>
      <c r="D599" s="354" t="s">
        <v>833</v>
      </c>
      <c r="E599" s="356" t="s">
        <v>634</v>
      </c>
      <c r="F599" s="356" t="str">
        <f t="shared" si="35"/>
        <v>I</v>
      </c>
      <c r="G599" s="28">
        <f>+IF(F599="i",IFERROR(VLOOKUP(C599,'BG 12.2024'!$B:$E,3,FALSE),0),0)</f>
        <v>0</v>
      </c>
      <c r="H599" s="21">
        <f>+IF(F599="i",IFERROR(VLOOKUP(C599,'BG 12.2024'!$B:$E,4,FALSE),0),0)</f>
        <v>0</v>
      </c>
      <c r="I599" s="21"/>
      <c r="J599" s="28">
        <f>+IF(F599="i",IFERROR(VLOOKUP(C599,'BG 2023'!$B:$E,3,FALSE),0),0)</f>
        <v>0</v>
      </c>
      <c r="K599" s="21">
        <f>+IF(F599="i",IFERROR(VLOOKUP(C599,'BG 2023'!$B:$E,4,FALSE),0),0)</f>
        <v>0</v>
      </c>
      <c r="M599" s="15" t="e">
        <f>+VLOOKUP(C599,'BG 2023'!$B:$E,1,0)</f>
        <v>#N/A</v>
      </c>
      <c r="N599" s="806" t="e">
        <f>+VLOOKUP(C599,'BG 2023'!$B:$E,3,0)</f>
        <v>#N/A</v>
      </c>
      <c r="O599" s="807" t="e">
        <f t="shared" si="37"/>
        <v>#N/A</v>
      </c>
      <c r="P599" s="807"/>
      <c r="R599" s="807">
        <f>+IFERROR(VLOOKUP(C599,'CA FE'!$A:$C,3,0),0)-G599</f>
        <v>0</v>
      </c>
    </row>
    <row r="600" spans="1:18">
      <c r="A600" s="354" t="s">
        <v>10</v>
      </c>
      <c r="B600" s="354"/>
      <c r="C600" s="355">
        <v>1210215102</v>
      </c>
      <c r="D600" s="354" t="s">
        <v>92</v>
      </c>
      <c r="E600" s="356" t="s">
        <v>634</v>
      </c>
      <c r="F600" s="356" t="str">
        <f t="shared" si="35"/>
        <v>I</v>
      </c>
      <c r="G600" s="28">
        <f>+IF(F600="i",IFERROR(VLOOKUP(C600,'BG 12.2024'!$B:$E,3,FALSE),0),0)</f>
        <v>0</v>
      </c>
      <c r="H600" s="21">
        <f>+IF(F600="i",IFERROR(VLOOKUP(C600,'BG 12.2024'!$B:$E,4,FALSE),0),0)</f>
        <v>0</v>
      </c>
      <c r="I600" s="21"/>
      <c r="J600" s="28">
        <f>+IF(F600="i",IFERROR(VLOOKUP(C600,'BG 2023'!$B:$E,3,FALSE),0),0)</f>
        <v>0</v>
      </c>
      <c r="K600" s="21">
        <f>+IF(F600="i",IFERROR(VLOOKUP(C600,'BG 2023'!$B:$E,4,FALSE),0),0)</f>
        <v>0</v>
      </c>
      <c r="M600" s="15" t="e">
        <f>+VLOOKUP(C600,'BG 2023'!$B:$E,1,0)</f>
        <v>#N/A</v>
      </c>
      <c r="N600" s="806" t="e">
        <f>+VLOOKUP(C600,'BG 2023'!$B:$E,3,0)</f>
        <v>#N/A</v>
      </c>
      <c r="O600" s="807" t="e">
        <f t="shared" si="37"/>
        <v>#N/A</v>
      </c>
      <c r="P600" s="807"/>
      <c r="R600" s="807">
        <f>+IFERROR(VLOOKUP(C600,'CA FE'!$A:$C,3,0),0)-G600</f>
        <v>0</v>
      </c>
    </row>
    <row r="601" spans="1:18">
      <c r="A601" s="354" t="s">
        <v>10</v>
      </c>
      <c r="B601" s="354"/>
      <c r="C601" s="355">
        <v>1210215103</v>
      </c>
      <c r="D601" s="354" t="s">
        <v>834</v>
      </c>
      <c r="E601" s="356" t="s">
        <v>634</v>
      </c>
      <c r="F601" s="356" t="str">
        <f t="shared" si="35"/>
        <v>I</v>
      </c>
      <c r="G601" s="28">
        <f>+IF(F601="i",IFERROR(VLOOKUP(C601,'BG 12.2024'!$B:$E,3,FALSE),0),0)</f>
        <v>0</v>
      </c>
      <c r="H601" s="21">
        <f>+IF(F601="i",IFERROR(VLOOKUP(C601,'BG 12.2024'!$B:$E,4,FALSE),0),0)</f>
        <v>0</v>
      </c>
      <c r="I601" s="21"/>
      <c r="J601" s="28">
        <f>+IF(F601="i",IFERROR(VLOOKUP(C601,'BG 2023'!$B:$E,3,FALSE),0),0)</f>
        <v>0</v>
      </c>
      <c r="K601" s="21">
        <f>+IF(F601="i",IFERROR(VLOOKUP(C601,'BG 2023'!$B:$E,4,FALSE),0),0)</f>
        <v>0</v>
      </c>
      <c r="M601" s="15" t="e">
        <f>+VLOOKUP(C601,'BG 2023'!$B:$E,1,0)</f>
        <v>#N/A</v>
      </c>
      <c r="N601" s="806" t="e">
        <f>+VLOOKUP(C601,'BG 2023'!$B:$E,3,0)</f>
        <v>#N/A</v>
      </c>
      <c r="O601" s="807" t="e">
        <f t="shared" si="37"/>
        <v>#N/A</v>
      </c>
      <c r="P601" s="807"/>
      <c r="R601" s="807">
        <f>+IFERROR(VLOOKUP(C601,'CA FE'!$A:$C,3,0),0)-G601</f>
        <v>0</v>
      </c>
    </row>
    <row r="602" spans="1:18">
      <c r="A602" s="354" t="s">
        <v>10</v>
      </c>
      <c r="B602" s="354"/>
      <c r="C602" s="355">
        <v>1210216</v>
      </c>
      <c r="D602" s="354" t="s">
        <v>684</v>
      </c>
      <c r="E602" s="356" t="s">
        <v>634</v>
      </c>
      <c r="F602" s="356" t="str">
        <f t="shared" si="35"/>
        <v>NI</v>
      </c>
      <c r="G602" s="28">
        <f>+IF(F602="i",IFERROR(VLOOKUP(C602,'BG 12.2024'!$B:$E,3,FALSE),0),0)</f>
        <v>0</v>
      </c>
      <c r="H602" s="21">
        <f>+IF(F602="i",IFERROR(VLOOKUP(C602,'BG 12.2024'!$B:$E,4,FALSE),0),0)</f>
        <v>0</v>
      </c>
      <c r="I602" s="21"/>
      <c r="J602" s="28">
        <f>+IF(F602="i",IFERROR(VLOOKUP(C602,'BG 2023'!$B:$E,3,FALSE),0),0)</f>
        <v>0</v>
      </c>
      <c r="K602" s="21">
        <f>+IF(F602="i",IFERROR(VLOOKUP(C602,'BG 2023'!$B:$E,4,FALSE),0),0)</f>
        <v>0</v>
      </c>
      <c r="M602" s="15" t="e">
        <f>+VLOOKUP(C602,'BG 2023'!$B:$E,1,0)</f>
        <v>#N/A</v>
      </c>
      <c r="N602" s="806" t="e">
        <f>+VLOOKUP(C602,'BG 2023'!$B:$E,3,0)</f>
        <v>#N/A</v>
      </c>
      <c r="O602" s="807" t="e">
        <f t="shared" si="37"/>
        <v>#N/A</v>
      </c>
      <c r="P602" s="807"/>
      <c r="R602" s="807">
        <f>+IFERROR(VLOOKUP(C602,'CA FE'!$A:$C,3,0),0)-G602</f>
        <v>0</v>
      </c>
    </row>
    <row r="603" spans="1:18">
      <c r="A603" s="354" t="s">
        <v>10</v>
      </c>
      <c r="B603" s="354"/>
      <c r="C603" s="355">
        <v>1210217</v>
      </c>
      <c r="D603" s="354" t="s">
        <v>71</v>
      </c>
      <c r="E603" s="356" t="s">
        <v>634</v>
      </c>
      <c r="F603" s="356" t="str">
        <f t="shared" si="35"/>
        <v>NI</v>
      </c>
      <c r="G603" s="28">
        <f>+IF(F603="i",IFERROR(VLOOKUP(C603,'BG 12.2024'!$B:$E,3,FALSE),0),0)</f>
        <v>0</v>
      </c>
      <c r="H603" s="21">
        <f>+IF(F603="i",IFERROR(VLOOKUP(C603,'BG 12.2024'!$B:$E,4,FALSE),0),0)</f>
        <v>0</v>
      </c>
      <c r="I603" s="21"/>
      <c r="J603" s="28">
        <f>+IF(F603="i",IFERROR(VLOOKUP(C603,'BG 2023'!$B:$E,3,FALSE),0),0)</f>
        <v>0</v>
      </c>
      <c r="K603" s="21">
        <f>+IF(F603="i",IFERROR(VLOOKUP(C603,'BG 2023'!$B:$E,4,FALSE),0),0)</f>
        <v>0</v>
      </c>
      <c r="M603" s="15" t="e">
        <f>+VLOOKUP(C603,'BG 2023'!$B:$E,1,0)</f>
        <v>#N/A</v>
      </c>
      <c r="N603" s="806" t="e">
        <f>+VLOOKUP(C603,'BG 2023'!$B:$E,3,0)</f>
        <v>#N/A</v>
      </c>
      <c r="O603" s="807" t="e">
        <f t="shared" si="37"/>
        <v>#N/A</v>
      </c>
      <c r="P603" s="807"/>
      <c r="R603" s="807">
        <f>+IFERROR(VLOOKUP(C603,'CA FE'!$A:$C,3,0),0)-G603</f>
        <v>0</v>
      </c>
    </row>
    <row r="604" spans="1:18">
      <c r="A604" s="354" t="s">
        <v>10</v>
      </c>
      <c r="B604" s="354"/>
      <c r="C604" s="355">
        <v>12102171</v>
      </c>
      <c r="D604" s="354" t="s">
        <v>336</v>
      </c>
      <c r="E604" s="356" t="s">
        <v>634</v>
      </c>
      <c r="F604" s="356" t="str">
        <f t="shared" si="35"/>
        <v>NI</v>
      </c>
      <c r="G604" s="28">
        <f>+IF(F604="i",IFERROR(VLOOKUP(C604,'BG 12.2024'!$B:$E,3,FALSE),0),0)</f>
        <v>0</v>
      </c>
      <c r="H604" s="21">
        <f>+IF(F604="i",IFERROR(VLOOKUP(C604,'BG 12.2024'!$B:$E,4,FALSE),0),0)</f>
        <v>0</v>
      </c>
      <c r="I604" s="21"/>
      <c r="J604" s="28">
        <f>+IF(F604="i",IFERROR(VLOOKUP(C604,'BG 2023'!$B:$E,3,FALSE),0),0)</f>
        <v>0</v>
      </c>
      <c r="K604" s="21">
        <f>+IF(F604="i",IFERROR(VLOOKUP(C604,'BG 2023'!$B:$E,4,FALSE),0),0)</f>
        <v>0</v>
      </c>
      <c r="M604" s="15" t="e">
        <f>+VLOOKUP(C604,'BG 2023'!$B:$E,1,0)</f>
        <v>#N/A</v>
      </c>
      <c r="N604" s="806" t="e">
        <f>+VLOOKUP(C604,'BG 2023'!$B:$E,3,0)</f>
        <v>#N/A</v>
      </c>
      <c r="O604" s="807" t="e">
        <f t="shared" si="37"/>
        <v>#N/A</v>
      </c>
      <c r="P604" s="807"/>
      <c r="R604" s="807">
        <f>+IFERROR(VLOOKUP(C604,'CA FE'!$A:$C,3,0),0)-G604</f>
        <v>0</v>
      </c>
    </row>
    <row r="605" spans="1:18">
      <c r="A605" s="354" t="s">
        <v>10</v>
      </c>
      <c r="B605" s="354"/>
      <c r="C605" s="355">
        <v>1210218</v>
      </c>
      <c r="D605" s="354" t="s">
        <v>87</v>
      </c>
      <c r="E605" s="356" t="s">
        <v>634</v>
      </c>
      <c r="F605" s="356" t="str">
        <f t="shared" ref="F605:F668" si="38">+IF(LEN(C605)&gt;8,"I","NI")</f>
        <v>NI</v>
      </c>
      <c r="G605" s="28">
        <f>+IF(F605="i",IFERROR(VLOOKUP(C605,'BG 12.2024'!$B:$E,3,FALSE),0),0)</f>
        <v>0</v>
      </c>
      <c r="H605" s="21">
        <f>+IF(F605="i",IFERROR(VLOOKUP(C605,'BG 12.2024'!$B:$E,4,FALSE),0),0)</f>
        <v>0</v>
      </c>
      <c r="I605" s="21"/>
      <c r="J605" s="28">
        <f>+IF(F605="i",IFERROR(VLOOKUP(C605,'BG 2023'!$B:$E,3,FALSE),0),0)</f>
        <v>0</v>
      </c>
      <c r="K605" s="21">
        <f>+IF(F605="i",IFERROR(VLOOKUP(C605,'BG 2023'!$B:$E,4,FALSE),0),0)</f>
        <v>0</v>
      </c>
      <c r="M605" s="15" t="e">
        <f>+VLOOKUP(C605,'BG 2023'!$B:$E,1,0)</f>
        <v>#N/A</v>
      </c>
      <c r="N605" s="806" t="e">
        <f>+VLOOKUP(C605,'BG 2023'!$B:$E,3,0)</f>
        <v>#N/A</v>
      </c>
      <c r="O605" s="807" t="e">
        <f t="shared" si="37"/>
        <v>#N/A</v>
      </c>
      <c r="P605" s="807"/>
      <c r="R605" s="807">
        <f>+IFERROR(VLOOKUP(C605,'CA FE'!$A:$C,3,0),0)-G605</f>
        <v>0</v>
      </c>
    </row>
    <row r="606" spans="1:18">
      <c r="A606" s="354" t="s">
        <v>10</v>
      </c>
      <c r="B606" s="354"/>
      <c r="C606" s="355">
        <v>12102181</v>
      </c>
      <c r="D606" s="354" t="s">
        <v>88</v>
      </c>
      <c r="E606" s="356" t="s">
        <v>634</v>
      </c>
      <c r="F606" s="356" t="str">
        <f t="shared" si="38"/>
        <v>NI</v>
      </c>
      <c r="G606" s="28">
        <f>+IF(F606="i",IFERROR(VLOOKUP(C606,'BG 12.2024'!$B:$E,3,FALSE),0),0)</f>
        <v>0</v>
      </c>
      <c r="H606" s="21">
        <f>+IF(F606="i",IFERROR(VLOOKUP(C606,'BG 12.2024'!$B:$E,4,FALSE),0),0)</f>
        <v>0</v>
      </c>
      <c r="I606" s="21"/>
      <c r="J606" s="28">
        <f>+IF(F606="i",IFERROR(VLOOKUP(C606,'BG 2023'!$B:$E,3,FALSE),0),0)</f>
        <v>0</v>
      </c>
      <c r="K606" s="21">
        <f>+IF(F606="i",IFERROR(VLOOKUP(C606,'BG 2023'!$B:$E,4,FALSE),0),0)</f>
        <v>0</v>
      </c>
      <c r="M606" s="15" t="e">
        <f>+VLOOKUP(C606,'BG 2023'!$B:$E,1,0)</f>
        <v>#N/A</v>
      </c>
      <c r="N606" s="806" t="e">
        <f>+VLOOKUP(C606,'BG 2023'!$B:$E,3,0)</f>
        <v>#N/A</v>
      </c>
      <c r="O606" s="807" t="e">
        <f t="shared" si="37"/>
        <v>#N/A</v>
      </c>
      <c r="P606" s="807"/>
      <c r="R606" s="807">
        <f>+IFERROR(VLOOKUP(C606,'CA FE'!$A:$C,3,0),0)-G606</f>
        <v>0</v>
      </c>
    </row>
    <row r="607" spans="1:18">
      <c r="A607" s="354" t="s">
        <v>10</v>
      </c>
      <c r="B607" s="354"/>
      <c r="C607" s="355">
        <v>12102182</v>
      </c>
      <c r="D607" s="354" t="s">
        <v>97</v>
      </c>
      <c r="E607" s="356" t="s">
        <v>634</v>
      </c>
      <c r="F607" s="356" t="str">
        <f t="shared" si="38"/>
        <v>NI</v>
      </c>
      <c r="G607" s="28">
        <f>+IF(F607="i",IFERROR(VLOOKUP(C607,'BG 12.2024'!$B:$E,3,FALSE),0),0)</f>
        <v>0</v>
      </c>
      <c r="H607" s="21">
        <f>+IF(F607="i",IFERROR(VLOOKUP(C607,'BG 12.2024'!$B:$E,4,FALSE),0),0)</f>
        <v>0</v>
      </c>
      <c r="I607" s="21"/>
      <c r="J607" s="28">
        <f>+IF(F607="i",IFERROR(VLOOKUP(C607,'BG 2023'!$B:$E,3,FALSE),0),0)</f>
        <v>0</v>
      </c>
      <c r="K607" s="21">
        <f>+IF(F607="i",IFERROR(VLOOKUP(C607,'BG 2023'!$B:$E,4,FALSE),0),0)</f>
        <v>0</v>
      </c>
      <c r="M607" s="15" t="e">
        <f>+VLOOKUP(C607,'BG 2023'!$B:$E,1,0)</f>
        <v>#N/A</v>
      </c>
      <c r="N607" s="806" t="e">
        <f>+VLOOKUP(C607,'BG 2023'!$B:$E,3,0)</f>
        <v>#N/A</v>
      </c>
      <c r="O607" s="807" t="e">
        <f t="shared" si="37"/>
        <v>#N/A</v>
      </c>
      <c r="P607" s="807"/>
      <c r="R607" s="807">
        <f>+IFERROR(VLOOKUP(C607,'CA FE'!$A:$C,3,0),0)-G607</f>
        <v>0</v>
      </c>
    </row>
    <row r="608" spans="1:18">
      <c r="A608" s="354" t="s">
        <v>10</v>
      </c>
      <c r="B608" s="354"/>
      <c r="C608" s="355">
        <v>1210219</v>
      </c>
      <c r="D608" s="354" t="s">
        <v>761</v>
      </c>
      <c r="E608" s="356" t="s">
        <v>634</v>
      </c>
      <c r="F608" s="356" t="str">
        <f t="shared" si="38"/>
        <v>NI</v>
      </c>
      <c r="G608" s="28">
        <f>+IF(F608="i",IFERROR(VLOOKUP(C608,'BG 12.2024'!$B:$E,3,FALSE),0),0)</f>
        <v>0</v>
      </c>
      <c r="H608" s="21">
        <f>+IF(F608="i",IFERROR(VLOOKUP(C608,'BG 12.2024'!$B:$E,4,FALSE),0),0)</f>
        <v>0</v>
      </c>
      <c r="I608" s="21"/>
      <c r="J608" s="28">
        <f>+IF(F608="i",IFERROR(VLOOKUP(C608,'BG 2023'!$B:$E,3,FALSE),0),0)</f>
        <v>0</v>
      </c>
      <c r="K608" s="21">
        <f>+IF(F608="i",IFERROR(VLOOKUP(C608,'BG 2023'!$B:$E,4,FALSE),0),0)</f>
        <v>0</v>
      </c>
      <c r="M608" s="15" t="e">
        <f>+VLOOKUP(C608,'BG 2023'!$B:$E,1,0)</f>
        <v>#N/A</v>
      </c>
      <c r="N608" s="806" t="e">
        <f>+VLOOKUP(C608,'BG 2023'!$B:$E,3,0)</f>
        <v>#N/A</v>
      </c>
      <c r="O608" s="807" t="e">
        <f t="shared" si="37"/>
        <v>#N/A</v>
      </c>
      <c r="P608" s="807"/>
      <c r="R608" s="807">
        <f>+IFERROR(VLOOKUP(C608,'CA FE'!$A:$C,3,0),0)-G608</f>
        <v>0</v>
      </c>
    </row>
    <row r="609" spans="1:18">
      <c r="A609" s="354" t="s">
        <v>10</v>
      </c>
      <c r="B609" s="354"/>
      <c r="C609" s="355">
        <v>121022</v>
      </c>
      <c r="D609" s="354" t="s">
        <v>792</v>
      </c>
      <c r="E609" s="356" t="s">
        <v>640</v>
      </c>
      <c r="F609" s="356" t="str">
        <f t="shared" si="38"/>
        <v>NI</v>
      </c>
      <c r="G609" s="28">
        <f>+IF(F609="i",IFERROR(VLOOKUP(C609,'BG 12.2024'!$B:$E,3,FALSE),0),0)</f>
        <v>0</v>
      </c>
      <c r="H609" s="21">
        <f>+IF(F609="i",IFERROR(VLOOKUP(C609,'BG 12.2024'!$B:$E,4,FALSE),0),0)</f>
        <v>0</v>
      </c>
      <c r="I609" s="21"/>
      <c r="J609" s="28">
        <f>+IF(F609="i",IFERROR(VLOOKUP(C609,'BG 2023'!$B:$E,3,FALSE),0),0)</f>
        <v>0</v>
      </c>
      <c r="K609" s="21">
        <f>+IF(F609="i",IFERROR(VLOOKUP(C609,'BG 2023'!$B:$E,4,FALSE),0),0)</f>
        <v>0</v>
      </c>
      <c r="M609" s="15" t="e">
        <f>+VLOOKUP(C609,'BG 2023'!$B:$E,1,0)</f>
        <v>#N/A</v>
      </c>
      <c r="N609" s="806" t="e">
        <f>+VLOOKUP(C609,'BG 2023'!$B:$E,3,0)</f>
        <v>#N/A</v>
      </c>
      <c r="O609" s="807" t="e">
        <f t="shared" si="37"/>
        <v>#N/A</v>
      </c>
      <c r="P609" s="807"/>
      <c r="R609" s="807">
        <f>+IFERROR(VLOOKUP(C609,'CA FE'!$A:$C,3,0),0)-G609</f>
        <v>0</v>
      </c>
    </row>
    <row r="610" spans="1:18">
      <c r="A610" s="354" t="s">
        <v>10</v>
      </c>
      <c r="B610" s="354"/>
      <c r="C610" s="355">
        <v>1210221</v>
      </c>
      <c r="D610" s="354" t="s">
        <v>129</v>
      </c>
      <c r="E610" s="356" t="s">
        <v>634</v>
      </c>
      <c r="F610" s="356" t="str">
        <f t="shared" si="38"/>
        <v>NI</v>
      </c>
      <c r="G610" s="28">
        <f>+IF(F610="i",IFERROR(VLOOKUP(C610,'BG 12.2024'!$B:$E,3,FALSE),0),0)</f>
        <v>0</v>
      </c>
      <c r="H610" s="21">
        <f>+IF(F610="i",IFERROR(VLOOKUP(C610,'BG 12.2024'!$B:$E,4,FALSE),0),0)</f>
        <v>0</v>
      </c>
      <c r="I610" s="21"/>
      <c r="J610" s="28">
        <f>+IF(F610="i",IFERROR(VLOOKUP(C610,'BG 2023'!$B:$E,3,FALSE),0),0)</f>
        <v>0</v>
      </c>
      <c r="K610" s="21">
        <f>+IF(F610="i",IFERROR(VLOOKUP(C610,'BG 2023'!$B:$E,4,FALSE),0),0)</f>
        <v>0</v>
      </c>
      <c r="M610" s="15" t="e">
        <f>+VLOOKUP(C610,'BG 2023'!$B:$E,1,0)</f>
        <v>#N/A</v>
      </c>
      <c r="N610" s="806" t="e">
        <f>+VLOOKUP(C610,'BG 2023'!$B:$E,3,0)</f>
        <v>#N/A</v>
      </c>
      <c r="O610" s="807" t="e">
        <f t="shared" si="37"/>
        <v>#N/A</v>
      </c>
      <c r="P610" s="807"/>
      <c r="R610" s="807">
        <f>+IFERROR(VLOOKUP(C610,'CA FE'!$A:$C,3,0),0)-G610</f>
        <v>0</v>
      </c>
    </row>
    <row r="611" spans="1:18">
      <c r="A611" s="354" t="s">
        <v>10</v>
      </c>
      <c r="B611" s="354"/>
      <c r="C611" s="355">
        <v>1210222</v>
      </c>
      <c r="D611" s="354" t="s">
        <v>51</v>
      </c>
      <c r="E611" s="356" t="s">
        <v>634</v>
      </c>
      <c r="F611" s="356" t="str">
        <f t="shared" si="38"/>
        <v>NI</v>
      </c>
      <c r="G611" s="28">
        <f>+IF(F611="i",IFERROR(VLOOKUP(C611,'BG 12.2024'!$B:$E,3,FALSE),0),0)</f>
        <v>0</v>
      </c>
      <c r="H611" s="21">
        <f>+IF(F611="i",IFERROR(VLOOKUP(C611,'BG 12.2024'!$B:$E,4,FALSE),0),0)</f>
        <v>0</v>
      </c>
      <c r="I611" s="21"/>
      <c r="J611" s="28">
        <f>+IF(F611="i",IFERROR(VLOOKUP(C611,'BG 2023'!$B:$E,3,FALSE),0),0)</f>
        <v>0</v>
      </c>
      <c r="K611" s="21">
        <f>+IF(F611="i",IFERROR(VLOOKUP(C611,'BG 2023'!$B:$E,4,FALSE),0),0)</f>
        <v>0</v>
      </c>
      <c r="M611" s="15" t="e">
        <f>+VLOOKUP(C611,'BG 2023'!$B:$E,1,0)</f>
        <v>#N/A</v>
      </c>
      <c r="N611" s="806" t="e">
        <f>+VLOOKUP(C611,'BG 2023'!$B:$E,3,0)</f>
        <v>#N/A</v>
      </c>
      <c r="O611" s="807" t="e">
        <f t="shared" si="37"/>
        <v>#N/A</v>
      </c>
      <c r="P611" s="807"/>
      <c r="R611" s="807">
        <f>+IFERROR(VLOOKUP(C611,'CA FE'!$A:$C,3,0),0)-G611</f>
        <v>0</v>
      </c>
    </row>
    <row r="612" spans="1:18">
      <c r="A612" s="354" t="s">
        <v>10</v>
      </c>
      <c r="B612" s="354"/>
      <c r="C612" s="355">
        <v>1210223</v>
      </c>
      <c r="D612" s="354" t="s">
        <v>61</v>
      </c>
      <c r="E612" s="356" t="s">
        <v>634</v>
      </c>
      <c r="F612" s="356" t="str">
        <f t="shared" si="38"/>
        <v>NI</v>
      </c>
      <c r="G612" s="28">
        <f>+IF(F612="i",IFERROR(VLOOKUP(C612,'BG 12.2024'!$B:$E,3,FALSE),0),0)</f>
        <v>0</v>
      </c>
      <c r="H612" s="21">
        <f>+IF(F612="i",IFERROR(VLOOKUP(C612,'BG 12.2024'!$B:$E,4,FALSE),0),0)</f>
        <v>0</v>
      </c>
      <c r="I612" s="21"/>
      <c r="J612" s="28">
        <f>+IF(F612="i",IFERROR(VLOOKUP(C612,'BG 2023'!$B:$E,3,FALSE),0),0)</f>
        <v>0</v>
      </c>
      <c r="K612" s="21">
        <f>+IF(F612="i",IFERROR(VLOOKUP(C612,'BG 2023'!$B:$E,4,FALSE),0),0)</f>
        <v>0</v>
      </c>
      <c r="M612" s="15" t="e">
        <f>+VLOOKUP(C612,'BG 2023'!$B:$E,1,0)</f>
        <v>#N/A</v>
      </c>
      <c r="N612" s="806" t="e">
        <f>+VLOOKUP(C612,'BG 2023'!$B:$E,3,0)</f>
        <v>#N/A</v>
      </c>
      <c r="O612" s="807" t="e">
        <f t="shared" si="37"/>
        <v>#N/A</v>
      </c>
      <c r="P612" s="807"/>
      <c r="R612" s="807">
        <f>+IFERROR(VLOOKUP(C612,'CA FE'!$A:$C,3,0),0)-G612</f>
        <v>0</v>
      </c>
    </row>
    <row r="613" spans="1:18">
      <c r="A613" s="354" t="s">
        <v>10</v>
      </c>
      <c r="B613" s="354"/>
      <c r="C613" s="355">
        <v>1210224</v>
      </c>
      <c r="D613" s="354" t="s">
        <v>67</v>
      </c>
      <c r="E613" s="356" t="s">
        <v>634</v>
      </c>
      <c r="F613" s="356" t="str">
        <f t="shared" si="38"/>
        <v>NI</v>
      </c>
      <c r="G613" s="28">
        <f>+IF(F613="i",IFERROR(VLOOKUP(C613,'BG 12.2024'!$B:$E,3,FALSE),0),0)</f>
        <v>0</v>
      </c>
      <c r="H613" s="21">
        <f>+IF(F613="i",IFERROR(VLOOKUP(C613,'BG 12.2024'!$B:$E,4,FALSE),0),0)</f>
        <v>0</v>
      </c>
      <c r="I613" s="21"/>
      <c r="J613" s="28">
        <f>+IF(F613="i",IFERROR(VLOOKUP(C613,'BG 2023'!$B:$E,3,FALSE),0),0)</f>
        <v>0</v>
      </c>
      <c r="K613" s="21">
        <f>+IF(F613="i",IFERROR(VLOOKUP(C613,'BG 2023'!$B:$E,4,FALSE),0),0)</f>
        <v>0</v>
      </c>
      <c r="M613" s="15" t="e">
        <f>+VLOOKUP(C613,'BG 2023'!$B:$E,1,0)</f>
        <v>#N/A</v>
      </c>
      <c r="N613" s="806" t="e">
        <f>+VLOOKUP(C613,'BG 2023'!$B:$E,3,0)</f>
        <v>#N/A</v>
      </c>
      <c r="O613" s="807" t="e">
        <f t="shared" si="37"/>
        <v>#N/A</v>
      </c>
      <c r="P613" s="807"/>
      <c r="R613" s="807">
        <f>+IFERROR(VLOOKUP(C613,'CA FE'!$A:$C,3,0),0)-G613</f>
        <v>0</v>
      </c>
    </row>
    <row r="614" spans="1:18">
      <c r="A614" s="354" t="s">
        <v>10</v>
      </c>
      <c r="B614" s="354"/>
      <c r="C614" s="355">
        <v>1210225</v>
      </c>
      <c r="D614" s="354" t="s">
        <v>684</v>
      </c>
      <c r="E614" s="356" t="s">
        <v>634</v>
      </c>
      <c r="F614" s="356" t="str">
        <f t="shared" si="38"/>
        <v>NI</v>
      </c>
      <c r="G614" s="28">
        <f>+IF(F614="i",IFERROR(VLOOKUP(C614,'BG 12.2024'!$B:$E,3,FALSE),0),0)</f>
        <v>0</v>
      </c>
      <c r="H614" s="21">
        <f>+IF(F614="i",IFERROR(VLOOKUP(C614,'BG 12.2024'!$B:$E,4,FALSE),0),0)</f>
        <v>0</v>
      </c>
      <c r="I614" s="21"/>
      <c r="J614" s="28">
        <f>+IF(F614="i",IFERROR(VLOOKUP(C614,'BG 2023'!$B:$E,3,FALSE),0),0)</f>
        <v>0</v>
      </c>
      <c r="K614" s="21">
        <f>+IF(F614="i",IFERROR(VLOOKUP(C614,'BG 2023'!$B:$E,4,FALSE),0),0)</f>
        <v>0</v>
      </c>
      <c r="M614" s="15" t="e">
        <f>+VLOOKUP(C614,'BG 2023'!$B:$E,1,0)</f>
        <v>#N/A</v>
      </c>
      <c r="N614" s="806" t="e">
        <f>+VLOOKUP(C614,'BG 2023'!$B:$E,3,0)</f>
        <v>#N/A</v>
      </c>
      <c r="O614" s="807" t="e">
        <f t="shared" si="37"/>
        <v>#N/A</v>
      </c>
      <c r="P614" s="807"/>
      <c r="R614" s="807">
        <f>+IFERROR(VLOOKUP(C614,'CA FE'!$A:$C,3,0),0)-G614</f>
        <v>0</v>
      </c>
    </row>
    <row r="615" spans="1:18">
      <c r="A615" s="354" t="s">
        <v>10</v>
      </c>
      <c r="B615" s="354"/>
      <c r="C615" s="355">
        <v>1210226</v>
      </c>
      <c r="D615" s="354" t="s">
        <v>71</v>
      </c>
      <c r="E615" s="356" t="s">
        <v>634</v>
      </c>
      <c r="F615" s="356" t="str">
        <f t="shared" si="38"/>
        <v>NI</v>
      </c>
      <c r="G615" s="28">
        <f>+IF(F615="i",IFERROR(VLOOKUP(C615,'BG 12.2024'!$B:$E,3,FALSE),0),0)</f>
        <v>0</v>
      </c>
      <c r="H615" s="21">
        <f>+IF(F615="i",IFERROR(VLOOKUP(C615,'BG 12.2024'!$B:$E,4,FALSE),0),0)</f>
        <v>0</v>
      </c>
      <c r="I615" s="21"/>
      <c r="J615" s="28">
        <f>+IF(F615="i",IFERROR(VLOOKUP(C615,'BG 2023'!$B:$E,3,FALSE),0),0)</f>
        <v>0</v>
      </c>
      <c r="K615" s="21">
        <f>+IF(F615="i",IFERROR(VLOOKUP(C615,'BG 2023'!$B:$E,4,FALSE),0),0)</f>
        <v>0</v>
      </c>
      <c r="M615" s="15" t="e">
        <f>+VLOOKUP(C615,'BG 2023'!$B:$E,1,0)</f>
        <v>#N/A</v>
      </c>
      <c r="N615" s="806" t="e">
        <f>+VLOOKUP(C615,'BG 2023'!$B:$E,3,0)</f>
        <v>#N/A</v>
      </c>
      <c r="O615" s="807" t="e">
        <f t="shared" si="37"/>
        <v>#N/A</v>
      </c>
      <c r="P615" s="807"/>
      <c r="R615" s="807">
        <f>+IFERROR(VLOOKUP(C615,'CA FE'!$A:$C,3,0),0)-G615</f>
        <v>0</v>
      </c>
    </row>
    <row r="616" spans="1:18">
      <c r="A616" s="354" t="s">
        <v>10</v>
      </c>
      <c r="B616" s="354"/>
      <c r="C616" s="355">
        <v>1210227</v>
      </c>
      <c r="D616" s="354" t="s">
        <v>87</v>
      </c>
      <c r="E616" s="356" t="s">
        <v>634</v>
      </c>
      <c r="F616" s="356" t="str">
        <f t="shared" si="38"/>
        <v>NI</v>
      </c>
      <c r="G616" s="28">
        <f>+IF(F616="i",IFERROR(VLOOKUP(C616,'BG 12.2024'!$B:$E,3,FALSE),0),0)</f>
        <v>0</v>
      </c>
      <c r="H616" s="21">
        <f>+IF(F616="i",IFERROR(VLOOKUP(C616,'BG 12.2024'!$B:$E,4,FALSE),0),0)</f>
        <v>0</v>
      </c>
      <c r="I616" s="21"/>
      <c r="J616" s="28">
        <f>+IF(F616="i",IFERROR(VLOOKUP(C616,'BG 2023'!$B:$E,3,FALSE),0),0)</f>
        <v>0</v>
      </c>
      <c r="K616" s="21">
        <f>+IF(F616="i",IFERROR(VLOOKUP(C616,'BG 2023'!$B:$E,4,FALSE),0),0)</f>
        <v>0</v>
      </c>
      <c r="M616" s="15" t="e">
        <f>+VLOOKUP(C616,'BG 2023'!$B:$E,1,0)</f>
        <v>#N/A</v>
      </c>
      <c r="N616" s="806" t="e">
        <f>+VLOOKUP(C616,'BG 2023'!$B:$E,3,0)</f>
        <v>#N/A</v>
      </c>
      <c r="O616" s="807" t="e">
        <f t="shared" si="37"/>
        <v>#N/A</v>
      </c>
      <c r="P616" s="807"/>
      <c r="R616" s="807">
        <f>+IFERROR(VLOOKUP(C616,'CA FE'!$A:$C,3,0),0)-G616</f>
        <v>0</v>
      </c>
    </row>
    <row r="617" spans="1:18">
      <c r="A617" s="354" t="s">
        <v>10</v>
      </c>
      <c r="B617" s="354"/>
      <c r="C617" s="355">
        <v>12102271</v>
      </c>
      <c r="D617" s="354" t="s">
        <v>88</v>
      </c>
      <c r="E617" s="356" t="s">
        <v>634</v>
      </c>
      <c r="F617" s="356" t="str">
        <f t="shared" si="38"/>
        <v>NI</v>
      </c>
      <c r="G617" s="28">
        <f>+IF(F617="i",IFERROR(VLOOKUP(C617,'BG 12.2024'!$B:$E,3,FALSE),0),0)</f>
        <v>0</v>
      </c>
      <c r="H617" s="21">
        <f>+IF(F617="i",IFERROR(VLOOKUP(C617,'BG 12.2024'!$B:$E,4,FALSE),0),0)</f>
        <v>0</v>
      </c>
      <c r="I617" s="21"/>
      <c r="J617" s="28">
        <f>+IF(F617="i",IFERROR(VLOOKUP(C617,'BG 2023'!$B:$E,3,FALSE),0),0)</f>
        <v>0</v>
      </c>
      <c r="K617" s="21">
        <f>+IF(F617="i",IFERROR(VLOOKUP(C617,'BG 2023'!$B:$E,4,FALSE),0),0)</f>
        <v>0</v>
      </c>
      <c r="M617" s="15" t="e">
        <f>+VLOOKUP(C617,'BG 2023'!$B:$E,1,0)</f>
        <v>#N/A</v>
      </c>
      <c r="N617" s="806" t="e">
        <f>+VLOOKUP(C617,'BG 2023'!$B:$E,3,0)</f>
        <v>#N/A</v>
      </c>
      <c r="O617" s="807" t="e">
        <f t="shared" si="37"/>
        <v>#N/A</v>
      </c>
      <c r="P617" s="807"/>
      <c r="R617" s="807">
        <f>+IFERROR(VLOOKUP(C617,'CA FE'!$A:$C,3,0),0)-G617</f>
        <v>0</v>
      </c>
    </row>
    <row r="618" spans="1:18">
      <c r="A618" s="354" t="s">
        <v>10</v>
      </c>
      <c r="B618" s="354"/>
      <c r="C618" s="355">
        <v>12102272</v>
      </c>
      <c r="D618" s="354" t="s">
        <v>97</v>
      </c>
      <c r="E618" s="356" t="s">
        <v>634</v>
      </c>
      <c r="F618" s="356" t="str">
        <f t="shared" si="38"/>
        <v>NI</v>
      </c>
      <c r="G618" s="28">
        <f>+IF(F618="i",IFERROR(VLOOKUP(C618,'BG 12.2024'!$B:$E,3,FALSE),0),0)</f>
        <v>0</v>
      </c>
      <c r="H618" s="21">
        <f>+IF(F618="i",IFERROR(VLOOKUP(C618,'BG 12.2024'!$B:$E,4,FALSE),0),0)</f>
        <v>0</v>
      </c>
      <c r="I618" s="21"/>
      <c r="J618" s="28">
        <f>+IF(F618="i",IFERROR(VLOOKUP(C618,'BG 2023'!$B:$E,3,FALSE),0),0)</f>
        <v>0</v>
      </c>
      <c r="K618" s="21">
        <f>+IF(F618="i",IFERROR(VLOOKUP(C618,'BG 2023'!$B:$E,4,FALSE),0),0)</f>
        <v>0</v>
      </c>
      <c r="M618" s="15" t="e">
        <f>+VLOOKUP(C618,'BG 2023'!$B:$E,1,0)</f>
        <v>#N/A</v>
      </c>
      <c r="N618" s="806" t="e">
        <f>+VLOOKUP(C618,'BG 2023'!$B:$E,3,0)</f>
        <v>#N/A</v>
      </c>
      <c r="O618" s="807" t="e">
        <f t="shared" si="37"/>
        <v>#N/A</v>
      </c>
      <c r="P618" s="807"/>
      <c r="R618" s="807">
        <f>+IFERROR(VLOOKUP(C618,'CA FE'!$A:$C,3,0),0)-G618</f>
        <v>0</v>
      </c>
    </row>
    <row r="619" spans="1:18">
      <c r="A619" s="354" t="s">
        <v>10</v>
      </c>
      <c r="B619" s="354"/>
      <c r="C619" s="355">
        <v>1210228</v>
      </c>
      <c r="D619" s="354" t="s">
        <v>761</v>
      </c>
      <c r="E619" s="356" t="s">
        <v>634</v>
      </c>
      <c r="F619" s="356" t="str">
        <f t="shared" si="38"/>
        <v>NI</v>
      </c>
      <c r="G619" s="28">
        <f>+IF(F619="i",IFERROR(VLOOKUP(C619,'BG 12.2024'!$B:$E,3,FALSE),0),0)</f>
        <v>0</v>
      </c>
      <c r="H619" s="21">
        <f>+IF(F619="i",IFERROR(VLOOKUP(C619,'BG 12.2024'!$B:$E,4,FALSE),0),0)</f>
        <v>0</v>
      </c>
      <c r="I619" s="21"/>
      <c r="J619" s="28">
        <f>+IF(F619="i",IFERROR(VLOOKUP(C619,'BG 2023'!$B:$E,3,FALSE),0),0)</f>
        <v>0</v>
      </c>
      <c r="K619" s="21">
        <f>+IF(F619="i",IFERROR(VLOOKUP(C619,'BG 2023'!$B:$E,4,FALSE),0),0)</f>
        <v>0</v>
      </c>
      <c r="M619" s="15" t="e">
        <f>+VLOOKUP(C619,'BG 2023'!$B:$E,1,0)</f>
        <v>#N/A</v>
      </c>
      <c r="N619" s="806" t="e">
        <f>+VLOOKUP(C619,'BG 2023'!$B:$E,3,0)</f>
        <v>#N/A</v>
      </c>
      <c r="O619" s="807" t="e">
        <f t="shared" si="37"/>
        <v>#N/A</v>
      </c>
      <c r="P619" s="807"/>
      <c r="R619" s="807">
        <f>+IFERROR(VLOOKUP(C619,'CA FE'!$A:$C,3,0),0)-G619</f>
        <v>0</v>
      </c>
    </row>
    <row r="620" spans="1:18">
      <c r="A620" s="354" t="s">
        <v>10</v>
      </c>
      <c r="B620" s="354"/>
      <c r="C620" s="355">
        <v>12103</v>
      </c>
      <c r="D620" s="354" t="s">
        <v>178</v>
      </c>
      <c r="E620" s="356" t="s">
        <v>634</v>
      </c>
      <c r="F620" s="356" t="str">
        <f t="shared" si="38"/>
        <v>NI</v>
      </c>
      <c r="G620" s="28">
        <f>+IF(F620="i",IFERROR(VLOOKUP(C620,'BG 12.2024'!$B:$E,3,FALSE),0),0)</f>
        <v>0</v>
      </c>
      <c r="H620" s="21">
        <f>+IF(F620="i",IFERROR(VLOOKUP(C620,'BG 12.2024'!$B:$E,4,FALSE),0),0)</f>
        <v>0</v>
      </c>
      <c r="I620" s="21"/>
      <c r="J620" s="28">
        <f>+IF(F620="i",IFERROR(VLOOKUP(C620,'BG 2023'!$B:$E,3,FALSE),0),0)</f>
        <v>0</v>
      </c>
      <c r="K620" s="21">
        <f>+IF(F620="i",IFERROR(VLOOKUP(C620,'BG 2023'!$B:$E,4,FALSE),0),0)</f>
        <v>0</v>
      </c>
      <c r="M620" s="15">
        <f>+VLOOKUP(C620,'BG 2023'!$B:$E,1,0)</f>
        <v>12103</v>
      </c>
      <c r="N620" s="806">
        <f>+VLOOKUP(C620,'BG 2023'!$B:$E,3,0)</f>
        <v>1003000000</v>
      </c>
      <c r="O620" s="807">
        <f t="shared" si="37"/>
        <v>1003000000</v>
      </c>
      <c r="P620" s="807"/>
      <c r="R620" s="807">
        <f>+IFERROR(VLOOKUP(C620,'CA FE'!$A:$C,3,0),0)-G620</f>
        <v>0</v>
      </c>
    </row>
    <row r="621" spans="1:18">
      <c r="A621" s="354" t="s">
        <v>10</v>
      </c>
      <c r="B621" s="354"/>
      <c r="C621" s="355">
        <v>121031</v>
      </c>
      <c r="D621" s="354" t="s">
        <v>178</v>
      </c>
      <c r="E621" s="356" t="s">
        <v>634</v>
      </c>
      <c r="F621" s="356" t="str">
        <f t="shared" si="38"/>
        <v>NI</v>
      </c>
      <c r="G621" s="28">
        <f>+IF(F621="i",IFERROR(VLOOKUP(C621,'BG 12.2024'!$B:$E,3,FALSE),0),0)</f>
        <v>0</v>
      </c>
      <c r="H621" s="21">
        <f>+IF(F621="i",IFERROR(VLOOKUP(C621,'BG 12.2024'!$B:$E,4,FALSE),0),0)</f>
        <v>0</v>
      </c>
      <c r="I621" s="21"/>
      <c r="J621" s="28">
        <f>+IF(F621="i",IFERROR(VLOOKUP(C621,'BG 2023'!$B:$E,3,FALSE),0),0)</f>
        <v>0</v>
      </c>
      <c r="K621" s="21">
        <f>+IF(F621="i",IFERROR(VLOOKUP(C621,'BG 2023'!$B:$E,4,FALSE),0),0)</f>
        <v>0</v>
      </c>
      <c r="M621" s="15">
        <f>+VLOOKUP(C621,'BG 2023'!$B:$E,1,0)</f>
        <v>121031</v>
      </c>
      <c r="N621" s="806">
        <f>+VLOOKUP(C621,'BG 2023'!$B:$E,3,0)</f>
        <v>1003000000</v>
      </c>
      <c r="O621" s="807">
        <f t="shared" si="37"/>
        <v>1003000000</v>
      </c>
      <c r="P621" s="807"/>
      <c r="R621" s="807">
        <f>+IFERROR(VLOOKUP(C621,'CA FE'!$A:$C,3,0),0)-G621</f>
        <v>0</v>
      </c>
    </row>
    <row r="622" spans="1:18">
      <c r="A622" s="354" t="s">
        <v>10</v>
      </c>
      <c r="B622" s="354"/>
      <c r="C622" s="355">
        <v>1210311</v>
      </c>
      <c r="D622" s="354" t="s">
        <v>178</v>
      </c>
      <c r="E622" s="356" t="s">
        <v>634</v>
      </c>
      <c r="F622" s="356" t="str">
        <f t="shared" si="38"/>
        <v>NI</v>
      </c>
      <c r="G622" s="28">
        <f>+IF(F622="i",IFERROR(VLOOKUP(C622,'BG 12.2024'!$B:$E,3,FALSE),0),0)</f>
        <v>0</v>
      </c>
      <c r="H622" s="21">
        <f>+IF(F622="i",IFERROR(VLOOKUP(C622,'BG 12.2024'!$B:$E,4,FALSE),0),0)</f>
        <v>0</v>
      </c>
      <c r="I622" s="21"/>
      <c r="J622" s="28">
        <f>+IF(F622="i",IFERROR(VLOOKUP(C622,'BG 2023'!$B:$E,3,FALSE),0),0)</f>
        <v>0</v>
      </c>
      <c r="K622" s="21">
        <f>+IF(F622="i",IFERROR(VLOOKUP(C622,'BG 2023'!$B:$E,4,FALSE),0),0)</f>
        <v>0</v>
      </c>
      <c r="M622" s="15">
        <f>+VLOOKUP(C622,'BG 2023'!$B:$E,1,0)</f>
        <v>1210311</v>
      </c>
      <c r="N622" s="806">
        <f>+VLOOKUP(C622,'BG 2023'!$B:$E,3,0)</f>
        <v>1003000000</v>
      </c>
      <c r="O622" s="807">
        <f t="shared" si="37"/>
        <v>1003000000</v>
      </c>
      <c r="P622" s="807"/>
      <c r="R622" s="807">
        <f>+IFERROR(VLOOKUP(C622,'CA FE'!$A:$C,3,0),0)-G622</f>
        <v>0</v>
      </c>
    </row>
    <row r="623" spans="1:18">
      <c r="A623" s="354" t="s">
        <v>10</v>
      </c>
      <c r="B623" s="354"/>
      <c r="C623" s="355">
        <v>12103111</v>
      </c>
      <c r="D623" s="354" t="s">
        <v>178</v>
      </c>
      <c r="E623" s="356" t="s">
        <v>634</v>
      </c>
      <c r="F623" s="356" t="str">
        <f t="shared" si="38"/>
        <v>NI</v>
      </c>
      <c r="G623" s="28">
        <f>+IF(F623="i",IFERROR(VLOOKUP(C623,'BG 12.2024'!$B:$E,3,FALSE),0),0)</f>
        <v>0</v>
      </c>
      <c r="H623" s="21">
        <f>+IF(F623="i",IFERROR(VLOOKUP(C623,'BG 12.2024'!$B:$E,4,FALSE),0),0)</f>
        <v>0</v>
      </c>
      <c r="I623" s="21"/>
      <c r="J623" s="28">
        <f>+IF(F623="i",IFERROR(VLOOKUP(C623,'BG 2023'!$B:$E,3,FALSE),0),0)</f>
        <v>0</v>
      </c>
      <c r="K623" s="21">
        <f>+IF(F623="i",IFERROR(VLOOKUP(C623,'BG 2023'!$B:$E,4,FALSE),0),0)</f>
        <v>0</v>
      </c>
      <c r="M623" s="15">
        <f>+VLOOKUP(C623,'BG 2023'!$B:$E,1,0)</f>
        <v>12103111</v>
      </c>
      <c r="N623" s="806">
        <f>+VLOOKUP(C623,'BG 2023'!$B:$E,3,0)</f>
        <v>1003000000</v>
      </c>
      <c r="O623" s="807">
        <f t="shared" si="37"/>
        <v>1003000000</v>
      </c>
      <c r="P623" s="807"/>
      <c r="R623" s="807">
        <f>+IFERROR(VLOOKUP(C623,'CA FE'!$A:$C,3,0),0)-G623</f>
        <v>0</v>
      </c>
    </row>
    <row r="624" spans="1:18">
      <c r="A624" s="354" t="s">
        <v>10</v>
      </c>
      <c r="B624" s="354" t="s">
        <v>835</v>
      </c>
      <c r="C624" s="355">
        <v>1210311101</v>
      </c>
      <c r="D624" s="354" t="s">
        <v>179</v>
      </c>
      <c r="E624" s="356" t="s">
        <v>634</v>
      </c>
      <c r="F624" s="356" t="str">
        <f t="shared" si="38"/>
        <v>I</v>
      </c>
      <c r="G624" s="28">
        <f>+IF(F624="i",IFERROR(VLOOKUP(C624,'BG 12.2024'!$B:$E,3,FALSE),0),0)</f>
        <v>262142322</v>
      </c>
      <c r="H624" s="21">
        <f>+IF(F624="i",IFERROR(VLOOKUP(C624,'BG 12.2024'!$B:$E,4,FALSE),0),0)</f>
        <v>33473.839999999997</v>
      </c>
      <c r="I624" s="21"/>
      <c r="J624" s="28">
        <f>+IF(F624="i",IFERROR(VLOOKUP(C624,'BG 2023'!$B:$E,3,FALSE),0),0)</f>
        <v>262142322</v>
      </c>
      <c r="K624" s="21">
        <f>+IF(F624="i",IFERROR(VLOOKUP(C624,'BG 2023'!$B:$E,4,FALSE),0),0)</f>
        <v>36089.909999999996</v>
      </c>
      <c r="M624" s="15">
        <f>+VLOOKUP(C624,'BG 2023'!$B:$E,1,0)</f>
        <v>1210311101</v>
      </c>
      <c r="N624" s="806">
        <f>+VLOOKUP(C624,'BG 2023'!$B:$E,3,0)</f>
        <v>262142322</v>
      </c>
      <c r="O624" s="807">
        <f t="shared" si="37"/>
        <v>0</v>
      </c>
      <c r="P624" s="807"/>
      <c r="R624" s="807">
        <f>+IFERROR(VLOOKUP(C624,'CA FE'!$A:$C,3,0),0)-G624</f>
        <v>0</v>
      </c>
    </row>
    <row r="625" spans="1:18">
      <c r="A625" s="354" t="s">
        <v>10</v>
      </c>
      <c r="B625" s="354" t="s">
        <v>835</v>
      </c>
      <c r="C625" s="355">
        <v>1210311102</v>
      </c>
      <c r="D625" s="354" t="s">
        <v>180</v>
      </c>
      <c r="E625" s="356" t="s">
        <v>634</v>
      </c>
      <c r="F625" s="356" t="str">
        <f t="shared" si="38"/>
        <v>I</v>
      </c>
      <c r="G625" s="28">
        <f>+IF(F625="i",IFERROR(VLOOKUP(C625,'BG 12.2024'!$B:$E,3,FALSE),0),0)</f>
        <v>740857678</v>
      </c>
      <c r="H625" s="21">
        <f>+IF(F625="i",IFERROR(VLOOKUP(C625,'BG 12.2024'!$B:$E,4,FALSE),0),0)</f>
        <v>94602.62</v>
      </c>
      <c r="I625" s="21"/>
      <c r="J625" s="28">
        <f>+IF(F625="i",IFERROR(VLOOKUP(C625,'BG 2023'!$B:$E,3,FALSE),0),0)</f>
        <v>740857678</v>
      </c>
      <c r="K625" s="21">
        <f>+IF(F625="i",IFERROR(VLOOKUP(C625,'BG 2023'!$B:$E,4,FALSE),0),0)</f>
        <v>101996.07999999999</v>
      </c>
      <c r="M625" s="15">
        <f>+VLOOKUP(C625,'BG 2023'!$B:$E,1,0)</f>
        <v>1210311102</v>
      </c>
      <c r="N625" s="806">
        <f>+VLOOKUP(C625,'BG 2023'!$B:$E,3,0)</f>
        <v>740857678</v>
      </c>
      <c r="O625" s="807">
        <f t="shared" si="37"/>
        <v>0</v>
      </c>
      <c r="P625" s="807"/>
      <c r="R625" s="807">
        <f>+IFERROR(VLOOKUP(C625,'CA FE'!$A:$C,3,0),0)-G625</f>
        <v>0</v>
      </c>
    </row>
    <row r="626" spans="1:18">
      <c r="A626" s="354" t="s">
        <v>10</v>
      </c>
      <c r="B626" s="354"/>
      <c r="C626" s="355">
        <v>127</v>
      </c>
      <c r="D626" s="354" t="s">
        <v>836</v>
      </c>
      <c r="E626" s="356" t="s">
        <v>634</v>
      </c>
      <c r="F626" s="356" t="str">
        <f t="shared" si="38"/>
        <v>NI</v>
      </c>
      <c r="G626" s="28">
        <f>+IF(F626="i",IFERROR(VLOOKUP(C626,'BG 12.2024'!$B:$E,3,FALSE),0),0)</f>
        <v>0</v>
      </c>
      <c r="H626" s="21">
        <f>+IF(F626="i",IFERROR(VLOOKUP(C626,'BG 12.2024'!$B:$E,4,FALSE),0),0)</f>
        <v>0</v>
      </c>
      <c r="I626" s="21"/>
      <c r="J626" s="28">
        <f>+IF(F626="i",IFERROR(VLOOKUP(C626,'BG 2023'!$B:$E,3,FALSE),0),0)</f>
        <v>0</v>
      </c>
      <c r="K626" s="21">
        <f>+IF(F626="i",IFERROR(VLOOKUP(C626,'BG 2023'!$B:$E,4,FALSE),0),0)</f>
        <v>0</v>
      </c>
      <c r="M626" s="15" t="e">
        <f>+VLOOKUP(C626,'BG 2023'!$B:$E,1,0)</f>
        <v>#N/A</v>
      </c>
      <c r="N626" s="806" t="e">
        <f>+VLOOKUP(C626,'BG 2023'!$B:$E,3,0)</f>
        <v>#N/A</v>
      </c>
      <c r="O626" s="807" t="e">
        <f t="shared" si="37"/>
        <v>#N/A</v>
      </c>
      <c r="P626" s="807"/>
      <c r="R626" s="807">
        <f>+IFERROR(VLOOKUP(C626,'CA FE'!$A:$C,3,0),0)-G626</f>
        <v>0</v>
      </c>
    </row>
    <row r="627" spans="1:18">
      <c r="A627" s="354" t="s">
        <v>10</v>
      </c>
      <c r="B627" s="354"/>
      <c r="C627" s="355">
        <v>12701</v>
      </c>
      <c r="D627" s="354" t="s">
        <v>837</v>
      </c>
      <c r="E627" s="356" t="s">
        <v>634</v>
      </c>
      <c r="F627" s="356" t="str">
        <f t="shared" si="38"/>
        <v>NI</v>
      </c>
      <c r="G627" s="28">
        <f>+IF(F627="i",IFERROR(VLOOKUP(C627,'BG 12.2024'!$B:$E,3,FALSE),0),0)</f>
        <v>0</v>
      </c>
      <c r="H627" s="21">
        <f>+IF(F627="i",IFERROR(VLOOKUP(C627,'BG 12.2024'!$B:$E,4,FALSE),0),0)</f>
        <v>0</v>
      </c>
      <c r="I627" s="21"/>
      <c r="J627" s="28">
        <f>+IF(F627="i",IFERROR(VLOOKUP(C627,'BG 2023'!$B:$E,3,FALSE),0),0)</f>
        <v>0</v>
      </c>
      <c r="K627" s="21">
        <f>+IF(F627="i",IFERROR(VLOOKUP(C627,'BG 2023'!$B:$E,4,FALSE),0),0)</f>
        <v>0</v>
      </c>
      <c r="M627" s="15" t="e">
        <f>+VLOOKUP(C627,'BG 2023'!$B:$E,1,0)</f>
        <v>#N/A</v>
      </c>
      <c r="N627" s="806" t="e">
        <f>+VLOOKUP(C627,'BG 2023'!$B:$E,3,0)</f>
        <v>#N/A</v>
      </c>
      <c r="O627" s="807" t="e">
        <f t="shared" si="37"/>
        <v>#N/A</v>
      </c>
      <c r="P627" s="807"/>
      <c r="R627" s="807">
        <f>+IFERROR(VLOOKUP(C627,'CA FE'!$A:$C,3,0),0)-G627</f>
        <v>0</v>
      </c>
    </row>
    <row r="628" spans="1:18">
      <c r="A628" s="354" t="s">
        <v>10</v>
      </c>
      <c r="B628" s="354"/>
      <c r="C628" s="355">
        <v>127011</v>
      </c>
      <c r="D628" s="354" t="s">
        <v>838</v>
      </c>
      <c r="E628" s="356" t="s">
        <v>634</v>
      </c>
      <c r="F628" s="356" t="str">
        <f t="shared" si="38"/>
        <v>NI</v>
      </c>
      <c r="G628" s="28">
        <f>+IF(F628="i",IFERROR(VLOOKUP(C628,'BG 12.2024'!$B:$E,3,FALSE),0),0)</f>
        <v>0</v>
      </c>
      <c r="H628" s="21">
        <f>+IF(F628="i",IFERROR(VLOOKUP(C628,'BG 12.2024'!$B:$E,4,FALSE),0),0)</f>
        <v>0</v>
      </c>
      <c r="I628" s="21"/>
      <c r="J628" s="28">
        <f>+IF(F628="i",IFERROR(VLOOKUP(C628,'BG 2023'!$B:$E,3,FALSE),0),0)</f>
        <v>0</v>
      </c>
      <c r="K628" s="21">
        <f>+IF(F628="i",IFERROR(VLOOKUP(C628,'BG 2023'!$B:$E,4,FALSE),0),0)</f>
        <v>0</v>
      </c>
      <c r="M628" s="15" t="e">
        <f>+VLOOKUP(C628,'BG 2023'!$B:$E,1,0)</f>
        <v>#N/A</v>
      </c>
      <c r="N628" s="806" t="e">
        <f>+VLOOKUP(C628,'BG 2023'!$B:$E,3,0)</f>
        <v>#N/A</v>
      </c>
      <c r="O628" s="807" t="e">
        <f t="shared" si="37"/>
        <v>#N/A</v>
      </c>
      <c r="P628" s="807"/>
      <c r="R628" s="807">
        <f>+IFERROR(VLOOKUP(C628,'CA FE'!$A:$C,3,0),0)-G628</f>
        <v>0</v>
      </c>
    </row>
    <row r="629" spans="1:18">
      <c r="A629" s="354" t="s">
        <v>10</v>
      </c>
      <c r="B629" s="354"/>
      <c r="C629" s="355">
        <v>1270111</v>
      </c>
      <c r="D629" s="354" t="s">
        <v>839</v>
      </c>
      <c r="E629" s="356" t="s">
        <v>634</v>
      </c>
      <c r="F629" s="356" t="str">
        <f t="shared" si="38"/>
        <v>NI</v>
      </c>
      <c r="G629" s="28">
        <f>+IF(F629="i",IFERROR(VLOOKUP(C629,'BG 12.2024'!$B:$E,3,FALSE),0),0)</f>
        <v>0</v>
      </c>
      <c r="H629" s="21">
        <f>+IF(F629="i",IFERROR(VLOOKUP(C629,'BG 12.2024'!$B:$E,4,FALSE),0),0)</f>
        <v>0</v>
      </c>
      <c r="I629" s="21"/>
      <c r="J629" s="28">
        <f>+IF(F629="i",IFERROR(VLOOKUP(C629,'BG 2023'!$B:$E,3,FALSE),0),0)</f>
        <v>0</v>
      </c>
      <c r="K629" s="21">
        <f>+IF(F629="i",IFERROR(VLOOKUP(C629,'BG 2023'!$B:$E,4,FALSE),0),0)</f>
        <v>0</v>
      </c>
      <c r="M629" s="15" t="e">
        <f>+VLOOKUP(C629,'BG 2023'!$B:$E,1,0)</f>
        <v>#N/A</v>
      </c>
      <c r="N629" s="806" t="e">
        <f>+VLOOKUP(C629,'BG 2023'!$B:$E,3,0)</f>
        <v>#N/A</v>
      </c>
      <c r="O629" s="807" t="e">
        <f t="shared" si="37"/>
        <v>#N/A</v>
      </c>
      <c r="P629" s="807"/>
      <c r="R629" s="807">
        <f>+IFERROR(VLOOKUP(C629,'CA FE'!$A:$C,3,0),0)-G629</f>
        <v>0</v>
      </c>
    </row>
    <row r="630" spans="1:18">
      <c r="A630" s="354" t="s">
        <v>10</v>
      </c>
      <c r="B630" s="354"/>
      <c r="C630" s="355">
        <v>12701111</v>
      </c>
      <c r="D630" s="354" t="s">
        <v>839</v>
      </c>
      <c r="E630" s="356" t="s">
        <v>634</v>
      </c>
      <c r="F630" s="356" t="str">
        <f t="shared" si="38"/>
        <v>NI</v>
      </c>
      <c r="G630" s="28">
        <f>+IF(F630="i",IFERROR(VLOOKUP(C630,'BG 12.2024'!$B:$E,3,FALSE),0),0)</f>
        <v>0</v>
      </c>
      <c r="H630" s="21">
        <f>+IF(F630="i",IFERROR(VLOOKUP(C630,'BG 12.2024'!$B:$E,4,FALSE),0),0)</f>
        <v>0</v>
      </c>
      <c r="I630" s="21"/>
      <c r="J630" s="28">
        <f>+IF(F630="i",IFERROR(VLOOKUP(C630,'BG 2023'!$B:$E,3,FALSE),0),0)</f>
        <v>0</v>
      </c>
      <c r="K630" s="21">
        <f>+IF(F630="i",IFERROR(VLOOKUP(C630,'BG 2023'!$B:$E,4,FALSE),0),0)</f>
        <v>0</v>
      </c>
      <c r="M630" s="15" t="e">
        <f>+VLOOKUP(C630,'BG 2023'!$B:$E,1,0)</f>
        <v>#N/A</v>
      </c>
      <c r="N630" s="806" t="e">
        <f>+VLOOKUP(C630,'BG 2023'!$B:$E,3,0)</f>
        <v>#N/A</v>
      </c>
      <c r="O630" s="807" t="e">
        <f t="shared" si="37"/>
        <v>#N/A</v>
      </c>
      <c r="P630" s="807"/>
      <c r="R630" s="807">
        <f>+IFERROR(VLOOKUP(C630,'CA FE'!$A:$C,3,0),0)-G630</f>
        <v>0</v>
      </c>
    </row>
    <row r="631" spans="1:18">
      <c r="A631" s="354" t="s">
        <v>10</v>
      </c>
      <c r="B631" s="354"/>
      <c r="C631" s="355">
        <v>1270111101</v>
      </c>
      <c r="D631" s="354" t="s">
        <v>840</v>
      </c>
      <c r="E631" s="356" t="s">
        <v>634</v>
      </c>
      <c r="F631" s="356" t="str">
        <f t="shared" si="38"/>
        <v>I</v>
      </c>
      <c r="G631" s="28">
        <f>+IF(F631="i",IFERROR(VLOOKUP(C631,'BG 12.2024'!$B:$E,3,FALSE),0),0)</f>
        <v>0</v>
      </c>
      <c r="H631" s="21">
        <f>+IF(F631="i",IFERROR(VLOOKUP(C631,'BG 12.2024'!$B:$E,4,FALSE),0),0)</f>
        <v>0</v>
      </c>
      <c r="I631" s="21"/>
      <c r="J631" s="28">
        <f>+IF(F631="i",IFERROR(VLOOKUP(C631,'BG 2023'!$B:$E,3,FALSE),0),0)</f>
        <v>0</v>
      </c>
      <c r="K631" s="21">
        <f>+IF(F631="i",IFERROR(VLOOKUP(C631,'BG 2023'!$B:$E,4,FALSE),0),0)</f>
        <v>0</v>
      </c>
      <c r="M631" s="15" t="e">
        <f>+VLOOKUP(C631,'BG 2023'!$B:$E,1,0)</f>
        <v>#N/A</v>
      </c>
      <c r="N631" s="806" t="e">
        <f>+VLOOKUP(C631,'BG 2023'!$B:$E,3,0)</f>
        <v>#N/A</v>
      </c>
      <c r="O631" s="807" t="e">
        <f t="shared" si="37"/>
        <v>#N/A</v>
      </c>
      <c r="P631" s="807"/>
      <c r="R631" s="807">
        <f>+IFERROR(VLOOKUP(C631,'CA FE'!$A:$C,3,0),0)-G631</f>
        <v>0</v>
      </c>
    </row>
    <row r="632" spans="1:18">
      <c r="A632" s="354" t="s">
        <v>10</v>
      </c>
      <c r="B632" s="354"/>
      <c r="C632" s="355">
        <v>1270111102</v>
      </c>
      <c r="D632" s="354" t="s">
        <v>841</v>
      </c>
      <c r="E632" s="356" t="s">
        <v>634</v>
      </c>
      <c r="F632" s="356" t="str">
        <f t="shared" si="38"/>
        <v>I</v>
      </c>
      <c r="G632" s="28">
        <f>+IF(F632="i",IFERROR(VLOOKUP(C632,'BG 12.2024'!$B:$E,3,FALSE),0),0)</f>
        <v>0</v>
      </c>
      <c r="H632" s="21">
        <f>+IF(F632="i",IFERROR(VLOOKUP(C632,'BG 12.2024'!$B:$E,4,FALSE),0),0)</f>
        <v>0</v>
      </c>
      <c r="I632" s="21"/>
      <c r="J632" s="28">
        <f>+IF(F632="i",IFERROR(VLOOKUP(C632,'BG 2023'!$B:$E,3,FALSE),0),0)</f>
        <v>0</v>
      </c>
      <c r="K632" s="21">
        <f>+IF(F632="i",IFERROR(VLOOKUP(C632,'BG 2023'!$B:$E,4,FALSE),0),0)</f>
        <v>0</v>
      </c>
      <c r="M632" s="15" t="e">
        <f>+VLOOKUP(C632,'BG 2023'!$B:$E,1,0)</f>
        <v>#N/A</v>
      </c>
      <c r="N632" s="806" t="e">
        <f>+VLOOKUP(C632,'BG 2023'!$B:$E,3,0)</f>
        <v>#N/A</v>
      </c>
      <c r="O632" s="807" t="e">
        <f t="shared" si="37"/>
        <v>#N/A</v>
      </c>
      <c r="P632" s="807"/>
      <c r="R632" s="807">
        <f>+IFERROR(VLOOKUP(C632,'CA FE'!$A:$C,3,0),0)-G632</f>
        <v>0</v>
      </c>
    </row>
    <row r="633" spans="1:18">
      <c r="A633" s="354" t="s">
        <v>10</v>
      </c>
      <c r="B633" s="354"/>
      <c r="C633" s="355">
        <v>1270111103</v>
      </c>
      <c r="D633" s="354" t="s">
        <v>842</v>
      </c>
      <c r="E633" s="356" t="s">
        <v>634</v>
      </c>
      <c r="F633" s="356" t="str">
        <f t="shared" si="38"/>
        <v>I</v>
      </c>
      <c r="G633" s="28">
        <f>+IF(F633="i",IFERROR(VLOOKUP(C633,'BG 12.2024'!$B:$E,3,FALSE),0),0)</f>
        <v>0</v>
      </c>
      <c r="H633" s="21">
        <f>+IF(F633="i",IFERROR(VLOOKUP(C633,'BG 12.2024'!$B:$E,4,FALSE),0),0)</f>
        <v>0</v>
      </c>
      <c r="I633" s="21"/>
      <c r="J633" s="28">
        <f>+IF(F633="i",IFERROR(VLOOKUP(C633,'BG 2023'!$B:$E,3,FALSE),0),0)</f>
        <v>0</v>
      </c>
      <c r="K633" s="21">
        <f>+IF(F633="i",IFERROR(VLOOKUP(C633,'BG 2023'!$B:$E,4,FALSE),0),0)</f>
        <v>0</v>
      </c>
      <c r="M633" s="15" t="e">
        <f>+VLOOKUP(C633,'BG 2023'!$B:$E,1,0)</f>
        <v>#N/A</v>
      </c>
      <c r="N633" s="806" t="e">
        <f>+VLOOKUP(C633,'BG 2023'!$B:$E,3,0)</f>
        <v>#N/A</v>
      </c>
      <c r="O633" s="807" t="e">
        <f t="shared" si="37"/>
        <v>#N/A</v>
      </c>
      <c r="P633" s="807"/>
      <c r="R633" s="807">
        <f>+IFERROR(VLOOKUP(C633,'CA FE'!$A:$C,3,0),0)-G633</f>
        <v>0</v>
      </c>
    </row>
    <row r="634" spans="1:18">
      <c r="A634" s="354" t="s">
        <v>10</v>
      </c>
      <c r="B634" s="354"/>
      <c r="C634" s="355">
        <v>1270111104</v>
      </c>
      <c r="D634" s="354" t="s">
        <v>843</v>
      </c>
      <c r="E634" s="356" t="s">
        <v>634</v>
      </c>
      <c r="F634" s="356" t="str">
        <f t="shared" si="38"/>
        <v>I</v>
      </c>
      <c r="G634" s="28">
        <f>+IF(F634="i",IFERROR(VLOOKUP(C634,'BG 12.2024'!$B:$E,3,FALSE),0),0)</f>
        <v>0</v>
      </c>
      <c r="H634" s="21">
        <f>+IF(F634="i",IFERROR(VLOOKUP(C634,'BG 12.2024'!$B:$E,4,FALSE),0),0)</f>
        <v>0</v>
      </c>
      <c r="I634" s="21"/>
      <c r="J634" s="28">
        <f>+IF(F634="i",IFERROR(VLOOKUP(C634,'BG 2023'!$B:$E,3,FALSE),0),0)</f>
        <v>0</v>
      </c>
      <c r="K634" s="21">
        <f>+IF(F634="i",IFERROR(VLOOKUP(C634,'BG 2023'!$B:$E,4,FALSE),0),0)</f>
        <v>0</v>
      </c>
      <c r="M634" s="15" t="e">
        <f>+VLOOKUP(C634,'BG 2023'!$B:$E,1,0)</f>
        <v>#N/A</v>
      </c>
      <c r="N634" s="806" t="e">
        <f>+VLOOKUP(C634,'BG 2023'!$B:$E,3,0)</f>
        <v>#N/A</v>
      </c>
      <c r="O634" s="807" t="e">
        <f t="shared" si="37"/>
        <v>#N/A</v>
      </c>
      <c r="P634" s="807"/>
      <c r="R634" s="807">
        <f>+IFERROR(VLOOKUP(C634,'CA FE'!$A:$C,3,0),0)-G634</f>
        <v>0</v>
      </c>
    </row>
    <row r="635" spans="1:18">
      <c r="A635" s="354" t="s">
        <v>10</v>
      </c>
      <c r="B635" s="354"/>
      <c r="C635" s="355">
        <v>1270111105</v>
      </c>
      <c r="D635" s="354" t="s">
        <v>844</v>
      </c>
      <c r="E635" s="356" t="s">
        <v>634</v>
      </c>
      <c r="F635" s="356" t="str">
        <f t="shared" si="38"/>
        <v>I</v>
      </c>
      <c r="G635" s="28">
        <f>+IF(F635="i",IFERROR(VLOOKUP(C635,'BG 12.2024'!$B:$E,3,FALSE),0),0)</f>
        <v>0</v>
      </c>
      <c r="H635" s="21">
        <f>+IF(F635="i",IFERROR(VLOOKUP(C635,'BG 12.2024'!$B:$E,4,FALSE),0),0)</f>
        <v>0</v>
      </c>
      <c r="I635" s="21"/>
      <c r="J635" s="28">
        <f>+IF(F635="i",IFERROR(VLOOKUP(C635,'BG 2023'!$B:$E,3,FALSE),0),0)</f>
        <v>0</v>
      </c>
      <c r="K635" s="21">
        <f>+IF(F635="i",IFERROR(VLOOKUP(C635,'BG 2023'!$B:$E,4,FALSE),0),0)</f>
        <v>0</v>
      </c>
      <c r="M635" s="15" t="e">
        <f>+VLOOKUP(C635,'BG 2023'!$B:$E,1,0)</f>
        <v>#N/A</v>
      </c>
      <c r="N635" s="806" t="e">
        <f>+VLOOKUP(C635,'BG 2023'!$B:$E,3,0)</f>
        <v>#N/A</v>
      </c>
      <c r="O635" s="807" t="e">
        <f t="shared" si="37"/>
        <v>#N/A</v>
      </c>
      <c r="P635" s="807"/>
      <c r="R635" s="807">
        <f>+IFERROR(VLOOKUP(C635,'CA FE'!$A:$C,3,0),0)-G635</f>
        <v>0</v>
      </c>
    </row>
    <row r="636" spans="1:18">
      <c r="A636" s="354" t="s">
        <v>10</v>
      </c>
      <c r="B636" s="354"/>
      <c r="C636" s="355">
        <v>1270111106</v>
      </c>
      <c r="D636" s="354" t="s">
        <v>845</v>
      </c>
      <c r="E636" s="356" t="s">
        <v>634</v>
      </c>
      <c r="F636" s="356" t="str">
        <f t="shared" si="38"/>
        <v>I</v>
      </c>
      <c r="G636" s="28">
        <f>+IF(F636="i",IFERROR(VLOOKUP(C636,'BG 12.2024'!$B:$E,3,FALSE),0),0)</f>
        <v>0</v>
      </c>
      <c r="H636" s="21">
        <f>+IF(F636="i",IFERROR(VLOOKUP(C636,'BG 12.2024'!$B:$E,4,FALSE),0),0)</f>
        <v>0</v>
      </c>
      <c r="I636" s="21"/>
      <c r="J636" s="28">
        <f>+IF(F636="i",IFERROR(VLOOKUP(C636,'BG 2023'!$B:$E,3,FALSE),0),0)</f>
        <v>0</v>
      </c>
      <c r="K636" s="21">
        <f>+IF(F636="i",IFERROR(VLOOKUP(C636,'BG 2023'!$B:$E,4,FALSE),0),0)</f>
        <v>0</v>
      </c>
      <c r="M636" s="15" t="e">
        <f>+VLOOKUP(C636,'BG 2023'!$B:$E,1,0)</f>
        <v>#N/A</v>
      </c>
      <c r="N636" s="806" t="e">
        <f>+VLOOKUP(C636,'BG 2023'!$B:$E,3,0)</f>
        <v>#N/A</v>
      </c>
      <c r="O636" s="807" t="e">
        <f t="shared" si="37"/>
        <v>#N/A</v>
      </c>
      <c r="P636" s="807"/>
      <c r="R636" s="807">
        <f>+IFERROR(VLOOKUP(C636,'CA FE'!$A:$C,3,0),0)-G636</f>
        <v>0</v>
      </c>
    </row>
    <row r="637" spans="1:18">
      <c r="A637" s="354" t="s">
        <v>10</v>
      </c>
      <c r="B637" s="354"/>
      <c r="C637" s="355">
        <v>1270112</v>
      </c>
      <c r="D637" s="354" t="s">
        <v>846</v>
      </c>
      <c r="E637" s="356" t="s">
        <v>634</v>
      </c>
      <c r="F637" s="356" t="str">
        <f t="shared" si="38"/>
        <v>NI</v>
      </c>
      <c r="G637" s="28">
        <f>+IF(F637="i",IFERROR(VLOOKUP(C637,'BG 12.2024'!$B:$E,3,FALSE),0),0)</f>
        <v>0</v>
      </c>
      <c r="H637" s="21">
        <f>+IF(F637="i",IFERROR(VLOOKUP(C637,'BG 12.2024'!$B:$E,4,FALSE),0),0)</f>
        <v>0</v>
      </c>
      <c r="I637" s="21"/>
      <c r="J637" s="28">
        <f>+IF(F637="i",IFERROR(VLOOKUP(C637,'BG 2023'!$B:$E,3,FALSE),0),0)</f>
        <v>0</v>
      </c>
      <c r="K637" s="21">
        <f>+IF(F637="i",IFERROR(VLOOKUP(C637,'BG 2023'!$B:$E,4,FALSE),0),0)</f>
        <v>0</v>
      </c>
      <c r="M637" s="15" t="e">
        <f>+VLOOKUP(C637,'BG 2023'!$B:$E,1,0)</f>
        <v>#N/A</v>
      </c>
      <c r="N637" s="806" t="e">
        <f>+VLOOKUP(C637,'BG 2023'!$B:$E,3,0)</f>
        <v>#N/A</v>
      </c>
      <c r="O637" s="807" t="e">
        <f t="shared" si="37"/>
        <v>#N/A</v>
      </c>
      <c r="P637" s="807"/>
      <c r="R637" s="807">
        <f>+IFERROR(VLOOKUP(C637,'CA FE'!$A:$C,3,0),0)-G637</f>
        <v>0</v>
      </c>
    </row>
    <row r="638" spans="1:18">
      <c r="A638" s="354" t="s">
        <v>10</v>
      </c>
      <c r="B638" s="354"/>
      <c r="C638" s="355">
        <v>12701121</v>
      </c>
      <c r="D638" s="354" t="s">
        <v>846</v>
      </c>
      <c r="E638" s="356" t="s">
        <v>634</v>
      </c>
      <c r="F638" s="356" t="str">
        <f t="shared" si="38"/>
        <v>NI</v>
      </c>
      <c r="G638" s="28">
        <f>+IF(F638="i",IFERROR(VLOOKUP(C638,'BG 12.2024'!$B:$E,3,FALSE),0),0)</f>
        <v>0</v>
      </c>
      <c r="H638" s="21">
        <f>+IF(F638="i",IFERROR(VLOOKUP(C638,'BG 12.2024'!$B:$E,4,FALSE),0),0)</f>
        <v>0</v>
      </c>
      <c r="I638" s="21"/>
      <c r="J638" s="28">
        <f>+IF(F638="i",IFERROR(VLOOKUP(C638,'BG 2023'!$B:$E,3,FALSE),0),0)</f>
        <v>0</v>
      </c>
      <c r="K638" s="21">
        <f>+IF(F638="i",IFERROR(VLOOKUP(C638,'BG 2023'!$B:$E,4,FALSE),0),0)</f>
        <v>0</v>
      </c>
      <c r="M638" s="15" t="e">
        <f>+VLOOKUP(C638,'BG 2023'!$B:$E,1,0)</f>
        <v>#N/A</v>
      </c>
      <c r="N638" s="806" t="e">
        <f>+VLOOKUP(C638,'BG 2023'!$B:$E,3,0)</f>
        <v>#N/A</v>
      </c>
      <c r="O638" s="807" t="e">
        <f t="shared" si="37"/>
        <v>#N/A</v>
      </c>
      <c r="P638" s="807"/>
      <c r="R638" s="807">
        <f>+IFERROR(VLOOKUP(C638,'CA FE'!$A:$C,3,0),0)-G638</f>
        <v>0</v>
      </c>
    </row>
    <row r="639" spans="1:18">
      <c r="A639" s="354" t="s">
        <v>10</v>
      </c>
      <c r="B639" s="354"/>
      <c r="C639" s="355">
        <v>1270112101</v>
      </c>
      <c r="D639" s="354" t="s">
        <v>847</v>
      </c>
      <c r="E639" s="356" t="s">
        <v>634</v>
      </c>
      <c r="F639" s="356" t="str">
        <f t="shared" si="38"/>
        <v>I</v>
      </c>
      <c r="G639" s="28">
        <f>+IF(F639="i",IFERROR(VLOOKUP(C639,'BG 12.2024'!$B:$E,3,FALSE),0),0)</f>
        <v>0</v>
      </c>
      <c r="H639" s="21">
        <f>+IF(F639="i",IFERROR(VLOOKUP(C639,'BG 12.2024'!$B:$E,4,FALSE),0),0)</f>
        <v>0</v>
      </c>
      <c r="I639" s="21"/>
      <c r="J639" s="28">
        <f>+IF(F639="i",IFERROR(VLOOKUP(C639,'BG 2023'!$B:$E,3,FALSE),0),0)</f>
        <v>0</v>
      </c>
      <c r="K639" s="21">
        <f>+IF(F639="i",IFERROR(VLOOKUP(C639,'BG 2023'!$B:$E,4,FALSE),0),0)</f>
        <v>0</v>
      </c>
      <c r="M639" s="15" t="e">
        <f>+VLOOKUP(C639,'BG 2023'!$B:$E,1,0)</f>
        <v>#N/A</v>
      </c>
      <c r="N639" s="806" t="e">
        <f>+VLOOKUP(C639,'BG 2023'!$B:$E,3,0)</f>
        <v>#N/A</v>
      </c>
      <c r="O639" s="807" t="e">
        <f t="shared" si="37"/>
        <v>#N/A</v>
      </c>
      <c r="P639" s="807"/>
      <c r="R639" s="807">
        <f>+IFERROR(VLOOKUP(C639,'CA FE'!$A:$C,3,0),0)-G639</f>
        <v>0</v>
      </c>
    </row>
    <row r="640" spans="1:18">
      <c r="A640" s="354" t="s">
        <v>10</v>
      </c>
      <c r="B640" s="354"/>
      <c r="C640" s="355">
        <v>1270112102</v>
      </c>
      <c r="D640" s="354" t="s">
        <v>848</v>
      </c>
      <c r="E640" s="356" t="s">
        <v>634</v>
      </c>
      <c r="F640" s="356" t="str">
        <f t="shared" si="38"/>
        <v>I</v>
      </c>
      <c r="G640" s="28">
        <f>+IF(F640="i",IFERROR(VLOOKUP(C640,'BG 12.2024'!$B:$E,3,FALSE),0),0)</f>
        <v>0</v>
      </c>
      <c r="H640" s="21">
        <f>+IF(F640="i",IFERROR(VLOOKUP(C640,'BG 12.2024'!$B:$E,4,FALSE),0),0)</f>
        <v>0</v>
      </c>
      <c r="I640" s="21"/>
      <c r="J640" s="28">
        <f>+IF(F640="i",IFERROR(VLOOKUP(C640,'BG 2023'!$B:$E,3,FALSE),0),0)</f>
        <v>0</v>
      </c>
      <c r="K640" s="21">
        <f>+IF(F640="i",IFERROR(VLOOKUP(C640,'BG 2023'!$B:$E,4,FALSE),0),0)</f>
        <v>0</v>
      </c>
      <c r="M640" s="15" t="e">
        <f>+VLOOKUP(C640,'BG 2023'!$B:$E,1,0)</f>
        <v>#N/A</v>
      </c>
      <c r="N640" s="806" t="e">
        <f>+VLOOKUP(C640,'BG 2023'!$B:$E,3,0)</f>
        <v>#N/A</v>
      </c>
      <c r="O640" s="807" t="e">
        <f t="shared" si="37"/>
        <v>#N/A</v>
      </c>
      <c r="P640" s="807"/>
      <c r="R640" s="807">
        <f>+IFERROR(VLOOKUP(C640,'CA FE'!$A:$C,3,0),0)-G640</f>
        <v>0</v>
      </c>
    </row>
    <row r="641" spans="1:20">
      <c r="A641" s="354" t="s">
        <v>10</v>
      </c>
      <c r="B641" s="354"/>
      <c r="C641" s="355">
        <v>1270112103</v>
      </c>
      <c r="D641" s="354" t="s">
        <v>849</v>
      </c>
      <c r="E641" s="356" t="s">
        <v>634</v>
      </c>
      <c r="F641" s="356" t="str">
        <f t="shared" si="38"/>
        <v>I</v>
      </c>
      <c r="G641" s="28">
        <f>+IF(F641="i",IFERROR(VLOOKUP(C641,'BG 12.2024'!$B:$E,3,FALSE),0),0)</f>
        <v>0</v>
      </c>
      <c r="H641" s="21">
        <f>+IF(F641="i",IFERROR(VLOOKUP(C641,'BG 12.2024'!$B:$E,4,FALSE),0),0)</f>
        <v>0</v>
      </c>
      <c r="I641" s="21"/>
      <c r="J641" s="28">
        <f>+IF(F641="i",IFERROR(VLOOKUP(C641,'BG 2023'!$B:$E,3,FALSE),0),0)</f>
        <v>0</v>
      </c>
      <c r="K641" s="21">
        <f>+IF(F641="i",IFERROR(VLOOKUP(C641,'BG 2023'!$B:$E,4,FALSE),0),0)</f>
        <v>0</v>
      </c>
      <c r="M641" s="15" t="e">
        <f>+VLOOKUP(C641,'BG 2023'!$B:$E,1,0)</f>
        <v>#N/A</v>
      </c>
      <c r="N641" s="806" t="e">
        <f>+VLOOKUP(C641,'BG 2023'!$B:$E,3,0)</f>
        <v>#N/A</v>
      </c>
      <c r="O641" s="807" t="e">
        <f t="shared" si="37"/>
        <v>#N/A</v>
      </c>
      <c r="P641" s="807"/>
      <c r="R641" s="807">
        <f>+IFERROR(VLOOKUP(C641,'CA FE'!$A:$C,3,0),0)-G641</f>
        <v>0</v>
      </c>
    </row>
    <row r="642" spans="1:20">
      <c r="A642" s="354" t="s">
        <v>10</v>
      </c>
      <c r="B642" s="354"/>
      <c r="C642" s="355">
        <v>1270112104</v>
      </c>
      <c r="D642" s="354" t="s">
        <v>850</v>
      </c>
      <c r="E642" s="356" t="s">
        <v>634</v>
      </c>
      <c r="F642" s="356" t="str">
        <f t="shared" si="38"/>
        <v>I</v>
      </c>
      <c r="G642" s="28">
        <f>+IF(F642="i",IFERROR(VLOOKUP(C642,'BG 12.2024'!$B:$E,3,FALSE),0),0)</f>
        <v>0</v>
      </c>
      <c r="H642" s="21">
        <f>+IF(F642="i",IFERROR(VLOOKUP(C642,'BG 12.2024'!$B:$E,4,FALSE),0),0)</f>
        <v>0</v>
      </c>
      <c r="I642" s="21"/>
      <c r="J642" s="28">
        <f>+IF(F642="i",IFERROR(VLOOKUP(C642,'BG 2023'!$B:$E,3,FALSE),0),0)</f>
        <v>0</v>
      </c>
      <c r="K642" s="21">
        <f>+IF(F642="i",IFERROR(VLOOKUP(C642,'BG 2023'!$B:$E,4,FALSE),0),0)</f>
        <v>0</v>
      </c>
      <c r="M642" s="15" t="e">
        <f>+VLOOKUP(C642,'BG 2023'!$B:$E,1,0)</f>
        <v>#N/A</v>
      </c>
      <c r="N642" s="806" t="e">
        <f>+VLOOKUP(C642,'BG 2023'!$B:$E,3,0)</f>
        <v>#N/A</v>
      </c>
      <c r="O642" s="807" t="e">
        <f t="shared" si="37"/>
        <v>#N/A</v>
      </c>
      <c r="P642" s="807"/>
      <c r="R642" s="807">
        <f>+IFERROR(VLOOKUP(C642,'CA FE'!$A:$C,3,0),0)-G642</f>
        <v>0</v>
      </c>
    </row>
    <row r="643" spans="1:20">
      <c r="A643" s="354" t="s">
        <v>10</v>
      </c>
      <c r="B643" s="354"/>
      <c r="C643" s="355">
        <v>1270112105</v>
      </c>
      <c r="D643" s="354" t="s">
        <v>851</v>
      </c>
      <c r="E643" s="356" t="s">
        <v>634</v>
      </c>
      <c r="F643" s="356" t="str">
        <f t="shared" si="38"/>
        <v>I</v>
      </c>
      <c r="G643" s="28">
        <f>+IF(F643="i",IFERROR(VLOOKUP(C643,'BG 12.2024'!$B:$E,3,FALSE),0),0)</f>
        <v>0</v>
      </c>
      <c r="H643" s="21">
        <f>+IF(F643="i",IFERROR(VLOOKUP(C643,'BG 12.2024'!$B:$E,4,FALSE),0),0)</f>
        <v>0</v>
      </c>
      <c r="I643" s="21"/>
      <c r="J643" s="28">
        <f>+IF(F643="i",IFERROR(VLOOKUP(C643,'BG 2023'!$B:$E,3,FALSE),0),0)</f>
        <v>0</v>
      </c>
      <c r="K643" s="21">
        <f>+IF(F643="i",IFERROR(VLOOKUP(C643,'BG 2023'!$B:$E,4,FALSE),0),0)</f>
        <v>0</v>
      </c>
      <c r="M643" s="15" t="e">
        <f>+VLOOKUP(C643,'BG 2023'!$B:$E,1,0)</f>
        <v>#N/A</v>
      </c>
      <c r="N643" s="806" t="e">
        <f>+VLOOKUP(C643,'BG 2023'!$B:$E,3,0)</f>
        <v>#N/A</v>
      </c>
      <c r="O643" s="807" t="e">
        <f t="shared" si="37"/>
        <v>#N/A</v>
      </c>
      <c r="P643" s="807"/>
      <c r="R643" s="807">
        <f>+IFERROR(VLOOKUP(C643,'CA FE'!$A:$C,3,0),0)-G643</f>
        <v>0</v>
      </c>
    </row>
    <row r="644" spans="1:20">
      <c r="A644" s="354" t="s">
        <v>10</v>
      </c>
      <c r="B644" s="354"/>
      <c r="C644" s="355">
        <v>128</v>
      </c>
      <c r="D644" s="354" t="s">
        <v>181</v>
      </c>
      <c r="E644" s="356" t="s">
        <v>634</v>
      </c>
      <c r="F644" s="356" t="str">
        <f t="shared" si="38"/>
        <v>NI</v>
      </c>
      <c r="G644" s="28">
        <f>+IF(F644="i",IFERROR(VLOOKUP(C644,'BG 12.2024'!$B:$E,3,FALSE),0),0)</f>
        <v>0</v>
      </c>
      <c r="H644" s="21">
        <f>+IF(F644="i",IFERROR(VLOOKUP(C644,'BG 12.2024'!$B:$E,4,FALSE),0),0)</f>
        <v>0</v>
      </c>
      <c r="I644" s="21"/>
      <c r="J644" s="28">
        <f>+IF(F644="i",IFERROR(VLOOKUP(C644,'BG 2023'!$B:$E,3,FALSE),0),0)</f>
        <v>0</v>
      </c>
      <c r="K644" s="21">
        <f>+IF(F644="i",IFERROR(VLOOKUP(C644,'BG 2023'!$B:$E,4,FALSE),0),0)</f>
        <v>0</v>
      </c>
      <c r="M644" s="15">
        <f>+VLOOKUP(C644,'BG 2023'!$B:$E,1,0)</f>
        <v>128</v>
      </c>
      <c r="N644" s="806">
        <f>+VLOOKUP(C644,'BG 2023'!$B:$E,3,0)</f>
        <v>2033836042</v>
      </c>
      <c r="O644" s="807">
        <f t="shared" si="37"/>
        <v>2033836042</v>
      </c>
      <c r="P644" s="807"/>
      <c r="R644" s="807">
        <f>+IFERROR(VLOOKUP(C644,'CA FE'!$A:$C,3,0),0)-G644</f>
        <v>0</v>
      </c>
    </row>
    <row r="645" spans="1:20">
      <c r="A645" s="354" t="s">
        <v>10</v>
      </c>
      <c r="B645" s="354"/>
      <c r="C645" s="355">
        <v>12801</v>
      </c>
      <c r="D645" s="354" t="s">
        <v>182</v>
      </c>
      <c r="E645" s="356" t="s">
        <v>634</v>
      </c>
      <c r="F645" s="356" t="str">
        <f t="shared" si="38"/>
        <v>NI</v>
      </c>
      <c r="G645" s="28">
        <f>+IF(F645="i",IFERROR(VLOOKUP(C645,'BG 12.2024'!$B:$E,3,FALSE),0),0)</f>
        <v>0</v>
      </c>
      <c r="H645" s="21">
        <f>+IF(F645="i",IFERROR(VLOOKUP(C645,'BG 12.2024'!$B:$E,4,FALSE),0),0)</f>
        <v>0</v>
      </c>
      <c r="I645" s="21"/>
      <c r="J645" s="28">
        <f>+IF(F645="i",IFERROR(VLOOKUP(C645,'BG 2023'!$B:$E,3,FALSE),0),0)</f>
        <v>0</v>
      </c>
      <c r="K645" s="21">
        <f>+IF(F645="i",IFERROR(VLOOKUP(C645,'BG 2023'!$B:$E,4,FALSE),0),0)</f>
        <v>0</v>
      </c>
      <c r="M645" s="15">
        <f>+VLOOKUP(C645,'BG 2023'!$B:$E,1,0)</f>
        <v>12801</v>
      </c>
      <c r="N645" s="806">
        <f>+VLOOKUP(C645,'BG 2023'!$B:$E,3,0)</f>
        <v>2033836042</v>
      </c>
      <c r="O645" s="807">
        <f t="shared" si="37"/>
        <v>2033836042</v>
      </c>
      <c r="P645" s="807"/>
      <c r="R645" s="807">
        <f>+IFERROR(VLOOKUP(C645,'CA FE'!$A:$C,3,0),0)-G645</f>
        <v>0</v>
      </c>
    </row>
    <row r="646" spans="1:20">
      <c r="A646" s="354" t="s">
        <v>10</v>
      </c>
      <c r="B646" s="354"/>
      <c r="C646" s="355">
        <v>128011</v>
      </c>
      <c r="D646" s="354" t="s">
        <v>182</v>
      </c>
      <c r="E646" s="356" t="s">
        <v>634</v>
      </c>
      <c r="F646" s="356" t="str">
        <f t="shared" si="38"/>
        <v>NI</v>
      </c>
      <c r="G646" s="28">
        <f>+IF(F646="i",IFERROR(VLOOKUP(C646,'BG 12.2024'!$B:$E,3,FALSE),0),0)</f>
        <v>0</v>
      </c>
      <c r="H646" s="21">
        <f>+IF(F646="i",IFERROR(VLOOKUP(C646,'BG 12.2024'!$B:$E,4,FALSE),0),0)</f>
        <v>0</v>
      </c>
      <c r="I646" s="21"/>
      <c r="J646" s="28">
        <f>+IF(F646="i",IFERROR(VLOOKUP(C646,'BG 2023'!$B:$E,3,FALSE),0),0)</f>
        <v>0</v>
      </c>
      <c r="K646" s="21">
        <f>+IF(F646="i",IFERROR(VLOOKUP(C646,'BG 2023'!$B:$E,4,FALSE),0),0)</f>
        <v>0</v>
      </c>
      <c r="M646" s="15">
        <f>+VLOOKUP(C646,'BG 2023'!$B:$E,1,0)</f>
        <v>128011</v>
      </c>
      <c r="N646" s="806">
        <f>+VLOOKUP(C646,'BG 2023'!$B:$E,3,0)</f>
        <v>2033836042</v>
      </c>
      <c r="O646" s="807">
        <f t="shared" si="37"/>
        <v>2033836042</v>
      </c>
      <c r="P646" s="807"/>
      <c r="R646" s="807">
        <f>+IFERROR(VLOOKUP(C646,'CA FE'!$A:$C,3,0),0)-G646</f>
        <v>0</v>
      </c>
    </row>
    <row r="647" spans="1:20">
      <c r="A647" s="354" t="s">
        <v>10</v>
      </c>
      <c r="B647" s="354"/>
      <c r="C647" s="355">
        <v>1280111</v>
      </c>
      <c r="D647" s="354" t="s">
        <v>183</v>
      </c>
      <c r="E647" s="356" t="s">
        <v>634</v>
      </c>
      <c r="F647" s="356" t="str">
        <f t="shared" si="38"/>
        <v>NI</v>
      </c>
      <c r="G647" s="28">
        <f>+IF(F647="i",IFERROR(VLOOKUP(C647,'BG 12.2024'!$B:$E,3,FALSE),0),0)</f>
        <v>0</v>
      </c>
      <c r="H647" s="21">
        <f>+IF(F647="i",IFERROR(VLOOKUP(C647,'BG 12.2024'!$B:$E,4,FALSE),0),0)</f>
        <v>0</v>
      </c>
      <c r="I647" s="21"/>
      <c r="J647" s="28">
        <f>+IF(F647="i",IFERROR(VLOOKUP(C647,'BG 2023'!$B:$E,3,FALSE),0),0)</f>
        <v>0</v>
      </c>
      <c r="K647" s="21">
        <f>+IF(F647="i",IFERROR(VLOOKUP(C647,'BG 2023'!$B:$E,4,FALSE),0),0)</f>
        <v>0</v>
      </c>
      <c r="M647" s="15">
        <f>+VLOOKUP(C647,'BG 2023'!$B:$E,1,0)</f>
        <v>1280111</v>
      </c>
      <c r="N647" s="806">
        <f>+VLOOKUP(C647,'BG 2023'!$B:$E,3,0)</f>
        <v>1700719834</v>
      </c>
      <c r="O647" s="807">
        <f t="shared" si="37"/>
        <v>1700719834</v>
      </c>
      <c r="P647" s="807"/>
      <c r="R647" s="807">
        <f>+IFERROR(VLOOKUP(C647,'CA FE'!$A:$C,3,0),0)-G647</f>
        <v>0</v>
      </c>
    </row>
    <row r="648" spans="1:20">
      <c r="A648" s="354" t="s">
        <v>10</v>
      </c>
      <c r="B648" s="354"/>
      <c r="C648" s="355">
        <v>12801111</v>
      </c>
      <c r="D648" s="354" t="s">
        <v>184</v>
      </c>
      <c r="E648" s="356" t="s">
        <v>634</v>
      </c>
      <c r="F648" s="356" t="str">
        <f t="shared" si="38"/>
        <v>NI</v>
      </c>
      <c r="G648" s="28">
        <f>+IF(F648="i",IFERROR(VLOOKUP(C648,'BG 12.2024'!$B:$E,3,FALSE),0),0)</f>
        <v>0</v>
      </c>
      <c r="H648" s="21">
        <f>+IF(F648="i",IFERROR(VLOOKUP(C648,'BG 12.2024'!$B:$E,4,FALSE),0),0)</f>
        <v>0</v>
      </c>
      <c r="I648" s="21"/>
      <c r="J648" s="28">
        <f>+IF(F648="i",IFERROR(VLOOKUP(C648,'BG 2023'!$B:$E,3,FALSE),0),0)</f>
        <v>0</v>
      </c>
      <c r="K648" s="21">
        <f>+IF(F648="i",IFERROR(VLOOKUP(C648,'BG 2023'!$B:$E,4,FALSE),0),0)</f>
        <v>0</v>
      </c>
      <c r="M648" s="15">
        <f>+VLOOKUP(C648,'BG 2023'!$B:$E,1,0)</f>
        <v>12801111</v>
      </c>
      <c r="N648" s="806">
        <f>+VLOOKUP(C648,'BG 2023'!$B:$E,3,0)</f>
        <v>1849633864</v>
      </c>
      <c r="O648" s="807">
        <f t="shared" si="37"/>
        <v>1849633864</v>
      </c>
      <c r="P648" s="807"/>
      <c r="R648" s="807">
        <f>+IFERROR(VLOOKUP(C648,'CA FE'!$A:$C,3,0),0)-G648</f>
        <v>0</v>
      </c>
    </row>
    <row r="649" spans="1:20">
      <c r="A649" s="354" t="s">
        <v>10</v>
      </c>
      <c r="B649" s="354" t="s">
        <v>852</v>
      </c>
      <c r="C649" s="355">
        <v>1280111101</v>
      </c>
      <c r="D649" s="354" t="s">
        <v>535</v>
      </c>
      <c r="E649" s="356" t="s">
        <v>634</v>
      </c>
      <c r="F649" s="356" t="str">
        <f t="shared" si="38"/>
        <v>I</v>
      </c>
      <c r="G649" s="28">
        <f>+IF(F649="i",IFERROR(VLOOKUP(C649,'BG 12.2024'!$B:$E,3,FALSE),0),0)</f>
        <v>0</v>
      </c>
      <c r="H649" s="21">
        <f>+IF(F649="i",IFERROR(VLOOKUP(C649,'BG 12.2024'!$B:$E,4,FALSE),0),0)</f>
        <v>0</v>
      </c>
      <c r="I649" s="21"/>
      <c r="J649" s="28">
        <f>+IF(F649="i",IFERROR(VLOOKUP(C649,'BG 2023'!$B:$E,3,FALSE),0),0)</f>
        <v>0</v>
      </c>
      <c r="K649" s="21">
        <f>+IF(F649="i",IFERROR(VLOOKUP(C649,'BG 2023'!$B:$E,4,FALSE),0),0)</f>
        <v>0</v>
      </c>
      <c r="M649" s="15" t="e">
        <f>+VLOOKUP(C649,'BG 2023'!$B:$E,1,0)</f>
        <v>#N/A</v>
      </c>
      <c r="N649" s="806" t="e">
        <f>+VLOOKUP(C649,'BG 2023'!$B:$E,3,0)</f>
        <v>#N/A</v>
      </c>
      <c r="O649" s="807" t="e">
        <f t="shared" si="37"/>
        <v>#N/A</v>
      </c>
      <c r="P649" s="807"/>
      <c r="R649" s="807">
        <f>+IFERROR(VLOOKUP(C649,'CA FE'!$A:$C,3,0),0)-G649</f>
        <v>0</v>
      </c>
    </row>
    <row r="650" spans="1:20">
      <c r="A650" s="354" t="s">
        <v>10</v>
      </c>
      <c r="B650" s="354" t="s">
        <v>852</v>
      </c>
      <c r="C650" s="355">
        <v>1280111102</v>
      </c>
      <c r="D650" s="354" t="s">
        <v>853</v>
      </c>
      <c r="E650" s="356" t="s">
        <v>640</v>
      </c>
      <c r="F650" s="356" t="str">
        <f t="shared" si="38"/>
        <v>I</v>
      </c>
      <c r="G650" s="1452">
        <f>+IF(F650="i",IFERROR(VLOOKUP(C650,'BG 12.2024'!$B:$E,3,FALSE),0),0)</f>
        <v>2905069770</v>
      </c>
      <c r="H650" s="21">
        <f>+IF(F650="i",IFERROR(VLOOKUP(C650,'BG 12.2024'!$B:$E,4,FALSE),0),0)</f>
        <v>399845</v>
      </c>
      <c r="I650" s="21"/>
      <c r="J650" s="28">
        <f>+IF(F650="i",IFERROR(VLOOKUP(C650,'BG 2023'!$B:$E,3,FALSE),0),0)</f>
        <v>1849633864</v>
      </c>
      <c r="K650" s="21">
        <f>+IF(F650="i",IFERROR(VLOOKUP(C650,'BG 2023'!$B:$E,4,FALSE),0),0)</f>
        <v>259840</v>
      </c>
      <c r="M650" s="15">
        <f>+VLOOKUP(C650,'BG 2023'!$B:$E,1,0)</f>
        <v>1280111102</v>
      </c>
      <c r="N650" s="806">
        <f>+VLOOKUP(C650,'BG 2023'!$B:$E,3,0)</f>
        <v>1849633864</v>
      </c>
      <c r="O650" s="807">
        <f t="shared" si="37"/>
        <v>-1055435906</v>
      </c>
      <c r="P650" s="807">
        <f>+J650-G650</f>
        <v>-1055435906</v>
      </c>
      <c r="R650" s="807">
        <f>+IFERROR(VLOOKUP(C650,'CA FE'!$A:$C,3,0),0)-G650</f>
        <v>0</v>
      </c>
    </row>
    <row r="651" spans="1:20">
      <c r="A651" s="354" t="s">
        <v>10</v>
      </c>
      <c r="B651" s="354"/>
      <c r="C651" s="355">
        <v>1280112</v>
      </c>
      <c r="D651" s="354" t="s">
        <v>187</v>
      </c>
      <c r="E651" s="356" t="s">
        <v>640</v>
      </c>
      <c r="F651" s="356" t="str">
        <f t="shared" si="38"/>
        <v>NI</v>
      </c>
      <c r="G651" s="28">
        <f>+IF(F651="i",IFERROR(VLOOKUP(C651,'BG 12.2024'!$B:$E,3,FALSE),0),0)</f>
        <v>0</v>
      </c>
      <c r="H651" s="21">
        <f>+IF(F651="i",IFERROR(VLOOKUP(C651,'BG 12.2024'!$B:$E,4,FALSE),0),0)</f>
        <v>0</v>
      </c>
      <c r="I651" s="21"/>
      <c r="J651" s="28">
        <f>+IF(F651="i",IFERROR(VLOOKUP(C651,'BG 2023'!$B:$E,3,FALSE),0),0)</f>
        <v>0</v>
      </c>
      <c r="K651" s="21">
        <f>+IF(F651="i",IFERROR(VLOOKUP(C651,'BG 2023'!$B:$E,4,FALSE),0),0)</f>
        <v>0</v>
      </c>
      <c r="M651" s="15">
        <f>+VLOOKUP(C651,'BG 2023'!$B:$E,1,0)</f>
        <v>1280112</v>
      </c>
      <c r="N651" s="806">
        <f>+VLOOKUP(C651,'BG 2023'!$B:$E,3,0)</f>
        <v>333116208</v>
      </c>
      <c r="O651" s="807">
        <f t="shared" si="37"/>
        <v>333116208</v>
      </c>
      <c r="P651" s="807"/>
      <c r="R651" s="807">
        <f>+IFERROR(VLOOKUP(C651,'CA FE'!$A:$C,3,0),0)-G651</f>
        <v>0</v>
      </c>
    </row>
    <row r="652" spans="1:20">
      <c r="A652" s="354" t="s">
        <v>10</v>
      </c>
      <c r="B652" s="354"/>
      <c r="C652" s="355">
        <v>12801121</v>
      </c>
      <c r="D652" s="354" t="s">
        <v>188</v>
      </c>
      <c r="E652" s="356" t="s">
        <v>640</v>
      </c>
      <c r="F652" s="356" t="str">
        <f t="shared" si="38"/>
        <v>NI</v>
      </c>
      <c r="G652" s="28">
        <f>+IF(F652="i",IFERROR(VLOOKUP(C652,'BG 12.2024'!$B:$E,3,FALSE),0),0)</f>
        <v>0</v>
      </c>
      <c r="H652" s="21">
        <f>+IF(F652="i",IFERROR(VLOOKUP(C652,'BG 12.2024'!$B:$E,4,FALSE),0),0)</f>
        <v>0</v>
      </c>
      <c r="I652" s="21"/>
      <c r="J652" s="28">
        <f>+IF(F652="i",IFERROR(VLOOKUP(C652,'BG 2023'!$B:$E,3,FALSE),0),0)</f>
        <v>0</v>
      </c>
      <c r="K652" s="21">
        <f>+IF(F652="i",IFERROR(VLOOKUP(C652,'BG 2023'!$B:$E,4,FALSE),0),0)</f>
        <v>0</v>
      </c>
      <c r="M652" s="15">
        <f>+VLOOKUP(C652,'BG 2023'!$B:$E,1,0)</f>
        <v>12801121</v>
      </c>
      <c r="N652" s="806">
        <f>+VLOOKUP(C652,'BG 2023'!$B:$E,3,0)</f>
        <v>363399500</v>
      </c>
      <c r="O652" s="807">
        <f t="shared" si="37"/>
        <v>363399500</v>
      </c>
      <c r="P652" s="807"/>
      <c r="R652" s="807">
        <f>+IFERROR(VLOOKUP(C652,'CA FE'!$A:$C,3,0),0)-G652</f>
        <v>0</v>
      </c>
    </row>
    <row r="653" spans="1:20">
      <c r="A653" s="354" t="s">
        <v>10</v>
      </c>
      <c r="B653" s="354" t="s">
        <v>536</v>
      </c>
      <c r="C653" s="355">
        <v>1280112102</v>
      </c>
      <c r="D653" s="354" t="s">
        <v>189</v>
      </c>
      <c r="E653" s="356" t="s">
        <v>640</v>
      </c>
      <c r="F653" s="356" t="str">
        <f t="shared" si="38"/>
        <v>I</v>
      </c>
      <c r="G653" s="1453">
        <f>+IF(F653="i",IFERROR(VLOOKUP(C653,'BG 12.2024'!$B:$E,3,FALSE),0),0)</f>
        <v>777258485</v>
      </c>
      <c r="H653" s="21">
        <f>+IF(F653="i",IFERROR(VLOOKUP(C653,'BG 12.2024'!$B:$E,4,FALSE),0),0)</f>
        <v>102850</v>
      </c>
      <c r="I653" s="21"/>
      <c r="J653" s="1453">
        <f>+IF(F653="i",IFERROR(VLOOKUP(C653,'BG 2023'!$B:$E,3,FALSE),0),0)</f>
        <v>363399500</v>
      </c>
      <c r="K653" s="21">
        <f>+IF(F653="i",IFERROR(VLOOKUP(C653,'BG 2023'!$B:$E,4,FALSE),0),0)</f>
        <v>50000</v>
      </c>
      <c r="M653" s="15">
        <f>+VLOOKUP(C653,'BG 2023'!$B:$E,1,0)</f>
        <v>1280112102</v>
      </c>
      <c r="N653" s="806">
        <f>+VLOOKUP(C653,'BG 2023'!$B:$E,3,0)</f>
        <v>363399500</v>
      </c>
      <c r="O653" s="807">
        <f t="shared" si="37"/>
        <v>-413858985</v>
      </c>
      <c r="P653" s="807">
        <f>+G653-J653</f>
        <v>413858985</v>
      </c>
      <c r="R653" s="807">
        <f>+IFERROR(VLOOKUP(C653,'CA FE'!$A:$C,3,0),0)-G653</f>
        <v>0</v>
      </c>
    </row>
    <row r="654" spans="1:20">
      <c r="A654" s="354" t="s">
        <v>10</v>
      </c>
      <c r="B654" s="354"/>
      <c r="C654" s="355">
        <v>12801122</v>
      </c>
      <c r="D654" s="354" t="s">
        <v>186</v>
      </c>
      <c r="E654" s="356" t="s">
        <v>640</v>
      </c>
      <c r="F654" s="356" t="str">
        <f t="shared" si="38"/>
        <v>NI</v>
      </c>
      <c r="G654" s="28">
        <f>+IF(F654="i",IFERROR(VLOOKUP(C654,'BG 12.2024'!$B:$E,3,FALSE),0),0)</f>
        <v>0</v>
      </c>
      <c r="H654" s="21">
        <f>+IF(F654="i",IFERROR(VLOOKUP(C654,'BG 12.2024'!$B:$E,4,FALSE),0),0)</f>
        <v>0</v>
      </c>
      <c r="I654" s="21"/>
      <c r="J654" s="28">
        <f>+IF(F654="i",IFERROR(VLOOKUP(C654,'BG 2023'!$B:$E,3,FALSE),0),0)</f>
        <v>0</v>
      </c>
      <c r="K654" s="21">
        <f>+IF(F654="i",IFERROR(VLOOKUP(C654,'BG 2023'!$B:$E,4,FALSE),0),0)</f>
        <v>0</v>
      </c>
      <c r="M654" s="15">
        <f>+VLOOKUP(C654,'BG 2023'!$B:$E,1,0)</f>
        <v>12801122</v>
      </c>
      <c r="N654" s="806">
        <f>+VLOOKUP(C654,'BG 2023'!$B:$E,3,0)</f>
        <v>-30283292</v>
      </c>
      <c r="O654" s="807">
        <f t="shared" si="37"/>
        <v>-30283292</v>
      </c>
      <c r="P654" s="807"/>
      <c r="R654" s="807">
        <f>+IFERROR(VLOOKUP(C654,'CA FE'!$A:$C,3,0),0)-G654</f>
        <v>0</v>
      </c>
    </row>
    <row r="655" spans="1:20">
      <c r="A655" s="354" t="s">
        <v>10</v>
      </c>
      <c r="B655" s="354" t="s">
        <v>854</v>
      </c>
      <c r="C655" s="355">
        <v>1280112201</v>
      </c>
      <c r="D655" s="354" t="s">
        <v>190</v>
      </c>
      <c r="E655" s="356" t="s">
        <v>640</v>
      </c>
      <c r="F655" s="356" t="str">
        <f t="shared" si="38"/>
        <v>I</v>
      </c>
      <c r="G655" s="1453">
        <f>+IF(F655="i",IFERROR(VLOOKUP(C655,'BG 12.2024'!$B:$E,3,FALSE),0),0)</f>
        <v>-418553068</v>
      </c>
      <c r="H655" s="21">
        <f>+IF(F655="i",IFERROR(VLOOKUP(C655,'BG 12.2024'!$B:$E,4,FALSE),0),0)</f>
        <v>-57016.67</v>
      </c>
      <c r="I655" s="21"/>
      <c r="J655" s="1453">
        <f>+IF(F655="i",IFERROR(VLOOKUP(C655,'BG 2023'!$B:$E,3,FALSE),0),0)</f>
        <v>-30283292</v>
      </c>
      <c r="K655" s="21">
        <f>+IF(F655="i",IFERROR(VLOOKUP(C655,'BG 2023'!$B:$E,4,FALSE),0),0)</f>
        <v>-4166.6700000000128</v>
      </c>
      <c r="M655" s="15">
        <f>+VLOOKUP(C655,'BG 2023'!$B:$E,1,0)</f>
        <v>1280112201</v>
      </c>
      <c r="N655" s="806">
        <f>+VLOOKUP(C655,'BG 2023'!$B:$E,3,0)</f>
        <v>-30283292</v>
      </c>
      <c r="O655" s="807">
        <f t="shared" si="37"/>
        <v>388269776</v>
      </c>
      <c r="P655" s="807"/>
      <c r="R655" s="807">
        <f>+IFERROR(VLOOKUP(C655,'CA FE'!$A:$C,3,0),0)-G655</f>
        <v>0</v>
      </c>
    </row>
    <row r="656" spans="1:20">
      <c r="A656" s="354" t="s">
        <v>10</v>
      </c>
      <c r="B656" s="354"/>
      <c r="C656" s="355">
        <v>12801113</v>
      </c>
      <c r="D656" s="354" t="s">
        <v>855</v>
      </c>
      <c r="E656" s="356" t="s">
        <v>634</v>
      </c>
      <c r="F656" s="356" t="str">
        <f t="shared" si="38"/>
        <v>NI</v>
      </c>
      <c r="G656" s="28">
        <f>+IF(F656="i",IFERROR(VLOOKUP(C656,'BG 12.2024'!$B:$E,3,FALSE),0),0)</f>
        <v>0</v>
      </c>
      <c r="H656" s="21">
        <f>+IF(F656="i",IFERROR(VLOOKUP(C656,'BG 12.2024'!$B:$E,4,FALSE),0),0)</f>
        <v>0</v>
      </c>
      <c r="I656" s="21"/>
      <c r="J656" s="28">
        <f>+IF(F656="i",IFERROR(VLOOKUP(C656,'BG 2023'!$B:$E,3,FALSE),0),0)</f>
        <v>0</v>
      </c>
      <c r="K656" s="21">
        <f>+IF(F656="i",IFERROR(VLOOKUP(C656,'BG 2023'!$B:$E,4,FALSE),0),0)</f>
        <v>0</v>
      </c>
      <c r="M656" s="15" t="e">
        <f>+VLOOKUP(C656,'BG 2023'!$B:$E,1,0)</f>
        <v>#N/A</v>
      </c>
      <c r="N656" s="806" t="e">
        <f>+VLOOKUP(C656,'BG 2023'!$B:$E,3,0)</f>
        <v>#N/A</v>
      </c>
      <c r="O656" s="807" t="e">
        <f t="shared" si="37"/>
        <v>#N/A</v>
      </c>
      <c r="P656" s="807"/>
      <c r="R656" s="807">
        <f>+IFERROR(VLOOKUP(C656,'CA FE'!$A:$C,3,0),0)-G656</f>
        <v>0</v>
      </c>
      <c r="T656" s="344">
        <v>1280112201</v>
      </c>
    </row>
    <row r="657" spans="1:18">
      <c r="A657" s="354" t="s">
        <v>10</v>
      </c>
      <c r="B657" s="354"/>
      <c r="C657" s="355">
        <v>1280111301</v>
      </c>
      <c r="D657" s="354" t="s">
        <v>856</v>
      </c>
      <c r="E657" s="356" t="s">
        <v>634</v>
      </c>
      <c r="F657" s="356" t="str">
        <f t="shared" si="38"/>
        <v>I</v>
      </c>
      <c r="G657" s="28">
        <f>+IF(F657="i",IFERROR(VLOOKUP(C657,'BG 12.2024'!$B:$E,3,FALSE),0),0)</f>
        <v>0</v>
      </c>
      <c r="H657" s="21">
        <f>+IF(F657="i",IFERROR(VLOOKUP(C657,'BG 12.2024'!$B:$E,4,FALSE),0),0)</f>
        <v>0</v>
      </c>
      <c r="I657" s="21"/>
      <c r="J657" s="28">
        <f>+IF(F657="i",IFERROR(VLOOKUP(C657,'BG 2023'!$B:$E,3,FALSE),0),0)</f>
        <v>0</v>
      </c>
      <c r="K657" s="21">
        <f>+IF(F657="i",IFERROR(VLOOKUP(C657,'BG 2023'!$B:$E,4,FALSE),0),0)</f>
        <v>0</v>
      </c>
      <c r="M657" s="15" t="e">
        <f>+VLOOKUP(C657,'BG 2023'!$B:$E,1,0)</f>
        <v>#N/A</v>
      </c>
      <c r="N657" s="806" t="e">
        <f>+VLOOKUP(C657,'BG 2023'!$B:$E,3,0)</f>
        <v>#N/A</v>
      </c>
      <c r="O657" s="807" t="e">
        <f t="shared" si="37"/>
        <v>#N/A</v>
      </c>
      <c r="P657" s="807"/>
      <c r="R657" s="807">
        <f>+IFERROR(VLOOKUP(C657,'CA FE'!$A:$C,3,0),0)-G657</f>
        <v>0</v>
      </c>
    </row>
    <row r="658" spans="1:18">
      <c r="A658" s="354" t="s">
        <v>10</v>
      </c>
      <c r="B658" s="354"/>
      <c r="C658" s="355">
        <v>1280111302</v>
      </c>
      <c r="D658" s="354" t="s">
        <v>857</v>
      </c>
      <c r="E658" s="356" t="s">
        <v>640</v>
      </c>
      <c r="F658" s="356" t="str">
        <f t="shared" si="38"/>
        <v>I</v>
      </c>
      <c r="G658" s="28">
        <f>+IF(F658="i",IFERROR(VLOOKUP(C658,'BG 12.2024'!$B:$E,3,FALSE),0),0)</f>
        <v>0</v>
      </c>
      <c r="H658" s="21">
        <f>+IF(F658="i",IFERROR(VLOOKUP(C658,'BG 12.2024'!$B:$E,4,FALSE),0),0)</f>
        <v>0</v>
      </c>
      <c r="I658" s="21"/>
      <c r="J658" s="28">
        <f>+IF(F658="i",IFERROR(VLOOKUP(C658,'BG 2023'!$B:$E,3,FALSE),0),0)</f>
        <v>0</v>
      </c>
      <c r="K658" s="21">
        <f>+IF(F658="i",IFERROR(VLOOKUP(C658,'BG 2023'!$B:$E,4,FALSE),0),0)</f>
        <v>0</v>
      </c>
      <c r="M658" s="15" t="e">
        <f>+VLOOKUP(C658,'BG 2023'!$B:$E,1,0)</f>
        <v>#N/A</v>
      </c>
      <c r="N658" s="806" t="e">
        <f>+VLOOKUP(C658,'BG 2023'!$B:$E,3,0)</f>
        <v>#N/A</v>
      </c>
      <c r="O658" s="807" t="e">
        <f t="shared" ref="O658:O722" si="39">+N658-G658</f>
        <v>#N/A</v>
      </c>
      <c r="P658" s="807"/>
      <c r="R658" s="807">
        <f>+IFERROR(VLOOKUP(C658,'CA FE'!$A:$C,3,0),0)-G658</f>
        <v>0</v>
      </c>
    </row>
    <row r="659" spans="1:18">
      <c r="A659" s="354" t="s">
        <v>10</v>
      </c>
      <c r="B659" s="354"/>
      <c r="C659" s="355">
        <v>12801114</v>
      </c>
      <c r="D659" s="354" t="s">
        <v>536</v>
      </c>
      <c r="E659" s="356" t="s">
        <v>634</v>
      </c>
      <c r="F659" s="356" t="str">
        <f t="shared" si="38"/>
        <v>NI</v>
      </c>
      <c r="G659" s="28">
        <f>+IF(F659="i",IFERROR(VLOOKUP(C659,'BG 12.2024'!$B:$E,3,FALSE),0),0)</f>
        <v>0</v>
      </c>
      <c r="H659" s="21">
        <f>+IF(F659="i",IFERROR(VLOOKUP(C659,'BG 12.2024'!$B:$E,4,FALSE),0),0)</f>
        <v>0</v>
      </c>
      <c r="I659" s="21"/>
      <c r="J659" s="28">
        <f>+IF(F659="i",IFERROR(VLOOKUP(C659,'BG 2023'!$B:$E,3,FALSE),0),0)</f>
        <v>0</v>
      </c>
      <c r="K659" s="21">
        <f>+IF(F659="i",IFERROR(VLOOKUP(C659,'BG 2023'!$B:$E,4,FALSE),0),0)</f>
        <v>0</v>
      </c>
      <c r="M659" s="15" t="e">
        <f>+VLOOKUP(C659,'BG 2023'!$B:$E,1,0)</f>
        <v>#N/A</v>
      </c>
      <c r="N659" s="806" t="e">
        <f>+VLOOKUP(C659,'BG 2023'!$B:$E,3,0)</f>
        <v>#N/A</v>
      </c>
      <c r="O659" s="807" t="e">
        <f t="shared" si="39"/>
        <v>#N/A</v>
      </c>
      <c r="P659" s="807"/>
      <c r="R659" s="807">
        <f>+IFERROR(VLOOKUP(C659,'CA FE'!$A:$C,3,0),0)-G659</f>
        <v>0</v>
      </c>
    </row>
    <row r="660" spans="1:18">
      <c r="A660" s="354" t="s">
        <v>10</v>
      </c>
      <c r="B660" s="354" t="s">
        <v>536</v>
      </c>
      <c r="C660" s="355">
        <v>1280111402</v>
      </c>
      <c r="D660" s="354" t="s">
        <v>537</v>
      </c>
      <c r="E660" s="356" t="s">
        <v>634</v>
      </c>
      <c r="F660" s="356" t="str">
        <f t="shared" si="38"/>
        <v>I</v>
      </c>
      <c r="G660" s="28">
        <f>+IF(F660="i",IFERROR(VLOOKUP(C660,'BG 12.2024'!$B:$E,3,FALSE),0),0)</f>
        <v>0</v>
      </c>
      <c r="H660" s="21">
        <f>+IF(F660="i",IFERROR(VLOOKUP(C660,'BG 12.2024'!$B:$E,4,FALSE),0),0)</f>
        <v>0</v>
      </c>
      <c r="I660" s="21"/>
      <c r="J660" s="28">
        <f>+IF(F660="i",IFERROR(VLOOKUP(C660,'BG 2023'!$B:$E,3,FALSE),0),0)</f>
        <v>0</v>
      </c>
      <c r="K660" s="21">
        <f>+IF(F660="i",IFERROR(VLOOKUP(C660,'BG 2023'!$B:$E,4,FALSE),0),0)</f>
        <v>0</v>
      </c>
      <c r="M660" s="15" t="e">
        <f>+VLOOKUP(C660,'BG 2023'!$B:$E,1,0)</f>
        <v>#N/A</v>
      </c>
      <c r="N660" s="806" t="e">
        <f>+VLOOKUP(C660,'BG 2023'!$B:$E,3,0)</f>
        <v>#N/A</v>
      </c>
      <c r="O660" s="807" t="e">
        <f t="shared" si="39"/>
        <v>#N/A</v>
      </c>
      <c r="P660" s="807"/>
      <c r="R660" s="807">
        <f>+IFERROR(VLOOKUP(C660,'CA FE'!$A:$C,3,0),0)-G660</f>
        <v>0</v>
      </c>
    </row>
    <row r="661" spans="1:18">
      <c r="A661" s="354" t="s">
        <v>10</v>
      </c>
      <c r="B661" s="354"/>
      <c r="C661" s="355">
        <v>12801115</v>
      </c>
      <c r="D661" s="354" t="s">
        <v>858</v>
      </c>
      <c r="E661" s="356" t="s">
        <v>634</v>
      </c>
      <c r="F661" s="356" t="str">
        <f t="shared" si="38"/>
        <v>NI</v>
      </c>
      <c r="G661" s="28">
        <f>+IF(F661="i",IFERROR(VLOOKUP(C661,'BG 12.2024'!$B:$E,3,FALSE),0),0)</f>
        <v>0</v>
      </c>
      <c r="H661" s="21">
        <f>+IF(F661="i",IFERROR(VLOOKUP(C661,'BG 12.2024'!$B:$E,4,FALSE),0),0)</f>
        <v>0</v>
      </c>
      <c r="I661" s="21"/>
      <c r="J661" s="28">
        <f>+IF(F661="i",IFERROR(VLOOKUP(C661,'BG 2023'!$B:$E,3,FALSE),0),0)</f>
        <v>0</v>
      </c>
      <c r="K661" s="21">
        <f>+IF(F661="i",IFERROR(VLOOKUP(C661,'BG 2023'!$B:$E,4,FALSE),0),0)</f>
        <v>0</v>
      </c>
      <c r="M661" s="15" t="e">
        <f>+VLOOKUP(C661,'BG 2023'!$B:$E,1,0)</f>
        <v>#N/A</v>
      </c>
      <c r="N661" s="806" t="e">
        <f>+VLOOKUP(C661,'BG 2023'!$B:$E,3,0)</f>
        <v>#N/A</v>
      </c>
      <c r="O661" s="807" t="e">
        <f t="shared" si="39"/>
        <v>#N/A</v>
      </c>
      <c r="P661" s="807"/>
      <c r="R661" s="807">
        <f>+IFERROR(VLOOKUP(C661,'CA FE'!$A:$C,3,0),0)-G661</f>
        <v>0</v>
      </c>
    </row>
    <row r="662" spans="1:18">
      <c r="A662" s="354" t="s">
        <v>10</v>
      </c>
      <c r="B662" s="354"/>
      <c r="C662" s="355">
        <v>12801116</v>
      </c>
      <c r="D662" s="354" t="s">
        <v>859</v>
      </c>
      <c r="E662" s="356" t="s">
        <v>634</v>
      </c>
      <c r="F662" s="356" t="str">
        <f t="shared" si="38"/>
        <v>NI</v>
      </c>
      <c r="G662" s="28">
        <f>+IF(F662="i",IFERROR(VLOOKUP(C662,'BG 12.2024'!$B:$E,3,FALSE),0),0)</f>
        <v>0</v>
      </c>
      <c r="H662" s="21">
        <f>+IF(F662="i",IFERROR(VLOOKUP(C662,'BG 12.2024'!$B:$E,4,FALSE),0),0)</f>
        <v>0</v>
      </c>
      <c r="I662" s="21"/>
      <c r="J662" s="28">
        <f>+IF(F662="i",IFERROR(VLOOKUP(C662,'BG 2023'!$B:$E,3,FALSE),0),0)</f>
        <v>0</v>
      </c>
      <c r="K662" s="21">
        <f>+IF(F662="i",IFERROR(VLOOKUP(C662,'BG 2023'!$B:$E,4,FALSE),0),0)</f>
        <v>0</v>
      </c>
      <c r="M662" s="15" t="e">
        <f>+VLOOKUP(C662,'BG 2023'!$B:$E,1,0)</f>
        <v>#N/A</v>
      </c>
      <c r="N662" s="806" t="e">
        <f>+VLOOKUP(C662,'BG 2023'!$B:$E,3,0)</f>
        <v>#N/A</v>
      </c>
      <c r="O662" s="807" t="e">
        <f t="shared" si="39"/>
        <v>#N/A</v>
      </c>
      <c r="P662" s="807"/>
      <c r="R662" s="807">
        <f>+IFERROR(VLOOKUP(C662,'CA FE'!$A:$C,3,0),0)-G662</f>
        <v>0</v>
      </c>
    </row>
    <row r="663" spans="1:18">
      <c r="A663" s="354" t="s">
        <v>10</v>
      </c>
      <c r="B663" s="354"/>
      <c r="C663" s="355">
        <v>12801117</v>
      </c>
      <c r="D663" s="354" t="s">
        <v>186</v>
      </c>
      <c r="E663" s="356" t="s">
        <v>634</v>
      </c>
      <c r="F663" s="356" t="str">
        <f t="shared" si="38"/>
        <v>NI</v>
      </c>
      <c r="G663" s="28">
        <f>+IF(F663="i",IFERROR(VLOOKUP(C663,'BG 12.2024'!$B:$E,3,FALSE),0),0)</f>
        <v>0</v>
      </c>
      <c r="H663" s="21">
        <f>+IF(F663="i",IFERROR(VLOOKUP(C663,'BG 12.2024'!$B:$E,4,FALSE),0),0)</f>
        <v>0</v>
      </c>
      <c r="I663" s="21"/>
      <c r="J663" s="28">
        <f>+IF(F663="i",IFERROR(VLOOKUP(C663,'BG 2023'!$B:$E,3,FALSE),0),0)</f>
        <v>0</v>
      </c>
      <c r="K663" s="21">
        <f>+IF(F663="i",IFERROR(VLOOKUP(C663,'BG 2023'!$B:$E,4,FALSE),0),0)</f>
        <v>0</v>
      </c>
      <c r="M663" s="15">
        <f>+VLOOKUP(C663,'BG 2023'!$B:$E,1,0)</f>
        <v>12801117</v>
      </c>
      <c r="N663" s="806">
        <f>+VLOOKUP(C663,'BG 2023'!$B:$E,3,0)</f>
        <v>-148914030</v>
      </c>
      <c r="O663" s="807">
        <f t="shared" si="39"/>
        <v>-148914030</v>
      </c>
      <c r="P663" s="807"/>
      <c r="R663" s="807">
        <f>+IFERROR(VLOOKUP(C663,'CA FE'!$A:$C,3,0),0)-G663</f>
        <v>0</v>
      </c>
    </row>
    <row r="664" spans="1:18">
      <c r="A664" s="354" t="s">
        <v>10</v>
      </c>
      <c r="B664" s="354" t="s">
        <v>854</v>
      </c>
      <c r="C664" s="355">
        <v>1280111701</v>
      </c>
      <c r="D664" s="354" t="s">
        <v>184</v>
      </c>
      <c r="E664" s="356" t="s">
        <v>634</v>
      </c>
      <c r="F664" s="356" t="str">
        <f t="shared" si="38"/>
        <v>I</v>
      </c>
      <c r="G664" s="1452">
        <f>+IF(F664="i",IFERROR(VLOOKUP(C664,'BG 12.2024'!$B:$E,3,FALSE),0),0)</f>
        <v>-745430960</v>
      </c>
      <c r="H664" s="21">
        <f>+IF(F664="i",IFERROR(VLOOKUP(C664,'BG 12.2024'!$B:$E,4,FALSE),0),0)</f>
        <v>-103122.97</v>
      </c>
      <c r="I664" s="21"/>
      <c r="J664" s="1452">
        <f>+IF(F664="i",IFERROR(VLOOKUP(C664,'BG 2023'!$B:$E,3,FALSE),0),0)</f>
        <v>-148914030</v>
      </c>
      <c r="K664" s="21">
        <f>+IF(F664="i",IFERROR(VLOOKUP(C664,'BG 2023'!$B:$E,4,FALSE),0),0)</f>
        <v>-20942</v>
      </c>
      <c r="M664" s="15">
        <f>+VLOOKUP(C664,'BG 2023'!$B:$E,1,0)</f>
        <v>1280111701</v>
      </c>
      <c r="N664" s="806">
        <f>+VLOOKUP(C664,'BG 2023'!$B:$E,3,0)</f>
        <v>-148914030</v>
      </c>
      <c r="O664" s="807">
        <f t="shared" si="39"/>
        <v>596516930</v>
      </c>
      <c r="P664" s="807"/>
      <c r="R664" s="807">
        <f>+IFERROR(VLOOKUP(C664,'CA FE'!$A:$C,3,0),0)-G664</f>
        <v>0</v>
      </c>
    </row>
    <row r="665" spans="1:18">
      <c r="A665" s="354" t="s">
        <v>10</v>
      </c>
      <c r="B665" s="354"/>
      <c r="C665" s="355">
        <v>1280111702</v>
      </c>
      <c r="D665" s="354" t="s">
        <v>855</v>
      </c>
      <c r="E665" s="356" t="s">
        <v>634</v>
      </c>
      <c r="F665" s="356" t="str">
        <f t="shared" si="38"/>
        <v>I</v>
      </c>
      <c r="G665" s="28">
        <f>+IF(F665="i",IFERROR(VLOOKUP(C665,'BG 12.2024'!$B:$E,3,FALSE),0),0)</f>
        <v>0</v>
      </c>
      <c r="H665" s="21">
        <f>+IF(F665="i",IFERROR(VLOOKUP(C665,'BG 12.2024'!$B:$E,4,FALSE),0),0)</f>
        <v>0</v>
      </c>
      <c r="I665" s="21"/>
      <c r="J665" s="28">
        <f>+IF(F665="i",IFERROR(VLOOKUP(C665,'BG 2023'!$B:$E,3,FALSE),0),0)</f>
        <v>0</v>
      </c>
      <c r="K665" s="21">
        <f>+IF(F665="i",IFERROR(VLOOKUP(C665,'BG 2023'!$B:$E,4,FALSE),0),0)</f>
        <v>0</v>
      </c>
      <c r="M665" s="15" t="e">
        <f>+VLOOKUP(C665,'BG 2023'!$B:$E,1,0)</f>
        <v>#N/A</v>
      </c>
      <c r="N665" s="806" t="e">
        <f>+VLOOKUP(C665,'BG 2023'!$B:$E,3,0)</f>
        <v>#N/A</v>
      </c>
      <c r="O665" s="807" t="e">
        <f t="shared" si="39"/>
        <v>#N/A</v>
      </c>
      <c r="P665" s="807"/>
      <c r="R665" s="807">
        <f>+IFERROR(VLOOKUP(C665,'CA FE'!$A:$C,3,0),0)-G665</f>
        <v>0</v>
      </c>
    </row>
    <row r="666" spans="1:18">
      <c r="A666" s="354" t="s">
        <v>10</v>
      </c>
      <c r="B666" s="354" t="s">
        <v>854</v>
      </c>
      <c r="C666" s="355">
        <v>1280111703</v>
      </c>
      <c r="D666" s="354" t="s">
        <v>538</v>
      </c>
      <c r="E666" s="356" t="s">
        <v>634</v>
      </c>
      <c r="F666" s="356" t="str">
        <f t="shared" si="38"/>
        <v>I</v>
      </c>
      <c r="G666" s="28">
        <f>+IF(F666="i",IFERROR(VLOOKUP(C666,'BG 12.2024'!$B:$E,3,FALSE),0),0)</f>
        <v>0</v>
      </c>
      <c r="H666" s="21">
        <f>+IF(F666="i",IFERROR(VLOOKUP(C666,'BG 12.2024'!$B:$E,4,FALSE),0),0)</f>
        <v>0</v>
      </c>
      <c r="I666" s="21"/>
      <c r="J666" s="28">
        <f>+IF(F666="i",IFERROR(VLOOKUP(C666,'BG 2023'!$B:$E,3,FALSE),0),0)</f>
        <v>0</v>
      </c>
      <c r="K666" s="21">
        <f>+IF(F666="i",IFERROR(VLOOKUP(C666,'BG 2023'!$B:$E,4,FALSE),0),0)</f>
        <v>0</v>
      </c>
      <c r="M666" s="15" t="e">
        <f>+VLOOKUP(C666,'BG 2023'!$B:$E,1,0)</f>
        <v>#N/A</v>
      </c>
      <c r="N666" s="806" t="e">
        <f>+VLOOKUP(C666,'BG 2023'!$B:$E,3,0)</f>
        <v>#N/A</v>
      </c>
      <c r="O666" s="807" t="e">
        <f t="shared" si="39"/>
        <v>#N/A</v>
      </c>
      <c r="P666" s="807"/>
      <c r="R666" s="807">
        <f>+IFERROR(VLOOKUP(C666,'CA FE'!$A:$C,3,0),0)-G666</f>
        <v>0</v>
      </c>
    </row>
    <row r="667" spans="1:18">
      <c r="A667" s="354" t="s">
        <v>10</v>
      </c>
      <c r="B667" s="354"/>
      <c r="C667" s="355">
        <v>1280111704</v>
      </c>
      <c r="D667" s="354" t="s">
        <v>858</v>
      </c>
      <c r="E667" s="356" t="s">
        <v>634</v>
      </c>
      <c r="F667" s="356" t="str">
        <f t="shared" si="38"/>
        <v>I</v>
      </c>
      <c r="G667" s="28">
        <f>+IF(F667="i",IFERROR(VLOOKUP(C667,'BG 12.2024'!$B:$E,3,FALSE),0),0)</f>
        <v>0</v>
      </c>
      <c r="H667" s="21">
        <f>+IF(F667="i",IFERROR(VLOOKUP(C667,'BG 12.2024'!$B:$E,4,FALSE),0),0)</f>
        <v>0</v>
      </c>
      <c r="I667" s="21"/>
      <c r="J667" s="28">
        <f>+IF(F667="i",IFERROR(VLOOKUP(C667,'BG 2023'!$B:$E,3,FALSE),0),0)</f>
        <v>0</v>
      </c>
      <c r="K667" s="21">
        <f>+IF(F667="i",IFERROR(VLOOKUP(C667,'BG 2023'!$B:$E,4,FALSE),0),0)</f>
        <v>0</v>
      </c>
      <c r="M667" s="15" t="e">
        <f>+VLOOKUP(C667,'BG 2023'!$B:$E,1,0)</f>
        <v>#N/A</v>
      </c>
      <c r="N667" s="806" t="e">
        <f>+VLOOKUP(C667,'BG 2023'!$B:$E,3,0)</f>
        <v>#N/A</v>
      </c>
      <c r="O667" s="807" t="e">
        <f t="shared" si="39"/>
        <v>#N/A</v>
      </c>
      <c r="P667" s="807"/>
      <c r="R667" s="807">
        <f>+IFERROR(VLOOKUP(C667,'CA FE'!$A:$C,3,0),0)-G667</f>
        <v>0</v>
      </c>
    </row>
    <row r="668" spans="1:18">
      <c r="A668" s="354" t="s">
        <v>10</v>
      </c>
      <c r="B668" s="354"/>
      <c r="C668" s="355">
        <v>1280111705</v>
      </c>
      <c r="D668" s="354" t="s">
        <v>859</v>
      </c>
      <c r="E668" s="356" t="s">
        <v>634</v>
      </c>
      <c r="F668" s="356" t="str">
        <f t="shared" si="38"/>
        <v>I</v>
      </c>
      <c r="G668" s="28">
        <f>+IF(F668="i",IFERROR(VLOOKUP(C668,'BG 12.2024'!$B:$E,3,FALSE),0),0)</f>
        <v>0</v>
      </c>
      <c r="H668" s="21">
        <f>+IF(F668="i",IFERROR(VLOOKUP(C668,'BG 12.2024'!$B:$E,4,FALSE),0),0)</f>
        <v>0</v>
      </c>
      <c r="I668" s="21"/>
      <c r="J668" s="28">
        <f>+IF(F668="i",IFERROR(VLOOKUP(C668,'BG 2023'!$B:$E,3,FALSE),0),0)</f>
        <v>0</v>
      </c>
      <c r="K668" s="21">
        <f>+IF(F668="i",IFERROR(VLOOKUP(C668,'BG 2023'!$B:$E,4,FALSE),0),0)</f>
        <v>0</v>
      </c>
      <c r="M668" s="15" t="e">
        <f>+VLOOKUP(C668,'BG 2023'!$B:$E,1,0)</f>
        <v>#N/A</v>
      </c>
      <c r="N668" s="806" t="e">
        <f>+VLOOKUP(C668,'BG 2023'!$B:$E,3,0)</f>
        <v>#N/A</v>
      </c>
      <c r="O668" s="807" t="e">
        <f t="shared" si="39"/>
        <v>#N/A</v>
      </c>
      <c r="P668" s="807"/>
      <c r="R668" s="807">
        <f>+IFERROR(VLOOKUP(C668,'CA FE'!$A:$C,3,0),0)-G668</f>
        <v>0</v>
      </c>
    </row>
    <row r="669" spans="1:18">
      <c r="A669" s="354" t="s">
        <v>10</v>
      </c>
      <c r="B669" s="354"/>
      <c r="C669" s="355">
        <v>129</v>
      </c>
      <c r="D669" s="354" t="s">
        <v>191</v>
      </c>
      <c r="E669" s="356" t="s">
        <v>634</v>
      </c>
      <c r="F669" s="356" t="str">
        <f t="shared" ref="F669:F738" si="40">+IF(LEN(C669)&gt;8,"I","NI")</f>
        <v>NI</v>
      </c>
      <c r="G669" s="28">
        <f>+IF(F669="i",IFERROR(VLOOKUP(C669,'BG 12.2024'!$B:$E,3,FALSE),0),0)</f>
        <v>0</v>
      </c>
      <c r="H669" s="21">
        <f>+IF(F669="i",IFERROR(VLOOKUP(C669,'BG 12.2024'!$B:$E,4,FALSE),0),0)</f>
        <v>0</v>
      </c>
      <c r="I669" s="21"/>
      <c r="J669" s="28">
        <f>+IF(F669="i",IFERROR(VLOOKUP(C669,'BG 2023'!$B:$E,3,FALSE),0),0)</f>
        <v>0</v>
      </c>
      <c r="K669" s="21">
        <f>+IF(F669="i",IFERROR(VLOOKUP(C669,'BG 2023'!$B:$E,4,FALSE),0),0)</f>
        <v>0</v>
      </c>
      <c r="M669" s="15">
        <f>+VLOOKUP(C669,'BG 2023'!$B:$E,1,0)</f>
        <v>129</v>
      </c>
      <c r="N669" s="806">
        <f>+VLOOKUP(C669,'BG 2023'!$B:$E,3,0)</f>
        <v>45194720</v>
      </c>
      <c r="O669" s="807">
        <f t="shared" si="39"/>
        <v>45194720</v>
      </c>
      <c r="P669" s="807"/>
      <c r="R669" s="807">
        <f>+IFERROR(VLOOKUP(C669,'CA FE'!$A:$C,3,0),0)-G669</f>
        <v>0</v>
      </c>
    </row>
    <row r="670" spans="1:18">
      <c r="A670" s="913" t="s">
        <v>10</v>
      </c>
      <c r="B670" s="913"/>
      <c r="C670" s="914">
        <v>12901</v>
      </c>
      <c r="D670" s="913" t="s">
        <v>860</v>
      </c>
      <c r="E670" s="791" t="s">
        <v>634</v>
      </c>
      <c r="F670" s="356" t="str">
        <f t="shared" si="40"/>
        <v>NI</v>
      </c>
      <c r="G670" s="28">
        <f>+IF(F670="i",IFERROR(VLOOKUP(C670,'BG 12.2024'!$B:$E,3,FALSE),0),0)</f>
        <v>0</v>
      </c>
      <c r="H670" s="21">
        <f>+IF(F670="i",IFERROR(VLOOKUP(C670,'BG 12.2024'!$B:$E,4,FALSE),0),0)</f>
        <v>0</v>
      </c>
      <c r="I670" s="135"/>
      <c r="J670" s="28">
        <f>+IF(F670="i",IFERROR(VLOOKUP(C670,'BG 2023'!$B:$E,3,FALSE),0),0)</f>
        <v>0</v>
      </c>
      <c r="K670" s="21">
        <f>+IF(F670="i",IFERROR(VLOOKUP(C670,'BG 2023'!$B:$E,4,FALSE),0),0)</f>
        <v>0</v>
      </c>
      <c r="M670" s="15">
        <f>+VLOOKUP(C670,'BG 2023'!$B:$E,1,0)</f>
        <v>12901</v>
      </c>
      <c r="N670" s="806">
        <f>+VLOOKUP(C670,'BG 2023'!$B:$E,3,0)</f>
        <v>45194720</v>
      </c>
      <c r="O670" s="807">
        <f t="shared" si="39"/>
        <v>45194720</v>
      </c>
      <c r="P670" s="807"/>
      <c r="R670" s="807">
        <f>+IFERROR(VLOOKUP(C670,'CA FE'!$A:$C,3,0),0)-G670</f>
        <v>0</v>
      </c>
    </row>
    <row r="671" spans="1:18">
      <c r="A671" s="913" t="s">
        <v>10</v>
      </c>
      <c r="B671" s="915"/>
      <c r="C671" s="914">
        <v>1290111</v>
      </c>
      <c r="D671" s="913" t="s">
        <v>860</v>
      </c>
      <c r="E671" s="791" t="s">
        <v>634</v>
      </c>
      <c r="F671" s="356" t="str">
        <f t="shared" si="40"/>
        <v>NI</v>
      </c>
      <c r="G671" s="28">
        <f>+IF(F671="i",IFERROR(VLOOKUP(C671,'BG 12.2024'!$B:$E,3,FALSE),0),0)</f>
        <v>0</v>
      </c>
      <c r="H671" s="21">
        <f>+IF(F671="i",IFERROR(VLOOKUP(C671,'BG 12.2024'!$B:$E,4,FALSE),0),0)</f>
        <v>0</v>
      </c>
      <c r="I671" s="358"/>
      <c r="J671" s="28">
        <f>+IF(F671="i",IFERROR(VLOOKUP(C671,'BG 2023'!$B:$E,3,FALSE),0),0)</f>
        <v>0</v>
      </c>
      <c r="K671" s="21">
        <f>+IF(F671="i",IFERROR(VLOOKUP(C671,'BG 2023'!$B:$E,4,FALSE),0),0)</f>
        <v>0</v>
      </c>
      <c r="M671" s="15">
        <f>+VLOOKUP(C671,'BG 2023'!$B:$E,1,0)</f>
        <v>1290111</v>
      </c>
      <c r="N671" s="806">
        <f>+VLOOKUP(C671,'BG 2023'!$B:$E,3,0)</f>
        <v>45194720</v>
      </c>
      <c r="O671" s="807">
        <f t="shared" si="39"/>
        <v>45194720</v>
      </c>
      <c r="P671" s="807"/>
      <c r="R671" s="807">
        <f>+IFERROR(VLOOKUP(C671,'CA FE'!$A:$C,3,0),0)-G671</f>
        <v>0</v>
      </c>
    </row>
    <row r="672" spans="1:18">
      <c r="A672" s="913" t="s">
        <v>10</v>
      </c>
      <c r="B672" s="915" t="s">
        <v>861</v>
      </c>
      <c r="C672" s="914">
        <v>1290111101</v>
      </c>
      <c r="D672" s="913" t="s">
        <v>192</v>
      </c>
      <c r="E672" s="352" t="s">
        <v>640</v>
      </c>
      <c r="F672" s="356" t="str">
        <f t="shared" si="40"/>
        <v>I</v>
      </c>
      <c r="G672" s="28">
        <f>+IF(F672="i",IFERROR(VLOOKUP(C672,'BG 12.2024'!$B:$E,3,FALSE),0),0)</f>
        <v>0</v>
      </c>
      <c r="H672" s="21">
        <f>+IF(F672="i",IFERROR(VLOOKUP(C672,'BG 12.2024'!$B:$E,4,FALSE),0),0)</f>
        <v>0</v>
      </c>
      <c r="I672" s="358"/>
      <c r="J672" s="28">
        <f>+IF(F672="i",IFERROR(VLOOKUP(C672,'BG 2023'!$B:$E,3,FALSE),0),0)</f>
        <v>45194720</v>
      </c>
      <c r="K672" s="21">
        <f>+IF(F672="i",IFERROR(VLOOKUP(C672,'BG 2023'!$B:$E,4,FALSE),0),0)</f>
        <v>6296.83</v>
      </c>
      <c r="M672" s="15">
        <f>+VLOOKUP(C672,'BG 2023'!$B:$E,1,0)</f>
        <v>1290111101</v>
      </c>
      <c r="N672" s="806">
        <f>+VLOOKUP(C672,'BG 2023'!$B:$E,3,0)</f>
        <v>45194720</v>
      </c>
      <c r="O672" s="807">
        <f t="shared" si="39"/>
        <v>45194720</v>
      </c>
      <c r="P672" s="807"/>
      <c r="R672" s="807">
        <f>+IFERROR(VLOOKUP(C672,'CA FE'!$A:$C,3,0),0)-G672</f>
        <v>0</v>
      </c>
    </row>
    <row r="673" spans="1:19">
      <c r="A673" s="916"/>
      <c r="B673" s="916"/>
      <c r="C673" s="917"/>
      <c r="D673" s="916"/>
      <c r="E673" s="357"/>
      <c r="F673" s="357"/>
      <c r="G673" s="28"/>
      <c r="H673" s="21"/>
      <c r="I673" s="132"/>
      <c r="J673" s="28"/>
      <c r="K673" s="21"/>
      <c r="N673" s="806"/>
      <c r="O673" s="807"/>
      <c r="P673" s="807"/>
      <c r="R673" s="807"/>
    </row>
    <row r="674" spans="1:19">
      <c r="A674" s="918" t="s">
        <v>193</v>
      </c>
      <c r="B674" s="918"/>
      <c r="C674" s="919">
        <v>2</v>
      </c>
      <c r="D674" s="918" t="s">
        <v>193</v>
      </c>
      <c r="E674" s="792" t="s">
        <v>634</v>
      </c>
      <c r="F674" s="356" t="str">
        <f t="shared" si="40"/>
        <v>NI</v>
      </c>
      <c r="G674" s="28">
        <f>+IF(F674="i",IFERROR(VLOOKUP(C674,'BG 12.2024'!$B:$E,3,FALSE),0),0)</f>
        <v>0</v>
      </c>
      <c r="H674" s="21">
        <f>+IF(F674="i",IFERROR(VLOOKUP(C674,'BG 12.2024'!$B:$E,4,FALSE),0),0)</f>
        <v>0</v>
      </c>
      <c r="I674" s="134"/>
      <c r="J674" s="28">
        <f>+IF(F674="i",IFERROR(VLOOKUP(C674,'BG 2023'!$B:$E,3,FALSE),0),0)</f>
        <v>0</v>
      </c>
      <c r="K674" s="21">
        <f>+IF(F674="i",IFERROR(VLOOKUP(C674,'BG 2023'!$B:$E,4,FALSE),0),0)</f>
        <v>0</v>
      </c>
      <c r="M674" s="15">
        <f>+VLOOKUP(C674,'BG 2023'!$B:$E,1,0)</f>
        <v>2</v>
      </c>
      <c r="N674" s="806">
        <f>+VLOOKUP(C674,'BG 2023'!$B:$E,3,0)</f>
        <v>20798114410</v>
      </c>
      <c r="O674" s="807">
        <f t="shared" si="39"/>
        <v>20798114410</v>
      </c>
      <c r="P674" s="807"/>
      <c r="R674" s="807">
        <f>+IFERROR(VLOOKUP(C674,'CA FE'!$A:$C,3,0),0)+G674</f>
        <v>0</v>
      </c>
    </row>
    <row r="675" spans="1:19">
      <c r="A675" s="354" t="s">
        <v>193</v>
      </c>
      <c r="B675" s="354"/>
      <c r="C675" s="355">
        <v>21</v>
      </c>
      <c r="D675" s="354" t="s">
        <v>194</v>
      </c>
      <c r="E675" s="356" t="s">
        <v>634</v>
      </c>
      <c r="F675" s="356" t="str">
        <f t="shared" si="40"/>
        <v>NI</v>
      </c>
      <c r="G675" s="28">
        <f>+IF(F675="i",IFERROR(VLOOKUP(C675,'BG 12.2024'!$B:$E,3,FALSE),0),0)</f>
        <v>0</v>
      </c>
      <c r="H675" s="21">
        <f>+IF(F675="i",IFERROR(VLOOKUP(C675,'BG 12.2024'!$B:$E,4,FALSE),0),0)</f>
        <v>0</v>
      </c>
      <c r="I675" s="21"/>
      <c r="J675" s="28">
        <f>+IF(F675="i",IFERROR(VLOOKUP(C675,'BG 2023'!$B:$E,3,FALSE),0),0)</f>
        <v>0</v>
      </c>
      <c r="K675" s="21">
        <f>+IF(F675="i",IFERROR(VLOOKUP(C675,'BG 2023'!$B:$E,4,FALSE),0),0)</f>
        <v>0</v>
      </c>
      <c r="M675" s="15">
        <f>+VLOOKUP(C675,'BG 2023'!$B:$E,1,0)</f>
        <v>21</v>
      </c>
      <c r="N675" s="806">
        <f>+VLOOKUP(C675,'BG 2023'!$B:$E,3,0)</f>
        <v>20798114410</v>
      </c>
      <c r="O675" s="807">
        <f t="shared" si="39"/>
        <v>20798114410</v>
      </c>
      <c r="P675" s="807"/>
      <c r="R675" s="807">
        <f>+IFERROR(VLOOKUP(C675,'CA FE'!$A:$C,3,0),0)+G675</f>
        <v>0</v>
      </c>
    </row>
    <row r="676" spans="1:19">
      <c r="A676" s="354" t="s">
        <v>193</v>
      </c>
      <c r="B676" s="354"/>
      <c r="C676" s="355">
        <v>211</v>
      </c>
      <c r="D676" s="354" t="s">
        <v>195</v>
      </c>
      <c r="E676" s="356" t="s">
        <v>634</v>
      </c>
      <c r="F676" s="356" t="str">
        <f t="shared" si="40"/>
        <v>NI</v>
      </c>
      <c r="G676" s="28">
        <f>+IF(F676="i",IFERROR(VLOOKUP(C676,'BG 12.2024'!$B:$E,3,FALSE),0),0)</f>
        <v>0</v>
      </c>
      <c r="H676" s="21">
        <f>+IF(F676="i",IFERROR(VLOOKUP(C676,'BG 12.2024'!$B:$E,4,FALSE),0),0)</f>
        <v>0</v>
      </c>
      <c r="I676" s="21"/>
      <c r="J676" s="28">
        <f>+IF(F676="i",IFERROR(VLOOKUP(C676,'BG 2023'!$B:$E,3,FALSE),0),0)</f>
        <v>0</v>
      </c>
      <c r="K676" s="21">
        <f>+IF(F676="i",IFERROR(VLOOKUP(C676,'BG 2023'!$B:$E,4,FALSE),0),0)</f>
        <v>0</v>
      </c>
      <c r="M676" s="15">
        <f>+VLOOKUP(C676,'BG 2023'!$B:$E,1,0)</f>
        <v>211</v>
      </c>
      <c r="N676" s="806">
        <f>+VLOOKUP(C676,'BG 2023'!$B:$E,3,0)</f>
        <v>575994812</v>
      </c>
      <c r="O676" s="807">
        <f t="shared" si="39"/>
        <v>575994812</v>
      </c>
      <c r="P676" s="807"/>
      <c r="R676" s="807">
        <f>+IFERROR(VLOOKUP(C676,'CA FE'!$A:$C,3,0),0)+G676</f>
        <v>0</v>
      </c>
    </row>
    <row r="677" spans="1:19">
      <c r="A677" s="354" t="s">
        <v>193</v>
      </c>
      <c r="B677" s="354"/>
      <c r="C677" s="355">
        <v>21101</v>
      </c>
      <c r="D677" s="354" t="s">
        <v>196</v>
      </c>
      <c r="E677" s="356" t="s">
        <v>634</v>
      </c>
      <c r="F677" s="356" t="str">
        <f t="shared" si="40"/>
        <v>NI</v>
      </c>
      <c r="G677" s="28">
        <f>+IF(F677="i",IFERROR(VLOOKUP(C677,'BG 12.2024'!$B:$E,3,FALSE),0),0)</f>
        <v>0</v>
      </c>
      <c r="H677" s="21">
        <f>+IF(F677="i",IFERROR(VLOOKUP(C677,'BG 12.2024'!$B:$E,4,FALSE),0),0)</f>
        <v>0</v>
      </c>
      <c r="I677" s="21"/>
      <c r="J677" s="28">
        <f>+IF(F677="i",IFERROR(VLOOKUP(C677,'BG 2023'!$B:$E,3,FALSE),0),0)</f>
        <v>0</v>
      </c>
      <c r="K677" s="21">
        <f>+IF(F677="i",IFERROR(VLOOKUP(C677,'BG 2023'!$B:$E,4,FALSE),0),0)</f>
        <v>0</v>
      </c>
      <c r="M677" s="15">
        <f>+VLOOKUP(C677,'BG 2023'!$B:$E,1,0)</f>
        <v>21101</v>
      </c>
      <c r="N677" s="806">
        <f>+VLOOKUP(C677,'BG 2023'!$B:$E,3,0)</f>
        <v>575994812</v>
      </c>
      <c r="O677" s="807">
        <f t="shared" si="39"/>
        <v>575994812</v>
      </c>
      <c r="P677" s="807"/>
      <c r="R677" s="807">
        <f>+IFERROR(VLOOKUP(C677,'CA FE'!$A:$C,3,0),0)+G677</f>
        <v>0</v>
      </c>
    </row>
    <row r="678" spans="1:19">
      <c r="A678" s="354" t="s">
        <v>193</v>
      </c>
      <c r="B678" s="354"/>
      <c r="C678" s="355">
        <v>211011</v>
      </c>
      <c r="D678" s="354" t="s">
        <v>196</v>
      </c>
      <c r="E678" s="356" t="s">
        <v>634</v>
      </c>
      <c r="F678" s="356" t="str">
        <f t="shared" si="40"/>
        <v>NI</v>
      </c>
      <c r="G678" s="28">
        <f>+IF(F678="i",IFERROR(VLOOKUP(C678,'BG 12.2024'!$B:$E,3,FALSE),0),0)</f>
        <v>0</v>
      </c>
      <c r="H678" s="21">
        <f>+IF(F678="i",IFERROR(VLOOKUP(C678,'BG 12.2024'!$B:$E,4,FALSE),0),0)</f>
        <v>0</v>
      </c>
      <c r="I678" s="21"/>
      <c r="J678" s="28">
        <f>+IF(F678="i",IFERROR(VLOOKUP(C678,'BG 2023'!$B:$E,3,FALSE),0),0)</f>
        <v>0</v>
      </c>
      <c r="K678" s="21">
        <f>+IF(F678="i",IFERROR(VLOOKUP(C678,'BG 2023'!$B:$E,4,FALSE),0),0)</f>
        <v>0</v>
      </c>
      <c r="M678" s="15">
        <f>+VLOOKUP(C678,'BG 2023'!$B:$E,1,0)</f>
        <v>211011</v>
      </c>
      <c r="N678" s="806">
        <f>+VLOOKUP(C678,'BG 2023'!$B:$E,3,0)</f>
        <v>129323817</v>
      </c>
      <c r="O678" s="807">
        <f t="shared" si="39"/>
        <v>129323817</v>
      </c>
      <c r="P678" s="807"/>
      <c r="R678" s="807">
        <f>+IFERROR(VLOOKUP(C678,'CA FE'!$A:$C,3,0),0)+G678</f>
        <v>0</v>
      </c>
    </row>
    <row r="679" spans="1:19">
      <c r="A679" s="354" t="s">
        <v>193</v>
      </c>
      <c r="B679" s="354"/>
      <c r="C679" s="355">
        <v>2110111</v>
      </c>
      <c r="D679" s="354" t="s">
        <v>197</v>
      </c>
      <c r="E679" s="356" t="s">
        <v>634</v>
      </c>
      <c r="F679" s="356" t="str">
        <f t="shared" si="40"/>
        <v>NI</v>
      </c>
      <c r="G679" s="28">
        <f>+IF(F679="i",IFERROR(VLOOKUP(C679,'BG 12.2024'!$B:$E,3,FALSE),0),0)</f>
        <v>0</v>
      </c>
      <c r="H679" s="21">
        <f>+IF(F679="i",IFERROR(VLOOKUP(C679,'BG 12.2024'!$B:$E,4,FALSE),0),0)</f>
        <v>0</v>
      </c>
      <c r="I679" s="21"/>
      <c r="J679" s="28">
        <f>+IF(F679="i",IFERROR(VLOOKUP(C679,'BG 2023'!$B:$E,3,FALSE),0),0)</f>
        <v>0</v>
      </c>
      <c r="K679" s="21">
        <f>+IF(F679="i",IFERROR(VLOOKUP(C679,'BG 2023'!$B:$E,4,FALSE),0),0)</f>
        <v>0</v>
      </c>
      <c r="M679" s="15">
        <f>+VLOOKUP(C679,'BG 2023'!$B:$E,1,0)</f>
        <v>2110111</v>
      </c>
      <c r="N679" s="806">
        <f>+VLOOKUP(C679,'BG 2023'!$B:$E,3,0)</f>
        <v>129323817</v>
      </c>
      <c r="O679" s="807">
        <f t="shared" si="39"/>
        <v>129323817</v>
      </c>
      <c r="P679" s="807"/>
      <c r="R679" s="807">
        <f>+IFERROR(VLOOKUP(C679,'CA FE'!$A:$C,3,0),0)+G679</f>
        <v>0</v>
      </c>
    </row>
    <row r="680" spans="1:19">
      <c r="A680" s="354" t="s">
        <v>193</v>
      </c>
      <c r="B680" s="354"/>
      <c r="C680" s="355">
        <v>21101111</v>
      </c>
      <c r="D680" s="354" t="s">
        <v>520</v>
      </c>
      <c r="E680" s="356" t="s">
        <v>634</v>
      </c>
      <c r="F680" s="356" t="str">
        <f t="shared" si="40"/>
        <v>NI</v>
      </c>
      <c r="G680" s="28">
        <f>+IF(F680="i",IFERROR(VLOOKUP(C680,'BG 12.2024'!$B:$E,3,FALSE),0),0)</f>
        <v>0</v>
      </c>
      <c r="H680" s="21">
        <f>+IF(F680="i",IFERROR(VLOOKUP(C680,'BG 12.2024'!$B:$E,4,FALSE),0),0)</f>
        <v>0</v>
      </c>
      <c r="I680" s="21"/>
      <c r="J680" s="28">
        <f>+IF(F680="i",IFERROR(VLOOKUP(C680,'BG 2023'!$B:$E,3,FALSE),0),0)</f>
        <v>0</v>
      </c>
      <c r="K680" s="21">
        <f>+IF(F680="i",IFERROR(VLOOKUP(C680,'BG 2023'!$B:$E,4,FALSE),0),0)</f>
        <v>0</v>
      </c>
      <c r="M680" s="15" t="e">
        <f>+VLOOKUP(C680,'BG 2023'!$B:$E,1,0)</f>
        <v>#N/A</v>
      </c>
      <c r="N680" s="806" t="e">
        <f>+VLOOKUP(C680,'BG 2023'!$B:$E,3,0)</f>
        <v>#N/A</v>
      </c>
      <c r="O680" s="807" t="e">
        <f t="shared" si="39"/>
        <v>#N/A</v>
      </c>
      <c r="P680" s="807"/>
      <c r="R680" s="807">
        <f>+IFERROR(VLOOKUP(C680,'CA FE'!$A:$C,3,0),0)+G680</f>
        <v>0</v>
      </c>
    </row>
    <row r="681" spans="1:19">
      <c r="A681" s="354" t="s">
        <v>193</v>
      </c>
      <c r="B681" s="354" t="s">
        <v>862</v>
      </c>
      <c r="C681" s="355">
        <v>2110111101</v>
      </c>
      <c r="D681" s="354" t="s">
        <v>539</v>
      </c>
      <c r="E681" s="356" t="s">
        <v>634</v>
      </c>
      <c r="F681" s="356" t="str">
        <f t="shared" ref="F681" si="41">+IF(LEN(C681)&gt;8,"I","NI")</f>
        <v>I</v>
      </c>
      <c r="G681" s="28">
        <f>+IF(F681="i",IFERROR(VLOOKUP(C681,'BG 12.2024'!$B:$E,3,FALSE),0),0)</f>
        <v>591981</v>
      </c>
      <c r="H681" s="21">
        <f>+IF(F681="i",IFERROR(VLOOKUP(C681,'BG 12.2024'!$B:$E,4,FALSE),0),0)</f>
        <v>75.590000033378601</v>
      </c>
      <c r="I681" s="21"/>
      <c r="J681" s="28">
        <f>+IF(F681="i",IFERROR(VLOOKUP(C681,'BG 2023'!$B:$E,3,FALSE),0),0)</f>
        <v>0</v>
      </c>
      <c r="K681" s="21">
        <f>+IF(F681="i",IFERROR(VLOOKUP(C681,'BG 2023'!$B:$E,4,FALSE),0),0)</f>
        <v>0</v>
      </c>
      <c r="M681" s="15" t="e">
        <f>+VLOOKUP(C681,'BG 2023'!$B:$E,1,0)</f>
        <v>#N/A</v>
      </c>
      <c r="N681" s="806" t="e">
        <f>+VLOOKUP(C681,'BG 2023'!$B:$E,3,0)</f>
        <v>#N/A</v>
      </c>
      <c r="O681" s="807" t="e">
        <f t="shared" si="39"/>
        <v>#N/A</v>
      </c>
      <c r="P681" s="807"/>
      <c r="R681" s="807">
        <f>+IFERROR(VLOOKUP(C681,'CA FE'!$A:$C,3,0),0)+G681</f>
        <v>0</v>
      </c>
    </row>
    <row r="682" spans="1:19">
      <c r="A682" s="354" t="s">
        <v>193</v>
      </c>
      <c r="B682" s="354" t="s">
        <v>862</v>
      </c>
      <c r="C682" s="355"/>
      <c r="D682" s="354" t="s">
        <v>539</v>
      </c>
      <c r="E682" s="356" t="s">
        <v>634</v>
      </c>
      <c r="F682" s="356" t="str">
        <f t="shared" si="40"/>
        <v>NI</v>
      </c>
      <c r="G682" s="925"/>
      <c r="H682" s="839"/>
      <c r="I682" s="21"/>
      <c r="J682" s="28">
        <f>+IF(F682="i",IFERROR(VLOOKUP(C682,'BG 2023'!$B:$E,3,FALSE),0),0)</f>
        <v>0</v>
      </c>
      <c r="K682" s="21">
        <f>+IF(F682="i",IFERROR(VLOOKUP(C682,'BG 2023'!$B:$E,4,FALSE),0),0)</f>
        <v>0</v>
      </c>
      <c r="M682" s="15" t="e">
        <f>+VLOOKUP(C682,'BG 2023'!$B:$E,1,0)</f>
        <v>#N/A</v>
      </c>
      <c r="N682" s="806" t="e">
        <f>+VLOOKUP(C682,'BG 2023'!$B:$E,3,0)</f>
        <v>#N/A</v>
      </c>
      <c r="O682" s="807" t="e">
        <f t="shared" si="39"/>
        <v>#N/A</v>
      </c>
      <c r="P682" s="807"/>
      <c r="R682" s="807">
        <f>+IFERROR(VLOOKUP(C682,'CA FE'!$A:$C,3,0),0)+G682</f>
        <v>0</v>
      </c>
    </row>
    <row r="683" spans="1:19">
      <c r="A683" s="354" t="s">
        <v>193</v>
      </c>
      <c r="B683" s="354" t="s">
        <v>862</v>
      </c>
      <c r="C683" s="355">
        <v>2110111102</v>
      </c>
      <c r="D683" s="354" t="s">
        <v>585</v>
      </c>
      <c r="E683" s="356" t="s">
        <v>640</v>
      </c>
      <c r="F683" s="356" t="str">
        <f t="shared" si="40"/>
        <v>I</v>
      </c>
      <c r="G683" s="28">
        <f>+IF(F683="i",IFERROR(VLOOKUP(C683,'BG 12.2024'!$B:$E,3,FALSE),0),0)</f>
        <v>24405652</v>
      </c>
      <c r="H683" s="21">
        <f>+IF(F683="i",IFERROR(VLOOKUP(C683,'BG 12.2024'!$B:$E,4,FALSE),0),0)</f>
        <v>3116.4400000572205</v>
      </c>
      <c r="I683" s="21"/>
      <c r="J683" s="28">
        <f>+IF(F683="i",IFERROR(VLOOKUP(C683,'BG 2023'!$B:$E,3,FALSE),0),0)</f>
        <v>0</v>
      </c>
      <c r="K683" s="21">
        <f>+IF(F683="i",IFERROR(VLOOKUP(C683,'BG 2023'!$B:$E,4,FALSE),0),0)</f>
        <v>0</v>
      </c>
      <c r="M683" s="15" t="e">
        <f>+VLOOKUP(C683,'BG 2023'!$B:$E,1,0)</f>
        <v>#N/A</v>
      </c>
      <c r="N683" s="806" t="e">
        <f>+VLOOKUP(C683,'BG 2023'!$B:$E,3,0)</f>
        <v>#N/A</v>
      </c>
      <c r="O683" s="807" t="e">
        <f t="shared" si="39"/>
        <v>#N/A</v>
      </c>
      <c r="P683" s="807"/>
      <c r="R683" s="807">
        <f>+IFERROR(VLOOKUP(C683,'CA FE'!$A:$C,3,0),0)+G683</f>
        <v>0</v>
      </c>
    </row>
    <row r="684" spans="1:19">
      <c r="A684" s="354" t="s">
        <v>193</v>
      </c>
      <c r="B684" s="354"/>
      <c r="C684" s="355">
        <v>21101112</v>
      </c>
      <c r="D684" s="354" t="s">
        <v>198</v>
      </c>
      <c r="E684" s="356" t="s">
        <v>634</v>
      </c>
      <c r="F684" s="356" t="str">
        <f t="shared" si="40"/>
        <v>NI</v>
      </c>
      <c r="G684" s="28">
        <f>+IF(F684="i",IFERROR(VLOOKUP(C684,'BG 12.2024'!$B:$E,3,FALSE),0),0)</f>
        <v>0</v>
      </c>
      <c r="H684" s="21">
        <f>+IF(F684="i",IFERROR(VLOOKUP(C684,'BG 12.2024'!$B:$E,4,FALSE),0),0)</f>
        <v>0</v>
      </c>
      <c r="I684" s="21"/>
      <c r="J684" s="28">
        <f>+IF(F684="i",IFERROR(VLOOKUP(C684,'BG 2023'!$B:$E,3,FALSE),0),0)</f>
        <v>0</v>
      </c>
      <c r="K684" s="21">
        <f>+IF(F684="i",IFERROR(VLOOKUP(C684,'BG 2023'!$B:$E,4,FALSE),0),0)</f>
        <v>0</v>
      </c>
      <c r="M684" s="15">
        <f>+VLOOKUP(C684,'BG 2023'!$B:$E,1,0)</f>
        <v>21101112</v>
      </c>
      <c r="N684" s="806">
        <f>+VLOOKUP(C684,'BG 2023'!$B:$E,3,0)</f>
        <v>805726</v>
      </c>
      <c r="O684" s="807">
        <f t="shared" si="39"/>
        <v>805726</v>
      </c>
      <c r="P684" s="807"/>
      <c r="R684" s="807">
        <f>+IFERROR(VLOOKUP(C684,'CA FE'!$A:$C,3,0),0)+G684</f>
        <v>0</v>
      </c>
    </row>
    <row r="685" spans="1:19">
      <c r="A685" s="354" t="s">
        <v>193</v>
      </c>
      <c r="B685" s="354" t="s">
        <v>863</v>
      </c>
      <c r="C685" s="355">
        <v>2110111201</v>
      </c>
      <c r="D685" s="354" t="s">
        <v>586</v>
      </c>
      <c r="E685" s="356" t="s">
        <v>634</v>
      </c>
      <c r="F685" s="356" t="str">
        <f t="shared" si="40"/>
        <v>I</v>
      </c>
      <c r="G685" s="28">
        <f>+IF(F685="i",IFERROR(VLOOKUP(C685,'BG 12.2024'!$B:$E,3,FALSE),0),0)</f>
        <v>0</v>
      </c>
      <c r="H685" s="21">
        <f>+IF(F685="i",IFERROR(VLOOKUP(C685,'BG 12.2024'!$B:$E,4,FALSE),0),0)</f>
        <v>0</v>
      </c>
      <c r="I685" s="21"/>
      <c r="J685" s="28">
        <f>+IF(F685="i",IFERROR(VLOOKUP(C685,'BG 2023'!$B:$E,3,FALSE),0),0)</f>
        <v>0</v>
      </c>
      <c r="K685" s="21">
        <f>+IF(F685="i",IFERROR(VLOOKUP(C685,'BG 2023'!$B:$E,4,FALSE),0),0)</f>
        <v>0</v>
      </c>
      <c r="M685" s="15" t="e">
        <f>+VLOOKUP(C685,'BG 2023'!$B:$E,1,0)</f>
        <v>#N/A</v>
      </c>
      <c r="N685" s="806" t="e">
        <f>+VLOOKUP(C685,'BG 2023'!$B:$E,3,0)</f>
        <v>#N/A</v>
      </c>
      <c r="O685" s="807" t="e">
        <f t="shared" si="39"/>
        <v>#N/A</v>
      </c>
      <c r="P685" s="807"/>
      <c r="R685" s="807">
        <f>+IFERROR(VLOOKUP(C685,'CA FE'!$A:$C,3,0),0)+G685</f>
        <v>0</v>
      </c>
    </row>
    <row r="686" spans="1:19">
      <c r="A686" s="354" t="s">
        <v>193</v>
      </c>
      <c r="B686" s="354" t="s">
        <v>863</v>
      </c>
      <c r="C686" s="355">
        <v>2110111202</v>
      </c>
      <c r="D686" s="354" t="s">
        <v>199</v>
      </c>
      <c r="E686" s="356" t="s">
        <v>640</v>
      </c>
      <c r="F686" s="356" t="str">
        <f t="shared" si="40"/>
        <v>I</v>
      </c>
      <c r="G686" s="28">
        <f>+IF(F686="i",IFERROR(VLOOKUP(C686,'BG 12.2024'!$B:$E,3,FALSE),0),0)</f>
        <v>220213</v>
      </c>
      <c r="H686" s="1085">
        <f>+IF(F686="i",IFERROR(VLOOKUP(C686,'BG 12.2024'!$B:$E,4,FALSE),0),0)</f>
        <v>30.339999999999918</v>
      </c>
      <c r="I686" s="21"/>
      <c r="J686" s="28">
        <f>+IF(F686="i",IFERROR(VLOOKUP(C686,'BG 2023'!$B:$E,3,FALSE),0),0)</f>
        <v>805726</v>
      </c>
      <c r="K686" s="21">
        <f>+IF(F686="i",IFERROR(VLOOKUP(C686,'BG 2023'!$B:$E,4,FALSE),0),0)</f>
        <v>110.32999999999991</v>
      </c>
      <c r="M686" s="15">
        <f>+VLOOKUP(C686,'BG 2023'!$B:$E,1,0)</f>
        <v>2110111202</v>
      </c>
      <c r="N686" s="806">
        <f>+VLOOKUP(C686,'BG 2023'!$B:$E,3,0)</f>
        <v>805726</v>
      </c>
      <c r="O686" s="807">
        <f t="shared" si="39"/>
        <v>585513</v>
      </c>
      <c r="P686" s="807"/>
      <c r="R686" s="807">
        <f>+IFERROR(VLOOKUP(C686,'CA FE'!$A:$C,3,0),0)+G686</f>
        <v>0</v>
      </c>
      <c r="S686" s="807">
        <f>+G686-J686</f>
        <v>-585513</v>
      </c>
    </row>
    <row r="687" spans="1:19">
      <c r="A687" s="354" t="s">
        <v>193</v>
      </c>
      <c r="B687" s="354"/>
      <c r="C687" s="355">
        <v>21101113</v>
      </c>
      <c r="D687" s="354" t="s">
        <v>864</v>
      </c>
      <c r="E687" s="356" t="s">
        <v>634</v>
      </c>
      <c r="F687" s="356" t="str">
        <f t="shared" si="40"/>
        <v>NI</v>
      </c>
      <c r="G687" s="28">
        <f>+IF(F687="i",IFERROR(VLOOKUP(C687,'BG 12.2024'!$B:$E,3,FALSE),0),0)</f>
        <v>0</v>
      </c>
      <c r="H687" s="21">
        <f>+IF(F687="i",IFERROR(VLOOKUP(C687,'BG 12.2024'!$B:$E,4,FALSE),0),0)</f>
        <v>0</v>
      </c>
      <c r="I687" s="21"/>
      <c r="J687" s="28">
        <f>+IF(F687="i",IFERROR(VLOOKUP(C687,'BG 2023'!$B:$E,3,FALSE),0),0)</f>
        <v>0</v>
      </c>
      <c r="K687" s="21">
        <f>+IF(F687="i",IFERROR(VLOOKUP(C687,'BG 2023'!$B:$E,4,FALSE),0),0)</f>
        <v>0</v>
      </c>
      <c r="M687" s="15" t="e">
        <f>+VLOOKUP(C687,'BG 2023'!$B:$E,1,0)</f>
        <v>#N/A</v>
      </c>
      <c r="N687" s="806" t="e">
        <f>+VLOOKUP(C687,'BG 2023'!$B:$E,3,0)</f>
        <v>#N/A</v>
      </c>
      <c r="O687" s="807" t="e">
        <f t="shared" si="39"/>
        <v>#N/A</v>
      </c>
      <c r="P687" s="807"/>
      <c r="R687" s="807">
        <f>+IFERROR(VLOOKUP(C687,'CA FE'!$A:$C,3,0),0)+G687</f>
        <v>0</v>
      </c>
      <c r="S687" s="807">
        <f t="shared" ref="S687:S751" si="42">+G687-J687</f>
        <v>0</v>
      </c>
    </row>
    <row r="688" spans="1:19">
      <c r="A688" s="354" t="s">
        <v>193</v>
      </c>
      <c r="B688" s="354"/>
      <c r="C688" s="355">
        <v>2110111301</v>
      </c>
      <c r="D688" s="354" t="s">
        <v>865</v>
      </c>
      <c r="E688" s="356" t="s">
        <v>634</v>
      </c>
      <c r="F688" s="356" t="str">
        <f t="shared" si="40"/>
        <v>I</v>
      </c>
      <c r="G688" s="28">
        <f>+IF(F688="i",IFERROR(VLOOKUP(C688,'BG 12.2024'!$B:$E,3,FALSE),0),0)</f>
        <v>0</v>
      </c>
      <c r="H688" s="21">
        <f>+IF(F688="i",IFERROR(VLOOKUP(C688,'BG 12.2024'!$B:$E,4,FALSE),0),0)</f>
        <v>0</v>
      </c>
      <c r="I688" s="21"/>
      <c r="J688" s="28">
        <f>+IF(F688="i",IFERROR(VLOOKUP(C688,'BG 2023'!$B:$E,3,FALSE),0),0)</f>
        <v>0</v>
      </c>
      <c r="K688" s="21">
        <f>+IF(F688="i",IFERROR(VLOOKUP(C688,'BG 2023'!$B:$E,4,FALSE),0),0)</f>
        <v>0</v>
      </c>
      <c r="M688" s="15" t="e">
        <f>+VLOOKUP(C688,'BG 2023'!$B:$E,1,0)</f>
        <v>#N/A</v>
      </c>
      <c r="N688" s="806" t="e">
        <f>+VLOOKUP(C688,'BG 2023'!$B:$E,3,0)</f>
        <v>#N/A</v>
      </c>
      <c r="O688" s="807" t="e">
        <f t="shared" si="39"/>
        <v>#N/A</v>
      </c>
      <c r="P688" s="807"/>
      <c r="R688" s="807">
        <f>+IFERROR(VLOOKUP(C688,'CA FE'!$A:$C,3,0),0)+G688</f>
        <v>0</v>
      </c>
      <c r="S688" s="807">
        <f t="shared" si="42"/>
        <v>0</v>
      </c>
    </row>
    <row r="689" spans="1:19">
      <c r="A689" s="354" t="s">
        <v>193</v>
      </c>
      <c r="B689" s="354"/>
      <c r="C689" s="355">
        <v>2110111302</v>
      </c>
      <c r="D689" s="354" t="s">
        <v>865</v>
      </c>
      <c r="E689" s="356" t="s">
        <v>634</v>
      </c>
      <c r="F689" s="356" t="str">
        <f t="shared" si="40"/>
        <v>I</v>
      </c>
      <c r="G689" s="28">
        <f>+IF(F689="i",IFERROR(VLOOKUP(C689,'BG 12.2024'!$B:$E,3,FALSE),0),0)</f>
        <v>0</v>
      </c>
      <c r="H689" s="21">
        <f>+IF(F689="i",IFERROR(VLOOKUP(C689,'BG 12.2024'!$B:$E,4,FALSE),0),0)</f>
        <v>0</v>
      </c>
      <c r="I689" s="21"/>
      <c r="J689" s="28">
        <f>+IF(F689="i",IFERROR(VLOOKUP(C689,'BG 2023'!$B:$E,3,FALSE),0),0)</f>
        <v>0</v>
      </c>
      <c r="K689" s="21">
        <f>+IF(F689="i",IFERROR(VLOOKUP(C689,'BG 2023'!$B:$E,4,FALSE),0),0)</f>
        <v>0</v>
      </c>
      <c r="M689" s="15" t="e">
        <f>+VLOOKUP(C689,'BG 2023'!$B:$E,1,0)</f>
        <v>#N/A</v>
      </c>
      <c r="N689" s="806" t="e">
        <f>+VLOOKUP(C689,'BG 2023'!$B:$E,3,0)</f>
        <v>#N/A</v>
      </c>
      <c r="O689" s="807" t="e">
        <f t="shared" si="39"/>
        <v>#N/A</v>
      </c>
      <c r="P689" s="807"/>
      <c r="R689" s="807">
        <f>+IFERROR(VLOOKUP(C689,'CA FE'!$A:$C,3,0),0)+G689</f>
        <v>0</v>
      </c>
      <c r="S689" s="807">
        <f t="shared" si="42"/>
        <v>0</v>
      </c>
    </row>
    <row r="690" spans="1:19">
      <c r="A690" s="354" t="s">
        <v>193</v>
      </c>
      <c r="B690" s="354"/>
      <c r="C690" s="355">
        <v>21101114</v>
      </c>
      <c r="D690" s="354" t="s">
        <v>200</v>
      </c>
      <c r="E690" s="356" t="s">
        <v>640</v>
      </c>
      <c r="F690" s="356" t="str">
        <f t="shared" si="40"/>
        <v>NI</v>
      </c>
      <c r="G690" s="28">
        <f>+IF(F690="i",IFERROR(VLOOKUP(C690,'BG 12.2024'!$B:$E,3,FALSE),0),0)</f>
        <v>0</v>
      </c>
      <c r="H690" s="21">
        <f>+IF(F690="i",IFERROR(VLOOKUP(C690,'BG 12.2024'!$B:$E,4,FALSE),0),0)</f>
        <v>0</v>
      </c>
      <c r="I690" s="21"/>
      <c r="J690" s="28">
        <f>+IF(F690="i",IFERROR(VLOOKUP(C690,'BG 2023'!$B:$E,3,FALSE),0),0)</f>
        <v>0</v>
      </c>
      <c r="K690" s="21">
        <f>+IF(F690="i",IFERROR(VLOOKUP(C690,'BG 2023'!$B:$E,4,FALSE),0),0)</f>
        <v>0</v>
      </c>
      <c r="M690" s="15">
        <f>+VLOOKUP(C690,'BG 2023'!$B:$E,1,0)</f>
        <v>21101114</v>
      </c>
      <c r="N690" s="806">
        <f>+VLOOKUP(C690,'BG 2023'!$B:$E,3,0)</f>
        <v>128518091</v>
      </c>
      <c r="O690" s="807">
        <f t="shared" si="39"/>
        <v>128518091</v>
      </c>
      <c r="P690" s="807"/>
      <c r="R690" s="807">
        <f>+IFERROR(VLOOKUP(C690,'CA FE'!$A:$C,3,0),0)+G690</f>
        <v>0</v>
      </c>
      <c r="S690" s="807">
        <f t="shared" si="42"/>
        <v>0</v>
      </c>
    </row>
    <row r="691" spans="1:19">
      <c r="A691" s="354" t="s">
        <v>193</v>
      </c>
      <c r="B691" s="354" t="s">
        <v>862</v>
      </c>
      <c r="C691" s="355">
        <v>2110111402</v>
      </c>
      <c r="D691" s="354" t="s">
        <v>201</v>
      </c>
      <c r="E691" s="356" t="s">
        <v>640</v>
      </c>
      <c r="F691" s="356" t="str">
        <f t="shared" si="40"/>
        <v>I</v>
      </c>
      <c r="G691" s="28">
        <f>+IF(F691="i",IFERROR(VLOOKUP(C691,'BG 12.2024'!$B:$E,3,FALSE),0),0)</f>
        <v>488815659</v>
      </c>
      <c r="H691" s="21">
        <f>+IF(F691="i",IFERROR(VLOOKUP(C691,'BG 12.2024'!$B:$E,4,FALSE),0),0)</f>
        <v>62418.519999980927</v>
      </c>
      <c r="I691" s="21"/>
      <c r="J691" s="28">
        <f>+IF(F691="i",IFERROR(VLOOKUP(C691,'BG 2023'!$B:$E,3,FALSE),0),0)</f>
        <v>128518091</v>
      </c>
      <c r="K691" s="21">
        <f>+IF(F691="i",IFERROR(VLOOKUP(C691,'BG 2023'!$B:$E,4,FALSE),0),0)</f>
        <v>17644.805</v>
      </c>
      <c r="M691" s="15">
        <f>+VLOOKUP(C691,'BG 2023'!$B:$E,1,0)</f>
        <v>2110111402</v>
      </c>
      <c r="N691" s="806">
        <f>+VLOOKUP(C691,'BG 2023'!$B:$E,3,0)</f>
        <v>128518091</v>
      </c>
      <c r="O691" s="807">
        <f t="shared" si="39"/>
        <v>-360297568</v>
      </c>
      <c r="P691" s="807"/>
      <c r="R691" s="807">
        <f>+IFERROR(VLOOKUP(C691,'CA FE'!$A:$C,3,0),0)+G691</f>
        <v>0</v>
      </c>
      <c r="S691" s="807">
        <f t="shared" si="42"/>
        <v>360297568</v>
      </c>
    </row>
    <row r="692" spans="1:19">
      <c r="A692" s="354" t="s">
        <v>193</v>
      </c>
      <c r="B692" s="354"/>
      <c r="C692" s="355">
        <v>211012</v>
      </c>
      <c r="D692" s="354" t="s">
        <v>202</v>
      </c>
      <c r="E692" s="356" t="s">
        <v>634</v>
      </c>
      <c r="F692" s="356" t="str">
        <f t="shared" si="40"/>
        <v>NI</v>
      </c>
      <c r="G692" s="28">
        <f>+IF(F692="i",IFERROR(VLOOKUP(C692,'BG 12.2024'!$B:$E,3,FALSE),0),0)</f>
        <v>0</v>
      </c>
      <c r="H692" s="21">
        <f>+IF(F692="i",IFERROR(VLOOKUP(C692,'BG 12.2024'!$B:$E,4,FALSE),0),0)</f>
        <v>0</v>
      </c>
      <c r="I692" s="21"/>
      <c r="J692" s="28">
        <f>+IF(F692="i",IFERROR(VLOOKUP(C692,'BG 2023'!$B:$E,3,FALSE),0),0)</f>
        <v>0</v>
      </c>
      <c r="K692" s="21">
        <f>+IF(F692="i",IFERROR(VLOOKUP(C692,'BG 2023'!$B:$E,4,FALSE),0),0)</f>
        <v>0</v>
      </c>
      <c r="M692" s="15">
        <f>+VLOOKUP(C692,'BG 2023'!$B:$E,1,0)</f>
        <v>211012</v>
      </c>
      <c r="N692" s="806">
        <f>+VLOOKUP(C692,'BG 2023'!$B:$E,3,0)</f>
        <v>1456210</v>
      </c>
      <c r="O692" s="807">
        <f t="shared" si="39"/>
        <v>1456210</v>
      </c>
      <c r="P692" s="807"/>
      <c r="R692" s="807">
        <f>+IFERROR(VLOOKUP(C692,'CA FE'!$A:$C,3,0),0)+G692</f>
        <v>0</v>
      </c>
      <c r="S692" s="807">
        <f t="shared" si="42"/>
        <v>0</v>
      </c>
    </row>
    <row r="693" spans="1:19">
      <c r="A693" s="354" t="s">
        <v>193</v>
      </c>
      <c r="B693" s="354"/>
      <c r="C693" s="355">
        <v>2110121</v>
      </c>
      <c r="D693" s="354" t="s">
        <v>202</v>
      </c>
      <c r="E693" s="356" t="s">
        <v>634</v>
      </c>
      <c r="F693" s="356" t="str">
        <f t="shared" si="40"/>
        <v>NI</v>
      </c>
      <c r="G693" s="28">
        <f>+IF(F693="i",IFERROR(VLOOKUP(C693,'BG 12.2024'!$B:$E,3,FALSE),0),0)</f>
        <v>0</v>
      </c>
      <c r="H693" s="21">
        <f>+IF(F693="i",IFERROR(VLOOKUP(C693,'BG 12.2024'!$B:$E,4,FALSE),0),0)</f>
        <v>0</v>
      </c>
      <c r="I693" s="21"/>
      <c r="J693" s="28">
        <f>+IF(F693="i",IFERROR(VLOOKUP(C693,'BG 2023'!$B:$E,3,FALSE),0),0)</f>
        <v>0</v>
      </c>
      <c r="K693" s="21">
        <f>+IF(F693="i",IFERROR(VLOOKUP(C693,'BG 2023'!$B:$E,4,FALSE),0),0)</f>
        <v>0</v>
      </c>
      <c r="M693" s="15">
        <f>+VLOOKUP(C693,'BG 2023'!$B:$E,1,0)</f>
        <v>2110121</v>
      </c>
      <c r="N693" s="806">
        <f>+VLOOKUP(C693,'BG 2023'!$B:$E,3,0)</f>
        <v>1456210</v>
      </c>
      <c r="O693" s="807">
        <f t="shared" si="39"/>
        <v>1456210</v>
      </c>
      <c r="P693" s="807"/>
      <c r="R693" s="807">
        <f>+IFERROR(VLOOKUP(C693,'CA FE'!$A:$C,3,0),0)+G693</f>
        <v>0</v>
      </c>
      <c r="S693" s="807">
        <f t="shared" si="42"/>
        <v>0</v>
      </c>
    </row>
    <row r="694" spans="1:19">
      <c r="A694" s="354" t="s">
        <v>193</v>
      </c>
      <c r="B694" s="354"/>
      <c r="C694" s="355">
        <v>21101211</v>
      </c>
      <c r="D694" s="354" t="s">
        <v>202</v>
      </c>
      <c r="E694" s="356" t="s">
        <v>634</v>
      </c>
      <c r="F694" s="356" t="str">
        <f t="shared" si="40"/>
        <v>NI</v>
      </c>
      <c r="G694" s="28">
        <f>+IF(F694="i",IFERROR(VLOOKUP(C694,'BG 12.2024'!$B:$E,3,FALSE),0),0)</f>
        <v>0</v>
      </c>
      <c r="H694" s="21">
        <f>+IF(F694="i",IFERROR(VLOOKUP(C694,'BG 12.2024'!$B:$E,4,FALSE),0),0)</f>
        <v>0</v>
      </c>
      <c r="I694" s="21"/>
      <c r="J694" s="28">
        <f>+IF(F694="i",IFERROR(VLOOKUP(C694,'BG 2023'!$B:$E,3,FALSE),0),0)</f>
        <v>0</v>
      </c>
      <c r="K694" s="21">
        <f>+IF(F694="i",IFERROR(VLOOKUP(C694,'BG 2023'!$B:$E,4,FALSE),0),0)</f>
        <v>0</v>
      </c>
      <c r="M694" s="15">
        <f>+VLOOKUP(C694,'BG 2023'!$B:$E,1,0)</f>
        <v>21101211</v>
      </c>
      <c r="N694" s="806">
        <f>+VLOOKUP(C694,'BG 2023'!$B:$E,3,0)</f>
        <v>1456210</v>
      </c>
      <c r="O694" s="807">
        <f t="shared" si="39"/>
        <v>1456210</v>
      </c>
      <c r="P694" s="807"/>
      <c r="R694" s="807">
        <f>+IFERROR(VLOOKUP(C694,'CA FE'!$A:$C,3,0),0)+G694</f>
        <v>0</v>
      </c>
      <c r="S694" s="807">
        <f t="shared" si="42"/>
        <v>0</v>
      </c>
    </row>
    <row r="695" spans="1:19">
      <c r="A695" s="354" t="s">
        <v>193</v>
      </c>
      <c r="B695" s="354" t="s">
        <v>866</v>
      </c>
      <c r="C695" s="355">
        <v>2110121101</v>
      </c>
      <c r="D695" s="354" t="s">
        <v>202</v>
      </c>
      <c r="E695" s="356" t="s">
        <v>634</v>
      </c>
      <c r="F695" s="356" t="str">
        <f t="shared" si="40"/>
        <v>I</v>
      </c>
      <c r="G695" s="28">
        <f>+IF(F695="i",IFERROR(VLOOKUP(C695,'BG 12.2024'!$B:$E,3,FALSE),0),0)</f>
        <v>0</v>
      </c>
      <c r="H695" s="21">
        <f>+IF(F695="i",IFERROR(VLOOKUP(C695,'BG 12.2024'!$B:$E,4,FALSE),0),0)</f>
        <v>0</v>
      </c>
      <c r="I695" s="21"/>
      <c r="J695" s="28">
        <f>+IF(F695="i",IFERROR(VLOOKUP(C695,'BG 2023'!$B:$E,3,FALSE),0),0)</f>
        <v>0</v>
      </c>
      <c r="K695" s="21">
        <f>+IF(F695="i",IFERROR(VLOOKUP(C695,'BG 2023'!$B:$E,4,FALSE),0),0)</f>
        <v>0</v>
      </c>
      <c r="M695" s="15" t="e">
        <f>+VLOOKUP(C695,'BG 2023'!$B:$E,1,0)</f>
        <v>#N/A</v>
      </c>
      <c r="N695" s="806" t="e">
        <f>+VLOOKUP(C695,'BG 2023'!$B:$E,3,0)</f>
        <v>#N/A</v>
      </c>
      <c r="O695" s="807" t="e">
        <f t="shared" si="39"/>
        <v>#N/A</v>
      </c>
      <c r="P695" s="807"/>
      <c r="R695" s="807">
        <f>+IFERROR(VLOOKUP(C695,'CA FE'!$A:$C,3,0),0)+G695</f>
        <v>0</v>
      </c>
      <c r="S695" s="807">
        <f t="shared" si="42"/>
        <v>0</v>
      </c>
    </row>
    <row r="696" spans="1:19">
      <c r="A696" s="354" t="s">
        <v>193</v>
      </c>
      <c r="B696" s="354"/>
      <c r="C696" s="355">
        <v>2110121102</v>
      </c>
      <c r="D696" s="354" t="s">
        <v>202</v>
      </c>
      <c r="E696" s="356" t="s">
        <v>634</v>
      </c>
      <c r="F696" s="356" t="str">
        <f t="shared" si="40"/>
        <v>I</v>
      </c>
      <c r="G696" s="28">
        <f>+IF(F696="i",IFERROR(VLOOKUP(C696,'BG 12.2024'!$B:$E,3,FALSE),0),0)</f>
        <v>0</v>
      </c>
      <c r="H696" s="21">
        <f>+IF(F696="i",IFERROR(VLOOKUP(C696,'BG 12.2024'!$B:$E,4,FALSE),0),0)</f>
        <v>0</v>
      </c>
      <c r="I696" s="21"/>
      <c r="J696" s="28">
        <f>+IF(F696="i",IFERROR(VLOOKUP(C696,'BG 2023'!$B:$E,3,FALSE),0),0)</f>
        <v>0</v>
      </c>
      <c r="K696" s="21">
        <f>+IF(F696="i",IFERROR(VLOOKUP(C696,'BG 2023'!$B:$E,4,FALSE),0),0)</f>
        <v>0</v>
      </c>
      <c r="M696" s="15" t="e">
        <f>+VLOOKUP(C696,'BG 2023'!$B:$E,1,0)</f>
        <v>#N/A</v>
      </c>
      <c r="N696" s="806" t="e">
        <f>+VLOOKUP(C696,'BG 2023'!$B:$E,3,0)</f>
        <v>#N/A</v>
      </c>
      <c r="O696" s="807" t="e">
        <f t="shared" si="39"/>
        <v>#N/A</v>
      </c>
      <c r="P696" s="807"/>
      <c r="R696" s="807">
        <f>+IFERROR(VLOOKUP(C696,'CA FE'!$A:$C,3,0),0)+G696</f>
        <v>0</v>
      </c>
      <c r="S696" s="807">
        <f t="shared" si="42"/>
        <v>0</v>
      </c>
    </row>
    <row r="697" spans="1:19">
      <c r="A697" s="354" t="s">
        <v>193</v>
      </c>
      <c r="B697" s="354" t="s">
        <v>866</v>
      </c>
      <c r="C697" s="355">
        <v>2110121103</v>
      </c>
      <c r="D697" s="354" t="s">
        <v>203</v>
      </c>
      <c r="E697" s="356" t="s">
        <v>634</v>
      </c>
      <c r="F697" s="356" t="str">
        <f t="shared" si="40"/>
        <v>I</v>
      </c>
      <c r="G697" s="28">
        <f>+IF(F697="i",IFERROR(VLOOKUP(C697,'BG 12.2024'!$B:$E,3,FALSE),0),0)</f>
        <v>4018500</v>
      </c>
      <c r="H697" s="21">
        <f>+IF(F697="i",IFERROR(VLOOKUP(C697,'BG 12.2024'!$B:$E,4,FALSE),0),0)</f>
        <v>512.82999999999993</v>
      </c>
      <c r="I697" s="21"/>
      <c r="J697" s="28">
        <f>+IF(F697="i",IFERROR(VLOOKUP(C697,'BG 2023'!$B:$E,3,FALSE),0),0)</f>
        <v>1456210</v>
      </c>
      <c r="K697" s="21">
        <f>+IF(F697="i",IFERROR(VLOOKUP(C697,'BG 2023'!$B:$E,4,FALSE),0),0)</f>
        <v>199.93000000000029</v>
      </c>
      <c r="M697" s="15">
        <f>+VLOOKUP(C697,'BG 2023'!$B:$E,1,0)</f>
        <v>2110121103</v>
      </c>
      <c r="N697" s="806">
        <f>+VLOOKUP(C697,'BG 2023'!$B:$E,3,0)</f>
        <v>1456210</v>
      </c>
      <c r="O697" s="807">
        <f t="shared" si="39"/>
        <v>-2562290</v>
      </c>
      <c r="P697" s="807"/>
      <c r="R697" s="807">
        <f>+IFERROR(VLOOKUP(C697,'CA FE'!$A:$C,3,0),0)+G697</f>
        <v>0</v>
      </c>
      <c r="S697" s="807">
        <f t="shared" si="42"/>
        <v>2562290</v>
      </c>
    </row>
    <row r="698" spans="1:19">
      <c r="A698" s="354" t="s">
        <v>193</v>
      </c>
      <c r="B698" s="354" t="s">
        <v>863</v>
      </c>
      <c r="C698" s="355">
        <v>2110121104</v>
      </c>
      <c r="D698" s="354" t="s">
        <v>587</v>
      </c>
      <c r="E698" s="356" t="s">
        <v>634</v>
      </c>
      <c r="F698" s="356" t="str">
        <f>+IF(LEN(C698)&gt;8,"I","NI")</f>
        <v>I</v>
      </c>
      <c r="G698" s="28">
        <f>+IF(F698="i",IFERROR(VLOOKUP(C698,'BG 12.2024'!$B:$E,3,FALSE),0),0)</f>
        <v>0</v>
      </c>
      <c r="H698" s="21">
        <f>+IF(F698="i",IFERROR(VLOOKUP(C698,'BG 12.2024'!$B:$E,4,FALSE),0),0)</f>
        <v>0</v>
      </c>
      <c r="I698" s="21"/>
      <c r="J698" s="28"/>
      <c r="K698" s="21"/>
      <c r="N698" s="806"/>
      <c r="O698" s="807"/>
      <c r="P698" s="807"/>
      <c r="R698" s="807">
        <f>+IFERROR(VLOOKUP(C698,'CA FE'!$A:$C,3,0),0)+G698</f>
        <v>0</v>
      </c>
      <c r="S698" s="807"/>
    </row>
    <row r="699" spans="1:19">
      <c r="A699" s="354" t="s">
        <v>193</v>
      </c>
      <c r="B699" s="354"/>
      <c r="C699" s="355">
        <v>211015</v>
      </c>
      <c r="D699" s="354" t="s">
        <v>204</v>
      </c>
      <c r="E699" s="356" t="s">
        <v>634</v>
      </c>
      <c r="F699" s="356" t="str">
        <f t="shared" si="40"/>
        <v>NI</v>
      </c>
      <c r="G699" s="28">
        <f>+IF(F699="i",IFERROR(VLOOKUP(C699,'BG 12.2024'!$B:$E,3,FALSE),0),0)</f>
        <v>0</v>
      </c>
      <c r="H699" s="21">
        <f>+IF(F699="i",IFERROR(VLOOKUP(C699,'BG 12.2024'!$B:$E,4,FALSE),0),0)</f>
        <v>0</v>
      </c>
      <c r="I699" s="21"/>
      <c r="J699" s="28">
        <f>+IF(F699="i",IFERROR(VLOOKUP(C699,'BG 2023'!$B:$E,3,FALSE),0),0)</f>
        <v>0</v>
      </c>
      <c r="K699" s="21">
        <f>+IF(F699="i",IFERROR(VLOOKUP(C699,'BG 2023'!$B:$E,4,FALSE),0),0)</f>
        <v>0</v>
      </c>
      <c r="M699" s="15">
        <f>+VLOOKUP(C699,'BG 2023'!$B:$E,1,0)</f>
        <v>211015</v>
      </c>
      <c r="N699" s="806">
        <f>+VLOOKUP(C699,'BG 2023'!$B:$E,3,0)</f>
        <v>445214785</v>
      </c>
      <c r="O699" s="807">
        <f t="shared" si="39"/>
        <v>445214785</v>
      </c>
      <c r="P699" s="807"/>
      <c r="R699" s="807">
        <f>+IFERROR(VLOOKUP(C699,'CA FE'!$A:$C,3,0),0)+G699</f>
        <v>0</v>
      </c>
      <c r="S699" s="807">
        <f t="shared" si="42"/>
        <v>0</v>
      </c>
    </row>
    <row r="700" spans="1:19">
      <c r="A700" s="354" t="s">
        <v>193</v>
      </c>
      <c r="B700" s="354"/>
      <c r="C700" s="355">
        <v>2110151</v>
      </c>
      <c r="D700" s="354" t="s">
        <v>204</v>
      </c>
      <c r="E700" s="356" t="s">
        <v>634</v>
      </c>
      <c r="F700" s="356" t="str">
        <f t="shared" si="40"/>
        <v>NI</v>
      </c>
      <c r="G700" s="28">
        <f>+IF(F700="i",IFERROR(VLOOKUP(C700,'BG 12.2024'!$B:$E,3,FALSE),0),0)</f>
        <v>0</v>
      </c>
      <c r="H700" s="21">
        <f>+IF(F700="i",IFERROR(VLOOKUP(C700,'BG 12.2024'!$B:$E,4,FALSE),0),0)</f>
        <v>0</v>
      </c>
      <c r="I700" s="21"/>
      <c r="J700" s="28">
        <f>+IF(F700="i",IFERROR(VLOOKUP(C700,'BG 2023'!$B:$E,3,FALSE),0),0)</f>
        <v>0</v>
      </c>
      <c r="K700" s="21">
        <f>+IF(F700="i",IFERROR(VLOOKUP(C700,'BG 2023'!$B:$E,4,FALSE),0),0)</f>
        <v>0</v>
      </c>
      <c r="M700" s="15">
        <f>+VLOOKUP(C700,'BG 2023'!$B:$E,1,0)</f>
        <v>2110151</v>
      </c>
      <c r="N700" s="806">
        <f>+VLOOKUP(C700,'BG 2023'!$B:$E,3,0)</f>
        <v>445214785</v>
      </c>
      <c r="O700" s="807">
        <f t="shared" si="39"/>
        <v>445214785</v>
      </c>
      <c r="P700" s="807"/>
      <c r="R700" s="807">
        <f>+IFERROR(VLOOKUP(C700,'CA FE'!$A:$C,3,0),0)+G700</f>
        <v>0</v>
      </c>
      <c r="S700" s="807">
        <f t="shared" si="42"/>
        <v>0</v>
      </c>
    </row>
    <row r="701" spans="1:19">
      <c r="A701" s="354" t="s">
        <v>193</v>
      </c>
      <c r="B701" s="354"/>
      <c r="C701" s="355">
        <v>21101511</v>
      </c>
      <c r="D701" s="354" t="s">
        <v>204</v>
      </c>
      <c r="E701" s="356" t="s">
        <v>634</v>
      </c>
      <c r="F701" s="356" t="str">
        <f t="shared" si="40"/>
        <v>NI</v>
      </c>
      <c r="G701" s="28">
        <f>+IF(F701="i",IFERROR(VLOOKUP(C701,'BG 12.2024'!$B:$E,3,FALSE),0),0)</f>
        <v>0</v>
      </c>
      <c r="H701" s="21">
        <f>+IF(F701="i",IFERROR(VLOOKUP(C701,'BG 12.2024'!$B:$E,4,FALSE),0),0)</f>
        <v>0</v>
      </c>
      <c r="I701" s="21"/>
      <c r="J701" s="28">
        <f>+IF(F701="i",IFERROR(VLOOKUP(C701,'BG 2023'!$B:$E,3,FALSE),0),0)</f>
        <v>0</v>
      </c>
      <c r="K701" s="21">
        <f>+IF(F701="i",IFERROR(VLOOKUP(C701,'BG 2023'!$B:$E,4,FALSE),0),0)</f>
        <v>0</v>
      </c>
      <c r="M701" s="15">
        <f>+VLOOKUP(C701,'BG 2023'!$B:$E,1,0)</f>
        <v>21101511</v>
      </c>
      <c r="N701" s="806">
        <f>+VLOOKUP(C701,'BG 2023'!$B:$E,3,0)</f>
        <v>445214785</v>
      </c>
      <c r="O701" s="807">
        <f t="shared" si="39"/>
        <v>445214785</v>
      </c>
      <c r="P701" s="807"/>
      <c r="R701" s="807">
        <f>+IFERROR(VLOOKUP(C701,'CA FE'!$A:$C,3,0),0)+G701</f>
        <v>0</v>
      </c>
      <c r="S701" s="807">
        <f t="shared" si="42"/>
        <v>0</v>
      </c>
    </row>
    <row r="702" spans="1:19">
      <c r="A702" s="354" t="s">
        <v>193</v>
      </c>
      <c r="B702" s="354" t="s">
        <v>867</v>
      </c>
      <c r="C702" s="355">
        <v>2110151101</v>
      </c>
      <c r="D702" s="354" t="s">
        <v>205</v>
      </c>
      <c r="E702" s="356" t="s">
        <v>634</v>
      </c>
      <c r="F702" s="356" t="str">
        <f t="shared" si="40"/>
        <v>I</v>
      </c>
      <c r="G702" s="28">
        <f>+IF(F702="i",IFERROR(VLOOKUP(C702,'BG 12.2024'!$B:$E,3,FALSE),0),0)</f>
        <v>27679936</v>
      </c>
      <c r="H702" s="21">
        <f>+IF(F702="i",IFERROR(VLOOKUP(C702,'BG 12.2024'!$B:$E,4,FALSE),0),0)</f>
        <v>3534.5500000007451</v>
      </c>
      <c r="I702" s="21"/>
      <c r="J702" s="28">
        <f>+IF(F702="i",IFERROR(VLOOKUP(C702,'BG 2023'!$B:$E,3,FALSE),0),0)</f>
        <v>35682034</v>
      </c>
      <c r="K702" s="21">
        <f>+IF(F702="i",IFERROR(VLOOKUP(C702,'BG 2023'!$B:$E,4,FALSE),0),0)</f>
        <v>4898.9500000001863</v>
      </c>
      <c r="M702" s="15">
        <f>+VLOOKUP(C702,'BG 2023'!$B:$E,1,0)</f>
        <v>2110151101</v>
      </c>
      <c r="N702" s="806">
        <f>+VLOOKUP(C702,'BG 2023'!$B:$E,3,0)</f>
        <v>35682034</v>
      </c>
      <c r="O702" s="807">
        <f t="shared" si="39"/>
        <v>8002098</v>
      </c>
      <c r="P702" s="807"/>
      <c r="R702" s="807">
        <f>+IFERROR(VLOOKUP(C702,'CA FE'!$A:$C,3,0),0)+G702</f>
        <v>0</v>
      </c>
      <c r="S702" s="807">
        <f t="shared" si="42"/>
        <v>-8002098</v>
      </c>
    </row>
    <row r="703" spans="1:19">
      <c r="A703" s="354" t="s">
        <v>193</v>
      </c>
      <c r="B703" s="354" t="s">
        <v>867</v>
      </c>
      <c r="C703" s="355">
        <v>2110151102</v>
      </c>
      <c r="D703" s="354" t="s">
        <v>206</v>
      </c>
      <c r="E703" s="356" t="s">
        <v>640</v>
      </c>
      <c r="F703" s="356" t="str">
        <f t="shared" ref="F703" si="43">+IF(LEN(C703)&gt;8,"I","NI")</f>
        <v>I</v>
      </c>
      <c r="G703" s="28">
        <f>+IF(F703="i",IFERROR(VLOOKUP(C703,'BG 12.2024'!$B:$E,3,FALSE),0),0)</f>
        <v>65588525</v>
      </c>
      <c r="H703" s="21">
        <f>+IF(F703="i",IFERROR(VLOOKUP(C703,'BG 12.2024'!$B:$E,4,FALSE),0),0)</f>
        <v>8375.2200000000885</v>
      </c>
      <c r="I703" s="21"/>
      <c r="J703" s="28">
        <f>+IF(F703="i",IFERROR(VLOOKUP(C703,'BG 2023'!$B:$E,3,FALSE),0),0)</f>
        <v>12575461</v>
      </c>
      <c r="K703" s="21">
        <f>+IF(F703="i",IFERROR(VLOOKUP(C703,'BG 2023'!$B:$E,4,FALSE),0),0)</f>
        <v>1726.540000000037</v>
      </c>
      <c r="M703" s="15">
        <f>+VLOOKUP(C703,'BG 2023'!$B:$E,1,0)</f>
        <v>2110151102</v>
      </c>
      <c r="N703" s="806">
        <f>+VLOOKUP(C703,'BG 2023'!$B:$E,3,0)</f>
        <v>12575461</v>
      </c>
      <c r="O703" s="807">
        <f t="shared" si="39"/>
        <v>-53013064</v>
      </c>
      <c r="P703" s="807"/>
      <c r="R703" s="807">
        <f>+IFERROR(VLOOKUP(C703,'CA FE'!$A:$C,3,0),0)+G703</f>
        <v>0</v>
      </c>
      <c r="S703" s="807">
        <f t="shared" si="42"/>
        <v>53013064</v>
      </c>
    </row>
    <row r="704" spans="1:19">
      <c r="A704" s="354" t="s">
        <v>193</v>
      </c>
      <c r="B704" s="354" t="s">
        <v>867</v>
      </c>
      <c r="C704" s="355">
        <v>2110151103</v>
      </c>
      <c r="D704" s="354" t="s">
        <v>207</v>
      </c>
      <c r="E704" s="356" t="s">
        <v>640</v>
      </c>
      <c r="F704" s="356" t="str">
        <f t="shared" si="40"/>
        <v>I</v>
      </c>
      <c r="G704" s="28">
        <f>+IF(F704="i",IFERROR(VLOOKUP(C704,'BG 12.2024'!$B:$E,3,FALSE),0),0)</f>
        <v>500879558</v>
      </c>
      <c r="H704" s="21">
        <f>+IF(F704="i",IFERROR(VLOOKUP(C704,'BG 12.2024'!$B:$E,4,FALSE),0),0)</f>
        <v>63959</v>
      </c>
      <c r="I704" s="21"/>
      <c r="J704" s="28">
        <f>+IF(F704="i",IFERROR(VLOOKUP(C704,'BG 2023'!$B:$E,3,FALSE),0),0)</f>
        <v>396957290</v>
      </c>
      <c r="K704" s="21">
        <f>+IF(F704="i",IFERROR(VLOOKUP(C704,'BG 2023'!$B:$E,4,FALSE),0),0)</f>
        <v>54500</v>
      </c>
      <c r="M704" s="15">
        <f>+VLOOKUP(C704,'BG 2023'!$B:$E,1,0)</f>
        <v>2110151103</v>
      </c>
      <c r="N704" s="806">
        <f>+VLOOKUP(C704,'BG 2023'!$B:$E,3,0)</f>
        <v>396957290</v>
      </c>
      <c r="O704" s="807">
        <f t="shared" si="39"/>
        <v>-103922268</v>
      </c>
      <c r="P704" s="807"/>
      <c r="R704" s="807">
        <f>+IFERROR(VLOOKUP(C704,'CA FE'!$A:$C,3,0),0)+G704</f>
        <v>0</v>
      </c>
      <c r="S704" s="807">
        <f t="shared" si="42"/>
        <v>103922268</v>
      </c>
    </row>
    <row r="705" spans="1:19">
      <c r="A705" s="354" t="s">
        <v>193</v>
      </c>
      <c r="B705" s="354"/>
      <c r="C705" s="355">
        <v>211016</v>
      </c>
      <c r="D705" s="354" t="s">
        <v>540</v>
      </c>
      <c r="E705" s="356" t="s">
        <v>634</v>
      </c>
      <c r="F705" s="356" t="str">
        <f t="shared" si="40"/>
        <v>NI</v>
      </c>
      <c r="G705" s="28">
        <f>+IF(F705="i",IFERROR(VLOOKUP(C705,'BG 12.2024'!$B:$E,3,FALSE),0),0)</f>
        <v>0</v>
      </c>
      <c r="H705" s="21">
        <f>+IF(F705="i",IFERROR(VLOOKUP(C705,'BG 12.2024'!$B:$E,4,FALSE),0),0)</f>
        <v>0</v>
      </c>
      <c r="I705" s="21"/>
      <c r="J705" s="28">
        <f>+IF(F705="i",IFERROR(VLOOKUP(C705,'BG 2023'!$B:$E,3,FALSE),0),0)</f>
        <v>0</v>
      </c>
      <c r="K705" s="21">
        <f>+IF(F705="i",IFERROR(VLOOKUP(C705,'BG 2023'!$B:$E,4,FALSE),0),0)</f>
        <v>0</v>
      </c>
      <c r="M705" s="15" t="e">
        <f>+VLOOKUP(C705,'BG 2023'!$B:$E,1,0)</f>
        <v>#N/A</v>
      </c>
      <c r="N705" s="806" t="e">
        <f>+VLOOKUP(C705,'BG 2023'!$B:$E,3,0)</f>
        <v>#N/A</v>
      </c>
      <c r="O705" s="807" t="e">
        <f t="shared" si="39"/>
        <v>#N/A</v>
      </c>
      <c r="P705" s="807"/>
      <c r="R705" s="807">
        <f>+IFERROR(VLOOKUP(C705,'CA FE'!$A:$C,3,0),0)+G705</f>
        <v>0</v>
      </c>
      <c r="S705" s="807">
        <f t="shared" si="42"/>
        <v>0</v>
      </c>
    </row>
    <row r="706" spans="1:19">
      <c r="A706" s="354" t="s">
        <v>193</v>
      </c>
      <c r="B706" s="354"/>
      <c r="C706" s="355">
        <v>2110161</v>
      </c>
      <c r="D706" s="354" t="s">
        <v>541</v>
      </c>
      <c r="E706" s="356" t="s">
        <v>634</v>
      </c>
      <c r="F706" s="356" t="str">
        <f t="shared" si="40"/>
        <v>NI</v>
      </c>
      <c r="G706" s="28">
        <f>+IF(F706="i",IFERROR(VLOOKUP(C706,'BG 12.2024'!$B:$E,3,FALSE),0),0)</f>
        <v>0</v>
      </c>
      <c r="H706" s="21">
        <f>+IF(F706="i",IFERROR(VLOOKUP(C706,'BG 12.2024'!$B:$E,4,FALSE),0),0)</f>
        <v>0</v>
      </c>
      <c r="I706" s="21"/>
      <c r="J706" s="28">
        <f>+IF(F706="i",IFERROR(VLOOKUP(C706,'BG 2023'!$B:$E,3,FALSE),0),0)</f>
        <v>0</v>
      </c>
      <c r="K706" s="21">
        <f>+IF(F706="i",IFERROR(VLOOKUP(C706,'BG 2023'!$B:$E,4,FALSE),0),0)</f>
        <v>0</v>
      </c>
      <c r="M706" s="15" t="e">
        <f>+VLOOKUP(C706,'BG 2023'!$B:$E,1,0)</f>
        <v>#N/A</v>
      </c>
      <c r="N706" s="806" t="e">
        <f>+VLOOKUP(C706,'BG 2023'!$B:$E,3,0)</f>
        <v>#N/A</v>
      </c>
      <c r="O706" s="807" t="e">
        <f t="shared" si="39"/>
        <v>#N/A</v>
      </c>
      <c r="P706" s="807"/>
      <c r="R706" s="807">
        <f>+IFERROR(VLOOKUP(C706,'CA FE'!$A:$C,3,0),0)+G706</f>
        <v>0</v>
      </c>
      <c r="S706" s="807">
        <f t="shared" si="42"/>
        <v>0</v>
      </c>
    </row>
    <row r="707" spans="1:19">
      <c r="A707" s="354" t="s">
        <v>193</v>
      </c>
      <c r="B707" s="354"/>
      <c r="C707" s="355">
        <v>21101611</v>
      </c>
      <c r="D707" s="354" t="s">
        <v>541</v>
      </c>
      <c r="E707" s="356" t="s">
        <v>634</v>
      </c>
      <c r="F707" s="356" t="str">
        <f t="shared" si="40"/>
        <v>NI</v>
      </c>
      <c r="G707" s="28">
        <f>+IF(F707="i",IFERROR(VLOOKUP(C707,'BG 12.2024'!$B:$E,3,FALSE),0),0)</f>
        <v>0</v>
      </c>
      <c r="H707" s="21">
        <f>+IF(F707="i",IFERROR(VLOOKUP(C707,'BG 12.2024'!$B:$E,4,FALSE),0),0)</f>
        <v>0</v>
      </c>
      <c r="I707" s="21"/>
      <c r="J707" s="28">
        <f>+IF(F707="i",IFERROR(VLOOKUP(C707,'BG 2023'!$B:$E,3,FALSE),0),0)</f>
        <v>0</v>
      </c>
      <c r="K707" s="21">
        <f>+IF(F707="i",IFERROR(VLOOKUP(C707,'BG 2023'!$B:$E,4,FALSE),0),0)</f>
        <v>0</v>
      </c>
      <c r="M707" s="15" t="e">
        <f>+VLOOKUP(C707,'BG 2023'!$B:$E,1,0)</f>
        <v>#N/A</v>
      </c>
      <c r="N707" s="806" t="e">
        <f>+VLOOKUP(C707,'BG 2023'!$B:$E,3,0)</f>
        <v>#N/A</v>
      </c>
      <c r="O707" s="807" t="e">
        <f t="shared" si="39"/>
        <v>#N/A</v>
      </c>
      <c r="P707" s="807"/>
      <c r="R707" s="807">
        <f>+IFERROR(VLOOKUP(C707,'CA FE'!$A:$C,3,0),0)+G707</f>
        <v>0</v>
      </c>
      <c r="S707" s="807">
        <f t="shared" si="42"/>
        <v>0</v>
      </c>
    </row>
    <row r="708" spans="1:19">
      <c r="A708" s="354" t="s">
        <v>193</v>
      </c>
      <c r="B708" s="354" t="s">
        <v>866</v>
      </c>
      <c r="C708" s="355">
        <v>2110161101</v>
      </c>
      <c r="D708" s="354" t="s">
        <v>542</v>
      </c>
      <c r="E708" s="356" t="s">
        <v>634</v>
      </c>
      <c r="F708" s="356" t="str">
        <f t="shared" si="40"/>
        <v>I</v>
      </c>
      <c r="G708" s="28">
        <f>+IF(F708="i",IFERROR(VLOOKUP(C708,'BG 12.2024'!$B:$E,3,FALSE),0),0)</f>
        <v>0</v>
      </c>
      <c r="H708" s="21">
        <f>+IF(F708="i",IFERROR(VLOOKUP(C708,'BG 12.2024'!$B:$E,4,FALSE),0),0)</f>
        <v>0</v>
      </c>
      <c r="I708" s="21"/>
      <c r="J708" s="28">
        <f>+IF(F708="i",IFERROR(VLOOKUP(C708,'BG 2023'!$B:$E,3,FALSE),0),0)</f>
        <v>0</v>
      </c>
      <c r="K708" s="21">
        <f>+IF(F708="i",IFERROR(VLOOKUP(C708,'BG 2023'!$B:$E,4,FALSE),0),0)</f>
        <v>0</v>
      </c>
      <c r="M708" s="15" t="e">
        <f>+VLOOKUP(C708,'BG 2023'!$B:$E,1,0)</f>
        <v>#N/A</v>
      </c>
      <c r="N708" s="806" t="e">
        <f>+VLOOKUP(C708,'BG 2023'!$B:$E,3,0)</f>
        <v>#N/A</v>
      </c>
      <c r="O708" s="807" t="e">
        <f t="shared" si="39"/>
        <v>#N/A</v>
      </c>
      <c r="P708" s="807"/>
      <c r="R708" s="807">
        <f>+IFERROR(VLOOKUP(C708,'CA FE'!$A:$C,3,0),0)+G708</f>
        <v>0</v>
      </c>
      <c r="S708" s="807">
        <f t="shared" si="42"/>
        <v>0</v>
      </c>
    </row>
    <row r="709" spans="1:19">
      <c r="A709" s="354" t="s">
        <v>193</v>
      </c>
      <c r="B709" s="354"/>
      <c r="C709" s="355">
        <v>2110161102</v>
      </c>
      <c r="D709" s="354" t="s">
        <v>868</v>
      </c>
      <c r="E709" s="356" t="s">
        <v>640</v>
      </c>
      <c r="F709" s="356" t="str">
        <f t="shared" si="40"/>
        <v>I</v>
      </c>
      <c r="G709" s="28">
        <f>+IF(F709="i",IFERROR(VLOOKUP(C709,'BG 12.2024'!$B:$E,3,FALSE),0),0)</f>
        <v>0</v>
      </c>
      <c r="H709" s="21">
        <f>+IF(F709="i",IFERROR(VLOOKUP(C709,'BG 12.2024'!$B:$E,4,FALSE),0),0)</f>
        <v>0</v>
      </c>
      <c r="I709" s="21"/>
      <c r="J709" s="28">
        <f>+IF(F709="i",IFERROR(VLOOKUP(C709,'BG 2023'!$B:$E,3,FALSE),0),0)</f>
        <v>0</v>
      </c>
      <c r="K709" s="21">
        <f>+IF(F709="i",IFERROR(VLOOKUP(C709,'BG 2023'!$B:$E,4,FALSE),0),0)</f>
        <v>0</v>
      </c>
      <c r="M709" s="15" t="e">
        <f>+VLOOKUP(C709,'BG 2023'!$B:$E,1,0)</f>
        <v>#N/A</v>
      </c>
      <c r="N709" s="806" t="e">
        <f>+VLOOKUP(C709,'BG 2023'!$B:$E,3,0)</f>
        <v>#N/A</v>
      </c>
      <c r="O709" s="807" t="e">
        <f t="shared" si="39"/>
        <v>#N/A</v>
      </c>
      <c r="P709" s="807"/>
      <c r="R709" s="807">
        <f>+IFERROR(VLOOKUP(C709,'CA FE'!$A:$C,3,0),0)+G709</f>
        <v>0</v>
      </c>
      <c r="S709" s="807">
        <f t="shared" si="42"/>
        <v>0</v>
      </c>
    </row>
    <row r="710" spans="1:19">
      <c r="A710" s="354" t="s">
        <v>193</v>
      </c>
      <c r="B710" s="354"/>
      <c r="C710" s="355">
        <v>21102</v>
      </c>
      <c r="D710" s="354" t="s">
        <v>867</v>
      </c>
      <c r="E710" s="356" t="s">
        <v>634</v>
      </c>
      <c r="F710" s="356" t="str">
        <f t="shared" si="40"/>
        <v>NI</v>
      </c>
      <c r="G710" s="28">
        <f>+IF(F710="i",IFERROR(VLOOKUP(C710,'BG 12.2024'!$B:$E,3,FALSE),0),0)</f>
        <v>0</v>
      </c>
      <c r="H710" s="21">
        <f>+IF(F710="i",IFERROR(VLOOKUP(C710,'BG 12.2024'!$B:$E,4,FALSE),0),0)</f>
        <v>0</v>
      </c>
      <c r="I710" s="21"/>
      <c r="J710" s="28">
        <f>+IF(F710="i",IFERROR(VLOOKUP(C710,'BG 2023'!$B:$E,3,FALSE),0),0)</f>
        <v>0</v>
      </c>
      <c r="K710" s="21">
        <f>+IF(F710="i",IFERROR(VLOOKUP(C710,'BG 2023'!$B:$E,4,FALSE),0),0)</f>
        <v>0</v>
      </c>
      <c r="M710" s="15" t="e">
        <f>+VLOOKUP(C710,'BG 2023'!$B:$E,1,0)</f>
        <v>#N/A</v>
      </c>
      <c r="N710" s="806" t="e">
        <f>+VLOOKUP(C710,'BG 2023'!$B:$E,3,0)</f>
        <v>#N/A</v>
      </c>
      <c r="O710" s="807" t="e">
        <f t="shared" si="39"/>
        <v>#N/A</v>
      </c>
      <c r="P710" s="807"/>
      <c r="R710" s="807">
        <f>+IFERROR(VLOOKUP(C710,'CA FE'!$A:$C,3,0),0)+G710</f>
        <v>0</v>
      </c>
      <c r="S710" s="807">
        <f t="shared" si="42"/>
        <v>0</v>
      </c>
    </row>
    <row r="711" spans="1:19">
      <c r="A711" s="354" t="s">
        <v>193</v>
      </c>
      <c r="B711" s="354"/>
      <c r="C711" s="355">
        <v>211021</v>
      </c>
      <c r="D711" s="354" t="s">
        <v>867</v>
      </c>
      <c r="E711" s="356" t="s">
        <v>634</v>
      </c>
      <c r="F711" s="356" t="str">
        <f t="shared" si="40"/>
        <v>NI</v>
      </c>
      <c r="G711" s="28">
        <f>+IF(F711="i",IFERROR(VLOOKUP(C711,'BG 12.2024'!$B:$E,3,FALSE),0),0)</f>
        <v>0</v>
      </c>
      <c r="H711" s="21">
        <f>+IF(F711="i",IFERROR(VLOOKUP(C711,'BG 12.2024'!$B:$E,4,FALSE),0),0)</f>
        <v>0</v>
      </c>
      <c r="I711" s="21"/>
      <c r="J711" s="28">
        <f>+IF(F711="i",IFERROR(VLOOKUP(C711,'BG 2023'!$B:$E,3,FALSE),0),0)</f>
        <v>0</v>
      </c>
      <c r="K711" s="21">
        <f>+IF(F711="i",IFERROR(VLOOKUP(C711,'BG 2023'!$B:$E,4,FALSE),0),0)</f>
        <v>0</v>
      </c>
      <c r="M711" s="15" t="e">
        <f>+VLOOKUP(C711,'BG 2023'!$B:$E,1,0)</f>
        <v>#N/A</v>
      </c>
      <c r="N711" s="806" t="e">
        <f>+VLOOKUP(C711,'BG 2023'!$B:$E,3,0)</f>
        <v>#N/A</v>
      </c>
      <c r="O711" s="807" t="e">
        <f t="shared" si="39"/>
        <v>#N/A</v>
      </c>
      <c r="P711" s="807"/>
      <c r="R711" s="807">
        <f>+IFERROR(VLOOKUP(C711,'CA FE'!$A:$C,3,0),0)+G711</f>
        <v>0</v>
      </c>
      <c r="S711" s="807">
        <f t="shared" si="42"/>
        <v>0</v>
      </c>
    </row>
    <row r="712" spans="1:19">
      <c r="A712" s="354" t="s">
        <v>193</v>
      </c>
      <c r="B712" s="354"/>
      <c r="C712" s="355">
        <v>2110211</v>
      </c>
      <c r="D712" s="354" t="s">
        <v>867</v>
      </c>
      <c r="E712" s="356" t="s">
        <v>634</v>
      </c>
      <c r="F712" s="356" t="str">
        <f t="shared" si="40"/>
        <v>NI</v>
      </c>
      <c r="G712" s="28">
        <f>+IF(F712="i",IFERROR(VLOOKUP(C712,'BG 12.2024'!$B:$E,3,FALSE),0),0)</f>
        <v>0</v>
      </c>
      <c r="H712" s="21">
        <f>+IF(F712="i",IFERROR(VLOOKUP(C712,'BG 12.2024'!$B:$E,4,FALSE),0),0)</f>
        <v>0</v>
      </c>
      <c r="I712" s="21"/>
      <c r="J712" s="28">
        <f>+IF(F712="i",IFERROR(VLOOKUP(C712,'BG 2023'!$B:$E,3,FALSE),0),0)</f>
        <v>0</v>
      </c>
      <c r="K712" s="21">
        <f>+IF(F712="i",IFERROR(VLOOKUP(C712,'BG 2023'!$B:$E,4,FALSE),0),0)</f>
        <v>0</v>
      </c>
      <c r="M712" s="15" t="e">
        <f>+VLOOKUP(C712,'BG 2023'!$B:$E,1,0)</f>
        <v>#N/A</v>
      </c>
      <c r="N712" s="806" t="e">
        <f>+VLOOKUP(C712,'BG 2023'!$B:$E,3,0)</f>
        <v>#N/A</v>
      </c>
      <c r="O712" s="807" t="e">
        <f t="shared" si="39"/>
        <v>#N/A</v>
      </c>
      <c r="P712" s="807"/>
      <c r="R712" s="807">
        <f>+IFERROR(VLOOKUP(C712,'CA FE'!$A:$C,3,0),0)+G712</f>
        <v>0</v>
      </c>
      <c r="S712" s="807">
        <f t="shared" si="42"/>
        <v>0</v>
      </c>
    </row>
    <row r="713" spans="1:19">
      <c r="A713" s="354" t="s">
        <v>193</v>
      </c>
      <c r="B713" s="354"/>
      <c r="C713" s="355">
        <v>21102111</v>
      </c>
      <c r="D713" s="354" t="s">
        <v>867</v>
      </c>
      <c r="E713" s="356" t="s">
        <v>634</v>
      </c>
      <c r="F713" s="356" t="str">
        <f t="shared" si="40"/>
        <v>NI</v>
      </c>
      <c r="G713" s="28">
        <f>+IF(F713="i",IFERROR(VLOOKUP(C713,'BG 12.2024'!$B:$E,3,FALSE),0),0)</f>
        <v>0</v>
      </c>
      <c r="H713" s="21">
        <f>+IF(F713="i",IFERROR(VLOOKUP(C713,'BG 12.2024'!$B:$E,4,FALSE),0),0)</f>
        <v>0</v>
      </c>
      <c r="I713" s="21"/>
      <c r="J713" s="28">
        <f>+IF(F713="i",IFERROR(VLOOKUP(C713,'BG 2023'!$B:$E,3,FALSE),0),0)</f>
        <v>0</v>
      </c>
      <c r="K713" s="21">
        <f>+IF(F713="i",IFERROR(VLOOKUP(C713,'BG 2023'!$B:$E,4,FALSE),0),0)</f>
        <v>0</v>
      </c>
      <c r="M713" s="15" t="e">
        <f>+VLOOKUP(C713,'BG 2023'!$B:$E,1,0)</f>
        <v>#N/A</v>
      </c>
      <c r="N713" s="806" t="e">
        <f>+VLOOKUP(C713,'BG 2023'!$B:$E,3,0)</f>
        <v>#N/A</v>
      </c>
      <c r="O713" s="807" t="e">
        <f t="shared" si="39"/>
        <v>#N/A</v>
      </c>
      <c r="P713" s="807"/>
      <c r="R713" s="807">
        <f>+IFERROR(VLOOKUP(C713,'CA FE'!$A:$C,3,0),0)+G713</f>
        <v>0</v>
      </c>
      <c r="S713" s="807">
        <f t="shared" si="42"/>
        <v>0</v>
      </c>
    </row>
    <row r="714" spans="1:19">
      <c r="A714" s="354" t="s">
        <v>193</v>
      </c>
      <c r="B714" s="354"/>
      <c r="C714" s="355">
        <v>2110211101</v>
      </c>
      <c r="D714" s="354" t="s">
        <v>869</v>
      </c>
      <c r="E714" s="356" t="s">
        <v>634</v>
      </c>
      <c r="F714" s="356" t="str">
        <f t="shared" si="40"/>
        <v>I</v>
      </c>
      <c r="G714" s="28">
        <f>+IF(F714="i",IFERROR(VLOOKUP(C714,'BG 12.2024'!$B:$E,3,FALSE),0),0)</f>
        <v>0</v>
      </c>
      <c r="H714" s="21">
        <f>+IF(F714="i",IFERROR(VLOOKUP(C714,'BG 12.2024'!$B:$E,4,FALSE),0),0)</f>
        <v>0</v>
      </c>
      <c r="I714" s="21"/>
      <c r="J714" s="28">
        <f>+IF(F714="i",IFERROR(VLOOKUP(C714,'BG 2023'!$B:$E,3,FALSE),0),0)</f>
        <v>0</v>
      </c>
      <c r="K714" s="21">
        <f>+IF(F714="i",IFERROR(VLOOKUP(C714,'BG 2023'!$B:$E,4,FALSE),0),0)</f>
        <v>0</v>
      </c>
      <c r="M714" s="15" t="e">
        <f>+VLOOKUP(C714,'BG 2023'!$B:$E,1,0)</f>
        <v>#N/A</v>
      </c>
      <c r="N714" s="806" t="e">
        <f>+VLOOKUP(C714,'BG 2023'!$B:$E,3,0)</f>
        <v>#N/A</v>
      </c>
      <c r="O714" s="807" t="e">
        <f t="shared" si="39"/>
        <v>#N/A</v>
      </c>
      <c r="P714" s="807"/>
      <c r="R714" s="807">
        <f>+IFERROR(VLOOKUP(C714,'CA FE'!$A:$C,3,0),0)+G714</f>
        <v>0</v>
      </c>
      <c r="S714" s="807">
        <f t="shared" si="42"/>
        <v>0</v>
      </c>
    </row>
    <row r="715" spans="1:19">
      <c r="A715" s="354" t="s">
        <v>193</v>
      </c>
      <c r="B715" s="354"/>
      <c r="C715" s="355">
        <v>2110211102</v>
      </c>
      <c r="D715" s="354" t="s">
        <v>870</v>
      </c>
      <c r="E715" s="356" t="s">
        <v>640</v>
      </c>
      <c r="F715" s="356" t="str">
        <f t="shared" si="40"/>
        <v>I</v>
      </c>
      <c r="G715" s="28">
        <f>+IF(F715="i",IFERROR(VLOOKUP(C715,'BG 12.2024'!$B:$E,3,FALSE),0),0)</f>
        <v>0</v>
      </c>
      <c r="H715" s="21">
        <f>+IF(F715="i",IFERROR(VLOOKUP(C715,'BG 12.2024'!$B:$E,4,FALSE),0),0)</f>
        <v>0</v>
      </c>
      <c r="I715" s="21"/>
      <c r="J715" s="28">
        <f>+IF(F715="i",IFERROR(VLOOKUP(C715,'BG 2023'!$B:$E,3,FALSE),0),0)</f>
        <v>0</v>
      </c>
      <c r="K715" s="21">
        <f>+IF(F715="i",IFERROR(VLOOKUP(C715,'BG 2023'!$B:$E,4,FALSE),0),0)</f>
        <v>0</v>
      </c>
      <c r="M715" s="15" t="e">
        <f>+VLOOKUP(C715,'BG 2023'!$B:$E,1,0)</f>
        <v>#N/A</v>
      </c>
      <c r="N715" s="806" t="e">
        <f>+VLOOKUP(C715,'BG 2023'!$B:$E,3,0)</f>
        <v>#N/A</v>
      </c>
      <c r="O715" s="807" t="e">
        <f t="shared" si="39"/>
        <v>#N/A</v>
      </c>
      <c r="P715" s="807"/>
      <c r="R715" s="807">
        <f>+IFERROR(VLOOKUP(C715,'CA FE'!$A:$C,3,0),0)+G715</f>
        <v>0</v>
      </c>
      <c r="S715" s="807">
        <f t="shared" si="42"/>
        <v>0</v>
      </c>
    </row>
    <row r="716" spans="1:19">
      <c r="A716" s="354" t="s">
        <v>193</v>
      </c>
      <c r="B716" s="354"/>
      <c r="C716" s="355">
        <v>213</v>
      </c>
      <c r="D716" s="354" t="s">
        <v>208</v>
      </c>
      <c r="E716" s="356" t="s">
        <v>634</v>
      </c>
      <c r="F716" s="356" t="str">
        <f t="shared" si="40"/>
        <v>NI</v>
      </c>
      <c r="G716" s="28">
        <f>+IF(F716="i",IFERROR(VLOOKUP(C716,'BG 12.2024'!$B:$E,3,FALSE),0),0)</f>
        <v>0</v>
      </c>
      <c r="H716" s="21">
        <f>+IF(F716="i",IFERROR(VLOOKUP(C716,'BG 12.2024'!$B:$E,4,FALSE),0),0)</f>
        <v>0</v>
      </c>
      <c r="I716" s="21"/>
      <c r="J716" s="28">
        <f>+IF(F716="i",IFERROR(VLOOKUP(C716,'BG 2023'!$B:$E,3,FALSE),0),0)</f>
        <v>0</v>
      </c>
      <c r="K716" s="21">
        <f>+IF(F716="i",IFERROR(VLOOKUP(C716,'BG 2023'!$B:$E,4,FALSE),0),0)</f>
        <v>0</v>
      </c>
      <c r="M716" s="15">
        <f>+VLOOKUP(C716,'BG 2023'!$B:$E,1,0)</f>
        <v>213</v>
      </c>
      <c r="N716" s="806">
        <f>+VLOOKUP(C716,'BG 2023'!$B:$E,3,0)</f>
        <v>18122144341</v>
      </c>
      <c r="O716" s="807">
        <f t="shared" si="39"/>
        <v>18122144341</v>
      </c>
      <c r="P716" s="807"/>
      <c r="R716" s="807">
        <f>+IFERROR(VLOOKUP(C716,'CA FE'!$A:$C,3,0),0)+G716</f>
        <v>0</v>
      </c>
      <c r="S716" s="807">
        <f t="shared" si="42"/>
        <v>0</v>
      </c>
    </row>
    <row r="717" spans="1:19">
      <c r="A717" s="354" t="s">
        <v>193</v>
      </c>
      <c r="B717" s="354"/>
      <c r="C717" s="355">
        <v>21301</v>
      </c>
      <c r="D717" s="354" t="s">
        <v>871</v>
      </c>
      <c r="E717" s="356" t="s">
        <v>634</v>
      </c>
      <c r="F717" s="356" t="str">
        <f t="shared" si="40"/>
        <v>NI</v>
      </c>
      <c r="G717" s="28">
        <f>+IF(F717="i",IFERROR(VLOOKUP(C717,'BG 12.2024'!$B:$E,3,FALSE),0),0)</f>
        <v>0</v>
      </c>
      <c r="H717" s="21">
        <f>+IF(F717="i",IFERROR(VLOOKUP(C717,'BG 12.2024'!$B:$E,4,FALSE),0),0)</f>
        <v>0</v>
      </c>
      <c r="I717" s="21"/>
      <c r="J717" s="28">
        <f>+IF(F717="i",IFERROR(VLOOKUP(C717,'BG 2023'!$B:$E,3,FALSE),0),0)</f>
        <v>0</v>
      </c>
      <c r="K717" s="21">
        <f>+IF(F717="i",IFERROR(VLOOKUP(C717,'BG 2023'!$B:$E,4,FALSE),0),0)</f>
        <v>0</v>
      </c>
      <c r="M717" s="15">
        <f>+VLOOKUP(C717,'BG 2023'!$B:$E,1,0)</f>
        <v>21301</v>
      </c>
      <c r="N717" s="806">
        <f>+VLOOKUP(C717,'BG 2023'!$B:$E,3,0)</f>
        <v>10373275742</v>
      </c>
      <c r="O717" s="807">
        <f t="shared" si="39"/>
        <v>10373275742</v>
      </c>
      <c r="P717" s="807"/>
      <c r="R717" s="807">
        <f>+IFERROR(VLOOKUP(C717,'CA FE'!$A:$C,3,0),0)+G717</f>
        <v>0</v>
      </c>
      <c r="S717" s="807">
        <f t="shared" si="42"/>
        <v>0</v>
      </c>
    </row>
    <row r="718" spans="1:19">
      <c r="A718" s="354" t="s">
        <v>193</v>
      </c>
      <c r="B718" s="354"/>
      <c r="C718" s="355">
        <v>213011</v>
      </c>
      <c r="D718" s="354" t="s">
        <v>209</v>
      </c>
      <c r="E718" s="356" t="s">
        <v>634</v>
      </c>
      <c r="F718" s="356" t="str">
        <f t="shared" si="40"/>
        <v>NI</v>
      </c>
      <c r="G718" s="28">
        <f>+IF(F718="i",IFERROR(VLOOKUP(C718,'BG 12.2024'!$B:$E,3,FALSE),0),0)</f>
        <v>0</v>
      </c>
      <c r="H718" s="21">
        <f>+IF(F718="i",IFERROR(VLOOKUP(C718,'BG 12.2024'!$B:$E,4,FALSE),0),0)</f>
        <v>0</v>
      </c>
      <c r="I718" s="21"/>
      <c r="J718" s="28">
        <f>+IF(F718="i",IFERROR(VLOOKUP(C718,'BG 2023'!$B:$E,3,FALSE),0),0)</f>
        <v>0</v>
      </c>
      <c r="K718" s="21">
        <f>+IF(F718="i",IFERROR(VLOOKUP(C718,'BG 2023'!$B:$E,4,FALSE),0),0)</f>
        <v>0</v>
      </c>
      <c r="M718" s="15">
        <f>+VLOOKUP(C718,'BG 2023'!$B:$E,1,0)</f>
        <v>213011</v>
      </c>
      <c r="N718" s="806">
        <f>+VLOOKUP(C718,'BG 2023'!$B:$E,3,0)</f>
        <v>10373275742</v>
      </c>
      <c r="O718" s="807">
        <f t="shared" si="39"/>
        <v>10373275742</v>
      </c>
      <c r="P718" s="807"/>
      <c r="R718" s="807">
        <f>+IFERROR(VLOOKUP(C718,'CA FE'!$A:$C,3,0),0)+G718</f>
        <v>0</v>
      </c>
      <c r="S718" s="807">
        <f t="shared" si="42"/>
        <v>0</v>
      </c>
    </row>
    <row r="719" spans="1:19">
      <c r="A719" s="354" t="s">
        <v>193</v>
      </c>
      <c r="B719" s="354"/>
      <c r="C719" s="355">
        <v>2130111</v>
      </c>
      <c r="D719" s="354" t="s">
        <v>211</v>
      </c>
      <c r="E719" s="356" t="s">
        <v>634</v>
      </c>
      <c r="F719" s="356" t="str">
        <f t="shared" si="40"/>
        <v>NI</v>
      </c>
      <c r="G719" s="28">
        <f>+IF(F719="i",IFERROR(VLOOKUP(C719,'BG 12.2024'!$B:$E,3,FALSE),0),0)</f>
        <v>0</v>
      </c>
      <c r="H719" s="21">
        <f>+IF(F719="i",IFERROR(VLOOKUP(C719,'BG 12.2024'!$B:$E,4,FALSE),0),0)</f>
        <v>0</v>
      </c>
      <c r="I719" s="21"/>
      <c r="J719" s="28">
        <f>+IF(F719="i",IFERROR(VLOOKUP(C719,'BG 2023'!$B:$E,3,FALSE),0),0)</f>
        <v>0</v>
      </c>
      <c r="K719" s="21">
        <f>+IF(F719="i",IFERROR(VLOOKUP(C719,'BG 2023'!$B:$E,4,FALSE),0),0)</f>
        <v>0</v>
      </c>
      <c r="M719" s="15">
        <f>+VLOOKUP(C719,'BG 2023'!$B:$E,1,0)</f>
        <v>2130111</v>
      </c>
      <c r="N719" s="806">
        <f>+VLOOKUP(C719,'BG 2023'!$B:$E,3,0)</f>
        <v>10370861769</v>
      </c>
      <c r="O719" s="807">
        <f t="shared" si="39"/>
        <v>10370861769</v>
      </c>
      <c r="P719" s="807"/>
      <c r="R719" s="807">
        <f>+IFERROR(VLOOKUP(C719,'CA FE'!$A:$C,3,0),0)+G719</f>
        <v>0</v>
      </c>
      <c r="S719" s="807">
        <f t="shared" si="42"/>
        <v>0</v>
      </c>
    </row>
    <row r="720" spans="1:19">
      <c r="A720" s="354" t="s">
        <v>193</v>
      </c>
      <c r="B720" s="354"/>
      <c r="C720" s="355">
        <v>21301111</v>
      </c>
      <c r="D720" s="354" t="s">
        <v>872</v>
      </c>
      <c r="E720" s="356" t="s">
        <v>634</v>
      </c>
      <c r="F720" s="356" t="str">
        <f t="shared" si="40"/>
        <v>NI</v>
      </c>
      <c r="G720" s="28">
        <f>+IF(F720="i",IFERROR(VLOOKUP(C720,'BG 12.2024'!$B:$E,3,FALSE),0),0)</f>
        <v>0</v>
      </c>
      <c r="H720" s="21">
        <f>+IF(F720="i",IFERROR(VLOOKUP(C720,'BG 12.2024'!$B:$E,4,FALSE),0),0)</f>
        <v>0</v>
      </c>
      <c r="I720" s="21"/>
      <c r="J720" s="28">
        <f>+IF(F720="i",IFERROR(VLOOKUP(C720,'BG 2023'!$B:$E,3,FALSE),0),0)</f>
        <v>0</v>
      </c>
      <c r="K720" s="21">
        <f>+IF(F720="i",IFERROR(VLOOKUP(C720,'BG 2023'!$B:$E,4,FALSE),0),0)</f>
        <v>0</v>
      </c>
      <c r="M720" s="15" t="e">
        <f>+VLOOKUP(C720,'BG 2023'!$B:$E,1,0)</f>
        <v>#N/A</v>
      </c>
      <c r="N720" s="806" t="e">
        <f>+VLOOKUP(C720,'BG 2023'!$B:$E,3,0)</f>
        <v>#N/A</v>
      </c>
      <c r="O720" s="807" t="e">
        <f t="shared" si="39"/>
        <v>#N/A</v>
      </c>
      <c r="P720" s="807"/>
      <c r="R720" s="807">
        <f>+IFERROR(VLOOKUP(C720,'CA FE'!$A:$C,3,0),0)+G720</f>
        <v>0</v>
      </c>
      <c r="S720" s="807">
        <f t="shared" si="42"/>
        <v>0</v>
      </c>
    </row>
    <row r="721" spans="1:19">
      <c r="A721" s="354" t="s">
        <v>193</v>
      </c>
      <c r="B721" s="354"/>
      <c r="C721" s="355">
        <v>2130111101</v>
      </c>
      <c r="D721" s="354" t="s">
        <v>17</v>
      </c>
      <c r="E721" s="356" t="s">
        <v>634</v>
      </c>
      <c r="F721" s="356" t="str">
        <f t="shared" si="40"/>
        <v>I</v>
      </c>
      <c r="G721" s="28">
        <f>+IF(F721="i",IFERROR(VLOOKUP(C721,'BG 12.2024'!$B:$E,3,FALSE),0),0)</f>
        <v>0</v>
      </c>
      <c r="H721" s="21">
        <f>+IF(F721="i",IFERROR(VLOOKUP(C721,'BG 12.2024'!$B:$E,4,FALSE),0),0)</f>
        <v>0</v>
      </c>
      <c r="I721" s="21"/>
      <c r="J721" s="28">
        <f>+IF(F721="i",IFERROR(VLOOKUP(C721,'BG 2023'!$B:$E,3,FALSE),0),0)</f>
        <v>0</v>
      </c>
      <c r="K721" s="21">
        <f>+IF(F721="i",IFERROR(VLOOKUP(C721,'BG 2023'!$B:$E,4,FALSE),0),0)</f>
        <v>0</v>
      </c>
      <c r="M721" s="15" t="e">
        <f>+VLOOKUP(C721,'BG 2023'!$B:$E,1,0)</f>
        <v>#N/A</v>
      </c>
      <c r="N721" s="806" t="e">
        <f>+VLOOKUP(C721,'BG 2023'!$B:$E,3,0)</f>
        <v>#N/A</v>
      </c>
      <c r="O721" s="807" t="e">
        <f t="shared" si="39"/>
        <v>#N/A</v>
      </c>
      <c r="P721" s="807"/>
      <c r="R721" s="807">
        <f>+IFERROR(VLOOKUP(C721,'CA FE'!$A:$C,3,0),0)+G721</f>
        <v>0</v>
      </c>
      <c r="S721" s="807">
        <f t="shared" si="42"/>
        <v>0</v>
      </c>
    </row>
    <row r="722" spans="1:19">
      <c r="A722" s="354" t="s">
        <v>193</v>
      </c>
      <c r="B722" s="354"/>
      <c r="C722" s="355">
        <v>2130111102</v>
      </c>
      <c r="D722" s="354" t="s">
        <v>18</v>
      </c>
      <c r="E722" s="356" t="s">
        <v>640</v>
      </c>
      <c r="F722" s="356" t="str">
        <f t="shared" si="40"/>
        <v>I</v>
      </c>
      <c r="G722" s="28">
        <f>+IF(F722="i",IFERROR(VLOOKUP(C722,'BG 12.2024'!$B:$E,3,FALSE),0),0)</f>
        <v>0</v>
      </c>
      <c r="H722" s="21">
        <f>+IF(F722="i",IFERROR(VLOOKUP(C722,'BG 12.2024'!$B:$E,4,FALSE),0),0)</f>
        <v>0</v>
      </c>
      <c r="I722" s="21"/>
      <c r="J722" s="28">
        <f>+IF(F722="i",IFERROR(VLOOKUP(C722,'BG 2023'!$B:$E,3,FALSE),0),0)</f>
        <v>0</v>
      </c>
      <c r="K722" s="21">
        <f>+IF(F722="i",IFERROR(VLOOKUP(C722,'BG 2023'!$B:$E,4,FALSE),0),0)</f>
        <v>0</v>
      </c>
      <c r="M722" s="15" t="e">
        <f>+VLOOKUP(C722,'BG 2023'!$B:$E,1,0)</f>
        <v>#N/A</v>
      </c>
      <c r="N722" s="806" t="e">
        <f>+VLOOKUP(C722,'BG 2023'!$B:$E,3,0)</f>
        <v>#N/A</v>
      </c>
      <c r="O722" s="807" t="e">
        <f t="shared" si="39"/>
        <v>#N/A</v>
      </c>
      <c r="P722" s="807"/>
      <c r="R722" s="807">
        <f>+IFERROR(VLOOKUP(C722,'CA FE'!$A:$C,3,0),0)+G722</f>
        <v>0</v>
      </c>
      <c r="S722" s="807">
        <f t="shared" si="42"/>
        <v>0</v>
      </c>
    </row>
    <row r="723" spans="1:19">
      <c r="A723" s="354" t="s">
        <v>193</v>
      </c>
      <c r="B723" s="354"/>
      <c r="C723" s="355">
        <v>21301112</v>
      </c>
      <c r="D723" s="354" t="s">
        <v>873</v>
      </c>
      <c r="E723" s="356" t="s">
        <v>634</v>
      </c>
      <c r="F723" s="356" t="str">
        <f t="shared" si="40"/>
        <v>NI</v>
      </c>
      <c r="G723" s="28">
        <f>+IF(F723="i",IFERROR(VLOOKUP(C723,'BG 12.2024'!$B:$E,3,FALSE),0),0)</f>
        <v>0</v>
      </c>
      <c r="H723" s="21">
        <f>+IF(F723="i",IFERROR(VLOOKUP(C723,'BG 12.2024'!$B:$E,4,FALSE),0),0)</f>
        <v>0</v>
      </c>
      <c r="I723" s="21"/>
      <c r="J723" s="28">
        <f>+IF(F723="i",IFERROR(VLOOKUP(C723,'BG 2023'!$B:$E,3,FALSE),0),0)</f>
        <v>0</v>
      </c>
      <c r="K723" s="21">
        <f>+IF(F723="i",IFERROR(VLOOKUP(C723,'BG 2023'!$B:$E,4,FALSE),0),0)</f>
        <v>0</v>
      </c>
      <c r="M723" s="15" t="e">
        <f>+VLOOKUP(C723,'BG 2023'!$B:$E,1,0)</f>
        <v>#N/A</v>
      </c>
      <c r="N723" s="806" t="e">
        <f>+VLOOKUP(C723,'BG 2023'!$B:$E,3,0)</f>
        <v>#N/A</v>
      </c>
      <c r="O723" s="807" t="e">
        <f t="shared" ref="O723:O814" si="44">+N723-G723</f>
        <v>#N/A</v>
      </c>
      <c r="P723" s="807"/>
      <c r="R723" s="807">
        <f>+IFERROR(VLOOKUP(C723,'CA FE'!$A:$C,3,0),0)+G723</f>
        <v>0</v>
      </c>
      <c r="S723" s="807">
        <f t="shared" si="42"/>
        <v>0</v>
      </c>
    </row>
    <row r="724" spans="1:19">
      <c r="A724" s="354" t="s">
        <v>193</v>
      </c>
      <c r="B724" s="354"/>
      <c r="C724" s="355">
        <v>2130111201</v>
      </c>
      <c r="D724" s="354" t="s">
        <v>17</v>
      </c>
      <c r="E724" s="356" t="s">
        <v>640</v>
      </c>
      <c r="F724" s="356" t="str">
        <f t="shared" si="40"/>
        <v>I</v>
      </c>
      <c r="G724" s="28">
        <f>+IF(F724="i",IFERROR(VLOOKUP(C724,'BG 12.2024'!$B:$E,3,FALSE),0),0)</f>
        <v>0</v>
      </c>
      <c r="H724" s="21">
        <f>+IF(F724="i",IFERROR(VLOOKUP(C724,'BG 12.2024'!$B:$E,4,FALSE),0),0)</f>
        <v>0</v>
      </c>
      <c r="I724" s="21"/>
      <c r="J724" s="28">
        <f>+IF(F724="i",IFERROR(VLOOKUP(C724,'BG 2023'!$B:$E,3,FALSE),0),0)</f>
        <v>0</v>
      </c>
      <c r="K724" s="21">
        <f>+IF(F724="i",IFERROR(VLOOKUP(C724,'BG 2023'!$B:$E,4,FALSE),0),0)</f>
        <v>0</v>
      </c>
      <c r="M724" s="15" t="e">
        <f>+VLOOKUP(C724,'BG 2023'!$B:$E,1,0)</f>
        <v>#N/A</v>
      </c>
      <c r="N724" s="806" t="e">
        <f>+VLOOKUP(C724,'BG 2023'!$B:$E,3,0)</f>
        <v>#N/A</v>
      </c>
      <c r="O724" s="807" t="e">
        <f t="shared" si="44"/>
        <v>#N/A</v>
      </c>
      <c r="P724" s="807"/>
      <c r="R724" s="807">
        <f>+IFERROR(VLOOKUP(C724,'CA FE'!$A:$C,3,0),0)+G724</f>
        <v>0</v>
      </c>
      <c r="S724" s="807">
        <f t="shared" si="42"/>
        <v>0</v>
      </c>
    </row>
    <row r="725" spans="1:19">
      <c r="A725" s="354" t="s">
        <v>193</v>
      </c>
      <c r="B725" s="354"/>
      <c r="C725" s="355">
        <v>2130111202</v>
      </c>
      <c r="D725" s="354" t="s">
        <v>18</v>
      </c>
      <c r="E725" s="356" t="s">
        <v>640</v>
      </c>
      <c r="F725" s="356" t="str">
        <f t="shared" si="40"/>
        <v>I</v>
      </c>
      <c r="G725" s="28">
        <f>+IF(F725="i",IFERROR(VLOOKUP(C725,'BG 12.2024'!$B:$E,3,FALSE),0),0)</f>
        <v>0</v>
      </c>
      <c r="H725" s="21">
        <f>+IF(F725="i",IFERROR(VLOOKUP(C725,'BG 12.2024'!$B:$E,4,FALSE),0),0)</f>
        <v>0</v>
      </c>
      <c r="I725" s="21"/>
      <c r="J725" s="28">
        <f>+IF(F725="i",IFERROR(VLOOKUP(C725,'BG 2023'!$B:$E,3,FALSE),0),0)</f>
        <v>0</v>
      </c>
      <c r="K725" s="21">
        <f>+IF(F725="i",IFERROR(VLOOKUP(C725,'BG 2023'!$B:$E,4,FALSE),0),0)</f>
        <v>0</v>
      </c>
      <c r="M725" s="15" t="e">
        <f>+VLOOKUP(C725,'BG 2023'!$B:$E,1,0)</f>
        <v>#N/A</v>
      </c>
      <c r="N725" s="806" t="e">
        <f>+VLOOKUP(C725,'BG 2023'!$B:$E,3,0)</f>
        <v>#N/A</v>
      </c>
      <c r="O725" s="807" t="e">
        <f t="shared" si="44"/>
        <v>#N/A</v>
      </c>
      <c r="P725" s="807"/>
      <c r="R725" s="807">
        <f>+IFERROR(VLOOKUP(C725,'CA FE'!$A:$C,3,0),0)+G725</f>
        <v>0</v>
      </c>
      <c r="S725" s="807">
        <f t="shared" si="42"/>
        <v>0</v>
      </c>
    </row>
    <row r="726" spans="1:19">
      <c r="A726" s="354" t="s">
        <v>193</v>
      </c>
      <c r="B726" s="354"/>
      <c r="C726" s="355">
        <v>21301113</v>
      </c>
      <c r="D726" s="354" t="s">
        <v>212</v>
      </c>
      <c r="E726" s="356" t="s">
        <v>634</v>
      </c>
      <c r="F726" s="356" t="str">
        <f t="shared" si="40"/>
        <v>NI</v>
      </c>
      <c r="G726" s="28">
        <f>+IF(F726="i",IFERROR(VLOOKUP(C726,'BG 12.2024'!$B:$E,3,FALSE),0),0)</f>
        <v>0</v>
      </c>
      <c r="H726" s="21">
        <f>+IF(F726="i",IFERROR(VLOOKUP(C726,'BG 12.2024'!$B:$E,4,FALSE),0),0)</f>
        <v>0</v>
      </c>
      <c r="I726" s="21"/>
      <c r="J726" s="28">
        <f>+IF(F726="i",IFERROR(VLOOKUP(C726,'BG 2023'!$B:$E,3,FALSE),0),0)</f>
        <v>0</v>
      </c>
      <c r="K726" s="21">
        <f>+IF(F726="i",IFERROR(VLOOKUP(C726,'BG 2023'!$B:$E,4,FALSE),0),0)</f>
        <v>0</v>
      </c>
      <c r="M726" s="15">
        <f>+VLOOKUP(C726,'BG 2023'!$B:$E,1,0)</f>
        <v>21301113</v>
      </c>
      <c r="N726" s="806">
        <f>+VLOOKUP(C726,'BG 2023'!$B:$E,3,0)</f>
        <v>10370861769</v>
      </c>
      <c r="O726" s="807">
        <f t="shared" si="44"/>
        <v>10370861769</v>
      </c>
      <c r="P726" s="807"/>
      <c r="R726" s="807">
        <f>+IFERROR(VLOOKUP(C726,'CA FE'!$A:$C,3,0),0)+G726</f>
        <v>0</v>
      </c>
      <c r="S726" s="807">
        <f t="shared" si="42"/>
        <v>0</v>
      </c>
    </row>
    <row r="727" spans="1:19">
      <c r="A727" s="354" t="s">
        <v>193</v>
      </c>
      <c r="B727" s="354" t="s">
        <v>209</v>
      </c>
      <c r="C727" s="355">
        <v>2130111301</v>
      </c>
      <c r="D727" s="354" t="s">
        <v>17</v>
      </c>
      <c r="E727" s="356" t="s">
        <v>634</v>
      </c>
      <c r="F727" s="356" t="str">
        <f t="shared" si="40"/>
        <v>I</v>
      </c>
      <c r="G727" s="28">
        <f>+IF(F727="i",IFERROR(VLOOKUP(C727,'BG 12.2024'!$B:$E,3,FALSE),0),0)</f>
        <v>20903410257</v>
      </c>
      <c r="H727" s="21">
        <f>+IF(F727="i",IFERROR(VLOOKUP(C727,'BG 12.2024'!$B:$E,4,FALSE),0),0)</f>
        <v>2669226.9500000477</v>
      </c>
      <c r="I727" s="21"/>
      <c r="J727" s="28">
        <f>+IF(F727="i",IFERROR(VLOOKUP(C727,'BG 2023'!$B:$E,3,FALSE),0),0)</f>
        <v>10370861769</v>
      </c>
      <c r="K727" s="21">
        <f>+IF(F727="i",IFERROR(VLOOKUP(C727,'BG 2023'!$B:$E,4,FALSE),0),0)</f>
        <v>1423860.9099999964</v>
      </c>
      <c r="M727" s="15">
        <f>+VLOOKUP(C727,'BG 2023'!$B:$E,1,0)</f>
        <v>2130111301</v>
      </c>
      <c r="N727" s="806">
        <f>+VLOOKUP(C727,'BG 2023'!$B:$E,3,0)</f>
        <v>10370861769</v>
      </c>
      <c r="O727" s="807">
        <f t="shared" si="44"/>
        <v>-10532548488</v>
      </c>
      <c r="P727" s="807"/>
      <c r="R727" s="807">
        <f>+IFERROR(VLOOKUP(C727,'CA FE'!$A:$C,3,0),0)+G727</f>
        <v>0</v>
      </c>
      <c r="S727" s="807">
        <f t="shared" si="42"/>
        <v>10532548488</v>
      </c>
    </row>
    <row r="728" spans="1:19">
      <c r="A728" s="354" t="s">
        <v>193</v>
      </c>
      <c r="B728" s="354" t="s">
        <v>209</v>
      </c>
      <c r="C728" s="355">
        <v>2130111302</v>
      </c>
      <c r="D728" s="354" t="s">
        <v>18</v>
      </c>
      <c r="E728" s="356" t="s">
        <v>640</v>
      </c>
      <c r="F728" s="356" t="str">
        <f t="shared" si="40"/>
        <v>I</v>
      </c>
      <c r="G728" s="28">
        <f>+IF(F728="i",IFERROR(VLOOKUP(C728,'BG 12.2024'!$B:$E,3,FALSE),0),0)</f>
        <v>5073432611</v>
      </c>
      <c r="H728" s="21">
        <f>+IF(F728="i",IFERROR(VLOOKUP(C728,'BG 12.2024'!$B:$E,4,FALSE),0),0)</f>
        <v>647843.71999999881</v>
      </c>
      <c r="I728" s="21"/>
      <c r="J728" s="28">
        <f>+IF(F728="i",IFERROR(VLOOKUP(C728,'BG 2023'!$B:$E,3,FALSE),0),0)</f>
        <v>0</v>
      </c>
      <c r="K728" s="21">
        <f>+IF(F728="i",IFERROR(VLOOKUP(C728,'BG 2023'!$B:$E,4,FALSE),0),0)</f>
        <v>0</v>
      </c>
      <c r="M728" s="15" t="e">
        <f>+VLOOKUP(C728,'BG 2023'!$B:$E,1,0)</f>
        <v>#N/A</v>
      </c>
      <c r="N728" s="806" t="e">
        <f>+VLOOKUP(C728,'BG 2023'!$B:$E,3,0)</f>
        <v>#N/A</v>
      </c>
      <c r="O728" s="807" t="e">
        <f t="shared" si="44"/>
        <v>#N/A</v>
      </c>
      <c r="P728" s="807"/>
      <c r="R728" s="807">
        <f>+IFERROR(VLOOKUP(C728,'CA FE'!$A:$C,3,0),0)+G728</f>
        <v>0</v>
      </c>
      <c r="S728" s="807">
        <f t="shared" si="42"/>
        <v>5073432611</v>
      </c>
    </row>
    <row r="729" spans="1:19">
      <c r="A729" s="354" t="s">
        <v>193</v>
      </c>
      <c r="B729" s="354"/>
      <c r="C729" s="355">
        <v>2130112</v>
      </c>
      <c r="D729" s="354" t="s">
        <v>20</v>
      </c>
      <c r="E729" s="356" t="s">
        <v>634</v>
      </c>
      <c r="F729" s="356" t="str">
        <f t="shared" si="40"/>
        <v>NI</v>
      </c>
      <c r="G729" s="28">
        <f>+IF(F729="i",IFERROR(VLOOKUP(C729,'BG 12.2024'!$B:$E,3,FALSE),0),0)</f>
        <v>0</v>
      </c>
      <c r="H729" s="21">
        <f>+IF(F729="i",IFERROR(VLOOKUP(C729,'BG 12.2024'!$B:$E,4,FALSE),0),0)</f>
        <v>0</v>
      </c>
      <c r="I729" s="21"/>
      <c r="J729" s="28">
        <f>+IF(F729="i",IFERROR(VLOOKUP(C729,'BG 2023'!$B:$E,3,FALSE),0),0)</f>
        <v>0</v>
      </c>
      <c r="K729" s="21">
        <f>+IF(F729="i",IFERROR(VLOOKUP(C729,'BG 2023'!$B:$E,4,FALSE),0),0)</f>
        <v>0</v>
      </c>
      <c r="M729" s="15">
        <f>+VLOOKUP(C729,'BG 2023'!$B:$E,1,0)</f>
        <v>2130112</v>
      </c>
      <c r="N729" s="806">
        <f>+VLOOKUP(C729,'BG 2023'!$B:$E,3,0)</f>
        <v>2413973</v>
      </c>
      <c r="O729" s="807">
        <f t="shared" si="44"/>
        <v>2413973</v>
      </c>
      <c r="P729" s="807"/>
      <c r="R729" s="807">
        <f>+IFERROR(VLOOKUP(C729,'CA FE'!$A:$C,3,0),0)+G729</f>
        <v>0</v>
      </c>
      <c r="S729" s="807">
        <f t="shared" si="42"/>
        <v>0</v>
      </c>
    </row>
    <row r="730" spans="1:19">
      <c r="A730" s="354" t="s">
        <v>193</v>
      </c>
      <c r="B730" s="354"/>
      <c r="C730" s="355">
        <v>21301123</v>
      </c>
      <c r="D730" s="354" t="s">
        <v>19</v>
      </c>
      <c r="E730" s="356" t="s">
        <v>634</v>
      </c>
      <c r="F730" s="356" t="str">
        <f t="shared" si="40"/>
        <v>NI</v>
      </c>
      <c r="G730" s="28">
        <f>+IF(F730="i",IFERROR(VLOOKUP(C730,'BG 12.2024'!$B:$E,3,FALSE),0),0)</f>
        <v>0</v>
      </c>
      <c r="H730" s="21">
        <f>+IF(F730="i",IFERROR(VLOOKUP(C730,'BG 12.2024'!$B:$E,4,FALSE),0),0)</f>
        <v>0</v>
      </c>
      <c r="I730" s="21"/>
      <c r="J730" s="28">
        <f>+IF(F730="i",IFERROR(VLOOKUP(C730,'BG 2023'!$B:$E,3,FALSE),0),0)</f>
        <v>0</v>
      </c>
      <c r="K730" s="21">
        <f>+IF(F730="i",IFERROR(VLOOKUP(C730,'BG 2023'!$B:$E,4,FALSE),0),0)</f>
        <v>0</v>
      </c>
      <c r="N730" s="806"/>
      <c r="O730" s="807"/>
      <c r="P730" s="807"/>
      <c r="R730" s="807">
        <f>+IFERROR(VLOOKUP(C730,'CA FE'!$A:$C,3,0),0)+G730</f>
        <v>0</v>
      </c>
      <c r="S730" s="807">
        <f t="shared" si="42"/>
        <v>0</v>
      </c>
    </row>
    <row r="731" spans="1:19">
      <c r="A731" s="354" t="s">
        <v>193</v>
      </c>
      <c r="B731" s="77" t="s">
        <v>209</v>
      </c>
      <c r="C731" s="355">
        <v>2130112301</v>
      </c>
      <c r="D731" s="354" t="s">
        <v>17</v>
      </c>
      <c r="E731" s="356" t="s">
        <v>634</v>
      </c>
      <c r="F731" s="356" t="str">
        <f t="shared" si="40"/>
        <v>I</v>
      </c>
      <c r="G731" s="28">
        <f>+IF(F731="i",IFERROR(VLOOKUP(C731,'BG 12.2024'!$B:$E,3,FALSE),0),0)</f>
        <v>0</v>
      </c>
      <c r="H731" s="21">
        <f>+IF(F731="i",IFERROR(VLOOKUP(C731,'BG 12.2024'!$B:$E,4,FALSE),0),0)</f>
        <v>0</v>
      </c>
      <c r="I731" s="21"/>
      <c r="J731" s="28">
        <f>+IF(F731="i",IFERROR(VLOOKUP(C731,'BG 2023'!$B:$E,3,FALSE),0),0)</f>
        <v>2413973</v>
      </c>
      <c r="K731" s="21">
        <f>+IF(F731="i",IFERROR(VLOOKUP(C731,'BG 2023'!$B:$E,4,FALSE),0),0)</f>
        <v>331.42000000004191</v>
      </c>
      <c r="N731" s="806"/>
      <c r="O731" s="807"/>
      <c r="P731" s="807"/>
      <c r="R731" s="807">
        <f>+IFERROR(VLOOKUP(C731,'CA FE'!$A:$C,3,0),0)+G731</f>
        <v>0</v>
      </c>
      <c r="S731" s="807">
        <f t="shared" si="42"/>
        <v>-2413973</v>
      </c>
    </row>
    <row r="732" spans="1:19">
      <c r="A732" s="354" t="s">
        <v>193</v>
      </c>
      <c r="B732" s="354"/>
      <c r="C732" s="355">
        <v>21301121</v>
      </c>
      <c r="D732" s="354" t="s">
        <v>872</v>
      </c>
      <c r="E732" s="356" t="s">
        <v>634</v>
      </c>
      <c r="F732" s="356" t="str">
        <f t="shared" si="40"/>
        <v>NI</v>
      </c>
      <c r="G732" s="28">
        <f>+IF(F732="i",IFERROR(VLOOKUP(C732,'BG 12.2024'!$B:$E,3,FALSE),0),0)</f>
        <v>0</v>
      </c>
      <c r="H732" s="21">
        <f>+IF(F732="i",IFERROR(VLOOKUP(C732,'BG 12.2024'!$B:$E,4,FALSE),0),0)</f>
        <v>0</v>
      </c>
      <c r="I732" s="21"/>
      <c r="J732" s="28">
        <f>+IF(F732="i",IFERROR(VLOOKUP(C732,'BG 2023'!$B:$E,3,FALSE),0),0)</f>
        <v>0</v>
      </c>
      <c r="K732" s="21">
        <f>+IF(F732="i",IFERROR(VLOOKUP(C732,'BG 2023'!$B:$E,4,FALSE),0),0)</f>
        <v>0</v>
      </c>
      <c r="M732" s="15" t="e">
        <f>+VLOOKUP(C732,'BG 2023'!$B:$E,1,0)</f>
        <v>#N/A</v>
      </c>
      <c r="N732" s="806" t="e">
        <f>+VLOOKUP(C732,'BG 2023'!$B:$E,3,0)</f>
        <v>#N/A</v>
      </c>
      <c r="O732" s="807" t="e">
        <f t="shared" si="44"/>
        <v>#N/A</v>
      </c>
      <c r="P732" s="807"/>
      <c r="R732" s="807">
        <f>+IFERROR(VLOOKUP(C732,'CA FE'!$A:$C,3,0),0)+G732</f>
        <v>0</v>
      </c>
      <c r="S732" s="807">
        <f t="shared" si="42"/>
        <v>0</v>
      </c>
    </row>
    <row r="733" spans="1:19">
      <c r="A733" s="354" t="s">
        <v>193</v>
      </c>
      <c r="B733" s="354"/>
      <c r="C733" s="355">
        <v>2130112101</v>
      </c>
      <c r="D733" s="354" t="s">
        <v>17</v>
      </c>
      <c r="E733" s="356" t="s">
        <v>634</v>
      </c>
      <c r="F733" s="356" t="str">
        <f t="shared" si="40"/>
        <v>I</v>
      </c>
      <c r="G733" s="28">
        <f>+IF(F733="i",IFERROR(VLOOKUP(C733,'BG 12.2024'!$B:$E,3,FALSE),0),0)</f>
        <v>0</v>
      </c>
      <c r="H733" s="21">
        <f>+IF(F733="i",IFERROR(VLOOKUP(C733,'BG 12.2024'!$B:$E,4,FALSE),0),0)</f>
        <v>0</v>
      </c>
      <c r="I733" s="21"/>
      <c r="J733" s="28">
        <f>+IF(F733="i",IFERROR(VLOOKUP(C733,'BG 2023'!$B:$E,3,FALSE),0),0)</f>
        <v>0</v>
      </c>
      <c r="K733" s="21">
        <f>+IF(F733="i",IFERROR(VLOOKUP(C733,'BG 2023'!$B:$E,4,FALSE),0),0)</f>
        <v>0</v>
      </c>
      <c r="M733" s="15" t="e">
        <f>+VLOOKUP(C733,'BG 2023'!$B:$E,1,0)</f>
        <v>#N/A</v>
      </c>
      <c r="N733" s="806" t="e">
        <f>+VLOOKUP(C733,'BG 2023'!$B:$E,3,0)</f>
        <v>#N/A</v>
      </c>
      <c r="O733" s="807" t="e">
        <f t="shared" si="44"/>
        <v>#N/A</v>
      </c>
      <c r="P733" s="807"/>
      <c r="R733" s="807">
        <f>+IFERROR(VLOOKUP(C733,'CA FE'!$A:$C,3,0),0)+G733</f>
        <v>0</v>
      </c>
      <c r="S733" s="807">
        <f t="shared" si="42"/>
        <v>0</v>
      </c>
    </row>
    <row r="734" spans="1:19">
      <c r="A734" s="354" t="s">
        <v>193</v>
      </c>
      <c r="B734" s="354"/>
      <c r="C734" s="355">
        <v>2130112102</v>
      </c>
      <c r="D734" s="354" t="s">
        <v>18</v>
      </c>
      <c r="E734" s="356" t="s">
        <v>640</v>
      </c>
      <c r="F734" s="356" t="str">
        <f t="shared" si="40"/>
        <v>I</v>
      </c>
      <c r="G734" s="28">
        <f>+IF(F734="i",IFERROR(VLOOKUP(C734,'BG 12.2024'!$B:$E,3,FALSE),0),0)</f>
        <v>0</v>
      </c>
      <c r="H734" s="21">
        <f>+IF(F734="i",IFERROR(VLOOKUP(C734,'BG 12.2024'!$B:$E,4,FALSE),0),0)</f>
        <v>0</v>
      </c>
      <c r="I734" s="21"/>
      <c r="J734" s="28">
        <f>+IF(F734="i",IFERROR(VLOOKUP(C734,'BG 2023'!$B:$E,3,FALSE),0),0)</f>
        <v>0</v>
      </c>
      <c r="K734" s="21">
        <f>+IF(F734="i",IFERROR(VLOOKUP(C734,'BG 2023'!$B:$E,4,FALSE),0),0)</f>
        <v>0</v>
      </c>
      <c r="M734" s="15" t="e">
        <f>+VLOOKUP(C734,'BG 2023'!$B:$E,1,0)</f>
        <v>#N/A</v>
      </c>
      <c r="N734" s="806" t="e">
        <f>+VLOOKUP(C734,'BG 2023'!$B:$E,3,0)</f>
        <v>#N/A</v>
      </c>
      <c r="O734" s="807" t="e">
        <f t="shared" si="44"/>
        <v>#N/A</v>
      </c>
      <c r="P734" s="807"/>
      <c r="R734" s="807">
        <f>+IFERROR(VLOOKUP(C734,'CA FE'!$A:$C,3,0),0)+G734</f>
        <v>0</v>
      </c>
      <c r="S734" s="807">
        <f t="shared" si="42"/>
        <v>0</v>
      </c>
    </row>
    <row r="735" spans="1:19">
      <c r="A735" s="354" t="s">
        <v>193</v>
      </c>
      <c r="B735" s="354"/>
      <c r="C735" s="355">
        <v>21301122</v>
      </c>
      <c r="D735" s="354" t="s">
        <v>873</v>
      </c>
      <c r="E735" s="356" t="s">
        <v>634</v>
      </c>
      <c r="F735" s="356" t="str">
        <f t="shared" si="40"/>
        <v>NI</v>
      </c>
      <c r="G735" s="28">
        <f>+IF(F735="i",IFERROR(VLOOKUP(C735,'BG 12.2024'!$B:$E,3,FALSE),0),0)</f>
        <v>0</v>
      </c>
      <c r="H735" s="21">
        <f>+IF(F735="i",IFERROR(VLOOKUP(C735,'BG 12.2024'!$B:$E,4,FALSE),0),0)</f>
        <v>0</v>
      </c>
      <c r="I735" s="21"/>
      <c r="J735" s="28">
        <f>+IF(F735="i",IFERROR(VLOOKUP(C735,'BG 2023'!$B:$E,3,FALSE),0),0)</f>
        <v>0</v>
      </c>
      <c r="K735" s="21">
        <f>+IF(F735="i",IFERROR(VLOOKUP(C735,'BG 2023'!$B:$E,4,FALSE),0),0)</f>
        <v>0</v>
      </c>
      <c r="M735" s="15" t="e">
        <f>+VLOOKUP(C735,'BG 2023'!$B:$E,1,0)</f>
        <v>#N/A</v>
      </c>
      <c r="N735" s="806" t="e">
        <f>+VLOOKUP(C735,'BG 2023'!$B:$E,3,0)</f>
        <v>#N/A</v>
      </c>
      <c r="O735" s="807" t="e">
        <f t="shared" si="44"/>
        <v>#N/A</v>
      </c>
      <c r="P735" s="807"/>
      <c r="R735" s="807">
        <f>+IFERROR(VLOOKUP(C735,'CA FE'!$A:$C,3,0),0)+G735</f>
        <v>0</v>
      </c>
      <c r="S735" s="807">
        <f t="shared" si="42"/>
        <v>0</v>
      </c>
    </row>
    <row r="736" spans="1:19">
      <c r="A736" s="354" t="s">
        <v>193</v>
      </c>
      <c r="B736" s="354"/>
      <c r="C736" s="355">
        <v>2130112201</v>
      </c>
      <c r="D736" s="354" t="s">
        <v>17</v>
      </c>
      <c r="E736" s="356" t="s">
        <v>634</v>
      </c>
      <c r="F736" s="356" t="str">
        <f t="shared" si="40"/>
        <v>I</v>
      </c>
      <c r="G736" s="28">
        <f>+IF(F736="i",IFERROR(VLOOKUP(C736,'BG 12.2024'!$B:$E,3,FALSE),0),0)</f>
        <v>0</v>
      </c>
      <c r="H736" s="21">
        <f>+IF(F736="i",IFERROR(VLOOKUP(C736,'BG 12.2024'!$B:$E,4,FALSE),0),0)</f>
        <v>0</v>
      </c>
      <c r="I736" s="21"/>
      <c r="J736" s="28">
        <f>+IF(F736="i",IFERROR(VLOOKUP(C736,'BG 2023'!$B:$E,3,FALSE),0),0)</f>
        <v>0</v>
      </c>
      <c r="K736" s="21">
        <f>+IF(F736="i",IFERROR(VLOOKUP(C736,'BG 2023'!$B:$E,4,FALSE),0),0)</f>
        <v>0</v>
      </c>
      <c r="M736" s="15" t="e">
        <f>+VLOOKUP(C736,'BG 2023'!$B:$E,1,0)</f>
        <v>#N/A</v>
      </c>
      <c r="N736" s="806" t="e">
        <f>+VLOOKUP(C736,'BG 2023'!$B:$E,3,0)</f>
        <v>#N/A</v>
      </c>
      <c r="O736" s="807" t="e">
        <f t="shared" si="44"/>
        <v>#N/A</v>
      </c>
      <c r="P736" s="807"/>
      <c r="R736" s="807">
        <f>+IFERROR(VLOOKUP(C736,'CA FE'!$A:$C,3,0),0)+G736</f>
        <v>0</v>
      </c>
      <c r="S736" s="807">
        <f t="shared" si="42"/>
        <v>0</v>
      </c>
    </row>
    <row r="737" spans="1:19">
      <c r="A737" s="354" t="s">
        <v>193</v>
      </c>
      <c r="B737" s="354"/>
      <c r="C737" s="355">
        <v>2130112202</v>
      </c>
      <c r="D737" s="354" t="s">
        <v>18</v>
      </c>
      <c r="E737" s="356" t="s">
        <v>640</v>
      </c>
      <c r="F737" s="356" t="str">
        <f t="shared" si="40"/>
        <v>I</v>
      </c>
      <c r="G737" s="28">
        <f>+IF(F737="i",IFERROR(VLOOKUP(C737,'BG 12.2024'!$B:$E,3,FALSE),0),0)</f>
        <v>0</v>
      </c>
      <c r="H737" s="21">
        <f>+IF(F737="i",IFERROR(VLOOKUP(C737,'BG 12.2024'!$B:$E,4,FALSE),0),0)</f>
        <v>0</v>
      </c>
      <c r="I737" s="21"/>
      <c r="J737" s="28">
        <f>+IF(F737="i",IFERROR(VLOOKUP(C737,'BG 2023'!$B:$E,3,FALSE),0),0)</f>
        <v>0</v>
      </c>
      <c r="K737" s="21">
        <f>+IF(F737="i",IFERROR(VLOOKUP(C737,'BG 2023'!$B:$E,4,FALSE),0),0)</f>
        <v>0</v>
      </c>
      <c r="M737" s="15" t="e">
        <f>+VLOOKUP(C737,'BG 2023'!$B:$E,1,0)</f>
        <v>#N/A</v>
      </c>
      <c r="N737" s="806" t="e">
        <f>+VLOOKUP(C737,'BG 2023'!$B:$E,3,0)</f>
        <v>#N/A</v>
      </c>
      <c r="O737" s="807" t="e">
        <f t="shared" si="44"/>
        <v>#N/A</v>
      </c>
      <c r="P737" s="807"/>
      <c r="R737" s="807">
        <f>+IFERROR(VLOOKUP(C737,'CA FE'!$A:$C,3,0),0)+G737</f>
        <v>0</v>
      </c>
      <c r="S737" s="807">
        <f t="shared" si="42"/>
        <v>0</v>
      </c>
    </row>
    <row r="738" spans="1:19">
      <c r="A738" s="354" t="s">
        <v>193</v>
      </c>
      <c r="B738" s="354"/>
      <c r="C738" s="355">
        <v>21302</v>
      </c>
      <c r="D738" s="354" t="s">
        <v>874</v>
      </c>
      <c r="E738" s="356" t="s">
        <v>634</v>
      </c>
      <c r="F738" s="356" t="str">
        <f t="shared" si="40"/>
        <v>NI</v>
      </c>
      <c r="G738" s="28">
        <f>+IF(F738="i",IFERROR(VLOOKUP(C738,'BG 12.2024'!$B:$E,3,FALSE),0),0)</f>
        <v>0</v>
      </c>
      <c r="H738" s="21">
        <f>+IF(F738="i",IFERROR(VLOOKUP(C738,'BG 12.2024'!$B:$E,4,FALSE),0),0)</f>
        <v>0</v>
      </c>
      <c r="I738" s="21"/>
      <c r="J738" s="28">
        <f>+IF(F738="i",IFERROR(VLOOKUP(C738,'BG 2023'!$B:$E,3,FALSE),0),0)</f>
        <v>0</v>
      </c>
      <c r="K738" s="21">
        <f>+IF(F738="i",IFERROR(VLOOKUP(C738,'BG 2023'!$B:$E,4,FALSE),0),0)</f>
        <v>0</v>
      </c>
      <c r="M738" s="15" t="e">
        <f>+VLOOKUP(C738,'BG 2023'!$B:$E,1,0)</f>
        <v>#N/A</v>
      </c>
      <c r="N738" s="806" t="e">
        <f>+VLOOKUP(C738,'BG 2023'!$B:$E,3,0)</f>
        <v>#N/A</v>
      </c>
      <c r="O738" s="807" t="e">
        <f t="shared" si="44"/>
        <v>#N/A</v>
      </c>
      <c r="P738" s="807"/>
      <c r="R738" s="807">
        <f>+IFERROR(VLOOKUP(C738,'CA FE'!$A:$C,3,0),0)+G738</f>
        <v>0</v>
      </c>
      <c r="S738" s="807">
        <f t="shared" si="42"/>
        <v>0</v>
      </c>
    </row>
    <row r="739" spans="1:19">
      <c r="A739" s="354" t="s">
        <v>193</v>
      </c>
      <c r="B739" s="354"/>
      <c r="C739" s="355">
        <v>213021</v>
      </c>
      <c r="D739" s="354" t="s">
        <v>874</v>
      </c>
      <c r="E739" s="356" t="s">
        <v>634</v>
      </c>
      <c r="F739" s="356" t="str">
        <f t="shared" ref="F739:F831" si="45">+IF(LEN(C739)&gt;8,"I","NI")</f>
        <v>NI</v>
      </c>
      <c r="G739" s="28">
        <f>+IF(F739="i",IFERROR(VLOOKUP(C739,'BG 12.2024'!$B:$E,3,FALSE),0),0)</f>
        <v>0</v>
      </c>
      <c r="H739" s="21">
        <f>+IF(F739="i",IFERROR(VLOOKUP(C739,'BG 12.2024'!$B:$E,4,FALSE),0),0)</f>
        <v>0</v>
      </c>
      <c r="I739" s="21"/>
      <c r="J739" s="28">
        <f>+IF(F739="i",IFERROR(VLOOKUP(C739,'BG 2023'!$B:$E,3,FALSE),0),0)</f>
        <v>0</v>
      </c>
      <c r="K739" s="21">
        <f>+IF(F739="i",IFERROR(VLOOKUP(C739,'BG 2023'!$B:$E,4,FALSE),0),0)</f>
        <v>0</v>
      </c>
      <c r="M739" s="15" t="e">
        <f>+VLOOKUP(C739,'BG 2023'!$B:$E,1,0)</f>
        <v>#N/A</v>
      </c>
      <c r="N739" s="806" t="e">
        <f>+VLOOKUP(C739,'BG 2023'!$B:$E,3,0)</f>
        <v>#N/A</v>
      </c>
      <c r="O739" s="807" t="e">
        <f t="shared" si="44"/>
        <v>#N/A</v>
      </c>
      <c r="P739" s="807"/>
      <c r="R739" s="807">
        <f>+IFERROR(VLOOKUP(C739,'CA FE'!$A:$C,3,0),0)+G739</f>
        <v>0</v>
      </c>
      <c r="S739" s="807">
        <f t="shared" si="42"/>
        <v>0</v>
      </c>
    </row>
    <row r="740" spans="1:19">
      <c r="A740" s="354" t="s">
        <v>193</v>
      </c>
      <c r="B740" s="354"/>
      <c r="C740" s="355">
        <v>2130211</v>
      </c>
      <c r="D740" s="354" t="s">
        <v>875</v>
      </c>
      <c r="E740" s="356" t="s">
        <v>634</v>
      </c>
      <c r="F740" s="356" t="str">
        <f t="shared" si="45"/>
        <v>NI</v>
      </c>
      <c r="G740" s="28">
        <f>+IF(F740="i",IFERROR(VLOOKUP(C740,'BG 12.2024'!$B:$E,3,FALSE),0),0)</f>
        <v>0</v>
      </c>
      <c r="H740" s="21">
        <f>+IF(F740="i",IFERROR(VLOOKUP(C740,'BG 12.2024'!$B:$E,4,FALSE),0),0)</f>
        <v>0</v>
      </c>
      <c r="I740" s="21"/>
      <c r="J740" s="28">
        <f>+IF(F740="i",IFERROR(VLOOKUP(C740,'BG 2023'!$B:$E,3,FALSE),0),0)</f>
        <v>0</v>
      </c>
      <c r="K740" s="21">
        <f>+IF(F740="i",IFERROR(VLOOKUP(C740,'BG 2023'!$B:$E,4,FALSE),0),0)</f>
        <v>0</v>
      </c>
      <c r="M740" s="15" t="e">
        <f>+VLOOKUP(C740,'BG 2023'!$B:$E,1,0)</f>
        <v>#N/A</v>
      </c>
      <c r="N740" s="806" t="e">
        <f>+VLOOKUP(C740,'BG 2023'!$B:$E,3,0)</f>
        <v>#N/A</v>
      </c>
      <c r="O740" s="807" t="e">
        <f t="shared" si="44"/>
        <v>#N/A</v>
      </c>
      <c r="P740" s="807"/>
      <c r="R740" s="807">
        <f>+IFERROR(VLOOKUP(C740,'CA FE'!$A:$C,3,0),0)+G740</f>
        <v>0</v>
      </c>
      <c r="S740" s="807">
        <f t="shared" si="42"/>
        <v>0</v>
      </c>
    </row>
    <row r="741" spans="1:19">
      <c r="A741" s="354" t="s">
        <v>193</v>
      </c>
      <c r="B741" s="354"/>
      <c r="C741" s="355">
        <v>21302111</v>
      </c>
      <c r="D741" s="354" t="s">
        <v>875</v>
      </c>
      <c r="E741" s="356" t="s">
        <v>634</v>
      </c>
      <c r="F741" s="356" t="str">
        <f t="shared" si="45"/>
        <v>NI</v>
      </c>
      <c r="G741" s="28">
        <f>+IF(F741="i",IFERROR(VLOOKUP(C741,'BG 12.2024'!$B:$E,3,FALSE),0),0)</f>
        <v>0</v>
      </c>
      <c r="H741" s="21">
        <f>+IF(F741="i",IFERROR(VLOOKUP(C741,'BG 12.2024'!$B:$E,4,FALSE),0),0)</f>
        <v>0</v>
      </c>
      <c r="I741" s="21"/>
      <c r="J741" s="28">
        <f>+IF(F741="i",IFERROR(VLOOKUP(C741,'BG 2023'!$B:$E,3,FALSE),0),0)</f>
        <v>0</v>
      </c>
      <c r="K741" s="21">
        <f>+IF(F741="i",IFERROR(VLOOKUP(C741,'BG 2023'!$B:$E,4,FALSE),0),0)</f>
        <v>0</v>
      </c>
      <c r="M741" s="15" t="e">
        <f>+VLOOKUP(C741,'BG 2023'!$B:$E,1,0)</f>
        <v>#N/A</v>
      </c>
      <c r="N741" s="806" t="e">
        <f>+VLOOKUP(C741,'BG 2023'!$B:$E,3,0)</f>
        <v>#N/A</v>
      </c>
      <c r="O741" s="807" t="e">
        <f t="shared" si="44"/>
        <v>#N/A</v>
      </c>
      <c r="P741" s="807"/>
      <c r="R741" s="807">
        <f>+IFERROR(VLOOKUP(C741,'CA FE'!$A:$C,3,0),0)+G741</f>
        <v>0</v>
      </c>
      <c r="S741" s="807">
        <f t="shared" si="42"/>
        <v>0</v>
      </c>
    </row>
    <row r="742" spans="1:19">
      <c r="A742" s="354" t="s">
        <v>193</v>
      </c>
      <c r="B742" s="354"/>
      <c r="C742" s="355">
        <v>2130211101</v>
      </c>
      <c r="D742" s="354" t="s">
        <v>876</v>
      </c>
      <c r="E742" s="356" t="s">
        <v>634</v>
      </c>
      <c r="F742" s="356" t="str">
        <f t="shared" si="45"/>
        <v>I</v>
      </c>
      <c r="G742" s="28">
        <f>+IF(F742="i",IFERROR(VLOOKUP(C742,'BG 12.2024'!$B:$E,3,FALSE),0),0)</f>
        <v>0</v>
      </c>
      <c r="H742" s="21">
        <f>+IF(F742="i",IFERROR(VLOOKUP(C742,'BG 12.2024'!$B:$E,4,FALSE),0),0)</f>
        <v>0</v>
      </c>
      <c r="I742" s="21"/>
      <c r="J742" s="28">
        <f>+IF(F742="i",IFERROR(VLOOKUP(C742,'BG 2023'!$B:$E,3,FALSE),0),0)</f>
        <v>0</v>
      </c>
      <c r="K742" s="21">
        <f>+IF(F742="i",IFERROR(VLOOKUP(C742,'BG 2023'!$B:$E,4,FALSE),0),0)</f>
        <v>0</v>
      </c>
      <c r="M742" s="15" t="e">
        <f>+VLOOKUP(C742,'BG 2023'!$B:$E,1,0)</f>
        <v>#N/A</v>
      </c>
      <c r="N742" s="806" t="e">
        <f>+VLOOKUP(C742,'BG 2023'!$B:$E,3,0)</f>
        <v>#N/A</v>
      </c>
      <c r="O742" s="807" t="e">
        <f t="shared" si="44"/>
        <v>#N/A</v>
      </c>
      <c r="P742" s="807"/>
      <c r="R742" s="807">
        <f>+IFERROR(VLOOKUP(C742,'CA FE'!$A:$C,3,0),0)+G742</f>
        <v>0</v>
      </c>
      <c r="S742" s="807">
        <f t="shared" si="42"/>
        <v>0</v>
      </c>
    </row>
    <row r="743" spans="1:19">
      <c r="A743" s="354" t="s">
        <v>193</v>
      </c>
      <c r="B743" s="354"/>
      <c r="C743" s="355">
        <v>2130211102</v>
      </c>
      <c r="D743" s="354" t="s">
        <v>877</v>
      </c>
      <c r="E743" s="356" t="s">
        <v>640</v>
      </c>
      <c r="F743" s="356" t="str">
        <f t="shared" si="45"/>
        <v>I</v>
      </c>
      <c r="G743" s="28">
        <f>+IF(F743="i",IFERROR(VLOOKUP(C743,'BG 12.2024'!$B:$E,3,FALSE),0),0)</f>
        <v>0</v>
      </c>
      <c r="H743" s="21">
        <f>+IF(F743="i",IFERROR(VLOOKUP(C743,'BG 12.2024'!$B:$E,4,FALSE),0),0)</f>
        <v>0</v>
      </c>
      <c r="I743" s="21"/>
      <c r="J743" s="28">
        <f>+IF(F743="i",IFERROR(VLOOKUP(C743,'BG 2023'!$B:$E,3,FALSE),0),0)</f>
        <v>0</v>
      </c>
      <c r="K743" s="21">
        <f>+IF(F743="i",IFERROR(VLOOKUP(C743,'BG 2023'!$B:$E,4,FALSE),0),0)</f>
        <v>0</v>
      </c>
      <c r="M743" s="15" t="e">
        <f>+VLOOKUP(C743,'BG 2023'!$B:$E,1,0)</f>
        <v>#N/A</v>
      </c>
      <c r="N743" s="806" t="e">
        <f>+VLOOKUP(C743,'BG 2023'!$B:$E,3,0)</f>
        <v>#N/A</v>
      </c>
      <c r="O743" s="807" t="e">
        <f t="shared" si="44"/>
        <v>#N/A</v>
      </c>
      <c r="P743" s="807"/>
      <c r="R743" s="807">
        <f>+IFERROR(VLOOKUP(C743,'CA FE'!$A:$C,3,0),0)+G743</f>
        <v>0</v>
      </c>
      <c r="S743" s="807">
        <f t="shared" si="42"/>
        <v>0</v>
      </c>
    </row>
    <row r="744" spans="1:19">
      <c r="A744" s="354" t="s">
        <v>193</v>
      </c>
      <c r="B744" s="354"/>
      <c r="C744" s="355">
        <v>2130212</v>
      </c>
      <c r="D744" s="354" t="s">
        <v>878</v>
      </c>
      <c r="E744" s="356" t="s">
        <v>634</v>
      </c>
      <c r="F744" s="356" t="str">
        <f t="shared" si="45"/>
        <v>NI</v>
      </c>
      <c r="G744" s="28">
        <f>+IF(F744="i",IFERROR(VLOOKUP(C744,'BG 12.2024'!$B:$E,3,FALSE),0),0)</f>
        <v>0</v>
      </c>
      <c r="H744" s="21">
        <f>+IF(F744="i",IFERROR(VLOOKUP(C744,'BG 12.2024'!$B:$E,4,FALSE),0),0)</f>
        <v>0</v>
      </c>
      <c r="I744" s="21"/>
      <c r="J744" s="28">
        <f>+IF(F744="i",IFERROR(VLOOKUP(C744,'BG 2023'!$B:$E,3,FALSE),0),0)</f>
        <v>0</v>
      </c>
      <c r="K744" s="21">
        <f>+IF(F744="i",IFERROR(VLOOKUP(C744,'BG 2023'!$B:$E,4,FALSE),0),0)</f>
        <v>0</v>
      </c>
      <c r="M744" s="15" t="e">
        <f>+VLOOKUP(C744,'BG 2023'!$B:$E,1,0)</f>
        <v>#N/A</v>
      </c>
      <c r="N744" s="806" t="e">
        <f>+VLOOKUP(C744,'BG 2023'!$B:$E,3,0)</f>
        <v>#N/A</v>
      </c>
      <c r="O744" s="807" t="e">
        <f t="shared" si="44"/>
        <v>#N/A</v>
      </c>
      <c r="P744" s="807"/>
      <c r="R744" s="807">
        <f>+IFERROR(VLOOKUP(C744,'CA FE'!$A:$C,3,0),0)+G744</f>
        <v>0</v>
      </c>
      <c r="S744" s="807">
        <f t="shared" si="42"/>
        <v>0</v>
      </c>
    </row>
    <row r="745" spans="1:19">
      <c r="A745" s="354" t="s">
        <v>193</v>
      </c>
      <c r="B745" s="354"/>
      <c r="C745" s="355">
        <v>21302121</v>
      </c>
      <c r="D745" s="354" t="s">
        <v>879</v>
      </c>
      <c r="E745" s="356" t="s">
        <v>634</v>
      </c>
      <c r="F745" s="356" t="str">
        <f t="shared" si="45"/>
        <v>NI</v>
      </c>
      <c r="G745" s="28">
        <f>+IF(F745="i",IFERROR(VLOOKUP(C745,'BG 12.2024'!$B:$E,3,FALSE),0),0)</f>
        <v>0</v>
      </c>
      <c r="H745" s="21">
        <f>+IF(F745="i",IFERROR(VLOOKUP(C745,'BG 12.2024'!$B:$E,4,FALSE),0),0)</f>
        <v>0</v>
      </c>
      <c r="I745" s="21"/>
      <c r="J745" s="28">
        <f>+IF(F745="i",IFERROR(VLOOKUP(C745,'BG 2023'!$B:$E,3,FALSE),0),0)</f>
        <v>0</v>
      </c>
      <c r="K745" s="21">
        <f>+IF(F745="i",IFERROR(VLOOKUP(C745,'BG 2023'!$B:$E,4,FALSE),0),0)</f>
        <v>0</v>
      </c>
      <c r="M745" s="15" t="e">
        <f>+VLOOKUP(C745,'BG 2023'!$B:$E,1,0)</f>
        <v>#N/A</v>
      </c>
      <c r="N745" s="806" t="e">
        <f>+VLOOKUP(C745,'BG 2023'!$B:$E,3,0)</f>
        <v>#N/A</v>
      </c>
      <c r="O745" s="807" t="e">
        <f t="shared" si="44"/>
        <v>#N/A</v>
      </c>
      <c r="P745" s="807"/>
      <c r="R745" s="807">
        <f>+IFERROR(VLOOKUP(C745,'CA FE'!$A:$C,3,0),0)+G745</f>
        <v>0</v>
      </c>
      <c r="S745" s="807">
        <f t="shared" si="42"/>
        <v>0</v>
      </c>
    </row>
    <row r="746" spans="1:19">
      <c r="A746" s="354" t="s">
        <v>193</v>
      </c>
      <c r="B746" s="354"/>
      <c r="C746" s="355">
        <v>2130212101</v>
      </c>
      <c r="D746" s="354" t="s">
        <v>879</v>
      </c>
      <c r="E746" s="356" t="s">
        <v>634</v>
      </c>
      <c r="F746" s="356" t="str">
        <f t="shared" si="45"/>
        <v>I</v>
      </c>
      <c r="G746" s="28">
        <f>+IF(F746="i",IFERROR(VLOOKUP(C746,'BG 12.2024'!$B:$E,3,FALSE),0),0)</f>
        <v>0</v>
      </c>
      <c r="H746" s="21">
        <f>+IF(F746="i",IFERROR(VLOOKUP(C746,'BG 12.2024'!$B:$E,4,FALSE),0),0)</f>
        <v>0</v>
      </c>
      <c r="I746" s="21"/>
      <c r="J746" s="28">
        <f>+IF(F746="i",IFERROR(VLOOKUP(C746,'BG 2023'!$B:$E,3,FALSE),0),0)</f>
        <v>0</v>
      </c>
      <c r="K746" s="21">
        <f>+IF(F746="i",IFERROR(VLOOKUP(C746,'BG 2023'!$B:$E,4,FALSE),0),0)</f>
        <v>0</v>
      </c>
      <c r="M746" s="15" t="e">
        <f>+VLOOKUP(C746,'BG 2023'!$B:$E,1,0)</f>
        <v>#N/A</v>
      </c>
      <c r="N746" s="806" t="e">
        <f>+VLOOKUP(C746,'BG 2023'!$B:$E,3,0)</f>
        <v>#N/A</v>
      </c>
      <c r="O746" s="807" t="e">
        <f t="shared" si="44"/>
        <v>#N/A</v>
      </c>
      <c r="P746" s="807"/>
      <c r="R746" s="807">
        <f>+IFERROR(VLOOKUP(C746,'CA FE'!$A:$C,3,0),0)+G746</f>
        <v>0</v>
      </c>
      <c r="S746" s="807">
        <f t="shared" si="42"/>
        <v>0</v>
      </c>
    </row>
    <row r="747" spans="1:19">
      <c r="A747" s="354" t="s">
        <v>193</v>
      </c>
      <c r="B747" s="354"/>
      <c r="C747" s="355">
        <v>2130212102</v>
      </c>
      <c r="D747" s="354" t="s">
        <v>879</v>
      </c>
      <c r="E747" s="356" t="s">
        <v>634</v>
      </c>
      <c r="F747" s="356" t="str">
        <f t="shared" si="45"/>
        <v>I</v>
      </c>
      <c r="G747" s="28">
        <f>+IF(F747="i",IFERROR(VLOOKUP(C747,'BG 12.2024'!$B:$E,3,FALSE),0),0)</f>
        <v>0</v>
      </c>
      <c r="H747" s="21">
        <f>+IF(F747="i",IFERROR(VLOOKUP(C747,'BG 12.2024'!$B:$E,4,FALSE),0),0)</f>
        <v>0</v>
      </c>
      <c r="I747" s="21"/>
      <c r="J747" s="28">
        <f>+IF(F747="i",IFERROR(VLOOKUP(C747,'BG 2023'!$B:$E,3,FALSE),0),0)</f>
        <v>0</v>
      </c>
      <c r="K747" s="21">
        <f>+IF(F747="i",IFERROR(VLOOKUP(C747,'BG 2023'!$B:$E,4,FALSE),0),0)</f>
        <v>0</v>
      </c>
      <c r="M747" s="15" t="e">
        <f>+VLOOKUP(C747,'BG 2023'!$B:$E,1,0)</f>
        <v>#N/A</v>
      </c>
      <c r="N747" s="806" t="e">
        <f>+VLOOKUP(C747,'BG 2023'!$B:$E,3,0)</f>
        <v>#N/A</v>
      </c>
      <c r="O747" s="807" t="e">
        <f t="shared" si="44"/>
        <v>#N/A</v>
      </c>
      <c r="P747" s="807"/>
      <c r="R747" s="807">
        <f>+IFERROR(VLOOKUP(C747,'CA FE'!$A:$C,3,0),0)+G747</f>
        <v>0</v>
      </c>
      <c r="S747" s="807">
        <f t="shared" si="42"/>
        <v>0</v>
      </c>
    </row>
    <row r="748" spans="1:19">
      <c r="A748" s="354" t="s">
        <v>193</v>
      </c>
      <c r="B748" s="354"/>
      <c r="C748" s="355">
        <v>21302122</v>
      </c>
      <c r="D748" s="354" t="s">
        <v>880</v>
      </c>
      <c r="E748" s="356" t="s">
        <v>634</v>
      </c>
      <c r="F748" s="356" t="str">
        <f t="shared" si="45"/>
        <v>NI</v>
      </c>
      <c r="G748" s="28">
        <f>+IF(F748="i",IFERROR(VLOOKUP(C748,'BG 12.2024'!$B:$E,3,FALSE),0),0)</f>
        <v>0</v>
      </c>
      <c r="H748" s="21">
        <f>+IF(F748="i",IFERROR(VLOOKUP(C748,'BG 12.2024'!$B:$E,4,FALSE),0),0)</f>
        <v>0</v>
      </c>
      <c r="I748" s="21"/>
      <c r="J748" s="28">
        <f>+IF(F748="i",IFERROR(VLOOKUP(C748,'BG 2023'!$B:$E,3,FALSE),0),0)</f>
        <v>0</v>
      </c>
      <c r="K748" s="21">
        <f>+IF(F748="i",IFERROR(VLOOKUP(C748,'BG 2023'!$B:$E,4,FALSE),0),0)</f>
        <v>0</v>
      </c>
      <c r="M748" s="15" t="e">
        <f>+VLOOKUP(C748,'BG 2023'!$B:$E,1,0)</f>
        <v>#N/A</v>
      </c>
      <c r="N748" s="806" t="e">
        <f>+VLOOKUP(C748,'BG 2023'!$B:$E,3,0)</f>
        <v>#N/A</v>
      </c>
      <c r="O748" s="807" t="e">
        <f t="shared" si="44"/>
        <v>#N/A</v>
      </c>
      <c r="P748" s="807"/>
      <c r="R748" s="807">
        <f>+IFERROR(VLOOKUP(C748,'CA FE'!$A:$C,3,0),0)+G748</f>
        <v>0</v>
      </c>
      <c r="S748" s="807">
        <f t="shared" si="42"/>
        <v>0</v>
      </c>
    </row>
    <row r="749" spans="1:19">
      <c r="A749" s="354" t="s">
        <v>193</v>
      </c>
      <c r="B749" s="354"/>
      <c r="C749" s="355">
        <v>2130212201</v>
      </c>
      <c r="D749" s="354" t="s">
        <v>880</v>
      </c>
      <c r="E749" s="356" t="s">
        <v>634</v>
      </c>
      <c r="F749" s="356" t="str">
        <f t="shared" si="45"/>
        <v>I</v>
      </c>
      <c r="G749" s="28">
        <f>+IF(F749="i",IFERROR(VLOOKUP(C749,'BG 12.2024'!$B:$E,3,FALSE),0),0)</f>
        <v>0</v>
      </c>
      <c r="H749" s="21">
        <f>+IF(F749="i",IFERROR(VLOOKUP(C749,'BG 12.2024'!$B:$E,4,FALSE),0),0)</f>
        <v>0</v>
      </c>
      <c r="I749" s="21"/>
      <c r="J749" s="28">
        <f>+IF(F749="i",IFERROR(VLOOKUP(C749,'BG 2023'!$B:$E,3,FALSE),0),0)</f>
        <v>0</v>
      </c>
      <c r="K749" s="21">
        <f>+IF(F749="i",IFERROR(VLOOKUP(C749,'BG 2023'!$B:$E,4,FALSE),0),0)</f>
        <v>0</v>
      </c>
      <c r="M749" s="15" t="e">
        <f>+VLOOKUP(C749,'BG 2023'!$B:$E,1,0)</f>
        <v>#N/A</v>
      </c>
      <c r="N749" s="806" t="e">
        <f>+VLOOKUP(C749,'BG 2023'!$B:$E,3,0)</f>
        <v>#N/A</v>
      </c>
      <c r="O749" s="807" t="e">
        <f t="shared" si="44"/>
        <v>#N/A</v>
      </c>
      <c r="P749" s="807"/>
      <c r="R749" s="807">
        <f>+IFERROR(VLOOKUP(C749,'CA FE'!$A:$C,3,0),0)+G749</f>
        <v>0</v>
      </c>
      <c r="S749" s="807">
        <f t="shared" si="42"/>
        <v>0</v>
      </c>
    </row>
    <row r="750" spans="1:19">
      <c r="A750" s="354" t="s">
        <v>193</v>
      </c>
      <c r="B750" s="354"/>
      <c r="C750" s="355">
        <v>2130212202</v>
      </c>
      <c r="D750" s="354" t="s">
        <v>880</v>
      </c>
      <c r="E750" s="356" t="s">
        <v>634</v>
      </c>
      <c r="F750" s="356" t="str">
        <f t="shared" si="45"/>
        <v>I</v>
      </c>
      <c r="G750" s="28">
        <f>+IF(F750="i",IFERROR(VLOOKUP(C750,'BG 12.2024'!$B:$E,3,FALSE),0),0)</f>
        <v>0</v>
      </c>
      <c r="H750" s="21">
        <f>+IF(F750="i",IFERROR(VLOOKUP(C750,'BG 12.2024'!$B:$E,4,FALSE),0),0)</f>
        <v>0</v>
      </c>
      <c r="I750" s="21"/>
      <c r="J750" s="28">
        <f>+IF(F750="i",IFERROR(VLOOKUP(C750,'BG 2023'!$B:$E,3,FALSE),0),0)</f>
        <v>0</v>
      </c>
      <c r="K750" s="21">
        <f>+IF(F750="i",IFERROR(VLOOKUP(C750,'BG 2023'!$B:$E,4,FALSE),0),0)</f>
        <v>0</v>
      </c>
      <c r="M750" s="15" t="e">
        <f>+VLOOKUP(C750,'BG 2023'!$B:$E,1,0)</f>
        <v>#N/A</v>
      </c>
      <c r="N750" s="806" t="e">
        <f>+VLOOKUP(C750,'BG 2023'!$B:$E,3,0)</f>
        <v>#N/A</v>
      </c>
      <c r="O750" s="807" t="e">
        <f t="shared" si="44"/>
        <v>#N/A</v>
      </c>
      <c r="P750" s="807"/>
      <c r="R750" s="807">
        <f>+IFERROR(VLOOKUP(C750,'CA FE'!$A:$C,3,0),0)+G750</f>
        <v>0</v>
      </c>
      <c r="S750" s="807">
        <f t="shared" si="42"/>
        <v>0</v>
      </c>
    </row>
    <row r="751" spans="1:19">
      <c r="A751" s="354" t="s">
        <v>193</v>
      </c>
      <c r="B751" s="354"/>
      <c r="C751" s="355">
        <v>21303</v>
      </c>
      <c r="D751" s="354" t="s">
        <v>110</v>
      </c>
      <c r="E751" s="356" t="s">
        <v>634</v>
      </c>
      <c r="F751" s="356" t="str">
        <f t="shared" si="45"/>
        <v>NI</v>
      </c>
      <c r="G751" s="28">
        <f>+IF(F751="i",IFERROR(VLOOKUP(C751,'BG 12.2024'!$B:$E,3,FALSE),0),0)</f>
        <v>0</v>
      </c>
      <c r="H751" s="21">
        <f>+IF(F751="i",IFERROR(VLOOKUP(C751,'BG 12.2024'!$B:$E,4,FALSE),0),0)</f>
        <v>0</v>
      </c>
      <c r="I751" s="21"/>
      <c r="J751" s="28">
        <f>+IF(F751="i",IFERROR(VLOOKUP(C751,'BG 2023'!$B:$E,3,FALSE),0),0)</f>
        <v>0</v>
      </c>
      <c r="K751" s="21">
        <f>+IF(F751="i",IFERROR(VLOOKUP(C751,'BG 2023'!$B:$E,4,FALSE),0),0)</f>
        <v>0</v>
      </c>
      <c r="M751" s="15">
        <f>+VLOOKUP(C751,'BG 2023'!$B:$E,1,0)</f>
        <v>21303</v>
      </c>
      <c r="N751" s="806">
        <f>+VLOOKUP(C751,'BG 2023'!$B:$E,3,0)</f>
        <v>7748868599</v>
      </c>
      <c r="O751" s="807">
        <f t="shared" si="44"/>
        <v>7748868599</v>
      </c>
      <c r="P751" s="807"/>
      <c r="R751" s="807">
        <f>+IFERROR(VLOOKUP(C751,'CA FE'!$A:$C,3,0),0)+G751</f>
        <v>0</v>
      </c>
      <c r="S751" s="807">
        <f t="shared" si="42"/>
        <v>0</v>
      </c>
    </row>
    <row r="752" spans="1:19">
      <c r="A752" s="354" t="s">
        <v>193</v>
      </c>
      <c r="B752" s="354"/>
      <c r="C752" s="355">
        <v>213031</v>
      </c>
      <c r="D752" s="354" t="s">
        <v>213</v>
      </c>
      <c r="E752" s="356" t="s">
        <v>634</v>
      </c>
      <c r="F752" s="356" t="str">
        <f t="shared" si="45"/>
        <v>NI</v>
      </c>
      <c r="G752" s="28">
        <f>+IF(F752="i",IFERROR(VLOOKUP(C752,'BG 12.2024'!$B:$E,3,FALSE),0),0)</f>
        <v>0</v>
      </c>
      <c r="H752" s="21">
        <f>+IF(F752="i",IFERROR(VLOOKUP(C752,'BG 12.2024'!$B:$E,4,FALSE),0),0)</f>
        <v>0</v>
      </c>
      <c r="I752" s="21"/>
      <c r="J752" s="28">
        <f>+IF(F752="i",IFERROR(VLOOKUP(C752,'BG 2023'!$B:$E,3,FALSE),0),0)</f>
        <v>0</v>
      </c>
      <c r="K752" s="21">
        <f>+IF(F752="i",IFERROR(VLOOKUP(C752,'BG 2023'!$B:$E,4,FALSE),0),0)</f>
        <v>0</v>
      </c>
      <c r="M752" s="15">
        <f>+VLOOKUP(C752,'BG 2023'!$B:$E,1,0)</f>
        <v>213031</v>
      </c>
      <c r="N752" s="806">
        <f>+VLOOKUP(C752,'BG 2023'!$B:$E,3,0)</f>
        <v>7748868599</v>
      </c>
      <c r="O752" s="807">
        <f t="shared" si="44"/>
        <v>7748868599</v>
      </c>
      <c r="P752" s="807"/>
      <c r="R752" s="807">
        <f>+IFERROR(VLOOKUP(C752,'CA FE'!$A:$C,3,0),0)+G752</f>
        <v>0</v>
      </c>
      <c r="S752" s="807">
        <f t="shared" ref="S752:S841" si="46">+G752-J752</f>
        <v>0</v>
      </c>
    </row>
    <row r="753" spans="1:20">
      <c r="A753" s="354" t="s">
        <v>193</v>
      </c>
      <c r="B753" s="354"/>
      <c r="C753" s="355">
        <v>2130311</v>
      </c>
      <c r="D753" s="354" t="s">
        <v>214</v>
      </c>
      <c r="E753" s="356" t="s">
        <v>634</v>
      </c>
      <c r="F753" s="356" t="str">
        <f t="shared" si="45"/>
        <v>NI</v>
      </c>
      <c r="G753" s="28">
        <f>+IF(F753="i",IFERROR(VLOOKUP(C753,'BG 12.2024'!$B:$E,3,FALSE),0),0)</f>
        <v>0</v>
      </c>
      <c r="H753" s="21">
        <f>+IF(F753="i",IFERROR(VLOOKUP(C753,'BG 12.2024'!$B:$E,4,FALSE),0),0)</f>
        <v>0</v>
      </c>
      <c r="I753" s="21"/>
      <c r="J753" s="28">
        <f>+IF(F753="i",IFERROR(VLOOKUP(C753,'BG 2023'!$B:$E,3,FALSE),0),0)</f>
        <v>0</v>
      </c>
      <c r="K753" s="21">
        <f>+IF(F753="i",IFERROR(VLOOKUP(C753,'BG 2023'!$B:$E,4,FALSE),0),0)</f>
        <v>0</v>
      </c>
      <c r="M753" s="15">
        <f>+VLOOKUP(C753,'BG 2023'!$B:$E,1,0)</f>
        <v>2130311</v>
      </c>
      <c r="N753" s="806">
        <f>+VLOOKUP(C753,'BG 2023'!$B:$E,3,0)</f>
        <v>7748868599</v>
      </c>
      <c r="O753" s="807">
        <f t="shared" si="44"/>
        <v>7748868599</v>
      </c>
      <c r="P753" s="807"/>
      <c r="R753" s="807">
        <f>+IFERROR(VLOOKUP(C753,'CA FE'!$A:$C,3,0),0)+G753</f>
        <v>0</v>
      </c>
      <c r="S753" s="807">
        <f t="shared" si="46"/>
        <v>0</v>
      </c>
    </row>
    <row r="754" spans="1:20">
      <c r="A754" s="354" t="s">
        <v>193</v>
      </c>
      <c r="B754" s="354"/>
      <c r="C754" s="355">
        <v>21303111</v>
      </c>
      <c r="D754" s="354" t="s">
        <v>215</v>
      </c>
      <c r="E754" s="356" t="s">
        <v>634</v>
      </c>
      <c r="F754" s="356" t="str">
        <f t="shared" si="45"/>
        <v>NI</v>
      </c>
      <c r="G754" s="28">
        <f>+IF(F754="i",IFERROR(VLOOKUP(C754,'BG 12.2024'!$B:$E,3,FALSE),0),0)</f>
        <v>0</v>
      </c>
      <c r="H754" s="21">
        <f>+IF(F754="i",IFERROR(VLOOKUP(C754,'BG 12.2024'!$B:$E,4,FALSE),0),0)</f>
        <v>0</v>
      </c>
      <c r="I754" s="21"/>
      <c r="J754" s="28">
        <f>+IF(F754="i",IFERROR(VLOOKUP(C754,'BG 2023'!$B:$E,3,FALSE),0),0)</f>
        <v>0</v>
      </c>
      <c r="K754" s="21">
        <f>+IF(F754="i",IFERROR(VLOOKUP(C754,'BG 2023'!$B:$E,4,FALSE),0),0)</f>
        <v>0</v>
      </c>
      <c r="M754" s="15">
        <f>+VLOOKUP(C754,'BG 2023'!$B:$E,1,0)</f>
        <v>21303111</v>
      </c>
      <c r="N754" s="806">
        <f>+VLOOKUP(C754,'BG 2023'!$B:$E,3,0)</f>
        <v>197328124</v>
      </c>
      <c r="O754" s="807">
        <f t="shared" si="44"/>
        <v>197328124</v>
      </c>
      <c r="P754" s="807"/>
      <c r="R754" s="807">
        <f>+IFERROR(VLOOKUP(C754,'CA FE'!$A:$C,3,0),0)+G754</f>
        <v>0</v>
      </c>
      <c r="S754" s="807">
        <f t="shared" si="46"/>
        <v>0</v>
      </c>
    </row>
    <row r="755" spans="1:20">
      <c r="A755" s="354" t="s">
        <v>193</v>
      </c>
      <c r="B755" s="354" t="s">
        <v>881</v>
      </c>
      <c r="C755" s="355">
        <v>2130311101</v>
      </c>
      <c r="D755" s="354" t="s">
        <v>882</v>
      </c>
      <c r="E755" s="356" t="s">
        <v>634</v>
      </c>
      <c r="F755" s="356" t="str">
        <f t="shared" si="45"/>
        <v>I</v>
      </c>
      <c r="G755" s="28">
        <f>+IF(F755="i",IFERROR(VLOOKUP(C755,'BG 12.2024'!$B:$E,3,FALSE),0),0)</f>
        <v>43895506</v>
      </c>
      <c r="H755" s="21">
        <f>+IF(F755="i",IFERROR(VLOOKUP(C755,'BG 12.2024'!$B:$E,4,FALSE),0),0)</f>
        <v>5605.1600000000008</v>
      </c>
      <c r="I755" s="21"/>
      <c r="J755" s="28">
        <f>+IF(F755="i",IFERROR(VLOOKUP(C755,'BG 2023'!$B:$E,3,FALSE),0),0)</f>
        <v>0</v>
      </c>
      <c r="K755" s="21">
        <f>+IF(F755="i",IFERROR(VLOOKUP(C755,'BG 2023'!$B:$E,4,FALSE),0),0)</f>
        <v>0</v>
      </c>
      <c r="M755" s="15" t="e">
        <f>+VLOOKUP(C755,'BG 2023'!$B:$E,1,0)</f>
        <v>#N/A</v>
      </c>
      <c r="N755" s="806" t="e">
        <f>+VLOOKUP(C755,'BG 2023'!$B:$E,3,0)</f>
        <v>#N/A</v>
      </c>
      <c r="O755" s="807" t="e">
        <f t="shared" si="44"/>
        <v>#N/A</v>
      </c>
      <c r="P755" s="807"/>
      <c r="R755" s="807">
        <f>+IFERROR(VLOOKUP(C755,'CA FE'!$A:$C,3,0),0)+G755</f>
        <v>0</v>
      </c>
      <c r="S755" s="807">
        <f t="shared" si="46"/>
        <v>43895506</v>
      </c>
    </row>
    <row r="756" spans="1:20" ht="14.4">
      <c r="A756" s="354" t="s">
        <v>193</v>
      </c>
      <c r="B756" s="354" t="s">
        <v>881</v>
      </c>
      <c r="C756" s="355">
        <v>2130311102</v>
      </c>
      <c r="D756" s="354" t="s">
        <v>883</v>
      </c>
      <c r="E756" s="356" t="s">
        <v>640</v>
      </c>
      <c r="F756" s="356" t="str">
        <f t="shared" si="45"/>
        <v>I</v>
      </c>
      <c r="G756" s="28">
        <f>+IF(F756="i",IFERROR(VLOOKUP(C756,'BG 12.2024'!$B:$E,3,FALSE),0),0)</f>
        <v>232878179</v>
      </c>
      <c r="H756" s="21">
        <f>+IF(F756="i",IFERROR(VLOOKUP(C756,'BG 12.2024'!$B:$E,4,FALSE),0),0)</f>
        <v>29737</v>
      </c>
      <c r="I756" s="21"/>
      <c r="J756" s="28">
        <f>+IF(F756="i",IFERROR(VLOOKUP(C756,'BG 2023'!$B:$E,3,FALSE),0),0)</f>
        <v>197328124</v>
      </c>
      <c r="K756" s="21">
        <f>+IF(F756="i",IFERROR(VLOOKUP(C756,'BG 2023'!$B:$E,4,FALSE),0),0)</f>
        <v>27092.04</v>
      </c>
      <c r="M756" s="15">
        <f>+VLOOKUP(C756,'BG 2023'!$B:$E,1,0)</f>
        <v>2130311102</v>
      </c>
      <c r="N756" s="806">
        <f>+VLOOKUP(C756,'BG 2023'!$B:$E,3,0)</f>
        <v>197328124</v>
      </c>
      <c r="O756" s="807">
        <f t="shared" si="44"/>
        <v>-35550055</v>
      </c>
      <c r="P756" s="807"/>
      <c r="R756" s="807">
        <f>+IFERROR(VLOOKUP(C756,'CA FE'!$A:$C,3,0),0)+G756</f>
        <v>0</v>
      </c>
      <c r="S756" s="807">
        <f t="shared" si="46"/>
        <v>35550055</v>
      </c>
      <c r="T756" s="1203">
        <v>2130311102</v>
      </c>
    </row>
    <row r="757" spans="1:20" ht="14.4">
      <c r="A757" s="354" t="s">
        <v>193</v>
      </c>
      <c r="B757" s="1210" t="s">
        <v>881</v>
      </c>
      <c r="C757" s="355">
        <v>2130311103</v>
      </c>
      <c r="D757" s="354" t="s">
        <v>2712</v>
      </c>
      <c r="E757" s="356" t="s">
        <v>634</v>
      </c>
      <c r="F757" s="356" t="str">
        <f t="shared" ref="F757" si="47">+IF(LEN(C757)&gt;8,"I","NI")</f>
        <v>I</v>
      </c>
      <c r="G757" s="28">
        <f>+IF(F757="i",IFERROR(VLOOKUP(C757,'BG 12.2024'!$B:$E,3,FALSE),0),0)</f>
        <v>17281554</v>
      </c>
      <c r="H757" s="21">
        <f>+IF(F757="i",IFERROR(VLOOKUP(C757,'BG 12.2024'!$B:$E,4,FALSE),0),0)</f>
        <v>2206.7400000000007</v>
      </c>
      <c r="I757" s="21"/>
      <c r="J757" s="28">
        <f>+IF(F757="i",IFERROR(VLOOKUP(C757,'BG 2023'!$B:$E,3,FALSE),0),0)</f>
        <v>0</v>
      </c>
      <c r="K757" s="21">
        <f>+IF(F757="i",IFERROR(VLOOKUP(C757,'BG 2023'!$B:$E,4,FALSE),0),0)</f>
        <v>0</v>
      </c>
      <c r="M757" s="15" t="e">
        <f>+VLOOKUP(C757,'BG 2023'!$B:$E,1,0)</f>
        <v>#N/A</v>
      </c>
      <c r="N757" s="806" t="e">
        <f>+VLOOKUP(C757,'BG 2023'!$B:$E,3,0)</f>
        <v>#N/A</v>
      </c>
      <c r="O757" s="807" t="e">
        <f t="shared" ref="O757" si="48">+N757-G757</f>
        <v>#N/A</v>
      </c>
      <c r="P757" s="807"/>
      <c r="R757" s="807"/>
      <c r="S757" s="807"/>
      <c r="T757" s="1203"/>
    </row>
    <row r="758" spans="1:20">
      <c r="A758" s="354" t="s">
        <v>193</v>
      </c>
      <c r="B758" s="354"/>
      <c r="C758" s="355">
        <v>21303112</v>
      </c>
      <c r="D758" s="354" t="s">
        <v>217</v>
      </c>
      <c r="E758" s="356" t="s">
        <v>634</v>
      </c>
      <c r="F758" s="356" t="str">
        <f t="shared" si="45"/>
        <v>NI</v>
      </c>
      <c r="G758" s="28">
        <f>+IF(F758="i",IFERROR(VLOOKUP(C758,'BG 12.2024'!$B:$E,3,FALSE),0),0)</f>
        <v>0</v>
      </c>
      <c r="H758" s="21">
        <f>+IF(F758="i",IFERROR(VLOOKUP(C758,'BG 12.2024'!$B:$E,4,FALSE),0),0)</f>
        <v>0</v>
      </c>
      <c r="I758" s="21"/>
      <c r="J758" s="28">
        <f>+IF(F758="i",IFERROR(VLOOKUP(C758,'BG 2023'!$B:$E,3,FALSE),0),0)</f>
        <v>0</v>
      </c>
      <c r="K758" s="21">
        <f>+IF(F758="i",IFERROR(VLOOKUP(C758,'BG 2023'!$B:$E,4,FALSE),0),0)</f>
        <v>0</v>
      </c>
      <c r="M758" s="15">
        <f>+VLOOKUP(C758,'BG 2023'!$B:$E,1,0)</f>
        <v>21303112</v>
      </c>
      <c r="N758" s="806">
        <f>+VLOOKUP(C758,'BG 2023'!$B:$E,3,0)</f>
        <v>-86466605</v>
      </c>
      <c r="O758" s="807">
        <f t="shared" si="44"/>
        <v>-86466605</v>
      </c>
      <c r="P758" s="807"/>
      <c r="R758" s="807">
        <f>+IFERROR(VLOOKUP(C758,'CA FE'!$A:$C,3,0),0)+G758</f>
        <v>0</v>
      </c>
      <c r="S758" s="807">
        <f t="shared" si="46"/>
        <v>0</v>
      </c>
    </row>
    <row r="759" spans="1:20">
      <c r="A759" s="354" t="s">
        <v>193</v>
      </c>
      <c r="B759" s="354" t="s">
        <v>881</v>
      </c>
      <c r="C759" s="355">
        <v>2130311201</v>
      </c>
      <c r="D759" s="354" t="s">
        <v>884</v>
      </c>
      <c r="E759" s="356" t="s">
        <v>634</v>
      </c>
      <c r="F759" s="356" t="str">
        <f t="shared" si="45"/>
        <v>I</v>
      </c>
      <c r="G759" s="28">
        <f>+IF(F759="i",IFERROR(VLOOKUP(C759,'BG 12.2024'!$B:$E,3,FALSE),0),0)</f>
        <v>-16952441</v>
      </c>
      <c r="H759" s="21">
        <f>+IF(F759="i",IFERROR(VLOOKUP(C759,'BG 12.2024'!$B:$E,4,FALSE),0),0)</f>
        <v>-2164.7099999999991</v>
      </c>
      <c r="I759" s="21"/>
      <c r="J759" s="28">
        <f>+IF(F759="i",IFERROR(VLOOKUP(C759,'BG 2023'!$B:$E,3,FALSE),0),0)</f>
        <v>0</v>
      </c>
      <c r="K759" s="21">
        <f>+IF(F759="i",IFERROR(VLOOKUP(C759,'BG 2023'!$B:$E,4,FALSE),0),0)</f>
        <v>0</v>
      </c>
      <c r="M759" s="15" t="e">
        <f>+VLOOKUP(C759,'BG 2023'!$B:$E,1,0)</f>
        <v>#N/A</v>
      </c>
      <c r="N759" s="806" t="e">
        <f>+VLOOKUP(C759,'BG 2023'!$B:$E,3,0)</f>
        <v>#N/A</v>
      </c>
      <c r="O759" s="807" t="e">
        <f t="shared" si="44"/>
        <v>#N/A</v>
      </c>
      <c r="P759" s="807"/>
      <c r="R759" s="807">
        <f>+IFERROR(VLOOKUP(C759,'CA FE'!$A:$C,3,0),0)+G759</f>
        <v>0</v>
      </c>
      <c r="S759" s="807">
        <f t="shared" si="46"/>
        <v>-16952441</v>
      </c>
    </row>
    <row r="760" spans="1:20">
      <c r="A760" s="354" t="s">
        <v>193</v>
      </c>
      <c r="B760" s="354" t="s">
        <v>881</v>
      </c>
      <c r="C760" s="355">
        <v>2130311202</v>
      </c>
      <c r="D760" s="354" t="s">
        <v>885</v>
      </c>
      <c r="E760" s="356" t="s">
        <v>640</v>
      </c>
      <c r="F760" s="356" t="str">
        <f t="shared" si="45"/>
        <v>I</v>
      </c>
      <c r="G760" s="28">
        <f>+IF(F760="i",IFERROR(VLOOKUP(C760,'BG 12.2024'!$B:$E,3,FALSE),0),0)</f>
        <v>-79962960</v>
      </c>
      <c r="H760" s="21">
        <f>+IF(F760="i",IFERROR(VLOOKUP(C760,'BG 12.2024'!$B:$E,4,FALSE),0),0)</f>
        <v>-10210.740000000005</v>
      </c>
      <c r="I760" s="21"/>
      <c r="J760" s="28">
        <f>+IF(F760="i",IFERROR(VLOOKUP(C760,'BG 2023'!$B:$E,3,FALSE),0),0)</f>
        <v>-86466605</v>
      </c>
      <c r="K760" s="21">
        <f>+IF(F760="i",IFERROR(VLOOKUP(C760,'BG 2023'!$B:$E,4,FALSE),0),0)</f>
        <v>-11871.377</v>
      </c>
      <c r="M760" s="15">
        <f>+VLOOKUP(C760,'BG 2023'!$B:$E,1,0)</f>
        <v>2130311202</v>
      </c>
      <c r="N760" s="806">
        <f>+VLOOKUP(C760,'BG 2023'!$B:$E,3,0)</f>
        <v>-86466605</v>
      </c>
      <c r="O760" s="807">
        <f t="shared" si="44"/>
        <v>-6503645</v>
      </c>
      <c r="P760" s="807"/>
      <c r="R760" s="807">
        <f>+IFERROR(VLOOKUP(C760,'CA FE'!$A:$C,3,0),0)+G760</f>
        <v>0</v>
      </c>
      <c r="S760" s="807">
        <f t="shared" si="46"/>
        <v>6503645</v>
      </c>
    </row>
    <row r="761" spans="1:20">
      <c r="A761" s="354" t="s">
        <v>193</v>
      </c>
      <c r="B761" s="1210" t="s">
        <v>881</v>
      </c>
      <c r="C761" s="355">
        <v>2130311203</v>
      </c>
      <c r="D761" s="354" t="s">
        <v>2713</v>
      </c>
      <c r="E761" s="356" t="s">
        <v>634</v>
      </c>
      <c r="F761" s="356" t="str">
        <f t="shared" ref="F761" si="49">+IF(LEN(C761)&gt;8,"I","NI")</f>
        <v>I</v>
      </c>
      <c r="G761" s="28">
        <f>+IF(F761="i",IFERROR(VLOOKUP(C761,'BG 12.2024'!$B:$E,3,FALSE),0),0)</f>
        <v>-9408846</v>
      </c>
      <c r="H761" s="21">
        <f>+IF(F761="i",IFERROR(VLOOKUP(C761,'BG 12.2024'!$B:$E,4,FALSE),0),0)</f>
        <v>-1201.4499999999998</v>
      </c>
      <c r="I761" s="21"/>
      <c r="J761" s="28">
        <f>+IF(F761="i",IFERROR(VLOOKUP(C761,'BG 2023'!$B:$E,3,FALSE),0),0)</f>
        <v>0</v>
      </c>
      <c r="K761" s="21">
        <f>+IF(F761="i",IFERROR(VLOOKUP(C761,'BG 2023'!$B:$E,4,FALSE),0),0)</f>
        <v>0</v>
      </c>
      <c r="N761" s="806"/>
      <c r="O761" s="807"/>
      <c r="P761" s="807"/>
      <c r="R761" s="807"/>
      <c r="S761" s="807"/>
    </row>
    <row r="762" spans="1:20">
      <c r="A762" s="354" t="s">
        <v>193</v>
      </c>
      <c r="B762" s="354"/>
      <c r="C762" s="355">
        <v>21303113</v>
      </c>
      <c r="D762" s="354" t="s">
        <v>886</v>
      </c>
      <c r="E762" s="356" t="s">
        <v>634</v>
      </c>
      <c r="F762" s="356" t="str">
        <f t="shared" si="45"/>
        <v>NI</v>
      </c>
      <c r="G762" s="28">
        <f>+IF(F762="i",IFERROR(VLOOKUP(C762,'BG 12.2024'!$B:$E,3,FALSE),0),0)</f>
        <v>0</v>
      </c>
      <c r="H762" s="21">
        <f>+IF(F762="i",IFERROR(VLOOKUP(C762,'BG 12.2024'!$B:$E,4,FALSE),0),0)</f>
        <v>0</v>
      </c>
      <c r="I762" s="21"/>
      <c r="J762" s="28">
        <f>+IF(F762="i",IFERROR(VLOOKUP(C762,'BG 2023'!$B:$E,3,FALSE),0),0)</f>
        <v>0</v>
      </c>
      <c r="K762" s="21">
        <f>+IF(F762="i",IFERROR(VLOOKUP(C762,'BG 2023'!$B:$E,4,FALSE),0),0)</f>
        <v>0</v>
      </c>
      <c r="M762" s="15">
        <f>+VLOOKUP(C762,'BG 2023'!$B:$E,1,0)</f>
        <v>21303113</v>
      </c>
      <c r="N762" s="806">
        <f>+VLOOKUP(C762,'BG 2023'!$B:$E,3,0)</f>
        <v>7638007080</v>
      </c>
      <c r="O762" s="807">
        <f t="shared" si="44"/>
        <v>7638007080</v>
      </c>
      <c r="P762" s="807"/>
      <c r="R762" s="807">
        <f>+IFERROR(VLOOKUP(C762,'CA FE'!$A:$C,3,0),0)+G762</f>
        <v>0</v>
      </c>
      <c r="S762" s="807">
        <f t="shared" si="46"/>
        <v>0</v>
      </c>
    </row>
    <row r="763" spans="1:20">
      <c r="A763" s="354" t="s">
        <v>193</v>
      </c>
      <c r="B763" s="354" t="s">
        <v>881</v>
      </c>
      <c r="C763" s="355">
        <v>2130311301</v>
      </c>
      <c r="D763" s="354" t="s">
        <v>887</v>
      </c>
      <c r="E763" s="356" t="s">
        <v>634</v>
      </c>
      <c r="F763" s="356" t="str">
        <f t="shared" si="45"/>
        <v>I</v>
      </c>
      <c r="G763" s="28">
        <f>+IF(F763="i",IFERROR(VLOOKUP(C763,'BG 12.2024'!$B:$E,3,FALSE),0),0)</f>
        <v>2499618130</v>
      </c>
      <c r="H763" s="21">
        <f>+IF(F763="i",IFERROR(VLOOKUP(C763,'BG 12.2024'!$B:$E,4,FALSE),0),0)</f>
        <v>319184.66999999993</v>
      </c>
      <c r="I763" s="21"/>
      <c r="J763" s="28">
        <f>+IF(F763="i",IFERROR(VLOOKUP(C763,'BG 2023'!$B:$E,3,FALSE),0),0)</f>
        <v>0</v>
      </c>
      <c r="K763" s="21">
        <f>+IF(F763="i",IFERROR(VLOOKUP(C763,'BG 2023'!$B:$E,4,FALSE),0),0)</f>
        <v>0</v>
      </c>
      <c r="M763" s="15" t="e">
        <f>+VLOOKUP(C763,'BG 2023'!$B:$E,1,0)</f>
        <v>#N/A</v>
      </c>
      <c r="N763" s="806" t="e">
        <f>+VLOOKUP(C763,'BG 2023'!$B:$E,3,0)</f>
        <v>#N/A</v>
      </c>
      <c r="O763" s="807" t="e">
        <f t="shared" si="44"/>
        <v>#N/A</v>
      </c>
      <c r="P763" s="807"/>
      <c r="R763" s="807">
        <f>+IFERROR(VLOOKUP(C763,'CA FE'!$A:$C,3,0),0)+G763</f>
        <v>0</v>
      </c>
      <c r="S763" s="807">
        <f t="shared" si="46"/>
        <v>2499618130</v>
      </c>
    </row>
    <row r="764" spans="1:20">
      <c r="A764" s="354" t="s">
        <v>193</v>
      </c>
      <c r="B764" s="354" t="s">
        <v>881</v>
      </c>
      <c r="C764" s="355">
        <v>2130311302</v>
      </c>
      <c r="D764" s="354" t="s">
        <v>888</v>
      </c>
      <c r="E764" s="356" t="s">
        <v>640</v>
      </c>
      <c r="F764" s="356" t="str">
        <f t="shared" si="45"/>
        <v>I</v>
      </c>
      <c r="G764" s="28">
        <f>+IF(F764="i",IFERROR(VLOOKUP(C764,'BG 12.2024'!$B:$E,3,FALSE),0),0)</f>
        <v>9878260678</v>
      </c>
      <c r="H764" s="21">
        <f>+IF(F764="i",IFERROR(VLOOKUP(C764,'BG 12.2024'!$B:$E,4,FALSE),0),0)</f>
        <v>1261388.42</v>
      </c>
      <c r="I764" s="21"/>
      <c r="J764" s="28">
        <f>+IF(F764="i",IFERROR(VLOOKUP(C764,'BG 2023'!$B:$E,3,FALSE),0),0)</f>
        <v>7638007080</v>
      </c>
      <c r="K764" s="21">
        <f>+IF(F764="i",IFERROR(VLOOKUP(C764,'BG 2023'!$B:$E,4,FALSE),0),0)</f>
        <v>1048655.3499999996</v>
      </c>
      <c r="M764" s="15">
        <f>+VLOOKUP(C764,'BG 2023'!$B:$E,1,0)</f>
        <v>2130311302</v>
      </c>
      <c r="N764" s="806">
        <f>+VLOOKUP(C764,'BG 2023'!$B:$E,3,0)</f>
        <v>7638007080</v>
      </c>
      <c r="O764" s="807">
        <f t="shared" si="44"/>
        <v>-2240253598</v>
      </c>
      <c r="P764" s="807"/>
      <c r="R764" s="807">
        <f>+IFERROR(VLOOKUP(C764,'CA FE'!$A:$C,3,0),0)+G764</f>
        <v>0</v>
      </c>
      <c r="S764" s="807">
        <f t="shared" si="46"/>
        <v>2240253598</v>
      </c>
    </row>
    <row r="765" spans="1:20">
      <c r="A765" s="354" t="s">
        <v>193</v>
      </c>
      <c r="B765" s="1210" t="s">
        <v>881</v>
      </c>
      <c r="C765" s="355">
        <v>2130311303</v>
      </c>
      <c r="D765" s="354" t="s">
        <v>889</v>
      </c>
      <c r="E765" s="356" t="s">
        <v>634</v>
      </c>
      <c r="F765" s="356" t="str">
        <f t="shared" si="45"/>
        <v>I</v>
      </c>
      <c r="G765" s="28">
        <f>+IF(F765="i",IFERROR(VLOOKUP(C765,'BG 12.2024'!$B:$E,3,FALSE),0),0)</f>
        <v>982739727</v>
      </c>
      <c r="H765" s="21">
        <f>+IF(F765="i",IFERROR(VLOOKUP(C765,'BG 12.2024'!$B:$E,4,FALSE),0),0)</f>
        <v>125489.35000000009</v>
      </c>
      <c r="I765" s="21"/>
      <c r="J765" s="28">
        <f>+IF(F765="i",IFERROR(VLOOKUP(C765,'BG 2023'!$B:$E,3,FALSE),0),0)</f>
        <v>0</v>
      </c>
      <c r="K765" s="21">
        <f>+IF(F765="i",IFERROR(VLOOKUP(C765,'BG 2023'!$B:$E,4,FALSE),0),0)</f>
        <v>0</v>
      </c>
      <c r="M765" s="15" t="e">
        <f>+VLOOKUP(C765,'BG 2023'!$B:$E,1,0)</f>
        <v>#N/A</v>
      </c>
      <c r="N765" s="806" t="e">
        <f>+VLOOKUP(C765,'BG 2023'!$B:$E,3,0)</f>
        <v>#N/A</v>
      </c>
      <c r="O765" s="807" t="e">
        <f t="shared" si="44"/>
        <v>#N/A</v>
      </c>
      <c r="P765" s="807"/>
      <c r="R765" s="807">
        <f>+IFERROR(VLOOKUP(C765,'CA FE'!$A:$C,3,0),0)+G765</f>
        <v>0</v>
      </c>
      <c r="S765" s="807">
        <f t="shared" si="46"/>
        <v>982739727</v>
      </c>
    </row>
    <row r="766" spans="1:20">
      <c r="A766" s="354" t="s">
        <v>193</v>
      </c>
      <c r="B766" s="354"/>
      <c r="C766" s="355">
        <v>2130311304</v>
      </c>
      <c r="D766" s="354" t="s">
        <v>890</v>
      </c>
      <c r="E766" s="356" t="s">
        <v>634</v>
      </c>
      <c r="F766" s="356" t="str">
        <f t="shared" si="45"/>
        <v>I</v>
      </c>
      <c r="G766" s="28">
        <f>+IF(F766="i",IFERROR(VLOOKUP(C766,'BG 12.2024'!$B:$E,3,FALSE),0),0)</f>
        <v>0</v>
      </c>
      <c r="H766" s="21">
        <f>+IF(F766="i",IFERROR(VLOOKUP(C766,'BG 12.2024'!$B:$E,4,FALSE),0),0)</f>
        <v>0</v>
      </c>
      <c r="I766" s="21"/>
      <c r="J766" s="28">
        <f>+IF(F766="i",IFERROR(VLOOKUP(C766,'BG 2023'!$B:$E,3,FALSE),0),0)</f>
        <v>0</v>
      </c>
      <c r="K766" s="21">
        <f>+IF(F766="i",IFERROR(VLOOKUP(C766,'BG 2023'!$B:$E,4,FALSE),0),0)</f>
        <v>0</v>
      </c>
      <c r="M766" s="15" t="e">
        <f>+VLOOKUP(C766,'BG 2023'!$B:$E,1,0)</f>
        <v>#N/A</v>
      </c>
      <c r="N766" s="806" t="e">
        <f>+VLOOKUP(C766,'BG 2023'!$B:$E,3,0)</f>
        <v>#N/A</v>
      </c>
      <c r="O766" s="807" t="e">
        <f t="shared" si="44"/>
        <v>#N/A</v>
      </c>
      <c r="P766" s="807"/>
      <c r="R766" s="807">
        <f>+IFERROR(VLOOKUP(C766,'CA FE'!$A:$C,3,0),0)+G766</f>
        <v>0</v>
      </c>
      <c r="S766" s="807">
        <f t="shared" si="46"/>
        <v>0</v>
      </c>
    </row>
    <row r="767" spans="1:20">
      <c r="A767" s="354" t="s">
        <v>193</v>
      </c>
      <c r="B767" s="354"/>
      <c r="C767" s="355">
        <v>21305</v>
      </c>
      <c r="D767" s="354" t="s">
        <v>588</v>
      </c>
      <c r="E767" s="356" t="s">
        <v>634</v>
      </c>
      <c r="F767" s="356" t="str">
        <f t="shared" ref="F767:F789" si="50">+IF(LEN(C767)&gt;8,"I","NI")</f>
        <v>NI</v>
      </c>
      <c r="G767" s="28">
        <f>+IF(F767="i",IFERROR(VLOOKUP(C767,'BG 12.2024'!$B:$E,3,FALSE),0),0)</f>
        <v>0</v>
      </c>
      <c r="H767" s="21">
        <f>+IF(F767="i",IFERROR(VLOOKUP(C767,'BG 12.2024'!$B:$E,4,FALSE),0),0)</f>
        <v>0</v>
      </c>
      <c r="I767" s="21"/>
      <c r="J767" s="28"/>
      <c r="K767" s="21"/>
      <c r="N767" s="806"/>
      <c r="O767" s="807"/>
      <c r="P767" s="807"/>
      <c r="R767" s="807">
        <f>+IFERROR(VLOOKUP(C767,'CA FE'!$A:$C,3,0),0)+G767</f>
        <v>0</v>
      </c>
      <c r="S767" s="807"/>
    </row>
    <row r="768" spans="1:20">
      <c r="A768" s="354" t="s">
        <v>193</v>
      </c>
      <c r="B768" s="354"/>
      <c r="C768" s="355">
        <v>213050</v>
      </c>
      <c r="D768" s="354" t="s">
        <v>589</v>
      </c>
      <c r="E768" s="356" t="s">
        <v>634</v>
      </c>
      <c r="F768" s="356" t="str">
        <f t="shared" si="50"/>
        <v>NI</v>
      </c>
      <c r="G768" s="28">
        <f>+IF(F768="i",IFERROR(VLOOKUP(C768,'BG 12.2024'!$B:$E,3,FALSE),0),0)</f>
        <v>0</v>
      </c>
      <c r="H768" s="21">
        <f>+IF(F768="i",IFERROR(VLOOKUP(C768,'BG 12.2024'!$B:$E,4,FALSE),0),0)</f>
        <v>0</v>
      </c>
      <c r="I768" s="21"/>
      <c r="J768" s="28"/>
      <c r="K768" s="21"/>
      <c r="N768" s="806"/>
      <c r="O768" s="807"/>
      <c r="P768" s="807"/>
      <c r="R768" s="807">
        <f>+IFERROR(VLOOKUP(C768,'CA FE'!$A:$C,3,0),0)+G768</f>
        <v>0</v>
      </c>
      <c r="S768" s="807"/>
    </row>
    <row r="769" spans="1:19">
      <c r="A769" s="354" t="s">
        <v>193</v>
      </c>
      <c r="B769" s="354"/>
      <c r="C769" s="355">
        <v>2130501</v>
      </c>
      <c r="D769" s="354" t="s">
        <v>71</v>
      </c>
      <c r="E769" s="356" t="s">
        <v>634</v>
      </c>
      <c r="F769" s="356" t="str">
        <f t="shared" si="50"/>
        <v>NI</v>
      </c>
      <c r="G769" s="28">
        <f>+IF(F769="i",IFERROR(VLOOKUP(C769,'BG 12.2024'!$B:$E,3,FALSE),0),0)</f>
        <v>0</v>
      </c>
      <c r="H769" s="21">
        <f>+IF(F769="i",IFERROR(VLOOKUP(C769,'BG 12.2024'!$B:$E,4,FALSE),0),0)</f>
        <v>0</v>
      </c>
      <c r="I769" s="21"/>
      <c r="J769" s="28"/>
      <c r="K769" s="21"/>
      <c r="N769" s="806"/>
      <c r="O769" s="807"/>
      <c r="P769" s="807"/>
      <c r="R769" s="807">
        <f>+IFERROR(VLOOKUP(C769,'CA FE'!$A:$C,3,0),0)+G769</f>
        <v>0</v>
      </c>
      <c r="S769" s="807"/>
    </row>
    <row r="770" spans="1:19">
      <c r="A770" s="354" t="s">
        <v>193</v>
      </c>
      <c r="B770" s="354"/>
      <c r="C770" s="355">
        <v>21305011</v>
      </c>
      <c r="D770" s="354" t="s">
        <v>72</v>
      </c>
      <c r="E770" s="356" t="s">
        <v>634</v>
      </c>
      <c r="F770" s="356" t="str">
        <f t="shared" si="50"/>
        <v>NI</v>
      </c>
      <c r="G770" s="28">
        <f>+IF(F770="i",IFERROR(VLOOKUP(C770,'BG 12.2024'!$B:$E,3,FALSE),0),0)</f>
        <v>0</v>
      </c>
      <c r="H770" s="21">
        <f>+IF(F770="i",IFERROR(VLOOKUP(C770,'BG 12.2024'!$B:$E,4,FALSE),0),0)</f>
        <v>0</v>
      </c>
      <c r="I770" s="21"/>
      <c r="J770" s="28"/>
      <c r="K770" s="21"/>
      <c r="N770" s="806"/>
      <c r="O770" s="807"/>
      <c r="P770" s="807"/>
      <c r="R770" s="807">
        <f>+IFERROR(VLOOKUP(C770,'CA FE'!$A:$C,3,0),0)+G770</f>
        <v>0</v>
      </c>
      <c r="S770" s="807"/>
    </row>
    <row r="771" spans="1:19">
      <c r="A771" s="354" t="s">
        <v>193</v>
      </c>
      <c r="B771" s="1210" t="s">
        <v>703</v>
      </c>
      <c r="C771" s="355">
        <v>2130501101</v>
      </c>
      <c r="D771" s="354" t="s">
        <v>73</v>
      </c>
      <c r="E771" s="356" t="s">
        <v>634</v>
      </c>
      <c r="F771" s="356" t="str">
        <f t="shared" si="50"/>
        <v>I</v>
      </c>
      <c r="G771" s="28">
        <f>+IF(F771="i",IFERROR(VLOOKUP(C771,'BG 12.2024'!$B:$E,3,FALSE),0),0)</f>
        <v>1681407</v>
      </c>
      <c r="H771" s="21">
        <f>+IF(F771="i",IFERROR(VLOOKUP(C771,'BG 12.2024'!$B:$E,4,FALSE),0),0)</f>
        <v>214.7</v>
      </c>
      <c r="I771" s="21"/>
      <c r="J771" s="28"/>
      <c r="K771" s="21"/>
      <c r="N771" s="806"/>
      <c r="O771" s="807"/>
      <c r="P771" s="807"/>
      <c r="R771" s="807">
        <f>+IFERROR(VLOOKUP(C771,'CA FE'!$A:$C,3,0),0)+G771</f>
        <v>0</v>
      </c>
      <c r="S771" s="807"/>
    </row>
    <row r="772" spans="1:19">
      <c r="A772" s="354" t="s">
        <v>193</v>
      </c>
      <c r="B772" s="1210" t="s">
        <v>703</v>
      </c>
      <c r="C772" s="1347">
        <v>2130501104</v>
      </c>
      <c r="D772" s="1348" t="s">
        <v>527</v>
      </c>
      <c r="E772" s="356" t="s">
        <v>640</v>
      </c>
      <c r="F772" s="356" t="str">
        <f t="shared" ref="F772:F773" si="51">+IF(LEN(C772)&gt;8,"I","NI")</f>
        <v>I</v>
      </c>
      <c r="G772" s="28">
        <f>+IF(F772="i",IFERROR(VLOOKUP(C772,'BG 12.2024'!$B:$E,3,FALSE),0),0)</f>
        <v>313877</v>
      </c>
      <c r="H772" s="21">
        <f>+IF(F772="i",IFERROR(VLOOKUP(C772,'BG 12.2024'!$B:$E,4,FALSE),0),0)</f>
        <v>40.08</v>
      </c>
      <c r="I772" s="21"/>
      <c r="J772" s="28"/>
      <c r="K772" s="21"/>
      <c r="N772" s="806"/>
      <c r="O772" s="807"/>
      <c r="P772" s="807"/>
      <c r="R772" s="807">
        <f>+IFERROR(VLOOKUP(C772,'CA FE'!$A:$C,3,0),0)+G772</f>
        <v>0</v>
      </c>
      <c r="S772" s="807"/>
    </row>
    <row r="773" spans="1:19">
      <c r="A773" s="354" t="s">
        <v>193</v>
      </c>
      <c r="B773" s="354" t="s">
        <v>703</v>
      </c>
      <c r="C773" s="355">
        <v>2130501105</v>
      </c>
      <c r="D773" s="354" t="s">
        <v>74</v>
      </c>
      <c r="E773" s="356" t="s">
        <v>634</v>
      </c>
      <c r="F773" s="356" t="str">
        <f t="shared" si="51"/>
        <v>I</v>
      </c>
      <c r="G773" s="28">
        <f>+IF(F773="i",IFERROR(VLOOKUP(C773,'BG 12.2024'!$B:$E,3,FALSE),0),0)</f>
        <v>4448524</v>
      </c>
      <c r="H773" s="21">
        <f>+IF(F773="i",IFERROR(VLOOKUP(C773,'BG 12.2024'!$B:$E,4,FALSE),0),0)</f>
        <v>568.04999999999995</v>
      </c>
      <c r="I773" s="21"/>
      <c r="J773" s="28"/>
      <c r="K773" s="21"/>
      <c r="N773" s="806"/>
      <c r="O773" s="807"/>
      <c r="P773" s="807"/>
      <c r="R773" s="807">
        <f>+IFERROR(VLOOKUP(C773,'CA FE'!$A:$C,3,0),0)+G773</f>
        <v>0</v>
      </c>
      <c r="S773" s="807"/>
    </row>
    <row r="774" spans="1:19">
      <c r="A774" s="354" t="s">
        <v>193</v>
      </c>
      <c r="B774" s="354" t="s">
        <v>703</v>
      </c>
      <c r="C774" s="1347">
        <v>2130501107</v>
      </c>
      <c r="D774" s="1348" t="s">
        <v>707</v>
      </c>
      <c r="E774" s="356" t="s">
        <v>634</v>
      </c>
      <c r="F774" s="356" t="str">
        <f t="shared" si="50"/>
        <v>I</v>
      </c>
      <c r="G774" s="28">
        <f>+IF(F774="i",IFERROR(VLOOKUP(C774,'BG 12.2024'!$B:$E,3,FALSE),0),0)</f>
        <v>2455889</v>
      </c>
      <c r="H774" s="21">
        <f>+IF(F774="i",IFERROR(VLOOKUP(C774,'BG 12.2024'!$B:$E,4,FALSE),0),0)</f>
        <v>313.60000000000002</v>
      </c>
      <c r="I774" s="21"/>
      <c r="J774" s="28"/>
      <c r="K774" s="21"/>
      <c r="N774" s="806"/>
      <c r="O774" s="807"/>
      <c r="P774" s="807"/>
      <c r="R774" s="807">
        <f>+IFERROR(VLOOKUP(C774,'CA FE'!$A:$C,3,0),0)+G774</f>
        <v>0</v>
      </c>
      <c r="S774" s="807"/>
    </row>
    <row r="775" spans="1:19">
      <c r="A775" s="354" t="s">
        <v>193</v>
      </c>
      <c r="B775" s="354" t="s">
        <v>703</v>
      </c>
      <c r="C775" s="355">
        <v>2130501109</v>
      </c>
      <c r="D775" s="354" t="s">
        <v>76</v>
      </c>
      <c r="E775" s="356" t="s">
        <v>634</v>
      </c>
      <c r="F775" s="356" t="str">
        <f t="shared" si="50"/>
        <v>I</v>
      </c>
      <c r="G775" s="28">
        <f>+IF(F775="i",IFERROR(VLOOKUP(C775,'BG 12.2024'!$B:$E,3,FALSE),0),0)</f>
        <v>0</v>
      </c>
      <c r="H775" s="21">
        <f>+IF(F775="i",IFERROR(VLOOKUP(C775,'BG 12.2024'!$B:$E,4,FALSE),0),0)</f>
        <v>0</v>
      </c>
      <c r="I775" s="21"/>
      <c r="J775" s="28"/>
      <c r="K775" s="21"/>
      <c r="N775" s="806"/>
      <c r="O775" s="807"/>
      <c r="P775" s="807"/>
      <c r="R775" s="807">
        <f>+IFERROR(VLOOKUP(C775,'CA FE'!$A:$C,3,0),0)+G775</f>
        <v>0</v>
      </c>
      <c r="S775" s="807"/>
    </row>
    <row r="776" spans="1:19">
      <c r="A776" s="354" t="s">
        <v>193</v>
      </c>
      <c r="B776" s="354" t="s">
        <v>703</v>
      </c>
      <c r="C776" s="355">
        <v>2130501111</v>
      </c>
      <c r="D776" s="354" t="s">
        <v>77</v>
      </c>
      <c r="E776" s="356" t="s">
        <v>634</v>
      </c>
      <c r="F776" s="356" t="str">
        <f t="shared" si="50"/>
        <v>I</v>
      </c>
      <c r="G776" s="28">
        <f>+IF(F776="i",IFERROR(VLOOKUP(C776,'BG 12.2024'!$B:$E,3,FALSE),0),0)</f>
        <v>105440315</v>
      </c>
      <c r="H776" s="21">
        <f>+IF(F776="i",IFERROR(VLOOKUP(C776,'BG 12.2024'!$B:$E,4,FALSE),0),0)</f>
        <v>13464.029999999999</v>
      </c>
      <c r="I776" s="21"/>
      <c r="J776" s="28"/>
      <c r="K776" s="21"/>
      <c r="N776" s="806"/>
      <c r="O776" s="807"/>
      <c r="P776" s="807"/>
      <c r="R776" s="807">
        <f>+IFERROR(VLOOKUP(C776,'CA FE'!$A:$C,3,0),0)+G776</f>
        <v>0</v>
      </c>
      <c r="S776" s="807"/>
    </row>
    <row r="777" spans="1:19">
      <c r="A777" s="354" t="s">
        <v>193</v>
      </c>
      <c r="B777" s="1210" t="s">
        <v>703</v>
      </c>
      <c r="C777" s="355">
        <v>2130501112</v>
      </c>
      <c r="D777" s="354" t="s">
        <v>704</v>
      </c>
      <c r="E777" s="356" t="s">
        <v>640</v>
      </c>
      <c r="F777" s="356" t="str">
        <f t="shared" ref="F777" si="52">+IF(LEN(C777)&gt;8,"I","NI")</f>
        <v>I</v>
      </c>
      <c r="G777" s="28">
        <f>+IF(F777="i",IFERROR(VLOOKUP(C777,'BG 12.2024'!$B:$E,3,FALSE),0),0)</f>
        <v>0</v>
      </c>
      <c r="H777" s="21">
        <f>+IF(F777="i",IFERROR(VLOOKUP(C777,'BG 12.2024'!$B:$E,4,FALSE),0),0)</f>
        <v>0</v>
      </c>
      <c r="I777" s="21"/>
      <c r="J777" s="28"/>
      <c r="K777" s="21"/>
      <c r="N777" s="806"/>
      <c r="O777" s="807"/>
      <c r="P777" s="807"/>
      <c r="R777" s="807">
        <f>+IFERROR(VLOOKUP(C777,'CA FE'!$A:$C,3,0),0)+G777</f>
        <v>0</v>
      </c>
      <c r="S777" s="807"/>
    </row>
    <row r="778" spans="1:19">
      <c r="A778" s="354" t="s">
        <v>193</v>
      </c>
      <c r="B778" s="1210" t="s">
        <v>703</v>
      </c>
      <c r="C778" s="1347">
        <v>2130501117</v>
      </c>
      <c r="D778" s="1348" t="s">
        <v>78</v>
      </c>
      <c r="E778" s="356" t="s">
        <v>640</v>
      </c>
      <c r="F778" s="356" t="str">
        <f t="shared" ref="F778" si="53">+IF(LEN(C778)&gt;8,"I","NI")</f>
        <v>I</v>
      </c>
      <c r="G778" s="28">
        <f>+IF(F778="i",IFERROR(VLOOKUP(C778,'BG 12.2024'!$B:$E,3,FALSE),0),0)</f>
        <v>59628</v>
      </c>
      <c r="H778" s="21">
        <f>+IF(F778="i",IFERROR(VLOOKUP(C778,'BG 12.2024'!$B:$E,4,FALSE),0),0)</f>
        <v>7.61</v>
      </c>
      <c r="I778" s="21"/>
      <c r="J778" s="28"/>
      <c r="K778" s="21"/>
      <c r="N778" s="806"/>
      <c r="O778" s="807"/>
      <c r="P778" s="807"/>
      <c r="R778" s="807">
        <f>+IFERROR(VLOOKUP(C778,'CA FE'!$A:$C,3,0),0)+G778</f>
        <v>0</v>
      </c>
      <c r="S778" s="807"/>
    </row>
    <row r="779" spans="1:19">
      <c r="A779" s="354" t="s">
        <v>193</v>
      </c>
      <c r="B779" s="354" t="s">
        <v>703</v>
      </c>
      <c r="C779" s="355">
        <v>2130501121</v>
      </c>
      <c r="D779" s="354" t="s">
        <v>528</v>
      </c>
      <c r="E779" s="356" t="s">
        <v>634</v>
      </c>
      <c r="F779" s="356" t="str">
        <f t="shared" si="50"/>
        <v>I</v>
      </c>
      <c r="G779" s="28">
        <f>+IF(F779="i",IFERROR(VLOOKUP(C779,'BG 12.2024'!$B:$E,3,FALSE),0),0)</f>
        <v>3806204</v>
      </c>
      <c r="H779" s="21">
        <f>+IF(F779="i",IFERROR(VLOOKUP(C779,'BG 12.2024'!$B:$E,4,FALSE),0),0)</f>
        <v>486.03</v>
      </c>
      <c r="I779" s="21"/>
      <c r="J779" s="28"/>
      <c r="K779" s="21"/>
      <c r="N779" s="806"/>
      <c r="O779" s="807"/>
      <c r="P779" s="807"/>
      <c r="R779" s="807">
        <f>+IFERROR(VLOOKUP(C779,'CA FE'!$A:$C,3,0),0)+G779</f>
        <v>0</v>
      </c>
      <c r="S779" s="807"/>
    </row>
    <row r="780" spans="1:19">
      <c r="A780" s="354" t="s">
        <v>193</v>
      </c>
      <c r="B780" s="354" t="s">
        <v>703</v>
      </c>
      <c r="C780" s="355">
        <v>2130501123</v>
      </c>
      <c r="D780" s="354" t="s">
        <v>146</v>
      </c>
      <c r="E780" s="356" t="s">
        <v>634</v>
      </c>
      <c r="F780" s="356" t="str">
        <f t="shared" si="50"/>
        <v>I</v>
      </c>
      <c r="G780" s="28">
        <f>+IF(F780="i",IFERROR(VLOOKUP(C780,'BG 12.2024'!$B:$E,3,FALSE),0),0)</f>
        <v>0</v>
      </c>
      <c r="H780" s="21">
        <f>+IF(F780="i",IFERROR(VLOOKUP(C780,'BG 12.2024'!$B:$E,4,FALSE),0),0)</f>
        <v>0</v>
      </c>
      <c r="I780" s="21"/>
      <c r="J780" s="28"/>
      <c r="K780" s="21"/>
      <c r="N780" s="806"/>
      <c r="O780" s="807"/>
      <c r="P780" s="807"/>
      <c r="R780" s="807">
        <f>+IFERROR(VLOOKUP(C780,'CA FE'!$A:$C,3,0),0)+G780</f>
        <v>0</v>
      </c>
      <c r="S780" s="807"/>
    </row>
    <row r="781" spans="1:19">
      <c r="A781" s="354" t="s">
        <v>193</v>
      </c>
      <c r="B781" s="354" t="s">
        <v>808</v>
      </c>
      <c r="C781" s="355">
        <v>21305012</v>
      </c>
      <c r="D781" s="354" t="s">
        <v>142</v>
      </c>
      <c r="E781" s="356" t="s">
        <v>634</v>
      </c>
      <c r="F781" s="356" t="str">
        <f t="shared" si="50"/>
        <v>NI</v>
      </c>
      <c r="G781" s="28">
        <f>+IF(F781="i",IFERROR(VLOOKUP(C781,'BG 12.2024'!$B:$E,3,FALSE),0),0)</f>
        <v>0</v>
      </c>
      <c r="H781" s="21">
        <f>+IF(F781="i",IFERROR(VLOOKUP(C781,'BG 12.2024'!$B:$E,4,FALSE),0),0)</f>
        <v>0</v>
      </c>
      <c r="I781" s="21"/>
      <c r="J781" s="28"/>
      <c r="K781" s="21"/>
      <c r="N781" s="806"/>
      <c r="O781" s="807"/>
      <c r="P781" s="807"/>
      <c r="R781" s="807">
        <f>+IFERROR(VLOOKUP(C781,'CA FE'!$A:$C,3,0),0)+G781</f>
        <v>0</v>
      </c>
      <c r="S781" s="807"/>
    </row>
    <row r="782" spans="1:19">
      <c r="A782" s="354" t="s">
        <v>193</v>
      </c>
      <c r="B782" s="354" t="s">
        <v>808</v>
      </c>
      <c r="C782" s="355">
        <v>2130501202</v>
      </c>
      <c r="D782" s="354" t="s">
        <v>143</v>
      </c>
      <c r="E782" s="356" t="s">
        <v>634</v>
      </c>
      <c r="F782" s="356" t="str">
        <f t="shared" si="50"/>
        <v>I</v>
      </c>
      <c r="G782" s="28">
        <f>+IF(F782="i",IFERROR(VLOOKUP(C782,'BG 12.2024'!$B:$E,3,FALSE),0),0)</f>
        <v>2634639</v>
      </c>
      <c r="H782" s="21">
        <f>+IF(F782="i",IFERROR(VLOOKUP(C782,'BG 12.2024'!$B:$E,4,FALSE),0),0)</f>
        <v>336.43000000000006</v>
      </c>
      <c r="I782" s="21"/>
      <c r="J782" s="28"/>
      <c r="K782" s="21"/>
      <c r="N782" s="806"/>
      <c r="O782" s="807"/>
      <c r="P782" s="807"/>
      <c r="R782" s="807">
        <f>+IFERROR(VLOOKUP(C782,'CA FE'!$A:$C,3,0),0)+G782</f>
        <v>0</v>
      </c>
      <c r="S782" s="807"/>
    </row>
    <row r="783" spans="1:19">
      <c r="A783" s="354" t="s">
        <v>193</v>
      </c>
      <c r="B783" s="1210" t="s">
        <v>808</v>
      </c>
      <c r="C783" s="355">
        <v>2130501203</v>
      </c>
      <c r="D783" s="354" t="s">
        <v>2709</v>
      </c>
      <c r="E783" s="356" t="s">
        <v>634</v>
      </c>
      <c r="F783" s="356" t="str">
        <f t="shared" ref="F783" si="54">+IF(LEN(C783)&gt;8,"I","NI")</f>
        <v>I</v>
      </c>
      <c r="G783" s="28">
        <f>+IF(F783="i",IFERROR(VLOOKUP(C783,'BG 12.2024'!$B:$E,3,FALSE),0),0)</f>
        <v>20043236</v>
      </c>
      <c r="H783" s="21">
        <f>+IF(F783="i",IFERROR(VLOOKUP(C783,'BG 12.2024'!$B:$E,4,FALSE),0),0)</f>
        <v>2559.3900000000003</v>
      </c>
      <c r="I783" s="21"/>
      <c r="J783" s="28"/>
      <c r="K783" s="21"/>
      <c r="N783" s="806"/>
      <c r="O783" s="807"/>
      <c r="P783" s="807"/>
      <c r="R783" s="807">
        <f>+IFERROR(VLOOKUP(C783,'CA FE'!$A:$C,3,0),0)+G783</f>
        <v>0</v>
      </c>
      <c r="S783" s="807"/>
    </row>
    <row r="784" spans="1:19">
      <c r="A784" s="354" t="s">
        <v>193</v>
      </c>
      <c r="B784" s="354" t="s">
        <v>808</v>
      </c>
      <c r="C784" s="355">
        <v>2130501204</v>
      </c>
      <c r="D784" s="354" t="s">
        <v>144</v>
      </c>
      <c r="E784" s="356" t="s">
        <v>634</v>
      </c>
      <c r="F784" s="356" t="str">
        <f t="shared" si="50"/>
        <v>I</v>
      </c>
      <c r="G784" s="28">
        <f>+IF(F784="i",IFERROR(VLOOKUP(C784,'BG 12.2024'!$B:$E,3,FALSE),0),0)</f>
        <v>0</v>
      </c>
      <c r="H784" s="21">
        <f>+IF(F784="i",IFERROR(VLOOKUP(C784,'BG 12.2024'!$B:$E,4,FALSE),0),0)</f>
        <v>0</v>
      </c>
      <c r="I784" s="21"/>
      <c r="J784" s="28"/>
      <c r="K784" s="21"/>
      <c r="N784" s="806"/>
      <c r="O784" s="807"/>
      <c r="P784" s="807"/>
      <c r="R784" s="807">
        <f>+IFERROR(VLOOKUP(C784,'CA FE'!$A:$C,3,0),0)+G784</f>
        <v>0</v>
      </c>
      <c r="S784" s="807"/>
    </row>
    <row r="785" spans="1:19">
      <c r="A785" s="354" t="s">
        <v>193</v>
      </c>
      <c r="B785" s="354" t="s">
        <v>808</v>
      </c>
      <c r="C785" s="355">
        <v>2130501205</v>
      </c>
      <c r="D785" s="354" t="s">
        <v>590</v>
      </c>
      <c r="E785" s="356" t="s">
        <v>634</v>
      </c>
      <c r="F785" s="356" t="str">
        <f t="shared" si="50"/>
        <v>I</v>
      </c>
      <c r="G785" s="28">
        <f>+IF(F785="i",IFERROR(VLOOKUP(C785,'BG 12.2024'!$B:$E,3,FALSE),0),0)</f>
        <v>20691170</v>
      </c>
      <c r="H785" s="21">
        <f>+IF(F785="i",IFERROR(VLOOKUP(C785,'BG 12.2024'!$B:$E,4,FALSE),0),0)</f>
        <v>2642.130000000001</v>
      </c>
      <c r="I785" s="21"/>
      <c r="J785" s="28"/>
      <c r="K785" s="21"/>
      <c r="N785" s="806"/>
      <c r="O785" s="807"/>
      <c r="P785" s="807"/>
      <c r="R785" s="807">
        <f>+IFERROR(VLOOKUP(C785,'CA FE'!$A:$C,3,0),0)+G785</f>
        <v>0</v>
      </c>
      <c r="S785" s="807"/>
    </row>
    <row r="786" spans="1:19">
      <c r="A786" s="354" t="s">
        <v>193</v>
      </c>
      <c r="B786" s="1210" t="s">
        <v>808</v>
      </c>
      <c r="C786" s="355">
        <v>2130501207</v>
      </c>
      <c r="D786" s="354" t="s">
        <v>146</v>
      </c>
      <c r="E786" s="356" t="s">
        <v>634</v>
      </c>
      <c r="F786" s="356" t="str">
        <f t="shared" ref="F786" si="55">+IF(LEN(C786)&gt;8,"I","NI")</f>
        <v>I</v>
      </c>
      <c r="G786" s="28">
        <f>+IF(F786="i",IFERROR(VLOOKUP(C786,'BG 12.2024'!$B:$E,3,FALSE),0),0)</f>
        <v>19400613</v>
      </c>
      <c r="H786" s="21">
        <f>+IF(F786="i",IFERROR(VLOOKUP(C786,'BG 12.2024'!$B:$E,4,FALSE),0),0)</f>
        <v>2477.3300000000017</v>
      </c>
      <c r="I786" s="21"/>
      <c r="J786" s="28"/>
      <c r="K786" s="21"/>
      <c r="N786" s="806"/>
      <c r="O786" s="807"/>
      <c r="P786" s="807"/>
      <c r="R786" s="807">
        <f>+IFERROR(VLOOKUP(C786,'CA FE'!$A:$C,3,0),0)+G786</f>
        <v>0</v>
      </c>
      <c r="S786" s="807"/>
    </row>
    <row r="787" spans="1:19">
      <c r="A787" s="354" t="s">
        <v>193</v>
      </c>
      <c r="B787" s="354"/>
      <c r="C787" s="355">
        <v>21305013</v>
      </c>
      <c r="D787" s="354" t="s">
        <v>121</v>
      </c>
      <c r="E787" s="356" t="s">
        <v>634</v>
      </c>
      <c r="F787" s="356" t="str">
        <f t="shared" si="50"/>
        <v>NI</v>
      </c>
      <c r="G787" s="28">
        <f>+IF(F787="i",IFERROR(VLOOKUP(C787,'BG 12.2024'!$B:$E,3,FALSE),0),0)</f>
        <v>0</v>
      </c>
      <c r="H787" s="21">
        <f>+IF(F787="i",IFERROR(VLOOKUP(C787,'BG 12.2024'!$B:$E,4,FALSE),0),0)</f>
        <v>0</v>
      </c>
      <c r="I787" s="21"/>
      <c r="J787" s="28"/>
      <c r="K787" s="21"/>
      <c r="N787" s="806"/>
      <c r="O787" s="807"/>
      <c r="P787" s="807"/>
      <c r="R787" s="807">
        <f>+IFERROR(VLOOKUP(C787,'CA FE'!$A:$C,3,0),0)+G787</f>
        <v>0</v>
      </c>
      <c r="S787" s="807"/>
    </row>
    <row r="788" spans="1:19">
      <c r="A788" s="354" t="s">
        <v>193</v>
      </c>
      <c r="B788" s="354" t="s">
        <v>802</v>
      </c>
      <c r="C788" s="355">
        <v>2130501302</v>
      </c>
      <c r="D788" s="354" t="s">
        <v>122</v>
      </c>
      <c r="E788" s="356" t="s">
        <v>640</v>
      </c>
      <c r="F788" s="356" t="str">
        <f t="shared" ref="F788" si="56">+IF(LEN(C788)&gt;8,"I","NI")</f>
        <v>I</v>
      </c>
      <c r="G788" s="28">
        <f>+IF(F788="i",IFERROR(VLOOKUP(C788,'BG 12.2024'!$B:$E,3,FALSE),0),0)</f>
        <v>2114</v>
      </c>
      <c r="H788" s="21">
        <f>+IF(F788="i",IFERROR(VLOOKUP(C788,'BG 12.2024'!$B:$E,4,FALSE),0),0)</f>
        <v>0.27</v>
      </c>
      <c r="I788" s="21"/>
      <c r="J788" s="28"/>
      <c r="K788" s="21"/>
      <c r="N788" s="806"/>
      <c r="O788" s="807"/>
      <c r="P788" s="807"/>
      <c r="R788" s="807">
        <f>+IFERROR(VLOOKUP(C788,'CA FE'!$A:$C,3,0),0)+G788</f>
        <v>0</v>
      </c>
      <c r="S788" s="807"/>
    </row>
    <row r="789" spans="1:19">
      <c r="A789" s="354" t="s">
        <v>193</v>
      </c>
      <c r="B789" s="354" t="s">
        <v>802</v>
      </c>
      <c r="C789" s="1347">
        <v>2130501303</v>
      </c>
      <c r="D789" s="1348" t="s">
        <v>801</v>
      </c>
      <c r="E789" s="356" t="s">
        <v>634</v>
      </c>
      <c r="F789" s="356" t="str">
        <f t="shared" si="50"/>
        <v>I</v>
      </c>
      <c r="G789" s="28">
        <f>+IF(F789="i",IFERROR(VLOOKUP(C789,'BG 12.2024'!$B:$E,3,FALSE),0),0)</f>
        <v>7612427</v>
      </c>
      <c r="H789" s="21">
        <f>+IF(F789="i",IFERROR(VLOOKUP(C789,'BG 12.2024'!$B:$E,4,FALSE),0),0)</f>
        <v>972.06</v>
      </c>
      <c r="I789" s="21"/>
      <c r="J789" s="28"/>
      <c r="K789" s="21"/>
      <c r="N789" s="806"/>
      <c r="O789" s="807"/>
      <c r="P789" s="807"/>
      <c r="R789" s="807">
        <f>+IFERROR(VLOOKUP(C789,'CA FE'!$A:$C,3,0),0)+G789</f>
        <v>0</v>
      </c>
      <c r="S789" s="807"/>
    </row>
    <row r="790" spans="1:19">
      <c r="A790" s="354" t="s">
        <v>193</v>
      </c>
      <c r="B790" s="354"/>
      <c r="C790" s="355">
        <v>21304</v>
      </c>
      <c r="D790" s="354" t="s">
        <v>809</v>
      </c>
      <c r="E790" s="356" t="s">
        <v>634</v>
      </c>
      <c r="F790" s="356" t="str">
        <f t="shared" si="45"/>
        <v>NI</v>
      </c>
      <c r="G790" s="28">
        <f>+IF(F790="i",IFERROR(VLOOKUP(C790,'BG 12.2024'!$B:$E,3,FALSE),0),0)</f>
        <v>0</v>
      </c>
      <c r="H790" s="21">
        <f>+IF(F790="i",IFERROR(VLOOKUP(C790,'BG 12.2024'!$B:$E,4,FALSE),0),0)</f>
        <v>0</v>
      </c>
      <c r="I790" s="21"/>
      <c r="J790" s="28">
        <f>+IF(F790="i",IFERROR(VLOOKUP(C790,'BG 2023'!$B:$E,3,FALSE),0),0)</f>
        <v>0</v>
      </c>
      <c r="K790" s="21">
        <f>+IF(F790="i",IFERROR(VLOOKUP(C790,'BG 2023'!$B:$E,4,FALSE),0),0)</f>
        <v>0</v>
      </c>
      <c r="M790" s="15" t="e">
        <f>+VLOOKUP(C790,'BG 2023'!$B:$E,1,0)</f>
        <v>#N/A</v>
      </c>
      <c r="N790" s="806" t="e">
        <f>+VLOOKUP(C790,'BG 2023'!$B:$E,3,0)</f>
        <v>#N/A</v>
      </c>
      <c r="O790" s="807" t="e">
        <f t="shared" si="44"/>
        <v>#N/A</v>
      </c>
      <c r="P790" s="807"/>
      <c r="R790" s="807">
        <f>+IFERROR(VLOOKUP(C790,'CA FE'!$A:$C,3,0),0)+G790</f>
        <v>0</v>
      </c>
      <c r="S790" s="807">
        <f t="shared" si="46"/>
        <v>0</v>
      </c>
    </row>
    <row r="791" spans="1:19">
      <c r="A791" s="354" t="s">
        <v>193</v>
      </c>
      <c r="B791" s="354"/>
      <c r="C791" s="355">
        <v>213041</v>
      </c>
      <c r="D791" s="354" t="s">
        <v>810</v>
      </c>
      <c r="E791" s="356" t="s">
        <v>634</v>
      </c>
      <c r="F791" s="356" t="str">
        <f t="shared" si="45"/>
        <v>NI</v>
      </c>
      <c r="G791" s="28">
        <f>+IF(F791="i",IFERROR(VLOOKUP(C791,'BG 12.2024'!$B:$E,3,FALSE),0),0)</f>
        <v>0</v>
      </c>
      <c r="H791" s="21">
        <f>+IF(F791="i",IFERROR(VLOOKUP(C791,'BG 12.2024'!$B:$E,4,FALSE),0),0)</f>
        <v>0</v>
      </c>
      <c r="I791" s="21"/>
      <c r="J791" s="28">
        <f>+IF(F791="i",IFERROR(VLOOKUP(C791,'BG 2023'!$B:$E,3,FALSE),0),0)</f>
        <v>0</v>
      </c>
      <c r="K791" s="21">
        <f>+IF(F791="i",IFERROR(VLOOKUP(C791,'BG 2023'!$B:$E,4,FALSE),0),0)</f>
        <v>0</v>
      </c>
      <c r="M791" s="15" t="e">
        <f>+VLOOKUP(C791,'BG 2023'!$B:$E,1,0)</f>
        <v>#N/A</v>
      </c>
      <c r="N791" s="806" t="e">
        <f>+VLOOKUP(C791,'BG 2023'!$B:$E,3,0)</f>
        <v>#N/A</v>
      </c>
      <c r="O791" s="807" t="e">
        <f t="shared" si="44"/>
        <v>#N/A</v>
      </c>
      <c r="P791" s="807"/>
      <c r="R791" s="807">
        <f>+IFERROR(VLOOKUP(C791,'CA FE'!$A:$C,3,0),0)+G791</f>
        <v>0</v>
      </c>
      <c r="S791" s="807">
        <f t="shared" si="46"/>
        <v>0</v>
      </c>
    </row>
    <row r="792" spans="1:19">
      <c r="A792" s="354" t="s">
        <v>193</v>
      </c>
      <c r="B792" s="354"/>
      <c r="C792" s="355">
        <v>2130411</v>
      </c>
      <c r="D792" s="354" t="s">
        <v>811</v>
      </c>
      <c r="E792" s="356" t="s">
        <v>634</v>
      </c>
      <c r="F792" s="356" t="str">
        <f t="shared" si="45"/>
        <v>NI</v>
      </c>
      <c r="G792" s="28">
        <f>+IF(F792="i",IFERROR(VLOOKUP(C792,'BG 12.2024'!$B:$E,3,FALSE),0),0)</f>
        <v>0</v>
      </c>
      <c r="H792" s="21">
        <f>+IF(F792="i",IFERROR(VLOOKUP(C792,'BG 12.2024'!$B:$E,4,FALSE),0),0)</f>
        <v>0</v>
      </c>
      <c r="I792" s="21"/>
      <c r="J792" s="28">
        <f>+IF(F792="i",IFERROR(VLOOKUP(C792,'BG 2023'!$B:$E,3,FALSE),0),0)</f>
        <v>0</v>
      </c>
      <c r="K792" s="21">
        <f>+IF(F792="i",IFERROR(VLOOKUP(C792,'BG 2023'!$B:$E,4,FALSE),0),0)</f>
        <v>0</v>
      </c>
      <c r="M792" s="15" t="e">
        <f>+VLOOKUP(C792,'BG 2023'!$B:$E,1,0)</f>
        <v>#N/A</v>
      </c>
      <c r="N792" s="806" t="e">
        <f>+VLOOKUP(C792,'BG 2023'!$B:$E,3,0)</f>
        <v>#N/A</v>
      </c>
      <c r="O792" s="807" t="e">
        <f t="shared" si="44"/>
        <v>#N/A</v>
      </c>
      <c r="P792" s="807"/>
      <c r="R792" s="807">
        <f>+IFERROR(VLOOKUP(C792,'CA FE'!$A:$C,3,0),0)+G792</f>
        <v>0</v>
      </c>
      <c r="S792" s="807">
        <f t="shared" si="46"/>
        <v>0</v>
      </c>
    </row>
    <row r="793" spans="1:19">
      <c r="A793" s="354" t="s">
        <v>193</v>
      </c>
      <c r="B793" s="354"/>
      <c r="C793" s="355">
        <v>21304111</v>
      </c>
      <c r="D793" s="354" t="s">
        <v>419</v>
      </c>
      <c r="E793" s="356" t="s">
        <v>634</v>
      </c>
      <c r="F793" s="356" t="str">
        <f t="shared" si="45"/>
        <v>NI</v>
      </c>
      <c r="G793" s="28">
        <f>+IF(F793="i",IFERROR(VLOOKUP(C793,'BG 12.2024'!$B:$E,3,FALSE),0),0)</f>
        <v>0</v>
      </c>
      <c r="H793" s="21">
        <f>+IF(F793="i",IFERROR(VLOOKUP(C793,'BG 12.2024'!$B:$E,4,FALSE),0),0)</f>
        <v>0</v>
      </c>
      <c r="I793" s="21"/>
      <c r="J793" s="28">
        <f>+IF(F793="i",IFERROR(VLOOKUP(C793,'BG 2023'!$B:$E,3,FALSE),0),0)</f>
        <v>0</v>
      </c>
      <c r="K793" s="21">
        <f>+IF(F793="i",IFERROR(VLOOKUP(C793,'BG 2023'!$B:$E,4,FALSE),0),0)</f>
        <v>0</v>
      </c>
      <c r="M793" s="15" t="e">
        <f>+VLOOKUP(C793,'BG 2023'!$B:$E,1,0)</f>
        <v>#N/A</v>
      </c>
      <c r="N793" s="806" t="e">
        <f>+VLOOKUP(C793,'BG 2023'!$B:$E,3,0)</f>
        <v>#N/A</v>
      </c>
      <c r="O793" s="807" t="e">
        <f t="shared" si="44"/>
        <v>#N/A</v>
      </c>
      <c r="P793" s="807"/>
      <c r="R793" s="807">
        <f>+IFERROR(VLOOKUP(C793,'CA FE'!$A:$C,3,0),0)+G793</f>
        <v>0</v>
      </c>
      <c r="S793" s="807">
        <f t="shared" si="46"/>
        <v>0</v>
      </c>
    </row>
    <row r="794" spans="1:19">
      <c r="A794" s="354" t="s">
        <v>193</v>
      </c>
      <c r="B794" s="354" t="s">
        <v>881</v>
      </c>
      <c r="C794" s="355">
        <v>2130411101</v>
      </c>
      <c r="D794" s="354" t="s">
        <v>891</v>
      </c>
      <c r="E794" s="356" t="s">
        <v>634</v>
      </c>
      <c r="F794" s="356" t="str">
        <f t="shared" si="45"/>
        <v>I</v>
      </c>
      <c r="G794" s="28">
        <f>+IF(F794="i",IFERROR(VLOOKUP(C794,'BG 12.2024'!$B:$E,3,FALSE),0),0)</f>
        <v>0</v>
      </c>
      <c r="H794" s="21">
        <f>+IF(F794="i",IFERROR(VLOOKUP(C794,'BG 12.2024'!$B:$E,4,FALSE),0),0)</f>
        <v>0</v>
      </c>
      <c r="I794" s="21"/>
      <c r="J794" s="28">
        <f>+IF(F794="i",IFERROR(VLOOKUP(C794,'BG 2023'!$B:$E,3,FALSE),0),0)</f>
        <v>0</v>
      </c>
      <c r="K794" s="21">
        <f>+IF(F794="i",IFERROR(VLOOKUP(C794,'BG 2023'!$B:$E,4,FALSE),0),0)</f>
        <v>0</v>
      </c>
      <c r="M794" s="15" t="e">
        <f>+VLOOKUP(C794,'BG 2023'!$B:$E,1,0)</f>
        <v>#N/A</v>
      </c>
      <c r="N794" s="806" t="e">
        <f>+VLOOKUP(C794,'BG 2023'!$B:$E,3,0)</f>
        <v>#N/A</v>
      </c>
      <c r="O794" s="807" t="e">
        <f t="shared" si="44"/>
        <v>#N/A</v>
      </c>
      <c r="P794" s="807"/>
      <c r="R794" s="807">
        <f>+IFERROR(VLOOKUP(C794,'CA FE'!$A:$C,3,0),0)+G794</f>
        <v>0</v>
      </c>
      <c r="S794" s="807">
        <f t="shared" si="46"/>
        <v>0</v>
      </c>
    </row>
    <row r="795" spans="1:19">
      <c r="A795" s="354" t="s">
        <v>193</v>
      </c>
      <c r="B795" s="354" t="s">
        <v>881</v>
      </c>
      <c r="C795" s="355">
        <v>2130411102</v>
      </c>
      <c r="D795" s="354" t="s">
        <v>892</v>
      </c>
      <c r="E795" s="356" t="s">
        <v>634</v>
      </c>
      <c r="F795" s="356" t="str">
        <f t="shared" si="45"/>
        <v>I</v>
      </c>
      <c r="G795" s="28">
        <f>+IF(F795="i",IFERROR(VLOOKUP(C795,'BG 12.2024'!$B:$E,3,FALSE),0),0)</f>
        <v>0</v>
      </c>
      <c r="H795" s="21">
        <f>+IF(F795="i",IFERROR(VLOOKUP(C795,'BG 12.2024'!$B:$E,4,FALSE),0),0)</f>
        <v>0</v>
      </c>
      <c r="I795" s="21"/>
      <c r="J795" s="28">
        <f>+IF(F795="i",IFERROR(VLOOKUP(C795,'BG 2023'!$B:$E,3,FALSE),0),0)</f>
        <v>0</v>
      </c>
      <c r="K795" s="21">
        <f>+IF(F795="i",IFERROR(VLOOKUP(C795,'BG 2023'!$B:$E,4,FALSE),0),0)</f>
        <v>0</v>
      </c>
      <c r="M795" s="15" t="e">
        <f>+VLOOKUP(C795,'BG 2023'!$B:$E,1,0)</f>
        <v>#N/A</v>
      </c>
      <c r="N795" s="806" t="e">
        <f>+VLOOKUP(C795,'BG 2023'!$B:$E,3,0)</f>
        <v>#N/A</v>
      </c>
      <c r="O795" s="807" t="e">
        <f t="shared" si="44"/>
        <v>#N/A</v>
      </c>
      <c r="P795" s="807"/>
      <c r="R795" s="807">
        <f>+IFERROR(VLOOKUP(C795,'CA FE'!$A:$C,3,0),0)+G795</f>
        <v>0</v>
      </c>
      <c r="S795" s="807">
        <f t="shared" si="46"/>
        <v>0</v>
      </c>
    </row>
    <row r="796" spans="1:19">
      <c r="A796" s="354" t="s">
        <v>193</v>
      </c>
      <c r="B796" s="354"/>
      <c r="C796" s="355">
        <v>214</v>
      </c>
      <c r="D796" s="354" t="s">
        <v>221</v>
      </c>
      <c r="E796" s="356" t="s">
        <v>634</v>
      </c>
      <c r="F796" s="356" t="str">
        <f t="shared" si="45"/>
        <v>NI</v>
      </c>
      <c r="G796" s="28">
        <f>+IF(F796="i",IFERROR(VLOOKUP(C796,'BG 12.2024'!$B:$E,3,FALSE),0),0)</f>
        <v>0</v>
      </c>
      <c r="H796" s="21">
        <f>+IF(F796="i",IFERROR(VLOOKUP(C796,'BG 12.2024'!$B:$E,4,FALSE),0),0)</f>
        <v>0</v>
      </c>
      <c r="I796" s="21"/>
      <c r="J796" s="28">
        <f>+IF(F796="i",IFERROR(VLOOKUP(C796,'BG 2023'!$B:$E,3,FALSE),0),0)</f>
        <v>0</v>
      </c>
      <c r="K796" s="21">
        <f>+IF(F796="i",IFERROR(VLOOKUP(C796,'BG 2023'!$B:$E,4,FALSE),0),0)</f>
        <v>0</v>
      </c>
      <c r="M796" s="15">
        <f>+VLOOKUP(C796,'BG 2023'!$B:$E,1,0)</f>
        <v>214</v>
      </c>
      <c r="N796" s="806">
        <f>+VLOOKUP(C796,'BG 2023'!$B:$E,3,0)</f>
        <v>2099975257</v>
      </c>
      <c r="O796" s="807">
        <f t="shared" si="44"/>
        <v>2099975257</v>
      </c>
      <c r="P796" s="807"/>
      <c r="R796" s="807">
        <f>+IFERROR(VLOOKUP(C796,'CA FE'!$A:$C,3,0),0)+G796</f>
        <v>0</v>
      </c>
      <c r="S796" s="807">
        <f t="shared" si="46"/>
        <v>0</v>
      </c>
    </row>
    <row r="797" spans="1:19">
      <c r="A797" s="354" t="s">
        <v>193</v>
      </c>
      <c r="B797" s="354"/>
      <c r="C797" s="355">
        <v>21401</v>
      </c>
      <c r="D797" s="354" t="s">
        <v>222</v>
      </c>
      <c r="E797" s="356" t="s">
        <v>634</v>
      </c>
      <c r="F797" s="356" t="str">
        <f t="shared" si="45"/>
        <v>NI</v>
      </c>
      <c r="G797" s="28">
        <f>+IF(F797="i",IFERROR(VLOOKUP(C797,'BG 12.2024'!$B:$E,3,FALSE),0),0)</f>
        <v>0</v>
      </c>
      <c r="H797" s="21">
        <f>+IF(F797="i",IFERROR(VLOOKUP(C797,'BG 12.2024'!$B:$E,4,FALSE),0),0)</f>
        <v>0</v>
      </c>
      <c r="I797" s="21"/>
      <c r="J797" s="28">
        <f>+IF(F797="i",IFERROR(VLOOKUP(C797,'BG 2023'!$B:$E,3,FALSE),0),0)</f>
        <v>0</v>
      </c>
      <c r="K797" s="21">
        <f>+IF(F797="i",IFERROR(VLOOKUP(C797,'BG 2023'!$B:$E,4,FALSE),0),0)</f>
        <v>0</v>
      </c>
      <c r="M797" s="15">
        <f>+VLOOKUP(C797,'BG 2023'!$B:$E,1,0)</f>
        <v>21401</v>
      </c>
      <c r="N797" s="806">
        <f>+VLOOKUP(C797,'BG 2023'!$B:$E,3,0)</f>
        <v>1334461909</v>
      </c>
      <c r="O797" s="807">
        <f t="shared" si="44"/>
        <v>1334461909</v>
      </c>
      <c r="P797" s="807"/>
      <c r="R797" s="807">
        <f>+IFERROR(VLOOKUP(C797,'CA FE'!$A:$C,3,0),0)+G797</f>
        <v>0</v>
      </c>
      <c r="S797" s="807">
        <f t="shared" si="46"/>
        <v>0</v>
      </c>
    </row>
    <row r="798" spans="1:19">
      <c r="A798" s="354" t="s">
        <v>193</v>
      </c>
      <c r="B798" s="354"/>
      <c r="C798" s="355">
        <v>214011</v>
      </c>
      <c r="D798" s="354" t="s">
        <v>222</v>
      </c>
      <c r="E798" s="356" t="s">
        <v>634</v>
      </c>
      <c r="F798" s="356" t="str">
        <f t="shared" si="45"/>
        <v>NI</v>
      </c>
      <c r="G798" s="28">
        <f>+IF(F798="i",IFERROR(VLOOKUP(C798,'BG 12.2024'!$B:$E,3,FALSE),0),0)</f>
        <v>0</v>
      </c>
      <c r="H798" s="21">
        <f>+IF(F798="i",IFERROR(VLOOKUP(C798,'BG 12.2024'!$B:$E,4,FALSE),0),0)</f>
        <v>0</v>
      </c>
      <c r="I798" s="21"/>
      <c r="J798" s="28">
        <f>+IF(F798="i",IFERROR(VLOOKUP(C798,'BG 2023'!$B:$E,3,FALSE),0),0)</f>
        <v>0</v>
      </c>
      <c r="K798" s="21">
        <f>+IF(F798="i",IFERROR(VLOOKUP(C798,'BG 2023'!$B:$E,4,FALSE),0),0)</f>
        <v>0</v>
      </c>
      <c r="M798" s="15">
        <f>+VLOOKUP(C798,'BG 2023'!$B:$E,1,0)</f>
        <v>214011</v>
      </c>
      <c r="N798" s="806">
        <f>+VLOOKUP(C798,'BG 2023'!$B:$E,3,0)</f>
        <v>1334461909</v>
      </c>
      <c r="O798" s="807">
        <f t="shared" si="44"/>
        <v>1334461909</v>
      </c>
      <c r="P798" s="807"/>
      <c r="R798" s="807">
        <f>+IFERROR(VLOOKUP(C798,'CA FE'!$A:$C,3,0),0)+G798</f>
        <v>0</v>
      </c>
      <c r="S798" s="807">
        <f t="shared" si="46"/>
        <v>0</v>
      </c>
    </row>
    <row r="799" spans="1:19">
      <c r="A799" s="354" t="s">
        <v>193</v>
      </c>
      <c r="B799" s="354"/>
      <c r="C799" s="355">
        <v>2140111</v>
      </c>
      <c r="D799" s="354" t="s">
        <v>222</v>
      </c>
      <c r="E799" s="356" t="s">
        <v>634</v>
      </c>
      <c r="F799" s="356" t="str">
        <f t="shared" si="45"/>
        <v>NI</v>
      </c>
      <c r="G799" s="28">
        <f>+IF(F799="i",IFERROR(VLOOKUP(C799,'BG 12.2024'!$B:$E,3,FALSE),0),0)</f>
        <v>0</v>
      </c>
      <c r="H799" s="21">
        <f>+IF(F799="i",IFERROR(VLOOKUP(C799,'BG 12.2024'!$B:$E,4,FALSE),0),0)</f>
        <v>0</v>
      </c>
      <c r="I799" s="21"/>
      <c r="J799" s="28">
        <f>+IF(F799="i",IFERROR(VLOOKUP(C799,'BG 2023'!$B:$E,3,FALSE),0),0)</f>
        <v>0</v>
      </c>
      <c r="K799" s="21">
        <f>+IF(F799="i",IFERROR(VLOOKUP(C799,'BG 2023'!$B:$E,4,FALSE),0),0)</f>
        <v>0</v>
      </c>
      <c r="M799" s="15">
        <f>+VLOOKUP(C799,'BG 2023'!$B:$E,1,0)</f>
        <v>2140111</v>
      </c>
      <c r="N799" s="806">
        <f>+VLOOKUP(C799,'BG 2023'!$B:$E,3,0)</f>
        <v>1334461909</v>
      </c>
      <c r="O799" s="807">
        <f t="shared" si="44"/>
        <v>1334461909</v>
      </c>
      <c r="P799" s="807"/>
      <c r="R799" s="807">
        <f>+IFERROR(VLOOKUP(C799,'CA FE'!$A:$C,3,0),0)+G799</f>
        <v>0</v>
      </c>
      <c r="S799" s="807">
        <f t="shared" si="46"/>
        <v>0</v>
      </c>
    </row>
    <row r="800" spans="1:19">
      <c r="A800" s="354" t="s">
        <v>193</v>
      </c>
      <c r="B800" s="354"/>
      <c r="C800" s="355">
        <v>21401111</v>
      </c>
      <c r="D800" s="354" t="s">
        <v>223</v>
      </c>
      <c r="E800" s="356" t="s">
        <v>634</v>
      </c>
      <c r="F800" s="356" t="str">
        <f t="shared" si="45"/>
        <v>NI</v>
      </c>
      <c r="G800" s="28">
        <f>+IF(F800="i",IFERROR(VLOOKUP(C800,'BG 12.2024'!$B:$E,3,FALSE),0),0)</f>
        <v>0</v>
      </c>
      <c r="H800" s="21">
        <f>+IF(F800="i",IFERROR(VLOOKUP(C800,'BG 12.2024'!$B:$E,4,FALSE),0),0)</f>
        <v>0</v>
      </c>
      <c r="I800" s="21"/>
      <c r="J800" s="28">
        <f>+IF(F800="i",IFERROR(VLOOKUP(C800,'BG 2023'!$B:$E,3,FALSE),0),0)</f>
        <v>0</v>
      </c>
      <c r="K800" s="21">
        <f>+IF(F800="i",IFERROR(VLOOKUP(C800,'BG 2023'!$B:$E,4,FALSE),0),0)</f>
        <v>0</v>
      </c>
      <c r="M800" s="15">
        <f>+VLOOKUP(C800,'BG 2023'!$B:$E,1,0)</f>
        <v>21401111</v>
      </c>
      <c r="N800" s="806">
        <f>+VLOOKUP(C800,'BG 2023'!$B:$E,3,0)</f>
        <v>1334461909</v>
      </c>
      <c r="O800" s="807">
        <f t="shared" si="44"/>
        <v>1334461909</v>
      </c>
      <c r="P800" s="807"/>
      <c r="R800" s="807">
        <f>+IFERROR(VLOOKUP(C800,'CA FE'!$A:$C,3,0),0)+G800</f>
        <v>0</v>
      </c>
      <c r="S800" s="807">
        <f t="shared" si="46"/>
        <v>0</v>
      </c>
    </row>
    <row r="801" spans="1:19">
      <c r="A801" s="354" t="s">
        <v>193</v>
      </c>
      <c r="B801" s="354"/>
      <c r="C801" s="355">
        <v>2140111101</v>
      </c>
      <c r="D801" s="354" t="s">
        <v>893</v>
      </c>
      <c r="E801" s="356" t="s">
        <v>634</v>
      </c>
      <c r="F801" s="356" t="str">
        <f t="shared" si="45"/>
        <v>I</v>
      </c>
      <c r="G801" s="28">
        <f>+IF(F801="i",IFERROR(VLOOKUP(C801,'BG 12.2024'!$B:$E,3,FALSE),0),0)</f>
        <v>0</v>
      </c>
      <c r="H801" s="21">
        <f>+IF(F801="i",IFERROR(VLOOKUP(C801,'BG 12.2024'!$B:$E,4,FALSE),0),0)</f>
        <v>0</v>
      </c>
      <c r="I801" s="21"/>
      <c r="J801" s="28">
        <f>+IF(F801="i",IFERROR(VLOOKUP(C801,'BG 2023'!$B:$E,3,FALSE),0),0)</f>
        <v>0</v>
      </c>
      <c r="K801" s="21">
        <f>+IF(F801="i",IFERROR(VLOOKUP(C801,'BG 2023'!$B:$E,4,FALSE),0),0)</f>
        <v>0</v>
      </c>
      <c r="M801" s="15" t="e">
        <f>+VLOOKUP(C801,'BG 2023'!$B:$E,1,0)</f>
        <v>#N/A</v>
      </c>
      <c r="N801" s="806" t="e">
        <f>+VLOOKUP(C801,'BG 2023'!$B:$E,3,0)</f>
        <v>#N/A</v>
      </c>
      <c r="O801" s="807" t="e">
        <f t="shared" si="44"/>
        <v>#N/A</v>
      </c>
      <c r="P801" s="807"/>
      <c r="R801" s="807">
        <f>+IFERROR(VLOOKUP(C801,'CA FE'!$A:$C,3,0),0)+G801</f>
        <v>0</v>
      </c>
      <c r="S801" s="807">
        <f t="shared" si="46"/>
        <v>0</v>
      </c>
    </row>
    <row r="802" spans="1:19">
      <c r="A802" s="354" t="s">
        <v>193</v>
      </c>
      <c r="B802" s="354"/>
      <c r="C802" s="355">
        <v>2140111102</v>
      </c>
      <c r="D802" s="354" t="s">
        <v>894</v>
      </c>
      <c r="E802" s="356" t="s">
        <v>634</v>
      </c>
      <c r="F802" s="356" t="str">
        <f t="shared" si="45"/>
        <v>I</v>
      </c>
      <c r="G802" s="28">
        <f>+IF(F802="i",IFERROR(VLOOKUP(C802,'BG 12.2024'!$B:$E,3,FALSE),0),0)</f>
        <v>0</v>
      </c>
      <c r="H802" s="21">
        <f>+IF(F802="i",IFERROR(VLOOKUP(C802,'BG 12.2024'!$B:$E,4,FALSE),0),0)</f>
        <v>0</v>
      </c>
      <c r="I802" s="21"/>
      <c r="J802" s="28">
        <f>+IF(F802="i",IFERROR(VLOOKUP(C802,'BG 2023'!$B:$E,3,FALSE),0),0)</f>
        <v>0</v>
      </c>
      <c r="K802" s="21">
        <f>+IF(F802="i",IFERROR(VLOOKUP(C802,'BG 2023'!$B:$E,4,FALSE),0),0)</f>
        <v>0</v>
      </c>
      <c r="M802" s="15" t="e">
        <f>+VLOOKUP(C802,'BG 2023'!$B:$E,1,0)</f>
        <v>#N/A</v>
      </c>
      <c r="N802" s="806" t="e">
        <f>+VLOOKUP(C802,'BG 2023'!$B:$E,3,0)</f>
        <v>#N/A</v>
      </c>
      <c r="O802" s="807" t="e">
        <f t="shared" si="44"/>
        <v>#N/A</v>
      </c>
      <c r="P802" s="807"/>
      <c r="R802" s="807">
        <f>+IFERROR(VLOOKUP(C802,'CA FE'!$A:$C,3,0),0)+G802</f>
        <v>0</v>
      </c>
      <c r="S802" s="807">
        <f t="shared" si="46"/>
        <v>0</v>
      </c>
    </row>
    <row r="803" spans="1:19">
      <c r="A803" s="354" t="s">
        <v>193</v>
      </c>
      <c r="B803" s="354" t="s">
        <v>895</v>
      </c>
      <c r="C803" s="355">
        <v>2140111103</v>
      </c>
      <c r="D803" s="354" t="s">
        <v>224</v>
      </c>
      <c r="E803" s="356" t="s">
        <v>634</v>
      </c>
      <c r="F803" s="356" t="str">
        <f t="shared" si="45"/>
        <v>I</v>
      </c>
      <c r="G803" s="28">
        <f>+IF(F803="i",IFERROR(VLOOKUP(C803,'BG 12.2024'!$B:$E,3,FALSE),0),0)</f>
        <v>100739388</v>
      </c>
      <c r="H803" s="21">
        <f>+IF(F803="i",IFERROR(VLOOKUP(C803,'BG 12.2024'!$B:$E,4,FALSE),0),0)</f>
        <v>12863.75</v>
      </c>
      <c r="I803" s="21"/>
      <c r="J803" s="28">
        <f>+IF(F803="i",IFERROR(VLOOKUP(C803,'BG 2023'!$B:$E,3,FALSE),0),0)</f>
        <v>188609064</v>
      </c>
      <c r="K803" s="21">
        <f>+IF(F803="i",IFERROR(VLOOKUP(C803,'BG 2023'!$B:$E,4,FALSE),0),0)</f>
        <v>25894.960000000021</v>
      </c>
      <c r="M803" s="15">
        <f>+VLOOKUP(C803,'BG 2023'!$B:$E,1,0)</f>
        <v>2140111103</v>
      </c>
      <c r="N803" s="806">
        <f>+VLOOKUP(C803,'BG 2023'!$B:$E,3,0)</f>
        <v>188609064</v>
      </c>
      <c r="O803" s="807">
        <f t="shared" si="44"/>
        <v>87869676</v>
      </c>
      <c r="P803" s="807"/>
      <c r="R803" s="807">
        <f>+IFERROR(VLOOKUP(C803,'CA FE'!$A:$C,3,0),0)+G803</f>
        <v>0</v>
      </c>
      <c r="S803" s="807">
        <f t="shared" si="46"/>
        <v>-87869676</v>
      </c>
    </row>
    <row r="804" spans="1:19">
      <c r="A804" s="354" t="s">
        <v>193</v>
      </c>
      <c r="B804" s="354"/>
      <c r="C804" s="355">
        <v>2140111104</v>
      </c>
      <c r="D804" s="354" t="s">
        <v>896</v>
      </c>
      <c r="E804" s="356" t="s">
        <v>634</v>
      </c>
      <c r="F804" s="356" t="str">
        <f t="shared" si="45"/>
        <v>I</v>
      </c>
      <c r="G804" s="28">
        <f>+IF(F804="i",IFERROR(VLOOKUP(C804,'BG 12.2024'!$B:$E,3,FALSE),0),0)</f>
        <v>0</v>
      </c>
      <c r="H804" s="21">
        <f>+IF(F804="i",IFERROR(VLOOKUP(C804,'BG 12.2024'!$B:$E,4,FALSE),0),0)</f>
        <v>0</v>
      </c>
      <c r="I804" s="21"/>
      <c r="J804" s="28">
        <f>+IF(F804="i",IFERROR(VLOOKUP(C804,'BG 2023'!$B:$E,3,FALSE),0),0)</f>
        <v>0</v>
      </c>
      <c r="K804" s="21">
        <f>+IF(F804="i",IFERROR(VLOOKUP(C804,'BG 2023'!$B:$E,4,FALSE),0),0)</f>
        <v>0</v>
      </c>
      <c r="M804" s="15" t="e">
        <f>+VLOOKUP(C804,'BG 2023'!$B:$E,1,0)</f>
        <v>#N/A</v>
      </c>
      <c r="N804" s="806" t="e">
        <f>+VLOOKUP(C804,'BG 2023'!$B:$E,3,0)</f>
        <v>#N/A</v>
      </c>
      <c r="O804" s="807" t="e">
        <f t="shared" si="44"/>
        <v>#N/A</v>
      </c>
      <c r="P804" s="807"/>
      <c r="R804" s="807">
        <f>+IFERROR(VLOOKUP(C804,'CA FE'!$A:$C,3,0),0)+G804</f>
        <v>0</v>
      </c>
      <c r="S804" s="807">
        <f t="shared" si="46"/>
        <v>0</v>
      </c>
    </row>
    <row r="805" spans="1:19">
      <c r="A805" s="354" t="s">
        <v>193</v>
      </c>
      <c r="B805" s="354" t="s">
        <v>863</v>
      </c>
      <c r="C805" s="355">
        <v>2140111105</v>
      </c>
      <c r="D805" s="354" t="s">
        <v>545</v>
      </c>
      <c r="E805" s="356" t="s">
        <v>634</v>
      </c>
      <c r="F805" s="356" t="str">
        <f t="shared" si="45"/>
        <v>I</v>
      </c>
      <c r="G805" s="28">
        <f>+IF(F805="i",IFERROR(VLOOKUP(C805,'BG 12.2024'!$B:$E,3,FALSE),0),0)-G806</f>
        <v>0</v>
      </c>
      <c r="H805" s="21">
        <f>+IF(F805="i",IFERROR(VLOOKUP(C805,'BG 12.2024'!$B:$E,4,FALSE),0),0)-H806</f>
        <v>0</v>
      </c>
      <c r="I805" s="21"/>
      <c r="J805" s="28">
        <f>+IF(F805="i",IFERROR(VLOOKUP(C805,'BG 2023'!$B:$E,3,FALSE),0),0)-J806</f>
        <v>0</v>
      </c>
      <c r="K805" s="21">
        <f>+IF(F805="i",IFERROR(VLOOKUP(C805,'BG 2023'!$B:$E,4,FALSE),0),0)-K806</f>
        <v>0</v>
      </c>
      <c r="M805" s="15" t="e">
        <f>+VLOOKUP(C805,'BG 2023'!$B:$E,1,0)</f>
        <v>#N/A</v>
      </c>
      <c r="N805" s="806" t="e">
        <f>+VLOOKUP(C805,'BG 2023'!$B:$E,3,0)</f>
        <v>#N/A</v>
      </c>
      <c r="O805" s="807" t="e">
        <f t="shared" si="44"/>
        <v>#N/A</v>
      </c>
      <c r="P805" s="807"/>
      <c r="R805" s="807">
        <f>+IFERROR(VLOOKUP(C805,'CA FE'!$A:$C,3,0),0)+G805</f>
        <v>0</v>
      </c>
      <c r="S805" s="807">
        <f t="shared" si="46"/>
        <v>0</v>
      </c>
    </row>
    <row r="806" spans="1:19">
      <c r="A806" s="354" t="s">
        <v>193</v>
      </c>
      <c r="B806" s="354" t="s">
        <v>863</v>
      </c>
      <c r="C806" s="355">
        <v>2140111105</v>
      </c>
      <c r="D806" s="354" t="s">
        <v>897</v>
      </c>
      <c r="E806" s="356" t="s">
        <v>634</v>
      </c>
      <c r="F806" s="356" t="str">
        <f t="shared" ref="F806" si="57">+IF(LEN(C806)&gt;8,"I","NI")</f>
        <v>I</v>
      </c>
      <c r="G806" s="925">
        <v>0</v>
      </c>
      <c r="H806" s="839">
        <v>0</v>
      </c>
      <c r="I806" s="21"/>
      <c r="J806" s="825">
        <v>0</v>
      </c>
      <c r="K806" s="841">
        <v>0</v>
      </c>
      <c r="M806" s="15" t="e">
        <f>+VLOOKUP(C806,'BG 2023'!$B:$E,1,0)</f>
        <v>#N/A</v>
      </c>
      <c r="N806" s="806" t="e">
        <f>+VLOOKUP(C806,'BG 2023'!$B:$E,3,0)</f>
        <v>#N/A</v>
      </c>
      <c r="O806" s="807" t="e">
        <f t="shared" si="44"/>
        <v>#N/A</v>
      </c>
      <c r="P806" s="807"/>
      <c r="R806" s="807">
        <f>+IFERROR(VLOOKUP(C806,'CA FE'!$A:$C,3,0),0)+G806</f>
        <v>0</v>
      </c>
      <c r="S806" s="807">
        <f t="shared" si="46"/>
        <v>0</v>
      </c>
    </row>
    <row r="807" spans="1:19">
      <c r="A807" s="354" t="s">
        <v>193</v>
      </c>
      <c r="B807" s="354"/>
      <c r="C807" s="355">
        <v>2140111107</v>
      </c>
      <c r="D807" s="354" t="s">
        <v>898</v>
      </c>
      <c r="E807" s="356" t="s">
        <v>634</v>
      </c>
      <c r="F807" s="356" t="str">
        <f t="shared" si="45"/>
        <v>I</v>
      </c>
      <c r="G807" s="28">
        <f>+IF(F807="i",IFERROR(VLOOKUP(C807,'BG 12.2024'!$B:$E,3,FALSE),0),0)</f>
        <v>0</v>
      </c>
      <c r="H807" s="21">
        <f>+IF(F807="i",IFERROR(VLOOKUP(C807,'BG 12.2024'!$B:$E,4,FALSE),0),0)</f>
        <v>0</v>
      </c>
      <c r="I807" s="21"/>
      <c r="J807" s="28">
        <f>+IF(F807="i",IFERROR(VLOOKUP(C807,'BG 2023'!$B:$E,3,FALSE),0),0)</f>
        <v>0</v>
      </c>
      <c r="K807" s="21">
        <f>+IF(F807="i",IFERROR(VLOOKUP(C807,'BG 2023'!$B:$E,4,FALSE),0),0)</f>
        <v>0</v>
      </c>
      <c r="M807" s="15" t="e">
        <f>+VLOOKUP(C807,'BG 2023'!$B:$E,1,0)</f>
        <v>#N/A</v>
      </c>
      <c r="N807" s="806" t="e">
        <f>+VLOOKUP(C807,'BG 2023'!$B:$E,3,0)</f>
        <v>#N/A</v>
      </c>
      <c r="O807" s="807" t="e">
        <f t="shared" si="44"/>
        <v>#N/A</v>
      </c>
      <c r="P807" s="807"/>
      <c r="R807" s="807">
        <f>+IFERROR(VLOOKUP(C807,'CA FE'!$A:$C,3,0),0)+G807</f>
        <v>0</v>
      </c>
      <c r="S807" s="807">
        <f t="shared" si="46"/>
        <v>0</v>
      </c>
    </row>
    <row r="808" spans="1:19">
      <c r="A808" s="354" t="s">
        <v>193</v>
      </c>
      <c r="B808" s="354"/>
      <c r="C808" s="355">
        <v>2140111108</v>
      </c>
      <c r="D808" s="354" t="s">
        <v>899</v>
      </c>
      <c r="E808" s="356" t="s">
        <v>634</v>
      </c>
      <c r="F808" s="356" t="str">
        <f t="shared" si="45"/>
        <v>I</v>
      </c>
      <c r="G808" s="28">
        <f>+IF(F808="i",IFERROR(VLOOKUP(C808,'BG 12.2024'!$B:$E,3,FALSE),0),0)</f>
        <v>0</v>
      </c>
      <c r="H808" s="21">
        <f>+IF(F808="i",IFERROR(VLOOKUP(C808,'BG 12.2024'!$B:$E,4,FALSE),0),0)</f>
        <v>0</v>
      </c>
      <c r="I808" s="21"/>
      <c r="J808" s="28">
        <f>+IF(F808="i",IFERROR(VLOOKUP(C808,'BG 2023'!$B:$E,3,FALSE),0),0)</f>
        <v>0</v>
      </c>
      <c r="K808" s="21">
        <f>+IF(F808="i",IFERROR(VLOOKUP(C808,'BG 2023'!$B:$E,4,FALSE),0),0)</f>
        <v>0</v>
      </c>
      <c r="M808" s="15" t="e">
        <f>+VLOOKUP(C808,'BG 2023'!$B:$E,1,0)</f>
        <v>#N/A</v>
      </c>
      <c r="N808" s="806" t="e">
        <f>+VLOOKUP(C808,'BG 2023'!$B:$E,3,0)</f>
        <v>#N/A</v>
      </c>
      <c r="O808" s="807" t="e">
        <f t="shared" si="44"/>
        <v>#N/A</v>
      </c>
      <c r="P808" s="807"/>
      <c r="R808" s="807">
        <f>+IFERROR(VLOOKUP(C808,'CA FE'!$A:$C,3,0),0)+G808</f>
        <v>0</v>
      </c>
      <c r="S808" s="807">
        <f t="shared" si="46"/>
        <v>0</v>
      </c>
    </row>
    <row r="809" spans="1:19">
      <c r="A809" s="354" t="s">
        <v>193</v>
      </c>
      <c r="B809" s="354" t="s">
        <v>863</v>
      </c>
      <c r="C809" s="355">
        <v>2140111109</v>
      </c>
      <c r="D809" s="354" t="s">
        <v>547</v>
      </c>
      <c r="E809" s="356" t="s">
        <v>634</v>
      </c>
      <c r="F809" s="356" t="str">
        <f t="shared" si="45"/>
        <v>I</v>
      </c>
      <c r="G809" s="28">
        <f>+IF(F809="i",IFERROR(VLOOKUP(C809,'BG 12.2024'!$B:$E,3,FALSE),0),0)</f>
        <v>0</v>
      </c>
      <c r="H809" s="21">
        <f>+IF(F809="i",IFERROR(VLOOKUP(C809,'BG 12.2024'!$B:$E,4,FALSE),0),0)</f>
        <v>0</v>
      </c>
      <c r="I809" s="21"/>
      <c r="J809" s="28">
        <f>+IF(F809="i",IFERROR(VLOOKUP(C809,'BG 2023'!$B:$E,3,FALSE),0),0)</f>
        <v>0</v>
      </c>
      <c r="K809" s="21">
        <f>+IF(F809="i",IFERROR(VLOOKUP(C809,'BG 2023'!$B:$E,4,FALSE),0),0)</f>
        <v>0</v>
      </c>
      <c r="M809" s="15" t="e">
        <f>+VLOOKUP(C809,'BG 2023'!$B:$E,1,0)</f>
        <v>#N/A</v>
      </c>
      <c r="N809" s="806" t="e">
        <f>+VLOOKUP(C809,'BG 2023'!$B:$E,3,0)</f>
        <v>#N/A</v>
      </c>
      <c r="O809" s="807" t="e">
        <f t="shared" si="44"/>
        <v>#N/A</v>
      </c>
      <c r="P809" s="807"/>
      <c r="R809" s="807">
        <f>+IFERROR(VLOOKUP(C809,'CA FE'!$A:$C,3,0),0)+G809</f>
        <v>0</v>
      </c>
      <c r="S809" s="807">
        <f t="shared" si="46"/>
        <v>0</v>
      </c>
    </row>
    <row r="810" spans="1:19">
      <c r="A810" s="354" t="s">
        <v>193</v>
      </c>
      <c r="B810" s="354" t="s">
        <v>863</v>
      </c>
      <c r="C810" s="355">
        <v>2140111110</v>
      </c>
      <c r="D810" s="354" t="s">
        <v>546</v>
      </c>
      <c r="E810" s="356" t="s">
        <v>634</v>
      </c>
      <c r="F810" s="356" t="str">
        <f t="shared" si="45"/>
        <v>I</v>
      </c>
      <c r="G810" s="28">
        <f>+IF(F810="i",IFERROR(VLOOKUP(C810,'BG 12.2024'!$B:$E,3,FALSE),0),0)</f>
        <v>0</v>
      </c>
      <c r="H810" s="21">
        <f>+IF(F810="i",IFERROR(VLOOKUP(C810,'BG 12.2024'!$B:$E,4,FALSE),0),0)</f>
        <v>0</v>
      </c>
      <c r="I810" s="21"/>
      <c r="J810" s="28">
        <f>+IF(F810="i",IFERROR(VLOOKUP(C810,'BG 2023'!$B:$E,3,FALSE),0),0)</f>
        <v>0</v>
      </c>
      <c r="K810" s="21">
        <f>+IF(F810="i",IFERROR(VLOOKUP(C810,'BG 2023'!$B:$E,4,FALSE),0),0)</f>
        <v>0</v>
      </c>
      <c r="M810" s="15" t="e">
        <f>+VLOOKUP(C810,'BG 2023'!$B:$E,1,0)</f>
        <v>#N/A</v>
      </c>
      <c r="N810" s="806" t="e">
        <f>+VLOOKUP(C810,'BG 2023'!$B:$E,3,0)</f>
        <v>#N/A</v>
      </c>
      <c r="O810" s="807" t="e">
        <f t="shared" si="44"/>
        <v>#N/A</v>
      </c>
      <c r="P810" s="807"/>
      <c r="R810" s="807">
        <f>+IFERROR(VLOOKUP(C810,'CA FE'!$A:$C,3,0),0)+G810</f>
        <v>0</v>
      </c>
      <c r="S810" s="807">
        <f t="shared" si="46"/>
        <v>0</v>
      </c>
    </row>
    <row r="811" spans="1:19" ht="12">
      <c r="A811" s="354" t="s">
        <v>193</v>
      </c>
      <c r="B811" s="354" t="s">
        <v>863</v>
      </c>
      <c r="C811" s="355">
        <v>2140111111</v>
      </c>
      <c r="D811" s="354" t="s">
        <v>225</v>
      </c>
      <c r="E811" s="356" t="s">
        <v>634</v>
      </c>
      <c r="F811" s="356" t="str">
        <f t="shared" si="45"/>
        <v>I</v>
      </c>
      <c r="G811" s="1377">
        <f>+IF(F811="i",IFERROR(VLOOKUP(C811,'BG 12.2024'!$B:$E,3,FALSE),0),0)</f>
        <v>1319754167</v>
      </c>
      <c r="H811" s="21">
        <f>+IF(F811="i",IFERROR(VLOOKUP(C811,'BG 12.2024'!$B:$E,4,FALSE),0),0)</f>
        <v>168523.86</v>
      </c>
      <c r="I811" s="21"/>
      <c r="J811" s="28">
        <f>+IF(F811="i",IFERROR(VLOOKUP(C811,'BG 2023'!$B:$E,3,FALSE),0),0)</f>
        <v>969740000</v>
      </c>
      <c r="K811" s="21">
        <f>+IF(F811="i",IFERROR(VLOOKUP(C811,'BG 2023'!$B:$E,4,FALSE),0),0)</f>
        <v>133139.84</v>
      </c>
      <c r="M811" s="15">
        <f>+VLOOKUP(C811,'BG 2023'!$B:$E,1,0)</f>
        <v>2140111111</v>
      </c>
      <c r="N811" s="806">
        <f>+VLOOKUP(C811,'BG 2023'!$B:$E,3,0)</f>
        <v>969740000</v>
      </c>
      <c r="O811" s="807">
        <f t="shared" si="44"/>
        <v>-350014167</v>
      </c>
      <c r="P811" s="807"/>
      <c r="R811" s="807">
        <f>+IFERROR(VLOOKUP(C811,'CA FE'!$A:$C,3,0),0)+G811</f>
        <v>0</v>
      </c>
      <c r="S811" s="807">
        <f t="shared" si="46"/>
        <v>350014167</v>
      </c>
    </row>
    <row r="812" spans="1:19" ht="12">
      <c r="A812" s="354" t="s">
        <v>193</v>
      </c>
      <c r="B812" s="354" t="s">
        <v>863</v>
      </c>
      <c r="C812" s="355">
        <v>2140111112</v>
      </c>
      <c r="D812" s="354" t="s">
        <v>226</v>
      </c>
      <c r="E812" s="356" t="s">
        <v>634</v>
      </c>
      <c r="F812" s="356" t="str">
        <f t="shared" si="45"/>
        <v>I</v>
      </c>
      <c r="G812" s="1377">
        <f>+IF(F812="i",IFERROR(VLOOKUP(C812,'BG 12.2024'!$B:$E,3,FALSE),0),0)-G813</f>
        <v>108224330.90115741</v>
      </c>
      <c r="H812" s="21">
        <f>+IF(F812="i",IFERROR(VLOOKUP(C812,'BG 12.2024'!$B:$E,4,FALSE),0),0)-H813</f>
        <v>13884.982587073631</v>
      </c>
      <c r="I812" s="21"/>
      <c r="J812" s="28">
        <f>+IF(F812="i",IFERROR(VLOOKUP(C812,'BG 2023'!$B:$E,3,FALSE),0),0)-J813</f>
        <v>98354972</v>
      </c>
      <c r="K812" s="21">
        <f>+IF(F812="i",IFERROR(VLOOKUP(C812,'BG 2023'!$B:$E,4,FALSE),0),0)-K813</f>
        <v>13503.582019105883</v>
      </c>
      <c r="M812" s="15">
        <f>+VLOOKUP(C812,'BG 2023'!$B:$E,1,0)</f>
        <v>2140111112</v>
      </c>
      <c r="N812" s="806">
        <f>+VLOOKUP(C812,'BG 2023'!$B:$E,3,0)</f>
        <v>176112845</v>
      </c>
      <c r="O812" s="807">
        <f t="shared" si="44"/>
        <v>67888514.098842591</v>
      </c>
      <c r="P812" s="807"/>
      <c r="R812" s="807">
        <f>+IFERROR(VLOOKUP(C812,'CA FE'!$A:$C,3,0),0)+G812</f>
        <v>0</v>
      </c>
      <c r="S812" s="807">
        <f t="shared" si="46"/>
        <v>9869358.901157409</v>
      </c>
    </row>
    <row r="813" spans="1:19" ht="12">
      <c r="A813" s="354" t="s">
        <v>193</v>
      </c>
      <c r="B813" s="354" t="s">
        <v>863</v>
      </c>
      <c r="C813" s="355">
        <v>2140111112</v>
      </c>
      <c r="D813" s="354" t="s">
        <v>900</v>
      </c>
      <c r="E813" s="356" t="s">
        <v>634</v>
      </c>
      <c r="F813" s="356" t="str">
        <f t="shared" si="45"/>
        <v>I</v>
      </c>
      <c r="G813" s="1378">
        <v>112466298.09884259</v>
      </c>
      <c r="H813" s="839">
        <v>14295.747412926365</v>
      </c>
      <c r="I813" s="21"/>
      <c r="J813" s="825">
        <v>77757873</v>
      </c>
      <c r="K813" s="841">
        <v>10675.717980894116</v>
      </c>
      <c r="M813" s="15">
        <f>+VLOOKUP(C813,'BG 2023'!$B:$E,1,0)</f>
        <v>2140111112</v>
      </c>
      <c r="N813" s="806">
        <f>+VLOOKUP(C813,'BG 2023'!$B:$E,3,0)</f>
        <v>176112845</v>
      </c>
      <c r="O813" s="807">
        <f t="shared" ref="O813" si="58">+N813-G813</f>
        <v>63646546.901157409</v>
      </c>
      <c r="P813" s="807"/>
      <c r="R813" s="807">
        <f>+IFERROR(VLOOKUP(C813,'CA FE'!$A:$C,3,0),0)+G813</f>
        <v>4241967.1976851821</v>
      </c>
      <c r="S813" s="807">
        <f t="shared" ref="S813" si="59">+G813-J813</f>
        <v>34708425.098842591</v>
      </c>
    </row>
    <row r="814" spans="1:19">
      <c r="A814" s="354" t="s">
        <v>193</v>
      </c>
      <c r="B814" s="354" t="s">
        <v>866</v>
      </c>
      <c r="C814" s="1347">
        <v>2140111113</v>
      </c>
      <c r="D814" s="1348" t="s">
        <v>2953</v>
      </c>
      <c r="E814" s="356" t="s">
        <v>640</v>
      </c>
      <c r="F814" s="356" t="str">
        <f t="shared" ref="F814" si="60">+IF(LEN(C814)&gt;8,"I","NI")</f>
        <v>I</v>
      </c>
      <c r="G814" s="28">
        <f>+IF(F814="i",IFERROR(VLOOKUP(C814,'BG 12.2024'!$B:$E,3,FALSE),0),0)</f>
        <v>9789075</v>
      </c>
      <c r="H814" s="21">
        <f>+IF(F814="i",IFERROR(VLOOKUP(C814,'BG 12.2024'!$B:$E,4,FALSE),0),0)</f>
        <v>1250</v>
      </c>
      <c r="I814" s="21"/>
      <c r="J814" s="28">
        <f>+IF(F814="i",IFERROR(VLOOKUP(C814,'BG 2023'!$B:$E,3,FALSE),0),0)</f>
        <v>0</v>
      </c>
      <c r="K814" s="21">
        <f>+IF(F814="i",IFERROR(VLOOKUP(C814,'BG 2023'!$B:$E,4,FALSE),0),0)-K816</f>
        <v>0</v>
      </c>
      <c r="M814" s="15" t="e">
        <f>+VLOOKUP(C814,'BG 2023'!$B:$E,1,0)</f>
        <v>#N/A</v>
      </c>
      <c r="N814" s="806" t="e">
        <f>+VLOOKUP(C814,'BG 2023'!$B:$E,3,0)</f>
        <v>#N/A</v>
      </c>
      <c r="O814" s="807" t="e">
        <f t="shared" si="44"/>
        <v>#N/A</v>
      </c>
      <c r="P814" s="807"/>
      <c r="R814" s="807">
        <f>+IFERROR(VLOOKUP(C814,'CA FE'!$A:$C,3,0),0)+G814</f>
        <v>0</v>
      </c>
      <c r="S814" s="807">
        <f t="shared" si="46"/>
        <v>9789075</v>
      </c>
    </row>
    <row r="815" spans="1:19">
      <c r="A815" s="354" t="s">
        <v>193</v>
      </c>
      <c r="B815" s="354"/>
      <c r="C815" s="355">
        <v>21402</v>
      </c>
      <c r="D815" s="354" t="s">
        <v>227</v>
      </c>
      <c r="E815" s="356" t="s">
        <v>634</v>
      </c>
      <c r="F815" s="356" t="str">
        <f t="shared" si="45"/>
        <v>NI</v>
      </c>
      <c r="G815" s="28">
        <f>+IF(F815="i",IFERROR(VLOOKUP(C815,'BG 12.2024'!$B:$E,3,FALSE),0),0)</f>
        <v>0</v>
      </c>
      <c r="H815" s="21">
        <f>+IF(F815="i",IFERROR(VLOOKUP(C815,'BG 12.2024'!$B:$E,4,FALSE),0),0)</f>
        <v>0</v>
      </c>
      <c r="I815" s="21"/>
      <c r="J815" s="28">
        <f>+IF(F815="i",IFERROR(VLOOKUP(C815,'BG 2023'!$B:$E,3,FALSE),0),0)</f>
        <v>0</v>
      </c>
      <c r="K815" s="21">
        <f>+IF(F815="i",IFERROR(VLOOKUP(C815,'BG 2023'!$B:$E,4,FALSE),0),0)</f>
        <v>0</v>
      </c>
      <c r="M815" s="15">
        <f>+VLOOKUP(C815,'BG 2023'!$B:$E,1,0)</f>
        <v>21402</v>
      </c>
      <c r="N815" s="806">
        <f>+VLOOKUP(C815,'BG 2023'!$B:$E,3,0)</f>
        <v>698505102</v>
      </c>
      <c r="O815" s="807">
        <f t="shared" ref="O815:O878" si="61">+N815-G815</f>
        <v>698505102</v>
      </c>
      <c r="P815" s="807"/>
      <c r="R815" s="807">
        <f>+IFERROR(VLOOKUP(C815,'CA FE'!$A:$C,3,0),0)+G815</f>
        <v>0</v>
      </c>
      <c r="S815" s="807">
        <f t="shared" si="46"/>
        <v>0</v>
      </c>
    </row>
    <row r="816" spans="1:19">
      <c r="A816" s="354" t="s">
        <v>193</v>
      </c>
      <c r="B816" s="354"/>
      <c r="C816" s="355">
        <v>214021</v>
      </c>
      <c r="D816" s="354" t="s">
        <v>227</v>
      </c>
      <c r="E816" s="356" t="s">
        <v>634</v>
      </c>
      <c r="F816" s="356" t="str">
        <f t="shared" si="45"/>
        <v>NI</v>
      </c>
      <c r="G816" s="28">
        <f>+IF(F816="i",IFERROR(VLOOKUP(C816,'BG 12.2024'!$B:$E,3,FALSE),0),0)</f>
        <v>0</v>
      </c>
      <c r="H816" s="21">
        <f>+IF(F816="i",IFERROR(VLOOKUP(C816,'BG 12.2024'!$B:$E,4,FALSE),0),0)</f>
        <v>0</v>
      </c>
      <c r="I816" s="21"/>
      <c r="J816" s="28">
        <f>+IF(F816="i",IFERROR(VLOOKUP(C816,'BG 2023'!$B:$E,3,FALSE),0),0)</f>
        <v>0</v>
      </c>
      <c r="K816" s="21">
        <f>+IF(F816="i",IFERROR(VLOOKUP(C816,'BG 2023'!$B:$E,4,FALSE),0),0)</f>
        <v>0</v>
      </c>
      <c r="M816" s="15">
        <f>+VLOOKUP(C816,'BG 2023'!$B:$E,1,0)</f>
        <v>214021</v>
      </c>
      <c r="N816" s="806">
        <f>+VLOOKUP(C816,'BG 2023'!$B:$E,3,0)</f>
        <v>698505102</v>
      </c>
      <c r="O816" s="807">
        <f t="shared" si="61"/>
        <v>698505102</v>
      </c>
      <c r="P816" s="807"/>
      <c r="R816" s="807">
        <f>+IFERROR(VLOOKUP(C816,'CA FE'!$A:$C,3,0),0)+G816</f>
        <v>0</v>
      </c>
      <c r="S816" s="807">
        <f t="shared" si="46"/>
        <v>0</v>
      </c>
    </row>
    <row r="817" spans="1:19">
      <c r="A817" s="354" t="s">
        <v>193</v>
      </c>
      <c r="B817" s="354"/>
      <c r="C817" s="355">
        <v>2140211</v>
      </c>
      <c r="D817" s="354" t="s">
        <v>227</v>
      </c>
      <c r="E817" s="356" t="s">
        <v>634</v>
      </c>
      <c r="F817" s="356" t="str">
        <f t="shared" si="45"/>
        <v>NI</v>
      </c>
      <c r="G817" s="28">
        <f>+IF(F817="i",IFERROR(VLOOKUP(C817,'BG 12.2024'!$B:$E,3,FALSE),0),0)</f>
        <v>0</v>
      </c>
      <c r="H817" s="21">
        <f>+IF(F817="i",IFERROR(VLOOKUP(C817,'BG 12.2024'!$B:$E,4,FALSE),0),0)</f>
        <v>0</v>
      </c>
      <c r="I817" s="21"/>
      <c r="J817" s="28">
        <f>+IF(F817="i",IFERROR(VLOOKUP(C817,'BG 2023'!$B:$E,3,FALSE),0),0)</f>
        <v>0</v>
      </c>
      <c r="K817" s="21">
        <f>+IF(F817="i",IFERROR(VLOOKUP(C817,'BG 2023'!$B:$E,4,FALSE),0),0)</f>
        <v>0</v>
      </c>
      <c r="M817" s="15">
        <f>+VLOOKUP(C817,'BG 2023'!$B:$E,1,0)</f>
        <v>2140211</v>
      </c>
      <c r="N817" s="806">
        <f>+VLOOKUP(C817,'BG 2023'!$B:$E,3,0)</f>
        <v>698505102</v>
      </c>
      <c r="O817" s="807">
        <f t="shared" si="61"/>
        <v>698505102</v>
      </c>
      <c r="P817" s="807"/>
      <c r="R817" s="807">
        <f>+IFERROR(VLOOKUP(C817,'CA FE'!$A:$C,3,0),0)+G817</f>
        <v>0</v>
      </c>
      <c r="S817" s="807">
        <f t="shared" si="46"/>
        <v>0</v>
      </c>
    </row>
    <row r="818" spans="1:19">
      <c r="A818" s="354" t="s">
        <v>193</v>
      </c>
      <c r="B818" s="354"/>
      <c r="C818" s="355">
        <v>21402111</v>
      </c>
      <c r="D818" s="354" t="s">
        <v>227</v>
      </c>
      <c r="E818" s="356" t="s">
        <v>634</v>
      </c>
      <c r="F818" s="356" t="str">
        <f t="shared" si="45"/>
        <v>NI</v>
      </c>
      <c r="G818" s="28">
        <f>+IF(F818="i",IFERROR(VLOOKUP(C818,'BG 12.2024'!$B:$E,3,FALSE),0),0)</f>
        <v>0</v>
      </c>
      <c r="H818" s="21">
        <f>+IF(F818="i",IFERROR(VLOOKUP(C818,'BG 12.2024'!$B:$E,4,FALSE),0),0)</f>
        <v>0</v>
      </c>
      <c r="I818" s="21"/>
      <c r="J818" s="28">
        <f>+IF(F818="i",IFERROR(VLOOKUP(C818,'BG 2023'!$B:$E,3,FALSE),0),0)</f>
        <v>0</v>
      </c>
      <c r="K818" s="21">
        <f>+IF(F818="i",IFERROR(VLOOKUP(C818,'BG 2023'!$B:$E,4,FALSE),0),0)</f>
        <v>0</v>
      </c>
      <c r="M818" s="15">
        <f>+VLOOKUP(C818,'BG 2023'!$B:$E,1,0)</f>
        <v>21402111</v>
      </c>
      <c r="N818" s="806">
        <f>+VLOOKUP(C818,'BG 2023'!$B:$E,3,0)</f>
        <v>698505102</v>
      </c>
      <c r="O818" s="807">
        <f t="shared" si="61"/>
        <v>698505102</v>
      </c>
      <c r="P818" s="807"/>
      <c r="R818" s="807">
        <f>+IFERROR(VLOOKUP(C818,'CA FE'!$A:$C,3,0),0)+G818</f>
        <v>0</v>
      </c>
      <c r="S818" s="807">
        <f t="shared" si="46"/>
        <v>0</v>
      </c>
    </row>
    <row r="819" spans="1:19">
      <c r="A819" s="354" t="s">
        <v>193</v>
      </c>
      <c r="B819" s="354" t="s">
        <v>901</v>
      </c>
      <c r="C819" s="355">
        <v>2140211101</v>
      </c>
      <c r="D819" s="354" t="s">
        <v>228</v>
      </c>
      <c r="E819" s="356" t="s">
        <v>634</v>
      </c>
      <c r="F819" s="356" t="str">
        <f t="shared" si="45"/>
        <v>I</v>
      </c>
      <c r="G819" s="28">
        <f>+IF(F819="i",IFERROR(VLOOKUP(C819,'BG 12.2024'!$B:$E,3,FALSE),0),0)</f>
        <v>1666191338</v>
      </c>
      <c r="H819" s="21">
        <f>+IF(F819="i",IFERROR(VLOOKUP(C819,'BG 12.2024'!$B:$E,4,FALSE),0),0)</f>
        <v>212761.59000000003</v>
      </c>
      <c r="I819" s="21"/>
      <c r="J819" s="28">
        <f>+IF(F819="i",IFERROR(VLOOKUP(C819,'BG 2023'!$B:$E,3,FALSE),0),0)</f>
        <v>426755525</v>
      </c>
      <c r="K819" s="21">
        <f>+IF(F819="i",IFERROR(VLOOKUP(C819,'BG 2023'!$B:$E,4,FALSE),0),0)</f>
        <v>58591.13</v>
      </c>
      <c r="M819" s="15">
        <f>+VLOOKUP(C819,'BG 2023'!$B:$E,1,0)</f>
        <v>2140211101</v>
      </c>
      <c r="N819" s="806">
        <f>+VLOOKUP(C819,'BG 2023'!$B:$E,3,0)</f>
        <v>426755525</v>
      </c>
      <c r="O819" s="807">
        <f t="shared" si="61"/>
        <v>-1239435813</v>
      </c>
      <c r="P819" s="807"/>
      <c r="R819" s="807">
        <f>+IFERROR(VLOOKUP(C819,'CA FE'!$A:$C,3,0),0)+G819</f>
        <v>0</v>
      </c>
      <c r="S819" s="807">
        <f t="shared" si="46"/>
        <v>1239435813</v>
      </c>
    </row>
    <row r="820" spans="1:19">
      <c r="A820" s="354" t="s">
        <v>193</v>
      </c>
      <c r="B820" s="354"/>
      <c r="C820" s="355">
        <v>2140211102</v>
      </c>
      <c r="D820" s="354" t="s">
        <v>902</v>
      </c>
      <c r="E820" s="356" t="s">
        <v>634</v>
      </c>
      <c r="F820" s="356" t="str">
        <f t="shared" si="45"/>
        <v>I</v>
      </c>
      <c r="G820" s="28">
        <f>+IF(F820="i",IFERROR(VLOOKUP(C820,'BG 12.2024'!$B:$E,3,FALSE),0),0)</f>
        <v>0</v>
      </c>
      <c r="H820" s="21">
        <f>+IF(F820="i",IFERROR(VLOOKUP(C820,'BG 12.2024'!$B:$E,4,FALSE),0),0)</f>
        <v>0</v>
      </c>
      <c r="I820" s="21"/>
      <c r="J820" s="28">
        <f>+IF(F820="i",IFERROR(VLOOKUP(C820,'BG 2023'!$B:$E,3,FALSE),0),0)</f>
        <v>0</v>
      </c>
      <c r="K820" s="21">
        <f>+IF(F820="i",IFERROR(VLOOKUP(C820,'BG 2023'!$B:$E,4,FALSE),0),0)</f>
        <v>0</v>
      </c>
      <c r="M820" s="15" t="e">
        <f>+VLOOKUP(C820,'BG 2023'!$B:$E,1,0)</f>
        <v>#N/A</v>
      </c>
      <c r="N820" s="806" t="e">
        <f>+VLOOKUP(C820,'BG 2023'!$B:$E,3,0)</f>
        <v>#N/A</v>
      </c>
      <c r="O820" s="807" t="e">
        <f t="shared" si="61"/>
        <v>#N/A</v>
      </c>
      <c r="P820" s="807"/>
      <c r="R820" s="807">
        <f>+IFERROR(VLOOKUP(C820,'CA FE'!$A:$C,3,0),0)+G820</f>
        <v>0</v>
      </c>
      <c r="S820" s="807">
        <f t="shared" si="46"/>
        <v>0</v>
      </c>
    </row>
    <row r="821" spans="1:19">
      <c r="A821" s="354" t="s">
        <v>193</v>
      </c>
      <c r="B821" s="354"/>
      <c r="C821" s="355">
        <v>2140211103</v>
      </c>
      <c r="D821" s="354" t="s">
        <v>903</v>
      </c>
      <c r="E821" s="356" t="s">
        <v>634</v>
      </c>
      <c r="F821" s="356" t="str">
        <f t="shared" si="45"/>
        <v>I</v>
      </c>
      <c r="G821" s="28">
        <f>+IF(F821="i",IFERROR(VLOOKUP(C821,'BG 12.2024'!$B:$E,3,FALSE),0),0)</f>
        <v>0</v>
      </c>
      <c r="H821" s="21">
        <f>+IF(F821="i",IFERROR(VLOOKUP(C821,'BG 12.2024'!$B:$E,4,FALSE),0),0)</f>
        <v>0</v>
      </c>
      <c r="I821" s="21"/>
      <c r="J821" s="28">
        <f>+IF(F821="i",IFERROR(VLOOKUP(C821,'BG 2023'!$B:$E,3,FALSE),0),0)</f>
        <v>0</v>
      </c>
      <c r="K821" s="21">
        <f>+IF(F821="i",IFERROR(VLOOKUP(C821,'BG 2023'!$B:$E,4,FALSE),0),0)</f>
        <v>0</v>
      </c>
      <c r="M821" s="15" t="e">
        <f>+VLOOKUP(C821,'BG 2023'!$B:$E,1,0)</f>
        <v>#N/A</v>
      </c>
      <c r="N821" s="806" t="e">
        <f>+VLOOKUP(C821,'BG 2023'!$B:$E,3,0)</f>
        <v>#N/A</v>
      </c>
      <c r="O821" s="807" t="e">
        <f t="shared" si="61"/>
        <v>#N/A</v>
      </c>
      <c r="P821" s="807"/>
      <c r="R821" s="807">
        <f>+IFERROR(VLOOKUP(C821,'CA FE'!$A:$C,3,0),0)+G821</f>
        <v>0</v>
      </c>
      <c r="S821" s="807">
        <f t="shared" si="46"/>
        <v>0</v>
      </c>
    </row>
    <row r="822" spans="1:19">
      <c r="A822" s="354" t="s">
        <v>193</v>
      </c>
      <c r="B822" s="354" t="s">
        <v>904</v>
      </c>
      <c r="C822" s="355">
        <v>2140211104</v>
      </c>
      <c r="D822" s="354" t="s">
        <v>229</v>
      </c>
      <c r="E822" s="356" t="s">
        <v>634</v>
      </c>
      <c r="F822" s="356" t="str">
        <f t="shared" si="45"/>
        <v>I</v>
      </c>
      <c r="G822" s="28">
        <f>+IF(F822="i",IFERROR(VLOOKUP(C822,'BG 12.2024'!$B:$E,3,FALSE),0),0)</f>
        <v>252656625</v>
      </c>
      <c r="H822" s="21">
        <f>+IF(F822="i",IFERROR(VLOOKUP(C822,'BG 12.2024'!$B:$E,4,FALSE),0),0)</f>
        <v>32262.579999999954</v>
      </c>
      <c r="I822" s="21"/>
      <c r="J822" s="28">
        <f>+IF(F822="i",IFERROR(VLOOKUP(C822,'BG 2023'!$B:$E,3,FALSE),0),0)</f>
        <v>262610286</v>
      </c>
      <c r="K822" s="21">
        <f>+IF(F822="i",IFERROR(VLOOKUP(C822,'BG 2023'!$B:$E,4,FALSE),0),0)</f>
        <v>36054.910000000003</v>
      </c>
      <c r="M822" s="15">
        <f>+VLOOKUP(C822,'BG 2023'!$B:$E,1,0)</f>
        <v>2140211104</v>
      </c>
      <c r="N822" s="806">
        <f>+VLOOKUP(C822,'BG 2023'!$B:$E,3,0)</f>
        <v>262610286</v>
      </c>
      <c r="O822" s="807">
        <f t="shared" si="61"/>
        <v>9953661</v>
      </c>
      <c r="P822" s="807"/>
      <c r="R822" s="807">
        <f>+IFERROR(VLOOKUP(C822,'CA FE'!$A:$C,3,0),0)+G822</f>
        <v>0</v>
      </c>
      <c r="S822" s="807">
        <f t="shared" si="46"/>
        <v>-9953661</v>
      </c>
    </row>
    <row r="823" spans="1:19">
      <c r="A823" s="354" t="s">
        <v>193</v>
      </c>
      <c r="B823" s="354" t="s">
        <v>905</v>
      </c>
      <c r="C823" s="355">
        <v>2140211105</v>
      </c>
      <c r="D823" s="354" t="s">
        <v>230</v>
      </c>
      <c r="E823" s="356" t="s">
        <v>634</v>
      </c>
      <c r="F823" s="356" t="str">
        <f t="shared" si="45"/>
        <v>I</v>
      </c>
      <c r="G823" s="28">
        <f>+IF(F823="i",IFERROR(VLOOKUP(C823,'BG 12.2024'!$B:$E,3,FALSE),0),0)</f>
        <v>4782626</v>
      </c>
      <c r="H823" s="21">
        <f>+IF(F823="i",IFERROR(VLOOKUP(C823,'BG 12.2024'!$B:$E,4,FALSE),0),0)</f>
        <v>610.70999999999913</v>
      </c>
      <c r="I823" s="21"/>
      <c r="J823" s="28">
        <f>+IF(F823="i",IFERROR(VLOOKUP(C823,'BG 2023'!$B:$E,3,FALSE),0),0)</f>
        <v>3305700</v>
      </c>
      <c r="K823" s="21">
        <f>+IF(F823="i",IFERROR(VLOOKUP(C823,'BG 2023'!$B:$E,4,FALSE),0),0)</f>
        <v>453.84999999999854</v>
      </c>
      <c r="M823" s="15">
        <f>+VLOOKUP(C823,'BG 2023'!$B:$E,1,0)</f>
        <v>2140211105</v>
      </c>
      <c r="N823" s="806">
        <f>+VLOOKUP(C823,'BG 2023'!$B:$E,3,0)</f>
        <v>3305700</v>
      </c>
      <c r="O823" s="807">
        <f t="shared" si="61"/>
        <v>-1476926</v>
      </c>
      <c r="P823" s="807"/>
      <c r="R823" s="807">
        <f>+IFERROR(VLOOKUP(C823,'CA FE'!$A:$C,3,0),0)+G823</f>
        <v>0</v>
      </c>
      <c r="S823" s="807">
        <f t="shared" si="46"/>
        <v>1476926</v>
      </c>
    </row>
    <row r="824" spans="1:19">
      <c r="A824" s="354" t="s">
        <v>193</v>
      </c>
      <c r="B824" s="354" t="s">
        <v>906</v>
      </c>
      <c r="C824" s="355">
        <v>2140211106</v>
      </c>
      <c r="D824" s="354" t="s">
        <v>231</v>
      </c>
      <c r="E824" s="356" t="s">
        <v>634</v>
      </c>
      <c r="F824" s="356" t="str">
        <f t="shared" si="45"/>
        <v>I</v>
      </c>
      <c r="G824" s="28">
        <f>+IF(F824="i",IFERROR(VLOOKUP(C824,'BG 12.2024'!$B:$E,3,FALSE),0),0)</f>
        <v>0</v>
      </c>
      <c r="H824" s="21">
        <f>+IF(F824="i",IFERROR(VLOOKUP(C824,'BG 12.2024'!$B:$E,4,FALSE),0),0)</f>
        <v>0</v>
      </c>
      <c r="I824" s="21"/>
      <c r="J824" s="28">
        <f>+IF(F824="i",IFERROR(VLOOKUP(C824,'BG 2023'!$B:$E,3,FALSE),0),0)</f>
        <v>5833591</v>
      </c>
      <c r="K824" s="21">
        <f>+IF(F824="i",IFERROR(VLOOKUP(C824,'BG 2023'!$B:$E,4,FALSE),0),0)</f>
        <v>800.92000000000189</v>
      </c>
      <c r="M824" s="15">
        <f>+VLOOKUP(C824,'BG 2023'!$B:$E,1,0)</f>
        <v>2140211106</v>
      </c>
      <c r="N824" s="806">
        <f>+VLOOKUP(C824,'BG 2023'!$B:$E,3,0)</f>
        <v>5833591</v>
      </c>
      <c r="O824" s="807">
        <f t="shared" si="61"/>
        <v>5833591</v>
      </c>
      <c r="P824" s="807"/>
      <c r="R824" s="807">
        <f>+IFERROR(VLOOKUP(C824,'CA FE'!$A:$C,3,0),0)+G824</f>
        <v>0</v>
      </c>
      <c r="S824" s="807">
        <f t="shared" si="46"/>
        <v>-5833591</v>
      </c>
    </row>
    <row r="825" spans="1:19">
      <c r="A825" s="354" t="s">
        <v>193</v>
      </c>
      <c r="B825" s="354"/>
      <c r="C825" s="355">
        <v>2140211107</v>
      </c>
      <c r="D825" s="354" t="s">
        <v>907</v>
      </c>
      <c r="E825" s="356" t="s">
        <v>634</v>
      </c>
      <c r="F825" s="356" t="str">
        <f t="shared" si="45"/>
        <v>I</v>
      </c>
      <c r="G825" s="28">
        <f>+IF(F825="i",IFERROR(VLOOKUP(C825,'BG 12.2024'!$B:$E,3,FALSE),0),0)</f>
        <v>0</v>
      </c>
      <c r="H825" s="21">
        <f>+IF(F825="i",IFERROR(VLOOKUP(C825,'BG 12.2024'!$B:$E,4,FALSE),0),0)</f>
        <v>0</v>
      </c>
      <c r="I825" s="21"/>
      <c r="J825" s="28">
        <f>+IF(F825="i",IFERROR(VLOOKUP(C825,'BG 2023'!$B:$E,3,FALSE),0),0)</f>
        <v>0</v>
      </c>
      <c r="K825" s="21">
        <f>+IF(F825="i",IFERROR(VLOOKUP(C825,'BG 2023'!$B:$E,4,FALSE),0),0)</f>
        <v>0</v>
      </c>
      <c r="M825" s="15" t="e">
        <f>+VLOOKUP(C825,'BG 2023'!$B:$E,1,0)</f>
        <v>#N/A</v>
      </c>
      <c r="N825" s="806" t="e">
        <f>+VLOOKUP(C825,'BG 2023'!$B:$E,3,0)</f>
        <v>#N/A</v>
      </c>
      <c r="O825" s="807" t="e">
        <f t="shared" si="61"/>
        <v>#N/A</v>
      </c>
      <c r="P825" s="807"/>
      <c r="R825" s="807">
        <f>+IFERROR(VLOOKUP(C825,'CA FE'!$A:$C,3,0),0)+G825</f>
        <v>0</v>
      </c>
      <c r="S825" s="807">
        <f t="shared" si="46"/>
        <v>0</v>
      </c>
    </row>
    <row r="826" spans="1:19">
      <c r="A826" s="354" t="s">
        <v>193</v>
      </c>
      <c r="B826" s="354" t="s">
        <v>863</v>
      </c>
      <c r="C826" s="355">
        <v>2140211108</v>
      </c>
      <c r="D826" s="354" t="s">
        <v>908</v>
      </c>
      <c r="E826" s="356" t="s">
        <v>634</v>
      </c>
      <c r="F826" s="356" t="str">
        <f t="shared" si="45"/>
        <v>I</v>
      </c>
      <c r="G826" s="28">
        <f>+IF(F826="i",IFERROR(VLOOKUP(C826,'BG 12.2024'!$B:$E,3,FALSE),0),0)</f>
        <v>91944</v>
      </c>
      <c r="H826" s="21">
        <f>+IF(F826="i",IFERROR(VLOOKUP(C826,'BG 12.2024'!$B:$E,4,FALSE),0),0)</f>
        <v>11.74</v>
      </c>
      <c r="I826" s="21"/>
      <c r="J826" s="28">
        <f>+IF(F826="i",IFERROR(VLOOKUP(C826,'BG 2023'!$B:$E,3,FALSE),0),0)</f>
        <v>0</v>
      </c>
      <c r="K826" s="21">
        <f>+IF(F826="i",IFERROR(VLOOKUP(C826,'BG 2023'!$B:$E,4,FALSE),0),0)</f>
        <v>0</v>
      </c>
      <c r="M826" s="15" t="e">
        <f>+VLOOKUP(C826,'BG 2023'!$B:$E,1,0)</f>
        <v>#N/A</v>
      </c>
      <c r="N826" s="806" t="e">
        <f>+VLOOKUP(C826,'BG 2023'!$B:$E,3,0)</f>
        <v>#N/A</v>
      </c>
      <c r="O826" s="807" t="e">
        <f t="shared" si="61"/>
        <v>#N/A</v>
      </c>
      <c r="P826" s="807"/>
      <c r="R826" s="807">
        <f>+IFERROR(VLOOKUP(C826,'CA FE'!$A:$C,3,0),0)+G826</f>
        <v>0</v>
      </c>
      <c r="S826" s="807">
        <f t="shared" si="46"/>
        <v>91944</v>
      </c>
    </row>
    <row r="827" spans="1:19">
      <c r="A827" s="354" t="s">
        <v>193</v>
      </c>
      <c r="B827" s="354"/>
      <c r="C827" s="355">
        <v>21403</v>
      </c>
      <c r="D827" s="354" t="s">
        <v>232</v>
      </c>
      <c r="E827" s="356" t="s">
        <v>634</v>
      </c>
      <c r="F827" s="356" t="str">
        <f t="shared" si="45"/>
        <v>NI</v>
      </c>
      <c r="G827" s="28">
        <f>+IF(F827="i",IFERROR(VLOOKUP(C827,'BG 12.2024'!$B:$E,3,FALSE),0),0)</f>
        <v>0</v>
      </c>
      <c r="H827" s="21">
        <f>+IF(F827="i",IFERROR(VLOOKUP(C827,'BG 12.2024'!$B:$E,4,FALSE),0),0)</f>
        <v>0</v>
      </c>
      <c r="I827" s="21"/>
      <c r="J827" s="28">
        <f>+IF(F827="i",IFERROR(VLOOKUP(C827,'BG 2023'!$B:$E,3,FALSE),0),0)</f>
        <v>0</v>
      </c>
      <c r="K827" s="21">
        <f>+IF(F827="i",IFERROR(VLOOKUP(C827,'BG 2023'!$B:$E,4,FALSE),0),0)</f>
        <v>0</v>
      </c>
      <c r="M827" s="15">
        <f>+VLOOKUP(C827,'BG 2023'!$B:$E,1,0)</f>
        <v>21403</v>
      </c>
      <c r="N827" s="806">
        <f>+VLOOKUP(C827,'BG 2023'!$B:$E,3,0)</f>
        <v>60089865</v>
      </c>
      <c r="O827" s="807">
        <f t="shared" si="61"/>
        <v>60089865</v>
      </c>
      <c r="P827" s="807"/>
      <c r="R827" s="807">
        <f>+IFERROR(VLOOKUP(C827,'CA FE'!$A:$C,3,0),0)+G827</f>
        <v>0</v>
      </c>
      <c r="S827" s="807">
        <f t="shared" si="46"/>
        <v>0</v>
      </c>
    </row>
    <row r="828" spans="1:19">
      <c r="A828" s="354" t="s">
        <v>193</v>
      </c>
      <c r="B828" s="354"/>
      <c r="C828" s="355">
        <v>214031</v>
      </c>
      <c r="D828" s="354" t="s">
        <v>233</v>
      </c>
      <c r="E828" s="356" t="s">
        <v>634</v>
      </c>
      <c r="F828" s="356" t="str">
        <f t="shared" si="45"/>
        <v>NI</v>
      </c>
      <c r="G828" s="28">
        <f>+IF(F828="i",IFERROR(VLOOKUP(C828,'BG 12.2024'!$B:$E,3,FALSE),0),0)</f>
        <v>0</v>
      </c>
      <c r="H828" s="21">
        <f>+IF(F828="i",IFERROR(VLOOKUP(C828,'BG 12.2024'!$B:$E,4,FALSE),0),0)</f>
        <v>0</v>
      </c>
      <c r="I828" s="21"/>
      <c r="J828" s="28">
        <f>+IF(F828="i",IFERROR(VLOOKUP(C828,'BG 2023'!$B:$E,3,FALSE),0),0)</f>
        <v>0</v>
      </c>
      <c r="K828" s="21">
        <f>+IF(F828="i",IFERROR(VLOOKUP(C828,'BG 2023'!$B:$E,4,FALSE),0),0)</f>
        <v>0</v>
      </c>
      <c r="M828" s="15">
        <f>+VLOOKUP(C828,'BG 2023'!$B:$E,1,0)</f>
        <v>214031</v>
      </c>
      <c r="N828" s="806">
        <f>+VLOOKUP(C828,'BG 2023'!$B:$E,3,0)</f>
        <v>60089865</v>
      </c>
      <c r="O828" s="807">
        <f t="shared" si="61"/>
        <v>60089865</v>
      </c>
      <c r="P828" s="807"/>
      <c r="R828" s="807">
        <f>+IFERROR(VLOOKUP(C828,'CA FE'!$A:$C,3,0),0)+G828</f>
        <v>0</v>
      </c>
      <c r="S828" s="807">
        <f t="shared" si="46"/>
        <v>0</v>
      </c>
    </row>
    <row r="829" spans="1:19">
      <c r="A829" s="354" t="s">
        <v>193</v>
      </c>
      <c r="B829" s="354"/>
      <c r="C829" s="355">
        <v>2140311</v>
      </c>
      <c r="D829" s="354" t="s">
        <v>233</v>
      </c>
      <c r="E829" s="356" t="s">
        <v>634</v>
      </c>
      <c r="F829" s="356" t="str">
        <f t="shared" si="45"/>
        <v>NI</v>
      </c>
      <c r="G829" s="28">
        <f>+IF(F829="i",IFERROR(VLOOKUP(C829,'BG 12.2024'!$B:$E,3,FALSE),0),0)</f>
        <v>0</v>
      </c>
      <c r="H829" s="21">
        <f>+IF(F829="i",IFERROR(VLOOKUP(C829,'BG 12.2024'!$B:$E,4,FALSE),0),0)</f>
        <v>0</v>
      </c>
      <c r="I829" s="21"/>
      <c r="J829" s="28">
        <f>+IF(F829="i",IFERROR(VLOOKUP(C829,'BG 2023'!$B:$E,3,FALSE),0),0)</f>
        <v>0</v>
      </c>
      <c r="K829" s="21">
        <f>+IF(F829="i",IFERROR(VLOOKUP(C829,'BG 2023'!$B:$E,4,FALSE),0),0)</f>
        <v>0</v>
      </c>
      <c r="M829" s="15">
        <f>+VLOOKUP(C829,'BG 2023'!$B:$E,1,0)</f>
        <v>2140311</v>
      </c>
      <c r="N829" s="806">
        <f>+VLOOKUP(C829,'BG 2023'!$B:$E,3,0)</f>
        <v>60089865</v>
      </c>
      <c r="O829" s="807">
        <f t="shared" si="61"/>
        <v>60089865</v>
      </c>
      <c r="P829" s="807"/>
      <c r="R829" s="807">
        <f>+IFERROR(VLOOKUP(C829,'CA FE'!$A:$C,3,0),0)+G829</f>
        <v>0</v>
      </c>
      <c r="S829" s="807">
        <f t="shared" si="46"/>
        <v>0</v>
      </c>
    </row>
    <row r="830" spans="1:19">
      <c r="A830" s="354" t="s">
        <v>193</v>
      </c>
      <c r="B830" s="354"/>
      <c r="C830" s="355">
        <v>21403111</v>
      </c>
      <c r="D830" s="354" t="s">
        <v>233</v>
      </c>
      <c r="E830" s="356" t="s">
        <v>634</v>
      </c>
      <c r="F830" s="356" t="str">
        <f t="shared" si="45"/>
        <v>NI</v>
      </c>
      <c r="G830" s="28">
        <f>+IF(F830="i",IFERROR(VLOOKUP(C830,'BG 12.2024'!$B:$E,3,FALSE),0),0)</f>
        <v>0</v>
      </c>
      <c r="H830" s="21">
        <f>+IF(F830="i",IFERROR(VLOOKUP(C830,'BG 12.2024'!$B:$E,4,FALSE),0),0)</f>
        <v>0</v>
      </c>
      <c r="I830" s="21"/>
      <c r="J830" s="28">
        <f>+IF(F830="i",IFERROR(VLOOKUP(C830,'BG 2023'!$B:$E,3,FALSE),0),0)</f>
        <v>0</v>
      </c>
      <c r="K830" s="21">
        <f>+IF(F830="i",IFERROR(VLOOKUP(C830,'BG 2023'!$B:$E,4,FALSE),0),0)</f>
        <v>0</v>
      </c>
      <c r="M830" s="15">
        <f>+VLOOKUP(C830,'BG 2023'!$B:$E,1,0)</f>
        <v>21403111</v>
      </c>
      <c r="N830" s="806">
        <f>+VLOOKUP(C830,'BG 2023'!$B:$E,3,0)</f>
        <v>60089865</v>
      </c>
      <c r="O830" s="807">
        <f t="shared" si="61"/>
        <v>60089865</v>
      </c>
      <c r="P830" s="807"/>
      <c r="R830" s="807">
        <f>+IFERROR(VLOOKUP(C830,'CA FE'!$A:$C,3,0),0)+G830</f>
        <v>0</v>
      </c>
      <c r="S830" s="807">
        <f t="shared" si="46"/>
        <v>0</v>
      </c>
    </row>
    <row r="831" spans="1:19" ht="12">
      <c r="A831" s="354" t="s">
        <v>193</v>
      </c>
      <c r="B831" s="354" t="s">
        <v>863</v>
      </c>
      <c r="C831" s="355">
        <v>2140311101</v>
      </c>
      <c r="D831" s="354" t="s">
        <v>453</v>
      </c>
      <c r="E831" s="356" t="s">
        <v>640</v>
      </c>
      <c r="F831" s="356" t="str">
        <f t="shared" si="45"/>
        <v>I</v>
      </c>
      <c r="G831" s="1377">
        <f>+IF(F831="i",IFERROR(VLOOKUP(C831,'BG 12.2024'!$B:$E,3,FALSE),0),0)</f>
        <v>89894172</v>
      </c>
      <c r="H831" s="21">
        <f>+IF(F831="i",IFERROR(VLOOKUP(C831,'BG 12.2024'!$B:$E,4,FALSE),0),0)</f>
        <v>11478.890000000007</v>
      </c>
      <c r="I831" s="21"/>
      <c r="J831" s="28">
        <f>+IF(F831="i",IFERROR(VLOOKUP(C831,'BG 2023'!$B:$E,3,FALSE),0),0)</f>
        <v>60089865</v>
      </c>
      <c r="K831" s="21">
        <f>+IF(F831="i",IFERROR(VLOOKUP(C831,'BG 2023'!$B:$E,4,FALSE),0),0)</f>
        <v>8250</v>
      </c>
      <c r="M831" s="15">
        <f>+VLOOKUP(C831,'BG 2023'!$B:$E,1,0)</f>
        <v>2140311101</v>
      </c>
      <c r="N831" s="806">
        <f>+VLOOKUP(C831,'BG 2023'!$B:$E,3,0)</f>
        <v>60089865</v>
      </c>
      <c r="O831" s="807">
        <f t="shared" si="61"/>
        <v>-29804307</v>
      </c>
      <c r="P831" s="807"/>
      <c r="R831" s="807">
        <f>+IFERROR(VLOOKUP(C831,'CA FE'!$A:$C,3,0),0)+G831</f>
        <v>0</v>
      </c>
      <c r="S831" s="807">
        <f t="shared" si="46"/>
        <v>29804307</v>
      </c>
    </row>
    <row r="832" spans="1:19">
      <c r="A832" s="354" t="s">
        <v>193</v>
      </c>
      <c r="B832" s="354"/>
      <c r="C832" s="355">
        <v>2140311102</v>
      </c>
      <c r="D832" s="354" t="s">
        <v>909</v>
      </c>
      <c r="E832" s="356" t="s">
        <v>634</v>
      </c>
      <c r="F832" s="356" t="str">
        <f t="shared" ref="F832:F881" si="62">+IF(LEN(C832)&gt;8,"I","NI")</f>
        <v>I</v>
      </c>
      <c r="G832" s="28">
        <f>+IF(F832="i",IFERROR(VLOOKUP(C832,'BG 12.2024'!$B:$E,3,FALSE),0),0)</f>
        <v>0</v>
      </c>
      <c r="H832" s="21">
        <f>+IF(F832="i",IFERROR(VLOOKUP(C832,'BG 12.2024'!$B:$E,4,FALSE),0),0)</f>
        <v>0</v>
      </c>
      <c r="I832" s="21"/>
      <c r="J832" s="28">
        <f>+IF(F832="i",IFERROR(VLOOKUP(C832,'BG 2023'!$B:$E,3,FALSE),0),0)</f>
        <v>0</v>
      </c>
      <c r="K832" s="21">
        <f>+IF(F832="i",IFERROR(VLOOKUP(C832,'BG 2023'!$B:$E,4,FALSE),0),0)</f>
        <v>0</v>
      </c>
      <c r="M832" s="15" t="e">
        <f>+VLOOKUP(C832,'BG 2023'!$B:$E,1,0)</f>
        <v>#N/A</v>
      </c>
      <c r="N832" s="806" t="e">
        <f>+VLOOKUP(C832,'BG 2023'!$B:$E,3,0)</f>
        <v>#N/A</v>
      </c>
      <c r="O832" s="807" t="e">
        <f t="shared" si="61"/>
        <v>#N/A</v>
      </c>
      <c r="P832" s="807"/>
      <c r="R832" s="807">
        <f>+IFERROR(VLOOKUP(C832,'CA FE'!$A:$C,3,0),0)+G832</f>
        <v>0</v>
      </c>
      <c r="S832" s="807">
        <f t="shared" si="46"/>
        <v>0</v>
      </c>
    </row>
    <row r="833" spans="1:19">
      <c r="A833" s="354" t="s">
        <v>193</v>
      </c>
      <c r="B833" s="354"/>
      <c r="C833" s="355">
        <v>2140311103</v>
      </c>
      <c r="D833" s="354" t="s">
        <v>910</v>
      </c>
      <c r="E833" s="356" t="s">
        <v>634</v>
      </c>
      <c r="F833" s="356" t="str">
        <f t="shared" si="62"/>
        <v>I</v>
      </c>
      <c r="G833" s="28">
        <f>+IF(F833="i",IFERROR(VLOOKUP(C833,'BG 12.2024'!$B:$E,3,FALSE),0),0)</f>
        <v>0</v>
      </c>
      <c r="H833" s="21">
        <f>+IF(F833="i",IFERROR(VLOOKUP(C833,'BG 12.2024'!$B:$E,4,FALSE),0),0)</f>
        <v>0</v>
      </c>
      <c r="I833" s="21"/>
      <c r="J833" s="28">
        <f>+IF(F833="i",IFERROR(VLOOKUP(C833,'BG 2023'!$B:$E,3,FALSE),0),0)</f>
        <v>0</v>
      </c>
      <c r="K833" s="21">
        <f>+IF(F833="i",IFERROR(VLOOKUP(C833,'BG 2023'!$B:$E,4,FALSE),0),0)</f>
        <v>0</v>
      </c>
      <c r="M833" s="15" t="e">
        <f>+VLOOKUP(C833,'BG 2023'!$B:$E,1,0)</f>
        <v>#N/A</v>
      </c>
      <c r="N833" s="806" t="e">
        <f>+VLOOKUP(C833,'BG 2023'!$B:$E,3,0)</f>
        <v>#N/A</v>
      </c>
      <c r="O833" s="807" t="e">
        <f t="shared" si="61"/>
        <v>#N/A</v>
      </c>
      <c r="P833" s="807"/>
      <c r="R833" s="807">
        <f>+IFERROR(VLOOKUP(C833,'CA FE'!$A:$C,3,0),0)+G833</f>
        <v>0</v>
      </c>
      <c r="S833" s="807">
        <f t="shared" si="46"/>
        <v>0</v>
      </c>
    </row>
    <row r="834" spans="1:19">
      <c r="A834" s="354" t="s">
        <v>193</v>
      </c>
      <c r="B834" s="354"/>
      <c r="C834" s="355">
        <v>2140311104</v>
      </c>
      <c r="D834" s="354" t="s">
        <v>911</v>
      </c>
      <c r="E834" s="356" t="s">
        <v>634</v>
      </c>
      <c r="F834" s="356" t="str">
        <f t="shared" si="62"/>
        <v>I</v>
      </c>
      <c r="G834" s="28">
        <f>+IF(F834="i",IFERROR(VLOOKUP(C834,'BG 12.2024'!$B:$E,3,FALSE),0),0)</f>
        <v>0</v>
      </c>
      <c r="H834" s="21">
        <f>+IF(F834="i",IFERROR(VLOOKUP(C834,'BG 12.2024'!$B:$E,4,FALSE),0),0)</f>
        <v>0</v>
      </c>
      <c r="I834" s="21"/>
      <c r="J834" s="28">
        <f>+IF(F834="i",IFERROR(VLOOKUP(C834,'BG 2023'!$B:$E,3,FALSE),0),0)</f>
        <v>0</v>
      </c>
      <c r="K834" s="21">
        <f>+IF(F834="i",IFERROR(VLOOKUP(C834,'BG 2023'!$B:$E,4,FALSE),0),0)</f>
        <v>0</v>
      </c>
      <c r="M834" s="15" t="e">
        <f>+VLOOKUP(C834,'BG 2023'!$B:$E,1,0)</f>
        <v>#N/A</v>
      </c>
      <c r="N834" s="806" t="e">
        <f>+VLOOKUP(C834,'BG 2023'!$B:$E,3,0)</f>
        <v>#N/A</v>
      </c>
      <c r="O834" s="807" t="e">
        <f t="shared" si="61"/>
        <v>#N/A</v>
      </c>
      <c r="P834" s="807"/>
      <c r="R834" s="807">
        <f>+IFERROR(VLOOKUP(C834,'CA FE'!$A:$C,3,0),0)+G834</f>
        <v>0</v>
      </c>
      <c r="S834" s="807">
        <f t="shared" si="46"/>
        <v>0</v>
      </c>
    </row>
    <row r="835" spans="1:19">
      <c r="A835" s="354" t="s">
        <v>193</v>
      </c>
      <c r="B835" s="354"/>
      <c r="C835" s="355">
        <v>2140311197</v>
      </c>
      <c r="D835" s="354" t="s">
        <v>912</v>
      </c>
      <c r="E835" s="356" t="s">
        <v>634</v>
      </c>
      <c r="F835" s="356" t="str">
        <f t="shared" si="62"/>
        <v>I</v>
      </c>
      <c r="G835" s="28">
        <f>+IF(F835="i",IFERROR(VLOOKUP(C835,'BG 12.2024'!$B:$E,3,FALSE),0),0)</f>
        <v>0</v>
      </c>
      <c r="H835" s="21">
        <f>+IF(F835="i",IFERROR(VLOOKUP(C835,'BG 12.2024'!$B:$E,4,FALSE),0),0)</f>
        <v>0</v>
      </c>
      <c r="I835" s="21"/>
      <c r="J835" s="28">
        <f>+IF(F835="i",IFERROR(VLOOKUP(C835,'BG 2023'!$B:$E,3,FALSE),0),0)</f>
        <v>0</v>
      </c>
      <c r="K835" s="21">
        <f>+IF(F835="i",IFERROR(VLOOKUP(C835,'BG 2023'!$B:$E,4,FALSE),0),0)</f>
        <v>0</v>
      </c>
      <c r="M835" s="15" t="e">
        <f>+VLOOKUP(C835,'BG 2023'!$B:$E,1,0)</f>
        <v>#N/A</v>
      </c>
      <c r="N835" s="806" t="e">
        <f>+VLOOKUP(C835,'BG 2023'!$B:$E,3,0)</f>
        <v>#N/A</v>
      </c>
      <c r="O835" s="807" t="e">
        <f t="shared" si="61"/>
        <v>#N/A</v>
      </c>
      <c r="P835" s="807"/>
      <c r="R835" s="807">
        <f>+IFERROR(VLOOKUP(C835,'CA FE'!$A:$C,3,0),0)+G835</f>
        <v>0</v>
      </c>
      <c r="S835" s="807">
        <f t="shared" si="46"/>
        <v>0</v>
      </c>
    </row>
    <row r="836" spans="1:19">
      <c r="A836" s="354" t="s">
        <v>193</v>
      </c>
      <c r="B836" s="354"/>
      <c r="C836" s="355">
        <v>2140311198</v>
      </c>
      <c r="D836" s="354" t="s">
        <v>913</v>
      </c>
      <c r="E836" s="356" t="s">
        <v>634</v>
      </c>
      <c r="F836" s="356" t="str">
        <f t="shared" si="62"/>
        <v>I</v>
      </c>
      <c r="G836" s="28">
        <f>+IF(F836="i",IFERROR(VLOOKUP(C836,'BG 12.2024'!$B:$E,3,FALSE),0),0)</f>
        <v>0</v>
      </c>
      <c r="H836" s="21">
        <f>+IF(F836="i",IFERROR(VLOOKUP(C836,'BG 12.2024'!$B:$E,4,FALSE),0),0)</f>
        <v>0</v>
      </c>
      <c r="I836" s="21"/>
      <c r="J836" s="28">
        <f>+IF(F836="i",IFERROR(VLOOKUP(C836,'BG 2023'!$B:$E,3,FALSE),0),0)</f>
        <v>0</v>
      </c>
      <c r="K836" s="21">
        <f>+IF(F836="i",IFERROR(VLOOKUP(C836,'BG 2023'!$B:$E,4,FALSE),0),0)</f>
        <v>0</v>
      </c>
      <c r="M836" s="15" t="e">
        <f>+VLOOKUP(C836,'BG 2023'!$B:$E,1,0)</f>
        <v>#N/A</v>
      </c>
      <c r="N836" s="806" t="e">
        <f>+VLOOKUP(C836,'BG 2023'!$B:$E,3,0)</f>
        <v>#N/A</v>
      </c>
      <c r="O836" s="807" t="e">
        <f t="shared" si="61"/>
        <v>#N/A</v>
      </c>
      <c r="P836" s="807"/>
      <c r="R836" s="807">
        <f>+IFERROR(VLOOKUP(C836,'CA FE'!$A:$C,3,0),0)+G836</f>
        <v>0</v>
      </c>
      <c r="S836" s="807">
        <f t="shared" si="46"/>
        <v>0</v>
      </c>
    </row>
    <row r="837" spans="1:19">
      <c r="A837" s="354" t="s">
        <v>193</v>
      </c>
      <c r="B837" s="354" t="s">
        <v>863</v>
      </c>
      <c r="C837" s="355">
        <v>2140311199</v>
      </c>
      <c r="D837" s="354" t="s">
        <v>914</v>
      </c>
      <c r="E837" s="356" t="s">
        <v>640</v>
      </c>
      <c r="F837" s="356" t="str">
        <f t="shared" si="62"/>
        <v>I</v>
      </c>
      <c r="G837" s="28">
        <f>+IF(F837="i",IFERROR(VLOOKUP(C837,'BG 12.2024'!$B:$E,3,FALSE),0),0)</f>
        <v>430719</v>
      </c>
      <c r="H837" s="21">
        <f>+IF(F837="i",IFERROR(VLOOKUP(C837,'BG 12.2024'!$B:$E,4,FALSE),0),0)</f>
        <v>55</v>
      </c>
      <c r="I837" s="21"/>
      <c r="J837" s="28">
        <f>+IF(F837="i",IFERROR(VLOOKUP(C837,'BG 2023'!$B:$E,3,FALSE),0),0)</f>
        <v>0</v>
      </c>
      <c r="K837" s="21">
        <f>+IF(F837="i",IFERROR(VLOOKUP(C837,'BG 2023'!$B:$E,4,FALSE),0),0)</f>
        <v>0</v>
      </c>
      <c r="M837" s="15" t="e">
        <f>+VLOOKUP(C837,'BG 2023'!$B:$E,1,0)</f>
        <v>#N/A</v>
      </c>
      <c r="N837" s="806" t="e">
        <f>+VLOOKUP(C837,'BG 2023'!$B:$E,3,0)</f>
        <v>#N/A</v>
      </c>
      <c r="O837" s="807" t="e">
        <f t="shared" si="61"/>
        <v>#N/A</v>
      </c>
      <c r="P837" s="807"/>
      <c r="R837" s="807">
        <f>+IFERROR(VLOOKUP(C837,'CA FE'!$A:$C,3,0),0)+G837</f>
        <v>0</v>
      </c>
      <c r="S837" s="807">
        <f t="shared" si="46"/>
        <v>430719</v>
      </c>
    </row>
    <row r="838" spans="1:19">
      <c r="A838" s="354" t="s">
        <v>193</v>
      </c>
      <c r="B838" s="354"/>
      <c r="C838" s="355">
        <v>21404</v>
      </c>
      <c r="D838" s="354" t="s">
        <v>547</v>
      </c>
      <c r="E838" s="356" t="s">
        <v>634</v>
      </c>
      <c r="F838" s="356" t="str">
        <f t="shared" si="62"/>
        <v>NI</v>
      </c>
      <c r="G838" s="28">
        <f>+IF(F838="i",IFERROR(VLOOKUP(C838,'BG 12.2024'!$B:$E,3,FALSE),0),0)</f>
        <v>0</v>
      </c>
      <c r="H838" s="21">
        <f>+IF(F838="i",IFERROR(VLOOKUP(C838,'BG 12.2024'!$B:$E,4,FALSE),0),0)</f>
        <v>0</v>
      </c>
      <c r="I838" s="21"/>
      <c r="J838" s="28">
        <f>+IF(F838="i",IFERROR(VLOOKUP(C838,'BG 2023'!$B:$E,3,FALSE),0),0)</f>
        <v>0</v>
      </c>
      <c r="K838" s="21">
        <f>+IF(F838="i",IFERROR(VLOOKUP(C838,'BG 2023'!$B:$E,4,FALSE),0),0)</f>
        <v>0</v>
      </c>
      <c r="M838" s="15" t="e">
        <f>+VLOOKUP(C838,'BG 2023'!$B:$E,1,0)</f>
        <v>#N/A</v>
      </c>
      <c r="N838" s="806" t="e">
        <f>+VLOOKUP(C838,'BG 2023'!$B:$E,3,0)</f>
        <v>#N/A</v>
      </c>
      <c r="O838" s="807" t="e">
        <f t="shared" si="61"/>
        <v>#N/A</v>
      </c>
      <c r="P838" s="807"/>
      <c r="R838" s="807">
        <f>+IFERROR(VLOOKUP(C838,'CA FE'!$A:$C,3,0),0)+G838</f>
        <v>0</v>
      </c>
      <c r="S838" s="807">
        <f t="shared" si="46"/>
        <v>0</v>
      </c>
    </row>
    <row r="839" spans="1:19">
      <c r="A839" s="354" t="s">
        <v>193</v>
      </c>
      <c r="B839" s="354"/>
      <c r="C839" s="355">
        <v>214041</v>
      </c>
      <c r="D839" s="354" t="s">
        <v>547</v>
      </c>
      <c r="E839" s="356" t="s">
        <v>634</v>
      </c>
      <c r="F839" s="356" t="str">
        <f t="shared" si="62"/>
        <v>NI</v>
      </c>
      <c r="G839" s="28">
        <f>+IF(F839="i",IFERROR(VLOOKUP(C839,'BG 12.2024'!$B:$E,3,FALSE),0),0)</f>
        <v>0</v>
      </c>
      <c r="H839" s="21">
        <f>+IF(F839="i",IFERROR(VLOOKUP(C839,'BG 12.2024'!$B:$E,4,FALSE),0),0)</f>
        <v>0</v>
      </c>
      <c r="I839" s="21"/>
      <c r="J839" s="28">
        <f>+IF(F839="i",IFERROR(VLOOKUP(C839,'BG 2023'!$B:$E,3,FALSE),0),0)</f>
        <v>0</v>
      </c>
      <c r="K839" s="21">
        <f>+IF(F839="i",IFERROR(VLOOKUP(C839,'BG 2023'!$B:$E,4,FALSE),0),0)</f>
        <v>0</v>
      </c>
      <c r="M839" s="15" t="e">
        <f>+VLOOKUP(C839,'BG 2023'!$B:$E,1,0)</f>
        <v>#N/A</v>
      </c>
      <c r="N839" s="806" t="e">
        <f>+VLOOKUP(C839,'BG 2023'!$B:$E,3,0)</f>
        <v>#N/A</v>
      </c>
      <c r="O839" s="807" t="e">
        <f t="shared" si="61"/>
        <v>#N/A</v>
      </c>
      <c r="P839" s="807"/>
      <c r="R839" s="807">
        <f>+IFERROR(VLOOKUP(C839,'CA FE'!$A:$C,3,0),0)+G839</f>
        <v>0</v>
      </c>
      <c r="S839" s="807">
        <f t="shared" si="46"/>
        <v>0</v>
      </c>
    </row>
    <row r="840" spans="1:19">
      <c r="A840" s="354" t="s">
        <v>193</v>
      </c>
      <c r="B840" s="354"/>
      <c r="C840" s="355">
        <v>2140411</v>
      </c>
      <c r="D840" s="354" t="s">
        <v>547</v>
      </c>
      <c r="E840" s="356" t="s">
        <v>634</v>
      </c>
      <c r="F840" s="356" t="str">
        <f t="shared" si="62"/>
        <v>NI</v>
      </c>
      <c r="G840" s="28">
        <f>+IF(F840="i",IFERROR(VLOOKUP(C840,'BG 12.2024'!$B:$E,3,FALSE),0),0)</f>
        <v>0</v>
      </c>
      <c r="H840" s="21">
        <f>+IF(F840="i",IFERROR(VLOOKUP(C840,'BG 12.2024'!$B:$E,4,FALSE),0),0)</f>
        <v>0</v>
      </c>
      <c r="I840" s="21"/>
      <c r="J840" s="28">
        <f>+IF(F840="i",IFERROR(VLOOKUP(C840,'BG 2023'!$B:$E,3,FALSE),0),0)</f>
        <v>0</v>
      </c>
      <c r="K840" s="21">
        <f>+IF(F840="i",IFERROR(VLOOKUP(C840,'BG 2023'!$B:$E,4,FALSE),0),0)</f>
        <v>0</v>
      </c>
      <c r="M840" s="15" t="e">
        <f>+VLOOKUP(C840,'BG 2023'!$B:$E,1,0)</f>
        <v>#N/A</v>
      </c>
      <c r="N840" s="806" t="e">
        <f>+VLOOKUP(C840,'BG 2023'!$B:$E,3,0)</f>
        <v>#N/A</v>
      </c>
      <c r="O840" s="807" t="e">
        <f t="shared" si="61"/>
        <v>#N/A</v>
      </c>
      <c r="P840" s="807"/>
      <c r="R840" s="807">
        <f>+IFERROR(VLOOKUP(C840,'CA FE'!$A:$C,3,0),0)+G840</f>
        <v>0</v>
      </c>
      <c r="S840" s="807">
        <f t="shared" si="46"/>
        <v>0</v>
      </c>
    </row>
    <row r="841" spans="1:19">
      <c r="A841" s="354" t="s">
        <v>193</v>
      </c>
      <c r="B841" s="354"/>
      <c r="C841" s="355">
        <v>21404111</v>
      </c>
      <c r="D841" s="354" t="s">
        <v>547</v>
      </c>
      <c r="E841" s="356" t="s">
        <v>634</v>
      </c>
      <c r="F841" s="356" t="str">
        <f t="shared" si="62"/>
        <v>NI</v>
      </c>
      <c r="G841" s="28">
        <f>+IF(F841="i",IFERROR(VLOOKUP(C841,'BG 12.2024'!$B:$E,3,FALSE),0),0)</f>
        <v>0</v>
      </c>
      <c r="H841" s="21">
        <f>+IF(F841="i",IFERROR(VLOOKUP(C841,'BG 12.2024'!$B:$E,4,FALSE),0),0)</f>
        <v>0</v>
      </c>
      <c r="I841" s="21"/>
      <c r="J841" s="28">
        <f>+IF(F841="i",IFERROR(VLOOKUP(C841,'BG 2023'!$B:$E,3,FALSE),0),0)</f>
        <v>0</v>
      </c>
      <c r="K841" s="21">
        <f>+IF(F841="i",IFERROR(VLOOKUP(C841,'BG 2023'!$B:$E,4,FALSE),0),0)</f>
        <v>0</v>
      </c>
      <c r="M841" s="15" t="e">
        <f>+VLOOKUP(C841,'BG 2023'!$B:$E,1,0)</f>
        <v>#N/A</v>
      </c>
      <c r="N841" s="806" t="e">
        <f>+VLOOKUP(C841,'BG 2023'!$B:$E,3,0)</f>
        <v>#N/A</v>
      </c>
      <c r="O841" s="807" t="e">
        <f t="shared" si="61"/>
        <v>#N/A</v>
      </c>
      <c r="P841" s="807"/>
      <c r="R841" s="807">
        <f>+IFERROR(VLOOKUP(C841,'CA FE'!$A:$C,3,0),0)+G841</f>
        <v>0</v>
      </c>
      <c r="S841" s="807">
        <f t="shared" si="46"/>
        <v>0</v>
      </c>
    </row>
    <row r="842" spans="1:19">
      <c r="A842" s="354" t="s">
        <v>193</v>
      </c>
      <c r="B842" s="354"/>
      <c r="C842" s="355">
        <v>2140411101</v>
      </c>
      <c r="D842" s="354" t="s">
        <v>915</v>
      </c>
      <c r="E842" s="356" t="s">
        <v>634</v>
      </c>
      <c r="F842" s="356" t="str">
        <f t="shared" si="62"/>
        <v>I</v>
      </c>
      <c r="G842" s="28">
        <f>+IF(F842="i",IFERROR(VLOOKUP(C842,'BG 12.2024'!$B:$E,3,FALSE),0),0)</f>
        <v>0</v>
      </c>
      <c r="H842" s="21">
        <f>+IF(F842="i",IFERROR(VLOOKUP(C842,'BG 12.2024'!$B:$E,4,FALSE),0),0)</f>
        <v>0</v>
      </c>
      <c r="I842" s="21"/>
      <c r="J842" s="28">
        <f>+IF(F842="i",IFERROR(VLOOKUP(C842,'BG 2023'!$B:$E,3,FALSE),0),0)</f>
        <v>0</v>
      </c>
      <c r="K842" s="21">
        <f>+IF(F842="i",IFERROR(VLOOKUP(C842,'BG 2023'!$B:$E,4,FALSE),0),0)</f>
        <v>0</v>
      </c>
      <c r="M842" s="15" t="e">
        <f>+VLOOKUP(C842,'BG 2023'!$B:$E,1,0)</f>
        <v>#N/A</v>
      </c>
      <c r="N842" s="806" t="e">
        <f>+VLOOKUP(C842,'BG 2023'!$B:$E,3,0)</f>
        <v>#N/A</v>
      </c>
      <c r="O842" s="807" t="e">
        <f t="shared" si="61"/>
        <v>#N/A</v>
      </c>
      <c r="P842" s="807"/>
      <c r="R842" s="807">
        <f>+IFERROR(VLOOKUP(C842,'CA FE'!$A:$C,3,0),0)+G842</f>
        <v>0</v>
      </c>
      <c r="S842" s="807">
        <f t="shared" ref="S842:S880" si="63">+G842-J842</f>
        <v>0</v>
      </c>
    </row>
    <row r="843" spans="1:19">
      <c r="A843" s="354" t="s">
        <v>193</v>
      </c>
      <c r="B843" s="354"/>
      <c r="C843" s="355">
        <v>2140411102</v>
      </c>
      <c r="D843" s="354" t="s">
        <v>916</v>
      </c>
      <c r="E843" s="356" t="s">
        <v>634</v>
      </c>
      <c r="F843" s="356" t="str">
        <f t="shared" si="62"/>
        <v>I</v>
      </c>
      <c r="G843" s="28">
        <f>+IF(F843="i",IFERROR(VLOOKUP(C843,'BG 12.2024'!$B:$E,3,FALSE),0),0)</f>
        <v>0</v>
      </c>
      <c r="H843" s="21">
        <f>+IF(F843="i",IFERROR(VLOOKUP(C843,'BG 12.2024'!$B:$E,4,FALSE),0),0)</f>
        <v>0</v>
      </c>
      <c r="I843" s="21"/>
      <c r="J843" s="28">
        <f>+IF(F843="i",IFERROR(VLOOKUP(C843,'BG 2023'!$B:$E,3,FALSE),0),0)</f>
        <v>0</v>
      </c>
      <c r="K843" s="21">
        <f>+IF(F843="i",IFERROR(VLOOKUP(C843,'BG 2023'!$B:$E,4,FALSE),0),0)</f>
        <v>0</v>
      </c>
      <c r="M843" s="15" t="e">
        <f>+VLOOKUP(C843,'BG 2023'!$B:$E,1,0)</f>
        <v>#N/A</v>
      </c>
      <c r="N843" s="806" t="e">
        <f>+VLOOKUP(C843,'BG 2023'!$B:$E,3,0)</f>
        <v>#N/A</v>
      </c>
      <c r="O843" s="807" t="e">
        <f t="shared" si="61"/>
        <v>#N/A</v>
      </c>
      <c r="P843" s="807"/>
      <c r="R843" s="807">
        <f>+IFERROR(VLOOKUP(C843,'CA FE'!$A:$C,3,0),0)+G843</f>
        <v>0</v>
      </c>
      <c r="S843" s="807">
        <f t="shared" si="63"/>
        <v>0</v>
      </c>
    </row>
    <row r="844" spans="1:19">
      <c r="A844" s="354" t="s">
        <v>193</v>
      </c>
      <c r="B844" s="354"/>
      <c r="C844" s="355">
        <v>2140411103</v>
      </c>
      <c r="D844" s="354" t="s">
        <v>917</v>
      </c>
      <c r="E844" s="356" t="s">
        <v>634</v>
      </c>
      <c r="F844" s="356" t="str">
        <f t="shared" si="62"/>
        <v>I</v>
      </c>
      <c r="G844" s="28">
        <f>+IF(F844="i",IFERROR(VLOOKUP(C844,'BG 12.2024'!$B:$E,3,FALSE),0),0)</f>
        <v>0</v>
      </c>
      <c r="H844" s="21">
        <f>+IF(F844="i",IFERROR(VLOOKUP(C844,'BG 12.2024'!$B:$E,4,FALSE),0),0)</f>
        <v>0</v>
      </c>
      <c r="I844" s="21"/>
      <c r="J844" s="28">
        <f>+IF(F844="i",IFERROR(VLOOKUP(C844,'BG 2023'!$B:$E,3,FALSE),0),0)</f>
        <v>0</v>
      </c>
      <c r="K844" s="21">
        <f>+IF(F844="i",IFERROR(VLOOKUP(C844,'BG 2023'!$B:$E,4,FALSE),0),0)</f>
        <v>0</v>
      </c>
      <c r="M844" s="15" t="e">
        <f>+VLOOKUP(C844,'BG 2023'!$B:$E,1,0)</f>
        <v>#N/A</v>
      </c>
      <c r="N844" s="806" t="e">
        <f>+VLOOKUP(C844,'BG 2023'!$B:$E,3,0)</f>
        <v>#N/A</v>
      </c>
      <c r="O844" s="807" t="e">
        <f t="shared" si="61"/>
        <v>#N/A</v>
      </c>
      <c r="P844" s="807"/>
      <c r="R844" s="807">
        <f>+IFERROR(VLOOKUP(C844,'CA FE'!$A:$C,3,0),0)+G844</f>
        <v>0</v>
      </c>
      <c r="S844" s="807">
        <f t="shared" si="63"/>
        <v>0</v>
      </c>
    </row>
    <row r="845" spans="1:19">
      <c r="A845" s="354" t="s">
        <v>193</v>
      </c>
      <c r="B845" s="354"/>
      <c r="C845" s="355">
        <v>2140411104</v>
      </c>
      <c r="D845" s="354" t="s">
        <v>918</v>
      </c>
      <c r="E845" s="356" t="s">
        <v>634</v>
      </c>
      <c r="F845" s="356" t="str">
        <f t="shared" si="62"/>
        <v>I</v>
      </c>
      <c r="G845" s="28">
        <f>+IF(F845="i",IFERROR(VLOOKUP(C845,'BG 12.2024'!$B:$E,3,FALSE),0),0)</f>
        <v>0</v>
      </c>
      <c r="H845" s="21">
        <f>+IF(F845="i",IFERROR(VLOOKUP(C845,'BG 12.2024'!$B:$E,4,FALSE),0),0)</f>
        <v>0</v>
      </c>
      <c r="I845" s="21"/>
      <c r="J845" s="28">
        <f>+IF(F845="i",IFERROR(VLOOKUP(C845,'BG 2023'!$B:$E,3,FALSE),0),0)</f>
        <v>0</v>
      </c>
      <c r="K845" s="21">
        <f>+IF(F845="i",IFERROR(VLOOKUP(C845,'BG 2023'!$B:$E,4,FALSE),0),0)</f>
        <v>0</v>
      </c>
      <c r="M845" s="15" t="e">
        <f>+VLOOKUP(C845,'BG 2023'!$B:$E,1,0)</f>
        <v>#N/A</v>
      </c>
      <c r="N845" s="806" t="e">
        <f>+VLOOKUP(C845,'BG 2023'!$B:$E,3,0)</f>
        <v>#N/A</v>
      </c>
      <c r="O845" s="807" t="e">
        <f t="shared" si="61"/>
        <v>#N/A</v>
      </c>
      <c r="P845" s="807"/>
      <c r="R845" s="807">
        <f>+IFERROR(VLOOKUP(C845,'CA FE'!$A:$C,3,0),0)+G845</f>
        <v>0</v>
      </c>
      <c r="S845" s="807">
        <f t="shared" si="63"/>
        <v>0</v>
      </c>
    </row>
    <row r="846" spans="1:19">
      <c r="A846" s="354" t="s">
        <v>193</v>
      </c>
      <c r="B846" s="354"/>
      <c r="C846" s="355">
        <v>2140411105</v>
      </c>
      <c r="D846" s="354" t="s">
        <v>919</v>
      </c>
      <c r="E846" s="356" t="s">
        <v>634</v>
      </c>
      <c r="F846" s="356" t="str">
        <f t="shared" si="62"/>
        <v>I</v>
      </c>
      <c r="G846" s="28">
        <f>+IF(F846="i",IFERROR(VLOOKUP(C846,'BG 12.2024'!$B:$E,3,FALSE),0),0)</f>
        <v>0</v>
      </c>
      <c r="H846" s="21">
        <f>+IF(F846="i",IFERROR(VLOOKUP(C846,'BG 12.2024'!$B:$E,4,FALSE),0),0)</f>
        <v>0</v>
      </c>
      <c r="I846" s="21"/>
      <c r="J846" s="28">
        <f>+IF(F846="i",IFERROR(VLOOKUP(C846,'BG 2023'!$B:$E,3,FALSE),0),0)</f>
        <v>0</v>
      </c>
      <c r="K846" s="21">
        <f>+IF(F846="i",IFERROR(VLOOKUP(C846,'BG 2023'!$B:$E,4,FALSE),0),0)</f>
        <v>0</v>
      </c>
      <c r="M846" s="15" t="e">
        <f>+VLOOKUP(C846,'BG 2023'!$B:$E,1,0)</f>
        <v>#N/A</v>
      </c>
      <c r="N846" s="806" t="e">
        <f>+VLOOKUP(C846,'BG 2023'!$B:$E,3,0)</f>
        <v>#N/A</v>
      </c>
      <c r="O846" s="807" t="e">
        <f t="shared" si="61"/>
        <v>#N/A</v>
      </c>
      <c r="P846" s="807"/>
      <c r="R846" s="807">
        <f>+IFERROR(VLOOKUP(C846,'CA FE'!$A:$C,3,0),0)+G846</f>
        <v>0</v>
      </c>
      <c r="S846" s="807">
        <f t="shared" si="63"/>
        <v>0</v>
      </c>
    </row>
    <row r="847" spans="1:19">
      <c r="A847" s="354" t="s">
        <v>193</v>
      </c>
      <c r="B847" s="354"/>
      <c r="C847" s="355">
        <v>2140411106</v>
      </c>
      <c r="D847" s="354" t="s">
        <v>920</v>
      </c>
      <c r="E847" s="356" t="s">
        <v>634</v>
      </c>
      <c r="F847" s="356" t="str">
        <f t="shared" si="62"/>
        <v>I</v>
      </c>
      <c r="G847" s="28">
        <f>+IF(F847="i",IFERROR(VLOOKUP(C847,'BG 12.2024'!$B:$E,3,FALSE),0),0)</f>
        <v>0</v>
      </c>
      <c r="H847" s="21">
        <f>+IF(F847="i",IFERROR(VLOOKUP(C847,'BG 12.2024'!$B:$E,4,FALSE),0),0)</f>
        <v>0</v>
      </c>
      <c r="I847" s="21"/>
      <c r="J847" s="28">
        <f>+IF(F847="i",IFERROR(VLOOKUP(C847,'BG 2023'!$B:$E,3,FALSE),0),0)</f>
        <v>0</v>
      </c>
      <c r="K847" s="21">
        <f>+IF(F847="i",IFERROR(VLOOKUP(C847,'BG 2023'!$B:$E,4,FALSE),0),0)</f>
        <v>0</v>
      </c>
      <c r="M847" s="15" t="e">
        <f>+VLOOKUP(C847,'BG 2023'!$B:$E,1,0)</f>
        <v>#N/A</v>
      </c>
      <c r="N847" s="806" t="e">
        <f>+VLOOKUP(C847,'BG 2023'!$B:$E,3,0)</f>
        <v>#N/A</v>
      </c>
      <c r="O847" s="807" t="e">
        <f t="shared" si="61"/>
        <v>#N/A</v>
      </c>
      <c r="P847" s="807"/>
      <c r="R847" s="807">
        <f>+IFERROR(VLOOKUP(C847,'CA FE'!$A:$C,3,0),0)+G847</f>
        <v>0</v>
      </c>
      <c r="S847" s="807">
        <f t="shared" si="63"/>
        <v>0</v>
      </c>
    </row>
    <row r="848" spans="1:19">
      <c r="A848" s="354" t="s">
        <v>193</v>
      </c>
      <c r="B848" s="354"/>
      <c r="C848" s="355">
        <v>2140411107</v>
      </c>
      <c r="D848" s="354" t="s">
        <v>921</v>
      </c>
      <c r="E848" s="356" t="s">
        <v>634</v>
      </c>
      <c r="F848" s="356" t="str">
        <f t="shared" si="62"/>
        <v>I</v>
      </c>
      <c r="G848" s="28">
        <f>+IF(F848="i",IFERROR(VLOOKUP(C848,'BG 12.2024'!$B:$E,3,FALSE),0),0)</f>
        <v>0</v>
      </c>
      <c r="H848" s="21">
        <f>+IF(F848="i",IFERROR(VLOOKUP(C848,'BG 12.2024'!$B:$E,4,FALSE),0),0)</f>
        <v>0</v>
      </c>
      <c r="I848" s="21"/>
      <c r="J848" s="28">
        <f>+IF(F848="i",IFERROR(VLOOKUP(C848,'BG 2023'!$B:$E,3,FALSE),0),0)</f>
        <v>0</v>
      </c>
      <c r="K848" s="21">
        <f>+IF(F848="i",IFERROR(VLOOKUP(C848,'BG 2023'!$B:$E,4,FALSE),0),0)</f>
        <v>0</v>
      </c>
      <c r="M848" s="15" t="e">
        <f>+VLOOKUP(C848,'BG 2023'!$B:$E,1,0)</f>
        <v>#N/A</v>
      </c>
      <c r="N848" s="806" t="e">
        <f>+VLOOKUP(C848,'BG 2023'!$B:$E,3,0)</f>
        <v>#N/A</v>
      </c>
      <c r="O848" s="807" t="e">
        <f t="shared" si="61"/>
        <v>#N/A</v>
      </c>
      <c r="P848" s="807"/>
      <c r="R848" s="807">
        <f>+IFERROR(VLOOKUP(C848,'CA FE'!$A:$C,3,0),0)+G848</f>
        <v>0</v>
      </c>
      <c r="S848" s="807">
        <f t="shared" si="63"/>
        <v>0</v>
      </c>
    </row>
    <row r="849" spans="1:19">
      <c r="A849" s="354" t="s">
        <v>193</v>
      </c>
      <c r="B849" s="354"/>
      <c r="C849" s="355">
        <v>2140411108</v>
      </c>
      <c r="D849" s="354" t="s">
        <v>922</v>
      </c>
      <c r="E849" s="356" t="s">
        <v>634</v>
      </c>
      <c r="F849" s="356" t="str">
        <f t="shared" si="62"/>
        <v>I</v>
      </c>
      <c r="G849" s="28">
        <f>+IF(F849="i",IFERROR(VLOOKUP(C849,'BG 12.2024'!$B:$E,3,FALSE),0),0)</f>
        <v>0</v>
      </c>
      <c r="H849" s="21">
        <f>+IF(F849="i",IFERROR(VLOOKUP(C849,'BG 12.2024'!$B:$E,4,FALSE),0),0)</f>
        <v>0</v>
      </c>
      <c r="I849" s="21"/>
      <c r="J849" s="28">
        <f>+IF(F849="i",IFERROR(VLOOKUP(C849,'BG 2023'!$B:$E,3,FALSE),0),0)</f>
        <v>0</v>
      </c>
      <c r="K849" s="21">
        <f>+IF(F849="i",IFERROR(VLOOKUP(C849,'BG 2023'!$B:$E,4,FALSE),0),0)</f>
        <v>0</v>
      </c>
      <c r="M849" s="15" t="e">
        <f>+VLOOKUP(C849,'BG 2023'!$B:$E,1,0)</f>
        <v>#N/A</v>
      </c>
      <c r="N849" s="806" t="e">
        <f>+VLOOKUP(C849,'BG 2023'!$B:$E,3,0)</f>
        <v>#N/A</v>
      </c>
      <c r="O849" s="807" t="e">
        <f t="shared" si="61"/>
        <v>#N/A</v>
      </c>
      <c r="P849" s="807"/>
      <c r="R849" s="807">
        <f>+IFERROR(VLOOKUP(C849,'CA FE'!$A:$C,3,0),0)+G849</f>
        <v>0</v>
      </c>
      <c r="S849" s="807">
        <f t="shared" si="63"/>
        <v>0</v>
      </c>
    </row>
    <row r="850" spans="1:19">
      <c r="A850" s="354" t="s">
        <v>193</v>
      </c>
      <c r="B850" s="354"/>
      <c r="C850" s="355">
        <v>2140411109</v>
      </c>
      <c r="D850" s="354" t="s">
        <v>923</v>
      </c>
      <c r="E850" s="356" t="s">
        <v>634</v>
      </c>
      <c r="F850" s="356" t="str">
        <f t="shared" si="62"/>
        <v>I</v>
      </c>
      <c r="G850" s="28">
        <f>+IF(F850="i",IFERROR(VLOOKUP(C850,'BG 12.2024'!$B:$E,3,FALSE),0),0)</f>
        <v>0</v>
      </c>
      <c r="H850" s="21">
        <f>+IF(F850="i",IFERROR(VLOOKUP(C850,'BG 12.2024'!$B:$E,4,FALSE),0),0)</f>
        <v>0</v>
      </c>
      <c r="I850" s="21"/>
      <c r="J850" s="28">
        <f>+IF(F850="i",IFERROR(VLOOKUP(C850,'BG 2023'!$B:$E,3,FALSE),0),0)</f>
        <v>0</v>
      </c>
      <c r="K850" s="21">
        <f>+IF(F850="i",IFERROR(VLOOKUP(C850,'BG 2023'!$B:$E,4,FALSE),0),0)</f>
        <v>0</v>
      </c>
      <c r="M850" s="15" t="e">
        <f>+VLOOKUP(C850,'BG 2023'!$B:$E,1,0)</f>
        <v>#N/A</v>
      </c>
      <c r="N850" s="806" t="e">
        <f>+VLOOKUP(C850,'BG 2023'!$B:$E,3,0)</f>
        <v>#N/A</v>
      </c>
      <c r="O850" s="807" t="e">
        <f t="shared" si="61"/>
        <v>#N/A</v>
      </c>
      <c r="P850" s="807"/>
      <c r="R850" s="807">
        <f>+IFERROR(VLOOKUP(C850,'CA FE'!$A:$C,3,0),0)+G850</f>
        <v>0</v>
      </c>
      <c r="S850" s="807">
        <f t="shared" si="63"/>
        <v>0</v>
      </c>
    </row>
    <row r="851" spans="1:19">
      <c r="A851" s="354" t="s">
        <v>193</v>
      </c>
      <c r="B851" s="354"/>
      <c r="C851" s="355">
        <v>2140411110</v>
      </c>
      <c r="D851" s="354" t="s">
        <v>924</v>
      </c>
      <c r="E851" s="356" t="s">
        <v>634</v>
      </c>
      <c r="F851" s="356" t="str">
        <f t="shared" si="62"/>
        <v>I</v>
      </c>
      <c r="G851" s="28">
        <f>+IF(F851="i",IFERROR(VLOOKUP(C851,'BG 12.2024'!$B:$E,3,FALSE),0),0)</f>
        <v>0</v>
      </c>
      <c r="H851" s="21">
        <f>+IF(F851="i",IFERROR(VLOOKUP(C851,'BG 12.2024'!$B:$E,4,FALSE),0),0)</f>
        <v>0</v>
      </c>
      <c r="I851" s="21"/>
      <c r="J851" s="28">
        <f>+IF(F851="i",IFERROR(VLOOKUP(C851,'BG 2023'!$B:$E,3,FALSE),0),0)</f>
        <v>0</v>
      </c>
      <c r="K851" s="21">
        <f>+IF(F851="i",IFERROR(VLOOKUP(C851,'BG 2023'!$B:$E,4,FALSE),0),0)</f>
        <v>0</v>
      </c>
      <c r="M851" s="15" t="e">
        <f>+VLOOKUP(C851,'BG 2023'!$B:$E,1,0)</f>
        <v>#N/A</v>
      </c>
      <c r="N851" s="806" t="e">
        <f>+VLOOKUP(C851,'BG 2023'!$B:$E,3,0)</f>
        <v>#N/A</v>
      </c>
      <c r="O851" s="807" t="e">
        <f t="shared" si="61"/>
        <v>#N/A</v>
      </c>
      <c r="P851" s="807"/>
      <c r="R851" s="807">
        <f>+IFERROR(VLOOKUP(C851,'CA FE'!$A:$C,3,0),0)+G851</f>
        <v>0</v>
      </c>
      <c r="S851" s="807">
        <f t="shared" si="63"/>
        <v>0</v>
      </c>
    </row>
    <row r="852" spans="1:19">
      <c r="A852" s="354" t="s">
        <v>193</v>
      </c>
      <c r="B852" s="354"/>
      <c r="C852" s="355">
        <v>2140411111</v>
      </c>
      <c r="D852" s="354" t="s">
        <v>925</v>
      </c>
      <c r="E852" s="356" t="s">
        <v>634</v>
      </c>
      <c r="F852" s="356" t="str">
        <f t="shared" si="62"/>
        <v>I</v>
      </c>
      <c r="G852" s="28">
        <f>+IF(F852="i",IFERROR(VLOOKUP(C852,'BG 12.2024'!$B:$E,3,FALSE),0),0)</f>
        <v>0</v>
      </c>
      <c r="H852" s="21">
        <f>+IF(F852="i",IFERROR(VLOOKUP(C852,'BG 12.2024'!$B:$E,4,FALSE),0),0)</f>
        <v>0</v>
      </c>
      <c r="I852" s="21"/>
      <c r="J852" s="28">
        <f>+IF(F852="i",IFERROR(VLOOKUP(C852,'BG 2023'!$B:$E,3,FALSE),0),0)</f>
        <v>0</v>
      </c>
      <c r="K852" s="21">
        <f>+IF(F852="i",IFERROR(VLOOKUP(C852,'BG 2023'!$B:$E,4,FALSE),0),0)</f>
        <v>0</v>
      </c>
      <c r="M852" s="15" t="e">
        <f>+VLOOKUP(C852,'BG 2023'!$B:$E,1,0)</f>
        <v>#N/A</v>
      </c>
      <c r="N852" s="806" t="e">
        <f>+VLOOKUP(C852,'BG 2023'!$B:$E,3,0)</f>
        <v>#N/A</v>
      </c>
      <c r="O852" s="807" t="e">
        <f t="shared" si="61"/>
        <v>#N/A</v>
      </c>
      <c r="P852" s="807"/>
      <c r="R852" s="807">
        <f>+IFERROR(VLOOKUP(C852,'CA FE'!$A:$C,3,0),0)+G852</f>
        <v>0</v>
      </c>
      <c r="S852" s="807">
        <f t="shared" si="63"/>
        <v>0</v>
      </c>
    </row>
    <row r="853" spans="1:19">
      <c r="A853" s="354" t="s">
        <v>193</v>
      </c>
      <c r="B853" s="354"/>
      <c r="C853" s="355">
        <v>2140411112</v>
      </c>
      <c r="D853" s="354" t="s">
        <v>926</v>
      </c>
      <c r="E853" s="356" t="s">
        <v>634</v>
      </c>
      <c r="F853" s="356" t="str">
        <f t="shared" si="62"/>
        <v>I</v>
      </c>
      <c r="G853" s="28">
        <f>+IF(F853="i",IFERROR(VLOOKUP(C853,'BG 12.2024'!$B:$E,3,FALSE),0),0)</f>
        <v>0</v>
      </c>
      <c r="H853" s="21">
        <f>+IF(F853="i",IFERROR(VLOOKUP(C853,'BG 12.2024'!$B:$E,4,FALSE),0),0)</f>
        <v>0</v>
      </c>
      <c r="I853" s="21"/>
      <c r="J853" s="28">
        <f>+IF(F853="i",IFERROR(VLOOKUP(C853,'BG 2023'!$B:$E,3,FALSE),0),0)</f>
        <v>0</v>
      </c>
      <c r="K853" s="21">
        <f>+IF(F853="i",IFERROR(VLOOKUP(C853,'BG 2023'!$B:$E,4,FALSE),0),0)</f>
        <v>0</v>
      </c>
      <c r="M853" s="15" t="e">
        <f>+VLOOKUP(C853,'BG 2023'!$B:$E,1,0)</f>
        <v>#N/A</v>
      </c>
      <c r="N853" s="806" t="e">
        <f>+VLOOKUP(C853,'BG 2023'!$B:$E,3,0)</f>
        <v>#N/A</v>
      </c>
      <c r="O853" s="807" t="e">
        <f t="shared" si="61"/>
        <v>#N/A</v>
      </c>
      <c r="P853" s="807"/>
      <c r="R853" s="807">
        <f>+IFERROR(VLOOKUP(C853,'CA FE'!$A:$C,3,0),0)+G853</f>
        <v>0</v>
      </c>
      <c r="S853" s="807">
        <f t="shared" si="63"/>
        <v>0</v>
      </c>
    </row>
    <row r="854" spans="1:19">
      <c r="A854" s="354" t="s">
        <v>193</v>
      </c>
      <c r="B854" s="354"/>
      <c r="C854" s="355">
        <v>21405</v>
      </c>
      <c r="D854" s="354" t="s">
        <v>232</v>
      </c>
      <c r="E854" s="356" t="s">
        <v>634</v>
      </c>
      <c r="F854" s="356" t="str">
        <f t="shared" si="62"/>
        <v>NI</v>
      </c>
      <c r="G854" s="28">
        <f>+IF(F854="i",IFERROR(VLOOKUP(C854,'BG 12.2024'!$B:$E,3,FALSE),0),0)</f>
        <v>0</v>
      </c>
      <c r="H854" s="21">
        <f>+IF(F854="i",IFERROR(VLOOKUP(C854,'BG 12.2024'!$B:$E,4,FALSE),0),0)</f>
        <v>0</v>
      </c>
      <c r="I854" s="21"/>
      <c r="J854" s="28">
        <f>+IF(F854="i",IFERROR(VLOOKUP(C854,'BG 2023'!$B:$E,3,FALSE),0),0)</f>
        <v>0</v>
      </c>
      <c r="K854" s="21">
        <f>+IF(F854="i",IFERROR(VLOOKUP(C854,'BG 2023'!$B:$E,4,FALSE),0),0)</f>
        <v>0</v>
      </c>
      <c r="M854" s="15">
        <f>+VLOOKUP(C854,'BG 2023'!$B:$E,1,0)</f>
        <v>21405</v>
      </c>
      <c r="N854" s="806">
        <f>+VLOOKUP(C854,'BG 2023'!$B:$E,3,0)</f>
        <v>6918381</v>
      </c>
      <c r="O854" s="807">
        <f t="shared" si="61"/>
        <v>6918381</v>
      </c>
      <c r="P854" s="807"/>
      <c r="R854" s="807">
        <f>+IFERROR(VLOOKUP(C854,'CA FE'!$A:$C,3,0),0)+G854</f>
        <v>0</v>
      </c>
      <c r="S854" s="807">
        <f t="shared" si="63"/>
        <v>0</v>
      </c>
    </row>
    <row r="855" spans="1:19">
      <c r="A855" s="354" t="s">
        <v>193</v>
      </c>
      <c r="B855" s="354"/>
      <c r="C855" s="355">
        <v>214051</v>
      </c>
      <c r="D855" s="354" t="s">
        <v>232</v>
      </c>
      <c r="E855" s="356" t="s">
        <v>634</v>
      </c>
      <c r="F855" s="356" t="str">
        <f t="shared" si="62"/>
        <v>NI</v>
      </c>
      <c r="G855" s="28">
        <f>+IF(F855="i",IFERROR(VLOOKUP(C855,'BG 12.2024'!$B:$E,3,FALSE),0),0)</f>
        <v>0</v>
      </c>
      <c r="H855" s="21">
        <f>+IF(F855="i",IFERROR(VLOOKUP(C855,'BG 12.2024'!$B:$E,4,FALSE),0),0)</f>
        <v>0</v>
      </c>
      <c r="I855" s="21"/>
      <c r="J855" s="28">
        <f>+IF(F855="i",IFERROR(VLOOKUP(C855,'BG 2023'!$B:$E,3,FALSE),0),0)</f>
        <v>0</v>
      </c>
      <c r="K855" s="21">
        <f>+IF(F855="i",IFERROR(VLOOKUP(C855,'BG 2023'!$B:$E,4,FALSE),0),0)</f>
        <v>0</v>
      </c>
      <c r="M855" s="15">
        <f>+VLOOKUP(C855,'BG 2023'!$B:$E,1,0)</f>
        <v>214051</v>
      </c>
      <c r="N855" s="806">
        <f>+VLOOKUP(C855,'BG 2023'!$B:$E,3,0)</f>
        <v>6918381</v>
      </c>
      <c r="O855" s="807">
        <f t="shared" si="61"/>
        <v>6918381</v>
      </c>
      <c r="P855" s="807"/>
      <c r="R855" s="807">
        <f>+IFERROR(VLOOKUP(C855,'CA FE'!$A:$C,3,0),0)+G855</f>
        <v>0</v>
      </c>
      <c r="S855" s="807">
        <f t="shared" si="63"/>
        <v>0</v>
      </c>
    </row>
    <row r="856" spans="1:19">
      <c r="A856" s="354" t="s">
        <v>193</v>
      </c>
      <c r="B856" s="354"/>
      <c r="C856" s="355">
        <v>2140511</v>
      </c>
      <c r="D856" s="354" t="s">
        <v>232</v>
      </c>
      <c r="E856" s="356" t="s">
        <v>634</v>
      </c>
      <c r="F856" s="356" t="str">
        <f t="shared" si="62"/>
        <v>NI</v>
      </c>
      <c r="G856" s="28">
        <f>+IF(F856="i",IFERROR(VLOOKUP(C856,'BG 12.2024'!$B:$E,3,FALSE),0),0)</f>
        <v>0</v>
      </c>
      <c r="H856" s="21">
        <f>+IF(F856="i",IFERROR(VLOOKUP(C856,'BG 12.2024'!$B:$E,4,FALSE),0),0)</f>
        <v>0</v>
      </c>
      <c r="I856" s="21"/>
      <c r="J856" s="28">
        <f>+IF(F856="i",IFERROR(VLOOKUP(C856,'BG 2023'!$B:$E,3,FALSE),0),0)</f>
        <v>0</v>
      </c>
      <c r="K856" s="21">
        <f>+IF(F856="i",IFERROR(VLOOKUP(C856,'BG 2023'!$B:$E,4,FALSE),0),0)</f>
        <v>0</v>
      </c>
      <c r="M856" s="15">
        <f>+VLOOKUP(C856,'BG 2023'!$B:$E,1,0)</f>
        <v>2140511</v>
      </c>
      <c r="N856" s="806">
        <f>+VLOOKUP(C856,'BG 2023'!$B:$E,3,0)</f>
        <v>6918381</v>
      </c>
      <c r="O856" s="807">
        <f t="shared" si="61"/>
        <v>6918381</v>
      </c>
      <c r="P856" s="807"/>
      <c r="R856" s="807">
        <f>+IFERROR(VLOOKUP(C856,'CA FE'!$A:$C,3,0),0)+G856</f>
        <v>0</v>
      </c>
      <c r="S856" s="807">
        <f t="shared" si="63"/>
        <v>0</v>
      </c>
    </row>
    <row r="857" spans="1:19">
      <c r="A857" s="354" t="s">
        <v>193</v>
      </c>
      <c r="B857" s="354"/>
      <c r="C857" s="355">
        <v>21405111</v>
      </c>
      <c r="D857" s="354" t="s">
        <v>235</v>
      </c>
      <c r="E857" s="356" t="s">
        <v>634</v>
      </c>
      <c r="F857" s="356" t="str">
        <f t="shared" si="62"/>
        <v>NI</v>
      </c>
      <c r="G857" s="28">
        <f>+IF(F857="i",IFERROR(VLOOKUP(C857,'BG 12.2024'!$B:$E,3,FALSE),0),0)</f>
        <v>0</v>
      </c>
      <c r="H857" s="21">
        <f>+IF(F857="i",IFERROR(VLOOKUP(C857,'BG 12.2024'!$B:$E,4,FALSE),0),0)</f>
        <v>0</v>
      </c>
      <c r="I857" s="21"/>
      <c r="J857" s="28">
        <f>+IF(F857="i",IFERROR(VLOOKUP(C857,'BG 2023'!$B:$E,3,FALSE),0),0)</f>
        <v>0</v>
      </c>
      <c r="K857" s="21">
        <f>+IF(F857="i",IFERROR(VLOOKUP(C857,'BG 2023'!$B:$E,4,FALSE),0),0)</f>
        <v>0</v>
      </c>
      <c r="M857" s="15">
        <f>+VLOOKUP(C857,'BG 2023'!$B:$E,1,0)</f>
        <v>21405111</v>
      </c>
      <c r="N857" s="806">
        <f>+VLOOKUP(C857,'BG 2023'!$B:$E,3,0)</f>
        <v>6918381</v>
      </c>
      <c r="O857" s="807">
        <f t="shared" si="61"/>
        <v>6918381</v>
      </c>
      <c r="P857" s="807"/>
      <c r="R857" s="807">
        <f>+IFERROR(VLOOKUP(C857,'CA FE'!$A:$C,3,0),0)+G857</f>
        <v>0</v>
      </c>
      <c r="S857" s="807">
        <f t="shared" si="63"/>
        <v>0</v>
      </c>
    </row>
    <row r="858" spans="1:19">
      <c r="A858" s="354" t="s">
        <v>193</v>
      </c>
      <c r="B858" s="354" t="s">
        <v>863</v>
      </c>
      <c r="C858" s="355">
        <v>2140511101</v>
      </c>
      <c r="D858" s="354" t="s">
        <v>236</v>
      </c>
      <c r="E858" s="356" t="s">
        <v>634</v>
      </c>
      <c r="F858" s="356" t="str">
        <f t="shared" si="62"/>
        <v>I</v>
      </c>
      <c r="G858" s="28">
        <f>+IF(F858="i",IFERROR(VLOOKUP(C858,'BG 12.2024'!$B:$E,3,FALSE),0),0)</f>
        <v>0</v>
      </c>
      <c r="H858" s="21">
        <f>+IF(F858="i",IFERROR(VLOOKUP(C858,'BG 12.2024'!$B:$E,4,FALSE),0),0)</f>
        <v>0</v>
      </c>
      <c r="I858" s="21"/>
      <c r="J858" s="28">
        <f>+IF(F858="i",IFERROR(VLOOKUP(C858,'BG 2023'!$B:$E,3,FALSE),0),0)</f>
        <v>5740766</v>
      </c>
      <c r="K858" s="21">
        <f>+IF(F858="i",IFERROR(VLOOKUP(C858,'BG 2023'!$B:$E,4,FALSE),0),0)</f>
        <v>788.16999999999905</v>
      </c>
      <c r="M858" s="15">
        <f>+VLOOKUP(C858,'BG 2023'!$B:$E,1,0)</f>
        <v>2140511101</v>
      </c>
      <c r="N858" s="806">
        <f>+VLOOKUP(C858,'BG 2023'!$B:$E,3,0)</f>
        <v>5740766</v>
      </c>
      <c r="O858" s="807">
        <f t="shared" si="61"/>
        <v>5740766</v>
      </c>
      <c r="P858" s="807"/>
      <c r="R858" s="807">
        <f>+IFERROR(VLOOKUP(C858,'CA FE'!$A:$C,3,0),0)+G858</f>
        <v>0</v>
      </c>
      <c r="S858" s="807">
        <f t="shared" si="63"/>
        <v>-5740766</v>
      </c>
    </row>
    <row r="859" spans="1:19" ht="12">
      <c r="A859" s="354" t="s">
        <v>193</v>
      </c>
      <c r="B859" s="354" t="s">
        <v>863</v>
      </c>
      <c r="C859" s="355">
        <v>2140511102</v>
      </c>
      <c r="D859" s="354" t="s">
        <v>237</v>
      </c>
      <c r="E859" s="356" t="s">
        <v>640</v>
      </c>
      <c r="F859" s="356" t="str">
        <f t="shared" si="62"/>
        <v>I</v>
      </c>
      <c r="G859" s="1377">
        <f>+IF(F859="i",IFERROR(VLOOKUP(C859,'BG 12.2024'!$B:$E,3,FALSE),0),0)</f>
        <v>122246</v>
      </c>
      <c r="H859" s="21">
        <f>+IF(F859="i",IFERROR(VLOOKUP(C859,'BG 12.2024'!$B:$E,4,FALSE),0),0)</f>
        <v>15.610000000000127</v>
      </c>
      <c r="I859" s="21"/>
      <c r="J859" s="28">
        <f>+IF(F859="i",IFERROR(VLOOKUP(C859,'BG 2023'!$B:$E,3,FALSE),0),0)</f>
        <v>1177615</v>
      </c>
      <c r="K859" s="21">
        <f>+IF(F859="i",IFERROR(VLOOKUP(C859,'BG 2023'!$B:$E,4,FALSE),0),0)</f>
        <v>161.68000000000006</v>
      </c>
      <c r="M859" s="15">
        <f>+VLOOKUP(C859,'BG 2023'!$B:$E,1,0)</f>
        <v>2140511102</v>
      </c>
      <c r="N859" s="806">
        <f>+VLOOKUP(C859,'BG 2023'!$B:$E,3,0)</f>
        <v>1177615</v>
      </c>
      <c r="O859" s="807">
        <f t="shared" si="61"/>
        <v>1055369</v>
      </c>
      <c r="P859" s="807"/>
      <c r="R859" s="807">
        <f>+IFERROR(VLOOKUP(C859,'CA FE'!$A:$C,3,0),0)+G859</f>
        <v>0</v>
      </c>
      <c r="S859" s="807">
        <f t="shared" si="63"/>
        <v>-1055369</v>
      </c>
    </row>
    <row r="860" spans="1:19">
      <c r="A860" s="354" t="s">
        <v>193</v>
      </c>
      <c r="B860" s="354"/>
      <c r="C860" s="355">
        <v>21405112</v>
      </c>
      <c r="D860" s="354" t="s">
        <v>927</v>
      </c>
      <c r="E860" s="356" t="s">
        <v>634</v>
      </c>
      <c r="F860" s="356" t="str">
        <f t="shared" si="62"/>
        <v>NI</v>
      </c>
      <c r="G860" s="28">
        <f>+IF(F860="i",IFERROR(VLOOKUP(C860,'BG 12.2024'!$B:$E,3,FALSE),0),0)</f>
        <v>0</v>
      </c>
      <c r="H860" s="21">
        <f>+IF(F860="i",IFERROR(VLOOKUP(C860,'BG 12.2024'!$B:$E,4,FALSE),0),0)</f>
        <v>0</v>
      </c>
      <c r="I860" s="21"/>
      <c r="J860" s="28">
        <f>+IF(F860="i",IFERROR(VLOOKUP(C860,'BG 2023'!$B:$E,3,FALSE),0),0)</f>
        <v>0</v>
      </c>
      <c r="K860" s="21">
        <f>+IF(F860="i",IFERROR(VLOOKUP(C860,'BG 2023'!$B:$E,4,FALSE),0),0)</f>
        <v>0</v>
      </c>
      <c r="M860" s="15" t="e">
        <f>+VLOOKUP(C860,'BG 2023'!$B:$E,1,0)</f>
        <v>#N/A</v>
      </c>
      <c r="N860" s="806" t="e">
        <f>+VLOOKUP(C860,'BG 2023'!$B:$E,3,0)</f>
        <v>#N/A</v>
      </c>
      <c r="O860" s="807" t="e">
        <f t="shared" si="61"/>
        <v>#N/A</v>
      </c>
      <c r="P860" s="807"/>
      <c r="R860" s="807">
        <f>+IFERROR(VLOOKUP(C860,'CA FE'!$A:$C,3,0),0)+G860</f>
        <v>0</v>
      </c>
      <c r="S860" s="807">
        <f t="shared" si="63"/>
        <v>0</v>
      </c>
    </row>
    <row r="861" spans="1:19">
      <c r="A861" s="354" t="s">
        <v>193</v>
      </c>
      <c r="B861" s="354"/>
      <c r="C861" s="355">
        <v>2140511202</v>
      </c>
      <c r="D861" s="354" t="s">
        <v>928</v>
      </c>
      <c r="E861" s="356" t="s">
        <v>640</v>
      </c>
      <c r="F861" s="356" t="str">
        <f t="shared" si="62"/>
        <v>I</v>
      </c>
      <c r="G861" s="28">
        <f>+IF(F861="i",IFERROR(VLOOKUP(C861,'BG 12.2024'!$B:$E,3,FALSE),0),0)</f>
        <v>0</v>
      </c>
      <c r="H861" s="21">
        <f>+IF(F861="i",IFERROR(VLOOKUP(C861,'BG 12.2024'!$B:$E,4,FALSE),0),0)</f>
        <v>0</v>
      </c>
      <c r="I861" s="21"/>
      <c r="J861" s="28">
        <f>+IF(F861="i",IFERROR(VLOOKUP(C861,'BG 2023'!$B:$E,3,FALSE),0),0)</f>
        <v>0</v>
      </c>
      <c r="K861" s="21">
        <f>+IF(F861="i",IFERROR(VLOOKUP(C861,'BG 2023'!$B:$E,4,FALSE),0),0)</f>
        <v>0</v>
      </c>
      <c r="M861" s="15" t="e">
        <f>+VLOOKUP(C861,'BG 2023'!$B:$E,1,0)</f>
        <v>#N/A</v>
      </c>
      <c r="N861" s="806" t="e">
        <f>+VLOOKUP(C861,'BG 2023'!$B:$E,3,0)</f>
        <v>#N/A</v>
      </c>
      <c r="O861" s="807" t="e">
        <f t="shared" si="61"/>
        <v>#N/A</v>
      </c>
      <c r="P861" s="807"/>
      <c r="R861" s="807">
        <f>+IFERROR(VLOOKUP(C861,'CA FE'!$A:$C,3,0),0)+G861</f>
        <v>0</v>
      </c>
      <c r="S861" s="807">
        <f t="shared" si="63"/>
        <v>0</v>
      </c>
    </row>
    <row r="862" spans="1:19">
      <c r="A862" s="354" t="s">
        <v>193</v>
      </c>
      <c r="B862" s="354"/>
      <c r="C862" s="355">
        <v>217</v>
      </c>
      <c r="D862" s="354" t="s">
        <v>929</v>
      </c>
      <c r="E862" s="356" t="s">
        <v>634</v>
      </c>
      <c r="F862" s="356" t="str">
        <f t="shared" si="62"/>
        <v>NI</v>
      </c>
      <c r="G862" s="28">
        <f>+IF(F862="i",IFERROR(VLOOKUP(C862,'BG 12.2024'!$B:$E,3,FALSE),0),0)</f>
        <v>0</v>
      </c>
      <c r="H862" s="21">
        <f>+IF(F862="i",IFERROR(VLOOKUP(C862,'BG 12.2024'!$B:$E,4,FALSE),0),0)</f>
        <v>0</v>
      </c>
      <c r="I862" s="21"/>
      <c r="J862" s="28">
        <f>+IF(F862="i",IFERROR(VLOOKUP(C862,'BG 2023'!$B:$E,3,FALSE),0),0)</f>
        <v>0</v>
      </c>
      <c r="K862" s="21">
        <f>+IF(F862="i",IFERROR(VLOOKUP(C862,'BG 2023'!$B:$E,4,FALSE),0),0)</f>
        <v>0</v>
      </c>
      <c r="M862" s="15" t="e">
        <f>+VLOOKUP(C862,'BG 2023'!$B:$E,1,0)</f>
        <v>#N/A</v>
      </c>
      <c r="N862" s="806" t="e">
        <f>+VLOOKUP(C862,'BG 2023'!$B:$E,3,0)</f>
        <v>#N/A</v>
      </c>
      <c r="O862" s="807" t="e">
        <f t="shared" si="61"/>
        <v>#N/A</v>
      </c>
      <c r="P862" s="807"/>
      <c r="R862" s="807">
        <f>+IFERROR(VLOOKUP(C862,'CA FE'!$A:$C,3,0),0)+G862</f>
        <v>0</v>
      </c>
      <c r="S862" s="807">
        <f t="shared" si="63"/>
        <v>0</v>
      </c>
    </row>
    <row r="863" spans="1:19">
      <c r="A863" s="354" t="s">
        <v>193</v>
      </c>
      <c r="B863" s="354"/>
      <c r="C863" s="355">
        <v>219</v>
      </c>
      <c r="D863" s="354" t="s">
        <v>929</v>
      </c>
      <c r="E863" s="356" t="s">
        <v>634</v>
      </c>
      <c r="F863" s="356" t="str">
        <f t="shared" si="62"/>
        <v>NI</v>
      </c>
      <c r="G863" s="28">
        <f>+IF(F863="i",IFERROR(VLOOKUP(C863,'BG 12.2024'!$B:$E,3,FALSE),0),0)</f>
        <v>0</v>
      </c>
      <c r="H863" s="21">
        <f>+IF(F863="i",IFERROR(VLOOKUP(C863,'BG 12.2024'!$B:$E,4,FALSE),0),0)</f>
        <v>0</v>
      </c>
      <c r="I863" s="21"/>
      <c r="J863" s="28">
        <f>+IF(F863="i",IFERROR(VLOOKUP(C863,'BG 2023'!$B:$E,3,FALSE),0),0)</f>
        <v>0</v>
      </c>
      <c r="K863" s="21">
        <f>+IF(F863="i",IFERROR(VLOOKUP(C863,'BG 2023'!$B:$E,4,FALSE),0),0)</f>
        <v>0</v>
      </c>
      <c r="M863" s="15" t="e">
        <f>+VLOOKUP(C863,'BG 2023'!$B:$E,1,0)</f>
        <v>#N/A</v>
      </c>
      <c r="N863" s="806" t="e">
        <f>+VLOOKUP(C863,'BG 2023'!$B:$E,3,0)</f>
        <v>#N/A</v>
      </c>
      <c r="O863" s="807" t="e">
        <f t="shared" si="61"/>
        <v>#N/A</v>
      </c>
      <c r="P863" s="807"/>
      <c r="R863" s="807">
        <f>+IFERROR(VLOOKUP(C863,'CA FE'!$A:$C,3,0),0)+G863</f>
        <v>0</v>
      </c>
      <c r="S863" s="807">
        <f t="shared" si="63"/>
        <v>0</v>
      </c>
    </row>
    <row r="864" spans="1:19">
      <c r="A864" s="354" t="s">
        <v>193</v>
      </c>
      <c r="B864" s="354"/>
      <c r="C864" s="355">
        <v>21901</v>
      </c>
      <c r="D864" s="354" t="s">
        <v>930</v>
      </c>
      <c r="E864" s="356" t="s">
        <v>634</v>
      </c>
      <c r="F864" s="356" t="str">
        <f t="shared" si="62"/>
        <v>NI</v>
      </c>
      <c r="G864" s="28">
        <f>+IF(F864="i",IFERROR(VLOOKUP(C864,'BG 12.2024'!$B:$E,3,FALSE),0),0)</f>
        <v>0</v>
      </c>
      <c r="H864" s="21">
        <f>+IF(F864="i",IFERROR(VLOOKUP(C864,'BG 12.2024'!$B:$E,4,FALSE),0),0)</f>
        <v>0</v>
      </c>
      <c r="I864" s="21"/>
      <c r="J864" s="28">
        <f>+IF(F864="i",IFERROR(VLOOKUP(C864,'BG 2023'!$B:$E,3,FALSE),0),0)</f>
        <v>0</v>
      </c>
      <c r="K864" s="21">
        <f>+IF(F864="i",IFERROR(VLOOKUP(C864,'BG 2023'!$B:$E,4,FALSE),0),0)</f>
        <v>0</v>
      </c>
      <c r="M864" s="15" t="e">
        <f>+VLOOKUP(C864,'BG 2023'!$B:$E,1,0)</f>
        <v>#N/A</v>
      </c>
      <c r="N864" s="806" t="e">
        <f>+VLOOKUP(C864,'BG 2023'!$B:$E,3,0)</f>
        <v>#N/A</v>
      </c>
      <c r="O864" s="807" t="e">
        <f t="shared" si="61"/>
        <v>#N/A</v>
      </c>
      <c r="P864" s="807"/>
      <c r="R864" s="807">
        <f>+IFERROR(VLOOKUP(C864,'CA FE'!$A:$C,3,0),0)+G864</f>
        <v>0</v>
      </c>
      <c r="S864" s="807">
        <f t="shared" si="63"/>
        <v>0</v>
      </c>
    </row>
    <row r="865" spans="1:19">
      <c r="A865" s="354" t="s">
        <v>193</v>
      </c>
      <c r="B865" s="354"/>
      <c r="C865" s="355">
        <v>22</v>
      </c>
      <c r="D865" s="354" t="s">
        <v>931</v>
      </c>
      <c r="E865" s="356" t="s">
        <v>634</v>
      </c>
      <c r="F865" s="356" t="str">
        <f t="shared" si="62"/>
        <v>NI</v>
      </c>
      <c r="G865" s="28">
        <f>+IF(F865="i",IFERROR(VLOOKUP(C865,'BG 12.2024'!$B:$E,3,FALSE),0),0)</f>
        <v>0</v>
      </c>
      <c r="H865" s="21">
        <f>+IF(F865="i",IFERROR(VLOOKUP(C865,'BG 12.2024'!$B:$E,4,FALSE),0),0)</f>
        <v>0</v>
      </c>
      <c r="I865" s="21"/>
      <c r="J865" s="28">
        <f>+IF(F865="i",IFERROR(VLOOKUP(C865,'BG 2023'!$B:$E,3,FALSE),0),0)</f>
        <v>0</v>
      </c>
      <c r="K865" s="21">
        <f>+IF(F865="i",IFERROR(VLOOKUP(C865,'BG 2023'!$B:$E,4,FALSE),0),0)</f>
        <v>0</v>
      </c>
      <c r="M865" s="15" t="e">
        <f>+VLOOKUP(C865,'BG 2023'!$B:$E,1,0)</f>
        <v>#N/A</v>
      </c>
      <c r="N865" s="806" t="e">
        <f>+VLOOKUP(C865,'BG 2023'!$B:$E,3,0)</f>
        <v>#N/A</v>
      </c>
      <c r="O865" s="807" t="e">
        <f t="shared" si="61"/>
        <v>#N/A</v>
      </c>
      <c r="P865" s="807"/>
      <c r="R865" s="807">
        <f>+IFERROR(VLOOKUP(C865,'CA FE'!$A:$C,3,0),0)+G865</f>
        <v>0</v>
      </c>
      <c r="S865" s="807">
        <f t="shared" si="63"/>
        <v>0</v>
      </c>
    </row>
    <row r="866" spans="1:19">
      <c r="A866" s="354" t="s">
        <v>193</v>
      </c>
      <c r="B866" s="354"/>
      <c r="C866" s="355">
        <v>222</v>
      </c>
      <c r="D866" s="354" t="s">
        <v>932</v>
      </c>
      <c r="E866" s="356" t="s">
        <v>634</v>
      </c>
      <c r="F866" s="356" t="str">
        <f t="shared" si="62"/>
        <v>NI</v>
      </c>
      <c r="G866" s="28">
        <f>+IF(F866="i",IFERROR(VLOOKUP(C866,'BG 12.2024'!$B:$E,3,FALSE),0),0)</f>
        <v>0</v>
      </c>
      <c r="H866" s="21">
        <f>+IF(F866="i",IFERROR(VLOOKUP(C866,'BG 12.2024'!$B:$E,4,FALSE),0),0)</f>
        <v>0</v>
      </c>
      <c r="I866" s="21"/>
      <c r="J866" s="28">
        <f>+IF(F866="i",IFERROR(VLOOKUP(C866,'BG 2023'!$B:$E,3,FALSE),0),0)</f>
        <v>0</v>
      </c>
      <c r="K866" s="21">
        <f>+IF(F866="i",IFERROR(VLOOKUP(C866,'BG 2023'!$B:$E,4,FALSE),0),0)</f>
        <v>0</v>
      </c>
      <c r="M866" s="15" t="e">
        <f>+VLOOKUP(C866,'BG 2023'!$B:$E,1,0)</f>
        <v>#N/A</v>
      </c>
      <c r="N866" s="806" t="e">
        <f>+VLOOKUP(C866,'BG 2023'!$B:$E,3,0)</f>
        <v>#N/A</v>
      </c>
      <c r="O866" s="807" t="e">
        <f t="shared" si="61"/>
        <v>#N/A</v>
      </c>
      <c r="P866" s="807"/>
      <c r="R866" s="807">
        <f>+IFERROR(VLOOKUP(C866,'CA FE'!$A:$C,3,0),0)+G866</f>
        <v>0</v>
      </c>
      <c r="S866" s="807">
        <f t="shared" si="63"/>
        <v>0</v>
      </c>
    </row>
    <row r="867" spans="1:19">
      <c r="A867" s="354" t="s">
        <v>193</v>
      </c>
      <c r="B867" s="354"/>
      <c r="C867" s="355">
        <v>22201</v>
      </c>
      <c r="D867" s="354" t="s">
        <v>874</v>
      </c>
      <c r="E867" s="356" t="s">
        <v>634</v>
      </c>
      <c r="F867" s="356" t="str">
        <f t="shared" si="62"/>
        <v>NI</v>
      </c>
      <c r="G867" s="28">
        <f>+IF(F867="i",IFERROR(VLOOKUP(C867,'BG 12.2024'!$B:$E,3,FALSE),0),0)</f>
        <v>0</v>
      </c>
      <c r="H867" s="21">
        <f>+IF(F867="i",IFERROR(VLOOKUP(C867,'BG 12.2024'!$B:$E,4,FALSE),0),0)</f>
        <v>0</v>
      </c>
      <c r="I867" s="21"/>
      <c r="J867" s="28">
        <f>+IF(F867="i",IFERROR(VLOOKUP(C867,'BG 2023'!$B:$E,3,FALSE),0),0)</f>
        <v>0</v>
      </c>
      <c r="K867" s="21">
        <f>+IF(F867="i",IFERROR(VLOOKUP(C867,'BG 2023'!$B:$E,4,FALSE),0),0)</f>
        <v>0</v>
      </c>
      <c r="M867" s="15" t="e">
        <f>+VLOOKUP(C867,'BG 2023'!$B:$E,1,0)</f>
        <v>#N/A</v>
      </c>
      <c r="N867" s="806" t="e">
        <f>+VLOOKUP(C867,'BG 2023'!$B:$E,3,0)</f>
        <v>#N/A</v>
      </c>
      <c r="O867" s="807" t="e">
        <f t="shared" si="61"/>
        <v>#N/A</v>
      </c>
      <c r="P867" s="807"/>
      <c r="R867" s="807">
        <f>+IFERROR(VLOOKUP(C867,'CA FE'!$A:$C,3,0),0)+G867</f>
        <v>0</v>
      </c>
      <c r="S867" s="807">
        <f t="shared" si="63"/>
        <v>0</v>
      </c>
    </row>
    <row r="868" spans="1:19">
      <c r="A868" s="354" t="s">
        <v>193</v>
      </c>
      <c r="B868" s="354"/>
      <c r="C868" s="355">
        <v>222011</v>
      </c>
      <c r="D868" s="354" t="s">
        <v>874</v>
      </c>
      <c r="E868" s="356" t="s">
        <v>634</v>
      </c>
      <c r="F868" s="356" t="str">
        <f t="shared" si="62"/>
        <v>NI</v>
      </c>
      <c r="G868" s="28">
        <f>+IF(F868="i",IFERROR(VLOOKUP(C868,'BG 12.2024'!$B:$E,3,FALSE),0),0)</f>
        <v>0</v>
      </c>
      <c r="H868" s="21">
        <f>+IF(F868="i",IFERROR(VLOOKUP(C868,'BG 12.2024'!$B:$E,4,FALSE),0),0)</f>
        <v>0</v>
      </c>
      <c r="I868" s="21"/>
      <c r="J868" s="28">
        <f>+IF(F868="i",IFERROR(VLOOKUP(C868,'BG 2023'!$B:$E,3,FALSE),0),0)</f>
        <v>0</v>
      </c>
      <c r="K868" s="21">
        <f>+IF(F868="i",IFERROR(VLOOKUP(C868,'BG 2023'!$B:$E,4,FALSE),0),0)</f>
        <v>0</v>
      </c>
      <c r="M868" s="15" t="e">
        <f>+VLOOKUP(C868,'BG 2023'!$B:$E,1,0)</f>
        <v>#N/A</v>
      </c>
      <c r="N868" s="806" t="e">
        <f>+VLOOKUP(C868,'BG 2023'!$B:$E,3,0)</f>
        <v>#N/A</v>
      </c>
      <c r="O868" s="807" t="e">
        <f t="shared" si="61"/>
        <v>#N/A</v>
      </c>
      <c r="P868" s="807"/>
      <c r="R868" s="807">
        <f>+IFERROR(VLOOKUP(C868,'CA FE'!$A:$C,3,0),0)+G868</f>
        <v>0</v>
      </c>
      <c r="S868" s="807">
        <f t="shared" si="63"/>
        <v>0</v>
      </c>
    </row>
    <row r="869" spans="1:19">
      <c r="A869" s="354" t="s">
        <v>193</v>
      </c>
      <c r="B869" s="354"/>
      <c r="C869" s="355">
        <v>2220111</v>
      </c>
      <c r="D869" s="354" t="s">
        <v>875</v>
      </c>
      <c r="E869" s="356" t="s">
        <v>634</v>
      </c>
      <c r="F869" s="356" t="str">
        <f t="shared" si="62"/>
        <v>NI</v>
      </c>
      <c r="G869" s="28">
        <f>+IF(F869="i",IFERROR(VLOOKUP(C869,'BG 12.2024'!$B:$E,3,FALSE),0),0)</f>
        <v>0</v>
      </c>
      <c r="H869" s="21">
        <f>+IF(F869="i",IFERROR(VLOOKUP(C869,'BG 12.2024'!$B:$E,4,FALSE),0),0)</f>
        <v>0</v>
      </c>
      <c r="I869" s="21"/>
      <c r="J869" s="28">
        <f>+IF(F869="i",IFERROR(VLOOKUP(C869,'BG 2023'!$B:$E,3,FALSE),0),0)</f>
        <v>0</v>
      </c>
      <c r="K869" s="21">
        <f>+IF(F869="i",IFERROR(VLOOKUP(C869,'BG 2023'!$B:$E,4,FALSE),0),0)</f>
        <v>0</v>
      </c>
      <c r="M869" s="15" t="e">
        <f>+VLOOKUP(C869,'BG 2023'!$B:$E,1,0)</f>
        <v>#N/A</v>
      </c>
      <c r="N869" s="806" t="e">
        <f>+VLOOKUP(C869,'BG 2023'!$B:$E,3,0)</f>
        <v>#N/A</v>
      </c>
      <c r="O869" s="807" t="e">
        <f t="shared" si="61"/>
        <v>#N/A</v>
      </c>
      <c r="P869" s="807"/>
      <c r="R869" s="807">
        <f>+IFERROR(VLOOKUP(C869,'CA FE'!$A:$C,3,0),0)+G869</f>
        <v>0</v>
      </c>
      <c r="S869" s="807">
        <f t="shared" si="63"/>
        <v>0</v>
      </c>
    </row>
    <row r="870" spans="1:19">
      <c r="A870" s="354" t="s">
        <v>193</v>
      </c>
      <c r="B870" s="354"/>
      <c r="C870" s="355">
        <v>22201111</v>
      </c>
      <c r="D870" s="354" t="s">
        <v>875</v>
      </c>
      <c r="E870" s="356" t="s">
        <v>634</v>
      </c>
      <c r="F870" s="356" t="str">
        <f t="shared" si="62"/>
        <v>NI</v>
      </c>
      <c r="G870" s="28">
        <f>+IF(F870="i",IFERROR(VLOOKUP(C870,'BG 12.2024'!$B:$E,3,FALSE),0),0)</f>
        <v>0</v>
      </c>
      <c r="H870" s="21">
        <f>+IF(F870="i",IFERROR(VLOOKUP(C870,'BG 12.2024'!$B:$E,4,FALSE),0),0)</f>
        <v>0</v>
      </c>
      <c r="I870" s="21"/>
      <c r="J870" s="28">
        <f>+IF(F870="i",IFERROR(VLOOKUP(C870,'BG 2023'!$B:$E,3,FALSE),0),0)</f>
        <v>0</v>
      </c>
      <c r="K870" s="21">
        <f>+IF(F870="i",IFERROR(VLOOKUP(C870,'BG 2023'!$B:$E,4,FALSE),0),0)</f>
        <v>0</v>
      </c>
      <c r="M870" s="15" t="e">
        <f>+VLOOKUP(C870,'BG 2023'!$B:$E,1,0)</f>
        <v>#N/A</v>
      </c>
      <c r="N870" s="806" t="e">
        <f>+VLOOKUP(C870,'BG 2023'!$B:$E,3,0)</f>
        <v>#N/A</v>
      </c>
      <c r="O870" s="807" t="e">
        <f t="shared" si="61"/>
        <v>#N/A</v>
      </c>
      <c r="P870" s="807"/>
      <c r="R870" s="807">
        <f>+IFERROR(VLOOKUP(C870,'CA FE'!$A:$C,3,0),0)+G870</f>
        <v>0</v>
      </c>
      <c r="S870" s="807">
        <f t="shared" si="63"/>
        <v>0</v>
      </c>
    </row>
    <row r="871" spans="1:19">
      <c r="A871" s="354" t="s">
        <v>193</v>
      </c>
      <c r="B871" s="354"/>
      <c r="C871" s="355">
        <v>2220111101</v>
      </c>
      <c r="D871" s="354" t="s">
        <v>876</v>
      </c>
      <c r="E871" s="356" t="s">
        <v>634</v>
      </c>
      <c r="F871" s="356" t="str">
        <f t="shared" si="62"/>
        <v>I</v>
      </c>
      <c r="G871" s="28">
        <f>+IF(F871="i",IFERROR(VLOOKUP(C871,'BG 12.2024'!$B:$E,3,FALSE),0),0)</f>
        <v>0</v>
      </c>
      <c r="H871" s="21">
        <f>+IF(F871="i",IFERROR(VLOOKUP(C871,'BG 12.2024'!$B:$E,4,FALSE),0),0)</f>
        <v>0</v>
      </c>
      <c r="I871" s="21"/>
      <c r="J871" s="28">
        <f>+IF(F871="i",IFERROR(VLOOKUP(C871,'BG 2023'!$B:$E,3,FALSE),0),0)</f>
        <v>0</v>
      </c>
      <c r="K871" s="21">
        <f>+IF(F871="i",IFERROR(VLOOKUP(C871,'BG 2023'!$B:$E,4,FALSE),0),0)</f>
        <v>0</v>
      </c>
      <c r="M871" s="15" t="e">
        <f>+VLOOKUP(C871,'BG 2023'!$B:$E,1,0)</f>
        <v>#N/A</v>
      </c>
      <c r="N871" s="806" t="e">
        <f>+VLOOKUP(C871,'BG 2023'!$B:$E,3,0)</f>
        <v>#N/A</v>
      </c>
      <c r="O871" s="807" t="e">
        <f t="shared" si="61"/>
        <v>#N/A</v>
      </c>
      <c r="P871" s="807"/>
      <c r="R871" s="807">
        <f>+IFERROR(VLOOKUP(C871,'CA FE'!$A:$C,3,0),0)+G871</f>
        <v>0</v>
      </c>
      <c r="S871" s="807">
        <f t="shared" si="63"/>
        <v>0</v>
      </c>
    </row>
    <row r="872" spans="1:19">
      <c r="A872" s="354" t="s">
        <v>193</v>
      </c>
      <c r="B872" s="354"/>
      <c r="C872" s="355">
        <v>2220111102</v>
      </c>
      <c r="D872" s="354" t="s">
        <v>877</v>
      </c>
      <c r="E872" s="356" t="s">
        <v>640</v>
      </c>
      <c r="F872" s="356" t="str">
        <f t="shared" si="62"/>
        <v>I</v>
      </c>
      <c r="G872" s="28">
        <f>+IF(F872="i",IFERROR(VLOOKUP(C872,'BG 12.2024'!$B:$E,3,FALSE),0),0)</f>
        <v>0</v>
      </c>
      <c r="H872" s="21">
        <f>+IF(F872="i",IFERROR(VLOOKUP(C872,'BG 12.2024'!$B:$E,4,FALSE),0),0)</f>
        <v>0</v>
      </c>
      <c r="I872" s="21"/>
      <c r="J872" s="28">
        <f>+IF(F872="i",IFERROR(VLOOKUP(C872,'BG 2023'!$B:$E,3,FALSE),0),0)</f>
        <v>0</v>
      </c>
      <c r="K872" s="21">
        <f>+IF(F872="i",IFERROR(VLOOKUP(C872,'BG 2023'!$B:$E,4,FALSE),0),0)</f>
        <v>0</v>
      </c>
      <c r="M872" s="15" t="e">
        <f>+VLOOKUP(C872,'BG 2023'!$B:$E,1,0)</f>
        <v>#N/A</v>
      </c>
      <c r="N872" s="806" t="e">
        <f>+VLOOKUP(C872,'BG 2023'!$B:$E,3,0)</f>
        <v>#N/A</v>
      </c>
      <c r="O872" s="807" t="e">
        <f t="shared" si="61"/>
        <v>#N/A</v>
      </c>
      <c r="P872" s="807"/>
      <c r="R872" s="807">
        <f>+IFERROR(VLOOKUP(C872,'CA FE'!$A:$C,3,0),0)+G872</f>
        <v>0</v>
      </c>
      <c r="S872" s="807">
        <f t="shared" si="63"/>
        <v>0</v>
      </c>
    </row>
    <row r="873" spans="1:19">
      <c r="A873" s="354" t="s">
        <v>193</v>
      </c>
      <c r="B873" s="354"/>
      <c r="C873" s="355">
        <v>2220112</v>
      </c>
      <c r="D873" s="354" t="s">
        <v>878</v>
      </c>
      <c r="E873" s="356" t="s">
        <v>634</v>
      </c>
      <c r="F873" s="356" t="str">
        <f t="shared" si="62"/>
        <v>NI</v>
      </c>
      <c r="G873" s="28">
        <f>+IF(F873="i",IFERROR(VLOOKUP(C873,'BG 12.2024'!$B:$E,3,FALSE),0),0)</f>
        <v>0</v>
      </c>
      <c r="H873" s="21">
        <f>+IF(F873="i",IFERROR(VLOOKUP(C873,'BG 12.2024'!$B:$E,4,FALSE),0),0)</f>
        <v>0</v>
      </c>
      <c r="I873" s="21"/>
      <c r="J873" s="28">
        <f>+IF(F873="i",IFERROR(VLOOKUP(C873,'BG 2023'!$B:$E,3,FALSE),0),0)</f>
        <v>0</v>
      </c>
      <c r="K873" s="21">
        <f>+IF(F873="i",IFERROR(VLOOKUP(C873,'BG 2023'!$B:$E,4,FALSE),0),0)</f>
        <v>0</v>
      </c>
      <c r="M873" s="15" t="e">
        <f>+VLOOKUP(C873,'BG 2023'!$B:$E,1,0)</f>
        <v>#N/A</v>
      </c>
      <c r="N873" s="806" t="e">
        <f>+VLOOKUP(C873,'BG 2023'!$B:$E,3,0)</f>
        <v>#N/A</v>
      </c>
      <c r="O873" s="807" t="e">
        <f t="shared" si="61"/>
        <v>#N/A</v>
      </c>
      <c r="P873" s="807"/>
      <c r="R873" s="807">
        <f>+IFERROR(VLOOKUP(C873,'CA FE'!$A:$C,3,0),0)+G873</f>
        <v>0</v>
      </c>
      <c r="S873" s="807">
        <f t="shared" si="63"/>
        <v>0</v>
      </c>
    </row>
    <row r="874" spans="1:19">
      <c r="A874" s="354" t="s">
        <v>193</v>
      </c>
      <c r="B874" s="354"/>
      <c r="C874" s="355">
        <v>22201121</v>
      </c>
      <c r="D874" s="354" t="s">
        <v>879</v>
      </c>
      <c r="E874" s="356" t="s">
        <v>634</v>
      </c>
      <c r="F874" s="356" t="str">
        <f t="shared" si="62"/>
        <v>NI</v>
      </c>
      <c r="G874" s="28">
        <f>+IF(F874="i",IFERROR(VLOOKUP(C874,'BG 12.2024'!$B:$E,3,FALSE),0),0)</f>
        <v>0</v>
      </c>
      <c r="H874" s="21">
        <f>+IF(F874="i",IFERROR(VLOOKUP(C874,'BG 12.2024'!$B:$E,4,FALSE),0),0)</f>
        <v>0</v>
      </c>
      <c r="I874" s="21"/>
      <c r="J874" s="28">
        <f>+IF(F874="i",IFERROR(VLOOKUP(C874,'BG 2023'!$B:$E,3,FALSE),0),0)</f>
        <v>0</v>
      </c>
      <c r="K874" s="21">
        <f>+IF(F874="i",IFERROR(VLOOKUP(C874,'BG 2023'!$B:$E,4,FALSE),0),0)</f>
        <v>0</v>
      </c>
      <c r="M874" s="15" t="e">
        <f>+VLOOKUP(C874,'BG 2023'!$B:$E,1,0)</f>
        <v>#N/A</v>
      </c>
      <c r="N874" s="806" t="e">
        <f>+VLOOKUP(C874,'BG 2023'!$B:$E,3,0)</f>
        <v>#N/A</v>
      </c>
      <c r="O874" s="807" t="e">
        <f t="shared" si="61"/>
        <v>#N/A</v>
      </c>
      <c r="P874" s="807"/>
      <c r="R874" s="807">
        <f>+IFERROR(VLOOKUP(C874,'CA FE'!$A:$C,3,0),0)+G874</f>
        <v>0</v>
      </c>
      <c r="S874" s="807">
        <f t="shared" si="63"/>
        <v>0</v>
      </c>
    </row>
    <row r="875" spans="1:19">
      <c r="A875" s="354" t="s">
        <v>193</v>
      </c>
      <c r="B875" s="354"/>
      <c r="C875" s="355">
        <v>2220112101</v>
      </c>
      <c r="D875" s="354" t="s">
        <v>879</v>
      </c>
      <c r="E875" s="356" t="s">
        <v>634</v>
      </c>
      <c r="F875" s="356" t="str">
        <f t="shared" si="62"/>
        <v>I</v>
      </c>
      <c r="G875" s="28">
        <f>+IF(F875="i",IFERROR(VLOOKUP(C875,'BG 12.2024'!$B:$E,3,FALSE),0),0)</f>
        <v>0</v>
      </c>
      <c r="H875" s="21">
        <f>+IF(F875="i",IFERROR(VLOOKUP(C875,'BG 12.2024'!$B:$E,4,FALSE),0),0)</f>
        <v>0</v>
      </c>
      <c r="I875" s="21"/>
      <c r="J875" s="28">
        <f>+IF(F875="i",IFERROR(VLOOKUP(C875,'BG 2023'!$B:$E,3,FALSE),0),0)</f>
        <v>0</v>
      </c>
      <c r="K875" s="21">
        <f>+IF(F875="i",IFERROR(VLOOKUP(C875,'BG 2023'!$B:$E,4,FALSE),0),0)</f>
        <v>0</v>
      </c>
      <c r="M875" s="15" t="e">
        <f>+VLOOKUP(C875,'BG 2023'!$B:$E,1,0)</f>
        <v>#N/A</v>
      </c>
      <c r="N875" s="806" t="e">
        <f>+VLOOKUP(C875,'BG 2023'!$B:$E,3,0)</f>
        <v>#N/A</v>
      </c>
      <c r="O875" s="807" t="e">
        <f t="shared" si="61"/>
        <v>#N/A</v>
      </c>
      <c r="P875" s="807"/>
      <c r="R875" s="807">
        <f>+IFERROR(VLOOKUP(C875,'CA FE'!$A:$C,3,0),0)+G875</f>
        <v>0</v>
      </c>
      <c r="S875" s="807">
        <f t="shared" si="63"/>
        <v>0</v>
      </c>
    </row>
    <row r="876" spans="1:19">
      <c r="A876" s="354" t="s">
        <v>193</v>
      </c>
      <c r="B876" s="354"/>
      <c r="C876" s="355">
        <v>2220112102</v>
      </c>
      <c r="D876" s="354" t="s">
        <v>879</v>
      </c>
      <c r="E876" s="356" t="s">
        <v>634</v>
      </c>
      <c r="F876" s="356" t="str">
        <f t="shared" si="62"/>
        <v>I</v>
      </c>
      <c r="G876" s="28">
        <f>+IF(F876="i",IFERROR(VLOOKUP(C876,'BG 12.2024'!$B:$E,3,FALSE),0),0)</f>
        <v>0</v>
      </c>
      <c r="H876" s="21">
        <f>+IF(F876="i",IFERROR(VLOOKUP(C876,'BG 12.2024'!$B:$E,4,FALSE),0),0)</f>
        <v>0</v>
      </c>
      <c r="I876" s="21"/>
      <c r="J876" s="28">
        <f>+IF(F876="i",IFERROR(VLOOKUP(C876,'BG 2023'!$B:$E,3,FALSE),0),0)</f>
        <v>0</v>
      </c>
      <c r="K876" s="21">
        <f>+IF(F876="i",IFERROR(VLOOKUP(C876,'BG 2023'!$B:$E,4,FALSE),0),0)</f>
        <v>0</v>
      </c>
      <c r="M876" s="15" t="e">
        <f>+VLOOKUP(C876,'BG 2023'!$B:$E,1,0)</f>
        <v>#N/A</v>
      </c>
      <c r="N876" s="806" t="e">
        <f>+VLOOKUP(C876,'BG 2023'!$B:$E,3,0)</f>
        <v>#N/A</v>
      </c>
      <c r="O876" s="807" t="e">
        <f t="shared" si="61"/>
        <v>#N/A</v>
      </c>
      <c r="P876" s="807"/>
      <c r="R876" s="807">
        <f>+IFERROR(VLOOKUP(C876,'CA FE'!$A:$C,3,0),0)+G876</f>
        <v>0</v>
      </c>
      <c r="S876" s="807">
        <f t="shared" si="63"/>
        <v>0</v>
      </c>
    </row>
    <row r="877" spans="1:19">
      <c r="A877" s="354" t="s">
        <v>193</v>
      </c>
      <c r="B877" s="354"/>
      <c r="C877" s="355">
        <v>22201122</v>
      </c>
      <c r="D877" s="354" t="s">
        <v>880</v>
      </c>
      <c r="E877" s="356" t="s">
        <v>634</v>
      </c>
      <c r="F877" s="356" t="str">
        <f t="shared" si="62"/>
        <v>NI</v>
      </c>
      <c r="G877" s="28">
        <f>+IF(F877="i",IFERROR(VLOOKUP(C877,'BG 12.2024'!$B:$E,3,FALSE),0),0)</f>
        <v>0</v>
      </c>
      <c r="H877" s="21">
        <f>+IF(F877="i",IFERROR(VLOOKUP(C877,'BG 12.2024'!$B:$E,4,FALSE),0),0)</f>
        <v>0</v>
      </c>
      <c r="I877" s="21"/>
      <c r="J877" s="28">
        <f>+IF(F877="i",IFERROR(VLOOKUP(C877,'BG 2023'!$B:$E,3,FALSE),0),0)</f>
        <v>0</v>
      </c>
      <c r="K877" s="21">
        <f>+IF(F877="i",IFERROR(VLOOKUP(C877,'BG 2023'!$B:$E,4,FALSE),0),0)</f>
        <v>0</v>
      </c>
      <c r="M877" s="15" t="e">
        <f>+VLOOKUP(C877,'BG 2023'!$B:$E,1,0)</f>
        <v>#N/A</v>
      </c>
      <c r="N877" s="806" t="e">
        <f>+VLOOKUP(C877,'BG 2023'!$B:$E,3,0)</f>
        <v>#N/A</v>
      </c>
      <c r="O877" s="807" t="e">
        <f t="shared" si="61"/>
        <v>#N/A</v>
      </c>
      <c r="P877" s="807"/>
      <c r="R877" s="807">
        <f>+IFERROR(VLOOKUP(C877,'CA FE'!$A:$C,3,0),0)+G877</f>
        <v>0</v>
      </c>
      <c r="S877" s="807">
        <f t="shared" si="63"/>
        <v>0</v>
      </c>
    </row>
    <row r="878" spans="1:19">
      <c r="A878" s="354" t="s">
        <v>193</v>
      </c>
      <c r="B878" s="354"/>
      <c r="C878" s="355">
        <v>2220112201</v>
      </c>
      <c r="D878" s="354" t="s">
        <v>880</v>
      </c>
      <c r="E878" s="356" t="s">
        <v>634</v>
      </c>
      <c r="F878" s="356" t="str">
        <f t="shared" si="62"/>
        <v>I</v>
      </c>
      <c r="G878" s="28">
        <f>+IF(F878="i",IFERROR(VLOOKUP(C878,'BG 12.2024'!$B:$E,3,FALSE),0),0)</f>
        <v>0</v>
      </c>
      <c r="H878" s="21">
        <f>+IF(F878="i",IFERROR(VLOOKUP(C878,'BG 12.2024'!$B:$E,4,FALSE),0),0)</f>
        <v>0</v>
      </c>
      <c r="I878" s="21"/>
      <c r="J878" s="28">
        <f>+IF(F878="i",IFERROR(VLOOKUP(C878,'BG 2023'!$B:$E,3,FALSE),0),0)</f>
        <v>0</v>
      </c>
      <c r="K878" s="21">
        <f>+IF(F878="i",IFERROR(VLOOKUP(C878,'BG 2023'!$B:$E,4,FALSE),0),0)</f>
        <v>0</v>
      </c>
      <c r="M878" s="15" t="e">
        <f>+VLOOKUP(C878,'BG 2023'!$B:$E,1,0)</f>
        <v>#N/A</v>
      </c>
      <c r="N878" s="806" t="e">
        <f>+VLOOKUP(C878,'BG 2023'!$B:$E,3,0)</f>
        <v>#N/A</v>
      </c>
      <c r="O878" s="807" t="e">
        <f t="shared" si="61"/>
        <v>#N/A</v>
      </c>
      <c r="P878" s="807"/>
      <c r="R878" s="807">
        <f>+IFERROR(VLOOKUP(C878,'CA FE'!$A:$C,3,0),0)+G878</f>
        <v>0</v>
      </c>
      <c r="S878" s="807">
        <f t="shared" si="63"/>
        <v>0</v>
      </c>
    </row>
    <row r="879" spans="1:19">
      <c r="A879" s="354" t="s">
        <v>193</v>
      </c>
      <c r="B879" s="354"/>
      <c r="C879" s="355">
        <v>2220112202</v>
      </c>
      <c r="D879" s="354" t="s">
        <v>880</v>
      </c>
      <c r="E879" s="356" t="s">
        <v>634</v>
      </c>
      <c r="F879" s="356" t="str">
        <f t="shared" si="62"/>
        <v>I</v>
      </c>
      <c r="G879" s="28">
        <f>+IF(F879="i",IFERROR(VLOOKUP(C879,'BG 12.2024'!$B:$E,3,FALSE),0),0)</f>
        <v>0</v>
      </c>
      <c r="H879" s="21">
        <f>+IF(F879="i",IFERROR(VLOOKUP(C879,'BG 12.2024'!$B:$E,4,FALSE),0),0)</f>
        <v>0</v>
      </c>
      <c r="I879" s="21"/>
      <c r="J879" s="28">
        <f>+IF(F879="i",IFERROR(VLOOKUP(C879,'BG 2023'!$B:$E,3,FALSE),0),0)</f>
        <v>0</v>
      </c>
      <c r="K879" s="21">
        <f>+IF(F879="i",IFERROR(VLOOKUP(C879,'BG 2023'!$B:$E,4,FALSE),0),0)</f>
        <v>0</v>
      </c>
      <c r="M879" s="15" t="e">
        <f>+VLOOKUP(C879,'BG 2023'!$B:$E,1,0)</f>
        <v>#N/A</v>
      </c>
      <c r="N879" s="806" t="e">
        <f>+VLOOKUP(C879,'BG 2023'!$B:$E,3,0)</f>
        <v>#N/A</v>
      </c>
      <c r="O879" s="807" t="e">
        <f t="shared" ref="O879:O943" si="64">+N879-G879</f>
        <v>#N/A</v>
      </c>
      <c r="P879" s="807"/>
      <c r="R879" s="807">
        <f>+IFERROR(VLOOKUP(C879,'CA FE'!$A:$C,3,0),0)+G879</f>
        <v>0</v>
      </c>
      <c r="S879" s="807">
        <f t="shared" si="63"/>
        <v>0</v>
      </c>
    </row>
    <row r="880" spans="1:19">
      <c r="A880" s="354" t="s">
        <v>193</v>
      </c>
      <c r="B880" s="354"/>
      <c r="C880" s="355">
        <v>229</v>
      </c>
      <c r="D880" s="354" t="s">
        <v>929</v>
      </c>
      <c r="E880" s="356" t="s">
        <v>634</v>
      </c>
      <c r="F880" s="356" t="str">
        <f t="shared" si="62"/>
        <v>NI</v>
      </c>
      <c r="G880" s="28">
        <f>+IF(F880="i",IFERROR(VLOOKUP(C880,'BG 12.2024'!$B:$E,3,FALSE),0),0)</f>
        <v>0</v>
      </c>
      <c r="H880" s="21">
        <f>+IF(F880="i",IFERROR(VLOOKUP(C880,'BG 12.2024'!$B:$E,4,FALSE),0),0)</f>
        <v>0</v>
      </c>
      <c r="I880" s="21"/>
      <c r="J880" s="28">
        <f>+IF(F880="i",IFERROR(VLOOKUP(C880,'BG 2023'!$B:$E,3,FALSE),0),0)</f>
        <v>0</v>
      </c>
      <c r="K880" s="21">
        <f>+IF(F880="i",IFERROR(VLOOKUP(C880,'BG 2023'!$B:$E,4,FALSE),0),0)</f>
        <v>0</v>
      </c>
      <c r="M880" s="15" t="e">
        <f>+VLOOKUP(C880,'BG 2023'!$B:$E,1,0)</f>
        <v>#N/A</v>
      </c>
      <c r="N880" s="806" t="e">
        <f>+VLOOKUP(C880,'BG 2023'!$B:$E,3,0)</f>
        <v>#N/A</v>
      </c>
      <c r="O880" s="807" t="e">
        <f t="shared" si="64"/>
        <v>#N/A</v>
      </c>
      <c r="P880" s="807"/>
      <c r="R880" s="807">
        <f>+IFERROR(VLOOKUP(C880,'CA FE'!$A:$C,3,0),0)+G880</f>
        <v>0</v>
      </c>
      <c r="S880" s="807">
        <f t="shared" si="63"/>
        <v>0</v>
      </c>
    </row>
    <row r="881" spans="1:18">
      <c r="A881" s="354" t="s">
        <v>193</v>
      </c>
      <c r="B881" s="354"/>
      <c r="C881" s="355">
        <v>22901</v>
      </c>
      <c r="D881" s="354" t="s">
        <v>930</v>
      </c>
      <c r="E881" s="356" t="s">
        <v>634</v>
      </c>
      <c r="F881" s="356" t="str">
        <f t="shared" si="62"/>
        <v>NI</v>
      </c>
      <c r="G881" s="28">
        <f>+IF(F881="i",IFERROR(VLOOKUP(C881,'BG 12.2024'!$B:$E,3,FALSE),0),0)</f>
        <v>0</v>
      </c>
      <c r="H881" s="21">
        <f>+IF(F881="i",IFERROR(VLOOKUP(C881,'BG 12.2024'!$B:$E,4,FALSE),0),0)</f>
        <v>0</v>
      </c>
      <c r="I881" s="21"/>
      <c r="J881" s="28">
        <f>+IF(F881="i",IFERROR(VLOOKUP(C881,'BG 2023'!$B:$E,3,FALSE),0),0)</f>
        <v>0</v>
      </c>
      <c r="K881" s="21">
        <f>+IF(F881="i",IFERROR(VLOOKUP(C881,'BG 2023'!$B:$E,4,FALSE),0),0)</f>
        <v>0</v>
      </c>
      <c r="M881" s="15" t="e">
        <f>+VLOOKUP(C881,'BG 2023'!$B:$E,1,0)</f>
        <v>#N/A</v>
      </c>
      <c r="N881" s="806" t="e">
        <f>+VLOOKUP(C881,'BG 2023'!$B:$E,3,0)</f>
        <v>#N/A</v>
      </c>
      <c r="O881" s="807" t="e">
        <f t="shared" si="64"/>
        <v>#N/A</v>
      </c>
      <c r="P881" s="807"/>
      <c r="R881" s="807">
        <f>+IFERROR(VLOOKUP(C881,'CA FE'!$A:$C,3,0),0)+G881</f>
        <v>0</v>
      </c>
    </row>
    <row r="882" spans="1:18">
      <c r="A882" s="916"/>
      <c r="B882" s="916"/>
      <c r="C882" s="917"/>
      <c r="D882" s="916"/>
      <c r="E882" s="357"/>
      <c r="F882" s="357"/>
      <c r="G882" s="28">
        <f>+IF(F882="i",IFERROR(VLOOKUP(C882,'BG 12.2024'!$B:$E,3,FALSE),0),0)</f>
        <v>0</v>
      </c>
      <c r="H882" s="21">
        <f>+IF(F882="i",IFERROR(VLOOKUP(C882,'BG 12.2024'!$B:$E,4,FALSE),0),0)</f>
        <v>0</v>
      </c>
      <c r="I882" s="132"/>
      <c r="J882" s="28">
        <f>+IF(F882="i",IFERROR(VLOOKUP(C882,'BG 2023'!$B:$E,3,FALSE),0),0)</f>
        <v>0</v>
      </c>
      <c r="K882" s="21">
        <f>+IF(F882="i",IFERROR(VLOOKUP(C882,'BG 2023'!$B:$E,4,FALSE),0),0)</f>
        <v>0</v>
      </c>
      <c r="M882" s="15" t="e">
        <f>+VLOOKUP(C882,'BG 2023'!$B:$E,1,0)</f>
        <v>#N/A</v>
      </c>
      <c r="N882" s="806" t="e">
        <f>+VLOOKUP(C882,'BG 2023'!$B:$E,3,0)</f>
        <v>#N/A</v>
      </c>
      <c r="O882" s="807" t="e">
        <f t="shared" si="64"/>
        <v>#N/A</v>
      </c>
      <c r="P882" s="807"/>
      <c r="R882" s="807">
        <f>+IFERROR(VLOOKUP(C882,'CA FE'!$A:$C,3,0),0)+G882</f>
        <v>0</v>
      </c>
    </row>
    <row r="883" spans="1:18">
      <c r="A883" s="354" t="s">
        <v>933</v>
      </c>
      <c r="B883" s="354"/>
      <c r="C883" s="355">
        <v>3</v>
      </c>
      <c r="D883" s="354" t="s">
        <v>238</v>
      </c>
      <c r="E883" s="356" t="s">
        <v>634</v>
      </c>
      <c r="F883" s="356" t="str">
        <f t="shared" ref="F883:F926" si="65">+IF(LEN(C883)&gt;8,"I","NI")</f>
        <v>NI</v>
      </c>
      <c r="G883" s="28">
        <f>+IF(F883="i",IFERROR(VLOOKUP(C883,'BG 12.2024'!$B:$E,3,FALSE),0),0)</f>
        <v>0</v>
      </c>
      <c r="H883" s="21">
        <f>+IF(F883="i",IFERROR(VLOOKUP(C883,'BG 12.2024'!$B:$E,4,FALSE),0),0)</f>
        <v>0</v>
      </c>
      <c r="I883" s="21"/>
      <c r="J883" s="28">
        <f>+IF(F883="i",IFERROR(VLOOKUP(C883,'BG 2023'!$B:$E,3,FALSE),0),0)</f>
        <v>0</v>
      </c>
      <c r="K883" s="21">
        <f>+IF(F883="i",IFERROR(VLOOKUP(C883,'BG 2023'!$B:$E,4,FALSE),0),0)</f>
        <v>0</v>
      </c>
      <c r="M883" s="15">
        <f>+VLOOKUP(C883,'BG 2023'!$B:$E,1,0)</f>
        <v>3</v>
      </c>
      <c r="N883" s="806">
        <f>+VLOOKUP(C883,'BG 2023'!$B:$E,3,0)</f>
        <v>52318473430</v>
      </c>
      <c r="O883" s="807">
        <f t="shared" si="64"/>
        <v>52318473430</v>
      </c>
      <c r="P883" s="807"/>
      <c r="R883" s="807">
        <f>+IFERROR(VLOOKUP(C883,'CA FE'!$A:$C,3,0),0)+G883</f>
        <v>0</v>
      </c>
    </row>
    <row r="884" spans="1:18">
      <c r="A884" s="354" t="s">
        <v>933</v>
      </c>
      <c r="B884" s="354"/>
      <c r="C884" s="355">
        <v>301</v>
      </c>
      <c r="D884" s="354" t="s">
        <v>239</v>
      </c>
      <c r="E884" s="356" t="s">
        <v>634</v>
      </c>
      <c r="F884" s="356" t="str">
        <f t="shared" si="65"/>
        <v>NI</v>
      </c>
      <c r="G884" s="28">
        <f>+IF(F884="i",IFERROR(VLOOKUP(C884,'BG 12.2024'!$B:$E,3,FALSE),0),0)</f>
        <v>0</v>
      </c>
      <c r="H884" s="21">
        <f>+IF(F884="i",IFERROR(VLOOKUP(C884,'BG 12.2024'!$B:$E,4,FALSE),0),0)</f>
        <v>0</v>
      </c>
      <c r="I884" s="21"/>
      <c r="J884" s="28">
        <f>+IF(F884="i",IFERROR(VLOOKUP(C884,'BG 2023'!$B:$E,3,FALSE),0),0)</f>
        <v>0</v>
      </c>
      <c r="K884" s="21">
        <f>+IF(F884="i",IFERROR(VLOOKUP(C884,'BG 2023'!$B:$E,4,FALSE),0),0)</f>
        <v>0</v>
      </c>
      <c r="M884" s="15">
        <f>+VLOOKUP(C884,'BG 2023'!$B:$E,1,0)</f>
        <v>301</v>
      </c>
      <c r="N884" s="806">
        <f>+VLOOKUP(C884,'BG 2023'!$B:$E,3,0)</f>
        <v>54350000000</v>
      </c>
      <c r="O884" s="807">
        <f t="shared" si="64"/>
        <v>54350000000</v>
      </c>
      <c r="P884" s="807"/>
      <c r="R884" s="807">
        <f>+IFERROR(VLOOKUP(C884,'CA FE'!$A:$C,3,0),0)+G884</f>
        <v>0</v>
      </c>
    </row>
    <row r="885" spans="1:18">
      <c r="A885" s="354" t="s">
        <v>933</v>
      </c>
      <c r="B885" s="354"/>
      <c r="C885" s="355">
        <v>3011</v>
      </c>
      <c r="D885" s="354" t="s">
        <v>240</v>
      </c>
      <c r="E885" s="356" t="s">
        <v>634</v>
      </c>
      <c r="F885" s="356" t="str">
        <f t="shared" si="65"/>
        <v>NI</v>
      </c>
      <c r="G885" s="28">
        <f>+IF(F885="i",IFERROR(VLOOKUP(C885,'BG 12.2024'!$B:$E,3,FALSE),0),0)</f>
        <v>0</v>
      </c>
      <c r="H885" s="21">
        <f>+IF(F885="i",IFERROR(VLOOKUP(C885,'BG 12.2024'!$B:$E,4,FALSE),0),0)</f>
        <v>0</v>
      </c>
      <c r="I885" s="21"/>
      <c r="J885" s="28">
        <f>+IF(F885="i",IFERROR(VLOOKUP(C885,'BG 2023'!$B:$E,3,FALSE),0),0)</f>
        <v>0</v>
      </c>
      <c r="K885" s="21">
        <f>+IF(F885="i",IFERROR(VLOOKUP(C885,'BG 2023'!$B:$E,4,FALSE),0),0)</f>
        <v>0</v>
      </c>
      <c r="M885" s="15">
        <f>+VLOOKUP(C885,'BG 2023'!$B:$E,1,0)</f>
        <v>3011</v>
      </c>
      <c r="N885" s="806">
        <f>+VLOOKUP(C885,'BG 2023'!$B:$E,3,0)</f>
        <v>54350000000</v>
      </c>
      <c r="O885" s="807">
        <f t="shared" si="64"/>
        <v>54350000000</v>
      </c>
      <c r="P885" s="807"/>
      <c r="R885" s="807">
        <f>+IFERROR(VLOOKUP(C885,'CA FE'!$A:$C,3,0),0)+G885</f>
        <v>0</v>
      </c>
    </row>
    <row r="886" spans="1:18">
      <c r="A886" s="354" t="s">
        <v>933</v>
      </c>
      <c r="B886" s="354"/>
      <c r="C886" s="355">
        <v>30111</v>
      </c>
      <c r="D886" s="354" t="s">
        <v>240</v>
      </c>
      <c r="E886" s="356" t="s">
        <v>634</v>
      </c>
      <c r="F886" s="356" t="str">
        <f t="shared" si="65"/>
        <v>NI</v>
      </c>
      <c r="G886" s="28">
        <f>+IF(F886="i",IFERROR(VLOOKUP(C886,'BG 12.2024'!$B:$E,3,FALSE),0),0)</f>
        <v>0</v>
      </c>
      <c r="H886" s="21">
        <f>+IF(F886="i",IFERROR(VLOOKUP(C886,'BG 12.2024'!$B:$E,4,FALSE),0),0)</f>
        <v>0</v>
      </c>
      <c r="I886" s="21"/>
      <c r="J886" s="28">
        <f>+IF(F886="i",IFERROR(VLOOKUP(C886,'BG 2023'!$B:$E,3,FALSE),0),0)</f>
        <v>0</v>
      </c>
      <c r="K886" s="21">
        <f>+IF(F886="i",IFERROR(VLOOKUP(C886,'BG 2023'!$B:$E,4,FALSE),0),0)</f>
        <v>0</v>
      </c>
      <c r="M886" s="15">
        <f>+VLOOKUP(C886,'BG 2023'!$B:$E,1,0)</f>
        <v>30111</v>
      </c>
      <c r="N886" s="806">
        <f>+VLOOKUP(C886,'BG 2023'!$B:$E,3,0)</f>
        <v>54350000000</v>
      </c>
      <c r="O886" s="807">
        <f t="shared" si="64"/>
        <v>54350000000</v>
      </c>
      <c r="P886" s="807"/>
      <c r="R886" s="807">
        <f>+IFERROR(VLOOKUP(C886,'CA FE'!$A:$C,3,0),0)+G886</f>
        <v>0</v>
      </c>
    </row>
    <row r="887" spans="1:18">
      <c r="A887" s="354" t="s">
        <v>933</v>
      </c>
      <c r="B887" s="354"/>
      <c r="C887" s="355">
        <v>301111</v>
      </c>
      <c r="D887" s="354" t="s">
        <v>934</v>
      </c>
      <c r="E887" s="356" t="s">
        <v>634</v>
      </c>
      <c r="F887" s="356" t="str">
        <f t="shared" si="65"/>
        <v>NI</v>
      </c>
      <c r="G887" s="28">
        <f>+IF(F887="i",IFERROR(VLOOKUP(C887,'BG 12.2024'!$B:$E,3,FALSE),0),0)</f>
        <v>0</v>
      </c>
      <c r="H887" s="21">
        <f>+IF(F887="i",IFERROR(VLOOKUP(C887,'BG 12.2024'!$B:$E,4,FALSE),0),0)</f>
        <v>0</v>
      </c>
      <c r="I887" s="21"/>
      <c r="J887" s="28">
        <f>+IF(F887="i",IFERROR(VLOOKUP(C887,'BG 2023'!$B:$E,3,FALSE),0),0)</f>
        <v>0</v>
      </c>
      <c r="K887" s="21">
        <f>+IF(F887="i",IFERROR(VLOOKUP(C887,'BG 2023'!$B:$E,4,FALSE),0),0)</f>
        <v>0</v>
      </c>
      <c r="M887" s="15" t="e">
        <f>+VLOOKUP(C887,'BG 2023'!$B:$E,1,0)</f>
        <v>#N/A</v>
      </c>
      <c r="N887" s="806" t="e">
        <f>+VLOOKUP(C887,'BG 2023'!$B:$E,3,0)</f>
        <v>#N/A</v>
      </c>
      <c r="O887" s="807" t="e">
        <f t="shared" si="64"/>
        <v>#N/A</v>
      </c>
      <c r="P887" s="807"/>
      <c r="R887" s="807">
        <f>+IFERROR(VLOOKUP(C887,'CA FE'!$A:$C,3,0),0)+G887</f>
        <v>0</v>
      </c>
    </row>
    <row r="888" spans="1:18">
      <c r="A888" s="354" t="s">
        <v>933</v>
      </c>
      <c r="B888" s="354"/>
      <c r="C888" s="355">
        <v>3011111</v>
      </c>
      <c r="D888" s="354" t="s">
        <v>934</v>
      </c>
      <c r="E888" s="356" t="s">
        <v>634</v>
      </c>
      <c r="F888" s="356" t="str">
        <f t="shared" si="65"/>
        <v>NI</v>
      </c>
      <c r="G888" s="28">
        <f>+IF(F888="i",IFERROR(VLOOKUP(C888,'BG 12.2024'!$B:$E,3,FALSE),0),0)</f>
        <v>0</v>
      </c>
      <c r="H888" s="21">
        <f>+IF(F888="i",IFERROR(VLOOKUP(C888,'BG 12.2024'!$B:$E,4,FALSE),0),0)</f>
        <v>0</v>
      </c>
      <c r="I888" s="21"/>
      <c r="J888" s="28">
        <f>+IF(F888="i",IFERROR(VLOOKUP(C888,'BG 2023'!$B:$E,3,FALSE),0),0)</f>
        <v>0</v>
      </c>
      <c r="K888" s="21">
        <f>+IF(F888="i",IFERROR(VLOOKUP(C888,'BG 2023'!$B:$E,4,FALSE),0),0)</f>
        <v>0</v>
      </c>
      <c r="M888" s="15" t="e">
        <f>+VLOOKUP(C888,'BG 2023'!$B:$E,1,0)</f>
        <v>#N/A</v>
      </c>
      <c r="N888" s="806" t="e">
        <f>+VLOOKUP(C888,'BG 2023'!$B:$E,3,0)</f>
        <v>#N/A</v>
      </c>
      <c r="O888" s="807" t="e">
        <f t="shared" si="64"/>
        <v>#N/A</v>
      </c>
      <c r="P888" s="807"/>
      <c r="R888" s="807">
        <f>+IFERROR(VLOOKUP(C888,'CA FE'!$A:$C,3,0),0)+G888</f>
        <v>0</v>
      </c>
    </row>
    <row r="889" spans="1:18">
      <c r="A889" s="354" t="s">
        <v>933</v>
      </c>
      <c r="B889" s="354"/>
      <c r="C889" s="355">
        <v>30111111</v>
      </c>
      <c r="D889" s="354" t="s">
        <v>934</v>
      </c>
      <c r="E889" s="356" t="s">
        <v>634</v>
      </c>
      <c r="F889" s="356" t="str">
        <f t="shared" si="65"/>
        <v>NI</v>
      </c>
      <c r="G889" s="28">
        <f>+IF(F889="i",IFERROR(VLOOKUP(C889,'BG 12.2024'!$B:$E,3,FALSE),0),0)</f>
        <v>0</v>
      </c>
      <c r="H889" s="21">
        <f>+IF(F889="i",IFERROR(VLOOKUP(C889,'BG 12.2024'!$B:$E,4,FALSE),0),0)</f>
        <v>0</v>
      </c>
      <c r="I889" s="21"/>
      <c r="J889" s="28">
        <f>+IF(F889="i",IFERROR(VLOOKUP(C889,'BG 2023'!$B:$E,3,FALSE),0),0)</f>
        <v>0</v>
      </c>
      <c r="K889" s="21">
        <f>+IF(F889="i",IFERROR(VLOOKUP(C889,'BG 2023'!$B:$E,4,FALSE),0),0)</f>
        <v>0</v>
      </c>
      <c r="M889" s="15" t="e">
        <f>+VLOOKUP(C889,'BG 2023'!$B:$E,1,0)</f>
        <v>#N/A</v>
      </c>
      <c r="N889" s="806" t="e">
        <f>+VLOOKUP(C889,'BG 2023'!$B:$E,3,0)</f>
        <v>#N/A</v>
      </c>
      <c r="O889" s="807" t="e">
        <f t="shared" si="64"/>
        <v>#N/A</v>
      </c>
      <c r="P889" s="807"/>
      <c r="R889" s="807">
        <f>+IFERROR(VLOOKUP(C889,'CA FE'!$A:$C,3,0),0)+G889</f>
        <v>0</v>
      </c>
    </row>
    <row r="890" spans="1:18">
      <c r="A890" s="354" t="s">
        <v>933</v>
      </c>
      <c r="B890" s="354"/>
      <c r="C890" s="355">
        <v>3011111101</v>
      </c>
      <c r="D890" s="354" t="s">
        <v>934</v>
      </c>
      <c r="E890" s="356" t="s">
        <v>634</v>
      </c>
      <c r="F890" s="356" t="str">
        <f t="shared" si="65"/>
        <v>I</v>
      </c>
      <c r="G890" s="28">
        <f>+IF(F890="i",IFERROR(VLOOKUP(C890,'BG 12.2024'!$B:$E,3,FALSE),0),0)</f>
        <v>0</v>
      </c>
      <c r="H890" s="21">
        <f>+IF(F890="i",IFERROR(VLOOKUP(C890,'BG 12.2024'!$B:$E,4,FALSE),0),0)</f>
        <v>0</v>
      </c>
      <c r="I890" s="21"/>
      <c r="J890" s="28">
        <f>+IF(F890="i",IFERROR(VLOOKUP(C890,'BG 2023'!$B:$E,3,FALSE),0),0)</f>
        <v>0</v>
      </c>
      <c r="K890" s="21">
        <f>+IF(F890="i",IFERROR(VLOOKUP(C890,'BG 2023'!$B:$E,4,FALSE),0),0)</f>
        <v>0</v>
      </c>
      <c r="M890" s="15" t="e">
        <f>+VLOOKUP(C890,'BG 2023'!$B:$E,1,0)</f>
        <v>#N/A</v>
      </c>
      <c r="N890" s="806" t="e">
        <f>+VLOOKUP(C890,'BG 2023'!$B:$E,3,0)</f>
        <v>#N/A</v>
      </c>
      <c r="O890" s="807" t="e">
        <f t="shared" si="64"/>
        <v>#N/A</v>
      </c>
      <c r="P890" s="807"/>
      <c r="R890" s="807">
        <f>+IFERROR(VLOOKUP(C890,'CA FE'!$A:$C,3,0),0)+G890</f>
        <v>0</v>
      </c>
    </row>
    <row r="891" spans="1:18">
      <c r="A891" s="354" t="s">
        <v>933</v>
      </c>
      <c r="B891" s="354"/>
      <c r="C891" s="355">
        <v>301112</v>
      </c>
      <c r="D891" s="354" t="s">
        <v>241</v>
      </c>
      <c r="E891" s="356" t="s">
        <v>634</v>
      </c>
      <c r="F891" s="356" t="str">
        <f t="shared" si="65"/>
        <v>NI</v>
      </c>
      <c r="G891" s="28">
        <f>+IF(F891="i",IFERROR(VLOOKUP(C891,'BG 12.2024'!$B:$E,3,FALSE),0),0)</f>
        <v>0</v>
      </c>
      <c r="H891" s="21">
        <f>+IF(F891="i",IFERROR(VLOOKUP(C891,'BG 12.2024'!$B:$E,4,FALSE),0),0)</f>
        <v>0</v>
      </c>
      <c r="I891" s="21"/>
      <c r="J891" s="28">
        <f>+IF(F891="i",IFERROR(VLOOKUP(C891,'BG 2023'!$B:$E,3,FALSE),0),0)</f>
        <v>0</v>
      </c>
      <c r="K891" s="21">
        <f>+IF(F891="i",IFERROR(VLOOKUP(C891,'BG 2023'!$B:$E,4,FALSE),0),0)</f>
        <v>0</v>
      </c>
      <c r="M891" s="15">
        <f>+VLOOKUP(C891,'BG 2023'!$B:$E,1,0)</f>
        <v>301112</v>
      </c>
      <c r="N891" s="806">
        <f>+VLOOKUP(C891,'BG 2023'!$B:$E,3,0)</f>
        <v>54350000000</v>
      </c>
      <c r="O891" s="807">
        <f t="shared" si="64"/>
        <v>54350000000</v>
      </c>
      <c r="P891" s="807"/>
      <c r="R891" s="807">
        <f>+IFERROR(VLOOKUP(C891,'CA FE'!$A:$C,3,0),0)+G891</f>
        <v>0</v>
      </c>
    </row>
    <row r="892" spans="1:18">
      <c r="A892" s="354" t="s">
        <v>933</v>
      </c>
      <c r="B892" s="354"/>
      <c r="C892" s="355">
        <v>3011121</v>
      </c>
      <c r="D892" s="354" t="s">
        <v>241</v>
      </c>
      <c r="E892" s="356" t="s">
        <v>634</v>
      </c>
      <c r="F892" s="356" t="str">
        <f t="shared" si="65"/>
        <v>NI</v>
      </c>
      <c r="G892" s="28">
        <f>+IF(F892="i",IFERROR(VLOOKUP(C892,'BG 12.2024'!$B:$E,3,FALSE),0),0)</f>
        <v>0</v>
      </c>
      <c r="H892" s="21">
        <f>+IF(F892="i",IFERROR(VLOOKUP(C892,'BG 12.2024'!$B:$E,4,FALSE),0),0)</f>
        <v>0</v>
      </c>
      <c r="I892" s="21"/>
      <c r="J892" s="28">
        <f>+IF(F892="i",IFERROR(VLOOKUP(C892,'BG 2023'!$B:$E,3,FALSE),0),0)</f>
        <v>0</v>
      </c>
      <c r="K892" s="21">
        <f>+IF(F892="i",IFERROR(VLOOKUP(C892,'BG 2023'!$B:$E,4,FALSE),0),0)</f>
        <v>0</v>
      </c>
      <c r="M892" s="15">
        <f>+VLOOKUP(C892,'BG 2023'!$B:$E,1,0)</f>
        <v>3011121</v>
      </c>
      <c r="N892" s="806">
        <f>+VLOOKUP(C892,'BG 2023'!$B:$E,3,0)</f>
        <v>54350000000</v>
      </c>
      <c r="O892" s="807">
        <f t="shared" si="64"/>
        <v>54350000000</v>
      </c>
      <c r="P892" s="807"/>
      <c r="R892" s="807">
        <f>+IFERROR(VLOOKUP(C892,'CA FE'!$A:$C,3,0),0)+G892</f>
        <v>0</v>
      </c>
    </row>
    <row r="893" spans="1:18">
      <c r="A893" s="354" t="s">
        <v>933</v>
      </c>
      <c r="B893" s="354"/>
      <c r="C893" s="355">
        <v>30111211</v>
      </c>
      <c r="D893" s="354" t="s">
        <v>241</v>
      </c>
      <c r="E893" s="356" t="s">
        <v>634</v>
      </c>
      <c r="F893" s="356" t="str">
        <f t="shared" si="65"/>
        <v>NI</v>
      </c>
      <c r="G893" s="28">
        <f>+IF(F893="i",IFERROR(VLOOKUP(C893,'BG 12.2024'!$B:$E,3,FALSE),0),0)</f>
        <v>0</v>
      </c>
      <c r="H893" s="21">
        <f>+IF(F893="i",IFERROR(VLOOKUP(C893,'BG 12.2024'!$B:$E,4,FALSE),0),0)</f>
        <v>0</v>
      </c>
      <c r="I893" s="21"/>
      <c r="J893" s="28">
        <f>+IF(F893="i",IFERROR(VLOOKUP(C893,'BG 2023'!$B:$E,3,FALSE),0),0)</f>
        <v>0</v>
      </c>
      <c r="K893" s="21">
        <f>+IF(F893="i",IFERROR(VLOOKUP(C893,'BG 2023'!$B:$E,4,FALSE),0),0)</f>
        <v>0</v>
      </c>
      <c r="M893" s="15">
        <f>+VLOOKUP(C893,'BG 2023'!$B:$E,1,0)</f>
        <v>30111211</v>
      </c>
      <c r="N893" s="806">
        <f>+VLOOKUP(C893,'BG 2023'!$B:$E,3,0)</f>
        <v>54350000000</v>
      </c>
      <c r="O893" s="807">
        <f t="shared" si="64"/>
        <v>54350000000</v>
      </c>
      <c r="P893" s="807"/>
      <c r="R893" s="807">
        <f>+IFERROR(VLOOKUP(C893,'CA FE'!$A:$C,3,0),0)+G893</f>
        <v>0</v>
      </c>
    </row>
    <row r="894" spans="1:18">
      <c r="A894" s="354" t="s">
        <v>933</v>
      </c>
      <c r="B894" s="354" t="s">
        <v>935</v>
      </c>
      <c r="C894" s="355">
        <v>3011121101</v>
      </c>
      <c r="D894" s="354" t="s">
        <v>242</v>
      </c>
      <c r="E894" s="356" t="s">
        <v>634</v>
      </c>
      <c r="F894" s="356" t="str">
        <f t="shared" si="65"/>
        <v>I</v>
      </c>
      <c r="G894" s="28">
        <f>+IF(F894="i",IFERROR(VLOOKUP(C894,'BG 12.2024'!$B:$E,3,FALSE),0),0)</f>
        <v>54350000000</v>
      </c>
      <c r="H894" s="21">
        <f>+IF(F894="i",IFERROR(VLOOKUP(C894,'BG 12.2024'!$B:$E,4,FALSE),0),0)</f>
        <v>7605980.71</v>
      </c>
      <c r="I894" s="21"/>
      <c r="J894" s="28">
        <f>+IF(F894="i",IFERROR(VLOOKUP(C894,'BG 2023'!$B:$E,3,FALSE),0),0)</f>
        <v>54350000000</v>
      </c>
      <c r="K894" s="21">
        <f>+IF(F894="i",IFERROR(VLOOKUP(C894,'BG 2023'!$B:$E,4,FALSE),0),0)</f>
        <v>7605980.71</v>
      </c>
      <c r="M894" s="15">
        <f>+VLOOKUP(C894,'BG 2023'!$B:$E,1,0)</f>
        <v>3011121101</v>
      </c>
      <c r="N894" s="806">
        <f>+VLOOKUP(C894,'BG 2023'!$B:$E,3,0)</f>
        <v>54350000000</v>
      </c>
      <c r="O894" s="807">
        <f t="shared" si="64"/>
        <v>0</v>
      </c>
      <c r="P894" s="807"/>
      <c r="R894" s="807">
        <f>+IFERROR(VLOOKUP(C894,'CA FE'!$A:$C,3,0),0)+G894</f>
        <v>0</v>
      </c>
    </row>
    <row r="895" spans="1:18">
      <c r="A895" s="354" t="s">
        <v>933</v>
      </c>
      <c r="B895" s="354"/>
      <c r="C895" s="355">
        <v>3011121102</v>
      </c>
      <c r="D895" s="354" t="s">
        <v>936</v>
      </c>
      <c r="E895" s="356" t="s">
        <v>634</v>
      </c>
      <c r="F895" s="356" t="str">
        <f t="shared" si="65"/>
        <v>I</v>
      </c>
      <c r="G895" s="28">
        <f>+IF(F895="i",IFERROR(VLOOKUP(C895,'BG 12.2024'!$B:$E,3,FALSE),0),0)</f>
        <v>0</v>
      </c>
      <c r="H895" s="21">
        <f>+IF(F895="i",IFERROR(VLOOKUP(C895,'BG 12.2024'!$B:$E,4,FALSE),0),0)</f>
        <v>0</v>
      </c>
      <c r="I895" s="21"/>
      <c r="J895" s="28">
        <f>+IF(F895="i",IFERROR(VLOOKUP(C895,'BG 2023'!$B:$E,3,FALSE),0),0)</f>
        <v>0</v>
      </c>
      <c r="K895" s="21">
        <f>+IF(F895="i",IFERROR(VLOOKUP(C895,'BG 2023'!$B:$E,4,FALSE),0),0)</f>
        <v>0</v>
      </c>
      <c r="M895" s="15" t="e">
        <f>+VLOOKUP(C895,'BG 2023'!$B:$E,1,0)</f>
        <v>#N/A</v>
      </c>
      <c r="N895" s="806" t="e">
        <f>+VLOOKUP(C895,'BG 2023'!$B:$E,3,0)</f>
        <v>#N/A</v>
      </c>
      <c r="O895" s="807" t="e">
        <f t="shared" si="64"/>
        <v>#N/A</v>
      </c>
      <c r="P895" s="807"/>
      <c r="R895" s="807">
        <f>+IFERROR(VLOOKUP(C895,'CA FE'!$A:$C,3,0),0)+G895</f>
        <v>0</v>
      </c>
    </row>
    <row r="896" spans="1:18">
      <c r="A896" s="354" t="s">
        <v>933</v>
      </c>
      <c r="B896" s="354"/>
      <c r="C896" s="355">
        <v>3011121103</v>
      </c>
      <c r="D896" s="354" t="s">
        <v>244</v>
      </c>
      <c r="E896" s="356" t="s">
        <v>634</v>
      </c>
      <c r="F896" s="356" t="str">
        <f t="shared" si="65"/>
        <v>I</v>
      </c>
      <c r="G896" s="28">
        <f>+IF(F896="i",IFERROR(VLOOKUP(C896,'BG 12.2024'!$B:$E,3,FALSE),0),0)</f>
        <v>0</v>
      </c>
      <c r="H896" s="21">
        <f>+IF(F896="i",IFERROR(VLOOKUP(C896,'BG 12.2024'!$B:$E,4,FALSE),0),0)</f>
        <v>0</v>
      </c>
      <c r="I896" s="21"/>
      <c r="J896" s="28">
        <f>+IF(F896="i",IFERROR(VLOOKUP(C896,'BG 2023'!$B:$E,3,FALSE),0),0)</f>
        <v>0</v>
      </c>
      <c r="K896" s="21">
        <f>+IF(F896="i",IFERROR(VLOOKUP(C896,'BG 2023'!$B:$E,4,FALSE),0),0)</f>
        <v>0</v>
      </c>
      <c r="M896" s="15" t="e">
        <f>+VLOOKUP(C896,'BG 2023'!$B:$E,1,0)</f>
        <v>#N/A</v>
      </c>
      <c r="N896" s="806" t="e">
        <f>+VLOOKUP(C896,'BG 2023'!$B:$E,3,0)</f>
        <v>#N/A</v>
      </c>
      <c r="O896" s="807" t="e">
        <f t="shared" si="64"/>
        <v>#N/A</v>
      </c>
      <c r="P896" s="807"/>
      <c r="R896" s="807">
        <f>+IFERROR(VLOOKUP(C896,'CA FE'!$A:$C,3,0),0)+G896</f>
        <v>0</v>
      </c>
    </row>
    <row r="897" spans="1:18">
      <c r="A897" s="354" t="s">
        <v>933</v>
      </c>
      <c r="B897" s="354"/>
      <c r="C897" s="355">
        <v>301113</v>
      </c>
      <c r="D897" s="354" t="s">
        <v>937</v>
      </c>
      <c r="E897" s="356" t="s">
        <v>634</v>
      </c>
      <c r="F897" s="356" t="str">
        <f t="shared" si="65"/>
        <v>NI</v>
      </c>
      <c r="G897" s="28">
        <f>+IF(F897="i",IFERROR(VLOOKUP(C897,'BG 12.2024'!$B:$E,3,FALSE),0),0)</f>
        <v>0</v>
      </c>
      <c r="H897" s="21">
        <f>+IF(F897="i",IFERROR(VLOOKUP(C897,'BG 12.2024'!$B:$E,4,FALSE),0),0)</f>
        <v>0</v>
      </c>
      <c r="I897" s="21"/>
      <c r="J897" s="28">
        <f>+IF(F897="i",IFERROR(VLOOKUP(C897,'BG 2023'!$B:$E,3,FALSE),0),0)</f>
        <v>0</v>
      </c>
      <c r="K897" s="21">
        <f>+IF(F897="i",IFERROR(VLOOKUP(C897,'BG 2023'!$B:$E,4,FALSE),0),0)</f>
        <v>0</v>
      </c>
      <c r="M897" s="15" t="e">
        <f>+VLOOKUP(C897,'BG 2023'!$B:$E,1,0)</f>
        <v>#N/A</v>
      </c>
      <c r="N897" s="806" t="e">
        <f>+VLOOKUP(C897,'BG 2023'!$B:$E,3,0)</f>
        <v>#N/A</v>
      </c>
      <c r="O897" s="807" t="e">
        <f t="shared" si="64"/>
        <v>#N/A</v>
      </c>
      <c r="P897" s="807"/>
      <c r="R897" s="807">
        <f>+IFERROR(VLOOKUP(C897,'CA FE'!$A:$C,3,0),0)+G897</f>
        <v>0</v>
      </c>
    </row>
    <row r="898" spans="1:18">
      <c r="A898" s="354" t="s">
        <v>933</v>
      </c>
      <c r="B898" s="354"/>
      <c r="C898" s="355">
        <v>3011131</v>
      </c>
      <c r="D898" s="354" t="s">
        <v>937</v>
      </c>
      <c r="E898" s="356" t="s">
        <v>634</v>
      </c>
      <c r="F898" s="356" t="str">
        <f t="shared" si="65"/>
        <v>NI</v>
      </c>
      <c r="G898" s="28">
        <f>+IF(F898="i",IFERROR(VLOOKUP(C898,'BG 12.2024'!$B:$E,3,FALSE),0),0)</f>
        <v>0</v>
      </c>
      <c r="H898" s="21">
        <f>+IF(F898="i",IFERROR(VLOOKUP(C898,'BG 12.2024'!$B:$E,4,FALSE),0),0)</f>
        <v>0</v>
      </c>
      <c r="I898" s="21"/>
      <c r="J898" s="28">
        <f>+IF(F898="i",IFERROR(VLOOKUP(C898,'BG 2023'!$B:$E,3,FALSE),0),0)</f>
        <v>0</v>
      </c>
      <c r="K898" s="21">
        <f>+IF(F898="i",IFERROR(VLOOKUP(C898,'BG 2023'!$B:$E,4,FALSE),0),0)</f>
        <v>0</v>
      </c>
      <c r="M898" s="15" t="e">
        <f>+VLOOKUP(C898,'BG 2023'!$B:$E,1,0)</f>
        <v>#N/A</v>
      </c>
      <c r="N898" s="806" t="e">
        <f>+VLOOKUP(C898,'BG 2023'!$B:$E,3,0)</f>
        <v>#N/A</v>
      </c>
      <c r="O898" s="807" t="e">
        <f t="shared" si="64"/>
        <v>#N/A</v>
      </c>
      <c r="P898" s="807"/>
      <c r="R898" s="807">
        <f>+IFERROR(VLOOKUP(C898,'CA FE'!$A:$C,3,0),0)+G898</f>
        <v>0</v>
      </c>
    </row>
    <row r="899" spans="1:18">
      <c r="A899" s="354" t="s">
        <v>933</v>
      </c>
      <c r="B899" s="354"/>
      <c r="C899" s="355">
        <v>30111311</v>
      </c>
      <c r="D899" s="354" t="s">
        <v>937</v>
      </c>
      <c r="E899" s="356" t="s">
        <v>634</v>
      </c>
      <c r="F899" s="356" t="str">
        <f t="shared" si="65"/>
        <v>NI</v>
      </c>
      <c r="G899" s="28">
        <f>+IF(F899="i",IFERROR(VLOOKUP(C899,'BG 12.2024'!$B:$E,3,FALSE),0),0)</f>
        <v>0</v>
      </c>
      <c r="H899" s="21">
        <f>+IF(F899="i",IFERROR(VLOOKUP(C899,'BG 12.2024'!$B:$E,4,FALSE),0),0)</f>
        <v>0</v>
      </c>
      <c r="I899" s="21"/>
      <c r="J899" s="28">
        <f>+IF(F899="i",IFERROR(VLOOKUP(C899,'BG 2023'!$B:$E,3,FALSE),0),0)</f>
        <v>0</v>
      </c>
      <c r="K899" s="21">
        <f>+IF(F899="i",IFERROR(VLOOKUP(C899,'BG 2023'!$B:$E,4,FALSE),0),0)</f>
        <v>0</v>
      </c>
      <c r="M899" s="15" t="e">
        <f>+VLOOKUP(C899,'BG 2023'!$B:$E,1,0)</f>
        <v>#N/A</v>
      </c>
      <c r="N899" s="806" t="e">
        <f>+VLOOKUP(C899,'BG 2023'!$B:$E,3,0)</f>
        <v>#N/A</v>
      </c>
      <c r="O899" s="807" t="e">
        <f t="shared" si="64"/>
        <v>#N/A</v>
      </c>
      <c r="P899" s="807"/>
      <c r="R899" s="807">
        <f>+IFERROR(VLOOKUP(C899,'CA FE'!$A:$C,3,0),0)+G899</f>
        <v>0</v>
      </c>
    </row>
    <row r="900" spans="1:18">
      <c r="A900" s="354" t="s">
        <v>933</v>
      </c>
      <c r="B900" s="354"/>
      <c r="C900" s="355">
        <v>3011131101</v>
      </c>
      <c r="D900" s="354" t="s">
        <v>937</v>
      </c>
      <c r="E900" s="356" t="s">
        <v>634</v>
      </c>
      <c r="F900" s="356" t="str">
        <f t="shared" si="65"/>
        <v>I</v>
      </c>
      <c r="G900" s="28">
        <f>+IF(F900="i",IFERROR(VLOOKUP(C900,'BG 12.2024'!$B:$E,3,FALSE),0),0)</f>
        <v>0</v>
      </c>
      <c r="H900" s="21">
        <f>+IF(F900="i",IFERROR(VLOOKUP(C900,'BG 12.2024'!$B:$E,4,FALSE),0),0)</f>
        <v>0</v>
      </c>
      <c r="I900" s="21"/>
      <c r="J900" s="28">
        <f>+IF(F900="i",IFERROR(VLOOKUP(C900,'BG 2023'!$B:$E,3,FALSE),0),0)</f>
        <v>0</v>
      </c>
      <c r="K900" s="21">
        <f>+IF(F900="i",IFERROR(VLOOKUP(C900,'BG 2023'!$B:$E,4,FALSE),0),0)</f>
        <v>0</v>
      </c>
      <c r="M900" s="15" t="e">
        <f>+VLOOKUP(C900,'BG 2023'!$B:$E,1,0)</f>
        <v>#N/A</v>
      </c>
      <c r="N900" s="806" t="e">
        <f>+VLOOKUP(C900,'BG 2023'!$B:$E,3,0)</f>
        <v>#N/A</v>
      </c>
      <c r="O900" s="807" t="e">
        <f t="shared" si="64"/>
        <v>#N/A</v>
      </c>
      <c r="P900" s="807"/>
      <c r="R900" s="807">
        <f>+IFERROR(VLOOKUP(C900,'CA FE'!$A:$C,3,0),0)+G900</f>
        <v>0</v>
      </c>
    </row>
    <row r="901" spans="1:18">
      <c r="A901" s="354" t="s">
        <v>933</v>
      </c>
      <c r="B901" s="354"/>
      <c r="C901" s="355">
        <v>3011131102</v>
      </c>
      <c r="D901" s="354" t="s">
        <v>938</v>
      </c>
      <c r="E901" s="356" t="s">
        <v>634</v>
      </c>
      <c r="F901" s="356" t="str">
        <f t="shared" si="65"/>
        <v>I</v>
      </c>
      <c r="G901" s="28">
        <f>+IF(F901="i",IFERROR(VLOOKUP(C901,'BG 12.2024'!$B:$E,3,FALSE),0),0)</f>
        <v>0</v>
      </c>
      <c r="H901" s="21">
        <f>+IF(F901="i",IFERROR(VLOOKUP(C901,'BG 12.2024'!$B:$E,4,FALSE),0),0)</f>
        <v>0</v>
      </c>
      <c r="I901" s="21"/>
      <c r="J901" s="28">
        <f>+IF(F901="i",IFERROR(VLOOKUP(C901,'BG 2023'!$B:$E,3,FALSE),0),0)</f>
        <v>0</v>
      </c>
      <c r="K901" s="21">
        <f>+IF(F901="i",IFERROR(VLOOKUP(C901,'BG 2023'!$B:$E,4,FALSE),0),0)</f>
        <v>0</v>
      </c>
      <c r="M901" s="15" t="e">
        <f>+VLOOKUP(C901,'BG 2023'!$B:$E,1,0)</f>
        <v>#N/A</v>
      </c>
      <c r="N901" s="806" t="e">
        <f>+VLOOKUP(C901,'BG 2023'!$B:$E,3,0)</f>
        <v>#N/A</v>
      </c>
      <c r="O901" s="807" t="e">
        <f t="shared" si="64"/>
        <v>#N/A</v>
      </c>
      <c r="P901" s="807"/>
      <c r="R901" s="807">
        <f>+IFERROR(VLOOKUP(C901,'CA FE'!$A:$C,3,0),0)+G901</f>
        <v>0</v>
      </c>
    </row>
    <row r="902" spans="1:18">
      <c r="A902" s="354" t="s">
        <v>933</v>
      </c>
      <c r="B902" s="354"/>
      <c r="C902" s="355">
        <v>302</v>
      </c>
      <c r="D902" s="354" t="s">
        <v>243</v>
      </c>
      <c r="E902" s="356" t="s">
        <v>634</v>
      </c>
      <c r="F902" s="356" t="str">
        <f t="shared" si="65"/>
        <v>NI</v>
      </c>
      <c r="G902" s="28">
        <f>+IF(F902="i",IFERROR(VLOOKUP(C902,'BG 12.2024'!$B:$E,3,FALSE),0),0)</f>
        <v>0</v>
      </c>
      <c r="H902" s="21">
        <f>+IF(F902="i",IFERROR(VLOOKUP(C902,'BG 12.2024'!$B:$E,4,FALSE),0),0)</f>
        <v>0</v>
      </c>
      <c r="I902" s="21"/>
      <c r="J902" s="28">
        <f>+IF(F902="i",IFERROR(VLOOKUP(C902,'BG 2023'!$B:$E,3,FALSE),0),0)</f>
        <v>0</v>
      </c>
      <c r="K902" s="21">
        <f>+IF(F902="i",IFERROR(VLOOKUP(C902,'BG 2023'!$B:$E,4,FALSE),0),0)</f>
        <v>0</v>
      </c>
      <c r="M902" s="15">
        <f>+VLOOKUP(C902,'BG 2023'!$B:$E,1,0)</f>
        <v>302</v>
      </c>
      <c r="N902" s="806">
        <f>+VLOOKUP(C902,'BG 2023'!$B:$E,3,0)</f>
        <v>740857678</v>
      </c>
      <c r="O902" s="807">
        <f t="shared" si="64"/>
        <v>740857678</v>
      </c>
      <c r="P902" s="807"/>
      <c r="R902" s="807">
        <f>+IFERROR(VLOOKUP(C902,'CA FE'!$A:$C,3,0),0)+G902</f>
        <v>0</v>
      </c>
    </row>
    <row r="903" spans="1:18">
      <c r="A903" s="354" t="s">
        <v>933</v>
      </c>
      <c r="B903" s="354"/>
      <c r="C903" s="355">
        <v>3021</v>
      </c>
      <c r="D903" s="354" t="s">
        <v>244</v>
      </c>
      <c r="E903" s="356" t="s">
        <v>634</v>
      </c>
      <c r="F903" s="356" t="str">
        <f t="shared" si="65"/>
        <v>NI</v>
      </c>
      <c r="G903" s="28">
        <f>+IF(F903="i",IFERROR(VLOOKUP(C903,'BG 12.2024'!$B:$E,3,FALSE),0),0)</f>
        <v>0</v>
      </c>
      <c r="H903" s="21">
        <f>+IF(F903="i",IFERROR(VLOOKUP(C903,'BG 12.2024'!$B:$E,4,FALSE),0),0)</f>
        <v>0</v>
      </c>
      <c r="I903" s="21"/>
      <c r="J903" s="28">
        <f>+IF(F903="i",IFERROR(VLOOKUP(C903,'BG 2023'!$B:$E,3,FALSE),0),0)</f>
        <v>0</v>
      </c>
      <c r="K903" s="21">
        <f>+IF(F903="i",IFERROR(VLOOKUP(C903,'BG 2023'!$B:$E,4,FALSE),0),0)</f>
        <v>0</v>
      </c>
      <c r="M903" s="15">
        <f>+VLOOKUP(C903,'BG 2023'!$B:$E,1,0)</f>
        <v>3021</v>
      </c>
      <c r="N903" s="806">
        <f>+VLOOKUP(C903,'BG 2023'!$B:$E,3,0)</f>
        <v>740857678</v>
      </c>
      <c r="O903" s="807">
        <f t="shared" si="64"/>
        <v>740857678</v>
      </c>
      <c r="P903" s="807"/>
      <c r="R903" s="807">
        <f>+IFERROR(VLOOKUP(C903,'CA FE'!$A:$C,3,0),0)+G903</f>
        <v>0</v>
      </c>
    </row>
    <row r="904" spans="1:18">
      <c r="A904" s="354" t="s">
        <v>933</v>
      </c>
      <c r="B904" s="354"/>
      <c r="C904" s="355">
        <v>30211</v>
      </c>
      <c r="D904" s="354" t="s">
        <v>244</v>
      </c>
      <c r="E904" s="356" t="s">
        <v>634</v>
      </c>
      <c r="F904" s="356" t="str">
        <f t="shared" si="65"/>
        <v>NI</v>
      </c>
      <c r="G904" s="28">
        <f>+IF(F904="i",IFERROR(VLOOKUP(C904,'BG 12.2024'!$B:$E,3,FALSE),0),0)</f>
        <v>0</v>
      </c>
      <c r="H904" s="21">
        <f>+IF(F904="i",IFERROR(VLOOKUP(C904,'BG 12.2024'!$B:$E,4,FALSE),0),0)</f>
        <v>0</v>
      </c>
      <c r="I904" s="21"/>
      <c r="J904" s="28">
        <f>+IF(F904="i",IFERROR(VLOOKUP(C904,'BG 2023'!$B:$E,3,FALSE),0),0)</f>
        <v>0</v>
      </c>
      <c r="K904" s="21">
        <f>+IF(F904="i",IFERROR(VLOOKUP(C904,'BG 2023'!$B:$E,4,FALSE),0),0)</f>
        <v>0</v>
      </c>
      <c r="M904" s="15">
        <f>+VLOOKUP(C904,'BG 2023'!$B:$E,1,0)</f>
        <v>30211</v>
      </c>
      <c r="N904" s="806">
        <f>+VLOOKUP(C904,'BG 2023'!$B:$E,3,0)</f>
        <v>740857678</v>
      </c>
      <c r="O904" s="807">
        <f t="shared" si="64"/>
        <v>740857678</v>
      </c>
      <c r="P904" s="807"/>
      <c r="R904" s="807">
        <f>+IFERROR(VLOOKUP(C904,'CA FE'!$A:$C,3,0),0)+G904</f>
        <v>0</v>
      </c>
    </row>
    <row r="905" spans="1:18">
      <c r="A905" s="354" t="s">
        <v>933</v>
      </c>
      <c r="B905" s="354"/>
      <c r="C905" s="355">
        <v>302111</v>
      </c>
      <c r="D905" s="354" t="s">
        <v>244</v>
      </c>
      <c r="E905" s="356" t="s">
        <v>634</v>
      </c>
      <c r="F905" s="356" t="str">
        <f t="shared" si="65"/>
        <v>NI</v>
      </c>
      <c r="G905" s="28">
        <f>+IF(F905="i",IFERROR(VLOOKUP(C905,'BG 12.2024'!$B:$E,3,FALSE),0),0)</f>
        <v>0</v>
      </c>
      <c r="H905" s="21">
        <f>+IF(F905="i",IFERROR(VLOOKUP(C905,'BG 12.2024'!$B:$E,4,FALSE),0),0)</f>
        <v>0</v>
      </c>
      <c r="I905" s="21"/>
      <c r="J905" s="28">
        <f>+IF(F905="i",IFERROR(VLOOKUP(C905,'BG 2023'!$B:$E,3,FALSE),0),0)</f>
        <v>0</v>
      </c>
      <c r="K905" s="21">
        <f>+IF(F905="i",IFERROR(VLOOKUP(C905,'BG 2023'!$B:$E,4,FALSE),0),0)</f>
        <v>0</v>
      </c>
      <c r="M905" s="15">
        <f>+VLOOKUP(C905,'BG 2023'!$B:$E,1,0)</f>
        <v>302111</v>
      </c>
      <c r="N905" s="806">
        <f>+VLOOKUP(C905,'BG 2023'!$B:$E,3,0)</f>
        <v>740857678</v>
      </c>
      <c r="O905" s="807">
        <f t="shared" si="64"/>
        <v>740857678</v>
      </c>
      <c r="P905" s="807"/>
      <c r="R905" s="807">
        <f>+IFERROR(VLOOKUP(C905,'CA FE'!$A:$C,3,0),0)+G905</f>
        <v>0</v>
      </c>
    </row>
    <row r="906" spans="1:18">
      <c r="A906" s="354" t="s">
        <v>933</v>
      </c>
      <c r="B906" s="354"/>
      <c r="C906" s="355">
        <v>3021111</v>
      </c>
      <c r="D906" s="354" t="s">
        <v>244</v>
      </c>
      <c r="E906" s="356" t="s">
        <v>634</v>
      </c>
      <c r="F906" s="356" t="str">
        <f t="shared" si="65"/>
        <v>NI</v>
      </c>
      <c r="G906" s="28">
        <f>+IF(F906="i",IFERROR(VLOOKUP(C906,'BG 12.2024'!$B:$E,3,FALSE),0),0)</f>
        <v>0</v>
      </c>
      <c r="H906" s="21">
        <f>+IF(F906="i",IFERROR(VLOOKUP(C906,'BG 12.2024'!$B:$E,4,FALSE),0),0)</f>
        <v>0</v>
      </c>
      <c r="I906" s="21"/>
      <c r="J906" s="28">
        <f>+IF(F906="i",IFERROR(VLOOKUP(C906,'BG 2023'!$B:$E,3,FALSE),0),0)</f>
        <v>0</v>
      </c>
      <c r="K906" s="21">
        <f>+IF(F906="i",IFERROR(VLOOKUP(C906,'BG 2023'!$B:$E,4,FALSE),0),0)</f>
        <v>0</v>
      </c>
      <c r="M906" s="15">
        <f>+VLOOKUP(C906,'BG 2023'!$B:$E,1,0)</f>
        <v>3021111</v>
      </c>
      <c r="N906" s="806">
        <f>+VLOOKUP(C906,'BG 2023'!$B:$E,3,0)</f>
        <v>740857678</v>
      </c>
      <c r="O906" s="807">
        <f t="shared" si="64"/>
        <v>740857678</v>
      </c>
      <c r="P906" s="807"/>
      <c r="R906" s="807">
        <f>+IFERROR(VLOOKUP(C906,'CA FE'!$A:$C,3,0),0)+G906</f>
        <v>0</v>
      </c>
    </row>
    <row r="907" spans="1:18">
      <c r="A907" s="354" t="s">
        <v>933</v>
      </c>
      <c r="B907" s="354"/>
      <c r="C907" s="355">
        <v>30211111</v>
      </c>
      <c r="D907" s="354" t="s">
        <v>244</v>
      </c>
      <c r="E907" s="356" t="s">
        <v>634</v>
      </c>
      <c r="F907" s="356" t="str">
        <f t="shared" si="65"/>
        <v>NI</v>
      </c>
      <c r="G907" s="28">
        <f>+IF(F907="i",IFERROR(VLOOKUP(C907,'BG 12.2024'!$B:$E,3,FALSE),0),0)</f>
        <v>0</v>
      </c>
      <c r="H907" s="21">
        <f>+IF(F907="i",IFERROR(VLOOKUP(C907,'BG 12.2024'!$B:$E,4,FALSE),0),0)</f>
        <v>0</v>
      </c>
      <c r="I907" s="21"/>
      <c r="J907" s="28">
        <f>+IF(F907="i",IFERROR(VLOOKUP(C907,'BG 2023'!$B:$E,3,FALSE),0),0)</f>
        <v>0</v>
      </c>
      <c r="K907" s="21">
        <f>+IF(F907="i",IFERROR(VLOOKUP(C907,'BG 2023'!$B:$E,4,FALSE),0),0)</f>
        <v>0</v>
      </c>
      <c r="M907" s="15">
        <f>+VLOOKUP(C907,'BG 2023'!$B:$E,1,0)</f>
        <v>30211111</v>
      </c>
      <c r="N907" s="806">
        <f>+VLOOKUP(C907,'BG 2023'!$B:$E,3,0)</f>
        <v>740857678</v>
      </c>
      <c r="O907" s="807">
        <f t="shared" si="64"/>
        <v>740857678</v>
      </c>
      <c r="P907" s="807"/>
      <c r="R907" s="807">
        <f>+IFERROR(VLOOKUP(C907,'CA FE'!$A:$C,3,0),0)+G907</f>
        <v>0</v>
      </c>
    </row>
    <row r="908" spans="1:18">
      <c r="A908" s="354" t="s">
        <v>933</v>
      </c>
      <c r="B908" s="354" t="s">
        <v>935</v>
      </c>
      <c r="C908" s="355">
        <v>3021111101</v>
      </c>
      <c r="D908" s="354" t="s">
        <v>244</v>
      </c>
      <c r="E908" s="356" t="s">
        <v>634</v>
      </c>
      <c r="F908" s="356" t="str">
        <f t="shared" si="65"/>
        <v>I</v>
      </c>
      <c r="G908" s="28">
        <f>+IF(F908="i",IFERROR(VLOOKUP(C908,'BG 12.2024'!$B:$E,3,FALSE),0),0)</f>
        <v>740857678</v>
      </c>
      <c r="H908" s="21">
        <f>+IF(F908="i",IFERROR(VLOOKUP(C908,'BG 12.2024'!$B:$E,4,FALSE),0),0)</f>
        <v>105720.42</v>
      </c>
      <c r="I908" s="21"/>
      <c r="J908" s="28">
        <f>+IF(F908="i",IFERROR(VLOOKUP(C908,'BG 2023'!$B:$E,3,FALSE),0),0)</f>
        <v>740857678</v>
      </c>
      <c r="K908" s="21">
        <f>+IF(F908="i",IFERROR(VLOOKUP(C908,'BG 2023'!$B:$E,4,FALSE),0),0)</f>
        <v>105720.42</v>
      </c>
      <c r="M908" s="15">
        <f>+VLOOKUP(C908,'BG 2023'!$B:$E,1,0)</f>
        <v>3021111101</v>
      </c>
      <c r="N908" s="806">
        <f>+VLOOKUP(C908,'BG 2023'!$B:$E,3,0)</f>
        <v>740857678</v>
      </c>
      <c r="O908" s="807">
        <f t="shared" si="64"/>
        <v>0</v>
      </c>
      <c r="P908" s="807"/>
      <c r="R908" s="807">
        <f>+IFERROR(VLOOKUP(C908,'CA FE'!$A:$C,3,0),0)+G908</f>
        <v>0</v>
      </c>
    </row>
    <row r="909" spans="1:18">
      <c r="A909" s="354" t="s">
        <v>933</v>
      </c>
      <c r="B909" s="354"/>
      <c r="C909" s="355">
        <v>303</v>
      </c>
      <c r="D909" s="354" t="s">
        <v>591</v>
      </c>
      <c r="E909" s="356" t="s">
        <v>634</v>
      </c>
      <c r="F909" s="356" t="str">
        <f t="shared" si="65"/>
        <v>NI</v>
      </c>
      <c r="G909" s="28">
        <f>+IF(F909="i",IFERROR(VLOOKUP(C909,'BG 12.2024'!$B:$E,3,FALSE),0),0)</f>
        <v>0</v>
      </c>
      <c r="H909" s="21">
        <f>+IF(F909="i",IFERROR(VLOOKUP(C909,'BG 12.2024'!$B:$E,4,FALSE),0),0)</f>
        <v>0</v>
      </c>
      <c r="I909" s="21"/>
      <c r="J909" s="28">
        <f>+IF(F909="i",IFERROR(VLOOKUP(C909,'BG 2023'!$B:$E,3,FALSE),0),0)</f>
        <v>0</v>
      </c>
      <c r="K909" s="21">
        <f>+IF(F909="i",IFERROR(VLOOKUP(C909,'BG 2023'!$B:$E,4,FALSE),0),0)</f>
        <v>0</v>
      </c>
      <c r="M909" s="15" t="e">
        <f>+VLOOKUP(C909,'BG 2023'!$B:$E,1,0)</f>
        <v>#N/A</v>
      </c>
      <c r="N909" s="806" t="e">
        <f>+VLOOKUP(C909,'BG 2023'!$B:$E,3,0)</f>
        <v>#N/A</v>
      </c>
      <c r="O909" s="807" t="e">
        <f t="shared" si="64"/>
        <v>#N/A</v>
      </c>
      <c r="P909" s="807"/>
      <c r="R909" s="807">
        <f>+IFERROR(VLOOKUP(C909,'CA FE'!$A:$C,3,0),0)+G909</f>
        <v>0</v>
      </c>
    </row>
    <row r="910" spans="1:18">
      <c r="A910" s="354" t="s">
        <v>933</v>
      </c>
      <c r="B910" s="354"/>
      <c r="C910" s="355">
        <v>3031</v>
      </c>
      <c r="D910" s="354" t="s">
        <v>592</v>
      </c>
      <c r="E910" s="356" t="s">
        <v>634</v>
      </c>
      <c r="F910" s="356" t="str">
        <f t="shared" si="65"/>
        <v>NI</v>
      </c>
      <c r="G910" s="28">
        <f>+IF(F910="i",IFERROR(VLOOKUP(C910,'BG 12.2024'!$B:$E,3,FALSE),0),0)</f>
        <v>0</v>
      </c>
      <c r="H910" s="21">
        <f>+IF(F910="i",IFERROR(VLOOKUP(C910,'BG 12.2024'!$B:$E,4,FALSE),0),0)</f>
        <v>0</v>
      </c>
      <c r="I910" s="21"/>
      <c r="J910" s="28">
        <f>+IF(F910="i",IFERROR(VLOOKUP(C910,'BG 2023'!$B:$E,3,FALSE),0),0)</f>
        <v>0</v>
      </c>
      <c r="K910" s="21">
        <f>+IF(F910="i",IFERROR(VLOOKUP(C910,'BG 2023'!$B:$E,4,FALSE),0),0)</f>
        <v>0</v>
      </c>
      <c r="M910" s="15" t="e">
        <f>+VLOOKUP(C910,'BG 2023'!$B:$E,1,0)</f>
        <v>#N/A</v>
      </c>
      <c r="N910" s="806" t="e">
        <f>+VLOOKUP(C910,'BG 2023'!$B:$E,3,0)</f>
        <v>#N/A</v>
      </c>
      <c r="O910" s="807" t="e">
        <f t="shared" si="64"/>
        <v>#N/A</v>
      </c>
      <c r="P910" s="807"/>
      <c r="R910" s="807">
        <f>+IFERROR(VLOOKUP(C910,'CA FE'!$A:$C,3,0),0)+G910</f>
        <v>0</v>
      </c>
    </row>
    <row r="911" spans="1:18">
      <c r="A911" s="354" t="s">
        <v>933</v>
      </c>
      <c r="B911" s="354"/>
      <c r="C911" s="355">
        <v>30311</v>
      </c>
      <c r="D911" s="354" t="s">
        <v>592</v>
      </c>
      <c r="E911" s="356" t="s">
        <v>634</v>
      </c>
      <c r="F911" s="356" t="str">
        <f t="shared" si="65"/>
        <v>NI</v>
      </c>
      <c r="G911" s="28">
        <f>+IF(F911="i",IFERROR(VLOOKUP(C911,'BG 12.2024'!$B:$E,3,FALSE),0),0)</f>
        <v>0</v>
      </c>
      <c r="H911" s="21">
        <f>+IF(F911="i",IFERROR(VLOOKUP(C911,'BG 12.2024'!$B:$E,4,FALSE),0),0)</f>
        <v>0</v>
      </c>
      <c r="I911" s="21"/>
      <c r="J911" s="28">
        <f>+IF(F911="i",IFERROR(VLOOKUP(C911,'BG 2023'!$B:$E,3,FALSE),0),0)</f>
        <v>0</v>
      </c>
      <c r="K911" s="21">
        <f>+IF(F911="i",IFERROR(VLOOKUP(C911,'BG 2023'!$B:$E,4,FALSE),0),0)</f>
        <v>0</v>
      </c>
      <c r="M911" s="15" t="e">
        <f>+VLOOKUP(C911,'BG 2023'!$B:$E,1,0)</f>
        <v>#N/A</v>
      </c>
      <c r="N911" s="806" t="e">
        <f>+VLOOKUP(C911,'BG 2023'!$B:$E,3,0)</f>
        <v>#N/A</v>
      </c>
      <c r="O911" s="807" t="e">
        <f t="shared" si="64"/>
        <v>#N/A</v>
      </c>
      <c r="P911" s="807"/>
      <c r="R911" s="807">
        <f>+IFERROR(VLOOKUP(C911,'CA FE'!$A:$C,3,0),0)+G911</f>
        <v>0</v>
      </c>
    </row>
    <row r="912" spans="1:18">
      <c r="A912" s="354" t="s">
        <v>933</v>
      </c>
      <c r="B912" s="354"/>
      <c r="C912" s="355">
        <v>303111</v>
      </c>
      <c r="D912" s="354" t="s">
        <v>592</v>
      </c>
      <c r="E912" s="356" t="s">
        <v>634</v>
      </c>
      <c r="F912" s="356" t="str">
        <f t="shared" si="65"/>
        <v>NI</v>
      </c>
      <c r="G912" s="28">
        <f>+IF(F912="i",IFERROR(VLOOKUP(C912,'BG 12.2024'!$B:$E,3,FALSE),0),0)</f>
        <v>0</v>
      </c>
      <c r="H912" s="21">
        <f>+IF(F912="i",IFERROR(VLOOKUP(C912,'BG 12.2024'!$B:$E,4,FALSE),0),0)</f>
        <v>0</v>
      </c>
      <c r="I912" s="21"/>
      <c r="J912" s="28">
        <f>+IF(F912="i",IFERROR(VLOOKUP(C912,'BG 2023'!$B:$E,3,FALSE),0),0)</f>
        <v>0</v>
      </c>
      <c r="K912" s="21">
        <f>+IF(F912="i",IFERROR(VLOOKUP(C912,'BG 2023'!$B:$E,4,FALSE),0),0)</f>
        <v>0</v>
      </c>
      <c r="M912" s="15" t="e">
        <f>+VLOOKUP(C912,'BG 2023'!$B:$E,1,0)</f>
        <v>#N/A</v>
      </c>
      <c r="N912" s="806" t="e">
        <f>+VLOOKUP(C912,'BG 2023'!$B:$E,3,0)</f>
        <v>#N/A</v>
      </c>
      <c r="O912" s="807" t="e">
        <f t="shared" si="64"/>
        <v>#N/A</v>
      </c>
      <c r="P912" s="807"/>
      <c r="R912" s="807">
        <f>+IFERROR(VLOOKUP(C912,'CA FE'!$A:$C,3,0),0)+G912</f>
        <v>0</v>
      </c>
    </row>
    <row r="913" spans="1:18">
      <c r="A913" s="354" t="s">
        <v>933</v>
      </c>
      <c r="B913" s="354"/>
      <c r="C913" s="355">
        <v>3031111</v>
      </c>
      <c r="D913" s="354" t="s">
        <v>592</v>
      </c>
      <c r="E913" s="356" t="s">
        <v>634</v>
      </c>
      <c r="F913" s="356" t="str">
        <f t="shared" si="65"/>
        <v>NI</v>
      </c>
      <c r="G913" s="28">
        <f>+IF(F913="i",IFERROR(VLOOKUP(C913,'BG 12.2024'!$B:$E,3,FALSE),0),0)</f>
        <v>0</v>
      </c>
      <c r="H913" s="21">
        <f>+IF(F913="i",IFERROR(VLOOKUP(C913,'BG 12.2024'!$B:$E,4,FALSE),0),0)</f>
        <v>0</v>
      </c>
      <c r="I913" s="21"/>
      <c r="J913" s="28">
        <f>+IF(F913="i",IFERROR(VLOOKUP(C913,'BG 2023'!$B:$E,3,FALSE),0),0)</f>
        <v>0</v>
      </c>
      <c r="K913" s="21">
        <f>+IF(F913="i",IFERROR(VLOOKUP(C913,'BG 2023'!$B:$E,4,FALSE),0),0)</f>
        <v>0</v>
      </c>
      <c r="M913" s="15" t="e">
        <f>+VLOOKUP(C913,'BG 2023'!$B:$E,1,0)</f>
        <v>#N/A</v>
      </c>
      <c r="N913" s="806" t="e">
        <f>+VLOOKUP(C913,'BG 2023'!$B:$E,3,0)</f>
        <v>#N/A</v>
      </c>
      <c r="O913" s="807" t="e">
        <f t="shared" si="64"/>
        <v>#N/A</v>
      </c>
      <c r="P913" s="807"/>
      <c r="R913" s="807">
        <f>+IFERROR(VLOOKUP(C913,'CA FE'!$A:$C,3,0),0)+G913</f>
        <v>0</v>
      </c>
    </row>
    <row r="914" spans="1:18">
      <c r="A914" s="354" t="s">
        <v>933</v>
      </c>
      <c r="B914" s="354"/>
      <c r="C914" s="355">
        <v>30311111</v>
      </c>
      <c r="D914" s="354" t="s">
        <v>592</v>
      </c>
      <c r="E914" s="356" t="s">
        <v>634</v>
      </c>
      <c r="F914" s="356" t="str">
        <f t="shared" si="65"/>
        <v>NI</v>
      </c>
      <c r="G914" s="28">
        <f>+IF(F914="i",IFERROR(VLOOKUP(C914,'BG 12.2024'!$B:$E,3,FALSE),0),0)</f>
        <v>0</v>
      </c>
      <c r="H914" s="21">
        <f>+IF(F914="i",IFERROR(VLOOKUP(C914,'BG 12.2024'!$B:$E,4,FALSE),0),0)</f>
        <v>0</v>
      </c>
      <c r="I914" s="21"/>
      <c r="J914" s="28">
        <f>+IF(F914="i",IFERROR(VLOOKUP(C914,'BG 2023'!$B:$E,3,FALSE),0),0)</f>
        <v>0</v>
      </c>
      <c r="K914" s="21">
        <f>+IF(F914="i",IFERROR(VLOOKUP(C914,'BG 2023'!$B:$E,4,FALSE),0),0)</f>
        <v>0</v>
      </c>
      <c r="M914" s="15" t="e">
        <f>+VLOOKUP(C914,'BG 2023'!$B:$E,1,0)</f>
        <v>#N/A</v>
      </c>
      <c r="N914" s="806" t="e">
        <f>+VLOOKUP(C914,'BG 2023'!$B:$E,3,0)</f>
        <v>#N/A</v>
      </c>
      <c r="O914" s="807" t="e">
        <f t="shared" si="64"/>
        <v>#N/A</v>
      </c>
      <c r="P914" s="807"/>
      <c r="R914" s="807">
        <f>+IFERROR(VLOOKUP(C914,'CA FE'!$A:$C,3,0),0)+G914</f>
        <v>0</v>
      </c>
    </row>
    <row r="915" spans="1:18">
      <c r="A915" s="354" t="s">
        <v>933</v>
      </c>
      <c r="B915" s="354" t="s">
        <v>935</v>
      </c>
      <c r="C915" s="355">
        <v>3031111101</v>
      </c>
      <c r="D915" s="354" t="s">
        <v>593</v>
      </c>
      <c r="E915" s="356" t="s">
        <v>634</v>
      </c>
      <c r="F915" s="356" t="str">
        <f t="shared" si="65"/>
        <v>I</v>
      </c>
      <c r="G915" s="28">
        <f>+IF(F915="i",IFERROR(VLOOKUP(C915,'BG 12.2024'!$B:$E,3,FALSE),0),0)</f>
        <v>158458361</v>
      </c>
      <c r="H915" s="21">
        <f>+IF(F915="i",IFERROR(VLOOKUP(C915,'BG 12.2024'!$B:$E,4,FALSE),0),0)</f>
        <v>21168.400000000001</v>
      </c>
      <c r="I915" s="21"/>
      <c r="J915" s="28">
        <f>+IF(F915="i",IFERROR(VLOOKUP(C915,'BG 2023'!$B:$E,3,FALSE),0),0)</f>
        <v>0</v>
      </c>
      <c r="K915" s="21">
        <f>+IF(F915="i",IFERROR(VLOOKUP(C915,'BG 2023'!$B:$E,4,FALSE),0),0)</f>
        <v>0</v>
      </c>
      <c r="M915" s="15" t="e">
        <f>+VLOOKUP(C915,'BG 2023'!$B:$E,1,0)</f>
        <v>#N/A</v>
      </c>
      <c r="N915" s="806" t="e">
        <f>+VLOOKUP(C915,'BG 2023'!$B:$E,3,0)</f>
        <v>#N/A</v>
      </c>
      <c r="O915" s="807" t="e">
        <f t="shared" si="64"/>
        <v>#N/A</v>
      </c>
      <c r="P915" s="807"/>
      <c r="R915" s="807">
        <f>+IFERROR(VLOOKUP(C915,'CA FE'!$A:$C,3,0),0)+G915</f>
        <v>0</v>
      </c>
    </row>
    <row r="916" spans="1:18">
      <c r="A916" s="354" t="s">
        <v>933</v>
      </c>
      <c r="B916" s="354"/>
      <c r="C916" s="355">
        <v>3031111102</v>
      </c>
      <c r="D916" s="354" t="s">
        <v>939</v>
      </c>
      <c r="E916" s="356" t="s">
        <v>634</v>
      </c>
      <c r="F916" s="356" t="str">
        <f t="shared" si="65"/>
        <v>I</v>
      </c>
      <c r="G916" s="28">
        <f>+IF(F916="i",IFERROR(VLOOKUP(C916,'BG 12.2024'!$B:$E,3,FALSE),0),0)</f>
        <v>0</v>
      </c>
      <c r="H916" s="21">
        <f>+IF(F916="i",IFERROR(VLOOKUP(C916,'BG 12.2024'!$B:$E,4,FALSE),0),0)</f>
        <v>0</v>
      </c>
      <c r="I916" s="21"/>
      <c r="J916" s="28">
        <f>+IF(F916="i",IFERROR(VLOOKUP(C916,'BG 2023'!$B:$E,3,FALSE),0),0)</f>
        <v>0</v>
      </c>
      <c r="K916" s="21">
        <f>+IF(F916="i",IFERROR(VLOOKUP(C916,'BG 2023'!$B:$E,4,FALSE),0),0)</f>
        <v>0</v>
      </c>
      <c r="M916" s="15" t="e">
        <f>+VLOOKUP(C916,'BG 2023'!$B:$E,1,0)</f>
        <v>#N/A</v>
      </c>
      <c r="N916" s="806" t="e">
        <f>+VLOOKUP(C916,'BG 2023'!$B:$E,3,0)</f>
        <v>#N/A</v>
      </c>
      <c r="O916" s="807" t="e">
        <f t="shared" si="64"/>
        <v>#N/A</v>
      </c>
      <c r="P916" s="807"/>
      <c r="R916" s="807">
        <f>+IFERROR(VLOOKUP(C916,'CA FE'!$A:$C,3,0),0)+G916</f>
        <v>0</v>
      </c>
    </row>
    <row r="917" spans="1:18">
      <c r="A917" s="354" t="s">
        <v>933</v>
      </c>
      <c r="B917" s="354"/>
      <c r="C917" s="355">
        <v>3031111103</v>
      </c>
      <c r="D917" s="354" t="s">
        <v>940</v>
      </c>
      <c r="E917" s="356" t="s">
        <v>634</v>
      </c>
      <c r="F917" s="356" t="str">
        <f t="shared" si="65"/>
        <v>I</v>
      </c>
      <c r="G917" s="28">
        <f>+IF(F917="i",IFERROR(VLOOKUP(C917,'BG 12.2024'!$B:$E,3,FALSE),0),0)</f>
        <v>0</v>
      </c>
      <c r="H917" s="21">
        <f>+IF(F917="i",IFERROR(VLOOKUP(C917,'BG 12.2024'!$B:$E,4,FALSE),0),0)</f>
        <v>0</v>
      </c>
      <c r="I917" s="21"/>
      <c r="J917" s="28">
        <f>+IF(F917="i",IFERROR(VLOOKUP(C917,'BG 2023'!$B:$E,3,FALSE),0),0)</f>
        <v>0</v>
      </c>
      <c r="K917" s="21">
        <f>+IF(F917="i",IFERROR(VLOOKUP(C917,'BG 2023'!$B:$E,4,FALSE),0),0)</f>
        <v>0</v>
      </c>
      <c r="M917" s="15" t="e">
        <f>+VLOOKUP(C917,'BG 2023'!$B:$E,1,0)</f>
        <v>#N/A</v>
      </c>
      <c r="N917" s="806" t="e">
        <f>+VLOOKUP(C917,'BG 2023'!$B:$E,3,0)</f>
        <v>#N/A</v>
      </c>
      <c r="O917" s="807" t="e">
        <f t="shared" si="64"/>
        <v>#N/A</v>
      </c>
      <c r="P917" s="807"/>
      <c r="R917" s="807">
        <f>+IFERROR(VLOOKUP(C917,'CA FE'!$A:$C,3,0),0)+G917</f>
        <v>0</v>
      </c>
    </row>
    <row r="918" spans="1:18">
      <c r="A918" s="354" t="s">
        <v>933</v>
      </c>
      <c r="B918" s="354"/>
      <c r="C918" s="355">
        <v>3031111104</v>
      </c>
      <c r="D918" s="354" t="s">
        <v>941</v>
      </c>
      <c r="E918" s="356" t="s">
        <v>634</v>
      </c>
      <c r="F918" s="356" t="str">
        <f t="shared" si="65"/>
        <v>I</v>
      </c>
      <c r="G918" s="28">
        <f>+IF(F918="i",IFERROR(VLOOKUP(C918,'BG 12.2024'!$B:$E,3,FALSE),0),0)</f>
        <v>0</v>
      </c>
      <c r="H918" s="21">
        <f>+IF(F918="i",IFERROR(VLOOKUP(C918,'BG 12.2024'!$B:$E,4,FALSE),0),0)</f>
        <v>0</v>
      </c>
      <c r="I918" s="21"/>
      <c r="J918" s="28">
        <f>+IF(F918="i",IFERROR(VLOOKUP(C918,'BG 2023'!$B:$E,3,FALSE),0),0)</f>
        <v>0</v>
      </c>
      <c r="K918" s="21">
        <f>+IF(F918="i",IFERROR(VLOOKUP(C918,'BG 2023'!$B:$E,4,FALSE),0),0)</f>
        <v>0</v>
      </c>
      <c r="M918" s="15" t="e">
        <f>+VLOOKUP(C918,'BG 2023'!$B:$E,1,0)</f>
        <v>#N/A</v>
      </c>
      <c r="N918" s="806" t="e">
        <f>+VLOOKUP(C918,'BG 2023'!$B:$E,3,0)</f>
        <v>#N/A</v>
      </c>
      <c r="O918" s="807" t="e">
        <f t="shared" si="64"/>
        <v>#N/A</v>
      </c>
      <c r="P918" s="807"/>
      <c r="R918" s="807">
        <f>+IFERROR(VLOOKUP(C918,'CA FE'!$A:$C,3,0),0)+G918</f>
        <v>0</v>
      </c>
    </row>
    <row r="919" spans="1:18">
      <c r="A919" s="354" t="s">
        <v>933</v>
      </c>
      <c r="B919" s="354"/>
      <c r="C919" s="355">
        <v>304</v>
      </c>
      <c r="D919" s="354" t="s">
        <v>245</v>
      </c>
      <c r="E919" s="356" t="s">
        <v>634</v>
      </c>
      <c r="F919" s="356" t="str">
        <f t="shared" si="65"/>
        <v>NI</v>
      </c>
      <c r="G919" s="28">
        <f>+IF(F919="i",IFERROR(VLOOKUP(C919,'BG 12.2024'!$B:$E,3,FALSE),0),0)</f>
        <v>0</v>
      </c>
      <c r="H919" s="21">
        <f>+IF(F919="i",IFERROR(VLOOKUP(C919,'BG 12.2024'!$B:$E,4,FALSE),0),0)</f>
        <v>0</v>
      </c>
      <c r="I919" s="21"/>
      <c r="J919" s="28">
        <f>+IF(F919="i",IFERROR(VLOOKUP(C919,'BG 2023'!$B:$E,3,FALSE),0),0)</f>
        <v>0</v>
      </c>
      <c r="K919" s="21">
        <f>+IF(F919="i",IFERROR(VLOOKUP(C919,'BG 2023'!$B:$E,4,FALSE),0),0)</f>
        <v>0</v>
      </c>
      <c r="M919" s="15">
        <f>+VLOOKUP(C919,'BG 2023'!$B:$E,1,0)</f>
        <v>304</v>
      </c>
      <c r="N919" s="806">
        <f>+VLOOKUP(C919,'BG 2023'!$B:$E,3,0)</f>
        <v>-2772384248</v>
      </c>
      <c r="O919" s="807">
        <f t="shared" si="64"/>
        <v>-2772384248</v>
      </c>
      <c r="P919" s="807"/>
      <c r="R919" s="807">
        <f>+IFERROR(VLOOKUP(C919,'CA FE'!$A:$C,3,0),0)+G919</f>
        <v>0</v>
      </c>
    </row>
    <row r="920" spans="1:18">
      <c r="A920" s="354" t="s">
        <v>933</v>
      </c>
      <c r="B920" s="354"/>
      <c r="C920" s="355">
        <v>3041</v>
      </c>
      <c r="D920" s="354" t="s">
        <v>246</v>
      </c>
      <c r="E920" s="356" t="s">
        <v>634</v>
      </c>
      <c r="F920" s="356" t="str">
        <f t="shared" si="65"/>
        <v>NI</v>
      </c>
      <c r="G920" s="28">
        <f>+IF(F920="i",IFERROR(VLOOKUP(C920,'BG 12.2024'!$B:$E,3,FALSE),0),0)</f>
        <v>0</v>
      </c>
      <c r="H920" s="21">
        <f>+IF(F920="i",IFERROR(VLOOKUP(C920,'BG 12.2024'!$B:$E,4,FALSE),0),0)</f>
        <v>0</v>
      </c>
      <c r="I920" s="21"/>
      <c r="J920" s="28">
        <f>+IF(F920="i",IFERROR(VLOOKUP(C920,'BG 2023'!$B:$E,3,FALSE),0),0)</f>
        <v>0</v>
      </c>
      <c r="K920" s="21">
        <f>+IF(F920="i",IFERROR(VLOOKUP(C920,'BG 2023'!$B:$E,4,FALSE),0),0)</f>
        <v>0</v>
      </c>
      <c r="M920" s="15">
        <f>+VLOOKUP(C920,'BG 2023'!$B:$E,1,0)</f>
        <v>3041</v>
      </c>
      <c r="N920" s="806">
        <f>+VLOOKUP(C920,'BG 2023'!$B:$E,3,0)</f>
        <v>-2772384248</v>
      </c>
      <c r="O920" s="807">
        <f t="shared" si="64"/>
        <v>-2772384248</v>
      </c>
      <c r="P920" s="807"/>
      <c r="R920" s="807">
        <f>+IFERROR(VLOOKUP(C920,'CA FE'!$A:$C,3,0),0)+G920</f>
        <v>0</v>
      </c>
    </row>
    <row r="921" spans="1:18">
      <c r="A921" s="354" t="s">
        <v>933</v>
      </c>
      <c r="B921" s="354"/>
      <c r="C921" s="355">
        <v>30411</v>
      </c>
      <c r="D921" s="354" t="s">
        <v>246</v>
      </c>
      <c r="E921" s="356" t="s">
        <v>634</v>
      </c>
      <c r="F921" s="356" t="str">
        <f t="shared" si="65"/>
        <v>NI</v>
      </c>
      <c r="G921" s="28">
        <f>+IF(F921="i",IFERROR(VLOOKUP(C921,'BG 12.2024'!$B:$E,3,FALSE),0),0)</f>
        <v>0</v>
      </c>
      <c r="H921" s="21">
        <f>+IF(F921="i",IFERROR(VLOOKUP(C921,'BG 12.2024'!$B:$E,4,FALSE),0),0)</f>
        <v>0</v>
      </c>
      <c r="I921" s="21"/>
      <c r="J921" s="28">
        <f>+IF(F921="i",IFERROR(VLOOKUP(C921,'BG 2023'!$B:$E,3,FALSE),0),0)</f>
        <v>0</v>
      </c>
      <c r="K921" s="21">
        <f>+IF(F921="i",IFERROR(VLOOKUP(C921,'BG 2023'!$B:$E,4,FALSE),0),0)</f>
        <v>0</v>
      </c>
      <c r="M921" s="15">
        <f>+VLOOKUP(C921,'BG 2023'!$B:$E,1,0)</f>
        <v>30411</v>
      </c>
      <c r="N921" s="806">
        <f>+VLOOKUP(C921,'BG 2023'!$B:$E,3,0)</f>
        <v>-2772384248</v>
      </c>
      <c r="O921" s="807">
        <f t="shared" si="64"/>
        <v>-2772384248</v>
      </c>
      <c r="P921" s="807"/>
      <c r="R921" s="807">
        <f>+IFERROR(VLOOKUP(C921,'CA FE'!$A:$C,3,0),0)+G921</f>
        <v>0</v>
      </c>
    </row>
    <row r="922" spans="1:18">
      <c r="A922" s="354" t="s">
        <v>933</v>
      </c>
      <c r="B922" s="354"/>
      <c r="C922" s="355">
        <v>304111</v>
      </c>
      <c r="D922" s="354" t="s">
        <v>246</v>
      </c>
      <c r="E922" s="356" t="s">
        <v>634</v>
      </c>
      <c r="F922" s="356" t="str">
        <f t="shared" si="65"/>
        <v>NI</v>
      </c>
      <c r="G922" s="28">
        <f>+IF(F922="i",IFERROR(VLOOKUP(C922,'BG 12.2024'!$B:$E,3,FALSE),0),0)</f>
        <v>0</v>
      </c>
      <c r="H922" s="21">
        <f>+IF(F922="i",IFERROR(VLOOKUP(C922,'BG 12.2024'!$B:$E,4,FALSE),0),0)</f>
        <v>0</v>
      </c>
      <c r="I922" s="21"/>
      <c r="J922" s="28">
        <f>+IF(F922="i",IFERROR(VLOOKUP(C922,'BG 2023'!$B:$E,3,FALSE),0),0)</f>
        <v>0</v>
      </c>
      <c r="K922" s="21">
        <f>+IF(F922="i",IFERROR(VLOOKUP(C922,'BG 2023'!$B:$E,4,FALSE),0),0)</f>
        <v>0</v>
      </c>
      <c r="M922" s="15">
        <f>+VLOOKUP(C922,'BG 2023'!$B:$E,1,0)</f>
        <v>304111</v>
      </c>
      <c r="N922" s="806">
        <f>+VLOOKUP(C922,'BG 2023'!$B:$E,3,0)</f>
        <v>-2772384248</v>
      </c>
      <c r="O922" s="807">
        <f t="shared" si="64"/>
        <v>-2772384248</v>
      </c>
      <c r="P922" s="807"/>
      <c r="R922" s="807">
        <f>+IFERROR(VLOOKUP(C922,'CA FE'!$A:$C,3,0),0)+G922</f>
        <v>0</v>
      </c>
    </row>
    <row r="923" spans="1:18">
      <c r="A923" s="354" t="s">
        <v>933</v>
      </c>
      <c r="B923" s="354"/>
      <c r="C923" s="355">
        <v>3041111</v>
      </c>
      <c r="D923" s="354" t="s">
        <v>246</v>
      </c>
      <c r="E923" s="356" t="s">
        <v>634</v>
      </c>
      <c r="F923" s="356" t="str">
        <f t="shared" si="65"/>
        <v>NI</v>
      </c>
      <c r="G923" s="28">
        <f>+IF(F923="i",IFERROR(VLOOKUP(C923,'BG 12.2024'!$B:$E,3,FALSE),0),0)</f>
        <v>0</v>
      </c>
      <c r="H923" s="21">
        <f>+IF(F923="i",IFERROR(VLOOKUP(C923,'BG 12.2024'!$B:$E,4,FALSE),0),0)</f>
        <v>0</v>
      </c>
      <c r="I923" s="21"/>
      <c r="J923" s="28">
        <f>+IF(F923="i",IFERROR(VLOOKUP(C923,'BG 2023'!$B:$E,3,FALSE),0),0)</f>
        <v>0</v>
      </c>
      <c r="K923" s="21">
        <f>+IF(F923="i",IFERROR(VLOOKUP(C923,'BG 2023'!$B:$E,4,FALSE),0),0)</f>
        <v>0</v>
      </c>
      <c r="M923" s="15">
        <f>+VLOOKUP(C923,'BG 2023'!$B:$E,1,0)</f>
        <v>3041111</v>
      </c>
      <c r="N923" s="806">
        <f>+VLOOKUP(C923,'BG 2023'!$B:$E,3,0)</f>
        <v>-2772384248</v>
      </c>
      <c r="O923" s="807">
        <f t="shared" si="64"/>
        <v>-2772384248</v>
      </c>
      <c r="P923" s="807"/>
      <c r="R923" s="807">
        <f>+IFERROR(VLOOKUP(C923,'CA FE'!$A:$C,3,0),0)+G923</f>
        <v>0</v>
      </c>
    </row>
    <row r="924" spans="1:18">
      <c r="A924" s="354" t="s">
        <v>933</v>
      </c>
      <c r="B924" s="354"/>
      <c r="C924" s="355">
        <v>30411111</v>
      </c>
      <c r="D924" s="354" t="s">
        <v>246</v>
      </c>
      <c r="E924" s="356" t="s">
        <v>634</v>
      </c>
      <c r="F924" s="356" t="str">
        <f t="shared" si="65"/>
        <v>NI</v>
      </c>
      <c r="G924" s="28">
        <f>+IF(F924="i",IFERROR(VLOOKUP(C924,'BG 12.2024'!$B:$E,3,FALSE),0),0)</f>
        <v>0</v>
      </c>
      <c r="H924" s="21">
        <f>+IF(F924="i",IFERROR(VLOOKUP(C924,'BG 12.2024'!$B:$E,4,FALSE),0),0)</f>
        <v>0</v>
      </c>
      <c r="I924" s="21"/>
      <c r="J924" s="28">
        <f>+IF(F924="i",IFERROR(VLOOKUP(C924,'BG 2023'!$B:$E,3,FALSE),0),0)</f>
        <v>0</v>
      </c>
      <c r="K924" s="21">
        <f>+IF(F924="i",IFERROR(VLOOKUP(C924,'BG 2023'!$B:$E,4,FALSE),0),0)</f>
        <v>0</v>
      </c>
      <c r="M924" s="15">
        <f>+VLOOKUP(C924,'BG 2023'!$B:$E,1,0)</f>
        <v>30411111</v>
      </c>
      <c r="N924" s="806">
        <f>+VLOOKUP(C924,'BG 2023'!$B:$E,3,0)</f>
        <v>-2772384248</v>
      </c>
      <c r="O924" s="807">
        <f t="shared" si="64"/>
        <v>-2772384248</v>
      </c>
      <c r="P924" s="807"/>
      <c r="R924" s="807">
        <f>+IFERROR(VLOOKUP(C924,'CA FE'!$A:$C,3,0),0)+G924</f>
        <v>0</v>
      </c>
    </row>
    <row r="925" spans="1:18">
      <c r="A925" s="354" t="s">
        <v>933</v>
      </c>
      <c r="B925" s="354" t="s">
        <v>935</v>
      </c>
      <c r="C925" s="355">
        <v>3041111101</v>
      </c>
      <c r="D925" s="354" t="s">
        <v>247</v>
      </c>
      <c r="E925" s="356" t="s">
        <v>634</v>
      </c>
      <c r="F925" s="356" t="str">
        <f t="shared" si="65"/>
        <v>I</v>
      </c>
      <c r="G925" s="28">
        <f>+IF(F925="i",IFERROR(VLOOKUP(C925,'BG 12.2024'!$B:$E,3,FALSE),0),0)</f>
        <v>-2930842608</v>
      </c>
      <c r="H925" s="21">
        <f>+IF(F925="i",IFERROR(VLOOKUP(C925,'BG 12.2024'!$B:$E,4,FALSE),0),0)</f>
        <v>-517340.1</v>
      </c>
      <c r="I925" s="21"/>
      <c r="J925" s="28">
        <f>+IF(F925="i",IFERROR(VLOOKUP(C925,'BG 2023'!$B:$E,3,FALSE),0),0)</f>
        <v>-5941551458</v>
      </c>
      <c r="K925" s="21">
        <f>+IF(F925="i",IFERROR(VLOOKUP(C925,'BG 2023'!$B:$E,4,FALSE),0),0)</f>
        <v>-919539.65</v>
      </c>
      <c r="M925" s="15">
        <f>+VLOOKUP(C925,'BG 2023'!$B:$E,1,0)</f>
        <v>3041111101</v>
      </c>
      <c r="N925" s="806">
        <f>+VLOOKUP(C925,'BG 2023'!$B:$E,3,0)</f>
        <v>-5941551458</v>
      </c>
      <c r="O925" s="807">
        <f t="shared" si="64"/>
        <v>-3010708850</v>
      </c>
      <c r="P925" s="807"/>
      <c r="R925" s="807">
        <f>+IFERROR(VLOOKUP(C925,'CA FE'!$A:$C,3,0),0)+G925</f>
        <v>0</v>
      </c>
    </row>
    <row r="926" spans="1:18">
      <c r="A926" s="354" t="s">
        <v>933</v>
      </c>
      <c r="B926" s="354" t="s">
        <v>935</v>
      </c>
      <c r="C926" s="355">
        <v>3041111102</v>
      </c>
      <c r="D926" s="354" t="s">
        <v>248</v>
      </c>
      <c r="E926" s="356" t="s">
        <v>634</v>
      </c>
      <c r="F926" s="356" t="str">
        <f t="shared" si="65"/>
        <v>I</v>
      </c>
      <c r="G926" s="28">
        <f>+IF(F926="i",IFERROR(VLOOKUP(C926,'BG 12.2024'!$B:$E,3,FALSE),0),0)</f>
        <v>17464898424</v>
      </c>
      <c r="H926" s="21">
        <f>+IF(F926="i",IFERROR(VLOOKUP(C926,'BG 12.2024'!$B:$E,4,FALSE),0),0)</f>
        <v>1716854.04</v>
      </c>
      <c r="I926" s="21"/>
      <c r="J926" s="28">
        <f>+IF(F926="i",IFERROR(VLOOKUP(C926,'BG 2023'!$B:$E,3,FALSE),0),0)</f>
        <v>3169167210</v>
      </c>
      <c r="K926" s="21">
        <f>+IF(F926="i",IFERROR(VLOOKUP(C926,'BG 2023'!$B:$E,4,FALSE),0),0)</f>
        <v>423367.9486</v>
      </c>
      <c r="M926" s="15">
        <f>+VLOOKUP(C926,'BG 2023'!$B:$E,1,0)</f>
        <v>3041111102</v>
      </c>
      <c r="N926" s="806">
        <f>+VLOOKUP(C926,'BG 2023'!$B:$E,3,0)</f>
        <v>3169167210</v>
      </c>
      <c r="O926" s="807">
        <f t="shared" si="64"/>
        <v>-14295731214</v>
      </c>
      <c r="P926" s="807"/>
      <c r="R926" s="807">
        <f>+IFERROR(VLOOKUP(C926,'CA FE'!$A:$C,3,0),0)+G926</f>
        <v>0</v>
      </c>
    </row>
    <row r="927" spans="1:18">
      <c r="A927" s="915"/>
      <c r="B927" s="915"/>
      <c r="C927" s="920"/>
      <c r="D927" s="915"/>
      <c r="E927" s="352"/>
      <c r="F927" s="352"/>
      <c r="G927" s="133"/>
      <c r="H927" s="132"/>
      <c r="I927" s="132"/>
      <c r="J927" s="133"/>
      <c r="K927" s="364"/>
      <c r="M927" s="15" t="e">
        <f>+VLOOKUP(C927,'BG 2023'!$B:$E,1,0)</f>
        <v>#N/A</v>
      </c>
      <c r="N927" s="806" t="e">
        <f>+VLOOKUP(C927,'BG 2023'!$B:$E,3,0)</f>
        <v>#N/A</v>
      </c>
      <c r="O927" s="807" t="e">
        <f t="shared" si="64"/>
        <v>#N/A</v>
      </c>
      <c r="P927" s="807"/>
      <c r="R927" s="807">
        <f>+IFERROR(VLOOKUP(C927,'CA FE'!$A:$C,3,0),0)+G927</f>
        <v>0</v>
      </c>
    </row>
    <row r="928" spans="1:18" ht="11.25" customHeight="1">
      <c r="D928" s="15"/>
      <c r="E928" s="353"/>
      <c r="F928" s="353"/>
      <c r="G928" s="1480" t="s">
        <v>942</v>
      </c>
      <c r="H928" s="1480"/>
      <c r="I928" s="1480"/>
      <c r="J928" s="1480"/>
      <c r="K928" s="1481"/>
      <c r="M928" s="15" t="e">
        <f>+VLOOKUP(C928,'BG 2023'!$B:$E,1,0)</f>
        <v>#N/A</v>
      </c>
      <c r="N928" s="806" t="e">
        <f>+VLOOKUP(C928,'BG 2023'!$B:$E,3,0)</f>
        <v>#N/A</v>
      </c>
      <c r="O928" s="807" t="e">
        <f t="shared" si="64"/>
        <v>#N/A</v>
      </c>
      <c r="P928" s="807"/>
      <c r="R928" s="807" t="e">
        <f>+IFERROR(VLOOKUP(C928,'CA FE'!$A:$C,3,0),0)+G928</f>
        <v>#VALUE!</v>
      </c>
    </row>
    <row r="929" spans="1:18" ht="12">
      <c r="D929" s="15"/>
      <c r="E929" s="353"/>
      <c r="F929" s="353"/>
      <c r="G929" s="1482" t="s">
        <v>3014</v>
      </c>
      <c r="H929" s="1483"/>
      <c r="I929" s="351"/>
      <c r="J929" s="1483" t="s">
        <v>3025</v>
      </c>
      <c r="K929" s="1484"/>
      <c r="M929" s="15" t="e">
        <f>+VLOOKUP(C929,'BG 2023'!$B:$E,1,0)</f>
        <v>#N/A</v>
      </c>
      <c r="N929" s="806" t="e">
        <f>+VLOOKUP(C929,'BG 2023'!$B:$E,3,0)</f>
        <v>#N/A</v>
      </c>
      <c r="O929" s="807" t="e">
        <f t="shared" si="64"/>
        <v>#N/A</v>
      </c>
      <c r="P929" s="807"/>
      <c r="R929" s="807">
        <f>+IFERROR(VLOOKUP(C929,'CA FE'!$A:$C,3,0),0)+G929</f>
        <v>45657</v>
      </c>
    </row>
    <row r="930" spans="1:18" s="87" customFormat="1" ht="11.25" customHeight="1">
      <c r="A930" s="77" t="s">
        <v>286</v>
      </c>
      <c r="B930" s="77"/>
      <c r="C930" s="793">
        <v>4</v>
      </c>
      <c r="D930" s="77" t="s">
        <v>286</v>
      </c>
      <c r="E930" s="794" t="s">
        <v>634</v>
      </c>
      <c r="F930" s="794" t="str">
        <f>+IF(LEN(C930)&gt;8,"I","NI")</f>
        <v>NI</v>
      </c>
      <c r="G930" s="28">
        <f>+IF(F930="i",IFERROR(VLOOKUP(C930,'BG 12.2024'!$B:$E,3,FALSE),0),0)</f>
        <v>0</v>
      </c>
      <c r="H930" s="21">
        <f>+IF(F930="i",IFERROR(VLOOKUP(C930,'BG 12.2024'!$B:$E,4,FALSE),0),0)</f>
        <v>0</v>
      </c>
      <c r="I930" s="616"/>
      <c r="J930" s="28">
        <f>IF(F930="I",IFERROR(VLOOKUP(C930,'BG 12.2023'!$B$6:$E$746,3,FALSE),0),0)</f>
        <v>0</v>
      </c>
      <c r="K930" s="28">
        <f>IF(F930="I",IFERROR(VLOOKUP(C930,'BG 12.2023'!$B$6:$E$746,4,FALSE),0),0)</f>
        <v>0</v>
      </c>
      <c r="M930" s="15">
        <f>+VLOOKUP(C930,'BG 2023'!$B:$E,1,0)</f>
        <v>4</v>
      </c>
      <c r="N930" s="806">
        <f>+VLOOKUP(C930,'BG 2023'!$B:$E,3,0)</f>
        <v>28097411301</v>
      </c>
      <c r="O930" s="807">
        <f t="shared" si="64"/>
        <v>28097411301</v>
      </c>
      <c r="P930" s="807"/>
      <c r="R930" s="807">
        <f>+IFERROR(VLOOKUP(C930,'CA FE'!$A:$C,3,0),0)+G930</f>
        <v>0</v>
      </c>
    </row>
    <row r="931" spans="1:18" s="87" customFormat="1">
      <c r="A931" s="77" t="s">
        <v>286</v>
      </c>
      <c r="B931" s="77"/>
      <c r="C931" s="793">
        <v>41</v>
      </c>
      <c r="D931" s="77" t="s">
        <v>287</v>
      </c>
      <c r="E931" s="794" t="s">
        <v>634</v>
      </c>
      <c r="F931" s="794" t="str">
        <f t="shared" ref="F931:F999" si="66">+IF(LEN(C931)&gt;8,"I","NI")</f>
        <v>NI</v>
      </c>
      <c r="G931" s="28">
        <f>+IF(F931="i",IFERROR(VLOOKUP(C931,'BG 12.2024'!$B:$E,3,FALSE),0),0)</f>
        <v>0</v>
      </c>
      <c r="H931" s="21">
        <f>+IF(F931="i",IFERROR(VLOOKUP(C931,'BG 12.2024'!$B:$E,4,FALSE),0),0)</f>
        <v>0</v>
      </c>
      <c r="I931" s="616"/>
      <c r="J931" s="28">
        <f>IF(F931="I",IFERROR(VLOOKUP(C931,'BG 12.2023'!$B$6:$E$746,3,FALSE),0),0)</f>
        <v>0</v>
      </c>
      <c r="K931" s="28">
        <f>IF(F931="I",IFERROR(VLOOKUP(C931,'BG 12.2023'!$B$6:$E$746,4,FALSE),0),0)</f>
        <v>0</v>
      </c>
      <c r="M931" s="15">
        <f>+VLOOKUP(C931,'BG 2023'!$B:$E,1,0)</f>
        <v>41</v>
      </c>
      <c r="N931" s="806">
        <f>+VLOOKUP(C931,'BG 2023'!$B:$E,3,0)</f>
        <v>18304787977</v>
      </c>
      <c r="O931" s="807">
        <f t="shared" si="64"/>
        <v>18304787977</v>
      </c>
      <c r="P931" s="807"/>
      <c r="R931" s="807">
        <f>+IFERROR(VLOOKUP(C931,'CA FE'!$A:$C,3,0),0)+G931</f>
        <v>0</v>
      </c>
    </row>
    <row r="932" spans="1:18" s="87" customFormat="1">
      <c r="A932" s="77" t="s">
        <v>286</v>
      </c>
      <c r="B932" s="77"/>
      <c r="C932" s="793">
        <v>411</v>
      </c>
      <c r="D932" s="77" t="s">
        <v>288</v>
      </c>
      <c r="E932" s="794" t="s">
        <v>634</v>
      </c>
      <c r="F932" s="794" t="str">
        <f t="shared" si="66"/>
        <v>NI</v>
      </c>
      <c r="G932" s="28">
        <f>+IF(F932="i",IFERROR(VLOOKUP(C932,'BG 12.2024'!$B:$E,3,FALSE),0),0)</f>
        <v>0</v>
      </c>
      <c r="H932" s="21">
        <f>+IF(F932="i",IFERROR(VLOOKUP(C932,'BG 12.2024'!$B:$E,4,FALSE),0),0)</f>
        <v>0</v>
      </c>
      <c r="I932" s="616"/>
      <c r="J932" s="28">
        <f>IF(F932="I",IFERROR(VLOOKUP(C932,'BG 12.2023'!$B$6:$E$746,3,FALSE),0),0)</f>
        <v>0</v>
      </c>
      <c r="K932" s="28">
        <f>IF(F932="I",IFERROR(VLOOKUP(C932,'BG 12.2023'!$B$6:$E$746,4,FALSE),0),0)</f>
        <v>0</v>
      </c>
      <c r="M932" s="15">
        <f>+VLOOKUP(C932,'BG 2023'!$B:$E,1,0)</f>
        <v>411</v>
      </c>
      <c r="N932" s="806">
        <f>+VLOOKUP(C932,'BG 2023'!$B:$E,3,0)</f>
        <v>1129294502</v>
      </c>
      <c r="O932" s="807">
        <f t="shared" si="64"/>
        <v>1129294502</v>
      </c>
      <c r="P932" s="807"/>
      <c r="R932" s="807">
        <f>+IFERROR(VLOOKUP(C932,'CA FE'!$A:$C,3,0),0)+G932</f>
        <v>0</v>
      </c>
    </row>
    <row r="933" spans="1:18" s="87" customFormat="1">
      <c r="A933" s="77" t="s">
        <v>286</v>
      </c>
      <c r="B933" s="77"/>
      <c r="C933" s="793">
        <v>41101</v>
      </c>
      <c r="D933" s="77" t="s">
        <v>288</v>
      </c>
      <c r="E933" s="794" t="s">
        <v>634</v>
      </c>
      <c r="F933" s="794" t="str">
        <f t="shared" si="66"/>
        <v>NI</v>
      </c>
      <c r="G933" s="28">
        <f>+IF(F933="i",IFERROR(VLOOKUP(C933,'BG 12.2024'!$B:$E,3,FALSE),0),0)</f>
        <v>0</v>
      </c>
      <c r="H933" s="21">
        <f>+IF(F933="i",IFERROR(VLOOKUP(C933,'BG 12.2024'!$B:$E,4,FALSE),0),0)</f>
        <v>0</v>
      </c>
      <c r="I933" s="616"/>
      <c r="J933" s="28">
        <f>IF(F933="I",IFERROR(VLOOKUP(C933,'BG 12.2023'!$B$6:$E$746,3,FALSE),0),0)</f>
        <v>0</v>
      </c>
      <c r="K933" s="28">
        <f>IF(F933="I",IFERROR(VLOOKUP(C933,'BG 12.2023'!$B$6:$E$746,4,FALSE),0),0)</f>
        <v>0</v>
      </c>
      <c r="M933" s="15">
        <f>+VLOOKUP(C933,'BG 2023'!$B:$E,1,0)</f>
        <v>41101</v>
      </c>
      <c r="N933" s="806">
        <f>+VLOOKUP(C933,'BG 2023'!$B:$E,3,0)</f>
        <v>476861006</v>
      </c>
      <c r="O933" s="807">
        <f t="shared" si="64"/>
        <v>476861006</v>
      </c>
      <c r="P933" s="807"/>
      <c r="R933" s="807">
        <f>+IFERROR(VLOOKUP(C933,'CA FE'!$A:$C,3,0),0)+G933</f>
        <v>0</v>
      </c>
    </row>
    <row r="934" spans="1:18" s="87" customFormat="1">
      <c r="A934" s="77" t="s">
        <v>286</v>
      </c>
      <c r="B934" s="77"/>
      <c r="C934" s="793">
        <v>411011</v>
      </c>
      <c r="D934" s="77" t="s">
        <v>288</v>
      </c>
      <c r="E934" s="794" t="s">
        <v>634</v>
      </c>
      <c r="F934" s="794" t="str">
        <f t="shared" si="66"/>
        <v>NI</v>
      </c>
      <c r="G934" s="28">
        <f>+IF(F934="i",IFERROR(VLOOKUP(C934,'BG 12.2024'!$B:$E,3,FALSE),0),0)</f>
        <v>0</v>
      </c>
      <c r="H934" s="21">
        <f>+IF(F934="i",IFERROR(VLOOKUP(C934,'BG 12.2024'!$B:$E,4,FALSE),0),0)</f>
        <v>0</v>
      </c>
      <c r="I934" s="616"/>
      <c r="J934" s="28">
        <f>IF(F934="I",IFERROR(VLOOKUP(C934,'BG 12.2023'!$B$6:$E$746,3,FALSE),0),0)</f>
        <v>0</v>
      </c>
      <c r="K934" s="28">
        <f>IF(F934="I",IFERROR(VLOOKUP(C934,'BG 12.2023'!$B$6:$E$746,4,FALSE),0),0)</f>
        <v>0</v>
      </c>
      <c r="M934" s="15">
        <f>+VLOOKUP(C934,'BG 2023'!$B:$E,1,0)</f>
        <v>411011</v>
      </c>
      <c r="N934" s="806">
        <f>+VLOOKUP(C934,'BG 2023'!$B:$E,3,0)</f>
        <v>441920878</v>
      </c>
      <c r="O934" s="807">
        <f t="shared" si="64"/>
        <v>441920878</v>
      </c>
      <c r="P934" s="807"/>
      <c r="R934" s="807">
        <f>+IFERROR(VLOOKUP(C934,'CA FE'!$A:$C,3,0),0)+G934</f>
        <v>0</v>
      </c>
    </row>
    <row r="935" spans="1:18" s="87" customFormat="1">
      <c r="A935" s="77" t="s">
        <v>286</v>
      </c>
      <c r="B935" s="77"/>
      <c r="C935" s="793">
        <v>4110111</v>
      </c>
      <c r="D935" s="77" t="s">
        <v>289</v>
      </c>
      <c r="E935" s="794" t="s">
        <v>634</v>
      </c>
      <c r="F935" s="794" t="str">
        <f t="shared" si="66"/>
        <v>NI</v>
      </c>
      <c r="G935" s="28">
        <f>+IF(F935="i",IFERROR(VLOOKUP(C935,'BG 12.2024'!$B:$E,3,FALSE),0),0)</f>
        <v>0</v>
      </c>
      <c r="H935" s="21">
        <f>+IF(F935="i",IFERROR(VLOOKUP(C935,'BG 12.2024'!$B:$E,4,FALSE),0),0)</f>
        <v>0</v>
      </c>
      <c r="I935" s="616"/>
      <c r="J935" s="28">
        <f>IF(F935="I",IFERROR(VLOOKUP(C935,'BG 12.2023'!$B$6:$E$746,3,FALSE),0),0)</f>
        <v>0</v>
      </c>
      <c r="K935" s="28">
        <f>IF(F935="I",IFERROR(VLOOKUP(C935,'BG 12.2023'!$B$6:$E$746,4,FALSE),0),0)</f>
        <v>0</v>
      </c>
      <c r="M935" s="15">
        <f>+VLOOKUP(C935,'BG 2023'!$B:$E,1,0)</f>
        <v>4110111</v>
      </c>
      <c r="N935" s="806">
        <f>+VLOOKUP(C935,'BG 2023'!$B:$E,3,0)</f>
        <v>20632342</v>
      </c>
      <c r="O935" s="807">
        <f t="shared" si="64"/>
        <v>20632342</v>
      </c>
      <c r="P935" s="807"/>
      <c r="R935" s="807">
        <f>+IFERROR(VLOOKUP(C935,'CA FE'!$A:$C,3,0),0)+G935</f>
        <v>0</v>
      </c>
    </row>
    <row r="936" spans="1:18" s="87" customFormat="1">
      <c r="A936" s="77" t="s">
        <v>286</v>
      </c>
      <c r="B936" s="77"/>
      <c r="C936" s="793">
        <v>41101111</v>
      </c>
      <c r="D936" s="77" t="s">
        <v>290</v>
      </c>
      <c r="E936" s="794" t="s">
        <v>634</v>
      </c>
      <c r="F936" s="794" t="str">
        <f t="shared" si="66"/>
        <v>NI</v>
      </c>
      <c r="G936" s="28">
        <f>+IF(F936="i",IFERROR(VLOOKUP(C936,'BG 12.2024'!$B:$E,3,FALSE),0),0)</f>
        <v>0</v>
      </c>
      <c r="H936" s="21">
        <f>+IF(F936="i",IFERROR(VLOOKUP(C936,'BG 12.2024'!$B:$E,4,FALSE),0),0)</f>
        <v>0</v>
      </c>
      <c r="I936" s="616"/>
      <c r="J936" s="28">
        <f>IF(F936="I",IFERROR(VLOOKUP(C936,'BG 12.2023'!$B$6:$E$746,3,FALSE),0),0)</f>
        <v>0</v>
      </c>
      <c r="K936" s="28">
        <f>IF(F936="I",IFERROR(VLOOKUP(C936,'BG 12.2023'!$B$6:$E$746,4,FALSE),0),0)</f>
        <v>0</v>
      </c>
      <c r="M936" s="15">
        <f>+VLOOKUP(C936,'BG 2023'!$B:$E,1,0)</f>
        <v>41101111</v>
      </c>
      <c r="N936" s="806">
        <f>+VLOOKUP(C936,'BG 2023'!$B:$E,3,0)</f>
        <v>20632342</v>
      </c>
      <c r="O936" s="807">
        <f t="shared" si="64"/>
        <v>20632342</v>
      </c>
      <c r="P936" s="807"/>
      <c r="R936" s="807">
        <f>+IFERROR(VLOOKUP(C936,'CA FE'!$A:$C,3,0),0)+G936</f>
        <v>0</v>
      </c>
    </row>
    <row r="937" spans="1:18" s="87" customFormat="1">
      <c r="A937" s="77" t="s">
        <v>286</v>
      </c>
      <c r="B937" s="77" t="s">
        <v>943</v>
      </c>
      <c r="C937" s="793">
        <v>4110111101</v>
      </c>
      <c r="D937" s="77" t="s">
        <v>291</v>
      </c>
      <c r="E937" s="794" t="s">
        <v>634</v>
      </c>
      <c r="F937" s="794" t="str">
        <f t="shared" si="66"/>
        <v>I</v>
      </c>
      <c r="G937" s="28">
        <f>+IF(F937="i",IFERROR(VLOOKUP(C937,'BG 12.2024'!$B:$E,3,FALSE),0),0)</f>
        <v>21281581</v>
      </c>
      <c r="H937" s="21">
        <f>+IF(F937="i",IFERROR(VLOOKUP(C937,'BG 12.2024'!$B:$E,4,FALSE),0),0)</f>
        <v>2786.33</v>
      </c>
      <c r="I937" s="616"/>
      <c r="J937" s="28">
        <f>IF(F937="I",IFERROR(VLOOKUP(C937,'BG 12.2023'!$B$6:$E$746,3,FALSE),0),0)</f>
        <v>18725754</v>
      </c>
      <c r="K937" s="28">
        <f>IF(F937="I",IFERROR(VLOOKUP(C937,'BG 12.2023'!$B$6:$E$746,4,FALSE),0),0)</f>
        <v>2580.96</v>
      </c>
      <c r="M937" s="15">
        <f>+VLOOKUP(C937,'BG 2023'!$B:$E,1,0)</f>
        <v>4110111101</v>
      </c>
      <c r="N937" s="806">
        <f>+VLOOKUP(C937,'BG 2023'!$B:$E,3,0)</f>
        <v>18725754</v>
      </c>
      <c r="O937" s="807">
        <f t="shared" si="64"/>
        <v>-2555827</v>
      </c>
      <c r="P937" s="807">
        <f>+VLOOKUP(C937,'BG 12.2024'!$B$471:$E$866,4,0)-H937</f>
        <v>0</v>
      </c>
      <c r="R937" s="807">
        <f>+IFERROR(VLOOKUP(C937,'CA FE'!$A:$C,3,0),0)+G937</f>
        <v>0</v>
      </c>
    </row>
    <row r="938" spans="1:18" s="87" customFormat="1">
      <c r="A938" s="77" t="s">
        <v>286</v>
      </c>
      <c r="B938" s="77" t="s">
        <v>943</v>
      </c>
      <c r="C938" s="793">
        <v>4110111102</v>
      </c>
      <c r="D938" s="77" t="s">
        <v>944</v>
      </c>
      <c r="E938" s="794" t="s">
        <v>640</v>
      </c>
      <c r="F938" s="794" t="str">
        <f t="shared" si="66"/>
        <v>I</v>
      </c>
      <c r="G938" s="28">
        <f>+IF(F938="i",IFERROR(VLOOKUP(C938,'BG 12.2024'!$B:$E,3,FALSE),0),0)</f>
        <v>4301438</v>
      </c>
      <c r="H938" s="21">
        <f>+IF(F938="i",IFERROR(VLOOKUP(C938,'BG 12.2024'!$B:$E,4,FALSE),0),0)</f>
        <v>550.79</v>
      </c>
      <c r="I938" s="616"/>
      <c r="J938" s="28">
        <f>IF(F938="I",IFERROR(VLOOKUP(C938,'BG 12.2023'!$B$6:$E$746,3,FALSE),0),0)</f>
        <v>0</v>
      </c>
      <c r="K938" s="28">
        <f>IF(F938="I",IFERROR(VLOOKUP(C938,'BG 12.2023'!$B$6:$E$746,4,FALSE),0),0)</f>
        <v>0</v>
      </c>
      <c r="M938" s="15" t="e">
        <f>+VLOOKUP(C938,'BG 2023'!$B:$E,1,0)</f>
        <v>#N/A</v>
      </c>
      <c r="N938" s="806" t="e">
        <f>+VLOOKUP(C938,'BG 2023'!$B:$E,3,0)</f>
        <v>#N/A</v>
      </c>
      <c r="O938" s="807" t="e">
        <f t="shared" si="64"/>
        <v>#N/A</v>
      </c>
      <c r="P938" s="807"/>
      <c r="R938" s="807">
        <f>+IFERROR(VLOOKUP(C938,'CA FE'!$A:$C,3,0),0)+G938</f>
        <v>0</v>
      </c>
    </row>
    <row r="939" spans="1:18" s="87" customFormat="1">
      <c r="A939" s="77" t="s">
        <v>286</v>
      </c>
      <c r="B939" s="77" t="s">
        <v>945</v>
      </c>
      <c r="C939" s="793">
        <v>4110111104</v>
      </c>
      <c r="D939" s="77" t="s">
        <v>293</v>
      </c>
      <c r="E939" s="794" t="s">
        <v>634</v>
      </c>
      <c r="F939" s="794" t="str">
        <f t="shared" ref="F939" si="67">+IF(LEN(C939)&gt;8,"I","NI")</f>
        <v>I</v>
      </c>
      <c r="G939" s="28">
        <f>+IF(F939="i",IFERROR(VLOOKUP(C939,'BG 12.2024'!$B:$E,3,FALSE),0),0)</f>
        <v>0</v>
      </c>
      <c r="H939" s="21">
        <f>+IF(F939="i",IFERROR(VLOOKUP(C939,'BG 12.2024'!$B:$E,4,FALSE),0),0)</f>
        <v>0</v>
      </c>
      <c r="I939" s="616"/>
      <c r="J939" s="28">
        <f>IF(F939="I",IFERROR(VLOOKUP(C939,'BG 12.2023'!$B$6:$E$746,3,FALSE),0),0)</f>
        <v>1906588</v>
      </c>
      <c r="K939" s="28">
        <f>IF(F939="I",IFERROR(VLOOKUP(C939,'BG 12.2023'!$B$6:$E$746,4,FALSE),0),0)</f>
        <v>260.58999999999997</v>
      </c>
      <c r="M939" s="15"/>
      <c r="N939" s="806"/>
      <c r="O939" s="807"/>
      <c r="P939" s="807"/>
      <c r="R939" s="807">
        <f>+IFERROR(VLOOKUP(C939,'CA FE'!$A:$C,3,0),0)+G939</f>
        <v>0</v>
      </c>
    </row>
    <row r="940" spans="1:18" s="87" customFormat="1">
      <c r="A940" s="77" t="s">
        <v>286</v>
      </c>
      <c r="B940" s="77"/>
      <c r="C940" s="793">
        <v>41101112</v>
      </c>
      <c r="D940" s="77" t="s">
        <v>294</v>
      </c>
      <c r="E940" s="794" t="s">
        <v>634</v>
      </c>
      <c r="F940" s="794" t="str">
        <f t="shared" si="66"/>
        <v>NI</v>
      </c>
      <c r="G940" s="28">
        <f>+IF(F940="i",IFERROR(VLOOKUP(C940,'BG 12.2024'!$B:$E,3,FALSE),0),0)</f>
        <v>0</v>
      </c>
      <c r="H940" s="21">
        <f>+IF(F940="i",IFERROR(VLOOKUP(C940,'BG 12.2024'!$B:$E,4,FALSE),0),0)</f>
        <v>0</v>
      </c>
      <c r="I940" s="616"/>
      <c r="J940" s="28">
        <f>IF(F940="I",IFERROR(VLOOKUP(C940,'BG 12.2023'!$B$6:$E$746,3,FALSE),0),0)</f>
        <v>0</v>
      </c>
      <c r="K940" s="28">
        <f>IF(F940="I",IFERROR(VLOOKUP(C940,'BG 12.2023'!$B$6:$E$746,4,FALSE),0),0)</f>
        <v>0</v>
      </c>
      <c r="M940" s="15" t="e">
        <f>+VLOOKUP(C940,'BG 2023'!$B:$E,1,0)</f>
        <v>#N/A</v>
      </c>
      <c r="N940" s="806" t="e">
        <f>+VLOOKUP(C940,'BG 2023'!$B:$E,3,0)</f>
        <v>#N/A</v>
      </c>
      <c r="O940" s="807" t="e">
        <f t="shared" si="64"/>
        <v>#N/A</v>
      </c>
      <c r="P940" s="807"/>
      <c r="R940" s="807">
        <f>+IFERROR(VLOOKUP(C940,'CA FE'!$A:$C,3,0),0)+G940</f>
        <v>0</v>
      </c>
    </row>
    <row r="941" spans="1:18" s="87" customFormat="1">
      <c r="A941" s="77" t="s">
        <v>286</v>
      </c>
      <c r="B941" s="77"/>
      <c r="C941" s="793">
        <v>4110111201</v>
      </c>
      <c r="D941" s="77" t="s">
        <v>295</v>
      </c>
      <c r="E941" s="794" t="s">
        <v>634</v>
      </c>
      <c r="F941" s="794" t="str">
        <f t="shared" si="66"/>
        <v>I</v>
      </c>
      <c r="G941" s="28">
        <f>+IF(F941="i",IFERROR(VLOOKUP(C941,'BG 12.2024'!$B:$E,3,FALSE),0),0)</f>
        <v>0</v>
      </c>
      <c r="H941" s="21">
        <f>+IF(F941="i",IFERROR(VLOOKUP(C941,'BG 12.2024'!$B:$E,4,FALSE),0),0)</f>
        <v>0</v>
      </c>
      <c r="I941" s="616"/>
      <c r="J941" s="28">
        <f>IF(F941="I",IFERROR(VLOOKUP(C941,'BG 12.2023'!$B$6:$E$746,3,FALSE),0),0)</f>
        <v>0</v>
      </c>
      <c r="K941" s="28">
        <f>IF(F941="I",IFERROR(VLOOKUP(C941,'BG 12.2023'!$B$6:$E$746,4,FALSE),0),0)</f>
        <v>0</v>
      </c>
      <c r="M941" s="15" t="e">
        <f>+VLOOKUP(C941,'BG 2023'!$B:$E,1,0)</f>
        <v>#N/A</v>
      </c>
      <c r="N941" s="806" t="e">
        <f>+VLOOKUP(C941,'BG 2023'!$B:$E,3,0)</f>
        <v>#N/A</v>
      </c>
      <c r="O941" s="807" t="e">
        <f t="shared" si="64"/>
        <v>#N/A</v>
      </c>
      <c r="P941" s="807"/>
      <c r="R941" s="807">
        <f>+IFERROR(VLOOKUP(C941,'CA FE'!$A:$C,3,0),0)+G941</f>
        <v>0</v>
      </c>
    </row>
    <row r="942" spans="1:18" s="87" customFormat="1">
      <c r="A942" s="77" t="s">
        <v>286</v>
      </c>
      <c r="B942" s="77"/>
      <c r="C942" s="793">
        <v>4110111202</v>
      </c>
      <c r="D942" s="77" t="s">
        <v>302</v>
      </c>
      <c r="E942" s="794" t="s">
        <v>640</v>
      </c>
      <c r="F942" s="794" t="str">
        <f t="shared" si="66"/>
        <v>I</v>
      </c>
      <c r="G942" s="28">
        <f>+IF(F942="i",IFERROR(VLOOKUP(C942,'BG 12.2024'!$B:$E,3,FALSE),0),0)</f>
        <v>0</v>
      </c>
      <c r="H942" s="21">
        <f>+IF(F942="i",IFERROR(VLOOKUP(C942,'BG 12.2024'!$B:$E,4,FALSE),0),0)</f>
        <v>0</v>
      </c>
      <c r="I942" s="616"/>
      <c r="J942" s="28">
        <f>IF(F942="I",IFERROR(VLOOKUP(C942,'BG 12.2023'!$B$6:$E$746,3,FALSE),0),0)</f>
        <v>0</v>
      </c>
      <c r="K942" s="28">
        <f>IF(F942="I",IFERROR(VLOOKUP(C942,'BG 12.2023'!$B$6:$E$746,4,FALSE),0),0)</f>
        <v>0</v>
      </c>
      <c r="M942" s="15" t="e">
        <f>+VLOOKUP(C942,'BG 2023'!$B:$E,1,0)</f>
        <v>#N/A</v>
      </c>
      <c r="N942" s="806" t="e">
        <f>+VLOOKUP(C942,'BG 2023'!$B:$E,3,0)</f>
        <v>#N/A</v>
      </c>
      <c r="O942" s="807" t="e">
        <f t="shared" si="64"/>
        <v>#N/A</v>
      </c>
      <c r="P942" s="807"/>
      <c r="R942" s="807">
        <f>+IFERROR(VLOOKUP(C942,'CA FE'!$A:$C,3,0),0)+G942</f>
        <v>0</v>
      </c>
    </row>
    <row r="943" spans="1:18" s="87" customFormat="1">
      <c r="A943" s="77" t="s">
        <v>286</v>
      </c>
      <c r="B943" s="77"/>
      <c r="C943" s="793">
        <v>41101113</v>
      </c>
      <c r="D943" s="77" t="s">
        <v>946</v>
      </c>
      <c r="E943" s="794" t="s">
        <v>634</v>
      </c>
      <c r="F943" s="794" t="str">
        <f t="shared" si="66"/>
        <v>NI</v>
      </c>
      <c r="G943" s="28">
        <f>+IF(F943="i",IFERROR(VLOOKUP(C943,'BG 12.2024'!$B:$E,3,FALSE),0),0)</f>
        <v>0</v>
      </c>
      <c r="H943" s="21">
        <f>+IF(F943="i",IFERROR(VLOOKUP(C943,'BG 12.2024'!$B:$E,4,FALSE),0),0)</f>
        <v>0</v>
      </c>
      <c r="I943" s="616"/>
      <c r="J943" s="28">
        <f>IF(F943="I",IFERROR(VLOOKUP(C943,'BG 12.2023'!$B$6:$E$746,3,FALSE),0),0)</f>
        <v>0</v>
      </c>
      <c r="K943" s="28">
        <f>IF(F943="I",IFERROR(VLOOKUP(C943,'BG 12.2023'!$B$6:$E$746,4,FALSE),0),0)</f>
        <v>0</v>
      </c>
      <c r="M943" s="15" t="e">
        <f>+VLOOKUP(C943,'BG 2023'!$B:$E,1,0)</f>
        <v>#N/A</v>
      </c>
      <c r="N943" s="806" t="e">
        <f>+VLOOKUP(C943,'BG 2023'!$B:$E,3,0)</f>
        <v>#N/A</v>
      </c>
      <c r="O943" s="807" t="e">
        <f t="shared" si="64"/>
        <v>#N/A</v>
      </c>
      <c r="P943" s="807"/>
      <c r="R943" s="807">
        <f>+IFERROR(VLOOKUP(C943,'CA FE'!$A:$C,3,0),0)+G943</f>
        <v>0</v>
      </c>
    </row>
    <row r="944" spans="1:18" s="87" customFormat="1">
      <c r="A944" s="77" t="s">
        <v>286</v>
      </c>
      <c r="B944" s="77"/>
      <c r="C944" s="793">
        <v>4110111301</v>
      </c>
      <c r="D944" s="77" t="s">
        <v>947</v>
      </c>
      <c r="E944" s="794" t="s">
        <v>634</v>
      </c>
      <c r="F944" s="794" t="str">
        <f t="shared" si="66"/>
        <v>I</v>
      </c>
      <c r="G944" s="28">
        <f>+IF(F944="i",IFERROR(VLOOKUP(C944,'BG 12.2024'!$B:$E,3,FALSE),0),0)</f>
        <v>0</v>
      </c>
      <c r="H944" s="21">
        <f>+IF(F944="i",IFERROR(VLOOKUP(C944,'BG 12.2024'!$B:$E,4,FALSE),0),0)</f>
        <v>0</v>
      </c>
      <c r="I944" s="616"/>
      <c r="J944" s="28">
        <f>IF(F944="I",IFERROR(VLOOKUP(C944,'BG 12.2023'!$B$6:$E$746,3,FALSE),0),0)</f>
        <v>0</v>
      </c>
      <c r="K944" s="28">
        <f>IF(F944="I",IFERROR(VLOOKUP(C944,'BG 12.2023'!$B$6:$E$746,4,FALSE),0),0)</f>
        <v>0</v>
      </c>
      <c r="M944" s="15" t="e">
        <f>+VLOOKUP(C944,'BG 2023'!$B:$E,1,0)</f>
        <v>#N/A</v>
      </c>
      <c r="N944" s="806" t="e">
        <f>+VLOOKUP(C944,'BG 2023'!$B:$E,3,0)</f>
        <v>#N/A</v>
      </c>
      <c r="O944" s="807" t="e">
        <f t="shared" ref="O944:O1009" si="68">+N944-G944</f>
        <v>#N/A</v>
      </c>
      <c r="P944" s="807"/>
      <c r="R944" s="807">
        <f>+IFERROR(VLOOKUP(C944,'CA FE'!$A:$C,3,0),0)+G944</f>
        <v>0</v>
      </c>
    </row>
    <row r="945" spans="1:18" s="87" customFormat="1">
      <c r="A945" s="77" t="s">
        <v>286</v>
      </c>
      <c r="B945" s="77"/>
      <c r="C945" s="793">
        <v>4110111302</v>
      </c>
      <c r="D945" s="77" t="s">
        <v>948</v>
      </c>
      <c r="E945" s="794" t="s">
        <v>640</v>
      </c>
      <c r="F945" s="794" t="str">
        <f t="shared" si="66"/>
        <v>I</v>
      </c>
      <c r="G945" s="28">
        <f>+IF(F945="i",IFERROR(VLOOKUP(C945,'BG 12.2024'!$B:$E,3,FALSE),0),0)</f>
        <v>0</v>
      </c>
      <c r="H945" s="21">
        <f>+IF(F945="i",IFERROR(VLOOKUP(C945,'BG 12.2024'!$B:$E,4,FALSE),0),0)</f>
        <v>0</v>
      </c>
      <c r="I945" s="616"/>
      <c r="J945" s="28">
        <f>IF(F945="I",IFERROR(VLOOKUP(C945,'BG 12.2023'!$B$6:$E$746,3,FALSE),0),0)</f>
        <v>0</v>
      </c>
      <c r="K945" s="28">
        <f>IF(F945="I",IFERROR(VLOOKUP(C945,'BG 12.2023'!$B$6:$E$746,4,FALSE),0),0)</f>
        <v>0</v>
      </c>
      <c r="M945" s="15" t="e">
        <f>+VLOOKUP(C945,'BG 2023'!$B:$E,1,0)</f>
        <v>#N/A</v>
      </c>
      <c r="N945" s="806" t="e">
        <f>+VLOOKUP(C945,'BG 2023'!$B:$E,3,0)</f>
        <v>#N/A</v>
      </c>
      <c r="O945" s="807" t="e">
        <f t="shared" si="68"/>
        <v>#N/A</v>
      </c>
      <c r="P945" s="807"/>
      <c r="R945" s="807">
        <f>+IFERROR(VLOOKUP(C945,'CA FE'!$A:$C,3,0),0)+G945</f>
        <v>0</v>
      </c>
    </row>
    <row r="946" spans="1:18" s="87" customFormat="1">
      <c r="A946" s="77" t="s">
        <v>286</v>
      </c>
      <c r="B946" s="77"/>
      <c r="C946" s="793">
        <v>4110112</v>
      </c>
      <c r="D946" s="77" t="s">
        <v>949</v>
      </c>
      <c r="E946" s="794" t="s">
        <v>634</v>
      </c>
      <c r="F946" s="794" t="str">
        <f t="shared" si="66"/>
        <v>NI</v>
      </c>
      <c r="G946" s="28">
        <f>+IF(F946="i",IFERROR(VLOOKUP(C946,'BG 12.2024'!$B:$E,3,FALSE),0),0)</f>
        <v>0</v>
      </c>
      <c r="H946" s="21">
        <f>+IF(F946="i",IFERROR(VLOOKUP(C946,'BG 12.2024'!$B:$E,4,FALSE),0),0)</f>
        <v>0</v>
      </c>
      <c r="I946" s="616"/>
      <c r="J946" s="28">
        <f>IF(F946="I",IFERROR(VLOOKUP(C946,'BG 12.2023'!$B$6:$E$746,3,FALSE),0),0)</f>
        <v>0</v>
      </c>
      <c r="K946" s="28">
        <f>IF(F946="I",IFERROR(VLOOKUP(C946,'BG 12.2023'!$B$6:$E$746,4,FALSE),0),0)</f>
        <v>0</v>
      </c>
      <c r="M946" s="15">
        <f>+VLOOKUP(C946,'BG 2023'!$B:$E,1,0)</f>
        <v>4110112</v>
      </c>
      <c r="N946" s="806">
        <f>+VLOOKUP(C946,'BG 2023'!$B:$E,3,0)</f>
        <v>421288536</v>
      </c>
      <c r="O946" s="807">
        <f t="shared" si="68"/>
        <v>421288536</v>
      </c>
      <c r="P946" s="807"/>
      <c r="R946" s="807">
        <f>+IFERROR(VLOOKUP(C946,'CA FE'!$A:$C,3,0),0)+G946</f>
        <v>0</v>
      </c>
    </row>
    <row r="947" spans="1:18" s="87" customFormat="1">
      <c r="A947" s="77" t="s">
        <v>286</v>
      </c>
      <c r="B947" s="77"/>
      <c r="C947" s="793">
        <v>41101121</v>
      </c>
      <c r="D947" s="77" t="s">
        <v>290</v>
      </c>
      <c r="E947" s="794" t="s">
        <v>634</v>
      </c>
      <c r="F947" s="794" t="str">
        <f t="shared" si="66"/>
        <v>NI</v>
      </c>
      <c r="G947" s="28">
        <f>+IF(F947="i",IFERROR(VLOOKUP(C947,'BG 12.2024'!$B:$E,3,FALSE),0),0)</f>
        <v>0</v>
      </c>
      <c r="H947" s="21">
        <f>+IF(F947="i",IFERROR(VLOOKUP(C947,'BG 12.2024'!$B:$E,4,FALSE),0),0)</f>
        <v>0</v>
      </c>
      <c r="I947" s="616"/>
      <c r="J947" s="28">
        <f>IF(F947="I",IFERROR(VLOOKUP(C947,'BG 12.2023'!$B$6:$E$746,3,FALSE),0),0)</f>
        <v>0</v>
      </c>
      <c r="K947" s="28">
        <f>IF(F947="I",IFERROR(VLOOKUP(C947,'BG 12.2023'!$B$6:$E$746,4,FALSE),0),0)</f>
        <v>0</v>
      </c>
      <c r="M947" s="15">
        <f>+VLOOKUP(C947,'BG 2023'!$B:$E,1,0)</f>
        <v>41101121</v>
      </c>
      <c r="N947" s="806">
        <f>+VLOOKUP(C947,'BG 2023'!$B:$E,3,0)</f>
        <v>251048546</v>
      </c>
      <c r="O947" s="807">
        <f t="shared" si="68"/>
        <v>251048546</v>
      </c>
      <c r="P947" s="807"/>
      <c r="R947" s="807">
        <f>+IFERROR(VLOOKUP(C947,'CA FE'!$A:$C,3,0),0)+G947</f>
        <v>0</v>
      </c>
    </row>
    <row r="948" spans="1:18" s="87" customFormat="1">
      <c r="A948" s="77" t="s">
        <v>286</v>
      </c>
      <c r="B948" s="77" t="s">
        <v>950</v>
      </c>
      <c r="C948" s="793">
        <v>4110112101</v>
      </c>
      <c r="D948" s="77" t="s">
        <v>296</v>
      </c>
      <c r="E948" s="794" t="s">
        <v>634</v>
      </c>
      <c r="F948" s="794" t="str">
        <f t="shared" si="66"/>
        <v>I</v>
      </c>
      <c r="G948" s="28">
        <f>+IF(F948="i",IFERROR(VLOOKUP(C948,'BG 12.2024'!$B:$E,3,FALSE),0),0)</f>
        <v>431419474</v>
      </c>
      <c r="H948" s="21">
        <f>+IF(F948="i",IFERROR(VLOOKUP(C948,'BG 12.2024'!$B:$E,4,FALSE),0),0)</f>
        <v>56505.479999999996</v>
      </c>
      <c r="I948" s="616"/>
      <c r="J948" s="28">
        <f>IF(F948="I",IFERROR(VLOOKUP(C948,'BG 12.2023'!$B$6:$E$746,3,FALSE),0),0)</f>
        <v>146051606</v>
      </c>
      <c r="K948" s="28">
        <f>IF(F948="I",IFERROR(VLOOKUP(C948,'BG 12.2023'!$B$6:$E$746,4,FALSE),0),0)</f>
        <v>20046.64</v>
      </c>
      <c r="M948" s="15">
        <f>+VLOOKUP(C948,'BG 2023'!$B:$E,1,0)</f>
        <v>4110112101</v>
      </c>
      <c r="N948" s="806">
        <f>+VLOOKUP(C948,'BG 2023'!$B:$E,3,0)</f>
        <v>146051606</v>
      </c>
      <c r="O948" s="807">
        <f t="shared" si="68"/>
        <v>-285367868</v>
      </c>
      <c r="P948" s="807">
        <f>+VLOOKUP(C948,'BG 12.2024'!$B$471:$E$866,4,0)-H948</f>
        <v>0</v>
      </c>
      <c r="R948" s="807">
        <f>+IFERROR(VLOOKUP(C948,'CA FE'!$A:$C,3,0),0)+G948</f>
        <v>0</v>
      </c>
    </row>
    <row r="949" spans="1:18" s="87" customFormat="1">
      <c r="A949" s="77" t="s">
        <v>286</v>
      </c>
      <c r="B949" s="77" t="s">
        <v>950</v>
      </c>
      <c r="C949" s="793">
        <v>4110112102</v>
      </c>
      <c r="D949" s="77" t="s">
        <v>297</v>
      </c>
      <c r="E949" s="794" t="s">
        <v>634</v>
      </c>
      <c r="F949" s="794" t="str">
        <f t="shared" si="66"/>
        <v>I</v>
      </c>
      <c r="G949" s="28">
        <f>+IF(F949="i",IFERROR(VLOOKUP(C949,'BG 12.2024'!$B:$E,3,FALSE),0),0)</f>
        <v>114778093</v>
      </c>
      <c r="H949" s="21">
        <f>+IF(F949="i",IFERROR(VLOOKUP(C949,'BG 12.2024'!$B:$E,4,FALSE),0),0)</f>
        <v>14892.780000000002</v>
      </c>
      <c r="I949" s="616"/>
      <c r="J949" s="28">
        <f>IF(F949="I",IFERROR(VLOOKUP(C949,'BG 12.2023'!$B$6:$E$746,3,FALSE),0),0)</f>
        <v>29587084</v>
      </c>
      <c r="K949" s="28">
        <f>IF(F949="I",IFERROR(VLOOKUP(C949,'BG 12.2023'!$B$6:$E$746,4,FALSE),0),0)</f>
        <v>4096.66</v>
      </c>
      <c r="M949" s="15">
        <f>+VLOOKUP(C949,'BG 2023'!$B:$E,1,0)</f>
        <v>4110112102</v>
      </c>
      <c r="N949" s="806">
        <f>+VLOOKUP(C949,'BG 2023'!$B:$E,3,0)</f>
        <v>29587084</v>
      </c>
      <c r="O949" s="807">
        <f t="shared" si="68"/>
        <v>-85191009</v>
      </c>
      <c r="P949" s="807">
        <f>+VLOOKUP(C949,'BG 12.2024'!$B$471:$E$866,4,0)-H949</f>
        <v>0</v>
      </c>
      <c r="R949" s="807">
        <f>+IFERROR(VLOOKUP(C949,'CA FE'!$A:$C,3,0),0)+G949</f>
        <v>0</v>
      </c>
    </row>
    <row r="950" spans="1:18" s="87" customFormat="1">
      <c r="A950" s="77" t="s">
        <v>286</v>
      </c>
      <c r="B950" s="77" t="s">
        <v>945</v>
      </c>
      <c r="C950" s="793">
        <v>4110112103</v>
      </c>
      <c r="D950" s="77" t="s">
        <v>951</v>
      </c>
      <c r="E950" s="794" t="s">
        <v>634</v>
      </c>
      <c r="F950" s="794" t="str">
        <f t="shared" si="66"/>
        <v>I</v>
      </c>
      <c r="G950" s="28">
        <f>+IF(F950="i",IFERROR(VLOOKUP(C950,'BG 12.2024'!$B:$E,3,FALSE),0),0)</f>
        <v>11870244</v>
      </c>
      <c r="H950" s="21">
        <f>+IF(F950="i",IFERROR(VLOOKUP(C950,'BG 12.2024'!$B:$E,4,FALSE),0),0)</f>
        <v>1519.2999999999993</v>
      </c>
      <c r="I950" s="616"/>
      <c r="J950" s="1256">
        <f>IF(F950="I",IFERROR(VLOOKUP(C950,'BG 12.2023'!$B$6:$E$746,3,FALSE),0),0)</f>
        <v>30167037</v>
      </c>
      <c r="K950" s="28">
        <f>IF(F950="I",IFERROR(VLOOKUP(C950,'BG 12.2023'!$B$6:$E$746,4,FALSE),0),0)</f>
        <v>4160.4900000000007</v>
      </c>
      <c r="M950" s="15">
        <f>+VLOOKUP(C950,'BG 2023'!$B:$E,1,0)</f>
        <v>4110112103</v>
      </c>
      <c r="N950" s="806">
        <f>+VLOOKUP(C950,'BG 2023'!$B:$E,3,0)</f>
        <v>30167037</v>
      </c>
      <c r="O950" s="807">
        <f t="shared" si="68"/>
        <v>18296793</v>
      </c>
      <c r="P950" s="807"/>
      <c r="R950" s="807">
        <f>+IFERROR(VLOOKUP(C950,'CA FE'!$A:$C,3,0),0)+G950</f>
        <v>0</v>
      </c>
    </row>
    <row r="951" spans="1:18" s="87" customFormat="1">
      <c r="A951" s="77" t="s">
        <v>286</v>
      </c>
      <c r="B951" s="1208" t="s">
        <v>945</v>
      </c>
      <c r="C951" s="793">
        <v>4110112104</v>
      </c>
      <c r="D951" s="77" t="s">
        <v>952</v>
      </c>
      <c r="E951" s="794" t="s">
        <v>634</v>
      </c>
      <c r="F951" s="794" t="str">
        <f t="shared" si="66"/>
        <v>I</v>
      </c>
      <c r="G951" s="28">
        <f>+IF(F951="i",IFERROR(VLOOKUP(C951,'BG 12.2024'!$B:$E,3,FALSE),0),0)</f>
        <v>23718652</v>
      </c>
      <c r="H951" s="21">
        <f>+IF(F951="i",IFERROR(VLOOKUP(C951,'BG 12.2024'!$B:$E,4,FALSE),0),0)</f>
        <v>3040.35</v>
      </c>
      <c r="I951" s="616"/>
      <c r="J951" s="28">
        <f>IF(F951="I",IFERROR(VLOOKUP(C951,'BG 12.2023'!$B$6:$E$746,3,FALSE),0),0)</f>
        <v>7500000</v>
      </c>
      <c r="K951" s="28">
        <f>IF(F951="I",IFERROR(VLOOKUP(C951,'BG 12.2023'!$B$6:$E$746,4,FALSE),0),0)</f>
        <v>1017.91</v>
      </c>
      <c r="M951" s="15">
        <f>+VLOOKUP(C951,'BG 2023'!$B:$E,1,0)</f>
        <v>4110112104</v>
      </c>
      <c r="N951" s="806">
        <f>+VLOOKUP(C951,'BG 2023'!$B:$E,3,0)</f>
        <v>7500000</v>
      </c>
      <c r="O951" s="807">
        <f t="shared" si="68"/>
        <v>-16218652</v>
      </c>
      <c r="P951" s="807"/>
      <c r="R951" s="807">
        <f>+IFERROR(VLOOKUP(C951,'CA FE'!$A:$C,3,0),0)+G951</f>
        <v>0</v>
      </c>
    </row>
    <row r="952" spans="1:18" s="87" customFormat="1">
      <c r="A952" s="77" t="s">
        <v>286</v>
      </c>
      <c r="B952" s="77" t="s">
        <v>950</v>
      </c>
      <c r="C952" s="793">
        <v>4110112105</v>
      </c>
      <c r="D952" s="77" t="s">
        <v>300</v>
      </c>
      <c r="E952" s="794" t="s">
        <v>634</v>
      </c>
      <c r="F952" s="794" t="str">
        <f t="shared" ref="F952" si="69">+IF(LEN(C952)&gt;8,"I","NI")</f>
        <v>I</v>
      </c>
      <c r="G952" s="28">
        <f>+IF(F952="i",IFERROR(VLOOKUP(C952,'BG 12.2024'!$B:$E,3,FALSE),0),0)</f>
        <v>6435019</v>
      </c>
      <c r="H952" s="21">
        <f>+IF(F952="i",IFERROR(VLOOKUP(C952,'BG 12.2024'!$B:$E,4,FALSE),0),0)</f>
        <v>860.1</v>
      </c>
      <c r="I952" s="616"/>
      <c r="J952" s="28">
        <f>IF(F952="I",IFERROR(VLOOKUP(C952,'BG 12.2023'!$B$6:$E$746,3,FALSE),0),0)</f>
        <v>5100000</v>
      </c>
      <c r="K952" s="28">
        <f>IF(F952="I",IFERROR(VLOOKUP(C952,'BG 12.2023'!$B$6:$E$746,4,FALSE),0),0)</f>
        <v>710.15</v>
      </c>
      <c r="M952" s="15">
        <f>+VLOOKUP(C952,'BG 2023'!$B:$E,1,0)</f>
        <v>4110112105</v>
      </c>
      <c r="N952" s="806">
        <f>+VLOOKUP(C952,'BG 2023'!$B:$E,3,0)</f>
        <v>5100000</v>
      </c>
      <c r="O952" s="807">
        <f t="shared" si="68"/>
        <v>-1335019</v>
      </c>
      <c r="P952" s="807"/>
      <c r="R952" s="807">
        <f>+IFERROR(VLOOKUP(C952,'CA FE'!$A:$C,3,0),0)+G952</f>
        <v>0</v>
      </c>
    </row>
    <row r="953" spans="1:18" s="87" customFormat="1">
      <c r="A953" s="77" t="s">
        <v>286</v>
      </c>
      <c r="B953" s="77" t="s">
        <v>950</v>
      </c>
      <c r="C953" s="793">
        <v>4110112106</v>
      </c>
      <c r="D953" s="77" t="s">
        <v>953</v>
      </c>
      <c r="E953" s="794" t="s">
        <v>634</v>
      </c>
      <c r="F953" s="794" t="str">
        <f t="shared" si="66"/>
        <v>I</v>
      </c>
      <c r="G953" s="28">
        <f>+IF(F953="i",IFERROR(VLOOKUP(C953,'BG 12.2024'!$B:$E,3,FALSE),0),0)</f>
        <v>0</v>
      </c>
      <c r="H953" s="21">
        <f>+IF(F953="i",IFERROR(VLOOKUP(C953,'BG 12.2024'!$B:$E,4,FALSE),0),0)</f>
        <v>0</v>
      </c>
      <c r="I953" s="616"/>
      <c r="J953" s="28">
        <f>IF(F953="I",IFERROR(VLOOKUP(C953,'BG 12.2023'!$B$6:$E$746,3,FALSE),0),0)</f>
        <v>0</v>
      </c>
      <c r="K953" s="28">
        <f>IF(F953="I",IFERROR(VLOOKUP(C953,'BG 12.2023'!$B$6:$E$746,4,FALSE),0),0)</f>
        <v>0</v>
      </c>
      <c r="M953" s="15" t="e">
        <f>+VLOOKUP(C953,'BG 2023'!$B:$E,1,0)</f>
        <v>#N/A</v>
      </c>
      <c r="N953" s="806" t="e">
        <f>+VLOOKUP(C953,'BG 2023'!$B:$E,3,0)</f>
        <v>#N/A</v>
      </c>
      <c r="O953" s="807" t="e">
        <f t="shared" si="68"/>
        <v>#N/A</v>
      </c>
      <c r="P953" s="807"/>
      <c r="R953" s="807">
        <f>+IFERROR(VLOOKUP(C953,'CA FE'!$A:$C,3,0),0)+G953</f>
        <v>0</v>
      </c>
    </row>
    <row r="954" spans="1:18" s="87" customFormat="1">
      <c r="A954" s="77" t="s">
        <v>286</v>
      </c>
      <c r="B954" s="77" t="s">
        <v>950</v>
      </c>
      <c r="C954" s="793">
        <v>4110112107</v>
      </c>
      <c r="D954" s="77" t="s">
        <v>548</v>
      </c>
      <c r="E954" s="794" t="s">
        <v>634</v>
      </c>
      <c r="F954" s="794" t="str">
        <f t="shared" ref="F954" si="70">+IF(LEN(C954)&gt;8,"I","NI")</f>
        <v>I</v>
      </c>
      <c r="G954" s="28">
        <f>+IF(F954="i",IFERROR(VLOOKUP(C954,'BG 12.2024'!$B:$E,3,FALSE),0),0)</f>
        <v>0</v>
      </c>
      <c r="H954" s="21">
        <f>+IF(F954="i",IFERROR(VLOOKUP(C954,'BG 12.2024'!$B:$E,4,FALSE),0),0)</f>
        <v>0</v>
      </c>
      <c r="I954" s="616"/>
      <c r="J954" s="28">
        <f>IF(F954="I",IFERROR(VLOOKUP(C954,'BG 12.2023'!$B$6:$E$746,3,FALSE),0),0)</f>
        <v>0</v>
      </c>
      <c r="K954" s="28">
        <f>IF(F954="I",IFERROR(VLOOKUP(C954,'BG 12.2023'!$B$6:$E$746,4,FALSE),0),0)</f>
        <v>0</v>
      </c>
      <c r="M954" s="15" t="e">
        <f>+VLOOKUP(C954,'BG 2023'!$B:$E,1,0)</f>
        <v>#N/A</v>
      </c>
      <c r="N954" s="806" t="e">
        <f>+VLOOKUP(C954,'BG 2023'!$B:$E,3,0)</f>
        <v>#N/A</v>
      </c>
      <c r="O954" s="807" t="e">
        <f t="shared" si="68"/>
        <v>#N/A</v>
      </c>
      <c r="P954" s="807"/>
      <c r="R954" s="807">
        <f>+IFERROR(VLOOKUP(C954,'CA FE'!$A:$C,3,0),0)+G954</f>
        <v>0</v>
      </c>
    </row>
    <row r="955" spans="1:18" s="87" customFormat="1">
      <c r="A955" s="77" t="s">
        <v>286</v>
      </c>
      <c r="B955" s="77" t="s">
        <v>945</v>
      </c>
      <c r="C955" s="793">
        <v>4110112108</v>
      </c>
      <c r="D955" s="77" t="s">
        <v>301</v>
      </c>
      <c r="E955" s="794" t="s">
        <v>634</v>
      </c>
      <c r="F955" s="794" t="str">
        <f t="shared" si="66"/>
        <v>I</v>
      </c>
      <c r="G955" s="28">
        <f>+IF(F955="i",IFERROR(VLOOKUP(C955,'BG 12.2024'!$B:$E,3,FALSE),0),0)</f>
        <v>7029557</v>
      </c>
      <c r="H955" s="21">
        <f>+IF(F955="i",IFERROR(VLOOKUP(C955,'BG 12.2024'!$B:$E,4,FALSE),0),0)</f>
        <v>934.33</v>
      </c>
      <c r="I955" s="616"/>
      <c r="J955" s="1256">
        <f>IF(F955="I",IFERROR(VLOOKUP(C955,'BG 12.2023'!$B$6:$E$746,3,FALSE),0),0)</f>
        <v>32642819</v>
      </c>
      <c r="K955" s="28">
        <f>IF(F955="I",IFERROR(VLOOKUP(C955,'BG 12.2023'!$B$6:$E$746,4,FALSE),0),0)</f>
        <v>4468.57</v>
      </c>
      <c r="M955" s="15">
        <f>+VLOOKUP(C955,'BG 2023'!$B:$E,1,0)</f>
        <v>4110112108</v>
      </c>
      <c r="N955" s="806">
        <f>+VLOOKUP(C955,'BG 2023'!$B:$E,3,0)</f>
        <v>32642819</v>
      </c>
      <c r="O955" s="807">
        <f t="shared" si="68"/>
        <v>25613262</v>
      </c>
      <c r="P955" s="807">
        <f>+VLOOKUP(C955,'BG 12.2024'!$B$471:$E$866,4,0)-H955</f>
        <v>0</v>
      </c>
      <c r="R955" s="807">
        <f>+IFERROR(VLOOKUP(C955,'CA FE'!$A:$C,3,0),0)+G955</f>
        <v>0</v>
      </c>
    </row>
    <row r="956" spans="1:18" s="87" customFormat="1">
      <c r="A956" s="77" t="s">
        <v>286</v>
      </c>
      <c r="B956" s="77" t="s">
        <v>950</v>
      </c>
      <c r="C956" s="793">
        <v>41101122</v>
      </c>
      <c r="D956" s="77" t="s">
        <v>294</v>
      </c>
      <c r="E956" s="794" t="s">
        <v>634</v>
      </c>
      <c r="F956" s="794" t="str">
        <f t="shared" si="66"/>
        <v>NI</v>
      </c>
      <c r="G956" s="28">
        <f>+IF(F956="i",IFERROR(VLOOKUP(C956,'BG 12.2024'!$B:$E,3,FALSE),0),0)</f>
        <v>0</v>
      </c>
      <c r="H956" s="21">
        <f>+IF(F956="i",IFERROR(VLOOKUP(C956,'BG 12.2024'!$B:$E,4,FALSE),0),0)</f>
        <v>0</v>
      </c>
      <c r="I956" s="616"/>
      <c r="J956" s="28">
        <f>IF(F956="I",IFERROR(VLOOKUP(C956,'BG 12.2023'!$B$6:$E$746,3,FALSE),0),0)</f>
        <v>0</v>
      </c>
      <c r="K956" s="28">
        <f>IF(F956="I",IFERROR(VLOOKUP(C956,'BG 12.2023'!$B$6:$E$746,4,FALSE),0),0)</f>
        <v>0</v>
      </c>
      <c r="M956" s="15">
        <f>+VLOOKUP(C956,'BG 2023'!$B:$E,1,0)</f>
        <v>41101122</v>
      </c>
      <c r="N956" s="806">
        <f>+VLOOKUP(C956,'BG 2023'!$B:$E,3,0)</f>
        <v>170239990</v>
      </c>
      <c r="O956" s="807">
        <f t="shared" si="68"/>
        <v>170239990</v>
      </c>
      <c r="P956" s="807"/>
      <c r="R956" s="807">
        <f>+IFERROR(VLOOKUP(C956,'CA FE'!$A:$C,3,0),0)+G956</f>
        <v>0</v>
      </c>
    </row>
    <row r="957" spans="1:18" s="87" customFormat="1">
      <c r="A957" s="77" t="s">
        <v>286</v>
      </c>
      <c r="B957" s="77" t="s">
        <v>950</v>
      </c>
      <c r="C957" s="793">
        <v>4110112201</v>
      </c>
      <c r="D957" s="77" t="s">
        <v>303</v>
      </c>
      <c r="E957" s="794" t="s">
        <v>640</v>
      </c>
      <c r="F957" s="794" t="str">
        <f t="shared" si="66"/>
        <v>I</v>
      </c>
      <c r="G957" s="28">
        <f>+IF(F957="i",IFERROR(VLOOKUP(C957,'BG 12.2024'!$B:$E,3,FALSE),0),0)</f>
        <v>564589719</v>
      </c>
      <c r="H957" s="21">
        <f>+IF(F957="i",IFERROR(VLOOKUP(C957,'BG 12.2024'!$B:$E,4,FALSE),0),0)</f>
        <v>73634.320000000007</v>
      </c>
      <c r="I957" s="616"/>
      <c r="J957" s="28">
        <f>IF(F957="I",IFERROR(VLOOKUP(C957,'BG 12.2023'!$B$6:$E$746,3,FALSE),0),0)</f>
        <v>132586513</v>
      </c>
      <c r="K957" s="28">
        <f>IF(F957="I",IFERROR(VLOOKUP(C957,'BG 12.2023'!$B$6:$E$746,4,FALSE),0),0)</f>
        <v>18194.829999999998</v>
      </c>
      <c r="M957" s="15">
        <f>+VLOOKUP(C957,'BG 2023'!$B:$E,1,0)</f>
        <v>4110112201</v>
      </c>
      <c r="N957" s="806">
        <f>+VLOOKUP(C957,'BG 2023'!$B:$E,3,0)</f>
        <v>132586513</v>
      </c>
      <c r="O957" s="807">
        <f t="shared" si="68"/>
        <v>-432003206</v>
      </c>
      <c r="P957" s="807">
        <f>+VLOOKUP(C957,'BG 12.2024'!$B$471:$E$866,4,0)-H957</f>
        <v>0</v>
      </c>
      <c r="R957" s="807">
        <f>+IFERROR(VLOOKUP(C957,'CA FE'!$A:$C,3,0),0)+G957</f>
        <v>0</v>
      </c>
    </row>
    <row r="958" spans="1:18" s="87" customFormat="1">
      <c r="A958" s="77" t="s">
        <v>286</v>
      </c>
      <c r="B958" s="77" t="s">
        <v>950</v>
      </c>
      <c r="C958" s="793">
        <v>4110112202</v>
      </c>
      <c r="D958" s="77" t="s">
        <v>302</v>
      </c>
      <c r="E958" s="794" t="s">
        <v>640</v>
      </c>
      <c r="F958" s="794" t="str">
        <f t="shared" si="66"/>
        <v>I</v>
      </c>
      <c r="G958" s="28">
        <f>+IF(F958="i",IFERROR(VLOOKUP(C958,'BG 12.2024'!$B:$E,3,FALSE),0),0)</f>
        <v>239009985</v>
      </c>
      <c r="H958" s="21">
        <f>+IF(F958="i",IFERROR(VLOOKUP(C958,'BG 12.2024'!$B:$E,4,FALSE),0),0)</f>
        <v>30703.5</v>
      </c>
      <c r="I958" s="616"/>
      <c r="J958" s="28">
        <f>IF(F958="I",IFERROR(VLOOKUP(C958,'BG 12.2023'!$B$6:$E$746,3,FALSE),0),0)</f>
        <v>37653477</v>
      </c>
      <c r="K958" s="28">
        <f>IF(F958="I",IFERROR(VLOOKUP(C958,'BG 12.2023'!$B$6:$E$746,4,FALSE),0),0)</f>
        <v>5133.22</v>
      </c>
      <c r="M958" s="15">
        <f>+VLOOKUP(C958,'BG 2023'!$B:$E,1,0)</f>
        <v>4110112202</v>
      </c>
      <c r="N958" s="806">
        <f>+VLOOKUP(C958,'BG 2023'!$B:$E,3,0)</f>
        <v>37653477</v>
      </c>
      <c r="O958" s="807">
        <f t="shared" si="68"/>
        <v>-201356508</v>
      </c>
      <c r="P958" s="807">
        <f>+VLOOKUP(C958,'BG 12.2024'!$B$471:$E$866,4,0)-H958</f>
        <v>0</v>
      </c>
      <c r="R958" s="807">
        <f>+IFERROR(VLOOKUP(C958,'CA FE'!$A:$C,3,0),0)+G958</f>
        <v>0</v>
      </c>
    </row>
    <row r="959" spans="1:18" s="87" customFormat="1">
      <c r="A959" s="77" t="s">
        <v>286</v>
      </c>
      <c r="B959" s="77" t="s">
        <v>945</v>
      </c>
      <c r="C959" s="345">
        <v>4110112203</v>
      </c>
      <c r="D959" s="345" t="s">
        <v>594</v>
      </c>
      <c r="E959" s="794" t="s">
        <v>640</v>
      </c>
      <c r="F959" s="794" t="str">
        <f>+IF(LEN(C959)&gt;8,"I","NI")</f>
        <v>I</v>
      </c>
      <c r="G959" s="28">
        <f>+IF(F959="i",IFERROR(VLOOKUP(C959,'BG 12.2024'!$B:$E,3,FALSE),0),0)</f>
        <v>3239308</v>
      </c>
      <c r="H959" s="21">
        <f>+IF(F959="i",IFERROR(VLOOKUP(C959,'BG 12.2024'!$B:$E,4,FALSE),0),0)</f>
        <v>438.24</v>
      </c>
      <c r="I959" s="616"/>
      <c r="J959" s="28"/>
      <c r="K959" s="28"/>
      <c r="M959" s="15"/>
      <c r="N959" s="806"/>
      <c r="O959" s="807"/>
      <c r="P959" s="807"/>
      <c r="R959" s="807">
        <f>+IFERROR(VLOOKUP(C959,'CA FE'!$A:$C,3,0),0)+G959</f>
        <v>0</v>
      </c>
    </row>
    <row r="960" spans="1:18" s="87" customFormat="1">
      <c r="A960" s="77" t="s">
        <v>286</v>
      </c>
      <c r="B960" s="77" t="s">
        <v>950</v>
      </c>
      <c r="C960" s="793">
        <v>4110112206</v>
      </c>
      <c r="D960" s="77" t="s">
        <v>954</v>
      </c>
      <c r="E960" s="794" t="s">
        <v>640</v>
      </c>
      <c r="F960" s="794" t="str">
        <f t="shared" si="66"/>
        <v>I</v>
      </c>
      <c r="G960" s="28">
        <f>+IF(F960="i",IFERROR(VLOOKUP(C960,'BG 12.2024'!$B:$E,3,FALSE),0),0)</f>
        <v>0</v>
      </c>
      <c r="H960" s="21">
        <f>+IF(F960="i",IFERROR(VLOOKUP(C960,'BG 12.2024'!$B:$E,4,FALSE),0),0)</f>
        <v>0</v>
      </c>
      <c r="I960" s="616"/>
      <c r="J960" s="28">
        <f>IF(F960="I",IFERROR(VLOOKUP(C960,'BG 12.2023'!$B$6:$E$746,3,FALSE),0),0)</f>
        <v>0</v>
      </c>
      <c r="K960" s="28">
        <f>IF(F960="I",IFERROR(VLOOKUP(C960,'BG 12.2023'!$B$6:$E$746,4,FALSE),0),0)</f>
        <v>0</v>
      </c>
      <c r="M960" s="15" t="e">
        <f>+VLOOKUP(C960,'BG 2023'!$B:$E,1,0)</f>
        <v>#N/A</v>
      </c>
      <c r="N960" s="806" t="e">
        <f>+VLOOKUP(C960,'BG 2023'!$B:$E,3,0)</f>
        <v>#N/A</v>
      </c>
      <c r="O960" s="807" t="e">
        <f t="shared" si="68"/>
        <v>#N/A</v>
      </c>
      <c r="P960" s="807"/>
      <c r="R960" s="807">
        <f>+IFERROR(VLOOKUP(C960,'CA FE'!$A:$C,3,0),0)+G960</f>
        <v>0</v>
      </c>
    </row>
    <row r="961" spans="1:18" s="87" customFormat="1">
      <c r="A961" s="77" t="s">
        <v>286</v>
      </c>
      <c r="B961" s="77" t="s">
        <v>950</v>
      </c>
      <c r="C961" s="793">
        <v>4110112207</v>
      </c>
      <c r="D961" s="77" t="s">
        <v>955</v>
      </c>
      <c r="E961" s="794" t="s">
        <v>640</v>
      </c>
      <c r="F961" s="794" t="str">
        <f t="shared" si="66"/>
        <v>I</v>
      </c>
      <c r="G961" s="28">
        <f>+IF(F961="i",IFERROR(VLOOKUP(C961,'BG 12.2024'!$B:$E,3,FALSE),0),0)</f>
        <v>0</v>
      </c>
      <c r="H961" s="21">
        <f>+IF(F961="i",IFERROR(VLOOKUP(C961,'BG 12.2024'!$B:$E,4,FALSE),0),0)</f>
        <v>0</v>
      </c>
      <c r="I961" s="616"/>
      <c r="J961" s="28">
        <f>IF(F961="I",IFERROR(VLOOKUP(C961,'BG 12.2023'!$B$6:$E$746,3,FALSE),0),0)</f>
        <v>0</v>
      </c>
      <c r="K961" s="28">
        <f>IF(F961="I",IFERROR(VLOOKUP(C961,'BG 12.2023'!$B$6:$E$746,4,FALSE),0),0)</f>
        <v>0</v>
      </c>
      <c r="M961" s="15" t="e">
        <f>+VLOOKUP(C961,'BG 2023'!$B:$E,1,0)</f>
        <v>#N/A</v>
      </c>
      <c r="N961" s="806" t="e">
        <f>+VLOOKUP(C961,'BG 2023'!$B:$E,3,0)</f>
        <v>#N/A</v>
      </c>
      <c r="O961" s="807" t="e">
        <f t="shared" si="68"/>
        <v>#N/A</v>
      </c>
      <c r="P961" s="807"/>
      <c r="R961" s="807">
        <f>+IFERROR(VLOOKUP(C961,'CA FE'!$A:$C,3,0),0)+G961</f>
        <v>0</v>
      </c>
    </row>
    <row r="962" spans="1:18" s="87" customFormat="1">
      <c r="A962" s="77" t="s">
        <v>286</v>
      </c>
      <c r="B962" s="77" t="s">
        <v>950</v>
      </c>
      <c r="C962" s="793">
        <v>4110112208</v>
      </c>
      <c r="D962" s="77" t="s">
        <v>956</v>
      </c>
      <c r="E962" s="794" t="s">
        <v>640</v>
      </c>
      <c r="F962" s="794" t="str">
        <f t="shared" si="66"/>
        <v>I</v>
      </c>
      <c r="G962" s="28">
        <f>+IF(F962="i",IFERROR(VLOOKUP(C962,'BG 12.2024'!$B:$E,3,FALSE),0),0)</f>
        <v>0</v>
      </c>
      <c r="H962" s="21">
        <f>+IF(F962="i",IFERROR(VLOOKUP(C962,'BG 12.2024'!$B:$E,4,FALSE),0),0)</f>
        <v>0</v>
      </c>
      <c r="I962" s="616"/>
      <c r="J962" s="28">
        <f>IF(F962="I",IFERROR(VLOOKUP(C962,'BG 12.2023'!$B$6:$E$746,3,FALSE),0),0)</f>
        <v>0</v>
      </c>
      <c r="K962" s="28">
        <f>IF(F962="I",IFERROR(VLOOKUP(C962,'BG 12.2023'!$B$6:$E$746,4,FALSE),0),0)</f>
        <v>0</v>
      </c>
      <c r="M962" s="15" t="e">
        <f>+VLOOKUP(C962,'BG 2023'!$B:$E,1,0)</f>
        <v>#N/A</v>
      </c>
      <c r="N962" s="806" t="e">
        <f>+VLOOKUP(C962,'BG 2023'!$B:$E,3,0)</f>
        <v>#N/A</v>
      </c>
      <c r="O962" s="807" t="e">
        <f t="shared" si="68"/>
        <v>#N/A</v>
      </c>
      <c r="P962" s="807"/>
      <c r="R962" s="807">
        <f>+IFERROR(VLOOKUP(C962,'CA FE'!$A:$C,3,0),0)+G962</f>
        <v>0</v>
      </c>
    </row>
    <row r="963" spans="1:18" s="87" customFormat="1">
      <c r="A963" s="77" t="s">
        <v>286</v>
      </c>
      <c r="B963" s="77"/>
      <c r="C963" s="793">
        <v>4110114</v>
      </c>
      <c r="D963" s="77" t="s">
        <v>595</v>
      </c>
      <c r="E963" s="794" t="s">
        <v>634</v>
      </c>
      <c r="F963" s="794" t="str">
        <f t="shared" si="66"/>
        <v>NI</v>
      </c>
      <c r="G963" s="28">
        <f>+IF(F963="i",IFERROR(VLOOKUP(C963,'BG 12.2024'!$B:$E,3,FALSE),0),0)</f>
        <v>0</v>
      </c>
      <c r="H963" s="21">
        <f>+IF(F963="i",IFERROR(VLOOKUP(C963,'BG 12.2024'!$B:$E,4,FALSE),0),0)</f>
        <v>0</v>
      </c>
      <c r="I963" s="616"/>
      <c r="J963" s="28">
        <f>IF(F963="I",IFERROR(VLOOKUP(C963,'BG 12.2023'!$B$6:$E$746,3,FALSE),0),0)</f>
        <v>0</v>
      </c>
      <c r="K963" s="28">
        <f>IF(F963="I",IFERROR(VLOOKUP(C963,'BG 12.2023'!$B$6:$E$746,4,FALSE),0),0)</f>
        <v>0</v>
      </c>
      <c r="M963" s="15" t="e">
        <f>+VLOOKUP(C963,'BG 2023'!$B:$E,1,0)</f>
        <v>#N/A</v>
      </c>
      <c r="N963" s="806" t="e">
        <f>+VLOOKUP(C963,'BG 2023'!$B:$E,3,0)</f>
        <v>#N/A</v>
      </c>
      <c r="O963" s="807" t="e">
        <f t="shared" si="68"/>
        <v>#N/A</v>
      </c>
      <c r="P963" s="807"/>
      <c r="R963" s="807">
        <f>+IFERROR(VLOOKUP(C963,'CA FE'!$A:$C,3,0),0)+G963</f>
        <v>0</v>
      </c>
    </row>
    <row r="964" spans="1:18" s="87" customFormat="1">
      <c r="A964" s="77" t="s">
        <v>286</v>
      </c>
      <c r="B964" s="77"/>
      <c r="C964" s="793">
        <v>41101141</v>
      </c>
      <c r="D964" s="77" t="s">
        <v>595</v>
      </c>
      <c r="E964" s="794" t="s">
        <v>634</v>
      </c>
      <c r="F964" s="794" t="str">
        <f t="shared" si="66"/>
        <v>NI</v>
      </c>
      <c r="G964" s="28">
        <f>+IF(F964="i",IFERROR(VLOOKUP(C964,'BG 12.2024'!$B:$E,3,FALSE),0),0)</f>
        <v>0</v>
      </c>
      <c r="H964" s="21">
        <f>+IF(F964="i",IFERROR(VLOOKUP(C964,'BG 12.2024'!$B:$E,4,FALSE),0),0)</f>
        <v>0</v>
      </c>
      <c r="I964" s="616"/>
      <c r="J964" s="28">
        <f>IF(F964="I",IFERROR(VLOOKUP(C964,'BG 12.2023'!$B$6:$E$746,3,FALSE),0),0)</f>
        <v>0</v>
      </c>
      <c r="K964" s="28">
        <f>IF(F964="I",IFERROR(VLOOKUP(C964,'BG 12.2023'!$B$6:$E$746,4,FALSE),0),0)</f>
        <v>0</v>
      </c>
      <c r="M964" s="15" t="e">
        <f>+VLOOKUP(C964,'BG 2023'!$B:$E,1,0)</f>
        <v>#N/A</v>
      </c>
      <c r="N964" s="806" t="e">
        <f>+VLOOKUP(C964,'BG 2023'!$B:$E,3,0)</f>
        <v>#N/A</v>
      </c>
      <c r="O964" s="807" t="e">
        <f t="shared" si="68"/>
        <v>#N/A</v>
      </c>
      <c r="P964" s="807"/>
      <c r="R964" s="807">
        <f>+IFERROR(VLOOKUP(C964,'CA FE'!$A:$C,3,0),0)+G964</f>
        <v>0</v>
      </c>
    </row>
    <row r="965" spans="1:18" s="87" customFormat="1">
      <c r="A965" s="77" t="s">
        <v>286</v>
      </c>
      <c r="B965" s="77" t="s">
        <v>945</v>
      </c>
      <c r="C965" s="793">
        <v>4110114103</v>
      </c>
      <c r="D965" s="77" t="s">
        <v>596</v>
      </c>
      <c r="E965" s="794" t="s">
        <v>634</v>
      </c>
      <c r="F965" s="794" t="str">
        <f t="shared" si="66"/>
        <v>I</v>
      </c>
      <c r="G965" s="28">
        <f>+IF(F965="i",IFERROR(VLOOKUP(C965,'BG 12.2024'!$B:$E,3,FALSE),0),0)</f>
        <v>28280000</v>
      </c>
      <c r="H965" s="21">
        <f>+IF(F965="i",IFERROR(VLOOKUP(C965,'BG 12.2024'!$B:$E,4,FALSE),0),0)</f>
        <v>3768.3</v>
      </c>
      <c r="I965" s="616"/>
      <c r="J965" s="28">
        <f>IF(F965="I",IFERROR(VLOOKUP(C965,'BG 12.2023'!$B$6:$E$746,3,FALSE),0),0)</f>
        <v>0</v>
      </c>
      <c r="K965" s="28">
        <f>IF(F965="I",IFERROR(VLOOKUP(C965,'BG 12.2023'!$B$6:$E$746,4,FALSE),0),0)</f>
        <v>0</v>
      </c>
      <c r="M965" s="15" t="e">
        <f>+VLOOKUP(C965,'BG 2023'!$B:$E,1,0)</f>
        <v>#N/A</v>
      </c>
      <c r="N965" s="806" t="e">
        <f>+VLOOKUP(C965,'BG 2023'!$B:$E,3,0)</f>
        <v>#N/A</v>
      </c>
      <c r="O965" s="807" t="e">
        <f t="shared" si="68"/>
        <v>#N/A</v>
      </c>
      <c r="P965" s="807"/>
      <c r="R965" s="807">
        <f>+IFERROR(VLOOKUP(C965,'CA FE'!$A:$C,3,0),0)+G965</f>
        <v>0</v>
      </c>
    </row>
    <row r="966" spans="1:18" s="87" customFormat="1">
      <c r="A966" s="77" t="s">
        <v>286</v>
      </c>
      <c r="B966" s="77" t="s">
        <v>945</v>
      </c>
      <c r="C966" s="793">
        <v>4110114104</v>
      </c>
      <c r="D966" s="77" t="s">
        <v>597</v>
      </c>
      <c r="E966" s="794" t="s">
        <v>640</v>
      </c>
      <c r="F966" s="794" t="str">
        <f t="shared" si="66"/>
        <v>I</v>
      </c>
      <c r="G966" s="28">
        <f>+IF(F966="i",IFERROR(VLOOKUP(C966,'BG 12.2024'!$B:$E,3,FALSE),0),0)</f>
        <v>1500942</v>
      </c>
      <c r="H966" s="21">
        <f>+IF(F966="i",IFERROR(VLOOKUP(C966,'BG 12.2024'!$B:$E,4,FALSE),0),0)</f>
        <v>200</v>
      </c>
      <c r="I966" s="616"/>
      <c r="J966" s="28">
        <f>IF(F966="I",IFERROR(VLOOKUP(C966,'BG 12.2023'!$B$6:$E$746,3,FALSE),0),0)</f>
        <v>0</v>
      </c>
      <c r="K966" s="28">
        <f>IF(F966="I",IFERROR(VLOOKUP(C966,'BG 12.2023'!$B$6:$E$746,4,FALSE),0),0)</f>
        <v>0</v>
      </c>
      <c r="M966" s="15" t="e">
        <f>+VLOOKUP(C966,'BG 2023'!$B:$E,1,0)</f>
        <v>#N/A</v>
      </c>
      <c r="N966" s="806" t="e">
        <f>+VLOOKUP(C966,'BG 2023'!$B:$E,3,0)</f>
        <v>#N/A</v>
      </c>
      <c r="O966" s="807" t="e">
        <f t="shared" si="68"/>
        <v>#N/A</v>
      </c>
      <c r="P966" s="807"/>
      <c r="R966" s="807">
        <f>+IFERROR(VLOOKUP(C966,'CA FE'!$A:$C,3,0),0)+G966</f>
        <v>0</v>
      </c>
    </row>
    <row r="967" spans="1:18" s="87" customFormat="1">
      <c r="A967" s="77" t="s">
        <v>286</v>
      </c>
      <c r="B967" s="77"/>
      <c r="C967" s="793">
        <v>4110113</v>
      </c>
      <c r="D967" s="77" t="s">
        <v>305</v>
      </c>
      <c r="E967" s="794" t="s">
        <v>634</v>
      </c>
      <c r="F967" s="794" t="str">
        <f t="shared" si="66"/>
        <v>NI</v>
      </c>
      <c r="G967" s="28">
        <f>+IF(F967="i",IFERROR(VLOOKUP(C967,'BG 12.2024'!$B:$E,3,FALSE),0),0)</f>
        <v>0</v>
      </c>
      <c r="H967" s="21">
        <f>+IF(F967="i",IFERROR(VLOOKUP(C967,'BG 12.2024'!$B:$E,4,FALSE),0),0)</f>
        <v>0</v>
      </c>
      <c r="I967" s="616"/>
      <c r="J967" s="28">
        <f>IF(F967="I",IFERROR(VLOOKUP(C967,'BG 12.2023'!$B$6:$E$746,3,FALSE),0),0)</f>
        <v>0</v>
      </c>
      <c r="K967" s="28">
        <f>IF(F967="I",IFERROR(VLOOKUP(C967,'BG 12.2023'!$B$6:$E$746,4,FALSE),0),0)</f>
        <v>0</v>
      </c>
      <c r="M967" s="15" t="e">
        <f>+VLOOKUP(C967,'BG 2023'!$B:$E,1,0)</f>
        <v>#N/A</v>
      </c>
      <c r="N967" s="806" t="e">
        <f>+VLOOKUP(C967,'BG 2023'!$B:$E,3,0)</f>
        <v>#N/A</v>
      </c>
      <c r="O967" s="807" t="e">
        <f t="shared" si="68"/>
        <v>#N/A</v>
      </c>
      <c r="P967" s="807"/>
      <c r="R967" s="807">
        <f>+IFERROR(VLOOKUP(C967,'CA FE'!$A:$C,3,0),0)+G967</f>
        <v>0</v>
      </c>
    </row>
    <row r="968" spans="1:18" s="87" customFormat="1">
      <c r="A968" s="77" t="s">
        <v>286</v>
      </c>
      <c r="B968" s="77"/>
      <c r="C968" s="793">
        <v>41101131</v>
      </c>
      <c r="D968" s="77" t="s">
        <v>306</v>
      </c>
      <c r="E968" s="794" t="s">
        <v>634</v>
      </c>
      <c r="F968" s="794" t="str">
        <f t="shared" si="66"/>
        <v>NI</v>
      </c>
      <c r="G968" s="28">
        <f>+IF(F968="i",IFERROR(VLOOKUP(C968,'BG 12.2024'!$B:$E,3,FALSE),0),0)</f>
        <v>0</v>
      </c>
      <c r="H968" s="21">
        <f>+IF(F968="i",IFERROR(VLOOKUP(C968,'BG 12.2024'!$B:$E,4,FALSE),0),0)</f>
        <v>0</v>
      </c>
      <c r="I968" s="616"/>
      <c r="J968" s="28">
        <f>IF(F968="I",IFERROR(VLOOKUP(C968,'BG 12.2023'!$B$6:$E$746,3,FALSE),0),0)</f>
        <v>0</v>
      </c>
      <c r="K968" s="28">
        <f>IF(F968="I",IFERROR(VLOOKUP(C968,'BG 12.2023'!$B$6:$E$746,4,FALSE),0),0)</f>
        <v>0</v>
      </c>
      <c r="M968" s="15" t="e">
        <f>+VLOOKUP(C968,'BG 2023'!$B:$E,1,0)</f>
        <v>#N/A</v>
      </c>
      <c r="N968" s="806" t="e">
        <f>+VLOOKUP(C968,'BG 2023'!$B:$E,3,0)</f>
        <v>#N/A</v>
      </c>
      <c r="O968" s="807" t="e">
        <f t="shared" si="68"/>
        <v>#N/A</v>
      </c>
      <c r="P968" s="807"/>
      <c r="R968" s="807">
        <f>+IFERROR(VLOOKUP(C968,'CA FE'!$A:$C,3,0),0)+G968</f>
        <v>0</v>
      </c>
    </row>
    <row r="969" spans="1:18" s="87" customFormat="1">
      <c r="A969" s="77" t="s">
        <v>286</v>
      </c>
      <c r="B969" s="77"/>
      <c r="C969" s="793">
        <v>4110113101</v>
      </c>
      <c r="D969" s="77" t="s">
        <v>306</v>
      </c>
      <c r="E969" s="794" t="s">
        <v>634</v>
      </c>
      <c r="F969" s="794" t="str">
        <f t="shared" si="66"/>
        <v>I</v>
      </c>
      <c r="G969" s="28">
        <f>+IF(F969="i",IFERROR(VLOOKUP(C969,'BG 12.2024'!$B:$E,3,FALSE),0),0)</f>
        <v>0</v>
      </c>
      <c r="H969" s="21">
        <f>+IF(F969="i",IFERROR(VLOOKUP(C969,'BG 12.2024'!$B:$E,4,FALSE),0),0)</f>
        <v>0</v>
      </c>
      <c r="I969" s="616"/>
      <c r="J969" s="28">
        <f>IF(F969="I",IFERROR(VLOOKUP(C969,'BG 12.2023'!$B$6:$E$746,3,FALSE),0),0)</f>
        <v>0</v>
      </c>
      <c r="K969" s="28">
        <f>IF(F969="I",IFERROR(VLOOKUP(C969,'BG 12.2023'!$B$6:$E$746,4,FALSE),0),0)</f>
        <v>0</v>
      </c>
      <c r="M969" s="15" t="e">
        <f>+VLOOKUP(C969,'BG 2023'!$B:$E,1,0)</f>
        <v>#N/A</v>
      </c>
      <c r="N969" s="806" t="e">
        <f>+VLOOKUP(C969,'BG 2023'!$B:$E,3,0)</f>
        <v>#N/A</v>
      </c>
      <c r="O969" s="807" t="e">
        <f t="shared" si="68"/>
        <v>#N/A</v>
      </c>
      <c r="P969" s="807"/>
      <c r="R969" s="807">
        <f>+IFERROR(VLOOKUP(C969,'CA FE'!$A:$C,3,0),0)+G969</f>
        <v>0</v>
      </c>
    </row>
    <row r="970" spans="1:18" s="87" customFormat="1">
      <c r="A970" s="77" t="s">
        <v>286</v>
      </c>
      <c r="B970" s="77"/>
      <c r="C970" s="793">
        <v>4110113102</v>
      </c>
      <c r="D970" s="77" t="s">
        <v>306</v>
      </c>
      <c r="E970" s="794" t="s">
        <v>634</v>
      </c>
      <c r="F970" s="794" t="str">
        <f t="shared" si="66"/>
        <v>I</v>
      </c>
      <c r="G970" s="28">
        <f>+IF(F970="i",IFERROR(VLOOKUP(C970,'BG 12.2024'!$B:$E,3,FALSE),0),0)</f>
        <v>0</v>
      </c>
      <c r="H970" s="21">
        <f>+IF(F970="i",IFERROR(VLOOKUP(C970,'BG 12.2024'!$B:$E,4,FALSE),0),0)</f>
        <v>0</v>
      </c>
      <c r="I970" s="616"/>
      <c r="J970" s="28">
        <f>IF(F970="I",IFERROR(VLOOKUP(C970,'BG 12.2023'!$B$6:$E$746,3,FALSE),0),0)</f>
        <v>0</v>
      </c>
      <c r="K970" s="28">
        <f>IF(F970="I",IFERROR(VLOOKUP(C970,'BG 12.2023'!$B$6:$E$746,4,FALSE),0),0)</f>
        <v>0</v>
      </c>
      <c r="M970" s="15" t="e">
        <f>+VLOOKUP(C970,'BG 2023'!$B:$E,1,0)</f>
        <v>#N/A</v>
      </c>
      <c r="N970" s="806" t="e">
        <f>+VLOOKUP(C970,'BG 2023'!$B:$E,3,0)</f>
        <v>#N/A</v>
      </c>
      <c r="O970" s="807" t="e">
        <f t="shared" si="68"/>
        <v>#N/A</v>
      </c>
      <c r="P970" s="807"/>
      <c r="R970" s="807">
        <f>+IFERROR(VLOOKUP(C970,'CA FE'!$A:$C,3,0),0)+G970</f>
        <v>0</v>
      </c>
    </row>
    <row r="971" spans="1:18" s="87" customFormat="1">
      <c r="A971" s="77" t="s">
        <v>286</v>
      </c>
      <c r="B971" s="77"/>
      <c r="C971" s="793">
        <v>411013</v>
      </c>
      <c r="D971" s="77" t="s">
        <v>305</v>
      </c>
      <c r="E971" s="794" t="s">
        <v>634</v>
      </c>
      <c r="F971" s="794" t="str">
        <f t="shared" si="66"/>
        <v>NI</v>
      </c>
      <c r="G971" s="28">
        <f>+IF(F971="i",IFERROR(VLOOKUP(C971,'BG 12.2024'!$B:$E,3,FALSE),0),0)</f>
        <v>0</v>
      </c>
      <c r="H971" s="21">
        <f>+IF(F971="i",IFERROR(VLOOKUP(C971,'BG 12.2024'!$B:$E,4,FALSE),0),0)</f>
        <v>0</v>
      </c>
      <c r="I971" s="616"/>
      <c r="J971" s="28">
        <f>IF(F971="I",IFERROR(VLOOKUP(C971,'BG 12.2023'!$B$6:$E$746,3,FALSE),0),0)</f>
        <v>0</v>
      </c>
      <c r="K971" s="28">
        <f>IF(F971="I",IFERROR(VLOOKUP(C971,'BG 12.2023'!$B$6:$E$746,4,FALSE),0),0)</f>
        <v>0</v>
      </c>
      <c r="M971" s="15">
        <f>+VLOOKUP(C971,'BG 2023'!$B:$E,1,0)</f>
        <v>411013</v>
      </c>
      <c r="N971" s="806">
        <f>+VLOOKUP(C971,'BG 2023'!$B:$E,3,0)</f>
        <v>34940128</v>
      </c>
      <c r="O971" s="807">
        <f t="shared" si="68"/>
        <v>34940128</v>
      </c>
      <c r="P971" s="807"/>
      <c r="R971" s="807">
        <f>+IFERROR(VLOOKUP(C971,'CA FE'!$A:$C,3,0),0)+G971</f>
        <v>0</v>
      </c>
    </row>
    <row r="972" spans="1:18" s="87" customFormat="1">
      <c r="A972" s="77" t="s">
        <v>286</v>
      </c>
      <c r="B972" s="77"/>
      <c r="C972" s="793">
        <v>4110131</v>
      </c>
      <c r="D972" s="77" t="s">
        <v>306</v>
      </c>
      <c r="E972" s="794" t="s">
        <v>634</v>
      </c>
      <c r="F972" s="794" t="str">
        <f t="shared" si="66"/>
        <v>NI</v>
      </c>
      <c r="G972" s="28">
        <f>+IF(F972="i",IFERROR(VLOOKUP(C972,'BG 12.2024'!$B:$E,3,FALSE),0),0)</f>
        <v>0</v>
      </c>
      <c r="H972" s="21">
        <f>+IF(F972="i",IFERROR(VLOOKUP(C972,'BG 12.2024'!$B:$E,4,FALSE),0),0)</f>
        <v>0</v>
      </c>
      <c r="I972" s="616"/>
      <c r="J972" s="28">
        <f>IF(F972="I",IFERROR(VLOOKUP(C972,'BG 12.2023'!$B$6:$E$746,3,FALSE),0),0)</f>
        <v>0</v>
      </c>
      <c r="K972" s="28">
        <f>IF(F972="I",IFERROR(VLOOKUP(C972,'BG 12.2023'!$B$6:$E$746,4,FALSE),0),0)</f>
        <v>0</v>
      </c>
      <c r="M972" s="15">
        <f>+VLOOKUP(C972,'BG 2023'!$B:$E,1,0)</f>
        <v>4110131</v>
      </c>
      <c r="N972" s="806">
        <f>+VLOOKUP(C972,'BG 2023'!$B:$E,3,0)</f>
        <v>34940128</v>
      </c>
      <c r="O972" s="807">
        <f t="shared" si="68"/>
        <v>34940128</v>
      </c>
      <c r="P972" s="807"/>
      <c r="R972" s="807">
        <f>+IFERROR(VLOOKUP(C972,'CA FE'!$A:$C,3,0),0)+G972</f>
        <v>0</v>
      </c>
    </row>
    <row r="973" spans="1:18" s="87" customFormat="1">
      <c r="A973" s="77" t="s">
        <v>286</v>
      </c>
      <c r="B973" s="77"/>
      <c r="C973" s="793">
        <v>41101311</v>
      </c>
      <c r="D973" s="77" t="s">
        <v>306</v>
      </c>
      <c r="E973" s="794" t="s">
        <v>634</v>
      </c>
      <c r="F973" s="794" t="str">
        <f t="shared" si="66"/>
        <v>NI</v>
      </c>
      <c r="G973" s="28">
        <f>+IF(F973="i",IFERROR(VLOOKUP(C973,'BG 12.2024'!$B:$E,3,FALSE),0),0)</f>
        <v>0</v>
      </c>
      <c r="H973" s="21">
        <f>+IF(F973="i",IFERROR(VLOOKUP(C973,'BG 12.2024'!$B:$E,4,FALSE),0),0)</f>
        <v>0</v>
      </c>
      <c r="I973" s="616"/>
      <c r="J973" s="28">
        <f>IF(F973="I",IFERROR(VLOOKUP(C973,'BG 12.2023'!$B$6:$E$746,3,FALSE),0),0)</f>
        <v>0</v>
      </c>
      <c r="K973" s="28">
        <f>IF(F973="I",IFERROR(VLOOKUP(C973,'BG 12.2023'!$B$6:$E$746,4,FALSE),0),0)</f>
        <v>0</v>
      </c>
      <c r="M973" s="15">
        <f>+VLOOKUP(C973,'BG 2023'!$B:$E,1,0)</f>
        <v>41101311</v>
      </c>
      <c r="N973" s="806">
        <f>+VLOOKUP(C973,'BG 2023'!$B:$E,3,0)</f>
        <v>31506532</v>
      </c>
      <c r="O973" s="807">
        <f t="shared" si="68"/>
        <v>31506532</v>
      </c>
      <c r="P973" s="807"/>
      <c r="R973" s="807">
        <f>+IFERROR(VLOOKUP(C973,'CA FE'!$A:$C,3,0),0)+G973</f>
        <v>0</v>
      </c>
    </row>
    <row r="974" spans="1:18" s="87" customFormat="1">
      <c r="A974" s="77" t="s">
        <v>286</v>
      </c>
      <c r="B974" s="77" t="s">
        <v>957</v>
      </c>
      <c r="C974" s="793">
        <v>4110131101</v>
      </c>
      <c r="D974" s="77" t="s">
        <v>598</v>
      </c>
      <c r="E974" s="794" t="s">
        <v>634</v>
      </c>
      <c r="F974" s="794" t="str">
        <f t="shared" ref="F974" si="71">+IF(LEN(C974)&gt;8,"I","NI")</f>
        <v>I</v>
      </c>
      <c r="G974" s="28">
        <f>+IF(F974="i",IFERROR(VLOOKUP(C974,'BG 12.2024'!$B:$E,3,FALSE),0),0)</f>
        <v>1812807</v>
      </c>
      <c r="H974" s="21">
        <f>+IF(F974="i",IFERROR(VLOOKUP(C974,'BG 12.2024'!$B:$E,4,FALSE),0),0)</f>
        <v>250</v>
      </c>
      <c r="I974" s="616"/>
      <c r="J974" s="28">
        <f>IF(F974="I",IFERROR(VLOOKUP(C974,'BG 12.2023'!$B$6:$E$746,3,FALSE),0),0)</f>
        <v>0</v>
      </c>
      <c r="K974" s="28">
        <f>IF(F974="I",IFERROR(VLOOKUP(C974,'BG 12.2023'!$B$6:$E$746,4,FALSE),0),0)</f>
        <v>0</v>
      </c>
      <c r="M974" s="15"/>
      <c r="N974" s="806"/>
      <c r="O974" s="807"/>
      <c r="P974" s="807">
        <f>+VLOOKUP(C974,'BG 12.2024'!$B$471:$E$866,4,0)-H974</f>
        <v>0</v>
      </c>
      <c r="R974" s="807">
        <f>+IFERROR(VLOOKUP(C974,'CA FE'!$A:$C,3,0),0)+G974</f>
        <v>0</v>
      </c>
    </row>
    <row r="975" spans="1:18" s="87" customFormat="1">
      <c r="A975" s="77" t="s">
        <v>286</v>
      </c>
      <c r="B975" s="77" t="s">
        <v>957</v>
      </c>
      <c r="C975" s="793">
        <v>4110131102</v>
      </c>
      <c r="D975" s="77" t="s">
        <v>307</v>
      </c>
      <c r="E975" s="794" t="s">
        <v>634</v>
      </c>
      <c r="F975" s="794" t="str">
        <f t="shared" si="66"/>
        <v>I</v>
      </c>
      <c r="G975" s="28">
        <f>+IF(F975="i",IFERROR(VLOOKUP(C975,'BG 12.2024'!$B:$E,3,FALSE),0),0)</f>
        <v>103000000</v>
      </c>
      <c r="H975" s="21">
        <f>+IF(F975="i",IFERROR(VLOOKUP(C975,'BG 12.2024'!$B:$E,4,FALSE),0),0)</f>
        <v>13194.66</v>
      </c>
      <c r="I975" s="616"/>
      <c r="J975" s="28">
        <f>IF(F975="I",IFERROR(VLOOKUP(C975,'BG 12.2023'!$B$6:$E$746,3,FALSE),0),0)</f>
        <v>31506532</v>
      </c>
      <c r="K975" s="28">
        <f>IF(F975="I",IFERROR(VLOOKUP(C975,'BG 12.2023'!$B$6:$E$746,4,FALSE),0),0)</f>
        <v>4294.92</v>
      </c>
      <c r="M975" s="15">
        <f>+VLOOKUP(C975,'BG 2023'!$B:$E,1,0)</f>
        <v>4110131102</v>
      </c>
      <c r="N975" s="806">
        <f>+VLOOKUP(C975,'BG 2023'!$B:$E,3,0)</f>
        <v>31506532</v>
      </c>
      <c r="O975" s="807">
        <f t="shared" si="68"/>
        <v>-71493468</v>
      </c>
      <c r="P975" s="807"/>
      <c r="R975" s="807">
        <f>+IFERROR(VLOOKUP(C975,'CA FE'!$A:$C,3,0),0)+G975</f>
        <v>0</v>
      </c>
    </row>
    <row r="976" spans="1:18" s="87" customFormat="1">
      <c r="A976" s="77" t="s">
        <v>286</v>
      </c>
      <c r="B976" s="77" t="s">
        <v>945</v>
      </c>
      <c r="C976" s="793">
        <v>4110131103</v>
      </c>
      <c r="D976" s="77" t="s">
        <v>958</v>
      </c>
      <c r="E976" s="794" t="s">
        <v>634</v>
      </c>
      <c r="F976" s="794" t="str">
        <f t="shared" si="66"/>
        <v>I</v>
      </c>
      <c r="G976" s="1097">
        <f>+IF(F976="i",IFERROR(VLOOKUP(C976,'BG 12.2024'!$B:$E,3,FALSE),0),0)</f>
        <v>1149420000</v>
      </c>
      <c r="H976" s="21">
        <f>+IF(F976="i",IFERROR(VLOOKUP(C976,'BG 12.2024'!$B:$E,4,FALSE),0),0)</f>
        <v>146923.71000000002</v>
      </c>
      <c r="I976" s="616"/>
      <c r="J976" s="28">
        <f>IF(F976="I",IFERROR(VLOOKUP(C976,'BG 12.2023'!$B$6:$E$746,3,FALSE),0),0)</f>
        <v>0</v>
      </c>
      <c r="K976" s="28">
        <f>IF(F976="I",IFERROR(VLOOKUP(C976,'BG 12.2023'!$B$6:$E$746,4,FALSE),0),0)</f>
        <v>0</v>
      </c>
      <c r="M976" s="15" t="e">
        <f>+VLOOKUP(C976,'BG 2023'!$B:$E,1,0)</f>
        <v>#N/A</v>
      </c>
      <c r="N976" s="806" t="e">
        <f>+VLOOKUP(C976,'BG 2023'!$B:$E,3,0)</f>
        <v>#N/A</v>
      </c>
      <c r="O976" s="807" t="e">
        <f t="shared" si="68"/>
        <v>#N/A</v>
      </c>
      <c r="P976" s="807"/>
      <c r="R976" s="807">
        <f>+IFERROR(VLOOKUP(C976,'CA FE'!$A:$C,3,0),0)+G976</f>
        <v>0</v>
      </c>
    </row>
    <row r="977" spans="1:18" s="87" customFormat="1">
      <c r="A977" s="77" t="s">
        <v>286</v>
      </c>
      <c r="B977" s="77"/>
      <c r="C977" s="793">
        <v>41101312</v>
      </c>
      <c r="D977" s="77" t="s">
        <v>306</v>
      </c>
      <c r="E977" s="794" t="s">
        <v>634</v>
      </c>
      <c r="F977" s="794" t="str">
        <f t="shared" si="66"/>
        <v>NI</v>
      </c>
      <c r="G977" s="28">
        <f>+IF(F977="i",IFERROR(VLOOKUP(C977,'BG 12.2024'!$B:$E,3,FALSE),0),0)</f>
        <v>0</v>
      </c>
      <c r="H977" s="21">
        <f>+IF(F977="i",IFERROR(VLOOKUP(C977,'BG 12.2024'!$B:$E,4,FALSE),0),0)</f>
        <v>0</v>
      </c>
      <c r="I977" s="616"/>
      <c r="J977" s="28">
        <f>IF(F977="I",IFERROR(VLOOKUP(C977,'BG 12.2023'!$B$6:$E$746,3,FALSE),0),0)</f>
        <v>0</v>
      </c>
      <c r="K977" s="28">
        <f>IF(F977="I",IFERROR(VLOOKUP(C977,'BG 12.2023'!$B$6:$E$746,4,FALSE),0),0)</f>
        <v>0</v>
      </c>
      <c r="M977" s="15">
        <f>+VLOOKUP(C977,'BG 2023'!$B:$E,1,0)</f>
        <v>41101312</v>
      </c>
      <c r="N977" s="806">
        <f>+VLOOKUP(C977,'BG 2023'!$B:$E,3,0)</f>
        <v>3433596</v>
      </c>
      <c r="O977" s="807">
        <f t="shared" si="68"/>
        <v>3433596</v>
      </c>
      <c r="P977" s="807"/>
      <c r="R977" s="807">
        <f>+IFERROR(VLOOKUP(C977,'CA FE'!$A:$C,3,0),0)+G977</f>
        <v>0</v>
      </c>
    </row>
    <row r="978" spans="1:18" s="87" customFormat="1">
      <c r="A978" s="77" t="s">
        <v>286</v>
      </c>
      <c r="B978" s="77" t="s">
        <v>957</v>
      </c>
      <c r="C978" s="793">
        <v>4110131202</v>
      </c>
      <c r="D978" s="77" t="s">
        <v>307</v>
      </c>
      <c r="E978" s="794" t="s">
        <v>640</v>
      </c>
      <c r="F978" s="794" t="str">
        <f t="shared" si="66"/>
        <v>I</v>
      </c>
      <c r="G978" s="28">
        <f>+IF(F978="i",IFERROR(VLOOKUP(C978,'BG 12.2024'!$B:$E,3,FALSE),0),0)</f>
        <v>99189397</v>
      </c>
      <c r="H978" s="21">
        <f>+IF(F978="i",IFERROR(VLOOKUP(C978,'BG 12.2024'!$B:$E,4,FALSE),0),0)</f>
        <v>12881.45</v>
      </c>
      <c r="I978" s="616"/>
      <c r="J978" s="28">
        <f>IF(F978="I",IFERROR(VLOOKUP(C978,'BG 12.2023'!$B$6:$E$746,3,FALSE),0),0)</f>
        <v>3433596</v>
      </c>
      <c r="K978" s="28">
        <f>IF(F978="I",IFERROR(VLOOKUP(C978,'BG 12.2023'!$B$6:$E$746,4,FALSE),0),0)</f>
        <v>467.5</v>
      </c>
      <c r="M978" s="15">
        <f>+VLOOKUP(C978,'BG 2023'!$B:$E,1,0)</f>
        <v>4110131202</v>
      </c>
      <c r="N978" s="806">
        <f>+VLOOKUP(C978,'BG 2023'!$B:$E,3,0)</f>
        <v>3433596</v>
      </c>
      <c r="O978" s="807">
        <f t="shared" si="68"/>
        <v>-95755801</v>
      </c>
      <c r="P978" s="807">
        <f>+VLOOKUP(C978,'BG 12.2024'!$B$471:$E$866,4,0)-H978</f>
        <v>0</v>
      </c>
      <c r="R978" s="807">
        <f>+IFERROR(VLOOKUP(C978,'CA FE'!$A:$C,3,0),0)+G978</f>
        <v>0</v>
      </c>
    </row>
    <row r="979" spans="1:18" s="87" customFormat="1">
      <c r="A979" s="77" t="s">
        <v>286</v>
      </c>
      <c r="B979" s="77" t="s">
        <v>945</v>
      </c>
      <c r="C979" s="793">
        <v>4110131203</v>
      </c>
      <c r="D979" s="77" t="s">
        <v>958</v>
      </c>
      <c r="E979" s="794" t="s">
        <v>640</v>
      </c>
      <c r="F979" s="794" t="str">
        <f t="shared" si="66"/>
        <v>I</v>
      </c>
      <c r="G979" s="28">
        <f>+IF(F979="i",IFERROR(VLOOKUP(C979,'BG 12.2024'!$B:$E,3,FALSE),0),0)</f>
        <v>208647916</v>
      </c>
      <c r="H979" s="21">
        <f>+IF(F979="i",IFERROR(VLOOKUP(C979,'BG 12.2024'!$B:$E,4,FALSE),0),0)</f>
        <v>26700</v>
      </c>
      <c r="I979" s="616"/>
      <c r="J979" s="28">
        <f>IF(F979="I",IFERROR(VLOOKUP(C979,'BG 12.2023'!$B$6:$E$746,3,FALSE),0),0)</f>
        <v>0</v>
      </c>
      <c r="K979" s="28">
        <f>IF(F979="I",IFERROR(VLOOKUP(C979,'BG 12.2023'!$B$6:$E$746,4,FALSE),0),0)</f>
        <v>0</v>
      </c>
      <c r="M979" s="15" t="e">
        <f>+VLOOKUP(C979,'BG 2023'!$B:$E,1,0)</f>
        <v>#N/A</v>
      </c>
      <c r="N979" s="806" t="e">
        <f>+VLOOKUP(C979,'BG 2023'!$B:$E,3,0)</f>
        <v>#N/A</v>
      </c>
      <c r="O979" s="807" t="e">
        <f t="shared" si="68"/>
        <v>#N/A</v>
      </c>
      <c r="P979" s="807"/>
      <c r="R979" s="807">
        <f>+IFERROR(VLOOKUP(C979,'CA FE'!$A:$C,3,0),0)+G979</f>
        <v>0</v>
      </c>
    </row>
    <row r="980" spans="1:18" s="87" customFormat="1">
      <c r="A980" s="77" t="s">
        <v>286</v>
      </c>
      <c r="B980" s="77"/>
      <c r="C980" s="793">
        <v>411014</v>
      </c>
      <c r="D980" s="77" t="s">
        <v>959</v>
      </c>
      <c r="E980" s="794" t="s">
        <v>634</v>
      </c>
      <c r="F980" s="794" t="str">
        <f t="shared" si="66"/>
        <v>NI</v>
      </c>
      <c r="G980" s="28">
        <f>+IF(F980="i",IFERROR(VLOOKUP(C980,'BG 12.2024'!$B:$E,3,FALSE),0),0)</f>
        <v>0</v>
      </c>
      <c r="H980" s="21">
        <f>+IF(F980="i",IFERROR(VLOOKUP(C980,'BG 12.2024'!$B:$E,4,FALSE),0),0)</f>
        <v>0</v>
      </c>
      <c r="I980" s="616"/>
      <c r="J980" s="28">
        <f>IF(F980="I",IFERROR(VLOOKUP(C980,'BG 12.2023'!$B$6:$E$746,3,FALSE),0),0)</f>
        <v>0</v>
      </c>
      <c r="K980" s="28">
        <f>IF(F980="I",IFERROR(VLOOKUP(C980,'BG 12.2023'!$B$6:$E$746,4,FALSE),0),0)</f>
        <v>0</v>
      </c>
      <c r="M980" s="15">
        <f>+VLOOKUP(C980,'BG 2023'!$B:$E,1,0)</f>
        <v>411014</v>
      </c>
      <c r="N980" s="806">
        <f>+VLOOKUP(C980,'BG 2023'!$B:$E,3,0)</f>
        <v>652433496</v>
      </c>
      <c r="O980" s="807">
        <f t="shared" si="68"/>
        <v>652433496</v>
      </c>
      <c r="P980" s="807"/>
      <c r="R980" s="807">
        <f>+IFERROR(VLOOKUP(C980,'CA FE'!$A:$C,3,0),0)+G980</f>
        <v>0</v>
      </c>
    </row>
    <row r="981" spans="1:18" s="87" customFormat="1">
      <c r="A981" s="77" t="s">
        <v>286</v>
      </c>
      <c r="B981" s="77"/>
      <c r="C981" s="793">
        <v>4110141</v>
      </c>
      <c r="D981" s="77" t="s">
        <v>309</v>
      </c>
      <c r="E981" s="794" t="s">
        <v>634</v>
      </c>
      <c r="F981" s="794" t="str">
        <f t="shared" si="66"/>
        <v>NI</v>
      </c>
      <c r="G981" s="28">
        <f>+IF(F981="i",IFERROR(VLOOKUP(C981,'BG 12.2024'!$B:$E,3,FALSE),0),0)</f>
        <v>0</v>
      </c>
      <c r="H981" s="21">
        <f>+IF(F981="i",IFERROR(VLOOKUP(C981,'BG 12.2024'!$B:$E,4,FALSE),0),0)</f>
        <v>0</v>
      </c>
      <c r="I981" s="616"/>
      <c r="J981" s="28">
        <f>IF(F981="I",IFERROR(VLOOKUP(C981,'BG 12.2023'!$B$6:$E$746,3,FALSE),0),0)</f>
        <v>0</v>
      </c>
      <c r="K981" s="28">
        <f>IF(F981="I",IFERROR(VLOOKUP(C981,'BG 12.2023'!$B$6:$E$746,4,FALSE),0),0)</f>
        <v>0</v>
      </c>
      <c r="M981" s="15">
        <f>+VLOOKUP(C981,'BG 2023'!$B:$E,1,0)</f>
        <v>4110141</v>
      </c>
      <c r="N981" s="806">
        <f>+VLOOKUP(C981,'BG 2023'!$B:$E,3,0)</f>
        <v>625927237</v>
      </c>
      <c r="O981" s="807">
        <f t="shared" si="68"/>
        <v>625927237</v>
      </c>
      <c r="P981" s="807"/>
      <c r="R981" s="807">
        <f>+IFERROR(VLOOKUP(C981,'CA FE'!$A:$C,3,0),0)+G981</f>
        <v>0</v>
      </c>
    </row>
    <row r="982" spans="1:18" s="87" customFormat="1">
      <c r="A982" s="77" t="s">
        <v>286</v>
      </c>
      <c r="B982" s="77"/>
      <c r="C982" s="793">
        <v>41101411</v>
      </c>
      <c r="D982" s="77" t="s">
        <v>310</v>
      </c>
      <c r="E982" s="794" t="s">
        <v>634</v>
      </c>
      <c r="F982" s="794" t="str">
        <f t="shared" si="66"/>
        <v>NI</v>
      </c>
      <c r="G982" s="28">
        <f>+IF(F982="i",IFERROR(VLOOKUP(C982,'BG 12.2024'!$B:$E,3,FALSE),0),0)</f>
        <v>0</v>
      </c>
      <c r="H982" s="21">
        <f>+IF(F982="i",IFERROR(VLOOKUP(C982,'BG 12.2024'!$B:$E,4,FALSE),0),0)</f>
        <v>0</v>
      </c>
      <c r="I982" s="616"/>
      <c r="J982" s="28">
        <f>IF(F982="I",IFERROR(VLOOKUP(C982,'BG 12.2023'!$B$6:$E$746,3,FALSE),0),0)</f>
        <v>0</v>
      </c>
      <c r="K982" s="28">
        <f>IF(F982="I",IFERROR(VLOOKUP(C982,'BG 12.2023'!$B$6:$E$746,4,FALSE),0),0)</f>
        <v>0</v>
      </c>
      <c r="M982" s="15">
        <f>+VLOOKUP(C982,'BG 2023'!$B:$E,1,0)</f>
        <v>41101411</v>
      </c>
      <c r="N982" s="806">
        <f>+VLOOKUP(C982,'BG 2023'!$B:$E,3,0)</f>
        <v>241473020</v>
      </c>
      <c r="O982" s="807">
        <f t="shared" si="68"/>
        <v>241473020</v>
      </c>
      <c r="P982" s="807"/>
      <c r="R982" s="807">
        <f>+IFERROR(VLOOKUP(C982,'CA FE'!$A:$C,3,0),0)+G982</f>
        <v>0</v>
      </c>
    </row>
    <row r="983" spans="1:18" s="87" customFormat="1">
      <c r="A983" s="77" t="s">
        <v>286</v>
      </c>
      <c r="B983" s="77" t="s">
        <v>960</v>
      </c>
      <c r="C983" s="793">
        <v>4110141101</v>
      </c>
      <c r="D983" s="77" t="s">
        <v>311</v>
      </c>
      <c r="E983" s="794" t="s">
        <v>634</v>
      </c>
      <c r="F983" s="794" t="str">
        <f t="shared" si="66"/>
        <v>I</v>
      </c>
      <c r="G983" s="28">
        <f>+IF(F983="i",IFERROR(VLOOKUP(C983,'BG 12.2024'!$B:$E,3,FALSE),0),0)</f>
        <v>342051152</v>
      </c>
      <c r="H983" s="21">
        <f>+IF(F983="i",IFERROR(VLOOKUP(C983,'BG 12.2024'!$B:$E,4,FALSE),0),0)</f>
        <v>45501.53</v>
      </c>
      <c r="I983" s="616"/>
      <c r="J983" s="28">
        <f>IF(F983="I",IFERROR(VLOOKUP(C983,'BG 12.2023'!$B$6:$E$746,3,FALSE),0),0)</f>
        <v>106102436</v>
      </c>
      <c r="K983" s="28">
        <f>IF(F983="I",IFERROR(VLOOKUP(C983,'BG 12.2023'!$B$6:$E$746,4,FALSE),0),0)</f>
        <v>14483.02</v>
      </c>
      <c r="M983" s="15">
        <f>+VLOOKUP(C983,'BG 2023'!$B:$E,1,0)</f>
        <v>4110141101</v>
      </c>
      <c r="N983" s="806">
        <f>+VLOOKUP(C983,'BG 2023'!$B:$E,3,0)</f>
        <v>106102436</v>
      </c>
      <c r="O983" s="807">
        <f t="shared" si="68"/>
        <v>-235948716</v>
      </c>
      <c r="P983" s="807">
        <f>+VLOOKUP(C983,'BG 12.2024'!$B$471:$E$866,4,0)-H983</f>
        <v>0</v>
      </c>
      <c r="R983" s="807">
        <f>+IFERROR(VLOOKUP(C983,'CA FE'!$A:$C,3,0),0)+G983</f>
        <v>0</v>
      </c>
    </row>
    <row r="984" spans="1:18" s="87" customFormat="1">
      <c r="A984" s="77" t="s">
        <v>286</v>
      </c>
      <c r="B984" s="77" t="s">
        <v>960</v>
      </c>
      <c r="C984" s="793">
        <v>4110141102</v>
      </c>
      <c r="D984" s="77" t="s">
        <v>312</v>
      </c>
      <c r="E984" s="794" t="s">
        <v>640</v>
      </c>
      <c r="F984" s="794" t="str">
        <f t="shared" si="66"/>
        <v>I</v>
      </c>
      <c r="G984" s="28">
        <f>+IF(F984="i",IFERROR(VLOOKUP(C984,'BG 12.2024'!$B:$E,3,FALSE),0),0)</f>
        <v>39233830</v>
      </c>
      <c r="H984" s="21">
        <f>+IF(F984="i",IFERROR(VLOOKUP(C984,'BG 12.2024'!$B:$E,4,FALSE),0),0)</f>
        <v>5194.05</v>
      </c>
      <c r="I984" s="616"/>
      <c r="J984" s="28">
        <f>IF(F984="I",IFERROR(VLOOKUP(C984,'BG 12.2023'!$B$6:$E$746,3,FALSE),0),0)</f>
        <v>21949356</v>
      </c>
      <c r="K984" s="28">
        <f>IF(F984="I",IFERROR(VLOOKUP(C984,'BG 12.2023'!$B$6:$E$746,4,FALSE),0),0)</f>
        <v>3033.6600000000008</v>
      </c>
      <c r="M984" s="15">
        <f>+VLOOKUP(C984,'BG 2023'!$B:$E,1,0)</f>
        <v>4110141102</v>
      </c>
      <c r="N984" s="806">
        <f>+VLOOKUP(C984,'BG 2023'!$B:$E,3,0)</f>
        <v>21949356</v>
      </c>
      <c r="O984" s="807">
        <f t="shared" si="68"/>
        <v>-17284474</v>
      </c>
      <c r="P984" s="807">
        <f>+VLOOKUP(C984,'BG 12.2024'!$B$471:$E$866,4,0)-H984</f>
        <v>0</v>
      </c>
      <c r="R984" s="807">
        <f>+IFERROR(VLOOKUP(C984,'CA FE'!$A:$C,3,0),0)+G984</f>
        <v>0</v>
      </c>
    </row>
    <row r="985" spans="1:18" s="87" customFormat="1">
      <c r="A985" s="77" t="s">
        <v>286</v>
      </c>
      <c r="B985" s="77"/>
      <c r="C985" s="793">
        <v>4110141104</v>
      </c>
      <c r="D985" s="77" t="s">
        <v>961</v>
      </c>
      <c r="E985" s="794" t="s">
        <v>634</v>
      </c>
      <c r="F985" s="794" t="str">
        <f t="shared" si="66"/>
        <v>I</v>
      </c>
      <c r="G985" s="28">
        <f>+IF(F985="i",IFERROR(VLOOKUP(C985,'BG 12.2024'!$B:$E,3,FALSE),0),0)</f>
        <v>0</v>
      </c>
      <c r="H985" s="21">
        <f>+IF(F985="i",IFERROR(VLOOKUP(C985,'BG 12.2024'!$B:$E,4,FALSE),0),0)</f>
        <v>0</v>
      </c>
      <c r="I985" s="616"/>
      <c r="J985" s="28">
        <f>IF(F985="I",IFERROR(VLOOKUP(C985,'BG 12.2023'!$B$6:$E$746,3,FALSE),0),0)</f>
        <v>0</v>
      </c>
      <c r="K985" s="28">
        <f>IF(F985="I",IFERROR(VLOOKUP(C985,'BG 12.2023'!$B$6:$E$746,4,FALSE),0),0)</f>
        <v>0</v>
      </c>
      <c r="M985" s="15" t="e">
        <f>+VLOOKUP(C985,'BG 2023'!$B:$E,1,0)</f>
        <v>#N/A</v>
      </c>
      <c r="N985" s="806" t="e">
        <f>+VLOOKUP(C985,'BG 2023'!$B:$E,3,0)</f>
        <v>#N/A</v>
      </c>
      <c r="O985" s="807" t="e">
        <f t="shared" si="68"/>
        <v>#N/A</v>
      </c>
      <c r="P985" s="807"/>
      <c r="R985" s="807">
        <f>+IFERROR(VLOOKUP(C985,'CA FE'!$A:$C,3,0),0)+G985</f>
        <v>0</v>
      </c>
    </row>
    <row r="986" spans="1:18" s="87" customFormat="1">
      <c r="A986" s="77" t="s">
        <v>286</v>
      </c>
      <c r="B986" s="77" t="s">
        <v>960</v>
      </c>
      <c r="C986" s="793">
        <v>4110141105</v>
      </c>
      <c r="D986" s="77" t="s">
        <v>313</v>
      </c>
      <c r="E986" s="794" t="s">
        <v>634</v>
      </c>
      <c r="F986" s="794" t="str">
        <f t="shared" si="66"/>
        <v>I</v>
      </c>
      <c r="G986" s="28">
        <f>+IF(F986="i",IFERROR(VLOOKUP(C986,'BG 12.2024'!$B:$E,3,FALSE),0),0)</f>
        <v>0</v>
      </c>
      <c r="H986" s="21">
        <f>+IF(F986="i",IFERROR(VLOOKUP(C986,'BG 12.2024'!$B:$E,4,FALSE),0),0)</f>
        <v>0</v>
      </c>
      <c r="I986" s="616"/>
      <c r="J986" s="28">
        <f>IF(F986="I",IFERROR(VLOOKUP(C986,'BG 12.2023'!$B$6:$E$746,3,FALSE),0),0)</f>
        <v>4651064</v>
      </c>
      <c r="K986" s="28">
        <f>IF(F986="I",IFERROR(VLOOKUP(C986,'BG 12.2023'!$B$6:$E$746,4,FALSE),0),0)</f>
        <v>639.69000000000005</v>
      </c>
      <c r="M986" s="15">
        <f>+VLOOKUP(C986,'BG 2023'!$B:$E,1,0)</f>
        <v>4110141105</v>
      </c>
      <c r="N986" s="806">
        <f>+VLOOKUP(C986,'BG 2023'!$B:$E,3,0)</f>
        <v>4651064</v>
      </c>
      <c r="O986" s="807">
        <f t="shared" si="68"/>
        <v>4651064</v>
      </c>
      <c r="P986" s="807"/>
      <c r="R986" s="807">
        <f>+IFERROR(VLOOKUP(C986,'CA FE'!$A:$C,3,0),0)+G986</f>
        <v>0</v>
      </c>
    </row>
    <row r="987" spans="1:18" s="87" customFormat="1">
      <c r="A987" s="77" t="s">
        <v>286</v>
      </c>
      <c r="B987" s="77" t="s">
        <v>945</v>
      </c>
      <c r="C987" s="793">
        <v>4110141106</v>
      </c>
      <c r="D987" s="77" t="s">
        <v>314</v>
      </c>
      <c r="E987" s="794" t="s">
        <v>640</v>
      </c>
      <c r="F987" s="794" t="str">
        <f t="shared" ref="F987" si="72">+IF(LEN(C987)&gt;8,"I","NI")</f>
        <v>I</v>
      </c>
      <c r="G987" s="1097">
        <f>+IF(F987="i",IFERROR(VLOOKUP(C987,'BG 12.2024'!$B:$E,3,FALSE),0),0)</f>
        <v>7050454</v>
      </c>
      <c r="H987" s="21">
        <f>+IF(F987="i",IFERROR(VLOOKUP(C987,'BG 12.2024'!$B:$E,4,FALSE),0),0)</f>
        <v>968.06</v>
      </c>
      <c r="I987" s="616"/>
      <c r="J987" s="1256">
        <f>IF(F987="I",IFERROR(VLOOKUP(C987,'BG 12.2023'!$B$6:$E$746,3,FALSE),0),0)</f>
        <v>108770164</v>
      </c>
      <c r="K987" s="28">
        <f>IF(F987="I",IFERROR(VLOOKUP(C987,'BG 12.2023'!$B$6:$E$746,4,FALSE),0),0)</f>
        <v>15002.97</v>
      </c>
      <c r="M987" s="15">
        <f>+VLOOKUP(C987,'BG 2023'!$B:$E,1,0)</f>
        <v>4110141106</v>
      </c>
      <c r="N987" s="806">
        <f>+VLOOKUP(C987,'BG 2023'!$B:$E,3,0)</f>
        <v>108770164</v>
      </c>
      <c r="O987" s="807">
        <f t="shared" si="68"/>
        <v>101719710</v>
      </c>
      <c r="P987" s="807">
        <f>+VLOOKUP(C987,'BG 12.2024'!$B$471:$E$866,4,0)-H987</f>
        <v>0</v>
      </c>
      <c r="R987" s="807">
        <f>+IFERROR(VLOOKUP(C987,'CA FE'!$A:$C,3,0),0)+G987</f>
        <v>0</v>
      </c>
    </row>
    <row r="988" spans="1:18" s="87" customFormat="1">
      <c r="A988" s="77" t="s">
        <v>286</v>
      </c>
      <c r="B988" s="77"/>
      <c r="C988" s="793">
        <v>41101412</v>
      </c>
      <c r="D988" s="77" t="s">
        <v>315</v>
      </c>
      <c r="E988" s="794" t="s">
        <v>640</v>
      </c>
      <c r="F988" s="794" t="str">
        <f t="shared" si="66"/>
        <v>NI</v>
      </c>
      <c r="G988" s="28">
        <f>+IF(F988="i",IFERROR(VLOOKUP(C988,'BG 12.2024'!$B:$E,3,FALSE),0),0)</f>
        <v>0</v>
      </c>
      <c r="H988" s="21">
        <f>+IF(F988="i",IFERROR(VLOOKUP(C988,'BG 12.2024'!$B:$E,4,FALSE),0),0)</f>
        <v>0</v>
      </c>
      <c r="I988" s="616"/>
      <c r="J988" s="28">
        <f>IF(F988="I",IFERROR(VLOOKUP(C988,'BG 12.2023'!$B$6:$E$746,3,FALSE),0),0)</f>
        <v>0</v>
      </c>
      <c r="K988" s="28">
        <f>IF(F988="I",IFERROR(VLOOKUP(C988,'BG 12.2023'!$B$6:$E$746,4,FALSE),0),0)</f>
        <v>0</v>
      </c>
      <c r="M988" s="15">
        <f>+VLOOKUP(C988,'BG 2023'!$B:$E,1,0)</f>
        <v>41101412</v>
      </c>
      <c r="N988" s="806">
        <f>+VLOOKUP(C988,'BG 2023'!$B:$E,3,0)</f>
        <v>384454217</v>
      </c>
      <c r="O988" s="807">
        <f t="shared" si="68"/>
        <v>384454217</v>
      </c>
      <c r="P988" s="807"/>
      <c r="R988" s="807">
        <f>+IFERROR(VLOOKUP(C988,'CA FE'!$A:$C,3,0),0)+G988</f>
        <v>0</v>
      </c>
    </row>
    <row r="989" spans="1:18" s="87" customFormat="1">
      <c r="A989" s="77" t="s">
        <v>286</v>
      </c>
      <c r="B989" s="77" t="s">
        <v>960</v>
      </c>
      <c r="C989" s="793">
        <v>4110141201</v>
      </c>
      <c r="D989" s="77" t="s">
        <v>316</v>
      </c>
      <c r="E989" s="794" t="s">
        <v>640</v>
      </c>
      <c r="F989" s="794" t="str">
        <f t="shared" si="66"/>
        <v>I</v>
      </c>
      <c r="G989" s="28">
        <f>+IF(F989="i",IFERROR(VLOOKUP(C989,'BG 12.2024'!$B:$E,3,FALSE),0),0)</f>
        <v>907329397</v>
      </c>
      <c r="H989" s="21">
        <f>+IF(F989="i",IFERROR(VLOOKUP(C989,'BG 12.2024'!$B:$E,4,FALSE),0),0)</f>
        <v>120392.47</v>
      </c>
      <c r="I989" s="616"/>
      <c r="J989" s="28">
        <f>IF(F989="I",IFERROR(VLOOKUP(C989,'BG 12.2023'!$B$6:$E$746,3,FALSE),0),0)</f>
        <v>262368233</v>
      </c>
      <c r="K989" s="28">
        <f>IF(F989="I",IFERROR(VLOOKUP(C989,'BG 12.2023'!$B$6:$E$746,4,FALSE),0),0)</f>
        <v>35881.810000000005</v>
      </c>
      <c r="M989" s="15">
        <f>+VLOOKUP(C989,'BG 2023'!$B:$E,1,0)</f>
        <v>4110141201</v>
      </c>
      <c r="N989" s="806">
        <f>+VLOOKUP(C989,'BG 2023'!$B:$E,3,0)</f>
        <v>262368233</v>
      </c>
      <c r="O989" s="807">
        <f t="shared" si="68"/>
        <v>-644961164</v>
      </c>
      <c r="P989" s="807">
        <f>+VLOOKUP(C989,'BG 12.2024'!$B$471:$E$866,4,0)-H989</f>
        <v>0</v>
      </c>
      <c r="R989" s="807">
        <f>+IFERROR(VLOOKUP(C989,'CA FE'!$A:$C,3,0),0)+G989</f>
        <v>0</v>
      </c>
    </row>
    <row r="990" spans="1:18" s="87" customFormat="1">
      <c r="A990" s="77" t="s">
        <v>286</v>
      </c>
      <c r="B990" s="77" t="s">
        <v>960</v>
      </c>
      <c r="C990" s="793">
        <v>4110141202</v>
      </c>
      <c r="D990" s="77" t="s">
        <v>317</v>
      </c>
      <c r="E990" s="794" t="s">
        <v>640</v>
      </c>
      <c r="F990" s="794" t="str">
        <f t="shared" si="66"/>
        <v>I</v>
      </c>
      <c r="G990" s="28">
        <f>+IF(F990="i",IFERROR(VLOOKUP(C990,'BG 12.2024'!$B:$E,3,FALSE),0),0)</f>
        <v>376653131</v>
      </c>
      <c r="H990" s="21">
        <f>+IF(F990="i",IFERROR(VLOOKUP(C990,'BG 12.2024'!$B:$E,4,FALSE),0),0)</f>
        <v>49856.81</v>
      </c>
      <c r="I990" s="616"/>
      <c r="J990" s="28">
        <f>IF(F990="I",IFERROR(VLOOKUP(C990,'BG 12.2023'!$B$6:$E$746,3,FALSE),0),0)</f>
        <v>122085984</v>
      </c>
      <c r="K990" s="28">
        <f>IF(F990="I",IFERROR(VLOOKUP(C990,'BG 12.2023'!$B$6:$E$746,4,FALSE),0),0)</f>
        <v>16770.79</v>
      </c>
      <c r="M990" s="15">
        <f>+VLOOKUP(C990,'BG 2023'!$B:$E,1,0)</f>
        <v>4110141202</v>
      </c>
      <c r="N990" s="806">
        <f>+VLOOKUP(C990,'BG 2023'!$B:$E,3,0)</f>
        <v>122085984</v>
      </c>
      <c r="O990" s="807">
        <f t="shared" si="68"/>
        <v>-254567147</v>
      </c>
      <c r="P990" s="807">
        <f>+VLOOKUP(C990,'BG 12.2024'!$B$471:$E$866,4,0)-H990</f>
        <v>0</v>
      </c>
      <c r="R990" s="807">
        <f>+IFERROR(VLOOKUP(C990,'CA FE'!$A:$C,3,0),0)+G990</f>
        <v>0</v>
      </c>
    </row>
    <row r="991" spans="1:18" s="87" customFormat="1">
      <c r="A991" s="77" t="s">
        <v>286</v>
      </c>
      <c r="B991" s="77"/>
      <c r="C991" s="793">
        <v>4110142</v>
      </c>
      <c r="D991" s="77" t="s">
        <v>318</v>
      </c>
      <c r="E991" s="794" t="s">
        <v>634</v>
      </c>
      <c r="F991" s="794" t="str">
        <f t="shared" si="66"/>
        <v>NI</v>
      </c>
      <c r="G991" s="28">
        <f>+IF(F991="i",IFERROR(VLOOKUP(C991,'BG 12.2024'!$B:$E,3,FALSE),0),0)</f>
        <v>0</v>
      </c>
      <c r="H991" s="21">
        <f>+IF(F991="i",IFERROR(VLOOKUP(C991,'BG 12.2024'!$B:$E,4,FALSE),0),0)</f>
        <v>0</v>
      </c>
      <c r="I991" s="616"/>
      <c r="J991" s="28">
        <f>IF(F991="I",IFERROR(VLOOKUP(C991,'BG 12.2023'!$B$6:$E$746,3,FALSE),0),0)</f>
        <v>0</v>
      </c>
      <c r="K991" s="28">
        <f>IF(F991="I",IFERROR(VLOOKUP(C991,'BG 12.2023'!$B$6:$E$746,4,FALSE),0),0)</f>
        <v>0</v>
      </c>
      <c r="M991" s="15">
        <f>+VLOOKUP(C991,'BG 2023'!$B:$E,1,0)</f>
        <v>4110142</v>
      </c>
      <c r="N991" s="806">
        <f>+VLOOKUP(C991,'BG 2023'!$B:$E,3,0)</f>
        <v>26506259</v>
      </c>
      <c r="O991" s="807">
        <f t="shared" si="68"/>
        <v>26506259</v>
      </c>
      <c r="P991" s="807"/>
      <c r="R991" s="807">
        <f>+IFERROR(VLOOKUP(C991,'CA FE'!$A:$C,3,0),0)+G991</f>
        <v>0</v>
      </c>
    </row>
    <row r="992" spans="1:18" s="87" customFormat="1">
      <c r="A992" s="77" t="s">
        <v>286</v>
      </c>
      <c r="B992" s="77"/>
      <c r="C992" s="793">
        <v>41101421</v>
      </c>
      <c r="D992" s="77" t="s">
        <v>319</v>
      </c>
      <c r="E992" s="794" t="s">
        <v>634</v>
      </c>
      <c r="F992" s="794" t="str">
        <f t="shared" si="66"/>
        <v>NI</v>
      </c>
      <c r="G992" s="28">
        <f>+IF(F992="i",IFERROR(VLOOKUP(C992,'BG 12.2024'!$B:$E,3,FALSE),0),0)</f>
        <v>0</v>
      </c>
      <c r="H992" s="21">
        <f>+IF(F992="i",IFERROR(VLOOKUP(C992,'BG 12.2024'!$B:$E,4,FALSE),0),0)</f>
        <v>0</v>
      </c>
      <c r="I992" s="616"/>
      <c r="J992" s="28">
        <f>IF(F992="I",IFERROR(VLOOKUP(C992,'BG 12.2023'!$B$6:$E$746,3,FALSE),0),0)</f>
        <v>0</v>
      </c>
      <c r="K992" s="28">
        <f>IF(F992="I",IFERROR(VLOOKUP(C992,'BG 12.2023'!$B$6:$E$746,4,FALSE),0),0)</f>
        <v>0</v>
      </c>
      <c r="M992" s="15">
        <f>+VLOOKUP(C992,'BG 2023'!$B:$E,1,0)</f>
        <v>41101421</v>
      </c>
      <c r="N992" s="806">
        <f>+VLOOKUP(C992,'BG 2023'!$B:$E,3,0)</f>
        <v>26506259</v>
      </c>
      <c r="O992" s="807">
        <f t="shared" si="68"/>
        <v>26506259</v>
      </c>
      <c r="P992" s="807"/>
      <c r="R992" s="807">
        <f>+IFERROR(VLOOKUP(C992,'CA FE'!$A:$C,3,0),0)+G992</f>
        <v>0</v>
      </c>
    </row>
    <row r="993" spans="1:18" s="87" customFormat="1">
      <c r="A993" s="77" t="s">
        <v>286</v>
      </c>
      <c r="B993" s="77" t="s">
        <v>962</v>
      </c>
      <c r="C993" s="793">
        <v>4110142101</v>
      </c>
      <c r="D993" s="77" t="s">
        <v>320</v>
      </c>
      <c r="E993" s="794" t="s">
        <v>634</v>
      </c>
      <c r="F993" s="794" t="str">
        <f t="shared" si="66"/>
        <v>I</v>
      </c>
      <c r="G993" s="28">
        <f>+IF(F993="i",IFERROR(VLOOKUP(C993,'BG 12.2024'!$B:$E,3,FALSE),0),0)</f>
        <v>114528731</v>
      </c>
      <c r="H993" s="21">
        <f>+IF(F993="i",IFERROR(VLOOKUP(C993,'BG 12.2024'!$B:$E,4,FALSE),0),0)</f>
        <v>14938.04</v>
      </c>
      <c r="I993" s="616"/>
      <c r="J993" s="28">
        <f>IF(F993="I",IFERROR(VLOOKUP(C993,'BG 12.2023'!$B$6:$E$746,3,FALSE),0),0)</f>
        <v>20610610</v>
      </c>
      <c r="K993" s="28">
        <f>IF(F993="I",IFERROR(VLOOKUP(C993,'BG 12.2023'!$B$6:$E$746,4,FALSE),0),0)</f>
        <v>2830</v>
      </c>
      <c r="M993" s="15">
        <f>+VLOOKUP(C993,'BG 2023'!$B:$E,1,0)</f>
        <v>4110142101</v>
      </c>
      <c r="N993" s="806">
        <f>+VLOOKUP(C993,'BG 2023'!$B:$E,3,0)</f>
        <v>20610610</v>
      </c>
      <c r="O993" s="807">
        <f t="shared" si="68"/>
        <v>-93918121</v>
      </c>
      <c r="P993" s="807">
        <f>+VLOOKUP(C993,'BG 12.2024'!$B$471:$E$866,4,0)-H993</f>
        <v>0</v>
      </c>
      <c r="R993" s="807">
        <f>+IFERROR(VLOOKUP(C993,'CA FE'!$A:$C,3,0),0)+G993</f>
        <v>0</v>
      </c>
    </row>
    <row r="994" spans="1:18" s="87" customFormat="1">
      <c r="A994" s="77" t="s">
        <v>286</v>
      </c>
      <c r="B994" s="77" t="s">
        <v>962</v>
      </c>
      <c r="C994" s="793">
        <v>4110142102</v>
      </c>
      <c r="D994" s="77" t="s">
        <v>321</v>
      </c>
      <c r="E994" s="794" t="s">
        <v>634</v>
      </c>
      <c r="F994" s="794" t="str">
        <f t="shared" ref="F994" si="73">+IF(LEN(C994)&gt;8,"I","NI")</f>
        <v>I</v>
      </c>
      <c r="G994" s="28">
        <f>+IF(F994="i",IFERROR(VLOOKUP(C994,'BG 12.2024'!$B:$E,3,FALSE),0),0)</f>
        <v>5412216</v>
      </c>
      <c r="H994" s="21">
        <f>+IF(F994="i",IFERROR(VLOOKUP(C994,'BG 12.2024'!$B:$E,4,FALSE),0),0)</f>
        <v>723</v>
      </c>
      <c r="I994" s="616"/>
      <c r="J994" s="28">
        <f>IF(F994="I",IFERROR(VLOOKUP(C994,'BG 12.2023'!$B$6:$E$746,3,FALSE),0),0)</f>
        <v>5895649</v>
      </c>
      <c r="K994" s="28">
        <f>IF(F994="I",IFERROR(VLOOKUP(C994,'BG 12.2023'!$B$6:$E$746,4,FALSE),0),0)</f>
        <v>810</v>
      </c>
      <c r="M994" s="15">
        <f>+VLOOKUP(C994,'BG 2023'!$B:$E,1,0)</f>
        <v>4110142102</v>
      </c>
      <c r="N994" s="806">
        <f>+VLOOKUP(C994,'BG 2023'!$B:$E,3,0)</f>
        <v>5895649</v>
      </c>
      <c r="O994" s="807">
        <f t="shared" si="68"/>
        <v>483433</v>
      </c>
      <c r="P994" s="807">
        <f>+VLOOKUP(C994,'BG 12.2024'!$B$471:$E$866,4,0)-H994</f>
        <v>0</v>
      </c>
      <c r="R994" s="807">
        <f>+IFERROR(VLOOKUP(C994,'CA FE'!$A:$C,3,0),0)+G994</f>
        <v>0</v>
      </c>
    </row>
    <row r="995" spans="1:18" s="87" customFormat="1">
      <c r="A995" s="77" t="s">
        <v>286</v>
      </c>
      <c r="B995" s="77"/>
      <c r="C995" s="793">
        <v>412</v>
      </c>
      <c r="D995" s="77" t="s">
        <v>322</v>
      </c>
      <c r="E995" s="794" t="s">
        <v>634</v>
      </c>
      <c r="F995" s="794" t="str">
        <f t="shared" si="66"/>
        <v>NI</v>
      </c>
      <c r="G995" s="28">
        <f>+IF(F995="i",IFERROR(VLOOKUP(C995,'BG 12.2024'!$B:$E,3,FALSE),0),0)</f>
        <v>0</v>
      </c>
      <c r="H995" s="21">
        <f>+IF(F995="i",IFERROR(VLOOKUP(C995,'BG 12.2024'!$B:$E,4,FALSE),0),0)</f>
        <v>0</v>
      </c>
      <c r="I995" s="616"/>
      <c r="J995" s="28">
        <f>IF(F995="I",IFERROR(VLOOKUP(C995,'BG 12.2023'!$B$6:$E$746,3,FALSE),0),0)</f>
        <v>0</v>
      </c>
      <c r="K995" s="28">
        <f>IF(F995="I",IFERROR(VLOOKUP(C995,'BG 12.2023'!$B$6:$E$746,4,FALSE),0),0)</f>
        <v>0</v>
      </c>
      <c r="M995" s="15">
        <f>+VLOOKUP(C995,'BG 2023'!$B:$E,1,0)</f>
        <v>412</v>
      </c>
      <c r="N995" s="806">
        <f>+VLOOKUP(C995,'BG 2023'!$B:$E,3,0)</f>
        <v>11950350921</v>
      </c>
      <c r="O995" s="807">
        <f t="shared" si="68"/>
        <v>11950350921</v>
      </c>
      <c r="P995" s="807"/>
      <c r="R995" s="807">
        <f>+IFERROR(VLOOKUP(C995,'CA FE'!$A:$C,3,0),0)+G995</f>
        <v>0</v>
      </c>
    </row>
    <row r="996" spans="1:18" s="87" customFormat="1">
      <c r="A996" s="77" t="s">
        <v>286</v>
      </c>
      <c r="B996" s="77"/>
      <c r="C996" s="793">
        <v>41201</v>
      </c>
      <c r="D996" s="77" t="s">
        <v>322</v>
      </c>
      <c r="E996" s="794" t="s">
        <v>634</v>
      </c>
      <c r="F996" s="794" t="str">
        <f t="shared" si="66"/>
        <v>NI</v>
      </c>
      <c r="G996" s="28">
        <f>+IF(F996="i",IFERROR(VLOOKUP(C996,'BG 12.2024'!$B:$E,3,FALSE),0),0)</f>
        <v>0</v>
      </c>
      <c r="H996" s="21">
        <f>+IF(F996="i",IFERROR(VLOOKUP(C996,'BG 12.2024'!$B:$E,4,FALSE),0),0)</f>
        <v>0</v>
      </c>
      <c r="I996" s="616"/>
      <c r="J996" s="28">
        <f>IF(F996="I",IFERROR(VLOOKUP(C996,'BG 12.2023'!$B$6:$E$746,3,FALSE),0),0)</f>
        <v>0</v>
      </c>
      <c r="K996" s="28">
        <f>IF(F996="I",IFERROR(VLOOKUP(C996,'BG 12.2023'!$B$6:$E$746,4,FALSE),0),0)</f>
        <v>0</v>
      </c>
      <c r="M996" s="15">
        <f>+VLOOKUP(C996,'BG 2023'!$B:$E,1,0)</f>
        <v>41201</v>
      </c>
      <c r="N996" s="806">
        <f>+VLOOKUP(C996,'BG 2023'!$B:$E,3,0)</f>
        <v>11950350921</v>
      </c>
      <c r="O996" s="807">
        <f t="shared" si="68"/>
        <v>11950350921</v>
      </c>
      <c r="P996" s="807"/>
      <c r="R996" s="807">
        <f>+IFERROR(VLOOKUP(C996,'CA FE'!$A:$C,3,0),0)+G996</f>
        <v>0</v>
      </c>
    </row>
    <row r="997" spans="1:18" s="87" customFormat="1">
      <c r="A997" s="77" t="s">
        <v>286</v>
      </c>
      <c r="B997" s="77"/>
      <c r="C997" s="793">
        <v>412011</v>
      </c>
      <c r="D997" s="77" t="s">
        <v>322</v>
      </c>
      <c r="E997" s="794" t="s">
        <v>634</v>
      </c>
      <c r="F997" s="794" t="str">
        <f t="shared" si="66"/>
        <v>NI</v>
      </c>
      <c r="G997" s="28">
        <f>+IF(F997="i",IFERROR(VLOOKUP(C997,'BG 12.2024'!$B:$E,3,FALSE),0),0)</f>
        <v>0</v>
      </c>
      <c r="H997" s="21">
        <f>+IF(F997="i",IFERROR(VLOOKUP(C997,'BG 12.2024'!$B:$E,4,FALSE),0),0)</f>
        <v>0</v>
      </c>
      <c r="I997" s="616"/>
      <c r="J997" s="28">
        <f>IF(F997="I",IFERROR(VLOOKUP(C997,'BG 12.2023'!$B$6:$E$746,3,FALSE),0),0)</f>
        <v>0</v>
      </c>
      <c r="K997" s="28">
        <f>IF(F997="I",IFERROR(VLOOKUP(C997,'BG 12.2023'!$B$6:$E$746,4,FALSE),0),0)</f>
        <v>0</v>
      </c>
      <c r="M997" s="15">
        <f>+VLOOKUP(C997,'BG 2023'!$B:$E,1,0)</f>
        <v>412011</v>
      </c>
      <c r="N997" s="806">
        <f>+VLOOKUP(C997,'BG 2023'!$B:$E,3,0)</f>
        <v>11950350921</v>
      </c>
      <c r="O997" s="807">
        <f t="shared" si="68"/>
        <v>11950350921</v>
      </c>
      <c r="P997" s="807"/>
      <c r="R997" s="807">
        <f>+IFERROR(VLOOKUP(C997,'CA FE'!$A:$C,3,0),0)+G997</f>
        <v>0</v>
      </c>
    </row>
    <row r="998" spans="1:18" s="87" customFormat="1">
      <c r="A998" s="77" t="s">
        <v>286</v>
      </c>
      <c r="B998" s="77"/>
      <c r="C998" s="793">
        <v>4120111</v>
      </c>
      <c r="D998" s="77" t="s">
        <v>322</v>
      </c>
      <c r="E998" s="794" t="s">
        <v>634</v>
      </c>
      <c r="F998" s="794" t="str">
        <f t="shared" si="66"/>
        <v>NI</v>
      </c>
      <c r="G998" s="28">
        <f>+IF(F998="i",IFERROR(VLOOKUP(C998,'BG 12.2024'!$B:$E,3,FALSE),0),0)</f>
        <v>0</v>
      </c>
      <c r="H998" s="21">
        <f>+IF(F998="i",IFERROR(VLOOKUP(C998,'BG 12.2024'!$B:$E,4,FALSE),0),0)</f>
        <v>0</v>
      </c>
      <c r="I998" s="616"/>
      <c r="J998" s="28">
        <f>IF(F998="I",IFERROR(VLOOKUP(C998,'BG 12.2023'!$B$6:$E$746,3,FALSE),0),0)</f>
        <v>0</v>
      </c>
      <c r="K998" s="28">
        <f>IF(F998="I",IFERROR(VLOOKUP(C998,'BG 12.2023'!$B$6:$E$746,4,FALSE),0),0)</f>
        <v>0</v>
      </c>
      <c r="M998" s="15" t="e">
        <f>+VLOOKUP(C998,'BG 2023'!$B:$E,1,0)</f>
        <v>#N/A</v>
      </c>
      <c r="N998" s="806" t="e">
        <f>+VLOOKUP(C998,'BG 2023'!$B:$E,3,0)</f>
        <v>#N/A</v>
      </c>
      <c r="O998" s="807" t="e">
        <f t="shared" si="68"/>
        <v>#N/A</v>
      </c>
      <c r="P998" s="807"/>
      <c r="R998" s="807">
        <f>+IFERROR(VLOOKUP(C998,'CA FE'!$A:$C,3,0),0)+G998</f>
        <v>0</v>
      </c>
    </row>
    <row r="999" spans="1:18" s="87" customFormat="1">
      <c r="A999" s="77" t="s">
        <v>286</v>
      </c>
      <c r="B999" s="77"/>
      <c r="C999" s="793">
        <v>41201111</v>
      </c>
      <c r="D999" s="77" t="s">
        <v>963</v>
      </c>
      <c r="E999" s="794" t="s">
        <v>634</v>
      </c>
      <c r="F999" s="794" t="str">
        <f t="shared" si="66"/>
        <v>NI</v>
      </c>
      <c r="G999" s="28">
        <f>+IF(F999="i",IFERROR(VLOOKUP(C999,'BG 12.2024'!$B:$E,3,FALSE),0),0)</f>
        <v>0</v>
      </c>
      <c r="H999" s="21">
        <f>+IF(F999="i",IFERROR(VLOOKUP(C999,'BG 12.2024'!$B:$E,4,FALSE),0),0)</f>
        <v>0</v>
      </c>
      <c r="I999" s="616"/>
      <c r="J999" s="28">
        <f>IF(F999="I",IFERROR(VLOOKUP(C999,'BG 12.2023'!$B$6:$E$746,3,FALSE),0),0)</f>
        <v>0</v>
      </c>
      <c r="K999" s="28">
        <f>IF(F999="I",IFERROR(VLOOKUP(C999,'BG 12.2023'!$B$6:$E$746,4,FALSE),0),0)</f>
        <v>0</v>
      </c>
      <c r="M999" s="15" t="e">
        <f>+VLOOKUP(C999,'BG 2023'!$B:$E,1,0)</f>
        <v>#N/A</v>
      </c>
      <c r="N999" s="806" t="e">
        <f>+VLOOKUP(C999,'BG 2023'!$B:$E,3,0)</f>
        <v>#N/A</v>
      </c>
      <c r="O999" s="807" t="e">
        <f t="shared" si="68"/>
        <v>#N/A</v>
      </c>
      <c r="P999" s="807"/>
      <c r="R999" s="807">
        <f>+IFERROR(VLOOKUP(C999,'CA FE'!$A:$C,3,0),0)+G999</f>
        <v>0</v>
      </c>
    </row>
    <row r="1000" spans="1:18" s="87" customFormat="1">
      <c r="A1000" s="77" t="s">
        <v>286</v>
      </c>
      <c r="B1000" s="77"/>
      <c r="C1000" s="793">
        <v>4120111101</v>
      </c>
      <c r="D1000" s="77" t="s">
        <v>964</v>
      </c>
      <c r="E1000" s="794" t="s">
        <v>634</v>
      </c>
      <c r="F1000" s="794" t="str">
        <f t="shared" ref="F1000:F1064" si="74">+IF(LEN(C1000)&gt;8,"I","NI")</f>
        <v>I</v>
      </c>
      <c r="G1000" s="28">
        <f>+IF(F1000="i",IFERROR(VLOOKUP(C1000,'BG 12.2024'!$B:$E,3,FALSE),0),0)</f>
        <v>0</v>
      </c>
      <c r="H1000" s="21">
        <f>+IF(F1000="i",IFERROR(VLOOKUP(C1000,'BG 12.2024'!$B:$E,4,FALSE),0),0)</f>
        <v>0</v>
      </c>
      <c r="I1000" s="616"/>
      <c r="J1000" s="28">
        <f>IF(F1000="I",IFERROR(VLOOKUP(C1000,'BG 12.2023'!$B$6:$E$746,3,FALSE),0),0)</f>
        <v>0</v>
      </c>
      <c r="K1000" s="28">
        <f>IF(F1000="I",IFERROR(VLOOKUP(C1000,'BG 12.2023'!$B$6:$E$746,4,FALSE),0),0)</f>
        <v>0</v>
      </c>
      <c r="M1000" s="15" t="e">
        <f>+VLOOKUP(C1000,'BG 2023'!$B:$E,1,0)</f>
        <v>#N/A</v>
      </c>
      <c r="N1000" s="806" t="e">
        <f>+VLOOKUP(C1000,'BG 2023'!$B:$E,3,0)</f>
        <v>#N/A</v>
      </c>
      <c r="O1000" s="807" t="e">
        <f t="shared" si="68"/>
        <v>#N/A</v>
      </c>
      <c r="P1000" s="807"/>
      <c r="R1000" s="807">
        <f>+IFERROR(VLOOKUP(C1000,'CA FE'!$A:$C,3,0),0)+G1000</f>
        <v>0</v>
      </c>
    </row>
    <row r="1001" spans="1:18" s="87" customFormat="1">
      <c r="A1001" s="77" t="s">
        <v>286</v>
      </c>
      <c r="B1001" s="77"/>
      <c r="C1001" s="793">
        <v>4120111102</v>
      </c>
      <c r="D1001" s="77" t="s">
        <v>965</v>
      </c>
      <c r="E1001" s="794" t="s">
        <v>640</v>
      </c>
      <c r="F1001" s="794" t="str">
        <f t="shared" si="74"/>
        <v>I</v>
      </c>
      <c r="G1001" s="28">
        <f>+IF(F1001="i",IFERROR(VLOOKUP(C1001,'BG 12.2024'!$B:$E,3,FALSE),0),0)</f>
        <v>0</v>
      </c>
      <c r="H1001" s="21">
        <f>+IF(F1001="i",IFERROR(VLOOKUP(C1001,'BG 12.2024'!$B:$E,4,FALSE),0),0)</f>
        <v>0</v>
      </c>
      <c r="I1001" s="616"/>
      <c r="J1001" s="28">
        <f>IF(F1001="I",IFERROR(VLOOKUP(C1001,'BG 12.2023'!$B$6:$E$746,3,FALSE),0),0)</f>
        <v>0</v>
      </c>
      <c r="K1001" s="28">
        <f>IF(F1001="I",IFERROR(VLOOKUP(C1001,'BG 12.2023'!$B$6:$E$746,4,FALSE),0),0)</f>
        <v>0</v>
      </c>
      <c r="M1001" s="15" t="e">
        <f>+VLOOKUP(C1001,'BG 2023'!$B:$E,1,0)</f>
        <v>#N/A</v>
      </c>
      <c r="N1001" s="806" t="e">
        <f>+VLOOKUP(C1001,'BG 2023'!$B:$E,3,0)</f>
        <v>#N/A</v>
      </c>
      <c r="O1001" s="807" t="e">
        <f t="shared" si="68"/>
        <v>#N/A</v>
      </c>
      <c r="P1001" s="807"/>
      <c r="R1001" s="807">
        <f>+IFERROR(VLOOKUP(C1001,'CA FE'!$A:$C,3,0),0)+G1001</f>
        <v>0</v>
      </c>
    </row>
    <row r="1002" spans="1:18" s="87" customFormat="1">
      <c r="A1002" s="77" t="s">
        <v>286</v>
      </c>
      <c r="B1002" s="77"/>
      <c r="C1002" s="793">
        <v>4120112</v>
      </c>
      <c r="D1002" s="77" t="s">
        <v>323</v>
      </c>
      <c r="E1002" s="794" t="s">
        <v>634</v>
      </c>
      <c r="F1002" s="794" t="str">
        <f t="shared" si="74"/>
        <v>NI</v>
      </c>
      <c r="G1002" s="28">
        <f>+IF(F1002="i",IFERROR(VLOOKUP(C1002,'BG 12.2024'!$B:$E,3,FALSE),0),0)</f>
        <v>0</v>
      </c>
      <c r="H1002" s="21">
        <f>+IF(F1002="i",IFERROR(VLOOKUP(C1002,'BG 12.2024'!$B:$E,4,FALSE),0),0)</f>
        <v>0</v>
      </c>
      <c r="I1002" s="616"/>
      <c r="J1002" s="28">
        <f>IF(F1002="I",IFERROR(VLOOKUP(C1002,'BG 12.2023'!$B$6:$E$746,3,FALSE),0),0)</f>
        <v>0</v>
      </c>
      <c r="K1002" s="28">
        <f>IF(F1002="I",IFERROR(VLOOKUP(C1002,'BG 12.2023'!$B$6:$E$746,4,FALSE),0),0)</f>
        <v>0</v>
      </c>
      <c r="M1002" s="15">
        <f>+VLOOKUP(C1002,'BG 2023'!$B:$E,1,0)</f>
        <v>4120112</v>
      </c>
      <c r="N1002" s="806">
        <f>+VLOOKUP(C1002,'BG 2023'!$B:$E,3,0)</f>
        <v>220840074</v>
      </c>
      <c r="O1002" s="807">
        <f t="shared" si="68"/>
        <v>220840074</v>
      </c>
      <c r="P1002" s="807"/>
      <c r="R1002" s="807">
        <f>+IFERROR(VLOOKUP(C1002,'CA FE'!$A:$C,3,0),0)+G1002</f>
        <v>0</v>
      </c>
    </row>
    <row r="1003" spans="1:18" s="87" customFormat="1">
      <c r="A1003" s="77" t="s">
        <v>286</v>
      </c>
      <c r="B1003" s="77"/>
      <c r="C1003" s="793">
        <v>41201121</v>
      </c>
      <c r="D1003" s="77" t="s">
        <v>324</v>
      </c>
      <c r="E1003" s="794" t="s">
        <v>634</v>
      </c>
      <c r="F1003" s="794" t="str">
        <f t="shared" si="74"/>
        <v>NI</v>
      </c>
      <c r="G1003" s="28">
        <f>+IF(F1003="i",IFERROR(VLOOKUP(C1003,'BG 12.2024'!$B:$E,3,FALSE),0),0)</f>
        <v>0</v>
      </c>
      <c r="H1003" s="21">
        <f>+IF(F1003="i",IFERROR(VLOOKUP(C1003,'BG 12.2024'!$B:$E,4,FALSE),0),0)</f>
        <v>0</v>
      </c>
      <c r="I1003" s="616"/>
      <c r="J1003" s="28">
        <f>IF(F1003="I",IFERROR(VLOOKUP(C1003,'BG 12.2023'!$B$6:$E$746,3,FALSE),0),0)</f>
        <v>0</v>
      </c>
      <c r="K1003" s="28">
        <f>IF(F1003="I",IFERROR(VLOOKUP(C1003,'BG 12.2023'!$B$6:$E$746,4,FALSE),0),0)</f>
        <v>0</v>
      </c>
      <c r="M1003" s="15">
        <f>+VLOOKUP(C1003,'BG 2023'!$B:$E,1,0)</f>
        <v>41201121</v>
      </c>
      <c r="N1003" s="806">
        <f>+VLOOKUP(C1003,'BG 2023'!$B:$E,3,0)</f>
        <v>58898832</v>
      </c>
      <c r="O1003" s="807">
        <f t="shared" si="68"/>
        <v>58898832</v>
      </c>
      <c r="P1003" s="807"/>
      <c r="R1003" s="807">
        <f>+IFERROR(VLOOKUP(C1003,'CA FE'!$A:$C,3,0),0)+G1003</f>
        <v>0</v>
      </c>
    </row>
    <row r="1004" spans="1:18" s="87" customFormat="1">
      <c r="A1004" s="77" t="s">
        <v>286</v>
      </c>
      <c r="B1004" s="77" t="s">
        <v>966</v>
      </c>
      <c r="C1004" s="793">
        <v>4120112101</v>
      </c>
      <c r="D1004" s="77" t="s">
        <v>325</v>
      </c>
      <c r="E1004" s="794" t="s">
        <v>634</v>
      </c>
      <c r="F1004" s="794" t="str">
        <f t="shared" si="74"/>
        <v>I</v>
      </c>
      <c r="G1004" s="28">
        <f>+IF(F1004="i",IFERROR(VLOOKUP(C1004,'BG 12.2024'!$B:$E,3,FALSE),0),0)</f>
        <v>64318988</v>
      </c>
      <c r="H1004" s="21">
        <f>+IF(F1004="i",IFERROR(VLOOKUP(C1004,'BG 12.2024'!$B:$E,4,FALSE),0),0)</f>
        <v>8397.869999999999</v>
      </c>
      <c r="I1004" s="616"/>
      <c r="J1004" s="28">
        <f>IF(F1004="I",IFERROR(VLOOKUP(C1004,'BG 12.2023'!$B$6:$E$746,3,FALSE),0),0)</f>
        <v>10354017</v>
      </c>
      <c r="K1004" s="28">
        <f>IF(F1004="I",IFERROR(VLOOKUP(C1004,'BG 12.2023'!$B$6:$E$746,4,FALSE),0),0)</f>
        <v>1417.47</v>
      </c>
      <c r="M1004" s="15">
        <f>+VLOOKUP(C1004,'BG 2023'!$B:$E,1,0)</f>
        <v>4120112101</v>
      </c>
      <c r="N1004" s="806">
        <f>+VLOOKUP(C1004,'BG 2023'!$B:$E,3,0)</f>
        <v>10354017</v>
      </c>
      <c r="O1004" s="807">
        <f t="shared" si="68"/>
        <v>-53964971</v>
      </c>
      <c r="P1004" s="807">
        <f>+VLOOKUP(C1004,'BG 12.2024'!$B$471:$E$866,4,0)-H1004</f>
        <v>0</v>
      </c>
      <c r="R1004" s="807">
        <f>+IFERROR(VLOOKUP(C1004,'CA FE'!$A:$C,3,0),0)+G1004</f>
        <v>0</v>
      </c>
    </row>
    <row r="1005" spans="1:18" s="87" customFormat="1">
      <c r="A1005" s="77" t="s">
        <v>286</v>
      </c>
      <c r="B1005" s="77" t="s">
        <v>966</v>
      </c>
      <c r="C1005" s="793">
        <v>4120112102</v>
      </c>
      <c r="D1005" s="77" t="s">
        <v>326</v>
      </c>
      <c r="E1005" s="794" t="s">
        <v>634</v>
      </c>
      <c r="F1005" s="794" t="str">
        <f t="shared" si="74"/>
        <v>I</v>
      </c>
      <c r="G1005" s="28">
        <f>+IF(F1005="i",IFERROR(VLOOKUP(C1005,'BG 12.2024'!$B:$E,3,FALSE),0),0)</f>
        <v>5523664</v>
      </c>
      <c r="H1005" s="21">
        <f>+IF(F1005="i",IFERROR(VLOOKUP(C1005,'BG 12.2024'!$B:$E,4,FALSE),0),0)</f>
        <v>732.04000000000008</v>
      </c>
      <c r="I1005" s="616"/>
      <c r="J1005" s="28">
        <f>IF(F1005="I",IFERROR(VLOOKUP(C1005,'BG 12.2023'!$B$6:$E$746,3,FALSE),0),0)</f>
        <v>4753088</v>
      </c>
      <c r="K1005" s="28">
        <f>IF(F1005="I",IFERROR(VLOOKUP(C1005,'BG 12.2023'!$B$6:$E$746,4,FALSE),0),0)</f>
        <v>650.76</v>
      </c>
      <c r="M1005" s="15">
        <f>+VLOOKUP(C1005,'BG 2023'!$B:$E,1,0)</f>
        <v>4120112102</v>
      </c>
      <c r="N1005" s="806">
        <f>+VLOOKUP(C1005,'BG 2023'!$B:$E,3,0)</f>
        <v>4753088</v>
      </c>
      <c r="O1005" s="807">
        <f t="shared" si="68"/>
        <v>-770576</v>
      </c>
      <c r="P1005" s="807">
        <f>+VLOOKUP(C1005,'BG 12.2024'!$B$471:$E$866,4,0)-H1005</f>
        <v>0</v>
      </c>
      <c r="R1005" s="807">
        <f>+IFERROR(VLOOKUP(C1005,'CA FE'!$A:$C,3,0),0)+G1005</f>
        <v>0</v>
      </c>
    </row>
    <row r="1006" spans="1:18" s="87" customFormat="1">
      <c r="A1006" s="77" t="s">
        <v>286</v>
      </c>
      <c r="B1006" s="77"/>
      <c r="C1006" s="793">
        <v>4120112103</v>
      </c>
      <c r="D1006" s="77" t="s">
        <v>967</v>
      </c>
      <c r="E1006" s="794" t="s">
        <v>634</v>
      </c>
      <c r="F1006" s="794" t="str">
        <f t="shared" si="74"/>
        <v>I</v>
      </c>
      <c r="G1006" s="28">
        <f>+IF(F1006="i",IFERROR(VLOOKUP(C1006,'BG 12.2024'!$B:$E,3,FALSE),0),0)</f>
        <v>0</v>
      </c>
      <c r="H1006" s="21">
        <f>+IF(F1006="i",IFERROR(VLOOKUP(C1006,'BG 12.2024'!$B:$E,4,FALSE),0),0)</f>
        <v>0</v>
      </c>
      <c r="I1006" s="616"/>
      <c r="J1006" s="28">
        <f>IF(F1006="I",IFERROR(VLOOKUP(C1006,'BG 12.2023'!$B$6:$E$746,3,FALSE),0),0)</f>
        <v>0</v>
      </c>
      <c r="K1006" s="28">
        <f>IF(F1006="I",IFERROR(VLOOKUP(C1006,'BG 12.2023'!$B$6:$E$746,4,FALSE),0),0)</f>
        <v>0</v>
      </c>
      <c r="M1006" s="15" t="e">
        <f>+VLOOKUP(C1006,'BG 2023'!$B:$E,1,0)</f>
        <v>#N/A</v>
      </c>
      <c r="N1006" s="806" t="e">
        <f>+VLOOKUP(C1006,'BG 2023'!$B:$E,3,0)</f>
        <v>#N/A</v>
      </c>
      <c r="O1006" s="807" t="e">
        <f t="shared" si="68"/>
        <v>#N/A</v>
      </c>
      <c r="P1006" s="807"/>
      <c r="R1006" s="807">
        <f>+IFERROR(VLOOKUP(C1006,'CA FE'!$A:$C,3,0),0)+G1006</f>
        <v>0</v>
      </c>
    </row>
    <row r="1007" spans="1:18" s="87" customFormat="1">
      <c r="A1007" s="77" t="s">
        <v>286</v>
      </c>
      <c r="B1007" s="77" t="s">
        <v>945</v>
      </c>
      <c r="C1007" s="793">
        <v>4120112104</v>
      </c>
      <c r="D1007" s="77" t="s">
        <v>327</v>
      </c>
      <c r="E1007" s="794" t="s">
        <v>634</v>
      </c>
      <c r="F1007" s="794" t="str">
        <f t="shared" si="74"/>
        <v>I</v>
      </c>
      <c r="G1007" s="1097">
        <f>+IF(F1007="i",IFERROR(VLOOKUP(C1007,'BG 12.2024'!$B:$E,3,FALSE),0),0)</f>
        <v>126762105</v>
      </c>
      <c r="H1007" s="21">
        <f>+IF(F1007="i",IFERROR(VLOOKUP(C1007,'BG 12.2024'!$B:$E,4,FALSE),0),0)</f>
        <v>16507.04</v>
      </c>
      <c r="I1007" s="616"/>
      <c r="J1007" s="1256">
        <f>IF(F1007="I",IFERROR(VLOOKUP(C1007,'BG 12.2023'!$B$6:$E$746,3,FALSE),0),0)</f>
        <v>25140659</v>
      </c>
      <c r="K1007" s="28">
        <f>IF(F1007="I",IFERROR(VLOOKUP(C1007,'BG 12.2023'!$B$6:$E$746,4,FALSE),0),0)</f>
        <v>3452.8600000000006</v>
      </c>
      <c r="M1007" s="15">
        <f>+VLOOKUP(C1007,'BG 2023'!$B:$E,1,0)</f>
        <v>4120112104</v>
      </c>
      <c r="N1007" s="806">
        <f>+VLOOKUP(C1007,'BG 2023'!$B:$E,3,0)</f>
        <v>25140659</v>
      </c>
      <c r="O1007" s="807">
        <f t="shared" si="68"/>
        <v>-101621446</v>
      </c>
      <c r="P1007" s="807">
        <f>+VLOOKUP(C1007,'BG 12.2024'!$B$471:$E$866,4,0)-H1007</f>
        <v>0</v>
      </c>
      <c r="R1007" s="807">
        <f>+IFERROR(VLOOKUP(C1007,'CA FE'!$A:$C,3,0),0)+G1007</f>
        <v>0</v>
      </c>
    </row>
    <row r="1008" spans="1:18" s="87" customFormat="1">
      <c r="A1008" s="77" t="s">
        <v>286</v>
      </c>
      <c r="B1008" s="77"/>
      <c r="C1008" s="793">
        <v>4120112105</v>
      </c>
      <c r="D1008" s="77" t="s">
        <v>968</v>
      </c>
      <c r="E1008" s="794" t="s">
        <v>634</v>
      </c>
      <c r="F1008" s="794" t="str">
        <f t="shared" si="74"/>
        <v>I</v>
      </c>
      <c r="G1008" s="28">
        <f>+IF(F1008="i",IFERROR(VLOOKUP(C1008,'BG 12.2024'!$B:$E,3,FALSE),0),0)</f>
        <v>0</v>
      </c>
      <c r="H1008" s="21">
        <f>+IF(F1008="i",IFERROR(VLOOKUP(C1008,'BG 12.2024'!$B:$E,4,FALSE),0),0)</f>
        <v>0</v>
      </c>
      <c r="I1008" s="616"/>
      <c r="J1008" s="28">
        <f>IF(F1008="I",IFERROR(VLOOKUP(C1008,'BG 12.2023'!$B$6:$E$746,3,FALSE),0),0)</f>
        <v>0</v>
      </c>
      <c r="K1008" s="28">
        <f>IF(F1008="I",IFERROR(VLOOKUP(C1008,'BG 12.2023'!$B$6:$E$746,4,FALSE),0),0)</f>
        <v>0</v>
      </c>
      <c r="M1008" s="15" t="e">
        <f>+VLOOKUP(C1008,'BG 2023'!$B:$E,1,0)</f>
        <v>#N/A</v>
      </c>
      <c r="N1008" s="806" t="e">
        <f>+VLOOKUP(C1008,'BG 2023'!$B:$E,3,0)</f>
        <v>#N/A</v>
      </c>
      <c r="O1008" s="807" t="e">
        <f t="shared" si="68"/>
        <v>#N/A</v>
      </c>
      <c r="P1008" s="807"/>
      <c r="R1008" s="807">
        <f>+IFERROR(VLOOKUP(C1008,'CA FE'!$A:$C,3,0),0)+G1008</f>
        <v>0</v>
      </c>
    </row>
    <row r="1009" spans="1:19" s="87" customFormat="1">
      <c r="A1009" s="77" t="s">
        <v>286</v>
      </c>
      <c r="B1009" s="77"/>
      <c r="C1009" s="793">
        <v>4120112106</v>
      </c>
      <c r="D1009" s="77" t="s">
        <v>969</v>
      </c>
      <c r="E1009" s="794" t="s">
        <v>634</v>
      </c>
      <c r="F1009" s="794" t="str">
        <f t="shared" si="74"/>
        <v>I</v>
      </c>
      <c r="G1009" s="28">
        <f>+IF(F1009="i",IFERROR(VLOOKUP(C1009,'BG 12.2024'!$B:$E,3,FALSE),0),0)</f>
        <v>0</v>
      </c>
      <c r="H1009" s="21">
        <f>+IF(F1009="i",IFERROR(VLOOKUP(C1009,'BG 12.2024'!$B:$E,4,FALSE),0),0)</f>
        <v>0</v>
      </c>
      <c r="I1009" s="616"/>
      <c r="J1009" s="28">
        <f>IF(F1009="I",IFERROR(VLOOKUP(C1009,'BG 12.2023'!$B$6:$E$746,3,FALSE),0),0)</f>
        <v>0</v>
      </c>
      <c r="K1009" s="28">
        <f>IF(F1009="I",IFERROR(VLOOKUP(C1009,'BG 12.2023'!$B$6:$E$746,4,FALSE),0),0)</f>
        <v>0</v>
      </c>
      <c r="M1009" s="15" t="e">
        <f>+VLOOKUP(C1009,'BG 2023'!$B:$E,1,0)</f>
        <v>#N/A</v>
      </c>
      <c r="N1009" s="806" t="e">
        <f>+VLOOKUP(C1009,'BG 2023'!$B:$E,3,0)</f>
        <v>#N/A</v>
      </c>
      <c r="O1009" s="807" t="e">
        <f t="shared" si="68"/>
        <v>#N/A</v>
      </c>
      <c r="P1009" s="807"/>
      <c r="R1009" s="807">
        <f>+IFERROR(VLOOKUP(C1009,'CA FE'!$A:$C,3,0),0)+G1009</f>
        <v>0</v>
      </c>
    </row>
    <row r="1010" spans="1:19" s="87" customFormat="1">
      <c r="A1010" s="77" t="s">
        <v>286</v>
      </c>
      <c r="B1010" s="77" t="s">
        <v>945</v>
      </c>
      <c r="C1010" s="793">
        <v>4120112107</v>
      </c>
      <c r="D1010" s="77" t="s">
        <v>328</v>
      </c>
      <c r="E1010" s="794" t="s">
        <v>634</v>
      </c>
      <c r="F1010" s="794" t="str">
        <f t="shared" ref="F1010" si="75">+IF(LEN(C1010)&gt;8,"I","NI")</f>
        <v>I</v>
      </c>
      <c r="G1010" s="1097">
        <f>+IF(F1010="i",IFERROR(VLOOKUP(C1010,'BG 12.2024'!$B:$E,3,FALSE),0),0)</f>
        <v>20992641</v>
      </c>
      <c r="H1010" s="21">
        <f>+IF(F1010="i",IFERROR(VLOOKUP(C1010,'BG 12.2024'!$B:$E,4,FALSE),0),0)</f>
        <v>2770.7</v>
      </c>
      <c r="I1010" s="616"/>
      <c r="J1010" s="1256">
        <f>IF(F1010="I",IFERROR(VLOOKUP(C1010,'BG 12.2023'!$B$6:$E$746,3,FALSE),0),0)</f>
        <v>18651068</v>
      </c>
      <c r="K1010" s="28">
        <f>IF(F1010="I",IFERROR(VLOOKUP(C1010,'BG 12.2023'!$B$6:$E$746,4,FALSE),0),0)</f>
        <v>2541.92</v>
      </c>
      <c r="M1010" s="15">
        <f>+VLOOKUP(C1010,'BG 2023'!$B:$E,1,0)</f>
        <v>4120112107</v>
      </c>
      <c r="N1010" s="806">
        <f>+VLOOKUP(C1010,'BG 2023'!$B:$E,3,0)</f>
        <v>18651068</v>
      </c>
      <c r="O1010" s="807">
        <f t="shared" ref="O1010:O1073" si="76">+N1010-G1010</f>
        <v>-2341573</v>
      </c>
      <c r="P1010" s="807">
        <f>+VLOOKUP(C1010,'BG 12.2024'!$B$471:$E$866,4,0)-H1010</f>
        <v>0</v>
      </c>
      <c r="R1010" s="807">
        <f>+IFERROR(VLOOKUP(C1010,'CA FE'!$A:$C,3,0),0)+G1010</f>
        <v>0</v>
      </c>
    </row>
    <row r="1011" spans="1:19" s="87" customFormat="1">
      <c r="A1011" s="77" t="s">
        <v>286</v>
      </c>
      <c r="B1011" s="77"/>
      <c r="C1011" s="793">
        <v>41201122</v>
      </c>
      <c r="D1011" s="77" t="s">
        <v>329</v>
      </c>
      <c r="E1011" s="794" t="s">
        <v>640</v>
      </c>
      <c r="F1011" s="794" t="str">
        <f t="shared" si="74"/>
        <v>NI</v>
      </c>
      <c r="G1011" s="28">
        <f>+IF(F1011="i",IFERROR(VLOOKUP(C1011,'BG 12.2024'!$B:$E,3,FALSE),0),0)</f>
        <v>0</v>
      </c>
      <c r="H1011" s="21">
        <f>+IF(F1011="i",IFERROR(VLOOKUP(C1011,'BG 12.2024'!$B:$E,4,FALSE),0),0)</f>
        <v>0</v>
      </c>
      <c r="I1011" s="616"/>
      <c r="J1011" s="28">
        <f>IF(F1011="I",IFERROR(VLOOKUP(C1011,'BG 12.2023'!$B$6:$E$746,3,FALSE),0),0)</f>
        <v>0</v>
      </c>
      <c r="K1011" s="28">
        <f>IF(F1011="I",IFERROR(VLOOKUP(C1011,'BG 12.2023'!$B$6:$E$746,4,FALSE),0),0)</f>
        <v>0</v>
      </c>
      <c r="M1011" s="15">
        <f>+VLOOKUP(C1011,'BG 2023'!$B:$E,1,0)</f>
        <v>41201122</v>
      </c>
      <c r="N1011" s="806">
        <f>+VLOOKUP(C1011,'BG 2023'!$B:$E,3,0)</f>
        <v>161941242</v>
      </c>
      <c r="O1011" s="807">
        <f t="shared" si="76"/>
        <v>161941242</v>
      </c>
      <c r="P1011" s="807"/>
      <c r="R1011" s="807">
        <f>+IFERROR(VLOOKUP(C1011,'CA FE'!$A:$C,3,0),0)+G1011</f>
        <v>0</v>
      </c>
    </row>
    <row r="1012" spans="1:19" s="87" customFormat="1">
      <c r="A1012" s="77" t="s">
        <v>286</v>
      </c>
      <c r="B1012" s="77" t="s">
        <v>966</v>
      </c>
      <c r="C1012" s="793">
        <v>4120112201</v>
      </c>
      <c r="D1012" s="77" t="s">
        <v>325</v>
      </c>
      <c r="E1012" s="794" t="s">
        <v>640</v>
      </c>
      <c r="F1012" s="794" t="str">
        <f t="shared" si="74"/>
        <v>I</v>
      </c>
      <c r="G1012" s="28">
        <f>+IF(F1012="i",IFERROR(VLOOKUP(C1012,'BG 12.2024'!$B:$E,3,FALSE),0),0)</f>
        <v>224159102</v>
      </c>
      <c r="H1012" s="21">
        <f>+IF(F1012="i",IFERROR(VLOOKUP(C1012,'BG 12.2024'!$B:$E,4,FALSE),0),0)</f>
        <v>29277.08</v>
      </c>
      <c r="I1012" s="616"/>
      <c r="J1012" s="28">
        <f>IF(F1012="I",IFERROR(VLOOKUP(C1012,'BG 12.2023'!$B$6:$E$746,3,FALSE),0),0)</f>
        <v>132311839</v>
      </c>
      <c r="K1012" s="28">
        <f>IF(F1012="I",IFERROR(VLOOKUP(C1012,'BG 12.2023'!$B$6:$E$746,4,FALSE),0),0)</f>
        <v>18150.350000000002</v>
      </c>
      <c r="M1012" s="15">
        <f>+VLOOKUP(C1012,'BG 2023'!$B:$E,1,0)</f>
        <v>4120112201</v>
      </c>
      <c r="N1012" s="806">
        <f>+VLOOKUP(C1012,'BG 2023'!$B:$E,3,0)</f>
        <v>132311839</v>
      </c>
      <c r="O1012" s="807">
        <f t="shared" si="76"/>
        <v>-91847263</v>
      </c>
      <c r="P1012" s="807">
        <f>+VLOOKUP(C1012,'BG 12.2024'!$B$471:$E$866,4,0)-H1012</f>
        <v>0</v>
      </c>
      <c r="R1012" s="807">
        <f>+IFERROR(VLOOKUP(C1012,'CA FE'!$A:$C,3,0),0)+G1012</f>
        <v>0</v>
      </c>
    </row>
    <row r="1013" spans="1:19" s="87" customFormat="1">
      <c r="A1013" s="77" t="s">
        <v>286</v>
      </c>
      <c r="B1013" s="77" t="s">
        <v>966</v>
      </c>
      <c r="C1013" s="793">
        <v>4120112202</v>
      </c>
      <c r="D1013" s="77" t="s">
        <v>326</v>
      </c>
      <c r="E1013" s="794" t="s">
        <v>640</v>
      </c>
      <c r="F1013" s="794" t="str">
        <f t="shared" si="74"/>
        <v>I</v>
      </c>
      <c r="G1013" s="28">
        <f>+IF(F1013="i",IFERROR(VLOOKUP(C1013,'BG 12.2024'!$B:$E,3,FALSE),0),0)</f>
        <v>62673360</v>
      </c>
      <c r="H1013" s="21">
        <f>+IF(F1013="i",IFERROR(VLOOKUP(C1013,'BG 12.2024'!$B:$E,4,FALSE),0),0)</f>
        <v>8172.48</v>
      </c>
      <c r="I1013" s="616"/>
      <c r="J1013" s="28">
        <f>IF(F1013="I",IFERROR(VLOOKUP(C1013,'BG 12.2023'!$B$6:$E$746,3,FALSE),0),0)</f>
        <v>26867171</v>
      </c>
      <c r="K1013" s="28">
        <f>IF(F1013="I",IFERROR(VLOOKUP(C1013,'BG 12.2023'!$B$6:$E$746,4,FALSE),0),0)</f>
        <v>3691.31</v>
      </c>
      <c r="M1013" s="15">
        <f>+VLOOKUP(C1013,'BG 2023'!$B:$E,1,0)</f>
        <v>4120112202</v>
      </c>
      <c r="N1013" s="806">
        <f>+VLOOKUP(C1013,'BG 2023'!$B:$E,3,0)</f>
        <v>26867171</v>
      </c>
      <c r="O1013" s="807">
        <f t="shared" si="76"/>
        <v>-35806189</v>
      </c>
      <c r="P1013" s="807">
        <f>+VLOOKUP(C1013,'BG 12.2024'!$B$471:$E$866,4,0)-H1013</f>
        <v>0</v>
      </c>
      <c r="R1013" s="807">
        <f>+IFERROR(VLOOKUP(C1013,'CA FE'!$A:$C,3,0),0)+G1013</f>
        <v>0</v>
      </c>
    </row>
    <row r="1014" spans="1:19" s="87" customFormat="1">
      <c r="A1014" s="77" t="s">
        <v>286</v>
      </c>
      <c r="B1014" s="77"/>
      <c r="C1014" s="793">
        <v>4120112203</v>
      </c>
      <c r="D1014" s="77" t="s">
        <v>967</v>
      </c>
      <c r="E1014" s="794" t="s">
        <v>640</v>
      </c>
      <c r="F1014" s="794" t="str">
        <f t="shared" si="74"/>
        <v>I</v>
      </c>
      <c r="G1014" s="28">
        <f>+IF(F1014="i",IFERROR(VLOOKUP(C1014,'BG 12.2024'!$B:$E,3,FALSE),0),0)</f>
        <v>0</v>
      </c>
      <c r="H1014" s="21">
        <f>+IF(F1014="i",IFERROR(VLOOKUP(C1014,'BG 12.2024'!$B:$E,4,FALSE),0),0)</f>
        <v>0</v>
      </c>
      <c r="I1014" s="616"/>
      <c r="J1014" s="28">
        <f>IF(F1014="I",IFERROR(VLOOKUP(C1014,'BG 12.2023'!$B$6:$E$746,3,FALSE),0),0)</f>
        <v>0</v>
      </c>
      <c r="K1014" s="28">
        <f>IF(F1014="I",IFERROR(VLOOKUP(C1014,'BG 12.2023'!$B$6:$E$746,4,FALSE),0),0)</f>
        <v>0</v>
      </c>
      <c r="M1014" s="15" t="e">
        <f>+VLOOKUP(C1014,'BG 2023'!$B:$E,1,0)</f>
        <v>#N/A</v>
      </c>
      <c r="N1014" s="806" t="e">
        <f>+VLOOKUP(C1014,'BG 2023'!$B:$E,3,0)</f>
        <v>#N/A</v>
      </c>
      <c r="O1014" s="807" t="e">
        <f t="shared" si="76"/>
        <v>#N/A</v>
      </c>
      <c r="P1014" s="807"/>
      <c r="R1014" s="807">
        <f>+IFERROR(VLOOKUP(C1014,'CA FE'!$A:$C,3,0),0)+G1014</f>
        <v>0</v>
      </c>
    </row>
    <row r="1015" spans="1:19" s="87" customFormat="1">
      <c r="A1015" s="77" t="s">
        <v>286</v>
      </c>
      <c r="B1015" s="77" t="s">
        <v>945</v>
      </c>
      <c r="C1015" s="793">
        <v>4120112204</v>
      </c>
      <c r="D1015" s="77" t="s">
        <v>327</v>
      </c>
      <c r="E1015" s="794" t="s">
        <v>640</v>
      </c>
      <c r="F1015" s="794" t="str">
        <f t="shared" si="74"/>
        <v>I</v>
      </c>
      <c r="G1015" s="1097">
        <f>+IF(F1015="i",IFERROR(VLOOKUP(C1015,'BG 12.2024'!$B:$E,3,FALSE),0),0)</f>
        <v>649505</v>
      </c>
      <c r="H1015" s="21">
        <f>+IF(F1015="i",IFERROR(VLOOKUP(C1015,'BG 12.2024'!$B:$E,4,FALSE),0),0)</f>
        <v>88.759999999999991</v>
      </c>
      <c r="I1015" s="616"/>
      <c r="J1015" s="1256">
        <f>IF(F1015="I",IFERROR(VLOOKUP(C1015,'BG 12.2023'!$B$6:$E$746,3,FALSE),0),0)</f>
        <v>2762232</v>
      </c>
      <c r="K1015" s="28">
        <f>IF(F1015="I",IFERROR(VLOOKUP(C1015,'BG 12.2023'!$B$6:$E$746,4,FALSE),0),0)</f>
        <v>379.33</v>
      </c>
      <c r="M1015" s="15">
        <f>+VLOOKUP(C1015,'BG 2023'!$B:$E,1,0)</f>
        <v>4120112204</v>
      </c>
      <c r="N1015" s="806">
        <f>+VLOOKUP(C1015,'BG 2023'!$B:$E,3,0)</f>
        <v>2762232</v>
      </c>
      <c r="O1015" s="807">
        <f t="shared" si="76"/>
        <v>2112727</v>
      </c>
      <c r="P1015" s="807">
        <f>+VLOOKUP(C1015,'BG 12.2024'!$B$471:$E$866,4,0)-H1015</f>
        <v>0</v>
      </c>
      <c r="R1015" s="807">
        <f>+IFERROR(VLOOKUP(C1015,'CA FE'!$A:$C,3,0),0)+G1015</f>
        <v>0</v>
      </c>
    </row>
    <row r="1016" spans="1:19" s="87" customFormat="1">
      <c r="A1016" s="77" t="s">
        <v>286</v>
      </c>
      <c r="B1016" s="77"/>
      <c r="C1016" s="793">
        <v>4120112205</v>
      </c>
      <c r="D1016" s="77" t="s">
        <v>968</v>
      </c>
      <c r="E1016" s="794" t="s">
        <v>640</v>
      </c>
      <c r="F1016" s="794" t="str">
        <f t="shared" si="74"/>
        <v>I</v>
      </c>
      <c r="G1016" s="28">
        <f>+IF(F1016="i",IFERROR(VLOOKUP(C1016,'BG 12.2024'!$B:$E,3,FALSE),0),0)</f>
        <v>0</v>
      </c>
      <c r="H1016" s="21">
        <f>+IF(F1016="i",IFERROR(VLOOKUP(C1016,'BG 12.2024'!$B:$E,4,FALSE),0),0)</f>
        <v>0</v>
      </c>
      <c r="I1016" s="616"/>
      <c r="J1016" s="28">
        <f>IF(F1016="I",IFERROR(VLOOKUP(C1016,'BG 12.2023'!$B$6:$E$746,3,FALSE),0),0)</f>
        <v>0</v>
      </c>
      <c r="K1016" s="28">
        <f>IF(F1016="I",IFERROR(VLOOKUP(C1016,'BG 12.2023'!$B$6:$E$746,4,FALSE),0),0)</f>
        <v>0</v>
      </c>
      <c r="M1016" s="15" t="e">
        <f>+VLOOKUP(C1016,'BG 2023'!$B:$E,1,0)</f>
        <v>#N/A</v>
      </c>
      <c r="N1016" s="806" t="e">
        <f>+VLOOKUP(C1016,'BG 2023'!$B:$E,3,0)</f>
        <v>#N/A</v>
      </c>
      <c r="O1016" s="807" t="e">
        <f t="shared" si="76"/>
        <v>#N/A</v>
      </c>
      <c r="P1016" s="807"/>
      <c r="R1016" s="807">
        <f>+IFERROR(VLOOKUP(C1016,'CA FE'!$A:$C,3,0),0)+G1016</f>
        <v>0</v>
      </c>
    </row>
    <row r="1017" spans="1:19" s="87" customFormat="1">
      <c r="A1017" s="77" t="s">
        <v>286</v>
      </c>
      <c r="B1017" s="77" t="s">
        <v>945</v>
      </c>
      <c r="C1017" s="793">
        <v>4120112206</v>
      </c>
      <c r="D1017" s="77" t="s">
        <v>969</v>
      </c>
      <c r="E1017" s="794" t="s">
        <v>640</v>
      </c>
      <c r="F1017" s="794" t="str">
        <f t="shared" si="74"/>
        <v>I</v>
      </c>
      <c r="G1017" s="1097">
        <f>+IF(F1017="i",IFERROR(VLOOKUP(C1017,'BG 12.2024'!$B:$E,3,FALSE),0),0)</f>
        <v>0</v>
      </c>
      <c r="H1017" s="21">
        <f>+IF(F1017="i",IFERROR(VLOOKUP(C1017,'BG 12.2024'!$B:$E,4,FALSE),0),0)</f>
        <v>0</v>
      </c>
      <c r="I1017" s="616"/>
      <c r="J1017" s="28">
        <f>IF(F1017="I",IFERROR(VLOOKUP(C1017,'BG 12.2023'!$B$6:$E$746,3,FALSE),0),0)</f>
        <v>0</v>
      </c>
      <c r="K1017" s="28">
        <f>IF(F1017="I",IFERROR(VLOOKUP(C1017,'BG 12.2023'!$B$6:$E$746,4,FALSE),0),0)</f>
        <v>0</v>
      </c>
      <c r="M1017" s="15" t="e">
        <f>+VLOOKUP(C1017,'BG 2023'!$B:$E,1,0)</f>
        <v>#N/A</v>
      </c>
      <c r="N1017" s="806" t="e">
        <f>+VLOOKUP(C1017,'BG 2023'!$B:$E,3,0)</f>
        <v>#N/A</v>
      </c>
      <c r="O1017" s="807" t="e">
        <f t="shared" si="76"/>
        <v>#N/A</v>
      </c>
      <c r="P1017" s="807"/>
      <c r="R1017" s="807">
        <f>+IFERROR(VLOOKUP(C1017,'CA FE'!$A:$C,3,0),0)+G1017</f>
        <v>0</v>
      </c>
    </row>
    <row r="1018" spans="1:19" s="87" customFormat="1">
      <c r="A1018" s="77" t="s">
        <v>286</v>
      </c>
      <c r="B1018" s="77"/>
      <c r="C1018" s="793">
        <v>41201113</v>
      </c>
      <c r="D1018" s="77" t="s">
        <v>970</v>
      </c>
      <c r="E1018" s="794" t="s">
        <v>634</v>
      </c>
      <c r="F1018" s="794" t="str">
        <f t="shared" si="74"/>
        <v>NI</v>
      </c>
      <c r="G1018" s="28">
        <f>+IF(F1018="i",IFERROR(VLOOKUP(C1018,'BG 12.2024'!$B:$E,3,FALSE),0),0)</f>
        <v>0</v>
      </c>
      <c r="H1018" s="21">
        <f>+IF(F1018="i",IFERROR(VLOOKUP(C1018,'BG 12.2024'!$B:$E,4,FALSE),0),0)</f>
        <v>0</v>
      </c>
      <c r="I1018" s="616"/>
      <c r="J1018" s="28">
        <f>IF(F1018="I",IFERROR(VLOOKUP(C1018,'BG 12.2023'!$B$6:$E$746,3,FALSE),0),0)</f>
        <v>0</v>
      </c>
      <c r="K1018" s="28">
        <f>IF(F1018="I",IFERROR(VLOOKUP(C1018,'BG 12.2023'!$B$6:$E$746,4,FALSE),0),0)</f>
        <v>0</v>
      </c>
      <c r="M1018" s="15" t="e">
        <f>+VLOOKUP(C1018,'BG 2023'!$B:$E,1,0)</f>
        <v>#N/A</v>
      </c>
      <c r="N1018" s="806" t="e">
        <f>+VLOOKUP(C1018,'BG 2023'!$B:$E,3,0)</f>
        <v>#N/A</v>
      </c>
      <c r="O1018" s="807" t="e">
        <f t="shared" si="76"/>
        <v>#N/A</v>
      </c>
      <c r="P1018" s="807"/>
      <c r="R1018" s="807">
        <f>+IFERROR(VLOOKUP(C1018,'CA FE'!$A:$C,3,0),0)+G1018</f>
        <v>0</v>
      </c>
    </row>
    <row r="1019" spans="1:19" s="87" customFormat="1">
      <c r="A1019" s="77" t="s">
        <v>286</v>
      </c>
      <c r="B1019" s="77"/>
      <c r="C1019" s="793">
        <v>4120111301</v>
      </c>
      <c r="D1019" s="77" t="s">
        <v>971</v>
      </c>
      <c r="E1019" s="794" t="s">
        <v>634</v>
      </c>
      <c r="F1019" s="794" t="str">
        <f t="shared" si="74"/>
        <v>I</v>
      </c>
      <c r="G1019" s="28">
        <f>+IF(F1019="i",IFERROR(VLOOKUP(C1019,'BG 12.2024'!$B:$E,3,FALSE),0),0)</f>
        <v>0</v>
      </c>
      <c r="H1019" s="21">
        <f>+IF(F1019="i",IFERROR(VLOOKUP(C1019,'BG 12.2024'!$B:$E,4,FALSE),0),0)</f>
        <v>0</v>
      </c>
      <c r="I1019" s="616"/>
      <c r="J1019" s="28">
        <f>IF(F1019="I",IFERROR(VLOOKUP(C1019,'BG 12.2023'!$B$6:$E$746,3,FALSE),0),0)</f>
        <v>0</v>
      </c>
      <c r="K1019" s="28">
        <f>IF(F1019="I",IFERROR(VLOOKUP(C1019,'BG 12.2023'!$B$6:$E$746,4,FALSE),0),0)</f>
        <v>0</v>
      </c>
      <c r="M1019" s="15" t="e">
        <f>+VLOOKUP(C1019,'BG 2023'!$B:$E,1,0)</f>
        <v>#N/A</v>
      </c>
      <c r="N1019" s="806" t="e">
        <f>+VLOOKUP(C1019,'BG 2023'!$B:$E,3,0)</f>
        <v>#N/A</v>
      </c>
      <c r="O1019" s="807" t="e">
        <f t="shared" si="76"/>
        <v>#N/A</v>
      </c>
      <c r="P1019" s="807"/>
      <c r="R1019" s="807">
        <f>+IFERROR(VLOOKUP(C1019,'CA FE'!$A:$C,3,0),0)+G1019</f>
        <v>0</v>
      </c>
    </row>
    <row r="1020" spans="1:19" s="87" customFormat="1">
      <c r="A1020" s="77" t="s">
        <v>286</v>
      </c>
      <c r="B1020" s="77"/>
      <c r="C1020" s="793">
        <v>4120111302</v>
      </c>
      <c r="D1020" s="77" t="s">
        <v>972</v>
      </c>
      <c r="E1020" s="794" t="s">
        <v>640</v>
      </c>
      <c r="F1020" s="794" t="str">
        <f t="shared" si="74"/>
        <v>I</v>
      </c>
      <c r="G1020" s="28">
        <f>+IF(F1020="i",IFERROR(VLOOKUP(C1020,'BG 12.2024'!$B:$E,3,FALSE),0),0)</f>
        <v>0</v>
      </c>
      <c r="H1020" s="21">
        <f>+IF(F1020="i",IFERROR(VLOOKUP(C1020,'BG 12.2024'!$B:$E,4,FALSE),0),0)</f>
        <v>0</v>
      </c>
      <c r="I1020" s="616"/>
      <c r="J1020" s="28">
        <f>IF(F1020="I",IFERROR(VLOOKUP(C1020,'BG 12.2023'!$B$6:$E$746,3,FALSE),0),0)</f>
        <v>0</v>
      </c>
      <c r="K1020" s="28">
        <f>IF(F1020="I",IFERROR(VLOOKUP(C1020,'BG 12.2023'!$B$6:$E$746,4,FALSE),0),0)</f>
        <v>0</v>
      </c>
      <c r="M1020" s="15" t="e">
        <f>+VLOOKUP(C1020,'BG 2023'!$B:$E,1,0)</f>
        <v>#N/A</v>
      </c>
      <c r="N1020" s="806" t="e">
        <f>+VLOOKUP(C1020,'BG 2023'!$B:$E,3,0)</f>
        <v>#N/A</v>
      </c>
      <c r="O1020" s="807" t="e">
        <f t="shared" si="76"/>
        <v>#N/A</v>
      </c>
      <c r="P1020" s="807"/>
      <c r="R1020" s="807">
        <f>+IFERROR(VLOOKUP(C1020,'CA FE'!$A:$C,3,0),0)+G1020</f>
        <v>0</v>
      </c>
    </row>
    <row r="1021" spans="1:19" s="87" customFormat="1">
      <c r="A1021" s="77" t="s">
        <v>286</v>
      </c>
      <c r="B1021" s="77"/>
      <c r="C1021" s="793">
        <v>4120113</v>
      </c>
      <c r="D1021" s="77" t="s">
        <v>330</v>
      </c>
      <c r="E1021" s="794" t="s">
        <v>640</v>
      </c>
      <c r="F1021" s="794" t="str">
        <f t="shared" si="74"/>
        <v>NI</v>
      </c>
      <c r="G1021" s="28">
        <f>+IF(F1021="i",IFERROR(VLOOKUP(C1021,'BG 12.2024'!$B:$E,3,FALSE),0),0)</f>
        <v>0</v>
      </c>
      <c r="H1021" s="21">
        <f>+IF(F1021="i",IFERROR(VLOOKUP(C1021,'BG 12.2024'!$B:$E,4,FALSE),0),0)</f>
        <v>0</v>
      </c>
      <c r="I1021" s="616"/>
      <c r="J1021" s="28">
        <f>IF(F1021="I",IFERROR(VLOOKUP(C1021,'BG 12.2023'!$B$6:$E$746,3,FALSE),0),0)</f>
        <v>0</v>
      </c>
      <c r="K1021" s="28">
        <f>IF(F1021="I",IFERROR(VLOOKUP(C1021,'BG 12.2023'!$B$6:$E$746,4,FALSE),0),0)</f>
        <v>0</v>
      </c>
      <c r="M1021" s="15">
        <f>+VLOOKUP(C1021,'BG 2023'!$B:$E,1,0)</f>
        <v>4120113</v>
      </c>
      <c r="N1021" s="806">
        <f>+VLOOKUP(C1021,'BG 2023'!$B:$E,3,0)</f>
        <v>11729510847</v>
      </c>
      <c r="O1021" s="807">
        <f t="shared" si="76"/>
        <v>11729510847</v>
      </c>
      <c r="P1021" s="807"/>
      <c r="R1021" s="807">
        <f>+IFERROR(VLOOKUP(C1021,'CA FE'!$A:$C,3,0),0)+G1021</f>
        <v>0</v>
      </c>
    </row>
    <row r="1022" spans="1:19" s="87" customFormat="1">
      <c r="A1022" s="77" t="s">
        <v>286</v>
      </c>
      <c r="B1022" s="77"/>
      <c r="C1022" s="793">
        <v>41201131</v>
      </c>
      <c r="D1022" s="77" t="s">
        <v>973</v>
      </c>
      <c r="E1022" s="794" t="s">
        <v>640</v>
      </c>
      <c r="F1022" s="794" t="str">
        <f t="shared" si="74"/>
        <v>NI</v>
      </c>
      <c r="G1022" s="28">
        <f>+IF(F1022="i",IFERROR(VLOOKUP(C1022,'BG 12.2024'!$B:$E,3,FALSE),0),0)</f>
        <v>0</v>
      </c>
      <c r="H1022" s="21">
        <f>+IF(F1022="i",IFERROR(VLOOKUP(C1022,'BG 12.2024'!$B:$E,4,FALSE),0),0)</f>
        <v>0</v>
      </c>
      <c r="I1022" s="616"/>
      <c r="J1022" s="28">
        <f>IF(F1022="I",IFERROR(VLOOKUP(C1022,'BG 12.2023'!$B$6:$E$746,3,FALSE),0),0)</f>
        <v>0</v>
      </c>
      <c r="K1022" s="28">
        <f>IF(F1022="I",IFERROR(VLOOKUP(C1022,'BG 12.2023'!$B$6:$E$746,4,FALSE),0),0)</f>
        <v>0</v>
      </c>
      <c r="M1022" s="15">
        <f>+VLOOKUP(C1022,'BG 2023'!$B:$E,1,0)</f>
        <v>41201131</v>
      </c>
      <c r="N1022" s="806">
        <f>+VLOOKUP(C1022,'BG 2023'!$B:$E,3,0)</f>
        <v>11729510847</v>
      </c>
      <c r="O1022" s="807">
        <f t="shared" si="76"/>
        <v>11729510847</v>
      </c>
      <c r="P1022" s="807"/>
      <c r="R1022" s="807">
        <f>+IFERROR(VLOOKUP(C1022,'CA FE'!$A:$C,3,0),0)+G1022</f>
        <v>0</v>
      </c>
    </row>
    <row r="1023" spans="1:19" s="87" customFormat="1">
      <c r="A1023" s="77" t="s">
        <v>286</v>
      </c>
      <c r="B1023" s="77" t="s">
        <v>974</v>
      </c>
      <c r="C1023" s="793">
        <v>4120113101</v>
      </c>
      <c r="D1023" s="77" t="s">
        <v>975</v>
      </c>
      <c r="E1023" s="794" t="s">
        <v>640</v>
      </c>
      <c r="F1023" s="794" t="str">
        <f t="shared" si="74"/>
        <v>I</v>
      </c>
      <c r="G1023" s="28">
        <f>+IF(F1023="i",IFERROR(VLOOKUP(C1023,'BG 12.2024'!$B:$E,3,FALSE),0),0)</f>
        <v>1485314532</v>
      </c>
      <c r="H1023" s="21">
        <f>+IF(F1023="i",IFERROR(VLOOKUP(C1023,'BG 12.2024'!$B:$E,4,FALSE),0),0)</f>
        <v>193060.44999999998</v>
      </c>
      <c r="I1023" s="616"/>
      <c r="J1023" s="28">
        <f>IF(F1023="I",IFERROR(VLOOKUP(C1023,'BG 12.2023'!$B$6:$E$746,3,FALSE),0),0)</f>
        <v>1148101449</v>
      </c>
      <c r="K1023" s="28">
        <f>IF(F1023="I",IFERROR(VLOOKUP(C1023,'BG 12.2023'!$B$6:$E$746,4,FALSE),0),0)</f>
        <v>156682.97000000003</v>
      </c>
      <c r="M1023" s="15">
        <f>+VLOOKUP(C1023,'BG 2023'!$B:$E,1,0)</f>
        <v>4120113101</v>
      </c>
      <c r="N1023" s="806">
        <f>+VLOOKUP(C1023,'BG 2023'!$B:$E,3,0)</f>
        <v>1148101449</v>
      </c>
      <c r="O1023" s="807">
        <f t="shared" si="76"/>
        <v>-337213083</v>
      </c>
      <c r="P1023" s="807">
        <f>+VLOOKUP(C1023,'BG 12.2024'!$B$471:$E$866,4,0)-H1023</f>
        <v>0</v>
      </c>
      <c r="R1023" s="807">
        <f>+IFERROR(VLOOKUP(C1023,'CA FE'!$A:$C,3,0),0)+G1023</f>
        <v>0</v>
      </c>
      <c r="S1023" s="87" t="s">
        <v>976</v>
      </c>
    </row>
    <row r="1024" spans="1:19" s="87" customFormat="1">
      <c r="A1024" s="77" t="s">
        <v>286</v>
      </c>
      <c r="B1024" s="77" t="s">
        <v>945</v>
      </c>
      <c r="C1024" s="793">
        <v>4120113103</v>
      </c>
      <c r="D1024" s="77" t="s">
        <v>36</v>
      </c>
      <c r="E1024" s="794" t="s">
        <v>634</v>
      </c>
      <c r="F1024" s="794" t="str">
        <f t="shared" si="74"/>
        <v>I</v>
      </c>
      <c r="G1024" s="1097">
        <f>+IF(F1024="i",IFERROR(VLOOKUP(C1024,'BG 12.2024'!$B:$E,3,FALSE),0),0)</f>
        <v>8526429227</v>
      </c>
      <c r="H1024" s="21">
        <f>+IF(F1024="i",IFERROR(VLOOKUP(C1024,'BG 12.2024'!$B:$E,4,FALSE),0),0)</f>
        <v>1132669.56</v>
      </c>
      <c r="I1024" s="616"/>
      <c r="J1024" s="1256">
        <f>IF(F1024="I",IFERROR(VLOOKUP(C1024,'BG 12.2023'!$B$6:$E$746,3,FALSE),0),0)</f>
        <v>6840214415</v>
      </c>
      <c r="K1024" s="28">
        <f>IF(F1024="I",IFERROR(VLOOKUP(C1024,'BG 12.2023'!$B$6:$E$746,4,FALSE),0),0)</f>
        <v>940741.91999999993</v>
      </c>
      <c r="M1024" s="15">
        <f>+VLOOKUP(C1024,'BG 2023'!$B:$E,1,0)</f>
        <v>4120113103</v>
      </c>
      <c r="N1024" s="806">
        <f>+VLOOKUP(C1024,'BG 2023'!$B:$E,3,0)</f>
        <v>6840214415</v>
      </c>
      <c r="O1024" s="807">
        <f t="shared" si="76"/>
        <v>-1686214812</v>
      </c>
      <c r="P1024" s="807">
        <f>+VLOOKUP(C1024,'BG 12.2024'!$B$471:$E$866,4,0)-H1024</f>
        <v>0</v>
      </c>
      <c r="R1024" s="807">
        <f>+IFERROR(VLOOKUP(C1024,'CA FE'!$A:$C,3,0),0)+G1024</f>
        <v>0</v>
      </c>
    </row>
    <row r="1025" spans="1:18" s="87" customFormat="1">
      <c r="A1025" s="77" t="s">
        <v>286</v>
      </c>
      <c r="B1025" s="77" t="s">
        <v>945</v>
      </c>
      <c r="C1025" s="793">
        <v>4120113104</v>
      </c>
      <c r="D1025" s="77" t="s">
        <v>37</v>
      </c>
      <c r="E1025" s="794" t="s">
        <v>640</v>
      </c>
      <c r="F1025" s="794" t="str">
        <f t="shared" si="74"/>
        <v>I</v>
      </c>
      <c r="G1025" s="1097">
        <f>+IF(F1025="i",IFERROR(VLOOKUP(C1025,'BG 12.2024'!$B:$E,3,FALSE),0),0)</f>
        <v>4588785989</v>
      </c>
      <c r="H1025" s="21">
        <f>+IF(F1025="i",IFERROR(VLOOKUP(C1025,'BG 12.2024'!$B:$E,4,FALSE),0),0)</f>
        <v>609325.89</v>
      </c>
      <c r="I1025" s="616"/>
      <c r="J1025" s="1256">
        <f>IF(F1025="I",IFERROR(VLOOKUP(C1025,'BG 12.2023'!$B$6:$E$746,3,FALSE),0),0)</f>
        <v>2377873594</v>
      </c>
      <c r="K1025" s="28">
        <f>IF(F1025="I",IFERROR(VLOOKUP(C1025,'BG 12.2023'!$B$6:$E$746,4,FALSE),0),0)</f>
        <v>325616.19500000001</v>
      </c>
      <c r="M1025" s="15">
        <f>+VLOOKUP(C1025,'BG 2023'!$B:$E,1,0)</f>
        <v>4120113104</v>
      </c>
      <c r="N1025" s="806">
        <f>+VLOOKUP(C1025,'BG 2023'!$B:$E,3,0)</f>
        <v>2377873594</v>
      </c>
      <c r="O1025" s="807">
        <f t="shared" si="76"/>
        <v>-2210912395</v>
      </c>
      <c r="P1025" s="807">
        <f>+VLOOKUP(C1025,'BG 12.2024'!$B$471:$E$866,4,0)-H1025</f>
        <v>0</v>
      </c>
      <c r="R1025" s="807">
        <f>+IFERROR(VLOOKUP(C1025,'CA FE'!$A:$C,3,0),0)+G1025</f>
        <v>0</v>
      </c>
    </row>
    <row r="1026" spans="1:18" s="87" customFormat="1">
      <c r="A1026" s="77" t="s">
        <v>286</v>
      </c>
      <c r="B1026" s="77" t="s">
        <v>945</v>
      </c>
      <c r="C1026" s="793">
        <v>4120113105</v>
      </c>
      <c r="D1026" s="77" t="s">
        <v>38</v>
      </c>
      <c r="E1026" s="794" t="s">
        <v>634</v>
      </c>
      <c r="F1026" s="794" t="str">
        <f t="shared" si="74"/>
        <v>I</v>
      </c>
      <c r="G1026" s="1097">
        <f>+IF(F1026="i",IFERROR(VLOOKUP(C1026,'BG 12.2024'!$B:$E,3,FALSE),0),0)</f>
        <v>3863694699</v>
      </c>
      <c r="H1026" s="21">
        <f>+IF(F1026="i",IFERROR(VLOOKUP(C1026,'BG 12.2024'!$B:$E,4,FALSE),0),0)</f>
        <v>501266.03</v>
      </c>
      <c r="I1026" s="616"/>
      <c r="J1026" s="1256">
        <f>IF(F1026="I",IFERROR(VLOOKUP(C1026,'BG 12.2023'!$B$6:$E$746,3,FALSE),0),0)</f>
        <v>1286987332</v>
      </c>
      <c r="K1026" s="28">
        <f>IF(F1026="I",IFERROR(VLOOKUP(C1026,'BG 12.2023'!$B$6:$E$746,4,FALSE),0),0)</f>
        <v>176695.14</v>
      </c>
      <c r="M1026" s="15">
        <f>+VLOOKUP(C1026,'BG 2023'!$B:$E,1,0)</f>
        <v>4120113105</v>
      </c>
      <c r="N1026" s="806">
        <f>+VLOOKUP(C1026,'BG 2023'!$B:$E,3,0)</f>
        <v>1286987332</v>
      </c>
      <c r="O1026" s="807">
        <f t="shared" si="76"/>
        <v>-2576707367</v>
      </c>
      <c r="P1026" s="807">
        <f>+VLOOKUP(C1026,'BG 12.2024'!$B$471:$E$866,4,0)-H1026</f>
        <v>0</v>
      </c>
      <c r="R1026" s="807">
        <f>+IFERROR(VLOOKUP(C1026,'CA FE'!$A:$C,3,0),0)+G1026</f>
        <v>0</v>
      </c>
    </row>
    <row r="1027" spans="1:18" s="87" customFormat="1">
      <c r="A1027" s="77" t="s">
        <v>286</v>
      </c>
      <c r="B1027" s="77" t="s">
        <v>945</v>
      </c>
      <c r="C1027" s="793">
        <v>4120113106</v>
      </c>
      <c r="D1027" s="77" t="s">
        <v>39</v>
      </c>
      <c r="E1027" s="794" t="s">
        <v>640</v>
      </c>
      <c r="F1027" s="794" t="str">
        <f t="shared" si="74"/>
        <v>I</v>
      </c>
      <c r="G1027" s="1097">
        <f>+IF(F1027="i",IFERROR(VLOOKUP(C1027,'BG 12.2024'!$B:$E,3,FALSE),0),0)</f>
        <v>1773726789</v>
      </c>
      <c r="H1027" s="21">
        <f>+IF(F1027="i",IFERROR(VLOOKUP(C1027,'BG 12.2024'!$B:$E,4,FALSE),0),0)</f>
        <v>228164.59</v>
      </c>
      <c r="I1027" s="616"/>
      <c r="J1027" s="1256">
        <f>IF(F1027="I",IFERROR(VLOOKUP(C1027,'BG 12.2023'!$B$6:$E$746,3,FALSE),0),0)</f>
        <v>76334057</v>
      </c>
      <c r="K1027" s="28">
        <f>IF(F1027="I",IFERROR(VLOOKUP(C1027,'BG 12.2023'!$B$6:$E$746,4,FALSE),0),0)</f>
        <v>10382.584999999999</v>
      </c>
      <c r="M1027" s="15">
        <f>+VLOOKUP(C1027,'BG 2023'!$B:$E,1,0)</f>
        <v>4120113106</v>
      </c>
      <c r="N1027" s="806">
        <f>+VLOOKUP(C1027,'BG 2023'!$B:$E,3,0)</f>
        <v>76334057</v>
      </c>
      <c r="O1027" s="807">
        <f t="shared" si="76"/>
        <v>-1697392732</v>
      </c>
      <c r="P1027" s="807">
        <f>+VLOOKUP(C1027,'BG 12.2024'!$B$471:$E$866,4,0)-H1027</f>
        <v>0</v>
      </c>
      <c r="R1027" s="807">
        <f>+IFERROR(VLOOKUP(C1027,'CA FE'!$A:$C,3,0),0)+G1027</f>
        <v>0</v>
      </c>
    </row>
    <row r="1028" spans="1:18" s="87" customFormat="1">
      <c r="A1028" s="77" t="s">
        <v>286</v>
      </c>
      <c r="B1028" s="77"/>
      <c r="C1028" s="793">
        <v>413</v>
      </c>
      <c r="D1028" s="77" t="s">
        <v>332</v>
      </c>
      <c r="E1028" s="794" t="s">
        <v>634</v>
      </c>
      <c r="F1028" s="794" t="str">
        <f t="shared" si="74"/>
        <v>NI</v>
      </c>
      <c r="G1028" s="28">
        <f>+IF(F1028="i",IFERROR(VLOOKUP(C1028,'BG 12.2024'!$B:$E,3,FALSE),0),0)</f>
        <v>0</v>
      </c>
      <c r="H1028" s="21">
        <f>+IF(F1028="i",IFERROR(VLOOKUP(C1028,'BG 12.2024'!$B:$E,4,FALSE),0),0)</f>
        <v>0</v>
      </c>
      <c r="I1028" s="616"/>
      <c r="J1028" s="28">
        <f>IF(F1028="I",IFERROR(VLOOKUP(C1028,'BG 12.2023'!$B$6:$E$746,3,FALSE),0),0)</f>
        <v>0</v>
      </c>
      <c r="K1028" s="28">
        <f>IF(F1028="I",IFERROR(VLOOKUP(C1028,'BG 12.2023'!$B$6:$E$746,4,FALSE),0),0)</f>
        <v>0</v>
      </c>
      <c r="M1028" s="15">
        <f>+VLOOKUP(C1028,'BG 2023'!$B:$E,1,0)</f>
        <v>413</v>
      </c>
      <c r="N1028" s="806">
        <f>+VLOOKUP(C1028,'BG 2023'!$B:$E,3,0)</f>
        <v>4130002218</v>
      </c>
      <c r="O1028" s="807">
        <f t="shared" si="76"/>
        <v>4130002218</v>
      </c>
      <c r="P1028" s="807"/>
      <c r="R1028" s="807">
        <f>+IFERROR(VLOOKUP(C1028,'CA FE'!$A:$C,3,0),0)+G1028</f>
        <v>0</v>
      </c>
    </row>
    <row r="1029" spans="1:18" s="87" customFormat="1">
      <c r="A1029" s="77" t="s">
        <v>286</v>
      </c>
      <c r="B1029" s="77"/>
      <c r="C1029" s="793">
        <v>41301</v>
      </c>
      <c r="D1029" s="77" t="s">
        <v>333</v>
      </c>
      <c r="E1029" s="794" t="s">
        <v>634</v>
      </c>
      <c r="F1029" s="794" t="str">
        <f t="shared" si="74"/>
        <v>NI</v>
      </c>
      <c r="G1029" s="28">
        <f>+IF(F1029="i",IFERROR(VLOOKUP(C1029,'BG 12.2024'!$B:$E,3,FALSE),0),0)</f>
        <v>0</v>
      </c>
      <c r="H1029" s="21">
        <f>+IF(F1029="i",IFERROR(VLOOKUP(C1029,'BG 12.2024'!$B:$E,4,FALSE),0),0)</f>
        <v>0</v>
      </c>
      <c r="I1029" s="616"/>
      <c r="J1029" s="28">
        <f>IF(F1029="I",IFERROR(VLOOKUP(C1029,'BG 12.2023'!$B$6:$E$746,3,FALSE),0),0)</f>
        <v>0</v>
      </c>
      <c r="K1029" s="28">
        <f>IF(F1029="I",IFERROR(VLOOKUP(C1029,'BG 12.2023'!$B$6:$E$746,4,FALSE),0),0)</f>
        <v>0</v>
      </c>
      <c r="M1029" s="15">
        <f>+VLOOKUP(C1029,'BG 2023'!$B:$E,1,0)</f>
        <v>41301</v>
      </c>
      <c r="N1029" s="806">
        <f>+VLOOKUP(C1029,'BG 2023'!$B:$E,3,0)</f>
        <v>4130002218</v>
      </c>
      <c r="O1029" s="807">
        <f t="shared" si="76"/>
        <v>4130002218</v>
      </c>
      <c r="P1029" s="807"/>
      <c r="R1029" s="807">
        <f>+IFERROR(VLOOKUP(C1029,'CA FE'!$A:$C,3,0),0)+G1029</f>
        <v>0</v>
      </c>
    </row>
    <row r="1030" spans="1:18" s="87" customFormat="1">
      <c r="A1030" s="77" t="s">
        <v>286</v>
      </c>
      <c r="B1030" s="77"/>
      <c r="C1030" s="793">
        <v>413011</v>
      </c>
      <c r="D1030" s="77" t="s">
        <v>333</v>
      </c>
      <c r="E1030" s="794" t="s">
        <v>634</v>
      </c>
      <c r="F1030" s="794" t="str">
        <f t="shared" si="74"/>
        <v>NI</v>
      </c>
      <c r="G1030" s="28">
        <f>+IF(F1030="i",IFERROR(VLOOKUP(C1030,'BG 12.2024'!$B:$E,3,FALSE),0),0)</f>
        <v>0</v>
      </c>
      <c r="H1030" s="21">
        <f>+IF(F1030="i",IFERROR(VLOOKUP(C1030,'BG 12.2024'!$B:$E,4,FALSE),0),0)</f>
        <v>0</v>
      </c>
      <c r="I1030" s="616"/>
      <c r="J1030" s="28">
        <f>IF(F1030="I",IFERROR(VLOOKUP(C1030,'BG 12.2023'!$B$6:$E$746,3,FALSE),0),0)</f>
        <v>0</v>
      </c>
      <c r="K1030" s="28">
        <f>IF(F1030="I",IFERROR(VLOOKUP(C1030,'BG 12.2023'!$B$6:$E$746,4,FALSE),0),0)</f>
        <v>0</v>
      </c>
      <c r="M1030" s="15">
        <f>+VLOOKUP(C1030,'BG 2023'!$B:$E,1,0)</f>
        <v>413011</v>
      </c>
      <c r="N1030" s="806">
        <f>+VLOOKUP(C1030,'BG 2023'!$B:$E,3,0)</f>
        <v>4130002218</v>
      </c>
      <c r="O1030" s="807">
        <f t="shared" si="76"/>
        <v>4130002218</v>
      </c>
      <c r="P1030" s="807"/>
      <c r="R1030" s="807">
        <f>+IFERROR(VLOOKUP(C1030,'CA FE'!$A:$C,3,0),0)+G1030</f>
        <v>0</v>
      </c>
    </row>
    <row r="1031" spans="1:18" s="87" customFormat="1">
      <c r="A1031" s="77" t="s">
        <v>286</v>
      </c>
      <c r="B1031" s="77"/>
      <c r="C1031" s="793">
        <v>4130111</v>
      </c>
      <c r="D1031" s="77" t="s">
        <v>333</v>
      </c>
      <c r="E1031" s="794" t="s">
        <v>634</v>
      </c>
      <c r="F1031" s="794" t="str">
        <f t="shared" si="74"/>
        <v>NI</v>
      </c>
      <c r="G1031" s="28">
        <f>+IF(F1031="i",IFERROR(VLOOKUP(C1031,'BG 12.2024'!$B:$E,3,FALSE),0),0)</f>
        <v>0</v>
      </c>
      <c r="H1031" s="21">
        <f>+IF(F1031="i",IFERROR(VLOOKUP(C1031,'BG 12.2024'!$B:$E,4,FALSE),0),0)</f>
        <v>0</v>
      </c>
      <c r="I1031" s="616"/>
      <c r="J1031" s="28">
        <f>IF(F1031="I",IFERROR(VLOOKUP(C1031,'BG 12.2023'!$B$6:$E$746,3,FALSE),0),0)</f>
        <v>0</v>
      </c>
      <c r="K1031" s="28">
        <f>IF(F1031="I",IFERROR(VLOOKUP(C1031,'BG 12.2023'!$B$6:$E$746,4,FALSE),0),0)</f>
        <v>0</v>
      </c>
      <c r="M1031" s="15">
        <f>+VLOOKUP(C1031,'BG 2023'!$B:$E,1,0)</f>
        <v>4130111</v>
      </c>
      <c r="N1031" s="806">
        <f>+VLOOKUP(C1031,'BG 2023'!$B:$E,3,0)</f>
        <v>2390347885</v>
      </c>
      <c r="O1031" s="807">
        <f t="shared" si="76"/>
        <v>2390347885</v>
      </c>
      <c r="P1031" s="807"/>
      <c r="R1031" s="807">
        <f>+IFERROR(VLOOKUP(C1031,'CA FE'!$A:$C,3,0),0)+G1031</f>
        <v>0</v>
      </c>
    </row>
    <row r="1032" spans="1:18" s="87" customFormat="1">
      <c r="A1032" s="77" t="s">
        <v>286</v>
      </c>
      <c r="B1032" s="77"/>
      <c r="C1032" s="793">
        <v>41301111</v>
      </c>
      <c r="D1032" s="77" t="s">
        <v>383</v>
      </c>
      <c r="E1032" s="794" t="s">
        <v>634</v>
      </c>
      <c r="F1032" s="794" t="str">
        <f t="shared" si="74"/>
        <v>NI</v>
      </c>
      <c r="G1032" s="28">
        <f>+IF(F1032="i",IFERROR(VLOOKUP(C1032,'BG 12.2024'!$B:$E,3,FALSE),0),0)</f>
        <v>0</v>
      </c>
      <c r="H1032" s="21">
        <f>+IF(F1032="i",IFERROR(VLOOKUP(C1032,'BG 12.2024'!$B:$E,4,FALSE),0),0)</f>
        <v>0</v>
      </c>
      <c r="I1032" s="616"/>
      <c r="J1032" s="28">
        <f>IF(F1032="I",IFERROR(VLOOKUP(C1032,'BG 12.2023'!$B$6:$E$746,3,FALSE),0),0)</f>
        <v>0</v>
      </c>
      <c r="K1032" s="28">
        <f>IF(F1032="I",IFERROR(VLOOKUP(C1032,'BG 12.2023'!$B$6:$E$746,4,FALSE),0),0)</f>
        <v>0</v>
      </c>
      <c r="M1032" s="15">
        <f>+VLOOKUP(C1032,'BG 2023'!$B:$E,1,0)</f>
        <v>41301111</v>
      </c>
      <c r="N1032" s="806">
        <f>+VLOOKUP(C1032,'BG 2023'!$B:$E,3,0)</f>
        <v>2152802343</v>
      </c>
      <c r="O1032" s="807">
        <f t="shared" si="76"/>
        <v>2152802343</v>
      </c>
      <c r="P1032" s="807"/>
      <c r="R1032" s="807">
        <f>+IFERROR(VLOOKUP(C1032,'CA FE'!$A:$C,3,0),0)+G1032</f>
        <v>0</v>
      </c>
    </row>
    <row r="1033" spans="1:18" s="87" customFormat="1">
      <c r="A1033" s="77" t="s">
        <v>286</v>
      </c>
      <c r="B1033" s="77" t="s">
        <v>977</v>
      </c>
      <c r="C1033" s="793">
        <v>4130111101</v>
      </c>
      <c r="D1033" s="77" t="s">
        <v>57</v>
      </c>
      <c r="E1033" s="794" t="s">
        <v>634</v>
      </c>
      <c r="F1033" s="794" t="str">
        <f t="shared" si="74"/>
        <v>I</v>
      </c>
      <c r="G1033" s="28">
        <f>+IF(F1033="i",IFERROR(VLOOKUP(C1033,'BG 12.2024'!$B:$E,3,FALSE),0),0)</f>
        <v>339818209</v>
      </c>
      <c r="H1033" s="21">
        <f>+IF(F1033="i",IFERROR(VLOOKUP(C1033,'BG 12.2024'!$B:$E,4,FALSE),0),0)</f>
        <v>44771.729999999996</v>
      </c>
      <c r="I1033" s="616"/>
      <c r="J1033" s="28">
        <f>IF(F1033="I",IFERROR(VLOOKUP(C1033,'BG 12.2023'!$B$6:$E$746,3,FALSE),0),0)</f>
        <v>140936015</v>
      </c>
      <c r="K1033" s="28">
        <f>IF(F1033="I",IFERROR(VLOOKUP(C1033,'BG 12.2023'!$B$6:$E$746,4,FALSE),0),0)</f>
        <v>19190.86</v>
      </c>
      <c r="M1033" s="15">
        <f>+VLOOKUP(C1033,'BG 2023'!$B:$E,1,0)</f>
        <v>4130111101</v>
      </c>
      <c r="N1033" s="806">
        <f>+VLOOKUP(C1033,'BG 2023'!$B:$E,3,0)</f>
        <v>140936015</v>
      </c>
      <c r="O1033" s="807">
        <f t="shared" si="76"/>
        <v>-198882194</v>
      </c>
      <c r="P1033" s="807">
        <f>+VLOOKUP(C1033,'BG 12.2024'!$B$471:$E$866,4,0)-H1033</f>
        <v>0</v>
      </c>
      <c r="R1033" s="807">
        <f>+IFERROR(VLOOKUP(C1033,'CA FE'!$A:$C,3,0),0)+G1033</f>
        <v>0</v>
      </c>
    </row>
    <row r="1034" spans="1:18" s="87" customFormat="1">
      <c r="A1034" s="77" t="s">
        <v>286</v>
      </c>
      <c r="B1034" s="77" t="s">
        <v>977</v>
      </c>
      <c r="C1034" s="793">
        <v>4130111102</v>
      </c>
      <c r="D1034" s="77" t="s">
        <v>254</v>
      </c>
      <c r="E1034" s="794" t="s">
        <v>640</v>
      </c>
      <c r="F1034" s="794" t="str">
        <f t="shared" si="74"/>
        <v>I</v>
      </c>
      <c r="G1034" s="28">
        <f>+IF(F1034="i",IFERROR(VLOOKUP(C1034,'BG 12.2024'!$B:$E,3,FALSE),0),0)</f>
        <v>16993272</v>
      </c>
      <c r="H1034" s="21">
        <f>+IF(F1034="i",IFERROR(VLOOKUP(C1034,'BG 12.2024'!$B:$E,4,FALSE),0),0)</f>
        <v>2205.62</v>
      </c>
      <c r="I1034" s="616"/>
      <c r="J1034" s="28">
        <f>IF(F1034="I",IFERROR(VLOOKUP(C1034,'BG 12.2023'!$B$6:$E$746,3,FALSE),0),0)</f>
        <v>3103578</v>
      </c>
      <c r="K1034" s="28">
        <f>IF(F1034="I",IFERROR(VLOOKUP(C1034,'BG 12.2023'!$B$6:$E$746,4,FALSE),0),0)</f>
        <v>424.66</v>
      </c>
      <c r="M1034" s="15">
        <f>+VLOOKUP(C1034,'BG 2023'!$B:$E,1,0)</f>
        <v>4130111102</v>
      </c>
      <c r="N1034" s="806">
        <f>+VLOOKUP(C1034,'BG 2023'!$B:$E,3,0)</f>
        <v>3103578</v>
      </c>
      <c r="O1034" s="807">
        <f t="shared" si="76"/>
        <v>-13889694</v>
      </c>
      <c r="P1034" s="807"/>
      <c r="R1034" s="807">
        <f>+IFERROR(VLOOKUP(C1034,'CA FE'!$A:$C,3,0),0)+G1034</f>
        <v>0</v>
      </c>
    </row>
    <row r="1035" spans="1:18" s="87" customFormat="1">
      <c r="A1035" s="77" t="s">
        <v>286</v>
      </c>
      <c r="B1035" s="77" t="s">
        <v>977</v>
      </c>
      <c r="C1035" s="793">
        <v>4130111103</v>
      </c>
      <c r="D1035" s="77" t="s">
        <v>256</v>
      </c>
      <c r="E1035" s="794" t="s">
        <v>634</v>
      </c>
      <c r="F1035" s="794" t="str">
        <f t="shared" si="74"/>
        <v>I</v>
      </c>
      <c r="G1035" s="28">
        <f>+IF(F1035="i",IFERROR(VLOOKUP(C1035,'BG 12.2024'!$B:$E,3,FALSE),0),0)</f>
        <v>215586807</v>
      </c>
      <c r="H1035" s="21">
        <f>+IF(F1035="i",IFERROR(VLOOKUP(C1035,'BG 12.2024'!$B:$E,4,FALSE),0),0)</f>
        <v>28719.89</v>
      </c>
      <c r="I1035" s="616"/>
      <c r="J1035" s="28">
        <f>IF(F1035="I",IFERROR(VLOOKUP(C1035,'BG 12.2023'!$B$6:$E$746,3,FALSE),0),0)</f>
        <v>0</v>
      </c>
      <c r="K1035" s="28">
        <f>IF(F1035="I",IFERROR(VLOOKUP(C1035,'BG 12.2023'!$B$6:$E$746,4,FALSE),0),0)</f>
        <v>0</v>
      </c>
      <c r="M1035" s="15" t="e">
        <f>+VLOOKUP(C1035,'BG 2023'!$B:$E,1,0)</f>
        <v>#N/A</v>
      </c>
      <c r="N1035" s="806" t="e">
        <f>+VLOOKUP(C1035,'BG 2023'!$B:$E,3,0)</f>
        <v>#N/A</v>
      </c>
      <c r="O1035" s="807" t="e">
        <f t="shared" si="76"/>
        <v>#N/A</v>
      </c>
      <c r="P1035" s="807">
        <f>+VLOOKUP(C1035,'BG 12.2024'!$B$471:$E$866,4,0)-H1035</f>
        <v>0</v>
      </c>
      <c r="R1035" s="807">
        <f>+IFERROR(VLOOKUP(C1035,'CA FE'!$A:$C,3,0),0)+G1035</f>
        <v>0</v>
      </c>
    </row>
    <row r="1036" spans="1:18" s="87" customFormat="1">
      <c r="A1036" s="77" t="s">
        <v>286</v>
      </c>
      <c r="B1036" s="77" t="s">
        <v>977</v>
      </c>
      <c r="C1036" s="793">
        <v>4130111104</v>
      </c>
      <c r="D1036" s="77" t="s">
        <v>258</v>
      </c>
      <c r="E1036" s="794" t="s">
        <v>640</v>
      </c>
      <c r="F1036" s="794" t="str">
        <f t="shared" si="74"/>
        <v>I</v>
      </c>
      <c r="G1036" s="28">
        <f>+IF(F1036="i",IFERROR(VLOOKUP(C1036,'BG 12.2024'!$B:$E,3,FALSE),0),0)</f>
        <v>14842381</v>
      </c>
      <c r="H1036" s="21">
        <f>+IF(F1036="i",IFERROR(VLOOKUP(C1036,'BG 12.2024'!$B:$E,4,FALSE),0),0)</f>
        <v>1998.88</v>
      </c>
      <c r="I1036" s="616"/>
      <c r="J1036" s="28">
        <f>IF(F1036="I",IFERROR(VLOOKUP(C1036,'BG 12.2023'!$B$6:$E$746,3,FALSE),0),0)</f>
        <v>2814382</v>
      </c>
      <c r="K1036" s="28">
        <f>IF(F1036="I",IFERROR(VLOOKUP(C1036,'BG 12.2023'!$B$6:$E$746,4,FALSE),0),0)</f>
        <v>382.26000000000005</v>
      </c>
      <c r="M1036" s="15">
        <f>+VLOOKUP(C1036,'BG 2023'!$B:$E,1,0)</f>
        <v>4130111104</v>
      </c>
      <c r="N1036" s="806">
        <f>+VLOOKUP(C1036,'BG 2023'!$B:$E,3,0)</f>
        <v>2814382</v>
      </c>
      <c r="O1036" s="807">
        <f t="shared" si="76"/>
        <v>-12027999</v>
      </c>
      <c r="P1036" s="807">
        <f>+VLOOKUP(C1036,'BG 12.2024'!$B$471:$E$866,4,0)-H1036</f>
        <v>0</v>
      </c>
      <c r="R1036" s="807">
        <f>+IFERROR(VLOOKUP(C1036,'CA FE'!$A:$C,3,0),0)+G1036</f>
        <v>0</v>
      </c>
    </row>
    <row r="1037" spans="1:18" s="87" customFormat="1">
      <c r="A1037" s="77" t="s">
        <v>286</v>
      </c>
      <c r="B1037" s="77" t="s">
        <v>977</v>
      </c>
      <c r="C1037" s="793">
        <v>4130111105</v>
      </c>
      <c r="D1037" s="77" t="s">
        <v>59</v>
      </c>
      <c r="E1037" s="794" t="s">
        <v>634</v>
      </c>
      <c r="F1037" s="794" t="str">
        <f t="shared" si="74"/>
        <v>I</v>
      </c>
      <c r="G1037" s="28">
        <f>+IF(F1037="i",IFERROR(VLOOKUP(C1037,'BG 12.2024'!$B:$E,3,FALSE),0),0)</f>
        <v>3308029150</v>
      </c>
      <c r="H1037" s="21">
        <f>+IF(F1037="i",IFERROR(VLOOKUP(C1037,'BG 12.2024'!$B:$E,4,FALSE),0),0)</f>
        <v>433817.68</v>
      </c>
      <c r="I1037" s="616"/>
      <c r="J1037" s="28">
        <f>IF(F1037="I",IFERROR(VLOOKUP(C1037,'BG 12.2023'!$B$6:$E$746,3,FALSE),0),0)</f>
        <v>575181928</v>
      </c>
      <c r="K1037" s="28">
        <f>IF(F1037="I",IFERROR(VLOOKUP(C1037,'BG 12.2023'!$B$6:$E$746,4,FALSE),0),0)</f>
        <v>78484.25</v>
      </c>
      <c r="M1037" s="15">
        <f>+VLOOKUP(C1037,'BG 2023'!$B:$E,1,0)</f>
        <v>4130111105</v>
      </c>
      <c r="N1037" s="806">
        <f>+VLOOKUP(C1037,'BG 2023'!$B:$E,3,0)</f>
        <v>575181928</v>
      </c>
      <c r="O1037" s="807">
        <f t="shared" si="76"/>
        <v>-2732847222</v>
      </c>
      <c r="P1037" s="807">
        <f>+VLOOKUP(C1037,'BG 12.2024'!$B$471:$E$866,4,0)-H1037</f>
        <v>0</v>
      </c>
      <c r="R1037" s="807">
        <f>+IFERROR(VLOOKUP(C1037,'CA FE'!$A:$C,3,0),0)+G1037</f>
        <v>0</v>
      </c>
    </row>
    <row r="1038" spans="1:18" s="87" customFormat="1">
      <c r="A1038" s="77" t="s">
        <v>286</v>
      </c>
      <c r="B1038" s="77" t="s">
        <v>977</v>
      </c>
      <c r="C1038" s="793">
        <v>4130111106</v>
      </c>
      <c r="D1038" s="77" t="s">
        <v>60</v>
      </c>
      <c r="E1038" s="794" t="s">
        <v>640</v>
      </c>
      <c r="F1038" s="794" t="str">
        <f t="shared" si="74"/>
        <v>I</v>
      </c>
      <c r="G1038" s="28">
        <f>+IF(F1038="i",IFERROR(VLOOKUP(C1038,'BG 12.2024'!$B:$E,3,FALSE),0),0)</f>
        <v>498615811</v>
      </c>
      <c r="H1038" s="21">
        <f>+IF(F1038="i",IFERROR(VLOOKUP(C1038,'BG 12.2024'!$B:$E,4,FALSE),0),0)</f>
        <v>65936.63</v>
      </c>
      <c r="I1038" s="616"/>
      <c r="J1038" s="28">
        <f>IF(F1038="I",IFERROR(VLOOKUP(C1038,'BG 12.2023'!$B$6:$E$746,3,FALSE),0),0)</f>
        <v>66448500</v>
      </c>
      <c r="K1038" s="28">
        <f>IF(F1038="I",IFERROR(VLOOKUP(C1038,'BG 12.2023'!$B$6:$E$746,4,FALSE),0),0)</f>
        <v>9073.2800000000007</v>
      </c>
      <c r="M1038" s="15">
        <f>+VLOOKUP(C1038,'BG 2023'!$B:$E,1,0)</f>
        <v>4130111106</v>
      </c>
      <c r="N1038" s="806">
        <f>+VLOOKUP(C1038,'BG 2023'!$B:$E,3,0)</f>
        <v>66448500</v>
      </c>
      <c r="O1038" s="807">
        <f t="shared" si="76"/>
        <v>-432167311</v>
      </c>
      <c r="P1038" s="807">
        <f>+VLOOKUP(C1038,'BG 12.2024'!$B$471:$E$866,4,0)-H1038</f>
        <v>0</v>
      </c>
      <c r="R1038" s="807">
        <f>+IFERROR(VLOOKUP(C1038,'CA FE'!$A:$C,3,0),0)+G1038</f>
        <v>0</v>
      </c>
    </row>
    <row r="1039" spans="1:18" s="87" customFormat="1">
      <c r="A1039" s="77" t="s">
        <v>286</v>
      </c>
      <c r="B1039" s="77" t="s">
        <v>977</v>
      </c>
      <c r="C1039" s="793">
        <v>4130111107</v>
      </c>
      <c r="D1039" s="77" t="s">
        <v>63</v>
      </c>
      <c r="E1039" s="794" t="s">
        <v>634</v>
      </c>
      <c r="F1039" s="794" t="str">
        <f t="shared" si="74"/>
        <v>I</v>
      </c>
      <c r="G1039" s="28">
        <f>+IF(F1039="i",IFERROR(VLOOKUP(C1039,'BG 12.2024'!$B:$E,3,FALSE),0),0)</f>
        <v>86236485</v>
      </c>
      <c r="H1039" s="21">
        <f>+IF(F1039="i",IFERROR(VLOOKUP(C1039,'BG 12.2024'!$B:$E,4,FALSE),0),0)</f>
        <v>11366.99</v>
      </c>
      <c r="I1039" s="616"/>
      <c r="J1039" s="28">
        <f>IF(F1039="I",IFERROR(VLOOKUP(C1039,'BG 12.2023'!$B$6:$E$746,3,FALSE),0),0)</f>
        <v>209306468</v>
      </c>
      <c r="K1039" s="28">
        <f>IF(F1039="I",IFERROR(VLOOKUP(C1039,'BG 12.2023'!$B$6:$E$746,4,FALSE),0),0)</f>
        <v>28676.66</v>
      </c>
      <c r="M1039" s="15">
        <f>+VLOOKUP(C1039,'BG 2023'!$B:$E,1,0)</f>
        <v>4130111107</v>
      </c>
      <c r="N1039" s="806">
        <f>+VLOOKUP(C1039,'BG 2023'!$B:$E,3,0)</f>
        <v>209306468</v>
      </c>
      <c r="O1039" s="807">
        <f t="shared" si="76"/>
        <v>123069983</v>
      </c>
      <c r="P1039" s="807">
        <f>+VLOOKUP(C1039,'BG 12.2024'!$B$471:$E$866,4,0)-H1039</f>
        <v>0</v>
      </c>
      <c r="R1039" s="807">
        <f>+IFERROR(VLOOKUP(C1039,'CA FE'!$A:$C,3,0),0)+G1039</f>
        <v>0</v>
      </c>
    </row>
    <row r="1040" spans="1:18" s="87" customFormat="1">
      <c r="A1040" s="77" t="s">
        <v>286</v>
      </c>
      <c r="B1040" s="77" t="s">
        <v>977</v>
      </c>
      <c r="C1040" s="793">
        <v>4130111108</v>
      </c>
      <c r="D1040" s="77" t="s">
        <v>64</v>
      </c>
      <c r="E1040" s="794" t="s">
        <v>640</v>
      </c>
      <c r="F1040" s="794" t="str">
        <f t="shared" si="74"/>
        <v>I</v>
      </c>
      <c r="G1040" s="28">
        <f>+IF(F1040="i",IFERROR(VLOOKUP(C1040,'BG 12.2024'!$B:$E,3,FALSE),0),0)</f>
        <v>725692294</v>
      </c>
      <c r="H1040" s="21">
        <f>+IF(F1040="i",IFERROR(VLOOKUP(C1040,'BG 12.2024'!$B:$E,4,FALSE),0),0)</f>
        <v>96121.87000000001</v>
      </c>
      <c r="I1040" s="616"/>
      <c r="J1040" s="28">
        <f>IF(F1040="I",IFERROR(VLOOKUP(C1040,'BG 12.2023'!$B$6:$E$746,3,FALSE),0),0)</f>
        <v>722064528</v>
      </c>
      <c r="K1040" s="28">
        <f>IF(F1040="I",IFERROR(VLOOKUP(C1040,'BG 12.2023'!$B$6:$E$746,4,FALSE),0),0)</f>
        <v>99331.733999999997</v>
      </c>
      <c r="M1040" s="15">
        <f>+VLOOKUP(C1040,'BG 2023'!$B:$E,1,0)</f>
        <v>4130111108</v>
      </c>
      <c r="N1040" s="806">
        <f>+VLOOKUP(C1040,'BG 2023'!$B:$E,3,0)</f>
        <v>722064528</v>
      </c>
      <c r="O1040" s="807">
        <f t="shared" si="76"/>
        <v>-3627766</v>
      </c>
      <c r="P1040" s="807">
        <f>+VLOOKUP(C1040,'BG 12.2024'!$B$471:$E$866,4,0)-H1040</f>
        <v>0</v>
      </c>
      <c r="R1040" s="807">
        <f>+IFERROR(VLOOKUP(C1040,'CA FE'!$A:$C,3,0),0)+G1040</f>
        <v>0</v>
      </c>
    </row>
    <row r="1041" spans="1:18" s="87" customFormat="1">
      <c r="A1041" s="77" t="s">
        <v>286</v>
      </c>
      <c r="B1041" s="77"/>
      <c r="C1041" s="793">
        <v>4130111109</v>
      </c>
      <c r="D1041" s="77" t="s">
        <v>66</v>
      </c>
      <c r="E1041" s="794" t="s">
        <v>634</v>
      </c>
      <c r="F1041" s="794" t="str">
        <f t="shared" si="74"/>
        <v>I</v>
      </c>
      <c r="G1041" s="28">
        <f>+IF(F1041="i",IFERROR(VLOOKUP(C1041,'BG 12.2024'!$B:$E,3,FALSE),0),0)</f>
        <v>0</v>
      </c>
      <c r="H1041" s="21">
        <f>+IF(F1041="i",IFERROR(VLOOKUP(C1041,'BG 12.2024'!$B:$E,4,FALSE),0),0)</f>
        <v>0</v>
      </c>
      <c r="I1041" s="616"/>
      <c r="J1041" s="28">
        <f>IF(F1041="I",IFERROR(VLOOKUP(C1041,'BG 12.2023'!$B$6:$E$746,3,FALSE),0),0)</f>
        <v>0</v>
      </c>
      <c r="K1041" s="28">
        <f>IF(F1041="I",IFERROR(VLOOKUP(C1041,'BG 12.2023'!$B$6:$E$746,4,FALSE),0),0)</f>
        <v>0</v>
      </c>
      <c r="M1041" s="15" t="e">
        <f>+VLOOKUP(C1041,'BG 2023'!$B:$E,1,0)</f>
        <v>#N/A</v>
      </c>
      <c r="N1041" s="806" t="e">
        <f>+VLOOKUP(C1041,'BG 2023'!$B:$E,3,0)</f>
        <v>#N/A</v>
      </c>
      <c r="O1041" s="807" t="e">
        <f t="shared" si="76"/>
        <v>#N/A</v>
      </c>
      <c r="P1041" s="807"/>
      <c r="R1041" s="807">
        <f>+IFERROR(VLOOKUP(C1041,'CA FE'!$A:$C,3,0),0)+G1041</f>
        <v>0</v>
      </c>
    </row>
    <row r="1042" spans="1:18" s="87" customFormat="1">
      <c r="A1042" s="77" t="s">
        <v>286</v>
      </c>
      <c r="B1042" s="77"/>
      <c r="C1042" s="793">
        <v>4130111110</v>
      </c>
      <c r="D1042" s="77" t="s">
        <v>690</v>
      </c>
      <c r="E1042" s="794" t="s">
        <v>640</v>
      </c>
      <c r="F1042" s="794" t="str">
        <f t="shared" si="74"/>
        <v>I</v>
      </c>
      <c r="G1042" s="28">
        <f>+IF(F1042="i",IFERROR(VLOOKUP(C1042,'BG 12.2024'!$B:$E,3,FALSE),0),0)</f>
        <v>0</v>
      </c>
      <c r="H1042" s="21">
        <f>+IF(F1042="i",IFERROR(VLOOKUP(C1042,'BG 12.2024'!$B:$E,4,FALSE),0),0)</f>
        <v>0</v>
      </c>
      <c r="I1042" s="616"/>
      <c r="J1042" s="28">
        <f>IF(F1042="I",IFERROR(VLOOKUP(C1042,'BG 12.2023'!$B$6:$E$746,3,FALSE),0),0)</f>
        <v>0</v>
      </c>
      <c r="K1042" s="28">
        <f>IF(F1042="I",IFERROR(VLOOKUP(C1042,'BG 12.2023'!$B$6:$E$746,4,FALSE),0),0)</f>
        <v>0</v>
      </c>
      <c r="M1042" s="15" t="e">
        <f>+VLOOKUP(C1042,'BG 2023'!$B:$E,1,0)</f>
        <v>#N/A</v>
      </c>
      <c r="N1042" s="806" t="e">
        <f>+VLOOKUP(C1042,'BG 2023'!$B:$E,3,0)</f>
        <v>#N/A</v>
      </c>
      <c r="O1042" s="807" t="e">
        <f t="shared" si="76"/>
        <v>#N/A</v>
      </c>
      <c r="P1042" s="807"/>
      <c r="R1042" s="807">
        <f>+IFERROR(VLOOKUP(C1042,'CA FE'!$A:$C,3,0),0)+G1042</f>
        <v>0</v>
      </c>
    </row>
    <row r="1043" spans="1:18" s="87" customFormat="1">
      <c r="A1043" s="77" t="s">
        <v>286</v>
      </c>
      <c r="B1043" s="77"/>
      <c r="C1043" s="793">
        <v>4130111111</v>
      </c>
      <c r="D1043" s="77" t="s">
        <v>692</v>
      </c>
      <c r="E1043" s="794" t="s">
        <v>634</v>
      </c>
      <c r="F1043" s="794" t="str">
        <f t="shared" si="74"/>
        <v>I</v>
      </c>
      <c r="G1043" s="28">
        <f>+IF(F1043="i",IFERROR(VLOOKUP(C1043,'BG 12.2024'!$B:$E,3,FALSE),0),0)</f>
        <v>0</v>
      </c>
      <c r="H1043" s="21">
        <f>+IF(F1043="i",IFERROR(VLOOKUP(C1043,'BG 12.2024'!$B:$E,4,FALSE),0),0)</f>
        <v>0</v>
      </c>
      <c r="I1043" s="616"/>
      <c r="J1043" s="28">
        <f>IF(F1043="I",IFERROR(VLOOKUP(C1043,'BG 12.2023'!$B$6:$E$746,3,FALSE),0),0)</f>
        <v>0</v>
      </c>
      <c r="K1043" s="28">
        <f>IF(F1043="I",IFERROR(VLOOKUP(C1043,'BG 12.2023'!$B$6:$E$746,4,FALSE),0),0)</f>
        <v>0</v>
      </c>
      <c r="M1043" s="15" t="e">
        <f>+VLOOKUP(C1043,'BG 2023'!$B:$E,1,0)</f>
        <v>#N/A</v>
      </c>
      <c r="N1043" s="806" t="e">
        <f>+VLOOKUP(C1043,'BG 2023'!$B:$E,3,0)</f>
        <v>#N/A</v>
      </c>
      <c r="O1043" s="807" t="e">
        <f t="shared" si="76"/>
        <v>#N/A</v>
      </c>
      <c r="P1043" s="807"/>
      <c r="R1043" s="807">
        <f>+IFERROR(VLOOKUP(C1043,'CA FE'!$A:$C,3,0),0)+G1043</f>
        <v>0</v>
      </c>
    </row>
    <row r="1044" spans="1:18" s="87" customFormat="1">
      <c r="A1044" s="77" t="s">
        <v>286</v>
      </c>
      <c r="B1044" s="77"/>
      <c r="C1044" s="793">
        <v>4130111112</v>
      </c>
      <c r="D1044" s="77" t="s">
        <v>693</v>
      </c>
      <c r="E1044" s="794" t="s">
        <v>640</v>
      </c>
      <c r="F1044" s="794" t="str">
        <f t="shared" si="74"/>
        <v>I</v>
      </c>
      <c r="G1044" s="28">
        <f>+IF(F1044="i",IFERROR(VLOOKUP(C1044,'BG 12.2024'!$B:$E,3,FALSE),0),0)</f>
        <v>0</v>
      </c>
      <c r="H1044" s="21">
        <f>+IF(F1044="i",IFERROR(VLOOKUP(C1044,'BG 12.2024'!$B:$E,4,FALSE),0),0)</f>
        <v>0</v>
      </c>
      <c r="I1044" s="616"/>
      <c r="J1044" s="28">
        <f>IF(F1044="I",IFERROR(VLOOKUP(C1044,'BG 12.2023'!$B$6:$E$746,3,FALSE),0),0)</f>
        <v>0</v>
      </c>
      <c r="K1044" s="28">
        <f>IF(F1044="I",IFERROR(VLOOKUP(C1044,'BG 12.2023'!$B$6:$E$746,4,FALSE),0),0)</f>
        <v>0</v>
      </c>
      <c r="M1044" s="15" t="e">
        <f>+VLOOKUP(C1044,'BG 2023'!$B:$E,1,0)</f>
        <v>#N/A</v>
      </c>
      <c r="N1044" s="806" t="e">
        <f>+VLOOKUP(C1044,'BG 2023'!$B:$E,3,0)</f>
        <v>#N/A</v>
      </c>
      <c r="O1044" s="807" t="e">
        <f t="shared" si="76"/>
        <v>#N/A</v>
      </c>
      <c r="P1044" s="807"/>
      <c r="R1044" s="807">
        <f>+IFERROR(VLOOKUP(C1044,'CA FE'!$A:$C,3,0),0)+G1044</f>
        <v>0</v>
      </c>
    </row>
    <row r="1045" spans="1:18" s="87" customFormat="1">
      <c r="A1045" s="77" t="s">
        <v>286</v>
      </c>
      <c r="B1045" s="1209" t="s">
        <v>945</v>
      </c>
      <c r="C1045" s="793">
        <v>4130111113</v>
      </c>
      <c r="D1045" s="77" t="s">
        <v>267</v>
      </c>
      <c r="E1045" s="794" t="s">
        <v>634</v>
      </c>
      <c r="F1045" s="794" t="str">
        <f t="shared" si="74"/>
        <v>I</v>
      </c>
      <c r="G1045" s="1097">
        <f>+IF(F1045="i",IFERROR(VLOOKUP(C1045,'BG 12.2024'!$B:$E,3,FALSE),0),0)</f>
        <v>376089673</v>
      </c>
      <c r="H1045" s="21">
        <f>+IF(F1045="i",IFERROR(VLOOKUP(C1045,'BG 12.2024'!$B:$E,4,FALSE),0),0)</f>
        <v>49106.329999999994</v>
      </c>
      <c r="I1045" s="616"/>
      <c r="J1045" s="1256">
        <f>IF(F1045="I",IFERROR(VLOOKUP(C1045,'BG 12.2023'!$B$6:$E$746,3,FALSE),0),0)</f>
        <v>390715507</v>
      </c>
      <c r="K1045" s="28">
        <f>IF(F1045="I",IFERROR(VLOOKUP(C1045,'BG 12.2023'!$B$6:$E$746,4,FALSE),0),0)</f>
        <v>53758.91</v>
      </c>
      <c r="M1045" s="15">
        <f>+VLOOKUP(C1045,'BG 2023'!$B:$E,1,0)</f>
        <v>4130111113</v>
      </c>
      <c r="N1045" s="806">
        <f>+VLOOKUP(C1045,'BG 2023'!$B:$E,3,0)</f>
        <v>390715507</v>
      </c>
      <c r="O1045" s="807">
        <f t="shared" si="76"/>
        <v>14625834</v>
      </c>
      <c r="P1045" s="807">
        <f>+VLOOKUP(C1045,'BG 12.2024'!$B$471:$E$866,4,0)-H1045</f>
        <v>0</v>
      </c>
      <c r="R1045" s="807">
        <f>+IFERROR(VLOOKUP(C1045,'CA FE'!$A:$C,3,0),0)+G1045</f>
        <v>0</v>
      </c>
    </row>
    <row r="1046" spans="1:18" s="87" customFormat="1">
      <c r="A1046" s="77" t="s">
        <v>286</v>
      </c>
      <c r="B1046" s="1209" t="s">
        <v>945</v>
      </c>
      <c r="C1046" s="793">
        <v>4130111114</v>
      </c>
      <c r="D1046" s="77" t="s">
        <v>269</v>
      </c>
      <c r="E1046" s="794" t="s">
        <v>640</v>
      </c>
      <c r="F1046" s="794" t="str">
        <f t="shared" si="74"/>
        <v>I</v>
      </c>
      <c r="G1046" s="1097">
        <f>+IF(F1046="i",IFERROR(VLOOKUP(C1046,'BG 12.2024'!$B:$E,3,FALSE),0),0)</f>
        <v>21622059</v>
      </c>
      <c r="H1046" s="21">
        <f>+IF(F1046="i",IFERROR(VLOOKUP(C1046,'BG 12.2024'!$B:$E,4,FALSE),0),0)</f>
        <v>2776.77</v>
      </c>
      <c r="I1046" s="616"/>
      <c r="J1046" s="1256">
        <f>IF(F1046="I",IFERROR(VLOOKUP(C1046,'BG 12.2023'!$B$6:$E$746,3,FALSE),0),0)</f>
        <v>780270</v>
      </c>
      <c r="K1046" s="28">
        <f>IF(F1046="I",IFERROR(VLOOKUP(C1046,'BG 12.2023'!$B$6:$E$746,4,FALSE),0),0)</f>
        <v>106.92</v>
      </c>
      <c r="M1046" s="15">
        <f>+VLOOKUP(C1046,'BG 2023'!$B:$E,1,0)</f>
        <v>4130111114</v>
      </c>
      <c r="N1046" s="806">
        <f>+VLOOKUP(C1046,'BG 2023'!$B:$E,3,0)</f>
        <v>780270</v>
      </c>
      <c r="O1046" s="807">
        <f t="shared" si="76"/>
        <v>-20841789</v>
      </c>
      <c r="P1046" s="807">
        <f>+VLOOKUP(C1046,'BG 12.2024'!$B$471:$E$866,4,0)-H1046</f>
        <v>0</v>
      </c>
      <c r="R1046" s="807">
        <f>+IFERROR(VLOOKUP(C1046,'CA FE'!$A:$C,3,0),0)+G1046</f>
        <v>0</v>
      </c>
    </row>
    <row r="1047" spans="1:18" s="87" customFormat="1">
      <c r="A1047" s="77" t="s">
        <v>286</v>
      </c>
      <c r="B1047" s="1209"/>
      <c r="C1047" s="793">
        <v>4130111115</v>
      </c>
      <c r="D1047" s="77" t="s">
        <v>978</v>
      </c>
      <c r="E1047" s="794" t="s">
        <v>634</v>
      </c>
      <c r="F1047" s="794" t="str">
        <f t="shared" si="74"/>
        <v>I</v>
      </c>
      <c r="G1047" s="28">
        <f>+IF(F1047="i",IFERROR(VLOOKUP(C1047,'BG 12.2024'!$B:$E,3,FALSE),0),0)</f>
        <v>0</v>
      </c>
      <c r="H1047" s="21">
        <f>+IF(F1047="i",IFERROR(VLOOKUP(C1047,'BG 12.2024'!$B:$E,4,FALSE),0),0)</f>
        <v>0</v>
      </c>
      <c r="I1047" s="616"/>
      <c r="J1047" s="28">
        <f>IF(F1047="I",IFERROR(VLOOKUP(C1047,'BG 12.2023'!$B$6:$E$746,3,FALSE),0),0)</f>
        <v>0</v>
      </c>
      <c r="K1047" s="28">
        <f>IF(F1047="I",IFERROR(VLOOKUP(C1047,'BG 12.2023'!$B$6:$E$746,4,FALSE),0),0)</f>
        <v>0</v>
      </c>
      <c r="M1047" s="15" t="e">
        <f>+VLOOKUP(C1047,'BG 2023'!$B:$E,1,0)</f>
        <v>#N/A</v>
      </c>
      <c r="N1047" s="806" t="e">
        <f>+VLOOKUP(C1047,'BG 2023'!$B:$E,3,0)</f>
        <v>#N/A</v>
      </c>
      <c r="O1047" s="807" t="e">
        <f t="shared" si="76"/>
        <v>#N/A</v>
      </c>
      <c r="P1047" s="807"/>
      <c r="R1047" s="807">
        <f>+IFERROR(VLOOKUP(C1047,'CA FE'!$A:$C,3,0),0)+G1047</f>
        <v>0</v>
      </c>
    </row>
    <row r="1048" spans="1:18" s="87" customFormat="1">
      <c r="A1048" s="77" t="s">
        <v>286</v>
      </c>
      <c r="B1048" s="1209"/>
      <c r="C1048" s="793">
        <v>4130111116</v>
      </c>
      <c r="D1048" s="77" t="s">
        <v>979</v>
      </c>
      <c r="E1048" s="794" t="s">
        <v>640</v>
      </c>
      <c r="F1048" s="794" t="str">
        <f t="shared" si="74"/>
        <v>I</v>
      </c>
      <c r="G1048" s="28">
        <f>+IF(F1048="i",IFERROR(VLOOKUP(C1048,'BG 12.2024'!$B:$E,3,FALSE),0),0)</f>
        <v>0</v>
      </c>
      <c r="H1048" s="21">
        <f>+IF(F1048="i",IFERROR(VLOOKUP(C1048,'BG 12.2024'!$B:$E,4,FALSE),0),0)</f>
        <v>0</v>
      </c>
      <c r="I1048" s="616"/>
      <c r="J1048" s="28">
        <f>IF(F1048="I",IFERROR(VLOOKUP(C1048,'BG 12.2023'!$B$6:$E$746,3,FALSE),0),0)</f>
        <v>0</v>
      </c>
      <c r="K1048" s="28">
        <f>IF(F1048="I",IFERROR(VLOOKUP(C1048,'BG 12.2023'!$B$6:$E$746,4,FALSE),0),0)</f>
        <v>0</v>
      </c>
      <c r="M1048" s="15" t="e">
        <f>+VLOOKUP(C1048,'BG 2023'!$B:$E,1,0)</f>
        <v>#N/A</v>
      </c>
      <c r="N1048" s="806" t="e">
        <f>+VLOOKUP(C1048,'BG 2023'!$B:$E,3,0)</f>
        <v>#N/A</v>
      </c>
      <c r="O1048" s="807" t="e">
        <f t="shared" si="76"/>
        <v>#N/A</v>
      </c>
      <c r="P1048" s="807"/>
      <c r="R1048" s="807">
        <f>+IFERROR(VLOOKUP(C1048,'CA FE'!$A:$C,3,0),0)+G1048</f>
        <v>0</v>
      </c>
    </row>
    <row r="1049" spans="1:18" s="87" customFormat="1">
      <c r="A1049" s="77" t="s">
        <v>286</v>
      </c>
      <c r="B1049" s="1209" t="s">
        <v>945</v>
      </c>
      <c r="C1049" s="793">
        <v>4130111117</v>
      </c>
      <c r="D1049" s="77" t="s">
        <v>271</v>
      </c>
      <c r="E1049" s="794" t="s">
        <v>634</v>
      </c>
      <c r="F1049" s="794" t="str">
        <f t="shared" si="74"/>
        <v>I</v>
      </c>
      <c r="G1049" s="1097">
        <f>+IF(F1049="i",IFERROR(VLOOKUP(C1049,'BG 12.2024'!$B:$E,3,FALSE),0),0)</f>
        <v>38659164</v>
      </c>
      <c r="H1049" s="21">
        <f>+IF(F1049="i",IFERROR(VLOOKUP(C1049,'BG 12.2024'!$B:$E,4,FALSE),0),0)</f>
        <v>5008.6000000000004</v>
      </c>
      <c r="I1049" s="616"/>
      <c r="J1049" s="1256">
        <f>IF(F1049="I",IFERROR(VLOOKUP(C1049,'BG 12.2023'!$B$6:$E$746,3,FALSE),0),0)</f>
        <v>23952445</v>
      </c>
      <c r="K1049" s="28">
        <f>IF(F1049="I",IFERROR(VLOOKUP(C1049,'BG 12.2023'!$B$6:$E$746,4,FALSE),0),0)</f>
        <v>3252.78</v>
      </c>
      <c r="M1049" s="15">
        <f>+VLOOKUP(C1049,'BG 2023'!$B:$E,1,0)</f>
        <v>4130111117</v>
      </c>
      <c r="N1049" s="806">
        <f>+VLOOKUP(C1049,'BG 2023'!$B:$E,3,0)</f>
        <v>23952445</v>
      </c>
      <c r="O1049" s="807">
        <f t="shared" si="76"/>
        <v>-14706719</v>
      </c>
      <c r="P1049" s="807">
        <f>+VLOOKUP(C1049,'BG 12.2024'!$B$471:$E$866,4,0)-H1049</f>
        <v>0</v>
      </c>
      <c r="R1049" s="807">
        <f>+IFERROR(VLOOKUP(C1049,'CA FE'!$A:$C,3,0),0)+G1049</f>
        <v>0</v>
      </c>
    </row>
    <row r="1050" spans="1:18" s="87" customFormat="1">
      <c r="A1050" s="77" t="s">
        <v>286</v>
      </c>
      <c r="B1050" s="1209" t="s">
        <v>945</v>
      </c>
      <c r="C1050" s="793">
        <v>4130111118</v>
      </c>
      <c r="D1050" s="77" t="s">
        <v>274</v>
      </c>
      <c r="E1050" s="794" t="s">
        <v>640</v>
      </c>
      <c r="F1050" s="794" t="str">
        <f t="shared" si="74"/>
        <v>I</v>
      </c>
      <c r="G1050" s="1097">
        <f>+IF(F1050="i",IFERROR(VLOOKUP(C1050,'BG 12.2024'!$B:$E,3,FALSE),0),0)</f>
        <v>14313224</v>
      </c>
      <c r="H1050" s="21">
        <f>+IF(F1050="i",IFERROR(VLOOKUP(C1050,'BG 12.2024'!$B:$E,4,FALSE),0),0)</f>
        <v>1917.39</v>
      </c>
      <c r="I1050" s="616"/>
      <c r="J1050" s="1256">
        <f>IF(F1050="I",IFERROR(VLOOKUP(C1050,'BG 12.2023'!$B$6:$E$746,3,FALSE),0),0)</f>
        <v>464565</v>
      </c>
      <c r="K1050" s="28">
        <f>IF(F1050="I",IFERROR(VLOOKUP(C1050,'BG 12.2023'!$B$6:$E$746,4,FALSE),0),0)</f>
        <v>63.43</v>
      </c>
      <c r="M1050" s="15">
        <f>+VLOOKUP(C1050,'BG 2023'!$B:$E,1,0)</f>
        <v>4130111118</v>
      </c>
      <c r="N1050" s="806">
        <f>+VLOOKUP(C1050,'BG 2023'!$B:$E,3,0)</f>
        <v>464565</v>
      </c>
      <c r="O1050" s="807">
        <f t="shared" si="76"/>
        <v>-13848659</v>
      </c>
      <c r="P1050" s="807">
        <f>+VLOOKUP(C1050,'BG 12.2024'!$B$471:$E$866,4,0)-H1050</f>
        <v>0</v>
      </c>
      <c r="R1050" s="807">
        <f>+IFERROR(VLOOKUP(C1050,'CA FE'!$A:$C,3,0),0)+G1050</f>
        <v>0</v>
      </c>
    </row>
    <row r="1051" spans="1:18" s="87" customFormat="1">
      <c r="A1051" s="77" t="s">
        <v>286</v>
      </c>
      <c r="B1051" s="1209"/>
      <c r="C1051" s="793">
        <v>4130111119</v>
      </c>
      <c r="D1051" s="77" t="s">
        <v>413</v>
      </c>
      <c r="E1051" s="794" t="s">
        <v>634</v>
      </c>
      <c r="F1051" s="794" t="str">
        <f t="shared" si="74"/>
        <v>I</v>
      </c>
      <c r="G1051" s="28">
        <f>+IF(F1051="i",IFERROR(VLOOKUP(C1051,'BG 12.2024'!$B:$E,3,FALSE),0),0)</f>
        <v>0</v>
      </c>
      <c r="H1051" s="21">
        <f>+IF(F1051="i",IFERROR(VLOOKUP(C1051,'BG 12.2024'!$B:$E,4,FALSE),0),0)</f>
        <v>0</v>
      </c>
      <c r="I1051" s="616"/>
      <c r="J1051" s="28">
        <f>IF(F1051="I",IFERROR(VLOOKUP(C1051,'BG 12.2023'!$B$6:$E$746,3,FALSE),0),0)</f>
        <v>0</v>
      </c>
      <c r="K1051" s="28">
        <f>IF(F1051="I",IFERROR(VLOOKUP(C1051,'BG 12.2023'!$B$6:$E$746,4,FALSE),0),0)</f>
        <v>0</v>
      </c>
      <c r="M1051" s="15" t="e">
        <f>+VLOOKUP(C1051,'BG 2023'!$B:$E,1,0)</f>
        <v>#N/A</v>
      </c>
      <c r="N1051" s="806" t="e">
        <f>+VLOOKUP(C1051,'BG 2023'!$B:$E,3,0)</f>
        <v>#N/A</v>
      </c>
      <c r="O1051" s="807" t="e">
        <f t="shared" si="76"/>
        <v>#N/A</v>
      </c>
      <c r="P1051" s="807"/>
      <c r="R1051" s="807">
        <f>+IFERROR(VLOOKUP(C1051,'CA FE'!$A:$C,3,0),0)+G1051</f>
        <v>0</v>
      </c>
    </row>
    <row r="1052" spans="1:18" s="87" customFormat="1">
      <c r="A1052" s="77" t="s">
        <v>286</v>
      </c>
      <c r="B1052" s="1209"/>
      <c r="C1052" s="793">
        <v>4130111120</v>
      </c>
      <c r="D1052" s="77" t="s">
        <v>980</v>
      </c>
      <c r="E1052" s="794" t="s">
        <v>640</v>
      </c>
      <c r="F1052" s="794" t="str">
        <f t="shared" si="74"/>
        <v>I</v>
      </c>
      <c r="G1052" s="28">
        <f>+IF(F1052="i",IFERROR(VLOOKUP(C1052,'BG 12.2024'!$B:$E,3,FALSE),0),0)</f>
        <v>0</v>
      </c>
      <c r="H1052" s="21">
        <f>+IF(F1052="i",IFERROR(VLOOKUP(C1052,'BG 12.2024'!$B:$E,4,FALSE),0),0)</f>
        <v>0</v>
      </c>
      <c r="I1052" s="616"/>
      <c r="J1052" s="28">
        <f>IF(F1052="I",IFERROR(VLOOKUP(C1052,'BG 12.2023'!$B$6:$E$746,3,FALSE),0),0)</f>
        <v>0</v>
      </c>
      <c r="K1052" s="28">
        <f>IF(F1052="I",IFERROR(VLOOKUP(C1052,'BG 12.2023'!$B$6:$E$746,4,FALSE),0),0)</f>
        <v>0</v>
      </c>
      <c r="M1052" s="15" t="e">
        <f>+VLOOKUP(C1052,'BG 2023'!$B:$E,1,0)</f>
        <v>#N/A</v>
      </c>
      <c r="N1052" s="806" t="e">
        <f>+VLOOKUP(C1052,'BG 2023'!$B:$E,3,0)</f>
        <v>#N/A</v>
      </c>
      <c r="O1052" s="807" t="e">
        <f t="shared" si="76"/>
        <v>#N/A</v>
      </c>
      <c r="P1052" s="807"/>
      <c r="R1052" s="807">
        <f>+IFERROR(VLOOKUP(C1052,'CA FE'!$A:$C,3,0),0)+G1052</f>
        <v>0</v>
      </c>
    </row>
    <row r="1053" spans="1:18" s="87" customFormat="1">
      <c r="A1053" s="77" t="s">
        <v>286</v>
      </c>
      <c r="B1053" s="1209"/>
      <c r="C1053" s="793">
        <v>4130111121</v>
      </c>
      <c r="D1053" s="77" t="s">
        <v>804</v>
      </c>
      <c r="E1053" s="794" t="s">
        <v>634</v>
      </c>
      <c r="F1053" s="794" t="str">
        <f t="shared" si="74"/>
        <v>I</v>
      </c>
      <c r="G1053" s="28">
        <f>+IF(F1053="i",IFERROR(VLOOKUP(C1053,'BG 12.2024'!$B:$E,3,FALSE),0),0)</f>
        <v>0</v>
      </c>
      <c r="H1053" s="21">
        <f>+IF(F1053="i",IFERROR(VLOOKUP(C1053,'BG 12.2024'!$B:$E,4,FALSE),0),0)</f>
        <v>0</v>
      </c>
      <c r="I1053" s="616"/>
      <c r="J1053" s="28">
        <f>IF(F1053="I",IFERROR(VLOOKUP(C1053,'BG 12.2023'!$B$6:$E$746,3,FALSE),0),0)</f>
        <v>0</v>
      </c>
      <c r="K1053" s="28">
        <f>IF(F1053="I",IFERROR(VLOOKUP(C1053,'BG 12.2023'!$B$6:$E$746,4,FALSE),0),0)</f>
        <v>0</v>
      </c>
      <c r="M1053" s="15" t="e">
        <f>+VLOOKUP(C1053,'BG 2023'!$B:$E,1,0)</f>
        <v>#N/A</v>
      </c>
      <c r="N1053" s="806" t="e">
        <f>+VLOOKUP(C1053,'BG 2023'!$B:$E,3,0)</f>
        <v>#N/A</v>
      </c>
      <c r="O1053" s="807" t="e">
        <f t="shared" si="76"/>
        <v>#N/A</v>
      </c>
      <c r="P1053" s="807"/>
      <c r="R1053" s="807">
        <f>+IFERROR(VLOOKUP(C1053,'CA FE'!$A:$C,3,0),0)+G1053</f>
        <v>0</v>
      </c>
    </row>
    <row r="1054" spans="1:18" s="87" customFormat="1">
      <c r="A1054" s="77" t="s">
        <v>286</v>
      </c>
      <c r="B1054" s="1209"/>
      <c r="C1054" s="793">
        <v>4130111122</v>
      </c>
      <c r="D1054" s="77" t="s">
        <v>805</v>
      </c>
      <c r="E1054" s="794" t="s">
        <v>640</v>
      </c>
      <c r="F1054" s="794" t="str">
        <f t="shared" si="74"/>
        <v>I</v>
      </c>
      <c r="G1054" s="28">
        <f>+IF(F1054="i",IFERROR(VLOOKUP(C1054,'BG 12.2024'!$B:$E,3,FALSE),0),0)</f>
        <v>0</v>
      </c>
      <c r="H1054" s="21">
        <f>+IF(F1054="i",IFERROR(VLOOKUP(C1054,'BG 12.2024'!$B:$E,4,FALSE),0),0)</f>
        <v>0</v>
      </c>
      <c r="I1054" s="616"/>
      <c r="J1054" s="28">
        <f>IF(F1054="I",IFERROR(VLOOKUP(C1054,'BG 12.2023'!$B$6:$E$746,3,FALSE),0),0)</f>
        <v>0</v>
      </c>
      <c r="K1054" s="28">
        <f>IF(F1054="I",IFERROR(VLOOKUP(C1054,'BG 12.2023'!$B$6:$E$746,4,FALSE),0),0)</f>
        <v>0</v>
      </c>
      <c r="M1054" s="15" t="e">
        <f>+VLOOKUP(C1054,'BG 2023'!$B:$E,1,0)</f>
        <v>#N/A</v>
      </c>
      <c r="N1054" s="806" t="e">
        <f>+VLOOKUP(C1054,'BG 2023'!$B:$E,3,0)</f>
        <v>#N/A</v>
      </c>
      <c r="O1054" s="807" t="e">
        <f t="shared" si="76"/>
        <v>#N/A</v>
      </c>
      <c r="P1054" s="807"/>
      <c r="R1054" s="807">
        <f>+IFERROR(VLOOKUP(C1054,'CA FE'!$A:$C,3,0),0)+G1054</f>
        <v>0</v>
      </c>
    </row>
    <row r="1055" spans="1:18" s="87" customFormat="1">
      <c r="A1055" s="77" t="s">
        <v>286</v>
      </c>
      <c r="B1055" s="1209"/>
      <c r="C1055" s="793">
        <v>4130111123</v>
      </c>
      <c r="D1055" s="77" t="s">
        <v>981</v>
      </c>
      <c r="E1055" s="794" t="s">
        <v>634</v>
      </c>
      <c r="F1055" s="794" t="str">
        <f t="shared" si="74"/>
        <v>I</v>
      </c>
      <c r="G1055" s="28">
        <f>+IF(F1055="i",IFERROR(VLOOKUP(C1055,'BG 12.2024'!$B:$E,3,FALSE),0),0)</f>
        <v>0</v>
      </c>
      <c r="H1055" s="21">
        <f>+IF(F1055="i",IFERROR(VLOOKUP(C1055,'BG 12.2024'!$B:$E,4,FALSE),0),0)</f>
        <v>0</v>
      </c>
      <c r="I1055" s="616"/>
      <c r="J1055" s="28">
        <f>IF(F1055="I",IFERROR(VLOOKUP(C1055,'BG 12.2023'!$B$6:$E$746,3,FALSE),0),0)</f>
        <v>0</v>
      </c>
      <c r="K1055" s="28">
        <f>IF(F1055="I",IFERROR(VLOOKUP(C1055,'BG 12.2023'!$B$6:$E$746,4,FALSE),0),0)</f>
        <v>0</v>
      </c>
      <c r="M1055" s="15" t="e">
        <f>+VLOOKUP(C1055,'BG 2023'!$B:$E,1,0)</f>
        <v>#N/A</v>
      </c>
      <c r="N1055" s="806" t="e">
        <f>+VLOOKUP(C1055,'BG 2023'!$B:$E,3,0)</f>
        <v>#N/A</v>
      </c>
      <c r="O1055" s="807" t="e">
        <f t="shared" si="76"/>
        <v>#N/A</v>
      </c>
      <c r="P1055" s="807"/>
      <c r="R1055" s="807">
        <f>+IFERROR(VLOOKUP(C1055,'CA FE'!$A:$C,3,0),0)+G1055</f>
        <v>0</v>
      </c>
    </row>
    <row r="1056" spans="1:18" s="87" customFormat="1">
      <c r="A1056" s="77" t="s">
        <v>286</v>
      </c>
      <c r="B1056" s="1209"/>
      <c r="C1056" s="793">
        <v>4130111124</v>
      </c>
      <c r="D1056" s="77" t="s">
        <v>982</v>
      </c>
      <c r="E1056" s="794" t="s">
        <v>640</v>
      </c>
      <c r="F1056" s="794" t="str">
        <f t="shared" si="74"/>
        <v>I</v>
      </c>
      <c r="G1056" s="28">
        <f>+IF(F1056="i",IFERROR(VLOOKUP(C1056,'BG 12.2024'!$B:$E,3,FALSE),0),0)</f>
        <v>0</v>
      </c>
      <c r="H1056" s="21">
        <f>+IF(F1056="i",IFERROR(VLOOKUP(C1056,'BG 12.2024'!$B:$E,4,FALSE),0),0)</f>
        <v>0</v>
      </c>
      <c r="I1056" s="616"/>
      <c r="J1056" s="28">
        <f>IF(F1056="I",IFERROR(VLOOKUP(C1056,'BG 12.2023'!$B$6:$E$746,3,FALSE),0),0)</f>
        <v>0</v>
      </c>
      <c r="K1056" s="28">
        <f>IF(F1056="I",IFERROR(VLOOKUP(C1056,'BG 12.2023'!$B$6:$E$746,4,FALSE),0),0)</f>
        <v>0</v>
      </c>
      <c r="M1056" s="15" t="e">
        <f>+VLOOKUP(C1056,'BG 2023'!$B:$E,1,0)</f>
        <v>#N/A</v>
      </c>
      <c r="N1056" s="806" t="e">
        <f>+VLOOKUP(C1056,'BG 2023'!$B:$E,3,0)</f>
        <v>#N/A</v>
      </c>
      <c r="O1056" s="807" t="e">
        <f t="shared" si="76"/>
        <v>#N/A</v>
      </c>
      <c r="P1056" s="807"/>
      <c r="R1056" s="807">
        <f>+IFERROR(VLOOKUP(C1056,'CA FE'!$A:$C,3,0),0)+G1056</f>
        <v>0</v>
      </c>
    </row>
    <row r="1057" spans="1:19" s="87" customFormat="1">
      <c r="A1057" s="77" t="s">
        <v>286</v>
      </c>
      <c r="B1057" s="1209"/>
      <c r="C1057" s="793">
        <v>4130111125</v>
      </c>
      <c r="D1057" s="77" t="s">
        <v>983</v>
      </c>
      <c r="E1057" s="794" t="s">
        <v>634</v>
      </c>
      <c r="F1057" s="794" t="str">
        <f t="shared" si="74"/>
        <v>I</v>
      </c>
      <c r="G1057" s="28">
        <f>+IF(F1057="i",IFERROR(VLOOKUP(C1057,'BG 12.2024'!$B:$E,3,FALSE),0),0)</f>
        <v>0</v>
      </c>
      <c r="H1057" s="21">
        <f>+IF(F1057="i",IFERROR(VLOOKUP(C1057,'BG 12.2024'!$B:$E,4,FALSE),0),0)</f>
        <v>0</v>
      </c>
      <c r="I1057" s="616"/>
      <c r="J1057" s="28">
        <f>IF(F1057="I",IFERROR(VLOOKUP(C1057,'BG 12.2023'!$B$6:$E$746,3,FALSE),0),0)</f>
        <v>0</v>
      </c>
      <c r="K1057" s="28">
        <f>IF(F1057="I",IFERROR(VLOOKUP(C1057,'BG 12.2023'!$B$6:$E$746,4,FALSE),0),0)</f>
        <v>0</v>
      </c>
      <c r="M1057" s="15" t="e">
        <f>+VLOOKUP(C1057,'BG 2023'!$B:$E,1,0)</f>
        <v>#N/A</v>
      </c>
      <c r="N1057" s="806" t="e">
        <f>+VLOOKUP(C1057,'BG 2023'!$B:$E,3,0)</f>
        <v>#N/A</v>
      </c>
      <c r="O1057" s="807" t="e">
        <f t="shared" si="76"/>
        <v>#N/A</v>
      </c>
      <c r="P1057" s="807"/>
      <c r="R1057" s="807">
        <f>+IFERROR(VLOOKUP(C1057,'CA FE'!$A:$C,3,0),0)+G1057</f>
        <v>0</v>
      </c>
    </row>
    <row r="1058" spans="1:19" s="87" customFormat="1">
      <c r="A1058" s="77" t="s">
        <v>286</v>
      </c>
      <c r="B1058" s="1209"/>
      <c r="C1058" s="793">
        <v>4130111126</v>
      </c>
      <c r="D1058" s="77" t="s">
        <v>984</v>
      </c>
      <c r="E1058" s="794" t="s">
        <v>640</v>
      </c>
      <c r="F1058" s="794" t="str">
        <f t="shared" si="74"/>
        <v>I</v>
      </c>
      <c r="G1058" s="28">
        <f>+IF(F1058="i",IFERROR(VLOOKUP(C1058,'BG 12.2024'!$B:$E,3,FALSE),0),0)</f>
        <v>0</v>
      </c>
      <c r="H1058" s="21">
        <f>+IF(F1058="i",IFERROR(VLOOKUP(C1058,'BG 12.2024'!$B:$E,4,FALSE),0),0)</f>
        <v>0</v>
      </c>
      <c r="I1058" s="616"/>
      <c r="J1058" s="28">
        <f>IF(F1058="I",IFERROR(VLOOKUP(C1058,'BG 12.2023'!$B$6:$E$746,3,FALSE),0),0)</f>
        <v>0</v>
      </c>
      <c r="K1058" s="28">
        <f>IF(F1058="I",IFERROR(VLOOKUP(C1058,'BG 12.2023'!$B$6:$E$746,4,FALSE),0),0)</f>
        <v>0</v>
      </c>
      <c r="M1058" s="15" t="e">
        <f>+VLOOKUP(C1058,'BG 2023'!$B:$E,1,0)</f>
        <v>#N/A</v>
      </c>
      <c r="N1058" s="806" t="e">
        <f>+VLOOKUP(C1058,'BG 2023'!$B:$E,3,0)</f>
        <v>#N/A</v>
      </c>
      <c r="O1058" s="807" t="e">
        <f t="shared" si="76"/>
        <v>#N/A</v>
      </c>
      <c r="P1058" s="807"/>
      <c r="R1058" s="807">
        <f>+IFERROR(VLOOKUP(C1058,'CA FE'!$A:$C,3,0),0)+G1058</f>
        <v>0</v>
      </c>
    </row>
    <row r="1059" spans="1:19" s="87" customFormat="1">
      <c r="A1059" s="77" t="s">
        <v>286</v>
      </c>
      <c r="B1059" s="1209"/>
      <c r="C1059" s="793">
        <v>4130111127</v>
      </c>
      <c r="D1059" s="77" t="s">
        <v>985</v>
      </c>
      <c r="E1059" s="794" t="s">
        <v>634</v>
      </c>
      <c r="F1059" s="794" t="str">
        <f t="shared" si="74"/>
        <v>I</v>
      </c>
      <c r="G1059" s="28">
        <f>+IF(F1059="i",IFERROR(VLOOKUP(C1059,'BG 12.2024'!$B:$E,3,FALSE),0),0)</f>
        <v>0</v>
      </c>
      <c r="H1059" s="21">
        <f>+IF(F1059="i",IFERROR(VLOOKUP(C1059,'BG 12.2024'!$B:$E,4,FALSE),0),0)</f>
        <v>0</v>
      </c>
      <c r="I1059" s="616"/>
      <c r="J1059" s="28">
        <f>IF(F1059="I",IFERROR(VLOOKUP(C1059,'BG 12.2023'!$B$6:$E$746,3,FALSE),0),0)</f>
        <v>0</v>
      </c>
      <c r="K1059" s="28">
        <f>IF(F1059="I",IFERROR(VLOOKUP(C1059,'BG 12.2023'!$B$6:$E$746,4,FALSE),0),0)</f>
        <v>0</v>
      </c>
      <c r="M1059" s="15" t="e">
        <f>+VLOOKUP(C1059,'BG 2023'!$B:$E,1,0)</f>
        <v>#N/A</v>
      </c>
      <c r="N1059" s="806" t="e">
        <f>+VLOOKUP(C1059,'BG 2023'!$B:$E,3,0)</f>
        <v>#N/A</v>
      </c>
      <c r="O1059" s="807" t="e">
        <f t="shared" si="76"/>
        <v>#N/A</v>
      </c>
      <c r="P1059" s="807"/>
      <c r="R1059" s="807">
        <f>+IFERROR(VLOOKUP(C1059,'CA FE'!$A:$C,3,0),0)+G1059</f>
        <v>0</v>
      </c>
    </row>
    <row r="1060" spans="1:19" s="87" customFormat="1">
      <c r="A1060" s="77" t="s">
        <v>286</v>
      </c>
      <c r="B1060" s="1209"/>
      <c r="C1060" s="793">
        <v>4130111128</v>
      </c>
      <c r="D1060" s="77" t="s">
        <v>986</v>
      </c>
      <c r="E1060" s="794" t="s">
        <v>640</v>
      </c>
      <c r="F1060" s="794" t="str">
        <f t="shared" si="74"/>
        <v>I</v>
      </c>
      <c r="G1060" s="28">
        <f>+IF(F1060="i",IFERROR(VLOOKUP(C1060,'BG 12.2024'!$B:$E,3,FALSE),0),0)</f>
        <v>0</v>
      </c>
      <c r="H1060" s="21">
        <f>+IF(F1060="i",IFERROR(VLOOKUP(C1060,'BG 12.2024'!$B:$E,4,FALSE),0),0)</f>
        <v>0</v>
      </c>
      <c r="I1060" s="616"/>
      <c r="J1060" s="28">
        <f>IF(F1060="I",IFERROR(VLOOKUP(C1060,'BG 12.2023'!$B$6:$E$746,3,FALSE),0),0)</f>
        <v>0</v>
      </c>
      <c r="K1060" s="28">
        <f>IF(F1060="I",IFERROR(VLOOKUP(C1060,'BG 12.2023'!$B$6:$E$746,4,FALSE),0),0)</f>
        <v>0</v>
      </c>
      <c r="M1060" s="15" t="e">
        <f>+VLOOKUP(C1060,'BG 2023'!$B:$E,1,0)</f>
        <v>#N/A</v>
      </c>
      <c r="N1060" s="806" t="e">
        <f>+VLOOKUP(C1060,'BG 2023'!$B:$E,3,0)</f>
        <v>#N/A</v>
      </c>
      <c r="O1060" s="807" t="e">
        <f t="shared" si="76"/>
        <v>#N/A</v>
      </c>
      <c r="P1060" s="807"/>
      <c r="R1060" s="807">
        <f>+IFERROR(VLOOKUP(C1060,'CA FE'!$A:$C,3,0),0)+G1060</f>
        <v>0</v>
      </c>
    </row>
    <row r="1061" spans="1:19" s="87" customFormat="1">
      <c r="A1061" s="77" t="s">
        <v>286</v>
      </c>
      <c r="B1061" s="1209" t="s">
        <v>977</v>
      </c>
      <c r="C1061" s="793">
        <v>4130111129</v>
      </c>
      <c r="D1061" s="77" t="s">
        <v>279</v>
      </c>
      <c r="E1061" s="794" t="s">
        <v>634</v>
      </c>
      <c r="F1061" s="794" t="str">
        <f t="shared" si="74"/>
        <v>I</v>
      </c>
      <c r="G1061" s="28">
        <f>+IF(F1061="i",IFERROR(VLOOKUP(C1061,'BG 12.2024'!$B:$E,3,FALSE),0),0)</f>
        <v>469957279</v>
      </c>
      <c r="H1061" s="21">
        <f>+IF(F1061="i",IFERROR(VLOOKUP(C1061,'BG 12.2024'!$B:$E,4,FALSE),0),0)</f>
        <v>61168.639999999999</v>
      </c>
      <c r="I1061" s="616"/>
      <c r="J1061" s="28">
        <f>IF(F1061="I",IFERROR(VLOOKUP(C1061,'BG 12.2023'!$B$6:$E$746,3,FALSE),0),0)</f>
        <v>17034157</v>
      </c>
      <c r="K1061" s="28">
        <f>IF(F1061="I",IFERROR(VLOOKUP(C1061,'BG 12.2023'!$B$6:$E$746,4,FALSE),0),0)</f>
        <v>2321.2199999999998</v>
      </c>
      <c r="M1061" s="15">
        <f>+VLOOKUP(C1061,'BG 2023'!$B:$E,1,0)</f>
        <v>4130111129</v>
      </c>
      <c r="N1061" s="806">
        <f>+VLOOKUP(C1061,'BG 2023'!$B:$E,3,0)</f>
        <v>17034157</v>
      </c>
      <c r="O1061" s="807">
        <f t="shared" si="76"/>
        <v>-452923122</v>
      </c>
      <c r="P1061" s="807">
        <f>+VLOOKUP(C1061,'BG 12.2024'!$B$471:$E$866,4,0)-H1061</f>
        <v>0</v>
      </c>
      <c r="R1061" s="807">
        <f>+IFERROR(VLOOKUP(C1061,'CA FE'!$A:$C,3,0),0)+G1061</f>
        <v>0</v>
      </c>
    </row>
    <row r="1062" spans="1:19" s="87" customFormat="1">
      <c r="A1062" s="77" t="s">
        <v>286</v>
      </c>
      <c r="B1062" s="77"/>
      <c r="C1062" s="793">
        <v>4130111130</v>
      </c>
      <c r="D1062" s="77" t="s">
        <v>987</v>
      </c>
      <c r="E1062" s="794" t="s">
        <v>640</v>
      </c>
      <c r="F1062" s="794" t="str">
        <f t="shared" si="74"/>
        <v>I</v>
      </c>
      <c r="G1062" s="28">
        <f>+IF(F1062="i",IFERROR(VLOOKUP(C1062,'BG 12.2024'!$B:$E,3,FALSE),0),0)</f>
        <v>0</v>
      </c>
      <c r="H1062" s="21">
        <f>+IF(F1062="i",IFERROR(VLOOKUP(C1062,'BG 12.2024'!$B:$E,4,FALSE),0),0)</f>
        <v>0</v>
      </c>
      <c r="I1062" s="616"/>
      <c r="J1062" s="28">
        <f>IF(F1062="I",IFERROR(VLOOKUP(C1062,'BG 12.2023'!$B$6:$E$746,3,FALSE),0),0)</f>
        <v>0</v>
      </c>
      <c r="K1062" s="28">
        <f>IF(F1062="I",IFERROR(VLOOKUP(C1062,'BG 12.2023'!$B$6:$E$746,4,FALSE),0),0)</f>
        <v>0</v>
      </c>
      <c r="M1062" s="15" t="e">
        <f>+VLOOKUP(C1062,'BG 2023'!$B:$E,1,0)</f>
        <v>#N/A</v>
      </c>
      <c r="N1062" s="806" t="e">
        <f>+VLOOKUP(C1062,'BG 2023'!$B:$E,3,0)</f>
        <v>#N/A</v>
      </c>
      <c r="O1062" s="807" t="e">
        <f t="shared" si="76"/>
        <v>#N/A</v>
      </c>
      <c r="P1062" s="807"/>
      <c r="R1062" s="807">
        <f>+IFERROR(VLOOKUP(C1062,'CA FE'!$A:$C,3,0),0)+G1062</f>
        <v>0</v>
      </c>
    </row>
    <row r="1063" spans="1:19" s="87" customFormat="1">
      <c r="A1063" s="77" t="s">
        <v>286</v>
      </c>
      <c r="B1063" s="77"/>
      <c r="C1063" s="793">
        <v>41301112</v>
      </c>
      <c r="D1063" s="77" t="s">
        <v>988</v>
      </c>
      <c r="E1063" s="794" t="s">
        <v>634</v>
      </c>
      <c r="F1063" s="794" t="str">
        <f t="shared" si="74"/>
        <v>NI</v>
      </c>
      <c r="G1063" s="28">
        <f>+IF(F1063="i",IFERROR(VLOOKUP(C1063,'BG 12.2024'!$B:$E,3,FALSE),0),0)</f>
        <v>0</v>
      </c>
      <c r="H1063" s="21">
        <f>+IF(F1063="i",IFERROR(VLOOKUP(C1063,'BG 12.2024'!$B:$E,4,FALSE),0),0)</f>
        <v>0</v>
      </c>
      <c r="I1063" s="616"/>
      <c r="J1063" s="28">
        <f>IF(F1063="I",IFERROR(VLOOKUP(C1063,'BG 12.2023'!$B$6:$E$746,3,FALSE),0),0)</f>
        <v>0</v>
      </c>
      <c r="K1063" s="28">
        <f>IF(F1063="I",IFERROR(VLOOKUP(C1063,'BG 12.2023'!$B$6:$E$746,4,FALSE),0),0)</f>
        <v>0</v>
      </c>
      <c r="M1063" s="15">
        <f>+VLOOKUP(C1063,'BG 2023'!$B:$E,1,0)</f>
        <v>41301112</v>
      </c>
      <c r="N1063" s="806">
        <f>+VLOOKUP(C1063,'BG 2023'!$B:$E,3,0)</f>
        <v>237545542</v>
      </c>
      <c r="O1063" s="807">
        <f t="shared" si="76"/>
        <v>237545542</v>
      </c>
      <c r="P1063" s="807"/>
      <c r="R1063" s="807">
        <f>+IFERROR(VLOOKUP(C1063,'CA FE'!$A:$C,3,0),0)+G1063</f>
        <v>0</v>
      </c>
    </row>
    <row r="1064" spans="1:19" s="87" customFormat="1">
      <c r="A1064" s="77" t="s">
        <v>286</v>
      </c>
      <c r="B1064" s="77" t="s">
        <v>974</v>
      </c>
      <c r="C1064" s="793">
        <v>4130111201</v>
      </c>
      <c r="D1064" s="77" t="s">
        <v>335</v>
      </c>
      <c r="E1064" s="794" t="s">
        <v>634</v>
      </c>
      <c r="F1064" s="794" t="str">
        <f t="shared" si="74"/>
        <v>I</v>
      </c>
      <c r="G1064" s="28">
        <f>+IF(F1064="i",IFERROR(VLOOKUP(C1064,'BG 12.2024'!$B:$E,3,FALSE),0),0)</f>
        <v>204138454</v>
      </c>
      <c r="H1064" s="21">
        <f>+IF(F1064="i",IFERROR(VLOOKUP(C1064,'BG 12.2024'!$B:$E,4,FALSE),0),0)</f>
        <v>27243.9</v>
      </c>
      <c r="I1064" s="616"/>
      <c r="J1064" s="28">
        <f>IF(F1064="I",IFERROR(VLOOKUP(C1064,'BG 12.2023'!$B$6:$E$746,3,FALSE),0),0)</f>
        <v>237545542</v>
      </c>
      <c r="K1064" s="28">
        <f>IF(F1064="I",IFERROR(VLOOKUP(C1064,'BG 12.2023'!$B$6:$E$746,4,FALSE),0),0)</f>
        <v>32937.65</v>
      </c>
      <c r="M1064" s="15">
        <f>+VLOOKUP(C1064,'BG 2023'!$B:$E,1,0)</f>
        <v>4130111201</v>
      </c>
      <c r="N1064" s="806">
        <f>+VLOOKUP(C1064,'BG 2023'!$B:$E,3,0)</f>
        <v>237545542</v>
      </c>
      <c r="O1064" s="807">
        <f t="shared" si="76"/>
        <v>33407088</v>
      </c>
      <c r="P1064" s="807"/>
      <c r="R1064" s="807">
        <f>+IFERROR(VLOOKUP(C1064,'CA FE'!$A:$C,3,0),0)+G1064</f>
        <v>0</v>
      </c>
      <c r="S1064" s="87" t="s">
        <v>989</v>
      </c>
    </row>
    <row r="1065" spans="1:19" s="87" customFormat="1">
      <c r="A1065" s="77" t="s">
        <v>286</v>
      </c>
      <c r="B1065" s="77"/>
      <c r="C1065" s="793">
        <v>4130111202</v>
      </c>
      <c r="D1065" s="77" t="s">
        <v>988</v>
      </c>
      <c r="E1065" s="794" t="s">
        <v>634</v>
      </c>
      <c r="F1065" s="794" t="str">
        <f t="shared" ref="F1065:F1132" si="77">+IF(LEN(C1065)&gt;8,"I","NI")</f>
        <v>I</v>
      </c>
      <c r="G1065" s="28">
        <f>+IF(F1065="i",IFERROR(VLOOKUP(C1065,'BG 12.2024'!$B:$E,3,FALSE),0),0)</f>
        <v>0</v>
      </c>
      <c r="H1065" s="21">
        <f>+IF(F1065="i",IFERROR(VLOOKUP(C1065,'BG 12.2024'!$B:$E,4,FALSE),0),0)</f>
        <v>0</v>
      </c>
      <c r="I1065" s="616"/>
      <c r="J1065" s="28">
        <f>IF(F1065="I",IFERROR(VLOOKUP(C1065,'BG 12.2023'!$B$6:$E$746,3,FALSE),0),0)</f>
        <v>0</v>
      </c>
      <c r="K1065" s="28">
        <f>IF(F1065="I",IFERROR(VLOOKUP(C1065,'BG 12.2023'!$B$6:$E$746,4,FALSE),0),0)</f>
        <v>0</v>
      </c>
      <c r="M1065" s="15" t="e">
        <f>+VLOOKUP(C1065,'BG 2023'!$B:$E,1,0)</f>
        <v>#N/A</v>
      </c>
      <c r="N1065" s="806" t="e">
        <f>+VLOOKUP(C1065,'BG 2023'!$B:$E,3,0)</f>
        <v>#N/A</v>
      </c>
      <c r="O1065" s="807" t="e">
        <f t="shared" si="76"/>
        <v>#N/A</v>
      </c>
      <c r="P1065" s="807"/>
      <c r="R1065" s="807">
        <f>+IFERROR(VLOOKUP(C1065,'CA FE'!$A:$C,3,0),0)+G1065</f>
        <v>0</v>
      </c>
    </row>
    <row r="1066" spans="1:19" s="87" customFormat="1">
      <c r="A1066" s="77" t="s">
        <v>286</v>
      </c>
      <c r="B1066" s="77"/>
      <c r="C1066" s="793">
        <v>4130112</v>
      </c>
      <c r="D1066" s="77" t="s">
        <v>336</v>
      </c>
      <c r="E1066" s="794" t="s">
        <v>634</v>
      </c>
      <c r="F1066" s="794" t="str">
        <f t="shared" si="77"/>
        <v>NI</v>
      </c>
      <c r="G1066" s="28">
        <f>+IF(F1066="i",IFERROR(VLOOKUP(C1066,'BG 12.2024'!$B:$E,3,FALSE),0),0)</f>
        <v>0</v>
      </c>
      <c r="H1066" s="21">
        <f>+IF(F1066="i",IFERROR(VLOOKUP(C1066,'BG 12.2024'!$B:$E,4,FALSE),0),0)</f>
        <v>0</v>
      </c>
      <c r="I1066" s="616"/>
      <c r="J1066" s="28">
        <f>IF(F1066="I",IFERROR(VLOOKUP(C1066,'BG 12.2023'!$B$6:$E$746,3,FALSE),0),0)</f>
        <v>0</v>
      </c>
      <c r="K1066" s="28">
        <f>IF(F1066="I",IFERROR(VLOOKUP(C1066,'BG 12.2023'!$B$6:$E$746,4,FALSE),0),0)</f>
        <v>0</v>
      </c>
      <c r="M1066" s="15">
        <f>+VLOOKUP(C1066,'BG 2023'!$B:$E,1,0)</f>
        <v>4130112</v>
      </c>
      <c r="N1066" s="806">
        <f>+VLOOKUP(C1066,'BG 2023'!$B:$E,3,0)</f>
        <v>1739654333</v>
      </c>
      <c r="O1066" s="807">
        <f t="shared" si="76"/>
        <v>1739654333</v>
      </c>
      <c r="P1066" s="807"/>
      <c r="R1066" s="807">
        <f>+IFERROR(VLOOKUP(C1066,'CA FE'!$A:$C,3,0),0)+G1066</f>
        <v>0</v>
      </c>
    </row>
    <row r="1067" spans="1:19" s="87" customFormat="1">
      <c r="A1067" s="77" t="s">
        <v>286</v>
      </c>
      <c r="B1067" s="77"/>
      <c r="C1067" s="793">
        <v>41301121</v>
      </c>
      <c r="D1067" s="77" t="s">
        <v>337</v>
      </c>
      <c r="E1067" s="794" t="s">
        <v>634</v>
      </c>
      <c r="F1067" s="794" t="str">
        <f t="shared" si="77"/>
        <v>NI</v>
      </c>
      <c r="G1067" s="28">
        <f>+IF(F1067="i",IFERROR(VLOOKUP(C1067,'BG 12.2024'!$B:$E,3,FALSE),0),0)</f>
        <v>0</v>
      </c>
      <c r="H1067" s="21">
        <f>+IF(F1067="i",IFERROR(VLOOKUP(C1067,'BG 12.2024'!$B:$E,4,FALSE),0),0)</f>
        <v>0</v>
      </c>
      <c r="I1067" s="616"/>
      <c r="J1067" s="28">
        <f>IF(F1067="I",IFERROR(VLOOKUP(C1067,'BG 12.2023'!$B$6:$E$746,3,FALSE),0),0)</f>
        <v>0</v>
      </c>
      <c r="K1067" s="28">
        <f>IF(F1067="I",IFERROR(VLOOKUP(C1067,'BG 12.2023'!$B$6:$E$746,4,FALSE),0),0)</f>
        <v>0</v>
      </c>
      <c r="M1067" s="15">
        <f>+VLOOKUP(C1067,'BG 2023'!$B:$E,1,0)</f>
        <v>41301121</v>
      </c>
      <c r="N1067" s="806">
        <f>+VLOOKUP(C1067,'BG 2023'!$B:$E,3,0)</f>
        <v>289301619</v>
      </c>
      <c r="O1067" s="807">
        <f t="shared" si="76"/>
        <v>289301619</v>
      </c>
      <c r="P1067" s="807"/>
      <c r="R1067" s="807">
        <f>+IFERROR(VLOOKUP(C1067,'CA FE'!$A:$C,3,0),0)+G1067</f>
        <v>0</v>
      </c>
    </row>
    <row r="1068" spans="1:19" s="87" customFormat="1">
      <c r="A1068" s="77" t="s">
        <v>286</v>
      </c>
      <c r="B1068" s="77" t="s">
        <v>974</v>
      </c>
      <c r="C1068" s="793">
        <v>4130112101</v>
      </c>
      <c r="D1068" s="77" t="s">
        <v>57</v>
      </c>
      <c r="E1068" s="794" t="s">
        <v>634</v>
      </c>
      <c r="F1068" s="794" t="str">
        <f t="shared" si="77"/>
        <v>I</v>
      </c>
      <c r="G1068" s="28">
        <f>+IF(F1068="i",IFERROR(VLOOKUP(C1068,'BG 12.2024'!$B:$E,3,FALSE),0),0)</f>
        <v>34415221</v>
      </c>
      <c r="H1068" s="21">
        <f>+IF(F1068="i",IFERROR(VLOOKUP(C1068,'BG 12.2024'!$B:$E,4,FALSE),0),0)</f>
        <v>4478.6099999999997</v>
      </c>
      <c r="I1068" s="616"/>
      <c r="J1068" s="28">
        <f>IF(F1068="I",IFERROR(VLOOKUP(C1068,'BG 12.2023'!$B$6:$E$746,3,FALSE),0),0)</f>
        <v>2102920</v>
      </c>
      <c r="K1068" s="28">
        <f>IF(F1068="I",IFERROR(VLOOKUP(C1068,'BG 12.2023'!$B$6:$E$746,4,FALSE),0),0)</f>
        <v>285.77999999999997</v>
      </c>
      <c r="M1068" s="15">
        <f>+VLOOKUP(C1068,'BG 2023'!$B:$E,1,0)</f>
        <v>4130112101</v>
      </c>
      <c r="N1068" s="806">
        <f>+VLOOKUP(C1068,'BG 2023'!$B:$E,3,0)</f>
        <v>2102920</v>
      </c>
      <c r="O1068" s="807">
        <f t="shared" si="76"/>
        <v>-32312301</v>
      </c>
      <c r="P1068" s="807">
        <f>+VLOOKUP(C1068,'BG 12.2024'!$B$471:$E$866,4,0)-H1068</f>
        <v>0</v>
      </c>
      <c r="R1068" s="807">
        <f>+IFERROR(VLOOKUP(C1068,'CA FE'!$A:$C,3,0),0)+G1068</f>
        <v>0</v>
      </c>
      <c r="S1068" s="87" t="s">
        <v>990</v>
      </c>
    </row>
    <row r="1069" spans="1:19" s="87" customFormat="1">
      <c r="A1069" s="77" t="s">
        <v>286</v>
      </c>
      <c r="B1069" s="77" t="s">
        <v>974</v>
      </c>
      <c r="C1069" s="793">
        <v>4130112102</v>
      </c>
      <c r="D1069" s="77" t="s">
        <v>254</v>
      </c>
      <c r="E1069" s="794" t="s">
        <v>640</v>
      </c>
      <c r="F1069" s="794" t="str">
        <f t="shared" si="77"/>
        <v>I</v>
      </c>
      <c r="G1069" s="28">
        <f>+IF(F1069="i",IFERROR(VLOOKUP(C1069,'BG 12.2024'!$B:$E,3,FALSE),0),0)</f>
        <v>206953</v>
      </c>
      <c r="H1069" s="21">
        <f>+IF(F1069="i",IFERROR(VLOOKUP(C1069,'BG 12.2024'!$B:$E,4,FALSE),0),0)</f>
        <v>27.709999999999997</v>
      </c>
      <c r="I1069" s="616"/>
      <c r="J1069" s="28">
        <f>IF(F1069="I",IFERROR(VLOOKUP(C1069,'BG 12.2023'!$B$6:$E$746,3,FALSE),0),0)</f>
        <v>186203</v>
      </c>
      <c r="K1069" s="28">
        <f>IF(F1069="I",IFERROR(VLOOKUP(C1069,'BG 12.2023'!$B$6:$E$746,4,FALSE),0),0)</f>
        <v>26.110000000000003</v>
      </c>
      <c r="M1069" s="15">
        <f>+VLOOKUP(C1069,'BG 2023'!$B:$E,1,0)</f>
        <v>4130112102</v>
      </c>
      <c r="N1069" s="806">
        <f>+VLOOKUP(C1069,'BG 2023'!$B:$E,3,0)</f>
        <v>186203</v>
      </c>
      <c r="O1069" s="807">
        <f t="shared" si="76"/>
        <v>-20750</v>
      </c>
      <c r="P1069" s="807">
        <f>+VLOOKUP(C1069,'BG 12.2024'!$B$471:$E$866,4,0)-H1069</f>
        <v>0</v>
      </c>
      <c r="R1069" s="807">
        <f>+IFERROR(VLOOKUP(C1069,'CA FE'!$A:$C,3,0),0)+G1069</f>
        <v>0</v>
      </c>
      <c r="S1069" s="87" t="s">
        <v>990</v>
      </c>
    </row>
    <row r="1070" spans="1:19" s="87" customFormat="1">
      <c r="A1070" s="77" t="s">
        <v>286</v>
      </c>
      <c r="B1070" s="77"/>
      <c r="C1070" s="793">
        <v>4130112103</v>
      </c>
      <c r="D1070" s="77" t="s">
        <v>256</v>
      </c>
      <c r="E1070" s="794" t="s">
        <v>634</v>
      </c>
      <c r="F1070" s="794" t="str">
        <f t="shared" si="77"/>
        <v>I</v>
      </c>
      <c r="G1070" s="28">
        <f>+IF(F1070="i",IFERROR(VLOOKUP(C1070,'BG 12.2024'!$B:$E,3,FALSE),0),0)</f>
        <v>0</v>
      </c>
      <c r="H1070" s="21">
        <f>+IF(F1070="i",IFERROR(VLOOKUP(C1070,'BG 12.2024'!$B:$E,4,FALSE),0),0)</f>
        <v>0</v>
      </c>
      <c r="I1070" s="616"/>
      <c r="J1070" s="28">
        <f>IF(F1070="I",IFERROR(VLOOKUP(C1070,'BG 12.2023'!$B$6:$E$746,3,FALSE),0),0)</f>
        <v>0</v>
      </c>
      <c r="K1070" s="28">
        <f>IF(F1070="I",IFERROR(VLOOKUP(C1070,'BG 12.2023'!$B$6:$E$746,4,FALSE),0),0)</f>
        <v>0</v>
      </c>
      <c r="M1070" s="15" t="e">
        <f>+VLOOKUP(C1070,'BG 2023'!$B:$E,1,0)</f>
        <v>#N/A</v>
      </c>
      <c r="N1070" s="806" t="e">
        <f>+VLOOKUP(C1070,'BG 2023'!$B:$E,3,0)</f>
        <v>#N/A</v>
      </c>
      <c r="O1070" s="807" t="e">
        <f t="shared" si="76"/>
        <v>#N/A</v>
      </c>
      <c r="P1070" s="807"/>
      <c r="R1070" s="807">
        <f>+IFERROR(VLOOKUP(C1070,'CA FE'!$A:$C,3,0),0)+G1070</f>
        <v>0</v>
      </c>
    </row>
    <row r="1071" spans="1:19" s="87" customFormat="1">
      <c r="A1071" s="77" t="s">
        <v>286</v>
      </c>
      <c r="B1071" s="77" t="s">
        <v>974</v>
      </c>
      <c r="C1071" s="793">
        <v>4130112104</v>
      </c>
      <c r="D1071" s="77" t="s">
        <v>258</v>
      </c>
      <c r="E1071" s="794" t="s">
        <v>640</v>
      </c>
      <c r="F1071" s="794" t="str">
        <f t="shared" si="77"/>
        <v>I</v>
      </c>
      <c r="G1071" s="28">
        <f>+IF(F1071="i",IFERROR(VLOOKUP(C1071,'BG 12.2024'!$B:$E,3,FALSE),0),0)</f>
        <v>143120</v>
      </c>
      <c r="H1071" s="21">
        <f>+IF(F1071="i",IFERROR(VLOOKUP(C1071,'BG 12.2024'!$B:$E,4,FALSE),0),0)</f>
        <v>18.41</v>
      </c>
      <c r="I1071" s="616"/>
      <c r="J1071" s="28">
        <f>IF(F1071="I",IFERROR(VLOOKUP(C1071,'BG 12.2023'!$B$6:$E$746,3,FALSE),0),0)</f>
        <v>110527</v>
      </c>
      <c r="K1071" s="28">
        <f>IF(F1071="I",IFERROR(VLOOKUP(C1071,'BG 12.2023'!$B$6:$E$746,4,FALSE),0),0)</f>
        <v>14.950000000000003</v>
      </c>
      <c r="M1071" s="15">
        <f>+VLOOKUP(C1071,'BG 2023'!$B:$E,1,0)</f>
        <v>4130112104</v>
      </c>
      <c r="N1071" s="806">
        <f>+VLOOKUP(C1071,'BG 2023'!$B:$E,3,0)</f>
        <v>110527</v>
      </c>
      <c r="O1071" s="807">
        <f t="shared" si="76"/>
        <v>-32593</v>
      </c>
      <c r="P1071" s="807">
        <f>+VLOOKUP(C1071,'BG 12.2024'!$B$471:$E$866,4,0)-H1071</f>
        <v>0</v>
      </c>
      <c r="R1071" s="807">
        <f>+IFERROR(VLOOKUP(C1071,'CA FE'!$A:$C,3,0),0)+G1071</f>
        <v>0</v>
      </c>
      <c r="S1071" s="87" t="s">
        <v>990</v>
      </c>
    </row>
    <row r="1072" spans="1:19" s="87" customFormat="1">
      <c r="A1072" s="77" t="s">
        <v>286</v>
      </c>
      <c r="B1072" s="77" t="s">
        <v>962</v>
      </c>
      <c r="C1072" s="793">
        <v>4130112105</v>
      </c>
      <c r="D1072" s="77" t="s">
        <v>59</v>
      </c>
      <c r="E1072" s="794" t="s">
        <v>634</v>
      </c>
      <c r="F1072" s="794" t="str">
        <f t="shared" si="77"/>
        <v>I</v>
      </c>
      <c r="G1072" s="28">
        <f>+IF(F1072="i",IFERROR(VLOOKUP(C1072,'BG 12.2024'!$B:$E,3,FALSE),0),0)</f>
        <v>13354695</v>
      </c>
      <c r="H1072" s="21">
        <f>+IF(F1072="i",IFERROR(VLOOKUP(C1072,'BG 12.2024'!$B:$E,4,FALSE),0),0)</f>
        <v>1747.1899999999996</v>
      </c>
      <c r="I1072" s="616"/>
      <c r="J1072" s="28">
        <f>IF(F1072="I",IFERROR(VLOOKUP(C1072,'BG 12.2023'!$B$6:$E$746,3,FALSE),0),0)</f>
        <v>17480068</v>
      </c>
      <c r="K1072" s="28">
        <f>IF(F1072="I",IFERROR(VLOOKUP(C1072,'BG 12.2023'!$B$6:$E$746,4,FALSE),0),0)</f>
        <v>2378.2800000000002</v>
      </c>
      <c r="M1072" s="15">
        <f>+VLOOKUP(C1072,'BG 2023'!$B:$E,1,0)</f>
        <v>4130112105</v>
      </c>
      <c r="N1072" s="806">
        <f>+VLOOKUP(C1072,'BG 2023'!$B:$E,3,0)</f>
        <v>17480068</v>
      </c>
      <c r="O1072" s="807">
        <f t="shared" si="76"/>
        <v>4125373</v>
      </c>
      <c r="P1072" s="807">
        <f>+VLOOKUP(C1072,'BG 12.2024'!$B$471:$E$866,4,0)-H1072</f>
        <v>0</v>
      </c>
      <c r="R1072" s="807">
        <f>+IFERROR(VLOOKUP(C1072,'CA FE'!$A:$C,3,0),0)+G1072</f>
        <v>0</v>
      </c>
    </row>
    <row r="1073" spans="1:19" s="87" customFormat="1">
      <c r="A1073" s="77" t="s">
        <v>286</v>
      </c>
      <c r="B1073" s="77" t="s">
        <v>962</v>
      </c>
      <c r="C1073" s="793">
        <v>4130112106</v>
      </c>
      <c r="D1073" s="77" t="s">
        <v>60</v>
      </c>
      <c r="E1073" s="794" t="s">
        <v>640</v>
      </c>
      <c r="F1073" s="794" t="str">
        <f t="shared" si="77"/>
        <v>I</v>
      </c>
      <c r="G1073" s="28">
        <f>+IF(F1073="i",IFERROR(VLOOKUP(C1073,'BG 12.2024'!$B:$E,3,FALSE),0),0)</f>
        <v>7373291</v>
      </c>
      <c r="H1073" s="21">
        <f>+IF(F1073="i",IFERROR(VLOOKUP(C1073,'BG 12.2024'!$B:$E,4,FALSE),0),0)</f>
        <v>1013.82</v>
      </c>
      <c r="I1073" s="616"/>
      <c r="J1073" s="28">
        <f>IF(F1073="I",IFERROR(VLOOKUP(C1073,'BG 12.2023'!$B$6:$E$746,3,FALSE),0),0)</f>
        <v>1528795</v>
      </c>
      <c r="K1073" s="28">
        <f>IF(F1073="I",IFERROR(VLOOKUP(C1073,'BG 12.2023'!$B$6:$E$746,4,FALSE),0),0)</f>
        <v>210.43</v>
      </c>
      <c r="M1073" s="15">
        <f>+VLOOKUP(C1073,'BG 2023'!$B:$E,1,0)</f>
        <v>4130112106</v>
      </c>
      <c r="N1073" s="806">
        <f>+VLOOKUP(C1073,'BG 2023'!$B:$E,3,0)</f>
        <v>1528795</v>
      </c>
      <c r="O1073" s="807">
        <f t="shared" si="76"/>
        <v>-5844496</v>
      </c>
      <c r="P1073" s="807">
        <f>+VLOOKUP(C1073,'BG 12.2024'!$B$471:$E$866,4,0)-H1073</f>
        <v>0</v>
      </c>
      <c r="R1073" s="807">
        <f>+IFERROR(VLOOKUP(C1073,'CA FE'!$A:$C,3,0),0)+G1073</f>
        <v>0</v>
      </c>
    </row>
    <row r="1074" spans="1:19" s="87" customFormat="1">
      <c r="A1074" s="77" t="s">
        <v>286</v>
      </c>
      <c r="B1074" s="77" t="s">
        <v>974</v>
      </c>
      <c r="C1074" s="793">
        <v>4130112107</v>
      </c>
      <c r="D1074" s="77" t="s">
        <v>63</v>
      </c>
      <c r="E1074" s="794" t="s">
        <v>634</v>
      </c>
      <c r="F1074" s="794" t="str">
        <f t="shared" si="77"/>
        <v>I</v>
      </c>
      <c r="G1074" s="28">
        <f>+IF(F1074="i",IFERROR(VLOOKUP(C1074,'BG 12.2024'!$B:$E,3,FALSE),0),0)</f>
        <v>1231293</v>
      </c>
      <c r="H1074" s="21">
        <f>+IF(F1074="i",IFERROR(VLOOKUP(C1074,'BG 12.2024'!$B:$E,4,FALSE),0),0)</f>
        <v>164.37</v>
      </c>
      <c r="I1074" s="616"/>
      <c r="J1074" s="28">
        <f>IF(F1074="I",IFERROR(VLOOKUP(C1074,'BG 12.2023'!$B$6:$E$746,3,FALSE),0),0)</f>
        <v>134707</v>
      </c>
      <c r="K1074" s="28">
        <f>IF(F1074="I",IFERROR(VLOOKUP(C1074,'BG 12.2023'!$B$6:$E$746,4,FALSE),0),0)</f>
        <v>18.21</v>
      </c>
      <c r="M1074" s="15">
        <f>+VLOOKUP(C1074,'BG 2023'!$B:$E,1,0)</f>
        <v>4130112107</v>
      </c>
      <c r="N1074" s="806">
        <f>+VLOOKUP(C1074,'BG 2023'!$B:$E,3,0)</f>
        <v>134707</v>
      </c>
      <c r="O1074" s="807">
        <f t="shared" ref="O1074:O1149" si="78">+N1074-G1074</f>
        <v>-1096586</v>
      </c>
      <c r="P1074" s="807">
        <f>+VLOOKUP(C1074,'BG 12.2024'!$B$471:$E$866,4,0)-H1074</f>
        <v>0</v>
      </c>
      <c r="R1074" s="807">
        <f>+IFERROR(VLOOKUP(C1074,'CA FE'!$A:$C,3,0),0)+G1074</f>
        <v>0</v>
      </c>
      <c r="S1074" s="87" t="s">
        <v>990</v>
      </c>
    </row>
    <row r="1075" spans="1:19" s="87" customFormat="1">
      <c r="A1075" s="77" t="s">
        <v>286</v>
      </c>
      <c r="B1075" s="77"/>
      <c r="C1075" s="793">
        <v>4130112108</v>
      </c>
      <c r="D1075" s="77" t="s">
        <v>64</v>
      </c>
      <c r="E1075" s="794" t="s">
        <v>640</v>
      </c>
      <c r="F1075" s="794" t="str">
        <f t="shared" si="77"/>
        <v>I</v>
      </c>
      <c r="G1075" s="28">
        <f>+IF(F1075="i",IFERROR(VLOOKUP(C1075,'BG 12.2024'!$B:$E,3,FALSE),0),0)</f>
        <v>0</v>
      </c>
      <c r="H1075" s="21">
        <f>+IF(F1075="i",IFERROR(VLOOKUP(C1075,'BG 12.2024'!$B:$E,4,FALSE),0),0)</f>
        <v>0</v>
      </c>
      <c r="I1075" s="616"/>
      <c r="J1075" s="28">
        <f>IF(F1075="I",IFERROR(VLOOKUP(C1075,'BG 12.2023'!$B$6:$E$746,3,FALSE),0),0)</f>
        <v>0</v>
      </c>
      <c r="K1075" s="28">
        <f>IF(F1075="I",IFERROR(VLOOKUP(C1075,'BG 12.2023'!$B$6:$E$746,4,FALSE),0),0)</f>
        <v>0</v>
      </c>
      <c r="M1075" s="15" t="e">
        <f>+VLOOKUP(C1075,'BG 2023'!$B:$E,1,0)</f>
        <v>#N/A</v>
      </c>
      <c r="N1075" s="806" t="e">
        <f>+VLOOKUP(C1075,'BG 2023'!$B:$E,3,0)</f>
        <v>#N/A</v>
      </c>
      <c r="O1075" s="807" t="e">
        <f t="shared" si="78"/>
        <v>#N/A</v>
      </c>
      <c r="P1075" s="807"/>
      <c r="R1075" s="807">
        <f>+IFERROR(VLOOKUP(C1075,'CA FE'!$A:$C,3,0),0)+G1075</f>
        <v>0</v>
      </c>
    </row>
    <row r="1076" spans="1:19" s="87" customFormat="1">
      <c r="A1076" s="77" t="s">
        <v>286</v>
      </c>
      <c r="B1076" s="77" t="s">
        <v>974</v>
      </c>
      <c r="C1076" s="793">
        <v>4130112109</v>
      </c>
      <c r="D1076" s="77" t="s">
        <v>66</v>
      </c>
      <c r="E1076" s="794" t="s">
        <v>634</v>
      </c>
      <c r="F1076" s="794" t="str">
        <f t="shared" ref="F1076" si="79">+IF(LEN(C1076)&gt;8,"I","NI")</f>
        <v>I</v>
      </c>
      <c r="G1076" s="28">
        <f>+IF(F1076="i",IFERROR(VLOOKUP(C1076,'BG 12.2024'!$B:$E,3,FALSE),0),0)</f>
        <v>121801636</v>
      </c>
      <c r="H1076" s="21">
        <f>+IF(F1076="i",IFERROR(VLOOKUP(C1076,'BG 12.2024'!$B:$E,4,FALSE),0),0)</f>
        <v>16199.03</v>
      </c>
      <c r="I1076" s="616"/>
      <c r="J1076" s="28">
        <f>IF(F1076="I",IFERROR(VLOOKUP(C1076,'BG 12.2023'!$B$6:$E$746,3,FALSE),0),0)</f>
        <v>28950997</v>
      </c>
      <c r="K1076" s="28">
        <f>IF(F1076="I",IFERROR(VLOOKUP(C1076,'BG 12.2023'!$B$6:$E$746,4,FALSE),0),0)</f>
        <v>3914.45</v>
      </c>
      <c r="M1076" s="15"/>
      <c r="N1076" s="806"/>
      <c r="O1076" s="807"/>
      <c r="P1076" s="807">
        <f>+VLOOKUP(C1076,'BG 12.2024'!$B$471:$E$866,4,0)-H1076</f>
        <v>0</v>
      </c>
      <c r="R1076" s="807">
        <f>+IFERROR(VLOOKUP(C1076,'CA FE'!$A:$C,3,0),0)+G1076</f>
        <v>0</v>
      </c>
      <c r="S1076" s="87" t="s">
        <v>990</v>
      </c>
    </row>
    <row r="1077" spans="1:19" s="87" customFormat="1">
      <c r="A1077" s="77" t="s">
        <v>286</v>
      </c>
      <c r="B1077" s="77"/>
      <c r="C1077" s="793">
        <v>4130112113</v>
      </c>
      <c r="D1077" s="77" t="s">
        <v>267</v>
      </c>
      <c r="E1077" s="794" t="s">
        <v>634</v>
      </c>
      <c r="F1077" s="794" t="str">
        <f t="shared" si="77"/>
        <v>I</v>
      </c>
      <c r="G1077" s="28">
        <f>+IF(F1077="i",IFERROR(VLOOKUP(C1077,'BG 12.2024'!$B:$E,3,FALSE),0),0)</f>
        <v>0</v>
      </c>
      <c r="H1077" s="21">
        <f>+IF(F1077="i",IFERROR(VLOOKUP(C1077,'BG 12.2024'!$B:$E,4,FALSE),0),0)</f>
        <v>0</v>
      </c>
      <c r="I1077" s="616"/>
      <c r="J1077" s="28">
        <f>IF(F1077="I",IFERROR(VLOOKUP(C1077,'BG 12.2023'!$B$6:$E$746,3,FALSE),0),0)</f>
        <v>0</v>
      </c>
      <c r="K1077" s="28">
        <f>IF(F1077="I",IFERROR(VLOOKUP(C1077,'BG 12.2023'!$B$6:$E$746,4,FALSE),0),0)</f>
        <v>0</v>
      </c>
      <c r="M1077" s="15" t="e">
        <f>+VLOOKUP(C1077,'BG 2023'!$B:$E,1,0)</f>
        <v>#N/A</v>
      </c>
      <c r="N1077" s="806" t="e">
        <f>+VLOOKUP(C1077,'BG 2023'!$B:$E,3,0)</f>
        <v>#N/A</v>
      </c>
      <c r="O1077" s="807" t="e">
        <f t="shared" si="78"/>
        <v>#N/A</v>
      </c>
      <c r="P1077" s="807"/>
      <c r="R1077" s="807">
        <f>+IFERROR(VLOOKUP(C1077,'CA FE'!$A:$C,3,0),0)+G1077</f>
        <v>0</v>
      </c>
    </row>
    <row r="1078" spans="1:19" s="87" customFormat="1">
      <c r="A1078" s="77" t="s">
        <v>286</v>
      </c>
      <c r="B1078" s="77"/>
      <c r="C1078" s="793">
        <v>4130112114</v>
      </c>
      <c r="D1078" s="77" t="s">
        <v>269</v>
      </c>
      <c r="E1078" s="794" t="s">
        <v>640</v>
      </c>
      <c r="F1078" s="794" t="str">
        <f t="shared" si="77"/>
        <v>I</v>
      </c>
      <c r="G1078" s="28">
        <f>+IF(F1078="i",IFERROR(VLOOKUP(C1078,'BG 12.2024'!$B:$E,3,FALSE),0),0)</f>
        <v>0</v>
      </c>
      <c r="H1078" s="21">
        <f>+IF(F1078="i",IFERROR(VLOOKUP(C1078,'BG 12.2024'!$B:$E,4,FALSE),0),0)</f>
        <v>0</v>
      </c>
      <c r="I1078" s="616"/>
      <c r="J1078" s="28">
        <f>IF(F1078="I",IFERROR(VLOOKUP(C1078,'BG 12.2023'!$B$6:$E$746,3,FALSE),0),0)</f>
        <v>0</v>
      </c>
      <c r="K1078" s="28">
        <f>IF(F1078="I",IFERROR(VLOOKUP(C1078,'BG 12.2023'!$B$6:$E$746,4,FALSE),0),0)</f>
        <v>0</v>
      </c>
      <c r="M1078" s="15" t="e">
        <f>+VLOOKUP(C1078,'BG 2023'!$B:$E,1,0)</f>
        <v>#N/A</v>
      </c>
      <c r="N1078" s="806" t="e">
        <f>+VLOOKUP(C1078,'BG 2023'!$B:$E,3,0)</f>
        <v>#N/A</v>
      </c>
      <c r="O1078" s="807" t="e">
        <f t="shared" si="78"/>
        <v>#N/A</v>
      </c>
      <c r="P1078" s="807"/>
      <c r="R1078" s="807">
        <f>+IFERROR(VLOOKUP(C1078,'CA FE'!$A:$C,3,0),0)+G1078</f>
        <v>0</v>
      </c>
    </row>
    <row r="1079" spans="1:19" s="87" customFormat="1">
      <c r="A1079" s="77" t="s">
        <v>286</v>
      </c>
      <c r="B1079" s="77"/>
      <c r="C1079" s="793">
        <v>4130112115</v>
      </c>
      <c r="D1079" s="77" t="s">
        <v>978</v>
      </c>
      <c r="E1079" s="794" t="s">
        <v>634</v>
      </c>
      <c r="F1079" s="794" t="str">
        <f t="shared" si="77"/>
        <v>I</v>
      </c>
      <c r="G1079" s="28">
        <f>+IF(F1079="i",IFERROR(VLOOKUP(C1079,'BG 12.2024'!$B:$E,3,FALSE),0),0)</f>
        <v>0</v>
      </c>
      <c r="H1079" s="21">
        <f>+IF(F1079="i",IFERROR(VLOOKUP(C1079,'BG 12.2024'!$B:$E,4,FALSE),0),0)</f>
        <v>0</v>
      </c>
      <c r="I1079" s="616"/>
      <c r="J1079" s="28">
        <f>IF(F1079="I",IFERROR(VLOOKUP(C1079,'BG 12.2023'!$B$6:$E$746,3,FALSE),0),0)</f>
        <v>0</v>
      </c>
      <c r="K1079" s="28">
        <f>IF(F1079="I",IFERROR(VLOOKUP(C1079,'BG 12.2023'!$B$6:$E$746,4,FALSE),0),0)</f>
        <v>0</v>
      </c>
      <c r="M1079" s="15" t="e">
        <f>+VLOOKUP(C1079,'BG 2023'!$B:$E,1,0)</f>
        <v>#N/A</v>
      </c>
      <c r="N1079" s="806" t="e">
        <f>+VLOOKUP(C1079,'BG 2023'!$B:$E,3,0)</f>
        <v>#N/A</v>
      </c>
      <c r="O1079" s="807" t="e">
        <f t="shared" si="78"/>
        <v>#N/A</v>
      </c>
      <c r="P1079" s="807"/>
      <c r="R1079" s="807">
        <f>+IFERROR(VLOOKUP(C1079,'CA FE'!$A:$C,3,0),0)+G1079</f>
        <v>0</v>
      </c>
    </row>
    <row r="1080" spans="1:19" s="87" customFormat="1">
      <c r="A1080" s="77" t="s">
        <v>286</v>
      </c>
      <c r="B1080" s="77"/>
      <c r="C1080" s="793">
        <v>4130112116</v>
      </c>
      <c r="D1080" s="77" t="s">
        <v>991</v>
      </c>
      <c r="E1080" s="794" t="s">
        <v>640</v>
      </c>
      <c r="F1080" s="794" t="str">
        <f t="shared" si="77"/>
        <v>I</v>
      </c>
      <c r="G1080" s="28">
        <f>+IF(F1080="i",IFERROR(VLOOKUP(C1080,'BG 12.2024'!$B:$E,3,FALSE),0),0)</f>
        <v>0</v>
      </c>
      <c r="H1080" s="21">
        <f>+IF(F1080="i",IFERROR(VLOOKUP(C1080,'BG 12.2024'!$B:$E,4,FALSE),0),0)</f>
        <v>0</v>
      </c>
      <c r="I1080" s="616"/>
      <c r="J1080" s="28">
        <f>IF(F1080="I",IFERROR(VLOOKUP(C1080,'BG 12.2023'!$B$6:$E$746,3,FALSE),0),0)</f>
        <v>0</v>
      </c>
      <c r="K1080" s="28">
        <f>IF(F1080="I",IFERROR(VLOOKUP(C1080,'BG 12.2023'!$B$6:$E$746,4,FALSE),0),0)</f>
        <v>0</v>
      </c>
      <c r="M1080" s="15" t="e">
        <f>+VLOOKUP(C1080,'BG 2023'!$B:$E,1,0)</f>
        <v>#N/A</v>
      </c>
      <c r="N1080" s="806" t="e">
        <f>+VLOOKUP(C1080,'BG 2023'!$B:$E,3,0)</f>
        <v>#N/A</v>
      </c>
      <c r="O1080" s="807" t="e">
        <f t="shared" si="78"/>
        <v>#N/A</v>
      </c>
      <c r="P1080" s="807"/>
      <c r="R1080" s="807">
        <f>+IFERROR(VLOOKUP(C1080,'CA FE'!$A:$C,3,0),0)+G1080</f>
        <v>0</v>
      </c>
    </row>
    <row r="1081" spans="1:19" s="87" customFormat="1">
      <c r="A1081" s="77" t="s">
        <v>286</v>
      </c>
      <c r="B1081" s="77" t="s">
        <v>945</v>
      </c>
      <c r="C1081" s="793">
        <v>4130112117</v>
      </c>
      <c r="D1081" s="77" t="s">
        <v>271</v>
      </c>
      <c r="E1081" s="794" t="s">
        <v>634</v>
      </c>
      <c r="F1081" s="794" t="str">
        <f t="shared" si="77"/>
        <v>I</v>
      </c>
      <c r="G1081" s="1097">
        <f>+IF(F1081="i",IFERROR(VLOOKUP(C1081,'BG 12.2024'!$B:$E,3,FALSE),0),0)</f>
        <v>9865050</v>
      </c>
      <c r="H1081" s="21">
        <f>+IF(F1081="i",IFERROR(VLOOKUP(C1081,'BG 12.2024'!$B:$E,4,FALSE),0),0)</f>
        <v>1337.96</v>
      </c>
      <c r="I1081" s="616"/>
      <c r="J1081" s="1256">
        <f>IF(F1081="I",IFERROR(VLOOKUP(C1081,'BG 12.2023'!$B$6:$E$746,3,FALSE),0),0)</f>
        <v>6993353</v>
      </c>
      <c r="K1081" s="28">
        <f>IF(F1081="I",IFERROR(VLOOKUP(C1081,'BG 12.2023'!$B$6:$E$746,4,FALSE),0),0)</f>
        <v>950.26</v>
      </c>
      <c r="M1081" s="15">
        <f>+VLOOKUP(C1081,'BG 2023'!$B:$E,1,0)</f>
        <v>4130112117</v>
      </c>
      <c r="N1081" s="806">
        <f>+VLOOKUP(C1081,'BG 2023'!$B:$E,3,0)</f>
        <v>6993353</v>
      </c>
      <c r="O1081" s="807">
        <f t="shared" si="78"/>
        <v>-2871697</v>
      </c>
      <c r="P1081" s="807">
        <f>+VLOOKUP(C1081,'BG 12.2024'!$B$471:$E$866,4,0)-H1081</f>
        <v>0</v>
      </c>
      <c r="R1081" s="807">
        <f>+IFERROR(VLOOKUP(C1081,'CA FE'!$A:$C,3,0),0)+G1081</f>
        <v>0</v>
      </c>
    </row>
    <row r="1082" spans="1:19" s="87" customFormat="1">
      <c r="A1082" s="77" t="s">
        <v>286</v>
      </c>
      <c r="B1082" s="77" t="s">
        <v>945</v>
      </c>
      <c r="C1082" s="793">
        <v>4130112118</v>
      </c>
      <c r="D1082" s="77" t="s">
        <v>274</v>
      </c>
      <c r="E1082" s="794" t="s">
        <v>640</v>
      </c>
      <c r="F1082" s="794" t="str">
        <f t="shared" si="77"/>
        <v>I</v>
      </c>
      <c r="G1082" s="1097">
        <f>+IF(F1082="i",IFERROR(VLOOKUP(C1082,'BG 12.2024'!$B:$E,3,FALSE),0),0)</f>
        <v>0</v>
      </c>
      <c r="H1082" s="21">
        <f>+IF(F1082="i",IFERROR(VLOOKUP(C1082,'BG 12.2024'!$B:$E,4,FALSE),0),0)</f>
        <v>0</v>
      </c>
      <c r="I1082" s="616"/>
      <c r="J1082" s="1256">
        <f>IF(F1082="I",IFERROR(VLOOKUP(C1082,'BG 12.2023'!$B$6:$E$746,3,FALSE),0),0)</f>
        <v>772939</v>
      </c>
      <c r="K1082" s="28">
        <f>IF(F1082="I",IFERROR(VLOOKUP(C1082,'BG 12.2023'!$B$6:$E$746,4,FALSE),0),0)</f>
        <v>107.09</v>
      </c>
      <c r="M1082" s="15">
        <f>+VLOOKUP(C1082,'BG 2023'!$B:$E,1,0)</f>
        <v>4130112118</v>
      </c>
      <c r="N1082" s="806">
        <f>+VLOOKUP(C1082,'BG 2023'!$B:$E,3,0)</f>
        <v>772939</v>
      </c>
      <c r="O1082" s="807">
        <f t="shared" si="78"/>
        <v>772939</v>
      </c>
      <c r="P1082" s="807"/>
      <c r="R1082" s="807">
        <f>+IFERROR(VLOOKUP(C1082,'CA FE'!$A:$C,3,0),0)+G1082</f>
        <v>0</v>
      </c>
    </row>
    <row r="1083" spans="1:19" s="87" customFormat="1">
      <c r="A1083" s="77" t="s">
        <v>286</v>
      </c>
      <c r="B1083" s="77"/>
      <c r="C1083" s="793">
        <v>4130112119</v>
      </c>
      <c r="D1083" s="77" t="s">
        <v>413</v>
      </c>
      <c r="E1083" s="794" t="s">
        <v>634</v>
      </c>
      <c r="F1083" s="794" t="str">
        <f t="shared" si="77"/>
        <v>I</v>
      </c>
      <c r="G1083" s="28">
        <f>+IF(F1083="i",IFERROR(VLOOKUP(C1083,'BG 12.2024'!$B:$E,3,FALSE),0),0)</f>
        <v>0</v>
      </c>
      <c r="H1083" s="21">
        <f>+IF(F1083="i",IFERROR(VLOOKUP(C1083,'BG 12.2024'!$B:$E,4,FALSE),0),0)</f>
        <v>0</v>
      </c>
      <c r="I1083" s="616"/>
      <c r="J1083" s="28">
        <f>IF(F1083="I",IFERROR(VLOOKUP(C1083,'BG 12.2023'!$B$6:$E$746,3,FALSE),0),0)</f>
        <v>0</v>
      </c>
      <c r="K1083" s="28">
        <f>IF(F1083="I",IFERROR(VLOOKUP(C1083,'BG 12.2023'!$B$6:$E$746,4,FALSE),0),0)</f>
        <v>0</v>
      </c>
      <c r="M1083" s="15" t="e">
        <f>+VLOOKUP(C1083,'BG 2023'!$B:$E,1,0)</f>
        <v>#N/A</v>
      </c>
      <c r="N1083" s="806" t="e">
        <f>+VLOOKUP(C1083,'BG 2023'!$B:$E,3,0)</f>
        <v>#N/A</v>
      </c>
      <c r="O1083" s="807" t="e">
        <f t="shared" si="78"/>
        <v>#N/A</v>
      </c>
      <c r="P1083" s="807"/>
      <c r="R1083" s="807">
        <f>+IFERROR(VLOOKUP(C1083,'CA FE'!$A:$C,3,0),0)+G1083</f>
        <v>0</v>
      </c>
    </row>
    <row r="1084" spans="1:19" s="87" customFormat="1">
      <c r="A1084" s="77" t="s">
        <v>286</v>
      </c>
      <c r="B1084" s="77"/>
      <c r="C1084" s="793">
        <v>4130112120</v>
      </c>
      <c r="D1084" s="77" t="s">
        <v>980</v>
      </c>
      <c r="E1084" s="794" t="s">
        <v>640</v>
      </c>
      <c r="F1084" s="794" t="str">
        <f t="shared" si="77"/>
        <v>I</v>
      </c>
      <c r="G1084" s="28">
        <f>+IF(F1084="i",IFERROR(VLOOKUP(C1084,'BG 12.2024'!$B:$E,3,FALSE),0),0)</f>
        <v>0</v>
      </c>
      <c r="H1084" s="21">
        <f>+IF(F1084="i",IFERROR(VLOOKUP(C1084,'BG 12.2024'!$B:$E,4,FALSE),0),0)</f>
        <v>0</v>
      </c>
      <c r="I1084" s="616"/>
      <c r="J1084" s="28">
        <f>IF(F1084="I",IFERROR(VLOOKUP(C1084,'BG 12.2023'!$B$6:$E$746,3,FALSE),0),0)</f>
        <v>0</v>
      </c>
      <c r="K1084" s="28">
        <f>IF(F1084="I",IFERROR(VLOOKUP(C1084,'BG 12.2023'!$B$6:$E$746,4,FALSE),0),0)</f>
        <v>0</v>
      </c>
      <c r="M1084" s="15" t="e">
        <f>+VLOOKUP(C1084,'BG 2023'!$B:$E,1,0)</f>
        <v>#N/A</v>
      </c>
      <c r="N1084" s="806" t="e">
        <f>+VLOOKUP(C1084,'BG 2023'!$B:$E,3,0)</f>
        <v>#N/A</v>
      </c>
      <c r="O1084" s="807" t="e">
        <f t="shared" si="78"/>
        <v>#N/A</v>
      </c>
      <c r="P1084" s="807"/>
      <c r="R1084" s="807">
        <f>+IFERROR(VLOOKUP(C1084,'CA FE'!$A:$C,3,0),0)+G1084</f>
        <v>0</v>
      </c>
    </row>
    <row r="1085" spans="1:19" s="87" customFormat="1">
      <c r="A1085" s="77" t="s">
        <v>286</v>
      </c>
      <c r="B1085" s="77" t="s">
        <v>974</v>
      </c>
      <c r="C1085" s="793">
        <v>4130112129</v>
      </c>
      <c r="D1085" s="77" t="s">
        <v>279</v>
      </c>
      <c r="E1085" s="794" t="s">
        <v>634</v>
      </c>
      <c r="F1085" s="794" t="str">
        <f t="shared" si="77"/>
        <v>I</v>
      </c>
      <c r="G1085" s="28">
        <f>+IF(F1085="i",IFERROR(VLOOKUP(C1085,'BG 12.2024'!$B:$E,3,FALSE),0),0)</f>
        <v>3226749</v>
      </c>
      <c r="H1085" s="21">
        <f>+IF(F1085="i",IFERROR(VLOOKUP(C1085,'BG 12.2024'!$B:$E,4,FALSE),0),0)</f>
        <v>424.38</v>
      </c>
      <c r="I1085" s="616"/>
      <c r="J1085" s="28">
        <f>IF(F1085="I",IFERROR(VLOOKUP(C1085,'BG 12.2023'!$B$6:$E$746,3,FALSE),0),0)</f>
        <v>213260</v>
      </c>
      <c r="K1085" s="28">
        <f>IF(F1085="I",IFERROR(VLOOKUP(C1085,'BG 12.2023'!$B$6:$E$746,4,FALSE),0),0)</f>
        <v>29.09</v>
      </c>
      <c r="M1085" s="15">
        <f>+VLOOKUP(C1085,'BG 2023'!$B:$E,1,0)</f>
        <v>4130112129</v>
      </c>
      <c r="N1085" s="806">
        <f>+VLOOKUP(C1085,'BG 2023'!$B:$E,3,0)</f>
        <v>213260</v>
      </c>
      <c r="O1085" s="807">
        <f t="shared" si="78"/>
        <v>-3013489</v>
      </c>
      <c r="P1085" s="807"/>
      <c r="R1085" s="807">
        <f>+IFERROR(VLOOKUP(C1085,'CA FE'!$A:$C,3,0),0)+G1085</f>
        <v>0</v>
      </c>
      <c r="S1085" s="87" t="s">
        <v>990</v>
      </c>
    </row>
    <row r="1086" spans="1:19" s="87" customFormat="1">
      <c r="A1086" s="77" t="s">
        <v>286</v>
      </c>
      <c r="B1086" s="77"/>
      <c r="C1086" s="793">
        <v>4130112130</v>
      </c>
      <c r="D1086" s="77" t="s">
        <v>987</v>
      </c>
      <c r="E1086" s="794" t="s">
        <v>640</v>
      </c>
      <c r="F1086" s="794" t="str">
        <f t="shared" si="77"/>
        <v>I</v>
      </c>
      <c r="G1086" s="28">
        <f>+IF(F1086="i",IFERROR(VLOOKUP(C1086,'BG 12.2024'!$B:$E,3,FALSE),0),0)</f>
        <v>0</v>
      </c>
      <c r="H1086" s="21">
        <f>+IF(F1086="i",IFERROR(VLOOKUP(C1086,'BG 12.2024'!$B:$E,4,FALSE),0),0)</f>
        <v>0</v>
      </c>
      <c r="I1086" s="616"/>
      <c r="J1086" s="28">
        <f>IF(F1086="I",IFERROR(VLOOKUP(C1086,'BG 12.2023'!$B$6:$E$746,3,FALSE),0),0)</f>
        <v>0</v>
      </c>
      <c r="K1086" s="28">
        <f>IF(F1086="I",IFERROR(VLOOKUP(C1086,'BG 12.2023'!$B$6:$E$746,4,FALSE),0),0)</f>
        <v>0</v>
      </c>
      <c r="M1086" s="15" t="e">
        <f>+VLOOKUP(C1086,'BG 2023'!$B:$E,1,0)</f>
        <v>#N/A</v>
      </c>
      <c r="N1086" s="806" t="e">
        <f>+VLOOKUP(C1086,'BG 2023'!$B:$E,3,0)</f>
        <v>#N/A</v>
      </c>
      <c r="O1086" s="807" t="e">
        <f t="shared" si="78"/>
        <v>#N/A</v>
      </c>
      <c r="P1086" s="807"/>
      <c r="R1086" s="807">
        <f>+IFERROR(VLOOKUP(C1086,'CA FE'!$A:$C,3,0),0)+G1086</f>
        <v>0</v>
      </c>
    </row>
    <row r="1087" spans="1:19" s="87" customFormat="1">
      <c r="A1087" s="77" t="s">
        <v>286</v>
      </c>
      <c r="B1087" s="77" t="s">
        <v>945</v>
      </c>
      <c r="C1087" s="793">
        <v>4130112131</v>
      </c>
      <c r="D1087" s="77" t="s">
        <v>599</v>
      </c>
      <c r="E1087" s="794" t="s">
        <v>634</v>
      </c>
      <c r="F1087" s="794" t="str">
        <f t="shared" si="77"/>
        <v>I</v>
      </c>
      <c r="G1087" s="1097">
        <f>+IF(F1087="i",IFERROR(VLOOKUP(C1087,'BG 12.2024'!$B:$E,3,FALSE),0),0)</f>
        <v>2679</v>
      </c>
      <c r="H1087" s="21">
        <f>+IF(F1087="i",IFERROR(VLOOKUP(C1087,'BG 12.2024'!$B:$E,4,FALSE),0),0)</f>
        <v>0.16</v>
      </c>
      <c r="I1087" s="616"/>
      <c r="J1087" s="28">
        <f>IF(F1087="I",IFERROR(VLOOKUP(C1087,'BG 12.2023'!$B$6:$E$746,3,FALSE),0),0)</f>
        <v>0</v>
      </c>
      <c r="K1087" s="28">
        <f>IF(F1087="I",IFERROR(VLOOKUP(C1087,'BG 12.2023'!$B$6:$E$746,4,FALSE),0),0)</f>
        <v>0</v>
      </c>
      <c r="M1087" s="15" t="e">
        <f>+VLOOKUP(C1087,'BG 2023'!$B:$E,1,0)</f>
        <v>#N/A</v>
      </c>
      <c r="N1087" s="806" t="e">
        <f>+VLOOKUP(C1087,'BG 2023'!$B:$E,3,0)</f>
        <v>#N/A</v>
      </c>
      <c r="O1087" s="807" t="e">
        <f t="shared" si="78"/>
        <v>#N/A</v>
      </c>
      <c r="P1087" s="807"/>
      <c r="R1087" s="807">
        <f>+IFERROR(VLOOKUP(C1087,'CA FE'!$A:$C,3,0),0)+G1087</f>
        <v>0</v>
      </c>
    </row>
    <row r="1088" spans="1:19" s="87" customFormat="1">
      <c r="A1088" s="77" t="s">
        <v>286</v>
      </c>
      <c r="B1088" s="77"/>
      <c r="C1088" s="793">
        <v>4130112132</v>
      </c>
      <c r="D1088" s="77" t="s">
        <v>993</v>
      </c>
      <c r="E1088" s="794" t="s">
        <v>640</v>
      </c>
      <c r="F1088" s="794" t="str">
        <f t="shared" ref="F1088" si="80">+IF(LEN(C1088)&gt;8,"I","NI")</f>
        <v>I</v>
      </c>
      <c r="G1088" s="28">
        <f>+IF(F1088="i",IFERROR(VLOOKUP(C1088,'BG 12.2024'!$B:$E,3,FALSE),0),0)</f>
        <v>0</v>
      </c>
      <c r="H1088" s="21">
        <f>+IF(F1088="i",IFERROR(VLOOKUP(C1088,'BG 12.2024'!$B:$E,4,FALSE),0),0)</f>
        <v>0</v>
      </c>
      <c r="I1088" s="616"/>
      <c r="J1088" s="28">
        <f>IF(F1088="I",IFERROR(VLOOKUP(C1088,'BG 12.2023'!$B$6:$E$746,3,FALSE),0),0)</f>
        <v>0</v>
      </c>
      <c r="K1088" s="28">
        <f>IF(F1088="I",IFERROR(VLOOKUP(C1088,'BG 12.2023'!$B$6:$E$746,4,FALSE),0),0)</f>
        <v>0</v>
      </c>
      <c r="M1088" s="15" t="e">
        <f>+VLOOKUP(C1088,'BG 2023'!$B:$E,1,0)</f>
        <v>#N/A</v>
      </c>
      <c r="N1088" s="806" t="e">
        <f>+VLOOKUP(C1088,'BG 2023'!$B:$E,3,0)</f>
        <v>#N/A</v>
      </c>
      <c r="O1088" s="807" t="e">
        <f t="shared" si="78"/>
        <v>#N/A</v>
      </c>
      <c r="P1088" s="807"/>
      <c r="R1088" s="807">
        <f>+IFERROR(VLOOKUP(C1088,'CA FE'!$A:$C,3,0),0)+G1088</f>
        <v>0</v>
      </c>
    </row>
    <row r="1089" spans="1:19" s="87" customFormat="1">
      <c r="A1089" s="77" t="s">
        <v>286</v>
      </c>
      <c r="B1089" s="77" t="s">
        <v>945</v>
      </c>
      <c r="C1089" s="793">
        <v>4130112134</v>
      </c>
      <c r="D1089" s="77" t="s">
        <v>338</v>
      </c>
      <c r="E1089" s="794" t="s">
        <v>634</v>
      </c>
      <c r="F1089" s="794" t="str">
        <f t="shared" si="77"/>
        <v>I</v>
      </c>
      <c r="G1089" s="1097">
        <f>+IF(F1089="i",IFERROR(VLOOKUP(C1089,'BG 12.2024'!$B:$E,3,FALSE),0),0)</f>
        <v>215511220</v>
      </c>
      <c r="H1089" s="21">
        <f>+IF(F1089="i",IFERROR(VLOOKUP(C1089,'BG 12.2024'!$B:$E,4,FALSE),0),0)</f>
        <v>28857.4</v>
      </c>
      <c r="I1089" s="616"/>
      <c r="J1089" s="1256">
        <f>IF(F1089="I",IFERROR(VLOOKUP(C1089,'BG 12.2023'!$B$6:$E$746,3,FALSE),0),0)</f>
        <v>230827850</v>
      </c>
      <c r="K1089" s="28">
        <f>IF(F1089="I",IFERROR(VLOOKUP(C1089,'BG 12.2023'!$B$6:$E$746,4,FALSE),0),0)</f>
        <v>31164.29</v>
      </c>
      <c r="M1089" s="15">
        <f>+VLOOKUP(C1089,'BG 2023'!$B:$E,1,0)</f>
        <v>4130112134</v>
      </c>
      <c r="N1089" s="806">
        <f>+VLOOKUP(C1089,'BG 2023'!$B:$E,3,0)</f>
        <v>230827850</v>
      </c>
      <c r="O1089" s="807">
        <f t="shared" si="78"/>
        <v>15316630</v>
      </c>
      <c r="P1089" s="807">
        <f>+VLOOKUP(C1089,'BG 12.2024'!$B$471:$E$866,4,0)-H1089</f>
        <v>0</v>
      </c>
      <c r="R1089" s="807">
        <f>+IFERROR(VLOOKUP(C1089,'CA FE'!$A:$C,3,0),0)+G1089</f>
        <v>0</v>
      </c>
    </row>
    <row r="1090" spans="1:19" s="87" customFormat="1">
      <c r="A1090" s="77" t="s">
        <v>286</v>
      </c>
      <c r="B1090" s="77"/>
      <c r="C1090" s="793">
        <v>41301122</v>
      </c>
      <c r="D1090" s="77" t="s">
        <v>339</v>
      </c>
      <c r="E1090" s="794" t="s">
        <v>634</v>
      </c>
      <c r="F1090" s="794" t="str">
        <f t="shared" si="77"/>
        <v>NI</v>
      </c>
      <c r="G1090" s="28">
        <f>+IF(F1090="i",IFERROR(VLOOKUP(C1090,'BG 12.2024'!$B:$E,3,FALSE),0),0)</f>
        <v>0</v>
      </c>
      <c r="H1090" s="21">
        <f>+IF(F1090="i",IFERROR(VLOOKUP(C1090,'BG 12.2024'!$B:$E,4,FALSE),0),0)</f>
        <v>0</v>
      </c>
      <c r="I1090" s="616"/>
      <c r="J1090" s="28">
        <f>IF(F1090="I",IFERROR(VLOOKUP(C1090,'BG 12.2023'!$B$6:$E$746,3,FALSE),0),0)</f>
        <v>0</v>
      </c>
      <c r="K1090" s="28">
        <f>IF(F1090="I",IFERROR(VLOOKUP(C1090,'BG 12.2023'!$B$6:$E$746,4,FALSE),0),0)</f>
        <v>0</v>
      </c>
      <c r="M1090" s="15">
        <f>+VLOOKUP(C1090,'BG 2023'!$B:$E,1,0)</f>
        <v>41301122</v>
      </c>
      <c r="N1090" s="806">
        <f>+VLOOKUP(C1090,'BG 2023'!$B:$E,3,0)</f>
        <v>130101166</v>
      </c>
      <c r="O1090" s="807">
        <f t="shared" si="78"/>
        <v>130101166</v>
      </c>
      <c r="P1090" s="807"/>
      <c r="R1090" s="807">
        <f>+IFERROR(VLOOKUP(C1090,'CA FE'!$A:$C,3,0),0)+G1090</f>
        <v>0</v>
      </c>
    </row>
    <row r="1091" spans="1:19" s="87" customFormat="1">
      <c r="A1091" s="77" t="s">
        <v>286</v>
      </c>
      <c r="B1091" s="77" t="s">
        <v>974</v>
      </c>
      <c r="C1091" s="793">
        <v>4130112201</v>
      </c>
      <c r="D1091" s="77" t="s">
        <v>339</v>
      </c>
      <c r="E1091" s="794" t="s">
        <v>634</v>
      </c>
      <c r="F1091" s="794" t="str">
        <f t="shared" si="77"/>
        <v>I</v>
      </c>
      <c r="G1091" s="28">
        <f>+IF(F1091="i",IFERROR(VLOOKUP(C1091,'BG 12.2024'!$B:$E,3,FALSE),0),0)</f>
        <v>198786668</v>
      </c>
      <c r="H1091" s="21">
        <f>+IF(F1091="i",IFERROR(VLOOKUP(C1091,'BG 12.2024'!$B:$E,4,FALSE),0),0)</f>
        <v>25737.25</v>
      </c>
      <c r="I1091" s="616"/>
      <c r="J1091" s="28">
        <f>IF(F1091="I",IFERROR(VLOOKUP(C1091,'BG 12.2023'!$B$6:$E$746,3,FALSE),0),0)</f>
        <v>126428292</v>
      </c>
      <c r="K1091" s="28">
        <f>IF(F1091="I",IFERROR(VLOOKUP(C1091,'BG 12.2023'!$B$6:$E$746,4,FALSE),0),0)</f>
        <v>17026.740000000002</v>
      </c>
      <c r="M1091" s="15">
        <f>+VLOOKUP(C1091,'BG 2023'!$B:$E,1,0)</f>
        <v>4130112201</v>
      </c>
      <c r="N1091" s="806">
        <f>+VLOOKUP(C1091,'BG 2023'!$B:$E,3,0)</f>
        <v>126428292</v>
      </c>
      <c r="O1091" s="807">
        <f t="shared" si="78"/>
        <v>-72358376</v>
      </c>
      <c r="P1091" s="807">
        <f>+VLOOKUP(C1091,'BG 12.2024'!$B$471:$E$866,4,0)-H1091</f>
        <v>0</v>
      </c>
      <c r="R1091" s="807">
        <f>+IFERROR(VLOOKUP(C1091,'CA FE'!$A:$C,3,0),0)+G1091</f>
        <v>0</v>
      </c>
      <c r="S1091" s="87" t="s">
        <v>339</v>
      </c>
    </row>
    <row r="1092" spans="1:19" s="87" customFormat="1">
      <c r="A1092" s="77" t="s">
        <v>286</v>
      </c>
      <c r="B1092" s="77" t="s">
        <v>974</v>
      </c>
      <c r="C1092" s="793">
        <v>4130112202</v>
      </c>
      <c r="D1092" s="77" t="s">
        <v>339</v>
      </c>
      <c r="E1092" s="794" t="s">
        <v>634</v>
      </c>
      <c r="F1092" s="794" t="str">
        <f t="shared" si="77"/>
        <v>I</v>
      </c>
      <c r="G1092" s="28">
        <f>+IF(F1092="i",IFERROR(VLOOKUP(C1092,'BG 12.2024'!$B:$E,3,FALSE),0),0)</f>
        <v>21985662</v>
      </c>
      <c r="H1092" s="21">
        <f>+IF(F1092="i",IFERROR(VLOOKUP(C1092,'BG 12.2024'!$B:$E,4,FALSE),0),0)</f>
        <v>2902.35</v>
      </c>
      <c r="I1092" s="616"/>
      <c r="J1092" s="28">
        <f>IF(F1092="I",IFERROR(VLOOKUP(C1092,'BG 12.2023'!$B$6:$E$746,3,FALSE),0),0)</f>
        <v>2798548</v>
      </c>
      <c r="K1092" s="28">
        <f>IF(F1092="I",IFERROR(VLOOKUP(C1092,'BG 12.2023'!$B$6:$E$746,4,FALSE),0),0)</f>
        <v>384.58</v>
      </c>
      <c r="M1092" s="15">
        <f>+VLOOKUP(C1092,'BG 2023'!$B:$E,1,0)</f>
        <v>4130112202</v>
      </c>
      <c r="N1092" s="806">
        <f>+VLOOKUP(C1092,'BG 2023'!$B:$E,3,0)</f>
        <v>2798548</v>
      </c>
      <c r="O1092" s="807">
        <f t="shared" si="78"/>
        <v>-19187114</v>
      </c>
      <c r="P1092" s="807"/>
      <c r="R1092" s="807">
        <f>+IFERROR(VLOOKUP(C1092,'CA FE'!$A:$C,3,0),0)+G1092</f>
        <v>0</v>
      </c>
      <c r="S1092" s="87" t="s">
        <v>339</v>
      </c>
    </row>
    <row r="1093" spans="1:19" s="87" customFormat="1">
      <c r="A1093" s="77" t="s">
        <v>286</v>
      </c>
      <c r="B1093" s="77" t="s">
        <v>994</v>
      </c>
      <c r="C1093" s="793">
        <v>4130112203</v>
      </c>
      <c r="D1093" s="77" t="s">
        <v>340</v>
      </c>
      <c r="E1093" s="794" t="s">
        <v>634</v>
      </c>
      <c r="F1093" s="794" t="str">
        <f t="shared" ref="F1093" si="81">+IF(LEN(C1093)&gt;8,"I","NI")</f>
        <v>I</v>
      </c>
      <c r="G1093" s="28">
        <f>+IF(F1093="i",IFERROR(VLOOKUP(C1093,'BG 12.2024'!$B:$E,3,FALSE),0),0)</f>
        <v>2076620</v>
      </c>
      <c r="H1093" s="21">
        <f>+IF(F1093="i",IFERROR(VLOOKUP(C1093,'BG 12.2024'!$B:$E,4,FALSE),0),0)</f>
        <v>266.19</v>
      </c>
      <c r="I1093" s="616"/>
      <c r="J1093" s="28">
        <f>IF(F1093="I",IFERROR(VLOOKUP(C1093,'BG 12.2023'!$B$6:$E$746,3,FALSE),0),0)</f>
        <v>874326</v>
      </c>
      <c r="K1093" s="28">
        <f>IF(F1093="I",IFERROR(VLOOKUP(C1093,'BG 12.2023'!$B$6:$E$746,4,FALSE),0),0)</f>
        <v>117.69</v>
      </c>
      <c r="M1093" s="15"/>
      <c r="N1093" s="806"/>
      <c r="O1093" s="807"/>
      <c r="P1093" s="807"/>
      <c r="R1093" s="807">
        <f>+IFERROR(VLOOKUP(C1093,'CA FE'!$A:$C,3,0),0)+G1093</f>
        <v>0</v>
      </c>
    </row>
    <row r="1094" spans="1:19" s="87" customFormat="1">
      <c r="A1094" s="77" t="s">
        <v>286</v>
      </c>
      <c r="B1094" s="77"/>
      <c r="C1094" s="793">
        <v>41301123</v>
      </c>
      <c r="D1094" s="77" t="s">
        <v>341</v>
      </c>
      <c r="E1094" s="794" t="s">
        <v>634</v>
      </c>
      <c r="F1094" s="794" t="str">
        <f t="shared" si="77"/>
        <v>NI</v>
      </c>
      <c r="G1094" s="28">
        <f>+IF(F1094="i",IFERROR(VLOOKUP(C1094,'BG 12.2024'!$B:$E,3,FALSE),0),0)</f>
        <v>0</v>
      </c>
      <c r="H1094" s="21">
        <f>+IF(F1094="i",IFERROR(VLOOKUP(C1094,'BG 12.2024'!$B:$E,4,FALSE),0),0)</f>
        <v>0</v>
      </c>
      <c r="I1094" s="616"/>
      <c r="J1094" s="28">
        <f>IF(F1094="I",IFERROR(VLOOKUP(C1094,'BG 12.2023'!$B$6:$E$746,3,FALSE),0),0)</f>
        <v>0</v>
      </c>
      <c r="K1094" s="28">
        <f>IF(F1094="I",IFERROR(VLOOKUP(C1094,'BG 12.2023'!$B$6:$E$746,4,FALSE),0),0)</f>
        <v>0</v>
      </c>
      <c r="M1094" s="15">
        <f>+VLOOKUP(C1094,'BG 2023'!$B:$E,1,0)</f>
        <v>41301123</v>
      </c>
      <c r="N1094" s="806">
        <f>+VLOOKUP(C1094,'BG 2023'!$B:$E,3,0)</f>
        <v>1320251548</v>
      </c>
      <c r="O1094" s="807">
        <f t="shared" si="78"/>
        <v>1320251548</v>
      </c>
      <c r="P1094" s="807"/>
      <c r="R1094" s="807">
        <f>+IFERROR(VLOOKUP(C1094,'CA FE'!$A:$C,3,0),0)+G1094</f>
        <v>0</v>
      </c>
    </row>
    <row r="1095" spans="1:19" s="87" customFormat="1">
      <c r="A1095" s="77" t="s">
        <v>286</v>
      </c>
      <c r="B1095" s="77" t="s">
        <v>994</v>
      </c>
      <c r="C1095" s="793">
        <v>4130112301</v>
      </c>
      <c r="D1095" s="77" t="s">
        <v>57</v>
      </c>
      <c r="E1095" s="794" t="s">
        <v>634</v>
      </c>
      <c r="F1095" s="794" t="str">
        <f t="shared" si="77"/>
        <v>I</v>
      </c>
      <c r="G1095" s="28">
        <f>+IF(F1095="i",IFERROR(VLOOKUP(C1095,'BG 12.2024'!$B:$E,3,FALSE),0),0)</f>
        <v>134997169</v>
      </c>
      <c r="H1095" s="21">
        <f>+IF(F1095="i",IFERROR(VLOOKUP(C1095,'BG 12.2024'!$B:$E,4,FALSE),0),0)</f>
        <v>17234.900000000001</v>
      </c>
      <c r="I1095" s="616"/>
      <c r="J1095" s="28">
        <f>IF(F1095="I",IFERROR(VLOOKUP(C1095,'BG 12.2023'!$B$6:$E$746,3,FALSE),0),0)</f>
        <v>81007922</v>
      </c>
      <c r="K1095" s="28">
        <f>IF(F1095="I",IFERROR(VLOOKUP(C1095,'BG 12.2023'!$B$6:$E$746,4,FALSE),0),0)</f>
        <v>11105.599999999999</v>
      </c>
      <c r="M1095" s="15">
        <f>+VLOOKUP(C1095,'BG 2023'!$B:$E,1,0)</f>
        <v>4130112301</v>
      </c>
      <c r="N1095" s="806">
        <f>+VLOOKUP(C1095,'BG 2023'!$B:$E,3,0)</f>
        <v>81007922</v>
      </c>
      <c r="O1095" s="807">
        <f t="shared" si="78"/>
        <v>-53989247</v>
      </c>
      <c r="P1095" s="807">
        <f>+VLOOKUP(C1095,'BG 12.2024'!$B$471:$E$866,4,0)-H1095</f>
        <v>0</v>
      </c>
      <c r="R1095" s="807">
        <f>+IFERROR(VLOOKUP(C1095,'CA FE'!$A:$C,3,0),0)+G1095</f>
        <v>0</v>
      </c>
    </row>
    <row r="1096" spans="1:19" s="87" customFormat="1">
      <c r="A1096" s="77" t="s">
        <v>286</v>
      </c>
      <c r="B1096" s="77" t="s">
        <v>994</v>
      </c>
      <c r="C1096" s="793">
        <v>4130112302</v>
      </c>
      <c r="D1096" s="77" t="s">
        <v>254</v>
      </c>
      <c r="E1096" s="794" t="s">
        <v>640</v>
      </c>
      <c r="F1096" s="794" t="str">
        <f t="shared" si="77"/>
        <v>I</v>
      </c>
      <c r="G1096" s="28">
        <f>+IF(F1096="i",IFERROR(VLOOKUP(C1096,'BG 12.2024'!$B:$E,3,FALSE),0),0)</f>
        <v>22737581</v>
      </c>
      <c r="H1096" s="21">
        <f>+IF(F1096="i",IFERROR(VLOOKUP(C1096,'BG 12.2024'!$B:$E,4,FALSE),0),0)</f>
        <v>2988.19</v>
      </c>
      <c r="I1096" s="616"/>
      <c r="J1096" s="28">
        <f>IF(F1096="I",IFERROR(VLOOKUP(C1096,'BG 12.2023'!$B$6:$E$746,3,FALSE),0),0)</f>
        <v>92955885</v>
      </c>
      <c r="K1096" s="28">
        <f>IF(F1096="I",IFERROR(VLOOKUP(C1096,'BG 12.2023'!$B$6:$E$746,4,FALSE),0),0)</f>
        <v>12797.85</v>
      </c>
      <c r="M1096" s="15">
        <f>+VLOOKUP(C1096,'BG 2023'!$B:$E,1,0)</f>
        <v>4130112302</v>
      </c>
      <c r="N1096" s="806">
        <f>+VLOOKUP(C1096,'BG 2023'!$B:$E,3,0)</f>
        <v>92955885</v>
      </c>
      <c r="O1096" s="807">
        <f t="shared" si="78"/>
        <v>70218304</v>
      </c>
      <c r="P1096" s="807">
        <f>+VLOOKUP(C1096,'BG 12.2024'!$B$471:$E$866,4,0)-H1096</f>
        <v>0</v>
      </c>
      <c r="R1096" s="807">
        <f>+IFERROR(VLOOKUP(C1096,'CA FE'!$A:$C,3,0),0)+G1096</f>
        <v>0</v>
      </c>
    </row>
    <row r="1097" spans="1:19" s="87" customFormat="1">
      <c r="A1097" s="77" t="s">
        <v>286</v>
      </c>
      <c r="B1097" s="77" t="s">
        <v>994</v>
      </c>
      <c r="C1097" s="793">
        <v>4130112303</v>
      </c>
      <c r="D1097" s="77" t="s">
        <v>256</v>
      </c>
      <c r="E1097" s="794" t="s">
        <v>634</v>
      </c>
      <c r="F1097" s="794" t="str">
        <f t="shared" si="77"/>
        <v>I</v>
      </c>
      <c r="G1097" s="28">
        <f>+IF(F1097="i",IFERROR(VLOOKUP(C1097,'BG 12.2024'!$B:$E,3,FALSE),0),0)</f>
        <v>139513221</v>
      </c>
      <c r="H1097" s="21">
        <f>+IF(F1097="i",IFERROR(VLOOKUP(C1097,'BG 12.2024'!$B:$E,4,FALSE),0),0)</f>
        <v>18182.150000000001</v>
      </c>
      <c r="I1097" s="616"/>
      <c r="J1097" s="28">
        <f>IF(F1097="I",IFERROR(VLOOKUP(C1097,'BG 12.2023'!$B$6:$E$746,3,FALSE),0),0)</f>
        <v>0</v>
      </c>
      <c r="K1097" s="28">
        <f>IF(F1097="I",IFERROR(VLOOKUP(C1097,'BG 12.2023'!$B$6:$E$746,4,FALSE),0),0)</f>
        <v>0</v>
      </c>
      <c r="M1097" s="15" t="e">
        <f>+VLOOKUP(C1097,'BG 2023'!$B:$E,1,0)</f>
        <v>#N/A</v>
      </c>
      <c r="N1097" s="806" t="e">
        <f>+VLOOKUP(C1097,'BG 2023'!$B:$E,3,0)</f>
        <v>#N/A</v>
      </c>
      <c r="O1097" s="807" t="e">
        <f t="shared" si="78"/>
        <v>#N/A</v>
      </c>
      <c r="P1097" s="807">
        <f>+VLOOKUP(C1097,'BG 12.2024'!$B$471:$E$866,4,0)-H1097</f>
        <v>0</v>
      </c>
      <c r="R1097" s="807">
        <f>+IFERROR(VLOOKUP(C1097,'CA FE'!$A:$C,3,0),0)+G1097</f>
        <v>0</v>
      </c>
    </row>
    <row r="1098" spans="1:19" s="87" customFormat="1">
      <c r="A1098" s="77" t="s">
        <v>286</v>
      </c>
      <c r="B1098" s="77" t="s">
        <v>994</v>
      </c>
      <c r="C1098" s="793">
        <v>4130112304</v>
      </c>
      <c r="D1098" s="77" t="s">
        <v>258</v>
      </c>
      <c r="E1098" s="794" t="s">
        <v>640</v>
      </c>
      <c r="F1098" s="794" t="str">
        <f t="shared" si="77"/>
        <v>I</v>
      </c>
      <c r="G1098" s="28">
        <f>+IF(F1098="i",IFERROR(VLOOKUP(C1098,'BG 12.2024'!$B:$E,3,FALSE),0),0)</f>
        <v>36994213</v>
      </c>
      <c r="H1098" s="21">
        <f>+IF(F1098="i",IFERROR(VLOOKUP(C1098,'BG 12.2024'!$B:$E,4,FALSE),0),0)</f>
        <v>4775.33</v>
      </c>
      <c r="I1098" s="616"/>
      <c r="J1098" s="28">
        <f>IF(F1098="I",IFERROR(VLOOKUP(C1098,'BG 12.2023'!$B$6:$E$746,3,FALSE),0),0)</f>
        <v>67419955</v>
      </c>
      <c r="K1098" s="28">
        <f>IF(F1098="I",IFERROR(VLOOKUP(C1098,'BG 12.2023'!$B$6:$E$746,4,FALSE),0),0)</f>
        <v>9260.3399999999983</v>
      </c>
      <c r="M1098" s="15">
        <f>+VLOOKUP(C1098,'BG 2023'!$B:$E,1,0)</f>
        <v>4130112304</v>
      </c>
      <c r="N1098" s="806">
        <f>+VLOOKUP(C1098,'BG 2023'!$B:$E,3,0)</f>
        <v>67419955</v>
      </c>
      <c r="O1098" s="807">
        <f t="shared" si="78"/>
        <v>30425742</v>
      </c>
      <c r="P1098" s="807">
        <f>+VLOOKUP(C1098,'BG 12.2024'!$B$471:$E$866,4,0)-H1098</f>
        <v>0</v>
      </c>
      <c r="R1098" s="807">
        <f>+IFERROR(VLOOKUP(C1098,'CA FE'!$A:$C,3,0),0)+G1098</f>
        <v>0</v>
      </c>
    </row>
    <row r="1099" spans="1:19" s="87" customFormat="1">
      <c r="A1099" s="77" t="s">
        <v>286</v>
      </c>
      <c r="B1099" s="77" t="s">
        <v>994</v>
      </c>
      <c r="C1099" s="793">
        <v>4130112305</v>
      </c>
      <c r="D1099" s="77" t="s">
        <v>59</v>
      </c>
      <c r="E1099" s="794" t="s">
        <v>634</v>
      </c>
      <c r="F1099" s="794" t="str">
        <f t="shared" si="77"/>
        <v>I</v>
      </c>
      <c r="G1099" s="28">
        <f>+IF(F1099="i",IFERROR(VLOOKUP(C1099,'BG 12.2024'!$B:$E,3,FALSE),0),0)</f>
        <v>858259316</v>
      </c>
      <c r="H1099" s="21">
        <f>+IF(F1099="i",IFERROR(VLOOKUP(C1099,'BG 12.2024'!$B:$E,4,FALSE),0),0)</f>
        <v>115499.62000000001</v>
      </c>
      <c r="I1099" s="616"/>
      <c r="J1099" s="28">
        <f>IF(F1099="I",IFERROR(VLOOKUP(C1099,'BG 12.2023'!$B$6:$E$746,3,FALSE),0),0)</f>
        <v>188510723</v>
      </c>
      <c r="K1099" s="28">
        <f>IF(F1099="I",IFERROR(VLOOKUP(C1099,'BG 12.2023'!$B$6:$E$746,4,FALSE),0),0)</f>
        <v>25759.91</v>
      </c>
      <c r="M1099" s="15">
        <f>+VLOOKUP(C1099,'BG 2023'!$B:$E,1,0)</f>
        <v>4130112305</v>
      </c>
      <c r="N1099" s="806">
        <f>+VLOOKUP(C1099,'BG 2023'!$B:$E,3,0)</f>
        <v>188510723</v>
      </c>
      <c r="O1099" s="807">
        <f t="shared" si="78"/>
        <v>-669748593</v>
      </c>
      <c r="P1099" s="807">
        <f>+VLOOKUP(C1099,'BG 12.2024'!$B$471:$E$866,4,0)-H1099</f>
        <v>0</v>
      </c>
      <c r="R1099" s="807">
        <f>+IFERROR(VLOOKUP(C1099,'CA FE'!$A:$C,3,0),0)+G1099</f>
        <v>0</v>
      </c>
    </row>
    <row r="1100" spans="1:19" s="87" customFormat="1">
      <c r="A1100" s="77" t="s">
        <v>286</v>
      </c>
      <c r="B1100" s="77" t="s">
        <v>994</v>
      </c>
      <c r="C1100" s="793">
        <v>4130112306</v>
      </c>
      <c r="D1100" s="77" t="s">
        <v>60</v>
      </c>
      <c r="E1100" s="794" t="s">
        <v>640</v>
      </c>
      <c r="F1100" s="794" t="str">
        <f t="shared" si="77"/>
        <v>I</v>
      </c>
      <c r="G1100" s="28">
        <f>+IF(F1100="i",IFERROR(VLOOKUP(C1100,'BG 12.2024'!$B:$E,3,FALSE),0),0)</f>
        <v>1169187264</v>
      </c>
      <c r="H1100" s="21">
        <f>+IF(F1100="i",IFERROR(VLOOKUP(C1100,'BG 12.2024'!$B:$E,4,FALSE),0),0)</f>
        <v>155054.93999999997</v>
      </c>
      <c r="I1100" s="616"/>
      <c r="J1100" s="28">
        <f>IF(F1100="I",IFERROR(VLOOKUP(C1100,'BG 12.2023'!$B$6:$E$746,3,FALSE),0),0)</f>
        <v>279390963</v>
      </c>
      <c r="K1100" s="28">
        <f>IF(F1100="I",IFERROR(VLOOKUP(C1100,'BG 12.2023'!$B$6:$E$746,4,FALSE),0),0)</f>
        <v>38429.119999999995</v>
      </c>
      <c r="M1100" s="15">
        <f>+VLOOKUP(C1100,'BG 2023'!$B:$E,1,0)</f>
        <v>4130112306</v>
      </c>
      <c r="N1100" s="806">
        <f>+VLOOKUP(C1100,'BG 2023'!$B:$E,3,0)</f>
        <v>279390963</v>
      </c>
      <c r="O1100" s="807">
        <f t="shared" si="78"/>
        <v>-889796301</v>
      </c>
      <c r="P1100" s="807">
        <f>+VLOOKUP(C1100,'BG 12.2024'!$B$471:$E$866,4,0)-H1100</f>
        <v>0</v>
      </c>
      <c r="R1100" s="807">
        <f>+IFERROR(VLOOKUP(C1100,'CA FE'!$A:$C,3,0),0)+G1100</f>
        <v>0</v>
      </c>
    </row>
    <row r="1101" spans="1:19" s="87" customFormat="1">
      <c r="A1101" s="77" t="s">
        <v>286</v>
      </c>
      <c r="B1101" s="77" t="s">
        <v>994</v>
      </c>
      <c r="C1101" s="793">
        <v>4130112307</v>
      </c>
      <c r="D1101" s="77" t="s">
        <v>63</v>
      </c>
      <c r="E1101" s="794" t="s">
        <v>634</v>
      </c>
      <c r="F1101" s="794" t="str">
        <f t="shared" si="77"/>
        <v>I</v>
      </c>
      <c r="G1101" s="28">
        <f>+IF(F1101="i",IFERROR(VLOOKUP(C1101,'BG 12.2024'!$B:$E,3,FALSE),0),0)</f>
        <v>61384403</v>
      </c>
      <c r="H1101" s="21">
        <f>+IF(F1101="i",IFERROR(VLOOKUP(C1101,'BG 12.2024'!$B:$E,4,FALSE),0),0)</f>
        <v>8068.49</v>
      </c>
      <c r="I1101" s="616"/>
      <c r="J1101" s="28">
        <f>IF(F1101="I",IFERROR(VLOOKUP(C1101,'BG 12.2023'!$B$6:$E$746,3,FALSE),0),0)</f>
        <v>62123602</v>
      </c>
      <c r="K1101" s="28">
        <f>IF(F1101="I",IFERROR(VLOOKUP(C1101,'BG 12.2023'!$B$6:$E$746,4,FALSE),0),0)</f>
        <v>8520.3799999999992</v>
      </c>
      <c r="M1101" s="15">
        <f>+VLOOKUP(C1101,'BG 2023'!$B:$E,1,0)</f>
        <v>4130112307</v>
      </c>
      <c r="N1101" s="806">
        <f>+VLOOKUP(C1101,'BG 2023'!$B:$E,3,0)</f>
        <v>62123602</v>
      </c>
      <c r="O1101" s="807">
        <f t="shared" si="78"/>
        <v>739199</v>
      </c>
      <c r="P1101" s="807">
        <f>+VLOOKUP(C1101,'BG 12.2024'!$B$471:$E$866,4,0)-H1101</f>
        <v>0</v>
      </c>
      <c r="R1101" s="807">
        <f>+IFERROR(VLOOKUP(C1101,'CA FE'!$A:$C,3,0),0)+G1101</f>
        <v>0</v>
      </c>
    </row>
    <row r="1102" spans="1:19" s="87" customFormat="1">
      <c r="A1102" s="77" t="s">
        <v>286</v>
      </c>
      <c r="B1102" s="77" t="s">
        <v>994</v>
      </c>
      <c r="C1102" s="793">
        <v>4130112308</v>
      </c>
      <c r="D1102" s="77" t="s">
        <v>64</v>
      </c>
      <c r="E1102" s="794" t="s">
        <v>640</v>
      </c>
      <c r="F1102" s="794" t="str">
        <f t="shared" si="77"/>
        <v>I</v>
      </c>
      <c r="G1102" s="28">
        <f>+IF(F1102="i",IFERROR(VLOOKUP(C1102,'BG 12.2024'!$B:$E,3,FALSE),0),0)</f>
        <v>0</v>
      </c>
      <c r="H1102" s="21">
        <f>+IF(F1102="i",IFERROR(VLOOKUP(C1102,'BG 12.2024'!$B:$E,4,FALSE),0),0)</f>
        <v>0</v>
      </c>
      <c r="I1102" s="616"/>
      <c r="J1102" s="28">
        <f>IF(F1102="I",IFERROR(VLOOKUP(C1102,'BG 12.2023'!$B$6:$E$746,3,FALSE),0),0)</f>
        <v>28966721</v>
      </c>
      <c r="K1102" s="28">
        <f>IF(F1102="I",IFERROR(VLOOKUP(C1102,'BG 12.2023'!$B$6:$E$746,4,FALSE),0),0)</f>
        <v>3984.32</v>
      </c>
      <c r="M1102" s="15">
        <f>+VLOOKUP(C1102,'BG 2023'!$B:$E,1,0)</f>
        <v>4130112308</v>
      </c>
      <c r="N1102" s="806">
        <f>+VLOOKUP(C1102,'BG 2023'!$B:$E,3,0)</f>
        <v>28966721</v>
      </c>
      <c r="O1102" s="807">
        <f t="shared" si="78"/>
        <v>28966721</v>
      </c>
      <c r="P1102" s="807"/>
      <c r="R1102" s="807">
        <f>+IFERROR(VLOOKUP(C1102,'CA FE'!$A:$C,3,0),0)+G1102</f>
        <v>0</v>
      </c>
    </row>
    <row r="1103" spans="1:19" s="87" customFormat="1">
      <c r="A1103" s="77" t="s">
        <v>286</v>
      </c>
      <c r="B1103" s="77" t="s">
        <v>994</v>
      </c>
      <c r="C1103" s="793">
        <v>4130112309</v>
      </c>
      <c r="D1103" s="77" t="s">
        <v>66</v>
      </c>
      <c r="E1103" s="794" t="s">
        <v>634</v>
      </c>
      <c r="F1103" s="794" t="str">
        <f t="shared" ref="F1103:F1104" si="82">+IF(LEN(C1103)&gt;8,"I","NI")</f>
        <v>I</v>
      </c>
      <c r="G1103" s="28">
        <f>+IF(F1103="i",IFERROR(VLOOKUP(C1103,'BG 12.2024'!$B:$E,3,FALSE),0),0)</f>
        <v>6121821</v>
      </c>
      <c r="H1103" s="21">
        <f>+IF(F1103="i",IFERROR(VLOOKUP(C1103,'BG 12.2024'!$B:$E,4,FALSE),0),0)</f>
        <v>835.12</v>
      </c>
      <c r="I1103" s="616"/>
      <c r="J1103" s="28">
        <f>IF(F1103="I",IFERROR(VLOOKUP(C1103,'BG 12.2023'!$B$6:$E$746,3,FALSE),0),0)</f>
        <v>2570816</v>
      </c>
      <c r="K1103" s="28">
        <f>IF(F1103="I",IFERROR(VLOOKUP(C1103,'BG 12.2023'!$B$6:$E$746,4,FALSE),0),0)</f>
        <v>345.68</v>
      </c>
      <c r="M1103" s="15"/>
      <c r="N1103" s="806"/>
      <c r="O1103" s="807"/>
      <c r="P1103" s="807">
        <f>+VLOOKUP(C1103,'BG 12.2024'!$B$471:$E$866,4,0)-H1103</f>
        <v>0</v>
      </c>
      <c r="R1103" s="807">
        <f>+IFERROR(VLOOKUP(C1103,'CA FE'!$A:$C,3,0),0)+G1103</f>
        <v>0</v>
      </c>
    </row>
    <row r="1104" spans="1:19" s="87" customFormat="1">
      <c r="A1104" s="77" t="s">
        <v>286</v>
      </c>
      <c r="B1104" s="354" t="s">
        <v>995</v>
      </c>
      <c r="C1104" s="793">
        <v>4130112313</v>
      </c>
      <c r="D1104" s="77" t="s">
        <v>267</v>
      </c>
      <c r="E1104" s="794" t="s">
        <v>634</v>
      </c>
      <c r="F1104" s="794" t="str">
        <f t="shared" si="82"/>
        <v>I</v>
      </c>
      <c r="G1104" s="28">
        <f>+IF(F1104="i",IFERROR(VLOOKUP(C1104,'BG 12.2024'!$B:$E,3,FALSE),0),0)</f>
        <v>0</v>
      </c>
      <c r="H1104" s="21">
        <f>+IF(F1104="i",IFERROR(VLOOKUP(C1104,'BG 12.2024'!$B:$E,4,FALSE),0),0)</f>
        <v>0</v>
      </c>
      <c r="I1104" s="616"/>
      <c r="J1104" s="28">
        <f>IF(F1104="I",IFERROR(VLOOKUP(C1104,'BG 12.2023'!$B$6:$E$746,3,FALSE),0),0)</f>
        <v>7276471</v>
      </c>
      <c r="K1104" s="28">
        <f>IF(F1104="I",IFERROR(VLOOKUP(C1104,'BG 12.2023'!$B$6:$E$746,4,FALSE),0),0)</f>
        <v>987.58</v>
      </c>
      <c r="M1104" s="15"/>
      <c r="N1104" s="806"/>
      <c r="O1104" s="807"/>
      <c r="P1104" s="807"/>
      <c r="R1104" s="807">
        <f>+IFERROR(VLOOKUP(C1104,'CA FE'!$A:$C,3,0),0)+G1104</f>
        <v>0</v>
      </c>
    </row>
    <row r="1105" spans="1:18" s="87" customFormat="1">
      <c r="A1105" s="77" t="s">
        <v>286</v>
      </c>
      <c r="B1105" s="77"/>
      <c r="C1105" s="793">
        <v>4130112315</v>
      </c>
      <c r="D1105" s="77" t="s">
        <v>978</v>
      </c>
      <c r="E1105" s="794" t="s">
        <v>634</v>
      </c>
      <c r="F1105" s="794" t="str">
        <f t="shared" si="77"/>
        <v>I</v>
      </c>
      <c r="G1105" s="28">
        <f>+IF(F1105="i",IFERROR(VLOOKUP(C1105,'BG 12.2024'!$B:$E,3,FALSE),0),0)</f>
        <v>0</v>
      </c>
      <c r="H1105" s="21">
        <f>+IF(F1105="i",IFERROR(VLOOKUP(C1105,'BG 12.2024'!$B:$E,4,FALSE),0),0)</f>
        <v>0</v>
      </c>
      <c r="I1105" s="616"/>
      <c r="J1105" s="1256">
        <f>IF(F1105="I",IFERROR(VLOOKUP(C1105,'BG 12.2023'!$B$6:$E$746,3,FALSE),0),0)</f>
        <v>0</v>
      </c>
      <c r="K1105" s="28">
        <f>IF(F1105="I",IFERROR(VLOOKUP(C1105,'BG 12.2023'!$B$6:$E$746,4,FALSE),0),0)</f>
        <v>0</v>
      </c>
      <c r="M1105" s="15" t="e">
        <f>+VLOOKUP(C1105,'BG 2023'!$B:$E,1,0)</f>
        <v>#N/A</v>
      </c>
      <c r="N1105" s="806" t="e">
        <f>+VLOOKUP(C1105,'BG 2023'!$B:$E,3,0)</f>
        <v>#N/A</v>
      </c>
      <c r="O1105" s="807" t="e">
        <f t="shared" si="78"/>
        <v>#N/A</v>
      </c>
      <c r="P1105" s="807"/>
      <c r="R1105" s="807">
        <f>+IFERROR(VLOOKUP(C1105,'CA FE'!$A:$C,3,0),0)+G1105</f>
        <v>0</v>
      </c>
    </row>
    <row r="1106" spans="1:18" s="87" customFormat="1">
      <c r="A1106" s="77" t="s">
        <v>286</v>
      </c>
      <c r="B1106" s="77" t="s">
        <v>995</v>
      </c>
      <c r="C1106" s="793">
        <v>4130112317</v>
      </c>
      <c r="D1106" s="77" t="s">
        <v>271</v>
      </c>
      <c r="E1106" s="794" t="s">
        <v>634</v>
      </c>
      <c r="F1106" s="794" t="str">
        <f t="shared" si="77"/>
        <v>I</v>
      </c>
      <c r="G1106" s="28">
        <f>+IF(F1106="i",IFERROR(VLOOKUP(C1106,'BG 12.2024'!$B:$E,3,FALSE),0),0)</f>
        <v>38735601</v>
      </c>
      <c r="H1106" s="21">
        <f>+IF(F1106="i",IFERROR(VLOOKUP(C1106,'BG 12.2024'!$B:$E,4,FALSE),0),0)</f>
        <v>5277.73</v>
      </c>
      <c r="I1106" s="616"/>
      <c r="J1106" s="1256">
        <f>IF(F1106="I",IFERROR(VLOOKUP(C1106,'BG 12.2023'!$B$6:$E$746,3,FALSE),0),0)</f>
        <v>33966151</v>
      </c>
      <c r="K1106" s="28">
        <f>IF(F1106="I",IFERROR(VLOOKUP(C1106,'BG 12.2023'!$B$6:$E$746,4,FALSE),0),0)</f>
        <v>4637.37</v>
      </c>
      <c r="M1106" s="15">
        <f>+VLOOKUP(C1106,'BG 2023'!$B:$E,1,0)</f>
        <v>4130112317</v>
      </c>
      <c r="N1106" s="806">
        <f>+VLOOKUP(C1106,'BG 2023'!$B:$E,3,0)</f>
        <v>33966151</v>
      </c>
      <c r="O1106" s="807">
        <f t="shared" si="78"/>
        <v>-4769450</v>
      </c>
      <c r="P1106" s="807">
        <f>+VLOOKUP(C1106,'BG 12.2024'!$B$471:$E$866,4,0)-H1106</f>
        <v>0</v>
      </c>
      <c r="R1106" s="807">
        <f>+IFERROR(VLOOKUP(C1106,'CA FE'!$A:$C,3,0),0)+G1106</f>
        <v>0</v>
      </c>
    </row>
    <row r="1107" spans="1:18" s="87" customFormat="1">
      <c r="A1107" s="77" t="s">
        <v>286</v>
      </c>
      <c r="B1107" s="77" t="s">
        <v>995</v>
      </c>
      <c r="C1107" s="793">
        <v>4130112318</v>
      </c>
      <c r="D1107" s="77" t="s">
        <v>274</v>
      </c>
      <c r="E1107" s="794" t="s">
        <v>640</v>
      </c>
      <c r="F1107" s="794" t="str">
        <f t="shared" si="77"/>
        <v>I</v>
      </c>
      <c r="G1107" s="28">
        <f>+IF(F1107="i",IFERROR(VLOOKUP(C1107,'BG 12.2024'!$B:$E,3,FALSE),0),0)</f>
        <v>0</v>
      </c>
      <c r="H1107" s="21">
        <f>+IF(F1107="i",IFERROR(VLOOKUP(C1107,'BG 12.2024'!$B:$E,4,FALSE),0),0)</f>
        <v>0</v>
      </c>
      <c r="I1107" s="616"/>
      <c r="J1107" s="1256">
        <f>IF(F1107="I",IFERROR(VLOOKUP(C1107,'BG 12.2023'!$B$6:$E$746,3,FALSE),0),0)</f>
        <v>0</v>
      </c>
      <c r="K1107" s="28">
        <f>IF(F1107="I",IFERROR(VLOOKUP(C1107,'BG 12.2023'!$B$6:$E$746,4,FALSE),0),0)</f>
        <v>0</v>
      </c>
      <c r="M1107" s="15" t="e">
        <f>+VLOOKUP(C1107,'BG 2023'!$B:$E,1,0)</f>
        <v>#N/A</v>
      </c>
      <c r="N1107" s="806" t="e">
        <f>+VLOOKUP(C1107,'BG 2023'!$B:$E,3,0)</f>
        <v>#N/A</v>
      </c>
      <c r="O1107" s="807" t="e">
        <f t="shared" si="78"/>
        <v>#N/A</v>
      </c>
      <c r="P1107" s="807"/>
      <c r="R1107" s="807">
        <f>+IFERROR(VLOOKUP(C1107,'CA FE'!$A:$C,3,0),0)+G1107</f>
        <v>0</v>
      </c>
    </row>
    <row r="1108" spans="1:18" s="87" customFormat="1">
      <c r="A1108" s="77" t="s">
        <v>286</v>
      </c>
      <c r="B1108" s="77"/>
      <c r="C1108" s="793">
        <v>4130112319</v>
      </c>
      <c r="D1108" s="77" t="s">
        <v>413</v>
      </c>
      <c r="E1108" s="794" t="s">
        <v>634</v>
      </c>
      <c r="F1108" s="794" t="str">
        <f t="shared" si="77"/>
        <v>I</v>
      </c>
      <c r="G1108" s="28">
        <f>+IF(F1108="i",IFERROR(VLOOKUP(C1108,'BG 12.2024'!$B:$E,3,FALSE),0),0)</f>
        <v>0</v>
      </c>
      <c r="H1108" s="21">
        <f>+IF(F1108="i",IFERROR(VLOOKUP(C1108,'BG 12.2024'!$B:$E,4,FALSE),0),0)</f>
        <v>0</v>
      </c>
      <c r="I1108" s="616"/>
      <c r="J1108" s="28">
        <f>IF(F1108="I",IFERROR(VLOOKUP(C1108,'BG 12.2023'!$B$6:$E$746,3,FALSE),0),0)</f>
        <v>0</v>
      </c>
      <c r="K1108" s="28">
        <f>IF(F1108="I",IFERROR(VLOOKUP(C1108,'BG 12.2023'!$B$6:$E$746,4,FALSE),0),0)</f>
        <v>0</v>
      </c>
      <c r="M1108" s="15" t="e">
        <f>+VLOOKUP(C1108,'BG 2023'!$B:$E,1,0)</f>
        <v>#N/A</v>
      </c>
      <c r="N1108" s="806" t="e">
        <f>+VLOOKUP(C1108,'BG 2023'!$B:$E,3,0)</f>
        <v>#N/A</v>
      </c>
      <c r="O1108" s="807" t="e">
        <f t="shared" si="78"/>
        <v>#N/A</v>
      </c>
      <c r="P1108" s="807"/>
      <c r="R1108" s="807">
        <f>+IFERROR(VLOOKUP(C1108,'CA FE'!$A:$C,3,0),0)+G1108</f>
        <v>0</v>
      </c>
    </row>
    <row r="1109" spans="1:18" s="87" customFormat="1">
      <c r="A1109" s="77" t="s">
        <v>286</v>
      </c>
      <c r="B1109" s="77" t="s">
        <v>994</v>
      </c>
      <c r="C1109" s="793">
        <v>4130112329</v>
      </c>
      <c r="D1109" s="77" t="s">
        <v>279</v>
      </c>
      <c r="E1109" s="794" t="s">
        <v>634</v>
      </c>
      <c r="F1109" s="794" t="str">
        <f t="shared" si="77"/>
        <v>I</v>
      </c>
      <c r="G1109" s="28">
        <f>+IF(F1109="i",IFERROR(VLOOKUP(C1109,'BG 12.2024'!$B:$E,3,FALSE),0),0)</f>
        <v>146730882</v>
      </c>
      <c r="H1109" s="21">
        <f>+IF(F1109="i",IFERROR(VLOOKUP(C1109,'BG 12.2024'!$B:$E,4,FALSE),0),0)</f>
        <v>19579.13</v>
      </c>
      <c r="I1109" s="616"/>
      <c r="J1109" s="28">
        <f>IF(F1109="I",IFERROR(VLOOKUP(C1109,'BG 12.2023'!$B$6:$E$746,3,FALSE),0),0)</f>
        <v>21017373</v>
      </c>
      <c r="K1109" s="28">
        <f>IF(F1109="I",IFERROR(VLOOKUP(C1109,'BG 12.2023'!$B$6:$E$746,4,FALSE),0),0)</f>
        <v>2867.65</v>
      </c>
      <c r="M1109" s="15">
        <f>+VLOOKUP(C1109,'BG 2023'!$B:$E,1,0)</f>
        <v>4130112329</v>
      </c>
      <c r="N1109" s="806">
        <f>+VLOOKUP(C1109,'BG 2023'!$B:$E,3,0)</f>
        <v>21017373</v>
      </c>
      <c r="O1109" s="807">
        <f t="shared" si="78"/>
        <v>-125713509</v>
      </c>
      <c r="P1109" s="807">
        <f>+VLOOKUP(C1109,'BG 12.2024'!$B$471:$E$866,4,0)-H1109</f>
        <v>0</v>
      </c>
      <c r="R1109" s="807">
        <f>+IFERROR(VLOOKUP(C1109,'CA FE'!$A:$C,3,0),0)+G1109</f>
        <v>0</v>
      </c>
    </row>
    <row r="1110" spans="1:18" s="87" customFormat="1">
      <c r="A1110" s="77" t="s">
        <v>286</v>
      </c>
      <c r="B1110" s="77" t="s">
        <v>994</v>
      </c>
      <c r="C1110" s="793">
        <v>4130112331</v>
      </c>
      <c r="D1110" s="77" t="s">
        <v>53</v>
      </c>
      <c r="E1110" s="794" t="s">
        <v>634</v>
      </c>
      <c r="F1110" s="794" t="str">
        <f t="shared" si="77"/>
        <v>I</v>
      </c>
      <c r="G1110" s="28">
        <f>+IF(F1110="i",IFERROR(VLOOKUP(C1110,'BG 12.2024'!$B:$E,3,FALSE),0),0)</f>
        <v>604284542</v>
      </c>
      <c r="H1110" s="21">
        <f>+IF(F1110="i",IFERROR(VLOOKUP(C1110,'BG 12.2024'!$B:$E,4,FALSE),0),0)</f>
        <v>79270.83</v>
      </c>
      <c r="I1110" s="616"/>
      <c r="J1110" s="28">
        <f>IF(F1110="I",IFERROR(VLOOKUP(C1110,'BG 12.2023'!$B$6:$E$746,3,FALSE),0),0)</f>
        <v>315254224</v>
      </c>
      <c r="K1110" s="28">
        <f>IF(F1110="I",IFERROR(VLOOKUP(C1110,'BG 12.2023'!$B$6:$E$746,4,FALSE),0),0)</f>
        <v>43374.53</v>
      </c>
      <c r="M1110" s="15">
        <f>+VLOOKUP(C1110,'BG 2023'!$B:$E,1,0)</f>
        <v>4130112331</v>
      </c>
      <c r="N1110" s="806">
        <f>+VLOOKUP(C1110,'BG 2023'!$B:$E,3,0)</f>
        <v>315254224</v>
      </c>
      <c r="O1110" s="807">
        <f t="shared" si="78"/>
        <v>-289030318</v>
      </c>
      <c r="P1110" s="807">
        <f>+VLOOKUP(C1110,'BG 12.2024'!$B$471:$E$866,4,0)-H1110</f>
        <v>0</v>
      </c>
      <c r="R1110" s="807">
        <f>+IFERROR(VLOOKUP(C1110,'CA FE'!$A:$C,3,0),0)+G1110</f>
        <v>0</v>
      </c>
    </row>
    <row r="1111" spans="1:18" s="87" customFormat="1">
      <c r="A1111" s="77" t="s">
        <v>286</v>
      </c>
      <c r="B1111" s="77" t="s">
        <v>995</v>
      </c>
      <c r="C1111" s="793">
        <v>4130112333</v>
      </c>
      <c r="D1111" s="77" t="s">
        <v>342</v>
      </c>
      <c r="E1111" s="794" t="s">
        <v>634</v>
      </c>
      <c r="F1111" s="794" t="str">
        <f t="shared" si="77"/>
        <v>I</v>
      </c>
      <c r="G1111" s="28">
        <f>+IF(F1111="i",IFERROR(VLOOKUP(C1111,'BG 12.2024'!$B:$E,3,FALSE),0),0)</f>
        <v>69111666</v>
      </c>
      <c r="H1111" s="21">
        <f>+IF(F1111="i",IFERROR(VLOOKUP(C1111,'BG 12.2024'!$B:$E,4,FALSE),0),0)</f>
        <v>9266.77</v>
      </c>
      <c r="I1111" s="616"/>
      <c r="J1111" s="1256">
        <f>IF(F1111="I",IFERROR(VLOOKUP(C1111,'BG 12.2023'!$B$6:$E$746,3,FALSE),0),0)</f>
        <v>12789924</v>
      </c>
      <c r="K1111" s="28">
        <f>IF(F1111="I",IFERROR(VLOOKUP(C1111,'BG 12.2023'!$B$6:$E$746,4,FALSE),0),0)</f>
        <v>1741.4</v>
      </c>
      <c r="M1111" s="15">
        <f>+VLOOKUP(C1111,'BG 2023'!$B:$E,1,0)</f>
        <v>4130112333</v>
      </c>
      <c r="N1111" s="806">
        <f>+VLOOKUP(C1111,'BG 2023'!$B:$E,3,0)</f>
        <v>12789924</v>
      </c>
      <c r="O1111" s="807">
        <f t="shared" si="78"/>
        <v>-56321742</v>
      </c>
      <c r="P1111" s="807">
        <f>+VLOOKUP(C1111,'BG 12.2024'!$B$471:$E$866,4,0)-H1111</f>
        <v>0</v>
      </c>
      <c r="R1111" s="807">
        <f>+IFERROR(VLOOKUP(C1111,'CA FE'!$A:$C,3,0),0)+G1111</f>
        <v>0</v>
      </c>
    </row>
    <row r="1112" spans="1:18" s="87" customFormat="1">
      <c r="A1112" s="77" t="s">
        <v>286</v>
      </c>
      <c r="B1112" s="77"/>
      <c r="C1112" s="793">
        <v>4130112335</v>
      </c>
      <c r="D1112" s="77" t="s">
        <v>996</v>
      </c>
      <c r="E1112" s="794" t="s">
        <v>634</v>
      </c>
      <c r="F1112" s="794" t="str">
        <f t="shared" si="77"/>
        <v>I</v>
      </c>
      <c r="G1112" s="28">
        <f>+IF(F1112="i",IFERROR(VLOOKUP(C1112,'BG 12.2024'!$B:$E,3,FALSE),0),0)</f>
        <v>0</v>
      </c>
      <c r="H1112" s="21">
        <f>+IF(F1112="i",IFERROR(VLOOKUP(C1112,'BG 12.2024'!$B:$E,4,FALSE),0),0)</f>
        <v>0</v>
      </c>
      <c r="I1112" s="616"/>
      <c r="J1112" s="28">
        <f>IF(F1112="I",IFERROR(VLOOKUP(C1112,'BG 12.2023'!$B$6:$E$746,3,FALSE),0),0)</f>
        <v>0</v>
      </c>
      <c r="K1112" s="28">
        <f>IF(F1112="I",IFERROR(VLOOKUP(C1112,'BG 12.2023'!$B$6:$E$746,4,FALSE),0),0)</f>
        <v>0</v>
      </c>
      <c r="M1112" s="15" t="e">
        <f>+VLOOKUP(C1112,'BG 2023'!$B:$E,1,0)</f>
        <v>#N/A</v>
      </c>
      <c r="N1112" s="806" t="e">
        <f>+VLOOKUP(C1112,'BG 2023'!$B:$E,3,0)</f>
        <v>#N/A</v>
      </c>
      <c r="O1112" s="807" t="e">
        <f t="shared" si="78"/>
        <v>#N/A</v>
      </c>
      <c r="P1112" s="807"/>
      <c r="R1112" s="807">
        <f>+IFERROR(VLOOKUP(C1112,'CA FE'!$A:$C,3,0),0)+G1112</f>
        <v>0</v>
      </c>
    </row>
    <row r="1113" spans="1:18" s="87" customFormat="1">
      <c r="A1113" s="77" t="s">
        <v>286</v>
      </c>
      <c r="B1113" s="77"/>
      <c r="C1113" s="793">
        <v>4130112337</v>
      </c>
      <c r="D1113" s="77" t="s">
        <v>997</v>
      </c>
      <c r="E1113" s="794" t="s">
        <v>634</v>
      </c>
      <c r="F1113" s="794" t="str">
        <f t="shared" si="77"/>
        <v>I</v>
      </c>
      <c r="G1113" s="28">
        <f>+IF(F1113="i",IFERROR(VLOOKUP(C1113,'BG 12.2024'!$B:$E,3,FALSE),0),0)</f>
        <v>0</v>
      </c>
      <c r="H1113" s="21">
        <f>+IF(F1113="i",IFERROR(VLOOKUP(C1113,'BG 12.2024'!$B:$E,4,FALSE),0),0)</f>
        <v>0</v>
      </c>
      <c r="I1113" s="616"/>
      <c r="J1113" s="28">
        <f>IF(F1113="I",IFERROR(VLOOKUP(C1113,'BG 12.2023'!$B$6:$E$746,3,FALSE),0),0)</f>
        <v>0</v>
      </c>
      <c r="K1113" s="28">
        <f>IF(F1113="I",IFERROR(VLOOKUP(C1113,'BG 12.2023'!$B$6:$E$746,4,FALSE),0),0)</f>
        <v>0</v>
      </c>
      <c r="M1113" s="15" t="e">
        <f>+VLOOKUP(C1113,'BG 2023'!$B:$E,1,0)</f>
        <v>#N/A</v>
      </c>
      <c r="N1113" s="806" t="e">
        <f>+VLOOKUP(C1113,'BG 2023'!$B:$E,3,0)</f>
        <v>#N/A</v>
      </c>
      <c r="O1113" s="807" t="e">
        <f t="shared" si="78"/>
        <v>#N/A</v>
      </c>
      <c r="P1113" s="807"/>
      <c r="R1113" s="807">
        <f>+IFERROR(VLOOKUP(C1113,'CA FE'!$A:$C,3,0),0)+G1113</f>
        <v>0</v>
      </c>
    </row>
    <row r="1114" spans="1:18" s="87" customFormat="1">
      <c r="A1114" s="77" t="s">
        <v>286</v>
      </c>
      <c r="B1114" s="77" t="s">
        <v>995</v>
      </c>
      <c r="C1114" s="793">
        <v>4130112341</v>
      </c>
      <c r="D1114" s="77" t="s">
        <v>998</v>
      </c>
      <c r="E1114" s="794" t="s">
        <v>634</v>
      </c>
      <c r="F1114" s="794" t="str">
        <f t="shared" si="77"/>
        <v>I</v>
      </c>
      <c r="G1114" s="28">
        <f>+IF(F1114="i",IFERROR(VLOOKUP(C1114,'BG 12.2024'!$B:$E,3,FALSE),0),0)</f>
        <v>13879155</v>
      </c>
      <c r="H1114" s="21">
        <f>+IF(F1114="i",IFERROR(VLOOKUP(C1114,'BG 12.2024'!$B:$E,4,FALSE),0),0)</f>
        <v>1828.86</v>
      </c>
      <c r="I1114" s="616"/>
      <c r="J1114" s="28">
        <f>IF(F1114="I",IFERROR(VLOOKUP(C1114,'BG 12.2023'!$B$6:$E$746,3,FALSE),0),0)</f>
        <v>0</v>
      </c>
      <c r="K1114" s="28">
        <f>IF(F1114="I",IFERROR(VLOOKUP(C1114,'BG 12.2023'!$B$6:$E$746,4,FALSE),0),0)</f>
        <v>0</v>
      </c>
      <c r="M1114" s="15" t="e">
        <f>+VLOOKUP(C1114,'BG 2023'!$B:$E,1,0)</f>
        <v>#N/A</v>
      </c>
      <c r="N1114" s="806" t="e">
        <f>+VLOOKUP(C1114,'BG 2023'!$B:$E,3,0)</f>
        <v>#N/A</v>
      </c>
      <c r="O1114" s="807" t="e">
        <f t="shared" si="78"/>
        <v>#N/A</v>
      </c>
      <c r="P1114" s="807"/>
      <c r="R1114" s="807">
        <f>+IFERROR(VLOOKUP(C1114,'CA FE'!$A:$C,3,0),0)+G1114</f>
        <v>0</v>
      </c>
    </row>
    <row r="1115" spans="1:18" s="87" customFormat="1">
      <c r="A1115" s="77" t="s">
        <v>286</v>
      </c>
      <c r="B1115" s="77" t="s">
        <v>995</v>
      </c>
      <c r="C1115" s="793">
        <v>4130112343</v>
      </c>
      <c r="D1115" s="77" t="s">
        <v>343</v>
      </c>
      <c r="E1115" s="794" t="s">
        <v>634</v>
      </c>
      <c r="F1115" s="794" t="str">
        <f t="shared" si="77"/>
        <v>I</v>
      </c>
      <c r="G1115" s="28">
        <f>+IF(F1115="i",IFERROR(VLOOKUP(C1115,'BG 12.2024'!$B:$E,3,FALSE),0),0)</f>
        <v>0</v>
      </c>
      <c r="H1115" s="21">
        <f>+IF(F1115="i",IFERROR(VLOOKUP(C1115,'BG 12.2024'!$B:$E,4,FALSE),0),0)</f>
        <v>0</v>
      </c>
      <c r="I1115" s="616"/>
      <c r="J1115" s="1256">
        <f>IF(F1115="I",IFERROR(VLOOKUP(C1115,'BG 12.2023'!$B$6:$E$746,3,FALSE),0),0)</f>
        <v>4560000</v>
      </c>
      <c r="K1115" s="28">
        <f>IF(F1115="I",IFERROR(VLOOKUP(C1115,'BG 12.2023'!$B$6:$E$746,4,FALSE),0),0)</f>
        <v>618.24</v>
      </c>
      <c r="M1115" s="15">
        <f>+VLOOKUP(C1115,'BG 2023'!$B:$E,1,0)</f>
        <v>4130112343</v>
      </c>
      <c r="N1115" s="806">
        <f>+VLOOKUP(C1115,'BG 2023'!$B:$E,3,0)</f>
        <v>4560000</v>
      </c>
      <c r="O1115" s="807">
        <f t="shared" si="78"/>
        <v>4560000</v>
      </c>
      <c r="P1115" s="807"/>
      <c r="R1115" s="807">
        <f>+IFERROR(VLOOKUP(C1115,'CA FE'!$A:$C,3,0),0)+G1115</f>
        <v>0</v>
      </c>
    </row>
    <row r="1116" spans="1:18" s="87" customFormat="1">
      <c r="A1116" s="77" t="s">
        <v>286</v>
      </c>
      <c r="B1116" s="77" t="s">
        <v>995</v>
      </c>
      <c r="C1116" s="793">
        <v>4130112345</v>
      </c>
      <c r="D1116" s="77" t="s">
        <v>999</v>
      </c>
      <c r="E1116" s="794" t="s">
        <v>634</v>
      </c>
      <c r="F1116" s="794" t="str">
        <f t="shared" si="77"/>
        <v>I</v>
      </c>
      <c r="G1116" s="28">
        <f>+IF(F1116="i",IFERROR(VLOOKUP(C1116,'BG 12.2024'!$B:$E,3,FALSE),0),0)</f>
        <v>0</v>
      </c>
      <c r="H1116" s="21">
        <f>+IF(F1116="i",IFERROR(VLOOKUP(C1116,'BG 12.2024'!$B:$E,4,FALSE),0),0)</f>
        <v>0</v>
      </c>
      <c r="I1116" s="616"/>
      <c r="J1116" s="28">
        <f>IF(F1116="I",IFERROR(VLOOKUP(C1116,'BG 12.2023'!$B$6:$E$746,3,FALSE),0),0)</f>
        <v>0</v>
      </c>
      <c r="K1116" s="28">
        <f>IF(F1116="I",IFERROR(VLOOKUP(C1116,'BG 12.2023'!$B$6:$E$746,4,FALSE),0),0)</f>
        <v>0</v>
      </c>
      <c r="M1116" s="15" t="e">
        <f>+VLOOKUP(C1116,'BG 2023'!$B:$E,1,0)</f>
        <v>#N/A</v>
      </c>
      <c r="N1116" s="806" t="e">
        <f>+VLOOKUP(C1116,'BG 2023'!$B:$E,3,0)</f>
        <v>#N/A</v>
      </c>
      <c r="O1116" s="807" t="e">
        <f t="shared" si="78"/>
        <v>#N/A</v>
      </c>
      <c r="P1116" s="807"/>
      <c r="R1116" s="807">
        <f>+IFERROR(VLOOKUP(C1116,'CA FE'!$A:$C,3,0),0)+G1116</f>
        <v>0</v>
      </c>
    </row>
    <row r="1117" spans="1:18" s="87" customFormat="1">
      <c r="A1117" s="77" t="s">
        <v>286</v>
      </c>
      <c r="B1117" s="77" t="s">
        <v>995</v>
      </c>
      <c r="C1117" s="793">
        <v>4130112346</v>
      </c>
      <c r="D1117" s="77" t="s">
        <v>1000</v>
      </c>
      <c r="E1117" s="794" t="s">
        <v>640</v>
      </c>
      <c r="F1117" s="794" t="str">
        <f t="shared" si="77"/>
        <v>I</v>
      </c>
      <c r="G1117" s="28">
        <f>+IF(F1117="i",IFERROR(VLOOKUP(C1117,'BG 12.2024'!$B:$E,3,FALSE),0),0)</f>
        <v>1433416</v>
      </c>
      <c r="H1117" s="21">
        <f>+IF(F1117="i",IFERROR(VLOOKUP(C1117,'BG 12.2024'!$B:$E,4,FALSE),0),0)</f>
        <v>183.82000000000002</v>
      </c>
      <c r="I1117" s="616"/>
      <c r="J1117" s="28">
        <f>IF(F1117="I",IFERROR(VLOOKUP(C1117,'BG 12.2023'!$B$6:$E$746,3,FALSE),0),0)</f>
        <v>0</v>
      </c>
      <c r="K1117" s="28">
        <f>IF(F1117="I",IFERROR(VLOOKUP(C1117,'BG 12.2023'!$B$6:$E$746,4,FALSE),0),0)</f>
        <v>0</v>
      </c>
      <c r="M1117" s="15" t="e">
        <f>+VLOOKUP(C1117,'BG 2023'!$B:$E,1,0)</f>
        <v>#N/A</v>
      </c>
      <c r="N1117" s="806" t="e">
        <f>+VLOOKUP(C1117,'BG 2023'!$B:$E,3,0)</f>
        <v>#N/A</v>
      </c>
      <c r="O1117" s="807" t="e">
        <f t="shared" si="78"/>
        <v>#N/A</v>
      </c>
      <c r="P1117" s="807"/>
      <c r="R1117" s="807">
        <f>+IFERROR(VLOOKUP(C1117,'CA FE'!$A:$C,3,0),0)+G1117</f>
        <v>0</v>
      </c>
    </row>
    <row r="1118" spans="1:18" s="87" customFormat="1">
      <c r="A1118" s="77" t="s">
        <v>286</v>
      </c>
      <c r="B1118" s="77" t="s">
        <v>995</v>
      </c>
      <c r="C1118" s="793">
        <v>4130112348</v>
      </c>
      <c r="D1118" s="77" t="s">
        <v>344</v>
      </c>
      <c r="E1118" s="794" t="s">
        <v>634</v>
      </c>
      <c r="F1118" s="794" t="str">
        <f t="shared" ref="F1118:F1121" si="83">+IF(LEN(C1118)&gt;8,"I","NI")</f>
        <v>I</v>
      </c>
      <c r="G1118" s="28">
        <f>+IF(F1118="i",IFERROR(VLOOKUP(C1118,'BG 12.2024'!$B:$E,3,FALSE),0),0)</f>
        <v>5</v>
      </c>
      <c r="H1118" s="21">
        <f>+IF(F1118="i",IFERROR(VLOOKUP(C1118,'BG 12.2024'!$B:$E,4,FALSE),0),0)</f>
        <v>0</v>
      </c>
      <c r="I1118" s="616"/>
      <c r="J1118" s="1256">
        <f>IF(F1118="I",IFERROR(VLOOKUP(C1118,'BG 12.2023'!$B$6:$E$746,3,FALSE),0),0)</f>
        <v>30539127</v>
      </c>
      <c r="K1118" s="28">
        <f>IF(F1118="I",IFERROR(VLOOKUP(C1118,'BG 12.2023'!$B$6:$E$746,4,FALSE),0),0)</f>
        <v>4217.9400000000005</v>
      </c>
      <c r="M1118" s="15">
        <f>+VLOOKUP(C1118,'BG 2023'!$B:$E,1,0)</f>
        <v>4130112348</v>
      </c>
      <c r="N1118" s="806">
        <f>+VLOOKUP(C1118,'BG 2023'!$B:$E,3,0)</f>
        <v>30539127</v>
      </c>
      <c r="O1118" s="807">
        <f t="shared" si="78"/>
        <v>30539122</v>
      </c>
      <c r="P1118" s="807"/>
      <c r="R1118" s="807">
        <f>+IFERROR(VLOOKUP(C1118,'CA FE'!$A:$C,3,0),0)+G1118</f>
        <v>0</v>
      </c>
    </row>
    <row r="1119" spans="1:18" s="87" customFormat="1">
      <c r="A1119" s="77" t="s">
        <v>286</v>
      </c>
      <c r="B1119" s="77" t="s">
        <v>995</v>
      </c>
      <c r="C1119" s="793">
        <v>4130112350</v>
      </c>
      <c r="D1119" s="77" t="s">
        <v>345</v>
      </c>
      <c r="E1119" s="794" t="s">
        <v>634</v>
      </c>
      <c r="F1119" s="794" t="str">
        <f t="shared" ref="F1119" si="84">+IF(LEN(C1119)&gt;8,"I","NI")</f>
        <v>I</v>
      </c>
      <c r="G1119" s="28">
        <f>+IF(F1119="i",IFERROR(VLOOKUP(C1119,'BG 12.2024'!$B:$E,3,FALSE),0),0)</f>
        <v>0</v>
      </c>
      <c r="H1119" s="21">
        <f>+IF(F1119="i",IFERROR(VLOOKUP(C1119,'BG 12.2024'!$B:$E,4,FALSE),0),0)</f>
        <v>0</v>
      </c>
      <c r="I1119" s="616"/>
      <c r="J1119" s="1256">
        <f>IF(F1119="I",IFERROR(VLOOKUP(C1119,'BG 12.2023'!$B$6:$E$746,3,FALSE),0),0)</f>
        <v>13492735</v>
      </c>
      <c r="K1119" s="28">
        <f>IF(F1119="I",IFERROR(VLOOKUP(C1119,'BG 12.2023'!$B$6:$E$746,4,FALSE),0),0)</f>
        <v>1858.64</v>
      </c>
      <c r="M1119" s="15">
        <f>+VLOOKUP(C1119,'BG 2023'!$B:$E,1,0)</f>
        <v>4130112350</v>
      </c>
      <c r="N1119" s="806">
        <f>+VLOOKUP(C1119,'BG 2023'!$B:$E,3,0)</f>
        <v>13492735</v>
      </c>
      <c r="O1119" s="807">
        <f t="shared" si="78"/>
        <v>13492735</v>
      </c>
      <c r="P1119" s="807"/>
      <c r="R1119" s="807">
        <f>+IFERROR(VLOOKUP(C1119,'CA FE'!$A:$C,3,0),0)+G1119</f>
        <v>0</v>
      </c>
    </row>
    <row r="1120" spans="1:18" s="87" customFormat="1">
      <c r="A1120" s="77" t="s">
        <v>286</v>
      </c>
      <c r="B1120" s="77" t="s">
        <v>995</v>
      </c>
      <c r="C1120" s="793">
        <v>4130112352</v>
      </c>
      <c r="D1120" s="77" t="s">
        <v>346</v>
      </c>
      <c r="E1120" s="794" t="s">
        <v>634</v>
      </c>
      <c r="F1120" s="794" t="str">
        <f t="shared" si="83"/>
        <v>I</v>
      </c>
      <c r="G1120" s="28">
        <f>+IF(F1120="i",IFERROR(VLOOKUP(C1120,'BG 12.2024'!$B:$E,3,FALSE),0),0)</f>
        <v>0</v>
      </c>
      <c r="H1120" s="21">
        <f>+IF(F1120="i",IFERROR(VLOOKUP(C1120,'BG 12.2024'!$B:$E,4,FALSE),0),0)</f>
        <v>0</v>
      </c>
      <c r="I1120" s="616"/>
      <c r="J1120" s="1256">
        <f>IF(F1120="I",IFERROR(VLOOKUP(C1120,'BG 12.2023'!$B$6:$E$746,3,FALSE),0),0)</f>
        <v>6994785</v>
      </c>
      <c r="K1120" s="28">
        <f>IF(F1120="I",IFERROR(VLOOKUP(C1120,'BG 12.2023'!$B$6:$E$746,4,FALSE),0),0)</f>
        <v>963.73</v>
      </c>
      <c r="M1120" s="15">
        <f>+VLOOKUP(C1120,'BG 2023'!$B:$E,1,0)</f>
        <v>4130112352</v>
      </c>
      <c r="N1120" s="806">
        <f>+VLOOKUP(C1120,'BG 2023'!$B:$E,3,0)</f>
        <v>6994785</v>
      </c>
      <c r="O1120" s="807">
        <f t="shared" si="78"/>
        <v>6994785</v>
      </c>
      <c r="P1120" s="807"/>
      <c r="R1120" s="807">
        <f>+IFERROR(VLOOKUP(C1120,'CA FE'!$A:$C,3,0),0)+G1120</f>
        <v>0</v>
      </c>
    </row>
    <row r="1121" spans="1:18" s="87" customFormat="1">
      <c r="A1121" s="77" t="s">
        <v>286</v>
      </c>
      <c r="B1121" s="77" t="s">
        <v>995</v>
      </c>
      <c r="C1121" s="793">
        <v>4130112353</v>
      </c>
      <c r="D1121" s="77" t="s">
        <v>347</v>
      </c>
      <c r="E1121" s="794" t="s">
        <v>634</v>
      </c>
      <c r="F1121" s="794" t="str">
        <f t="shared" si="83"/>
        <v>I</v>
      </c>
      <c r="G1121" s="28">
        <f>+IF(F1121="i",IFERROR(VLOOKUP(C1121,'BG 12.2024'!$B:$E,3,FALSE),0),0)</f>
        <v>0</v>
      </c>
      <c r="H1121" s="21">
        <f>+IF(F1121="i",IFERROR(VLOOKUP(C1121,'BG 12.2024'!$B:$E,4,FALSE),0),0)</f>
        <v>0</v>
      </c>
      <c r="I1121" s="616"/>
      <c r="J1121" s="1256">
        <f>IF(F1121="I",IFERROR(VLOOKUP(C1121,'BG 12.2023'!$B$6:$E$746,3,FALSE),0),0)</f>
        <v>36972141</v>
      </c>
      <c r="K1121" s="28">
        <f>IF(F1121="I",IFERROR(VLOOKUP(C1121,'BG 12.2023'!$B$6:$E$746,4,FALSE),0),0)</f>
        <v>5051.75</v>
      </c>
      <c r="M1121" s="15">
        <f>+VLOOKUP(C1121,'BG 2023'!$B:$E,1,0)</f>
        <v>4130112353</v>
      </c>
      <c r="N1121" s="806">
        <f>+VLOOKUP(C1121,'BG 2023'!$B:$E,3,0)</f>
        <v>36972141</v>
      </c>
      <c r="O1121" s="807">
        <f t="shared" si="78"/>
        <v>36972141</v>
      </c>
      <c r="P1121" s="807"/>
      <c r="R1121" s="807">
        <f>+IFERROR(VLOOKUP(C1121,'CA FE'!$A:$C,3,0),0)+G1121</f>
        <v>0</v>
      </c>
    </row>
    <row r="1122" spans="1:18" s="87" customFormat="1">
      <c r="A1122" s="77" t="s">
        <v>286</v>
      </c>
      <c r="B1122" s="77" t="s">
        <v>995</v>
      </c>
      <c r="C1122" s="793">
        <v>4130112354</v>
      </c>
      <c r="D1122" s="77" t="s">
        <v>348</v>
      </c>
      <c r="E1122" s="794" t="s">
        <v>634</v>
      </c>
      <c r="F1122" s="794" t="str">
        <f t="shared" ref="F1122" si="85">+IF(LEN(C1122)&gt;8,"I","NI")</f>
        <v>I</v>
      </c>
      <c r="G1122" s="28">
        <f>+IF(F1122="i",IFERROR(VLOOKUP(C1122,'BG 12.2024'!$B:$E,3,FALSE),0),0)</f>
        <v>22491029</v>
      </c>
      <c r="H1122" s="21">
        <f>+IF(F1122="i",IFERROR(VLOOKUP(C1122,'BG 12.2024'!$B:$E,4,FALSE),0),0)</f>
        <v>3042.86</v>
      </c>
      <c r="I1122" s="616"/>
      <c r="J1122" s="28">
        <f>IF(F1122="I",IFERROR(VLOOKUP(C1122,'BG 12.2023'!$B$6:$E$746,3,FALSE),0),0)</f>
        <v>3718437</v>
      </c>
      <c r="K1122" s="28">
        <f>IF(F1122="I",IFERROR(VLOOKUP(C1122,'BG 12.2023'!$B$6:$E$746,4,FALSE),0),0)</f>
        <v>511.72</v>
      </c>
      <c r="M1122" s="15">
        <f>+VLOOKUP(C1122,'BG 2023'!$B:$E,1,0)</f>
        <v>4130112354</v>
      </c>
      <c r="N1122" s="806">
        <f>+VLOOKUP(C1122,'BG 2023'!$B:$E,3,0)</f>
        <v>3718437</v>
      </c>
      <c r="O1122" s="807">
        <f t="shared" si="78"/>
        <v>-18772592</v>
      </c>
      <c r="P1122" s="807">
        <f>+VLOOKUP(C1122,'BG 12.2024'!$B$471:$E$866,4,0)-H1122</f>
        <v>0</v>
      </c>
      <c r="R1122" s="807">
        <f>+IFERROR(VLOOKUP(C1122,'CA FE'!$A:$C,3,0),0)+G1122</f>
        <v>0</v>
      </c>
    </row>
    <row r="1123" spans="1:18" s="87" customFormat="1">
      <c r="A1123" s="77" t="s">
        <v>286</v>
      </c>
      <c r="B1123" s="77" t="s">
        <v>994</v>
      </c>
      <c r="C1123" s="793">
        <v>4130112356</v>
      </c>
      <c r="D1123" s="77" t="s">
        <v>132</v>
      </c>
      <c r="E1123" s="794" t="s">
        <v>634</v>
      </c>
      <c r="F1123" s="794" t="str">
        <f t="shared" ref="F1123:F1125" si="86">+IF(LEN(C1123)&gt;8,"I","NI")</f>
        <v>I</v>
      </c>
      <c r="G1123" s="28">
        <f>+IF(F1123="i",IFERROR(VLOOKUP(C1123,'BG 12.2024'!$B:$E,3,FALSE),0),0)</f>
        <v>0</v>
      </c>
      <c r="H1123" s="21">
        <f>+IF(F1123="i",IFERROR(VLOOKUP(C1123,'BG 12.2024'!$B:$E,4,FALSE),0),0)</f>
        <v>0</v>
      </c>
      <c r="I1123" s="616"/>
      <c r="J1123" s="28">
        <f>IF(F1123="I",IFERROR(VLOOKUP(C1123,'BG 12.2023'!$B$6:$E$746,3,FALSE),0),0)</f>
        <v>3390612</v>
      </c>
      <c r="K1123" s="28">
        <f>IF(F1123="I",IFERROR(VLOOKUP(C1123,'BG 12.2023'!$B$6:$E$746,4,FALSE),0),0)</f>
        <v>454.53</v>
      </c>
      <c r="M1123" s="15"/>
      <c r="N1123" s="806"/>
      <c r="O1123" s="807"/>
      <c r="P1123" s="807"/>
      <c r="R1123" s="807">
        <f>+IFERROR(VLOOKUP(C1123,'CA FE'!$A:$C,3,0),0)+G1123</f>
        <v>0</v>
      </c>
    </row>
    <row r="1124" spans="1:18" s="87" customFormat="1">
      <c r="A1124" s="77" t="s">
        <v>286</v>
      </c>
      <c r="B1124" s="77" t="s">
        <v>995</v>
      </c>
      <c r="C1124" s="793">
        <v>4130112357</v>
      </c>
      <c r="D1124" s="77" t="s">
        <v>338</v>
      </c>
      <c r="E1124" s="794" t="s">
        <v>634</v>
      </c>
      <c r="F1124" s="794" t="str">
        <f t="shared" si="86"/>
        <v>I</v>
      </c>
      <c r="G1124" s="28">
        <f>+IF(F1124="i",IFERROR(VLOOKUP(C1124,'BG 12.2024'!$B:$E,3,FALSE),0),0)</f>
        <v>47232440</v>
      </c>
      <c r="H1124" s="21">
        <f>+IF(F1124="i",IFERROR(VLOOKUP(C1124,'BG 12.2024'!$B:$E,4,FALSE),0),0)</f>
        <v>6408.09</v>
      </c>
      <c r="I1124" s="616"/>
      <c r="J1124" s="28">
        <f>IF(F1124="I",IFERROR(VLOOKUP(C1124,'BG 12.2023'!$B$6:$E$746,3,FALSE),0),0)</f>
        <v>27332981</v>
      </c>
      <c r="K1124" s="28">
        <f>IF(F1124="I",IFERROR(VLOOKUP(C1124,'BG 12.2023'!$B$6:$E$746,4,FALSE),0),0)</f>
        <v>3662.74</v>
      </c>
      <c r="M1124" s="15"/>
      <c r="N1124" s="806"/>
      <c r="O1124" s="807"/>
      <c r="P1124" s="807">
        <f>+VLOOKUP(C1124,'BG 12.2024'!$B$471:$E$866,4,0)-H1124</f>
        <v>0</v>
      </c>
      <c r="R1124" s="807">
        <f>+IFERROR(VLOOKUP(C1124,'CA FE'!$A:$C,3,0),0)+G1124</f>
        <v>0</v>
      </c>
    </row>
    <row r="1125" spans="1:18" s="87" customFormat="1">
      <c r="A1125" s="77" t="s">
        <v>286</v>
      </c>
      <c r="B1125" s="77" t="s">
        <v>995</v>
      </c>
      <c r="C1125" s="793">
        <v>4130112359</v>
      </c>
      <c r="D1125" s="77" t="s">
        <v>601</v>
      </c>
      <c r="E1125" s="794" t="s">
        <v>640</v>
      </c>
      <c r="F1125" s="794" t="str">
        <f t="shared" si="86"/>
        <v>I</v>
      </c>
      <c r="G1125" s="28">
        <f>+IF(F1125="i",IFERROR(VLOOKUP(C1125,'BG 12.2024'!$B:$E,3,FALSE),0),0)</f>
        <v>18909111</v>
      </c>
      <c r="H1125" s="21">
        <f>+IF(F1125="i",IFERROR(VLOOKUP(C1125,'BG 12.2024'!$B:$E,4,FALSE),0),0)</f>
        <v>2599.33</v>
      </c>
      <c r="I1125" s="616"/>
      <c r="J1125" s="28">
        <f>IF(F1125="I",IFERROR(VLOOKUP(C1125,'BG 12.2023'!$B$6:$E$746,3,FALSE),0),0)</f>
        <v>0</v>
      </c>
      <c r="K1125" s="28">
        <f>IF(F1125="I",IFERROR(VLOOKUP(C1125,'BG 12.2023'!$B$6:$E$746,4,FALSE),0),0)</f>
        <v>0</v>
      </c>
      <c r="M1125" s="15"/>
      <c r="N1125" s="806"/>
      <c r="O1125" s="807"/>
      <c r="P1125" s="807">
        <f>+VLOOKUP(C1125,'BG 12.2024'!$B$471:$E$866,4,0)-H1125</f>
        <v>0</v>
      </c>
      <c r="R1125" s="807">
        <f>+IFERROR(VLOOKUP(C1125,'CA FE'!$A:$C,3,0),0)+G1125</f>
        <v>0</v>
      </c>
    </row>
    <row r="1126" spans="1:18" s="87" customFormat="1">
      <c r="A1126" s="77" t="s">
        <v>286</v>
      </c>
      <c r="B1126" s="77" t="s">
        <v>995</v>
      </c>
      <c r="C1126" s="793">
        <v>4130112360</v>
      </c>
      <c r="D1126" s="77" t="s">
        <v>602</v>
      </c>
      <c r="E1126" s="794" t="s">
        <v>634</v>
      </c>
      <c r="F1126" s="794" t="str">
        <f t="shared" ref="F1126:F1128" si="87">+IF(LEN(C1126)&gt;8,"I","NI")</f>
        <v>I</v>
      </c>
      <c r="G1126" s="28">
        <f>+IF(F1126="i",IFERROR(VLOOKUP(C1126,'BG 12.2024'!$B:$E,3,FALSE),0),0)</f>
        <v>165471322</v>
      </c>
      <c r="H1126" s="21">
        <f>+IF(F1126="i",IFERROR(VLOOKUP(C1126,'BG 12.2024'!$B:$E,4,FALSE),0),0)</f>
        <v>22500.28</v>
      </c>
      <c r="I1126" s="616"/>
      <c r="J1126" s="28">
        <f>IF(F1126="I",IFERROR(VLOOKUP(C1126,'BG 12.2023'!$B$6:$E$746,3,FALSE),0),0)</f>
        <v>0</v>
      </c>
      <c r="K1126" s="28">
        <f>IF(F1126="I",IFERROR(VLOOKUP(C1126,'BG 12.2023'!$B$6:$E$746,4,FALSE),0),0)</f>
        <v>0</v>
      </c>
      <c r="M1126" s="15"/>
      <c r="N1126" s="806"/>
      <c r="O1126" s="807"/>
      <c r="P1126" s="807">
        <f>+VLOOKUP(C1126,'BG 12.2024'!$B$471:$E$866,4,0)-H1126</f>
        <v>0</v>
      </c>
      <c r="R1126" s="807">
        <f>+IFERROR(VLOOKUP(C1126,'CA FE'!$A:$C,3,0),0)+G1126</f>
        <v>0</v>
      </c>
    </row>
    <row r="1127" spans="1:18" s="87" customFormat="1">
      <c r="A1127" s="77" t="s">
        <v>286</v>
      </c>
      <c r="B1127" s="77" t="s">
        <v>995</v>
      </c>
      <c r="C1127" s="793">
        <v>4130112362</v>
      </c>
      <c r="D1127" s="77" t="s">
        <v>603</v>
      </c>
      <c r="E1127" s="794" t="s">
        <v>634</v>
      </c>
      <c r="F1127" s="794" t="str">
        <f t="shared" si="87"/>
        <v>I</v>
      </c>
      <c r="G1127" s="28">
        <f>+IF(F1127="i",IFERROR(VLOOKUP(C1127,'BG 12.2024'!$B:$E,3,FALSE),0),0)</f>
        <v>1048450</v>
      </c>
      <c r="H1127" s="21">
        <f>+IF(F1127="i",IFERROR(VLOOKUP(C1127,'BG 12.2024'!$B:$E,4,FALSE),0),0)</f>
        <v>142.9</v>
      </c>
      <c r="I1127" s="616"/>
      <c r="J1127" s="28">
        <f>IF(F1127="I",IFERROR(VLOOKUP(C1127,'BG 12.2023'!$B$6:$E$746,3,FALSE),0),0)</f>
        <v>0</v>
      </c>
      <c r="K1127" s="28">
        <f>IF(F1127="I",IFERROR(VLOOKUP(C1127,'BG 12.2023'!$B$6:$E$746,4,FALSE),0),0)</f>
        <v>0</v>
      </c>
      <c r="M1127" s="15"/>
      <c r="N1127" s="806"/>
      <c r="O1127" s="807"/>
      <c r="P1127" s="807">
        <f>+VLOOKUP(C1127,'BG 12.2024'!$B$471:$E$866,4,0)-H1127</f>
        <v>0</v>
      </c>
      <c r="R1127" s="807">
        <f>+IFERROR(VLOOKUP(C1127,'CA FE'!$A:$C,3,0),0)+G1127</f>
        <v>0</v>
      </c>
    </row>
    <row r="1128" spans="1:18" s="87" customFormat="1">
      <c r="A1128" s="77" t="s">
        <v>286</v>
      </c>
      <c r="B1128" s="77" t="s">
        <v>995</v>
      </c>
      <c r="C1128" s="793">
        <v>4130112363</v>
      </c>
      <c r="D1128" s="77" t="s">
        <v>604</v>
      </c>
      <c r="E1128" s="794" t="s">
        <v>634</v>
      </c>
      <c r="F1128" s="794" t="str">
        <f t="shared" si="87"/>
        <v>I</v>
      </c>
      <c r="G1128" s="28">
        <f>+IF(F1128="i",IFERROR(VLOOKUP(C1128,'BG 12.2024'!$B:$E,3,FALSE),0),0)</f>
        <v>3554177</v>
      </c>
      <c r="H1128" s="21">
        <f>+IF(F1128="i",IFERROR(VLOOKUP(C1128,'BG 12.2024'!$B:$E,4,FALSE),0),0)</f>
        <v>486.73</v>
      </c>
      <c r="I1128" s="616"/>
      <c r="J1128" s="28">
        <f>IF(F1128="I",IFERROR(VLOOKUP(C1128,'BG 12.2023'!$B$6:$E$746,3,FALSE),0),0)</f>
        <v>0</v>
      </c>
      <c r="K1128" s="28">
        <f>IF(F1128="I",IFERROR(VLOOKUP(C1128,'BG 12.2023'!$B$6:$E$746,4,FALSE),0),0)</f>
        <v>0</v>
      </c>
      <c r="M1128" s="15"/>
      <c r="N1128" s="806"/>
      <c r="O1128" s="807"/>
      <c r="P1128" s="807">
        <f>+VLOOKUP(C1128,'BG 12.2024'!$B$471:$E$866,4,0)-H1128</f>
        <v>0</v>
      </c>
      <c r="R1128" s="807">
        <f>+IFERROR(VLOOKUP(C1128,'CA FE'!$A:$C,3,0),0)+G1128</f>
        <v>0</v>
      </c>
    </row>
    <row r="1129" spans="1:18" s="87" customFormat="1">
      <c r="A1129" s="77" t="s">
        <v>286</v>
      </c>
      <c r="B1129" s="77"/>
      <c r="C1129" s="793">
        <v>414</v>
      </c>
      <c r="D1129" s="77" t="s">
        <v>1001</v>
      </c>
      <c r="E1129" s="794" t="s">
        <v>634</v>
      </c>
      <c r="F1129" s="794" t="str">
        <f t="shared" si="77"/>
        <v>NI</v>
      </c>
      <c r="G1129" s="28">
        <f>+IF(F1129="i",IFERROR(VLOOKUP(C1129,'BG 12.2024'!$B:$E,3,FALSE),0),0)</f>
        <v>0</v>
      </c>
      <c r="H1129" s="21">
        <f>+IF(F1129="i",IFERROR(VLOOKUP(C1129,'BG 12.2024'!$B:$E,4,FALSE),0),0)</f>
        <v>0</v>
      </c>
      <c r="I1129" s="616"/>
      <c r="J1129" s="28">
        <f>IF(F1129="I",IFERROR(VLOOKUP(C1129,'BG 12.2023'!$B$6:$E$746,3,FALSE),0),0)</f>
        <v>0</v>
      </c>
      <c r="K1129" s="28">
        <f>IF(F1129="I",IFERROR(VLOOKUP(C1129,'BG 12.2023'!$B$6:$E$746,4,FALSE),0),0)</f>
        <v>0</v>
      </c>
      <c r="M1129" s="15" t="e">
        <f>+VLOOKUP(C1129,'BG 2023'!$B:$E,1,0)</f>
        <v>#N/A</v>
      </c>
      <c r="N1129" s="806" t="e">
        <f>+VLOOKUP(C1129,'BG 2023'!$B:$E,3,0)</f>
        <v>#N/A</v>
      </c>
      <c r="O1129" s="807" t="e">
        <f t="shared" si="78"/>
        <v>#N/A</v>
      </c>
      <c r="P1129" s="807"/>
      <c r="R1129" s="807">
        <f>+IFERROR(VLOOKUP(C1129,'CA FE'!$A:$C,3,0),0)+G1129</f>
        <v>0</v>
      </c>
    </row>
    <row r="1130" spans="1:18" s="87" customFormat="1">
      <c r="A1130" s="77" t="s">
        <v>286</v>
      </c>
      <c r="B1130" s="77"/>
      <c r="C1130" s="793">
        <v>41401</v>
      </c>
      <c r="D1130" s="77" t="s">
        <v>1002</v>
      </c>
      <c r="E1130" s="794" t="s">
        <v>634</v>
      </c>
      <c r="F1130" s="794" t="str">
        <f t="shared" si="77"/>
        <v>NI</v>
      </c>
      <c r="G1130" s="28">
        <f>+IF(F1130="i",IFERROR(VLOOKUP(C1130,'BG 12.2024'!$B:$E,3,FALSE),0),0)</f>
        <v>0</v>
      </c>
      <c r="H1130" s="21">
        <f>+IF(F1130="i",IFERROR(VLOOKUP(C1130,'BG 12.2024'!$B:$E,4,FALSE),0),0)</f>
        <v>0</v>
      </c>
      <c r="I1130" s="616"/>
      <c r="J1130" s="28">
        <f>IF(F1130="I",IFERROR(VLOOKUP(C1130,'BG 12.2023'!$B$6:$E$746,3,FALSE),0),0)</f>
        <v>0</v>
      </c>
      <c r="K1130" s="28">
        <f>IF(F1130="I",IFERROR(VLOOKUP(C1130,'BG 12.2023'!$B$6:$E$746,4,FALSE),0),0)</f>
        <v>0</v>
      </c>
      <c r="M1130" s="15" t="e">
        <f>+VLOOKUP(C1130,'BG 2023'!$B:$E,1,0)</f>
        <v>#N/A</v>
      </c>
      <c r="N1130" s="806" t="e">
        <f>+VLOOKUP(C1130,'BG 2023'!$B:$E,3,0)</f>
        <v>#N/A</v>
      </c>
      <c r="O1130" s="807" t="e">
        <f t="shared" si="78"/>
        <v>#N/A</v>
      </c>
      <c r="P1130" s="807"/>
      <c r="R1130" s="807">
        <f>+IFERROR(VLOOKUP(C1130,'CA FE'!$A:$C,3,0),0)+G1130</f>
        <v>0</v>
      </c>
    </row>
    <row r="1131" spans="1:18" s="87" customFormat="1">
      <c r="A1131" s="77" t="s">
        <v>286</v>
      </c>
      <c r="B1131" s="77"/>
      <c r="C1131" s="793">
        <v>414011</v>
      </c>
      <c r="D1131" s="77" t="s">
        <v>1002</v>
      </c>
      <c r="E1131" s="794" t="s">
        <v>634</v>
      </c>
      <c r="F1131" s="794" t="str">
        <f t="shared" si="77"/>
        <v>NI</v>
      </c>
      <c r="G1131" s="28">
        <f>+IF(F1131="i",IFERROR(VLOOKUP(C1131,'BG 12.2024'!$B:$E,3,FALSE),0),0)</f>
        <v>0</v>
      </c>
      <c r="H1131" s="21">
        <f>+IF(F1131="i",IFERROR(VLOOKUP(C1131,'BG 12.2024'!$B:$E,4,FALSE),0),0)</f>
        <v>0</v>
      </c>
      <c r="I1131" s="616"/>
      <c r="J1131" s="28">
        <f>IF(F1131="I",IFERROR(VLOOKUP(C1131,'BG 12.2023'!$B$6:$E$746,3,FALSE),0),0)</f>
        <v>0</v>
      </c>
      <c r="K1131" s="28">
        <f>IF(F1131="I",IFERROR(VLOOKUP(C1131,'BG 12.2023'!$B$6:$E$746,4,FALSE),0),0)</f>
        <v>0</v>
      </c>
      <c r="M1131" s="15" t="e">
        <f>+VLOOKUP(C1131,'BG 2023'!$B:$E,1,0)</f>
        <v>#N/A</v>
      </c>
      <c r="N1131" s="806" t="e">
        <f>+VLOOKUP(C1131,'BG 2023'!$B:$E,3,0)</f>
        <v>#N/A</v>
      </c>
      <c r="O1131" s="807" t="e">
        <f t="shared" si="78"/>
        <v>#N/A</v>
      </c>
      <c r="P1131" s="807"/>
      <c r="R1131" s="807">
        <f>+IFERROR(VLOOKUP(C1131,'CA FE'!$A:$C,3,0),0)+G1131</f>
        <v>0</v>
      </c>
    </row>
    <row r="1132" spans="1:18" s="87" customFormat="1">
      <c r="A1132" s="77" t="s">
        <v>286</v>
      </c>
      <c r="B1132" s="77"/>
      <c r="C1132" s="793">
        <v>4140111</v>
      </c>
      <c r="D1132" s="77" t="s">
        <v>1002</v>
      </c>
      <c r="E1132" s="794" t="s">
        <v>634</v>
      </c>
      <c r="F1132" s="794" t="str">
        <f t="shared" si="77"/>
        <v>NI</v>
      </c>
      <c r="G1132" s="28">
        <f>+IF(F1132="i",IFERROR(VLOOKUP(C1132,'BG 12.2024'!$B:$E,3,FALSE),0),0)</f>
        <v>0</v>
      </c>
      <c r="H1132" s="21">
        <f>+IF(F1132="i",IFERROR(VLOOKUP(C1132,'BG 12.2024'!$B:$E,4,FALSE),0),0)</f>
        <v>0</v>
      </c>
      <c r="I1132" s="616"/>
      <c r="J1132" s="28">
        <f>IF(F1132="I",IFERROR(VLOOKUP(C1132,'BG 12.2023'!$B$6:$E$746,3,FALSE),0),0)</f>
        <v>0</v>
      </c>
      <c r="K1132" s="28">
        <f>IF(F1132="I",IFERROR(VLOOKUP(C1132,'BG 12.2023'!$B$6:$E$746,4,FALSE),0),0)</f>
        <v>0</v>
      </c>
      <c r="M1132" s="15" t="e">
        <f>+VLOOKUP(C1132,'BG 2023'!$B:$E,1,0)</f>
        <v>#N/A</v>
      </c>
      <c r="N1132" s="806" t="e">
        <f>+VLOOKUP(C1132,'BG 2023'!$B:$E,3,0)</f>
        <v>#N/A</v>
      </c>
      <c r="O1132" s="807" t="e">
        <f t="shared" si="78"/>
        <v>#N/A</v>
      </c>
      <c r="P1132" s="807"/>
      <c r="R1132" s="807">
        <f>+IFERROR(VLOOKUP(C1132,'CA FE'!$A:$C,3,0),0)+G1132</f>
        <v>0</v>
      </c>
    </row>
    <row r="1133" spans="1:18" s="87" customFormat="1">
      <c r="A1133" s="77" t="s">
        <v>286</v>
      </c>
      <c r="B1133" s="77"/>
      <c r="C1133" s="793">
        <v>41401111</v>
      </c>
      <c r="D1133" s="77" t="s">
        <v>1002</v>
      </c>
      <c r="E1133" s="794" t="s">
        <v>634</v>
      </c>
      <c r="F1133" s="794" t="str">
        <f t="shared" ref="F1133:F1207" si="88">+IF(LEN(C1133)&gt;8,"I","NI")</f>
        <v>NI</v>
      </c>
      <c r="G1133" s="28">
        <f>+IF(F1133="i",IFERROR(VLOOKUP(C1133,'BG 12.2024'!$B:$E,3,FALSE),0),0)</f>
        <v>0</v>
      </c>
      <c r="H1133" s="21">
        <f>+IF(F1133="i",IFERROR(VLOOKUP(C1133,'BG 12.2024'!$B:$E,4,FALSE),0),0)</f>
        <v>0</v>
      </c>
      <c r="I1133" s="616"/>
      <c r="J1133" s="28">
        <f>IF(F1133="I",IFERROR(VLOOKUP(C1133,'BG 12.2023'!$B$6:$E$746,3,FALSE),0),0)</f>
        <v>0</v>
      </c>
      <c r="K1133" s="28">
        <f>IF(F1133="I",IFERROR(VLOOKUP(C1133,'BG 12.2023'!$B$6:$E$746,4,FALSE),0),0)</f>
        <v>0</v>
      </c>
      <c r="M1133" s="15" t="e">
        <f>+VLOOKUP(C1133,'BG 2023'!$B:$E,1,0)</f>
        <v>#N/A</v>
      </c>
      <c r="N1133" s="806" t="e">
        <f>+VLOOKUP(C1133,'BG 2023'!$B:$E,3,0)</f>
        <v>#N/A</v>
      </c>
      <c r="O1133" s="807" t="e">
        <f t="shared" si="78"/>
        <v>#N/A</v>
      </c>
      <c r="P1133" s="807"/>
      <c r="R1133" s="807">
        <f>+IFERROR(VLOOKUP(C1133,'CA FE'!$A:$C,3,0),0)+G1133</f>
        <v>0</v>
      </c>
    </row>
    <row r="1134" spans="1:18" s="87" customFormat="1">
      <c r="A1134" s="77" t="s">
        <v>286</v>
      </c>
      <c r="B1134" s="77"/>
      <c r="C1134" s="793">
        <v>4140111101</v>
      </c>
      <c r="D1134" s="77" t="s">
        <v>1002</v>
      </c>
      <c r="E1134" s="794" t="s">
        <v>634</v>
      </c>
      <c r="F1134" s="794" t="str">
        <f t="shared" si="88"/>
        <v>I</v>
      </c>
      <c r="G1134" s="28">
        <f>+IF(F1134="i",IFERROR(VLOOKUP(C1134,'BG 12.2024'!$B:$E,3,FALSE),0),0)</f>
        <v>0</v>
      </c>
      <c r="H1134" s="21">
        <f>+IF(F1134="i",IFERROR(VLOOKUP(C1134,'BG 12.2024'!$B:$E,4,FALSE),0),0)</f>
        <v>0</v>
      </c>
      <c r="I1134" s="616"/>
      <c r="J1134" s="28">
        <f>IF(F1134="I",IFERROR(VLOOKUP(C1134,'BG 12.2023'!$B$6:$E$746,3,FALSE),0),0)</f>
        <v>0</v>
      </c>
      <c r="K1134" s="28">
        <f>IF(F1134="I",IFERROR(VLOOKUP(C1134,'BG 12.2023'!$B$6:$E$746,4,FALSE),0),0)</f>
        <v>0</v>
      </c>
      <c r="M1134" s="15" t="e">
        <f>+VLOOKUP(C1134,'BG 2023'!$B:$E,1,0)</f>
        <v>#N/A</v>
      </c>
      <c r="N1134" s="806" t="e">
        <f>+VLOOKUP(C1134,'BG 2023'!$B:$E,3,0)</f>
        <v>#N/A</v>
      </c>
      <c r="O1134" s="807" t="e">
        <f t="shared" si="78"/>
        <v>#N/A</v>
      </c>
      <c r="P1134" s="807"/>
      <c r="R1134" s="807">
        <f>+IFERROR(VLOOKUP(C1134,'CA FE'!$A:$C,3,0),0)+G1134</f>
        <v>0</v>
      </c>
    </row>
    <row r="1135" spans="1:18" s="87" customFormat="1">
      <c r="A1135" s="77" t="s">
        <v>286</v>
      </c>
      <c r="B1135" s="77"/>
      <c r="C1135" s="793">
        <v>4140111102</v>
      </c>
      <c r="D1135" s="77" t="s">
        <v>1002</v>
      </c>
      <c r="E1135" s="794" t="s">
        <v>640</v>
      </c>
      <c r="F1135" s="794" t="str">
        <f t="shared" si="88"/>
        <v>I</v>
      </c>
      <c r="G1135" s="28">
        <f>+IF(F1135="i",IFERROR(VLOOKUP(C1135,'BG 12.2024'!$B:$E,3,FALSE),0),0)</f>
        <v>0</v>
      </c>
      <c r="H1135" s="21">
        <f>+IF(F1135="i",IFERROR(VLOOKUP(C1135,'BG 12.2024'!$B:$E,4,FALSE),0),0)</f>
        <v>0</v>
      </c>
      <c r="I1135" s="616"/>
      <c r="J1135" s="28">
        <f>IF(F1135="I",IFERROR(VLOOKUP(C1135,'BG 12.2023'!$B$6:$E$746,3,FALSE),0),0)</f>
        <v>0</v>
      </c>
      <c r="K1135" s="28">
        <f>IF(F1135="I",IFERROR(VLOOKUP(C1135,'BG 12.2023'!$B$6:$E$746,4,FALSE),0),0)</f>
        <v>0</v>
      </c>
      <c r="M1135" s="15" t="e">
        <f>+VLOOKUP(C1135,'BG 2023'!$B:$E,1,0)</f>
        <v>#N/A</v>
      </c>
      <c r="N1135" s="806" t="e">
        <f>+VLOOKUP(C1135,'BG 2023'!$B:$E,3,0)</f>
        <v>#N/A</v>
      </c>
      <c r="O1135" s="807" t="e">
        <f t="shared" si="78"/>
        <v>#N/A</v>
      </c>
      <c r="P1135" s="807"/>
      <c r="R1135" s="807">
        <f>+IFERROR(VLOOKUP(C1135,'CA FE'!$A:$C,3,0),0)+G1135</f>
        <v>0</v>
      </c>
    </row>
    <row r="1136" spans="1:18" s="87" customFormat="1">
      <c r="A1136" s="77" t="s">
        <v>286</v>
      </c>
      <c r="B1136" s="77" t="s">
        <v>945</v>
      </c>
      <c r="C1136" s="793">
        <v>4140111103</v>
      </c>
      <c r="D1136" s="77" t="s">
        <v>1003</v>
      </c>
      <c r="E1136" s="794" t="s">
        <v>634</v>
      </c>
      <c r="F1136" s="794" t="str">
        <f t="shared" si="88"/>
        <v>I</v>
      </c>
      <c r="G1136" s="28">
        <f>+IF(F1136="i",IFERROR(VLOOKUP(C1136,'BG 12.2024'!$B:$E,3,FALSE),0),0)</f>
        <v>0</v>
      </c>
      <c r="H1136" s="21">
        <f>+IF(F1136="i",IFERROR(VLOOKUP(C1136,'BG 12.2024'!$B:$E,4,FALSE),0),0)</f>
        <v>0</v>
      </c>
      <c r="I1136" s="616"/>
      <c r="J1136" s="28">
        <f>IF(F1136="I",IFERROR(VLOOKUP(C1136,'BG 12.2023'!$B$6:$E$746,3,FALSE),0),0)</f>
        <v>0</v>
      </c>
      <c r="K1136" s="28">
        <f>IF(F1136="I",IFERROR(VLOOKUP(C1136,'BG 12.2023'!$B$6:$E$746,4,FALSE),0),0)</f>
        <v>0</v>
      </c>
      <c r="M1136" s="15" t="e">
        <f>+VLOOKUP(C1136,'BG 2023'!$B:$E,1,0)</f>
        <v>#N/A</v>
      </c>
      <c r="N1136" s="806" t="e">
        <f>+VLOOKUP(C1136,'BG 2023'!$B:$E,3,0)</f>
        <v>#N/A</v>
      </c>
      <c r="O1136" s="807" t="e">
        <f t="shared" si="78"/>
        <v>#N/A</v>
      </c>
      <c r="P1136" s="807"/>
      <c r="R1136" s="807">
        <f>+IFERROR(VLOOKUP(C1136,'CA FE'!$A:$C,3,0),0)+G1136</f>
        <v>0</v>
      </c>
    </row>
    <row r="1137" spans="1:19" s="87" customFormat="1">
      <c r="A1137" s="77" t="s">
        <v>286</v>
      </c>
      <c r="B1137" s="77"/>
      <c r="C1137" s="793">
        <v>415</v>
      </c>
      <c r="D1137" s="77" t="s">
        <v>1004</v>
      </c>
      <c r="E1137" s="794" t="s">
        <v>634</v>
      </c>
      <c r="F1137" s="794" t="str">
        <f t="shared" si="88"/>
        <v>NI</v>
      </c>
      <c r="G1137" s="28">
        <f>+IF(F1137="i",IFERROR(VLOOKUP(C1137,'BG 12.2024'!$B:$E,3,FALSE),0),0)</f>
        <v>0</v>
      </c>
      <c r="H1137" s="21">
        <f>+IF(F1137="i",IFERROR(VLOOKUP(C1137,'BG 12.2024'!$B:$E,4,FALSE),0),0)</f>
        <v>0</v>
      </c>
      <c r="I1137" s="616"/>
      <c r="J1137" s="28">
        <f>IF(F1137="I",IFERROR(VLOOKUP(C1137,'BG 12.2023'!$B$6:$E$746,3,FALSE),0),0)</f>
        <v>0</v>
      </c>
      <c r="K1137" s="28">
        <f>IF(F1137="I",IFERROR(VLOOKUP(C1137,'BG 12.2023'!$B$6:$E$746,4,FALSE),0),0)</f>
        <v>0</v>
      </c>
      <c r="M1137" s="15" t="e">
        <f>+VLOOKUP(C1137,'BG 2023'!$B:$E,1,0)</f>
        <v>#N/A</v>
      </c>
      <c r="N1137" s="806" t="e">
        <f>+VLOOKUP(C1137,'BG 2023'!$B:$E,3,0)</f>
        <v>#N/A</v>
      </c>
      <c r="O1137" s="807" t="e">
        <f t="shared" si="78"/>
        <v>#N/A</v>
      </c>
      <c r="P1137" s="807"/>
      <c r="R1137" s="807">
        <f>+IFERROR(VLOOKUP(C1137,'CA FE'!$A:$C,3,0),0)+G1137</f>
        <v>0</v>
      </c>
    </row>
    <row r="1138" spans="1:19" s="87" customFormat="1">
      <c r="A1138" s="77" t="s">
        <v>286</v>
      </c>
      <c r="B1138" s="77"/>
      <c r="C1138" s="793">
        <v>416</v>
      </c>
      <c r="D1138" s="77" t="s">
        <v>349</v>
      </c>
      <c r="E1138" s="794" t="s">
        <v>634</v>
      </c>
      <c r="F1138" s="794" t="str">
        <f t="shared" si="88"/>
        <v>NI</v>
      </c>
      <c r="G1138" s="28">
        <f>+IF(F1138="i",IFERROR(VLOOKUP(C1138,'BG 12.2024'!$B:$E,3,FALSE),0),0)</f>
        <v>0</v>
      </c>
      <c r="H1138" s="21">
        <f>+IF(F1138="i",IFERROR(VLOOKUP(C1138,'BG 12.2024'!$B:$E,4,FALSE),0),0)</f>
        <v>0</v>
      </c>
      <c r="I1138" s="616"/>
      <c r="J1138" s="28">
        <f>IF(F1138="I",IFERROR(VLOOKUP(C1138,'BG 12.2023'!$B$6:$E$746,3,FALSE),0),0)</f>
        <v>0</v>
      </c>
      <c r="K1138" s="28">
        <f>IF(F1138="I",IFERROR(VLOOKUP(C1138,'BG 12.2023'!$B$6:$E$746,4,FALSE),0),0)</f>
        <v>0</v>
      </c>
      <c r="M1138" s="15">
        <f>+VLOOKUP(C1138,'BG 2023'!$B:$E,1,0)</f>
        <v>416</v>
      </c>
      <c r="N1138" s="806">
        <f>+VLOOKUP(C1138,'BG 2023'!$B:$E,3,0)</f>
        <v>1095140336</v>
      </c>
      <c r="O1138" s="807">
        <f t="shared" si="78"/>
        <v>1095140336</v>
      </c>
      <c r="P1138" s="807"/>
      <c r="R1138" s="807">
        <f>+IFERROR(VLOOKUP(C1138,'CA FE'!$A:$C,3,0),0)+G1138</f>
        <v>0</v>
      </c>
    </row>
    <row r="1139" spans="1:19" s="87" customFormat="1">
      <c r="A1139" s="77" t="s">
        <v>286</v>
      </c>
      <c r="B1139" s="77"/>
      <c r="C1139" s="793">
        <v>41601</v>
      </c>
      <c r="D1139" s="77" t="s">
        <v>350</v>
      </c>
      <c r="E1139" s="794" t="s">
        <v>634</v>
      </c>
      <c r="F1139" s="794" t="str">
        <f t="shared" si="88"/>
        <v>NI</v>
      </c>
      <c r="G1139" s="28">
        <f>+IF(F1139="i",IFERROR(VLOOKUP(C1139,'BG 12.2024'!$B:$E,3,FALSE),0),0)</f>
        <v>0</v>
      </c>
      <c r="H1139" s="21">
        <f>+IF(F1139="i",IFERROR(VLOOKUP(C1139,'BG 12.2024'!$B:$E,4,FALSE),0),0)</f>
        <v>0</v>
      </c>
      <c r="I1139" s="616"/>
      <c r="J1139" s="28">
        <f>IF(F1139="I",IFERROR(VLOOKUP(C1139,'BG 12.2023'!$B$6:$E$746,3,FALSE),0),0)</f>
        <v>0</v>
      </c>
      <c r="K1139" s="28">
        <f>IF(F1139="I",IFERROR(VLOOKUP(C1139,'BG 12.2023'!$B$6:$E$746,4,FALSE),0),0)</f>
        <v>0</v>
      </c>
      <c r="M1139" s="15">
        <f>+VLOOKUP(C1139,'BG 2023'!$B:$E,1,0)</f>
        <v>41601</v>
      </c>
      <c r="N1139" s="806">
        <f>+VLOOKUP(C1139,'BG 2023'!$B:$E,3,0)</f>
        <v>1095140336</v>
      </c>
      <c r="O1139" s="807">
        <f t="shared" si="78"/>
        <v>1095140336</v>
      </c>
      <c r="P1139" s="807"/>
      <c r="R1139" s="807">
        <f>+IFERROR(VLOOKUP(C1139,'CA FE'!$A:$C,3,0),0)+G1139</f>
        <v>0</v>
      </c>
    </row>
    <row r="1140" spans="1:19" s="87" customFormat="1">
      <c r="A1140" s="77" t="s">
        <v>286</v>
      </c>
      <c r="B1140" s="77"/>
      <c r="C1140" s="793">
        <v>416011</v>
      </c>
      <c r="D1140" s="77" t="s">
        <v>350</v>
      </c>
      <c r="E1140" s="794" t="s">
        <v>634</v>
      </c>
      <c r="F1140" s="794" t="str">
        <f t="shared" si="88"/>
        <v>NI</v>
      </c>
      <c r="G1140" s="28">
        <f>+IF(F1140="i",IFERROR(VLOOKUP(C1140,'BG 12.2024'!$B:$E,3,FALSE),0),0)</f>
        <v>0</v>
      </c>
      <c r="H1140" s="21">
        <f>+IF(F1140="i",IFERROR(VLOOKUP(C1140,'BG 12.2024'!$B:$E,4,FALSE),0),0)</f>
        <v>0</v>
      </c>
      <c r="I1140" s="616"/>
      <c r="J1140" s="28">
        <f>IF(F1140="I",IFERROR(VLOOKUP(C1140,'BG 12.2023'!$B$6:$E$746,3,FALSE),0),0)</f>
        <v>0</v>
      </c>
      <c r="K1140" s="28">
        <f>IF(F1140="I",IFERROR(VLOOKUP(C1140,'BG 12.2023'!$B$6:$E$746,4,FALSE),0),0)</f>
        <v>0</v>
      </c>
      <c r="M1140" s="15">
        <f>+VLOOKUP(C1140,'BG 2023'!$B:$E,1,0)</f>
        <v>416011</v>
      </c>
      <c r="N1140" s="806">
        <f>+VLOOKUP(C1140,'BG 2023'!$B:$E,3,0)</f>
        <v>1095140336</v>
      </c>
      <c r="O1140" s="807">
        <f t="shared" si="78"/>
        <v>1095140336</v>
      </c>
      <c r="P1140" s="807"/>
      <c r="R1140" s="807">
        <f>+IFERROR(VLOOKUP(C1140,'CA FE'!$A:$C,3,0),0)+G1140</f>
        <v>0</v>
      </c>
    </row>
    <row r="1141" spans="1:19" s="87" customFormat="1">
      <c r="A1141" s="77" t="s">
        <v>286</v>
      </c>
      <c r="B1141" s="77"/>
      <c r="C1141" s="793">
        <v>41601121</v>
      </c>
      <c r="D1141" s="77" t="s">
        <v>606</v>
      </c>
      <c r="E1141" s="794" t="s">
        <v>634</v>
      </c>
      <c r="F1141" s="794" t="str">
        <f t="shared" ref="F1141" si="89">+IF(LEN(C1141)&gt;8,"I","NI")</f>
        <v>NI</v>
      </c>
      <c r="G1141" s="28">
        <f>+IF(F1141="i",IFERROR(VLOOKUP(C1141,'BG 12.2024'!$B:$E,3,FALSE),0),0)</f>
        <v>0</v>
      </c>
      <c r="H1141" s="21">
        <f>+IF(F1141="i",IFERROR(VLOOKUP(C1141,'BG 12.2024'!$B:$E,4,FALSE),0),0)</f>
        <v>0</v>
      </c>
      <c r="I1141" s="616"/>
      <c r="J1141" s="28">
        <f>IF(F1141="I",IFERROR(VLOOKUP(C1141,'BG 12.2023'!$B$6:$E$746,3,FALSE),0),0)</f>
        <v>0</v>
      </c>
      <c r="K1141" s="28">
        <f>IF(F1141="I",IFERROR(VLOOKUP(C1141,'BG 12.2023'!$B$6:$E$746,4,FALSE),0),0)</f>
        <v>0</v>
      </c>
      <c r="M1141" s="15"/>
      <c r="N1141" s="806"/>
      <c r="O1141" s="807"/>
      <c r="P1141" s="807"/>
      <c r="R1141" s="807">
        <f>+IFERROR(VLOOKUP(C1141,'CA FE'!$A:$C,3,0),0)+G1141</f>
        <v>0</v>
      </c>
    </row>
    <row r="1142" spans="1:19" s="87" customFormat="1">
      <c r="A1142" s="77" t="s">
        <v>286</v>
      </c>
      <c r="B1142" s="77" t="s">
        <v>974</v>
      </c>
      <c r="C1142" s="793">
        <v>4160112101</v>
      </c>
      <c r="D1142" s="77" t="s">
        <v>607</v>
      </c>
      <c r="E1142" s="794" t="s">
        <v>634</v>
      </c>
      <c r="F1142" s="794" t="str">
        <f t="shared" ref="F1142" si="90">+IF(LEN(C1142)&gt;8,"I","NI")</f>
        <v>I</v>
      </c>
      <c r="G1142" s="28">
        <f>+IF(F1142="i",IFERROR(VLOOKUP(C1142,'BG 12.2024'!$B:$E,3,FALSE),0),0)</f>
        <v>4320000</v>
      </c>
      <c r="H1142" s="21">
        <f>+IF(F1142="i",IFERROR(VLOOKUP(C1142,'BG 12.2024'!$B:$E,4,FALSE),0),0)</f>
        <v>571.55999999999995</v>
      </c>
      <c r="I1142" s="616"/>
      <c r="J1142" s="28">
        <f>IF(F1142="I",IFERROR(VLOOKUP(C1142,'BG 12.2023'!$B$6:$E$746,3,FALSE),0),0)</f>
        <v>0</v>
      </c>
      <c r="K1142" s="28">
        <f>IF(F1142="I",IFERROR(VLOOKUP(C1142,'BG 12.2023'!$B$6:$E$746,4,FALSE),0),0)</f>
        <v>0</v>
      </c>
      <c r="M1142" s="15"/>
      <c r="N1142" s="806"/>
      <c r="O1142" s="807"/>
      <c r="P1142" s="807">
        <f>+VLOOKUP(C1142,'BG 12.2024'!$B$471:$E$866,4,0)-H1142</f>
        <v>0</v>
      </c>
      <c r="R1142" s="807">
        <f>+IFERROR(VLOOKUP(C1142,'CA FE'!$A:$C,3,0),0)+G1142</f>
        <v>0</v>
      </c>
    </row>
    <row r="1143" spans="1:19" s="87" customFormat="1">
      <c r="A1143" s="77" t="s">
        <v>286</v>
      </c>
      <c r="B1143" s="77"/>
      <c r="C1143" s="793">
        <v>4160114</v>
      </c>
      <c r="D1143" s="77" t="s">
        <v>1005</v>
      </c>
      <c r="E1143" s="794" t="s">
        <v>634</v>
      </c>
      <c r="F1143" s="794" t="str">
        <f t="shared" si="88"/>
        <v>NI</v>
      </c>
      <c r="G1143" s="28">
        <f>+IF(F1143="i",IFERROR(VLOOKUP(C1143,'BG 12.2024'!$B:$E,3,FALSE),0),0)</f>
        <v>0</v>
      </c>
      <c r="H1143" s="21">
        <f>+IF(F1143="i",IFERROR(VLOOKUP(C1143,'BG 12.2024'!$B:$E,4,FALSE),0),0)</f>
        <v>0</v>
      </c>
      <c r="I1143" s="616"/>
      <c r="J1143" s="28">
        <f>IF(F1143="I",IFERROR(VLOOKUP(C1143,'BG 12.2023'!$B$6:$E$746,3,FALSE),0),0)</f>
        <v>0</v>
      </c>
      <c r="K1143" s="28">
        <f>IF(F1143="I",IFERROR(VLOOKUP(C1143,'BG 12.2023'!$B$6:$E$746,4,FALSE),0),0)</f>
        <v>0</v>
      </c>
      <c r="M1143" s="15" t="e">
        <f>+VLOOKUP(C1143,'BG 2023'!$B:$E,1,0)</f>
        <v>#N/A</v>
      </c>
      <c r="N1143" s="806" t="e">
        <f>+VLOOKUP(C1143,'BG 2023'!$B:$E,3,0)</f>
        <v>#N/A</v>
      </c>
      <c r="O1143" s="807" t="e">
        <f t="shared" si="78"/>
        <v>#N/A</v>
      </c>
      <c r="P1143" s="807"/>
      <c r="R1143" s="807">
        <f>+IFERROR(VLOOKUP(C1143,'CA FE'!$A:$C,3,0),0)+G1143</f>
        <v>0</v>
      </c>
    </row>
    <row r="1144" spans="1:19" s="87" customFormat="1">
      <c r="A1144" s="77" t="s">
        <v>286</v>
      </c>
      <c r="B1144" s="77"/>
      <c r="C1144" s="793">
        <v>41601141</v>
      </c>
      <c r="D1144" s="77" t="s">
        <v>1006</v>
      </c>
      <c r="E1144" s="794" t="s">
        <v>634</v>
      </c>
      <c r="F1144" s="794" t="str">
        <f t="shared" si="88"/>
        <v>NI</v>
      </c>
      <c r="G1144" s="28">
        <f>+IF(F1144="i",IFERROR(VLOOKUP(C1144,'BG 12.2024'!$B:$E,3,FALSE),0),0)</f>
        <v>0</v>
      </c>
      <c r="H1144" s="21">
        <f>+IF(F1144="i",IFERROR(VLOOKUP(C1144,'BG 12.2024'!$B:$E,4,FALSE),0),0)</f>
        <v>0</v>
      </c>
      <c r="I1144" s="616"/>
      <c r="J1144" s="28">
        <f>IF(F1144="I",IFERROR(VLOOKUP(C1144,'BG 12.2023'!$B$6:$E$746,3,FALSE),0),0)</f>
        <v>0</v>
      </c>
      <c r="K1144" s="28">
        <f>IF(F1144="I",IFERROR(VLOOKUP(C1144,'BG 12.2023'!$B$6:$E$746,4,FALSE),0),0)</f>
        <v>0</v>
      </c>
      <c r="M1144" s="15" t="e">
        <f>+VLOOKUP(C1144,'BG 2023'!$B:$E,1,0)</f>
        <v>#N/A</v>
      </c>
      <c r="N1144" s="806" t="e">
        <f>+VLOOKUP(C1144,'BG 2023'!$B:$E,3,0)</f>
        <v>#N/A</v>
      </c>
      <c r="O1144" s="807" t="e">
        <f t="shared" si="78"/>
        <v>#N/A</v>
      </c>
      <c r="P1144" s="807"/>
      <c r="R1144" s="807">
        <f>+IFERROR(VLOOKUP(C1144,'CA FE'!$A:$C,3,0),0)+G1144</f>
        <v>0</v>
      </c>
    </row>
    <row r="1145" spans="1:19" s="87" customFormat="1">
      <c r="A1145" s="77" t="s">
        <v>286</v>
      </c>
      <c r="B1145" s="77"/>
      <c r="C1145" s="793">
        <v>4160114103</v>
      </c>
      <c r="D1145" s="77" t="s">
        <v>1007</v>
      </c>
      <c r="E1145" s="794" t="s">
        <v>634</v>
      </c>
      <c r="F1145" s="794" t="str">
        <f t="shared" si="88"/>
        <v>I</v>
      </c>
      <c r="G1145" s="28">
        <f>+IF(F1145="i",IFERROR(VLOOKUP(C1145,'BG 12.2024'!$B:$E,3,FALSE),0),0)</f>
        <v>0</v>
      </c>
      <c r="H1145" s="21">
        <f>+IF(F1145="i",IFERROR(VLOOKUP(C1145,'BG 12.2024'!$B:$E,4,FALSE),0),0)</f>
        <v>0</v>
      </c>
      <c r="I1145" s="616"/>
      <c r="J1145" s="28">
        <f>IF(F1145="I",IFERROR(VLOOKUP(C1145,'BG 12.2023'!$B$6:$E$746,3,FALSE),0),0)</f>
        <v>0</v>
      </c>
      <c r="K1145" s="28">
        <f>IF(F1145="I",IFERROR(VLOOKUP(C1145,'BG 12.2023'!$B$6:$E$746,4,FALSE),0),0)</f>
        <v>0</v>
      </c>
      <c r="M1145" s="15" t="e">
        <f>+VLOOKUP(C1145,'BG 2023'!$B:$E,1,0)</f>
        <v>#N/A</v>
      </c>
      <c r="N1145" s="806" t="e">
        <f>+VLOOKUP(C1145,'BG 2023'!$B:$E,3,0)</f>
        <v>#N/A</v>
      </c>
      <c r="O1145" s="807" t="e">
        <f t="shared" si="78"/>
        <v>#N/A</v>
      </c>
      <c r="P1145" s="807"/>
      <c r="R1145" s="807">
        <f>+IFERROR(VLOOKUP(C1145,'CA FE'!$A:$C,3,0),0)+G1145</f>
        <v>0</v>
      </c>
    </row>
    <row r="1146" spans="1:19" s="87" customFormat="1">
      <c r="A1146" s="77" t="s">
        <v>286</v>
      </c>
      <c r="B1146" s="77"/>
      <c r="C1146" s="793">
        <v>4160115</v>
      </c>
      <c r="D1146" s="77" t="s">
        <v>533</v>
      </c>
      <c r="E1146" s="794" t="s">
        <v>634</v>
      </c>
      <c r="F1146" s="794" t="str">
        <f t="shared" si="88"/>
        <v>NI</v>
      </c>
      <c r="G1146" s="28">
        <f>+IF(F1146="i",IFERROR(VLOOKUP(C1146,'BG 12.2024'!$B:$E,3,FALSE),0),0)</f>
        <v>0</v>
      </c>
      <c r="H1146" s="21">
        <f>+IF(F1146="i",IFERROR(VLOOKUP(C1146,'BG 12.2024'!$B:$E,4,FALSE),0),0)</f>
        <v>0</v>
      </c>
      <c r="I1146" s="616"/>
      <c r="J1146" s="28">
        <f>IF(F1146="I",IFERROR(VLOOKUP(C1146,'BG 12.2023'!$B$6:$E$746,3,FALSE),0),0)</f>
        <v>0</v>
      </c>
      <c r="K1146" s="28">
        <f>IF(F1146="I",IFERROR(VLOOKUP(C1146,'BG 12.2023'!$B$6:$E$746,4,FALSE),0),0)</f>
        <v>0</v>
      </c>
      <c r="M1146" s="15">
        <f>+VLOOKUP(C1146,'BG 2023'!$B:$E,1,0)</f>
        <v>4160115</v>
      </c>
      <c r="N1146" s="806">
        <f>+VLOOKUP(C1146,'BG 2023'!$B:$E,3,0)</f>
        <v>475156214</v>
      </c>
      <c r="O1146" s="807">
        <f t="shared" si="78"/>
        <v>475156214</v>
      </c>
      <c r="P1146" s="807"/>
      <c r="R1146" s="807">
        <f>+IFERROR(VLOOKUP(C1146,'CA FE'!$A:$C,3,0),0)+G1146</f>
        <v>0</v>
      </c>
    </row>
    <row r="1147" spans="1:19" s="87" customFormat="1">
      <c r="A1147" s="77" t="s">
        <v>286</v>
      </c>
      <c r="B1147" s="77"/>
      <c r="C1147" s="793">
        <v>41601151</v>
      </c>
      <c r="D1147" s="77" t="s">
        <v>352</v>
      </c>
      <c r="E1147" s="794" t="s">
        <v>634</v>
      </c>
      <c r="F1147" s="794" t="str">
        <f t="shared" si="88"/>
        <v>NI</v>
      </c>
      <c r="G1147" s="28">
        <f>+IF(F1147="i",IFERROR(VLOOKUP(C1147,'BG 12.2024'!$B:$E,3,FALSE),0),0)</f>
        <v>0</v>
      </c>
      <c r="H1147" s="21">
        <f>+IF(F1147="i",IFERROR(VLOOKUP(C1147,'BG 12.2024'!$B:$E,4,FALSE),0),0)</f>
        <v>0</v>
      </c>
      <c r="I1147" s="616"/>
      <c r="J1147" s="28">
        <f>IF(F1147="I",IFERROR(VLOOKUP(C1147,'BG 12.2023'!$B$6:$E$746,3,FALSE),0),0)</f>
        <v>0</v>
      </c>
      <c r="K1147" s="28">
        <f>IF(F1147="I",IFERROR(VLOOKUP(C1147,'BG 12.2023'!$B$6:$E$746,4,FALSE),0),0)</f>
        <v>0</v>
      </c>
      <c r="M1147" s="15">
        <f>+VLOOKUP(C1147,'BG 2023'!$B:$E,1,0)</f>
        <v>41601151</v>
      </c>
      <c r="N1147" s="806">
        <f>+VLOOKUP(C1147,'BG 2023'!$B:$E,3,0)</f>
        <v>311305565</v>
      </c>
      <c r="O1147" s="807">
        <f t="shared" si="78"/>
        <v>311305565</v>
      </c>
      <c r="P1147" s="807"/>
      <c r="R1147" s="807">
        <f>+IFERROR(VLOOKUP(C1147,'CA FE'!$A:$C,3,0),0)+G1147</f>
        <v>0</v>
      </c>
    </row>
    <row r="1148" spans="1:19" s="87" customFormat="1">
      <c r="A1148" s="77" t="s">
        <v>286</v>
      </c>
      <c r="B1148" s="77" t="s">
        <v>974</v>
      </c>
      <c r="C1148" s="793">
        <v>4160115101</v>
      </c>
      <c r="D1148" s="77" t="s">
        <v>353</v>
      </c>
      <c r="E1148" s="794" t="s">
        <v>634</v>
      </c>
      <c r="F1148" s="794" t="str">
        <f t="shared" si="88"/>
        <v>I</v>
      </c>
      <c r="G1148" s="28">
        <f>+IF(F1148="i",IFERROR(VLOOKUP(C1148,'BG 12.2024'!$B:$E,3,FALSE),0),0)</f>
        <v>29091884</v>
      </c>
      <c r="H1148" s="21">
        <f>+IF(F1148="i",IFERROR(VLOOKUP(C1148,'BG 12.2024'!$B:$E,4,FALSE),0),0)</f>
        <v>3806.07</v>
      </c>
      <c r="I1148" s="616"/>
      <c r="J1148" s="28">
        <f>IF(F1148="I",IFERROR(VLOOKUP(C1148,'BG 12.2023'!$B$6:$E$746,3,FALSE),0),0)</f>
        <v>8634801</v>
      </c>
      <c r="K1148" s="28">
        <f>IF(F1148="I",IFERROR(VLOOKUP(C1148,'BG 12.2023'!$B$6:$E$746,4,FALSE),0),0)</f>
        <v>1185.42</v>
      </c>
      <c r="M1148" s="15">
        <f>+VLOOKUP(C1148,'BG 2023'!$B:$E,1,0)</f>
        <v>4160115101</v>
      </c>
      <c r="N1148" s="806">
        <f>+VLOOKUP(C1148,'BG 2023'!$B:$E,3,0)</f>
        <v>8634801</v>
      </c>
      <c r="O1148" s="807">
        <f t="shared" si="78"/>
        <v>-20457083</v>
      </c>
      <c r="P1148" s="807">
        <f>+VLOOKUP(C1148,'BG 12.2024'!$B$471:$E$866,4,0)-H1148</f>
        <v>0</v>
      </c>
      <c r="R1148" s="807">
        <f>+IFERROR(VLOOKUP(C1148,'CA FE'!$A:$C,3,0),0)+G1148</f>
        <v>0</v>
      </c>
      <c r="S1148" s="87" t="s">
        <v>1008</v>
      </c>
    </row>
    <row r="1149" spans="1:19" s="87" customFormat="1">
      <c r="A1149" s="77" t="s">
        <v>286</v>
      </c>
      <c r="B1149" s="77" t="s">
        <v>974</v>
      </c>
      <c r="C1149" s="793">
        <v>4160115102</v>
      </c>
      <c r="D1149" s="77" t="s">
        <v>354</v>
      </c>
      <c r="E1149" s="794" t="s">
        <v>634</v>
      </c>
      <c r="F1149" s="794" t="str">
        <f t="shared" si="88"/>
        <v>I</v>
      </c>
      <c r="G1149" s="28">
        <f>+IF(F1149="i",IFERROR(VLOOKUP(C1149,'BG 12.2024'!$B:$E,3,FALSE),0),0)</f>
        <v>109888439</v>
      </c>
      <c r="H1149" s="21">
        <f>+IF(F1149="i",IFERROR(VLOOKUP(C1149,'BG 12.2024'!$B:$E,4,FALSE),0),0)</f>
        <v>14255.730000000001</v>
      </c>
      <c r="I1149" s="616"/>
      <c r="J1149" s="28">
        <f>IF(F1149="I",IFERROR(VLOOKUP(C1149,'BG 12.2023'!$B$6:$E$746,3,FALSE),0),0)</f>
        <v>6002584</v>
      </c>
      <c r="K1149" s="28">
        <f>IF(F1149="I",IFERROR(VLOOKUP(C1149,'BG 12.2023'!$B$6:$E$746,4,FALSE),0),0)</f>
        <v>826.69</v>
      </c>
      <c r="M1149" s="15">
        <f>+VLOOKUP(C1149,'BG 2023'!$B:$E,1,0)</f>
        <v>4160115102</v>
      </c>
      <c r="N1149" s="806">
        <f>+VLOOKUP(C1149,'BG 2023'!$B:$E,3,0)</f>
        <v>6002584</v>
      </c>
      <c r="O1149" s="807">
        <f t="shared" si="78"/>
        <v>-103885855</v>
      </c>
      <c r="P1149" s="807">
        <f>+VLOOKUP(C1149,'BG 12.2024'!$B$471:$E$866,4,0)-H1149</f>
        <v>0</v>
      </c>
      <c r="R1149" s="807">
        <f>+IFERROR(VLOOKUP(C1149,'CA FE'!$A:$C,3,0),0)+G1149</f>
        <v>0</v>
      </c>
      <c r="S1149" s="87" t="s">
        <v>1008</v>
      </c>
    </row>
    <row r="1150" spans="1:19" s="87" customFormat="1">
      <c r="A1150" s="77" t="s">
        <v>286</v>
      </c>
      <c r="B1150" s="77" t="s">
        <v>945</v>
      </c>
      <c r="C1150" s="793">
        <v>4160115103</v>
      </c>
      <c r="D1150" s="77" t="s">
        <v>355</v>
      </c>
      <c r="E1150" s="794" t="s">
        <v>634</v>
      </c>
      <c r="F1150" s="794" t="str">
        <f t="shared" si="88"/>
        <v>I</v>
      </c>
      <c r="G1150" s="1097">
        <f>+IF(F1150="i",IFERROR(VLOOKUP(C1150,'BG 12.2024'!$B:$E,3,FALSE),0),0)</f>
        <v>97986474</v>
      </c>
      <c r="H1150" s="21">
        <f>+IF(F1150="i",IFERROR(VLOOKUP(C1150,'BG 12.2024'!$B:$E,4,FALSE),0),0)</f>
        <v>11772.670000000002</v>
      </c>
      <c r="I1150" s="616"/>
      <c r="J1150" s="1256">
        <f>IF(F1150="I",IFERROR(VLOOKUP(C1150,'BG 12.2023'!$B$6:$E$746,3,FALSE),0),0)</f>
        <v>277588848</v>
      </c>
      <c r="K1150" s="28">
        <f>IF(F1150="I",IFERROR(VLOOKUP(C1150,'BG 12.2023'!$B$6:$E$746,4,FALSE),0),0)</f>
        <v>38213.149999999994</v>
      </c>
      <c r="M1150" s="15">
        <f>+VLOOKUP(C1150,'BG 2023'!$B:$E,1,0)</f>
        <v>4160115103</v>
      </c>
      <c r="N1150" s="806">
        <f>+VLOOKUP(C1150,'BG 2023'!$B:$E,3,0)</f>
        <v>277588848</v>
      </c>
      <c r="O1150" s="807">
        <f t="shared" ref="O1150:O1215" si="91">+N1150-G1150</f>
        <v>179602374</v>
      </c>
      <c r="P1150" s="807">
        <f>+VLOOKUP(C1150,'BG 12.2024'!$B$471:$E$866,4,0)-H1150</f>
        <v>0</v>
      </c>
      <c r="R1150" s="807">
        <f>+IFERROR(VLOOKUP(C1150,'CA FE'!$A:$C,3,0),0)+G1150</f>
        <v>0</v>
      </c>
    </row>
    <row r="1151" spans="1:19" s="87" customFormat="1">
      <c r="A1151" s="77" t="s">
        <v>286</v>
      </c>
      <c r="B1151" s="77" t="s">
        <v>945</v>
      </c>
      <c r="C1151" s="793">
        <v>4160115104</v>
      </c>
      <c r="D1151" s="77" t="s">
        <v>356</v>
      </c>
      <c r="E1151" s="794" t="s">
        <v>634</v>
      </c>
      <c r="F1151" s="794" t="str">
        <f t="shared" si="88"/>
        <v>I</v>
      </c>
      <c r="G1151" s="1098">
        <f>+IF(F1151="i",IFERROR(VLOOKUP(C1151,'BG 12.2024'!$B:$E,3,FALSE),0),0)</f>
        <v>6025533</v>
      </c>
      <c r="H1151" s="21">
        <f>+IF(F1151="i",IFERROR(VLOOKUP(C1151,'BG 12.2024'!$B:$E,4,FALSE),0),0)</f>
        <v>772.84</v>
      </c>
      <c r="I1151" s="616"/>
      <c r="J1151" s="1256">
        <f>IF(F1151="I",IFERROR(VLOOKUP(C1151,'BG 12.2023'!$B$6:$E$746,3,FALSE),0),0)</f>
        <v>1531841</v>
      </c>
      <c r="K1151" s="28">
        <f>IF(F1151="I",IFERROR(VLOOKUP(C1151,'BG 12.2023'!$B$6:$E$746,4,FALSE),0),0)</f>
        <v>209.67</v>
      </c>
      <c r="M1151" s="15">
        <f>+VLOOKUP(C1151,'BG 2023'!$B:$E,1,0)</f>
        <v>4160115104</v>
      </c>
      <c r="N1151" s="806">
        <f>+VLOOKUP(C1151,'BG 2023'!$B:$E,3,0)</f>
        <v>1531841</v>
      </c>
      <c r="O1151" s="807">
        <f t="shared" si="91"/>
        <v>-4493692</v>
      </c>
      <c r="P1151" s="807"/>
      <c r="R1151" s="807">
        <f>+IFERROR(VLOOKUP(C1151,'CA FE'!$A:$C,3,0),0)+G1151</f>
        <v>0</v>
      </c>
    </row>
    <row r="1152" spans="1:19" s="87" customFormat="1">
      <c r="A1152" s="77" t="s">
        <v>286</v>
      </c>
      <c r="B1152" s="77" t="s">
        <v>974</v>
      </c>
      <c r="C1152" s="793">
        <v>4160115105</v>
      </c>
      <c r="D1152" s="77" t="s">
        <v>357</v>
      </c>
      <c r="E1152" s="794" t="s">
        <v>634</v>
      </c>
      <c r="F1152" s="794" t="str">
        <f t="shared" ref="F1152" si="92">+IF(LEN(C1152)&gt;8,"I","NI")</f>
        <v>I</v>
      </c>
      <c r="G1152" s="28">
        <f>+IF(F1152="i",IFERROR(VLOOKUP(C1152,'BG 12.2024'!$B:$E,3,FALSE),0),0)</f>
        <v>12814030</v>
      </c>
      <c r="H1152" s="21">
        <f>+IF(F1152="i",IFERROR(VLOOKUP(C1152,'BG 12.2024'!$B:$E,4,FALSE),0),0)</f>
        <v>1657.95</v>
      </c>
      <c r="I1152" s="616"/>
      <c r="J1152" s="28">
        <f>IF(F1152="I",IFERROR(VLOOKUP(C1152,'BG 12.2023'!$B$6:$E$746,3,FALSE),0),0)</f>
        <v>14647680</v>
      </c>
      <c r="K1152" s="28">
        <f>IF(F1152="I",IFERROR(VLOOKUP(C1152,'BG 12.2023'!$B$6:$E$746,4,FALSE),0),0)</f>
        <v>2023.87</v>
      </c>
      <c r="M1152" s="15">
        <f>+VLOOKUP(C1152,'BG 2023'!$B:$E,1,0)</f>
        <v>4160115105</v>
      </c>
      <c r="N1152" s="806">
        <f>+VLOOKUP(C1152,'BG 2023'!$B:$E,3,0)</f>
        <v>14647680</v>
      </c>
      <c r="O1152" s="807">
        <f t="shared" si="91"/>
        <v>1833650</v>
      </c>
      <c r="P1152" s="807">
        <f>+VLOOKUP(C1152,'BG 12.2024'!$B$471:$E$866,4,0)-H1152</f>
        <v>0</v>
      </c>
      <c r="R1152" s="807">
        <f>+IFERROR(VLOOKUP(C1152,'CA FE'!$A:$C,3,0),0)+G1152</f>
        <v>0</v>
      </c>
      <c r="S1152" s="87" t="s">
        <v>1008</v>
      </c>
    </row>
    <row r="1153" spans="1:19" s="87" customFormat="1">
      <c r="A1153" s="77" t="s">
        <v>286</v>
      </c>
      <c r="B1153" s="77" t="s">
        <v>945</v>
      </c>
      <c r="C1153" s="793">
        <v>4160115106</v>
      </c>
      <c r="D1153" s="77" t="s">
        <v>1009</v>
      </c>
      <c r="E1153" s="794" t="s">
        <v>634</v>
      </c>
      <c r="F1153" s="794" t="str">
        <f t="shared" si="88"/>
        <v>I</v>
      </c>
      <c r="G1153" s="28">
        <f>+IF(F1153="i",IFERROR(VLOOKUP(C1153,'BG 12.2024'!$B:$E,3,FALSE),0),0)</f>
        <v>137168000</v>
      </c>
      <c r="H1153" s="21">
        <f>+IF(F1153="i",IFERROR(VLOOKUP(C1153,'BG 12.2024'!$B:$E,4,FALSE),0),0)</f>
        <v>17520.150000000001</v>
      </c>
      <c r="I1153" s="616"/>
      <c r="J1153" s="28">
        <f>IF(F1153="I",IFERROR(VLOOKUP(C1153,'BG 12.2023'!$B$6:$E$746,3,FALSE),0),0)</f>
        <v>0</v>
      </c>
      <c r="K1153" s="28">
        <f>IF(F1153="I",IFERROR(VLOOKUP(C1153,'BG 12.2023'!$B$6:$E$746,4,FALSE),0),0)</f>
        <v>0</v>
      </c>
      <c r="M1153" s="15" t="e">
        <f>+VLOOKUP(C1153,'BG 2023'!$B:$E,1,0)</f>
        <v>#N/A</v>
      </c>
      <c r="N1153" s="806" t="e">
        <f>+VLOOKUP(C1153,'BG 2023'!$B:$E,3,0)</f>
        <v>#N/A</v>
      </c>
      <c r="O1153" s="807" t="e">
        <f t="shared" si="91"/>
        <v>#N/A</v>
      </c>
      <c r="P1153" s="807"/>
      <c r="R1153" s="807">
        <f>+IFERROR(VLOOKUP(C1153,'CA FE'!$A:$C,3,0),0)+G1153</f>
        <v>0</v>
      </c>
    </row>
    <row r="1154" spans="1:19" s="87" customFormat="1">
      <c r="A1154" s="77" t="s">
        <v>286</v>
      </c>
      <c r="B1154" s="77" t="s">
        <v>974</v>
      </c>
      <c r="C1154" s="793">
        <v>4160115107</v>
      </c>
      <c r="D1154" s="77" t="s">
        <v>1010</v>
      </c>
      <c r="E1154" s="794" t="s">
        <v>634</v>
      </c>
      <c r="F1154" s="794" t="str">
        <f t="shared" si="88"/>
        <v>I</v>
      </c>
      <c r="G1154" s="28">
        <f>+IF(F1154="i",IFERROR(VLOOKUP(C1154,'BG 12.2024'!$B:$E,3,FALSE),0),0)</f>
        <v>0</v>
      </c>
      <c r="H1154" s="21">
        <f>+IF(F1154="i",IFERROR(VLOOKUP(C1154,'BG 12.2024'!$B:$E,4,FALSE),0),0)</f>
        <v>0</v>
      </c>
      <c r="I1154" s="616"/>
      <c r="J1154" s="28">
        <f>IF(F1154="I",IFERROR(VLOOKUP(C1154,'BG 12.2023'!$B$6:$E$746,3,FALSE),0),0)</f>
        <v>0</v>
      </c>
      <c r="K1154" s="28">
        <f>IF(F1154="I",IFERROR(VLOOKUP(C1154,'BG 12.2023'!$B$6:$E$746,4,FALSE),0),0)</f>
        <v>0</v>
      </c>
      <c r="M1154" s="15" t="e">
        <f>+VLOOKUP(C1154,'BG 2023'!$B:$E,1,0)</f>
        <v>#N/A</v>
      </c>
      <c r="N1154" s="806" t="e">
        <f>+VLOOKUP(C1154,'BG 2023'!$B:$E,3,0)</f>
        <v>#N/A</v>
      </c>
      <c r="O1154" s="807" t="e">
        <f t="shared" si="91"/>
        <v>#N/A</v>
      </c>
      <c r="P1154" s="807"/>
      <c r="R1154" s="807">
        <f>+IFERROR(VLOOKUP(C1154,'CA FE'!$A:$C,3,0),0)+G1154</f>
        <v>0</v>
      </c>
      <c r="S1154" s="87" t="s">
        <v>1008</v>
      </c>
    </row>
    <row r="1155" spans="1:19" s="87" customFormat="1">
      <c r="A1155" s="77" t="s">
        <v>286</v>
      </c>
      <c r="B1155" s="77" t="s">
        <v>974</v>
      </c>
      <c r="C1155" s="793">
        <v>4160115108</v>
      </c>
      <c r="D1155" s="77" t="s">
        <v>1011</v>
      </c>
      <c r="E1155" s="794" t="s">
        <v>634</v>
      </c>
      <c r="F1155" s="794" t="str">
        <f t="shared" si="88"/>
        <v>I</v>
      </c>
      <c r="G1155" s="28">
        <f>+IF(F1155="i",IFERROR(VLOOKUP(C1155,'BG 12.2024'!$B:$E,3,FALSE),0),0)</f>
        <v>0</v>
      </c>
      <c r="H1155" s="21">
        <f>+IF(F1155="i",IFERROR(VLOOKUP(C1155,'BG 12.2024'!$B:$E,4,FALSE),0),0)</f>
        <v>0</v>
      </c>
      <c r="I1155" s="616"/>
      <c r="J1155" s="28">
        <f>IF(F1155="I",IFERROR(VLOOKUP(C1155,'BG 12.2023'!$B$6:$E$746,3,FALSE),0),0)</f>
        <v>0</v>
      </c>
      <c r="K1155" s="28">
        <f>IF(F1155="I",IFERROR(VLOOKUP(C1155,'BG 12.2023'!$B$6:$E$746,4,FALSE),0),0)</f>
        <v>0</v>
      </c>
      <c r="M1155" s="15" t="e">
        <f>+VLOOKUP(C1155,'BG 2023'!$B:$E,1,0)</f>
        <v>#N/A</v>
      </c>
      <c r="N1155" s="806" t="e">
        <f>+VLOOKUP(C1155,'BG 2023'!$B:$E,3,0)</f>
        <v>#N/A</v>
      </c>
      <c r="O1155" s="807" t="e">
        <f t="shared" si="91"/>
        <v>#N/A</v>
      </c>
      <c r="P1155" s="807"/>
      <c r="R1155" s="807">
        <f>+IFERROR(VLOOKUP(C1155,'CA FE'!$A:$C,3,0),0)+G1155</f>
        <v>0</v>
      </c>
      <c r="S1155" s="87" t="s">
        <v>1008</v>
      </c>
    </row>
    <row r="1156" spans="1:19" s="87" customFormat="1">
      <c r="A1156" s="77" t="s">
        <v>286</v>
      </c>
      <c r="B1156" s="77" t="s">
        <v>945</v>
      </c>
      <c r="C1156" s="793">
        <v>4160115109</v>
      </c>
      <c r="D1156" s="77" t="s">
        <v>358</v>
      </c>
      <c r="E1156" s="794" t="s">
        <v>634</v>
      </c>
      <c r="F1156" s="794" t="str">
        <f t="shared" ref="F1156" si="93">+IF(LEN(C1156)&gt;8,"I","NI")</f>
        <v>I</v>
      </c>
      <c r="G1156" s="1097">
        <f>+IF(F1156="i",IFERROR(VLOOKUP(C1156,'BG 12.2024'!$B:$E,3,FALSE),0),0)</f>
        <v>467667</v>
      </c>
      <c r="H1156" s="21">
        <f>+IF(F1156="i",IFERROR(VLOOKUP(C1156,'BG 12.2024'!$B:$E,4,FALSE),0),0)</f>
        <v>62.18</v>
      </c>
      <c r="I1156" s="616"/>
      <c r="J1156" s="1256">
        <f>IF(F1156="I",IFERROR(VLOOKUP(C1156,'BG 12.2023'!$B$6:$E$746,3,FALSE),0),0)</f>
        <v>2899811</v>
      </c>
      <c r="K1156" s="28">
        <f>IF(F1156="I",IFERROR(VLOOKUP(C1156,'BG 12.2023'!$B$6:$E$746,4,FALSE),0),0)</f>
        <v>396.76</v>
      </c>
      <c r="M1156" s="15">
        <f>+VLOOKUP(C1156,'BG 2023'!$B:$E,1,0)</f>
        <v>4160115109</v>
      </c>
      <c r="N1156" s="806">
        <f>+VLOOKUP(C1156,'BG 2023'!$B:$E,3,0)</f>
        <v>2899811</v>
      </c>
      <c r="O1156" s="807">
        <f t="shared" si="91"/>
        <v>2432144</v>
      </c>
      <c r="P1156" s="807">
        <f>+VLOOKUP(C1156,'BG 12.2024'!$B$471:$E$866,4,0)-H1156</f>
        <v>0</v>
      </c>
      <c r="R1156" s="807">
        <f>+IFERROR(VLOOKUP(C1156,'CA FE'!$A:$C,3,0),0)+G1156</f>
        <v>0</v>
      </c>
    </row>
    <row r="1157" spans="1:19" s="87" customFormat="1">
      <c r="A1157" s="77" t="s">
        <v>286</v>
      </c>
      <c r="B1157" s="77"/>
      <c r="C1157" s="793">
        <v>41601152</v>
      </c>
      <c r="D1157" s="77" t="s">
        <v>359</v>
      </c>
      <c r="E1157" s="794" t="s">
        <v>640</v>
      </c>
      <c r="F1157" s="794" t="str">
        <f t="shared" si="88"/>
        <v>NI</v>
      </c>
      <c r="G1157" s="28">
        <f>+IF(F1157="i",IFERROR(VLOOKUP(C1157,'BG 12.2024'!$B:$E,3,FALSE),0),0)</f>
        <v>0</v>
      </c>
      <c r="H1157" s="21">
        <f>+IF(F1157="i",IFERROR(VLOOKUP(C1157,'BG 12.2024'!$B:$E,4,FALSE),0),0)</f>
        <v>0</v>
      </c>
      <c r="I1157" s="616"/>
      <c r="J1157" s="28">
        <f>IF(F1157="I",IFERROR(VLOOKUP(C1157,'BG 12.2023'!$B$6:$E$746,3,FALSE),0),0)</f>
        <v>0</v>
      </c>
      <c r="K1157" s="28">
        <f>IF(F1157="I",IFERROR(VLOOKUP(C1157,'BG 12.2023'!$B$6:$E$746,4,FALSE),0),0)</f>
        <v>0</v>
      </c>
      <c r="M1157" s="15">
        <f>+VLOOKUP(C1157,'BG 2023'!$B:$E,1,0)</f>
        <v>41601152</v>
      </c>
      <c r="N1157" s="806">
        <f>+VLOOKUP(C1157,'BG 2023'!$B:$E,3,0)</f>
        <v>13641939</v>
      </c>
      <c r="O1157" s="807">
        <f t="shared" si="91"/>
        <v>13641939</v>
      </c>
      <c r="P1157" s="807"/>
      <c r="R1157" s="807">
        <f>+IFERROR(VLOOKUP(C1157,'CA FE'!$A:$C,3,0),0)+G1157</f>
        <v>0</v>
      </c>
    </row>
    <row r="1158" spans="1:19" s="87" customFormat="1">
      <c r="A1158" s="77" t="s">
        <v>286</v>
      </c>
      <c r="B1158" s="77" t="s">
        <v>974</v>
      </c>
      <c r="C1158" s="793">
        <v>4160115201</v>
      </c>
      <c r="D1158" s="77" t="s">
        <v>360</v>
      </c>
      <c r="E1158" s="794" t="s">
        <v>640</v>
      </c>
      <c r="F1158" s="794" t="str">
        <f t="shared" si="88"/>
        <v>I</v>
      </c>
      <c r="G1158" s="28">
        <f>+IF(F1158="i",IFERROR(VLOOKUP(C1158,'BG 12.2024'!$B:$E,3,FALSE),0),0)</f>
        <v>32554435</v>
      </c>
      <c r="H1158" s="21">
        <f>+IF(F1158="i",IFERROR(VLOOKUP(C1158,'BG 12.2024'!$B:$E,4,FALSE),0),0)</f>
        <v>4226</v>
      </c>
      <c r="I1158" s="616"/>
      <c r="J1158" s="28">
        <f>IF(F1158="I",IFERROR(VLOOKUP(C1158,'BG 12.2023'!$B$6:$E$746,3,FALSE),0),0)</f>
        <v>6888452</v>
      </c>
      <c r="K1158" s="28">
        <f>IF(F1158="I",IFERROR(VLOOKUP(C1158,'BG 12.2023'!$B$6:$E$746,4,FALSE),0),0)</f>
        <v>944.56</v>
      </c>
      <c r="M1158" s="15">
        <f>+VLOOKUP(C1158,'BG 2023'!$B:$E,1,0)</f>
        <v>4160115201</v>
      </c>
      <c r="N1158" s="806">
        <f>+VLOOKUP(C1158,'BG 2023'!$B:$E,3,0)</f>
        <v>6888452</v>
      </c>
      <c r="O1158" s="807">
        <f t="shared" si="91"/>
        <v>-25665983</v>
      </c>
      <c r="P1158" s="807">
        <f>+VLOOKUP(C1158,'BG 12.2024'!$B$471:$E$866,4,0)-H1158</f>
        <v>0</v>
      </c>
      <c r="R1158" s="807">
        <f>+IFERROR(VLOOKUP(C1158,'CA FE'!$A:$C,3,0),0)+G1158</f>
        <v>0</v>
      </c>
      <c r="S1158" s="87" t="s">
        <v>1008</v>
      </c>
    </row>
    <row r="1159" spans="1:19" s="87" customFormat="1">
      <c r="A1159" s="77" t="s">
        <v>286</v>
      </c>
      <c r="B1159" s="77" t="s">
        <v>974</v>
      </c>
      <c r="C1159" s="793">
        <v>4160115202</v>
      </c>
      <c r="D1159" s="77" t="s">
        <v>361</v>
      </c>
      <c r="E1159" s="794" t="s">
        <v>640</v>
      </c>
      <c r="F1159" s="794" t="str">
        <f t="shared" si="88"/>
        <v>I</v>
      </c>
      <c r="G1159" s="28">
        <f>+IF(F1159="i",IFERROR(VLOOKUP(C1159,'BG 12.2024'!$B:$E,3,FALSE),0),0)</f>
        <v>26030868</v>
      </c>
      <c r="H1159" s="21">
        <f>+IF(F1159="i",IFERROR(VLOOKUP(C1159,'BG 12.2024'!$B:$E,4,FALSE),0),0)</f>
        <v>3359.1</v>
      </c>
      <c r="I1159" s="616"/>
      <c r="J1159" s="28">
        <f>IF(F1159="I",IFERROR(VLOOKUP(C1159,'BG 12.2023'!$B$6:$E$746,3,FALSE),0),0)</f>
        <v>6752001</v>
      </c>
      <c r="K1159" s="28">
        <f>IF(F1159="I",IFERROR(VLOOKUP(C1159,'BG 12.2023'!$B$6:$E$746,4,FALSE),0),0)</f>
        <v>923.82999999999993</v>
      </c>
      <c r="M1159" s="15">
        <f>+VLOOKUP(C1159,'BG 2023'!$B:$E,1,0)</f>
        <v>4160115202</v>
      </c>
      <c r="N1159" s="806">
        <f>+VLOOKUP(C1159,'BG 2023'!$B:$E,3,0)</f>
        <v>6752001</v>
      </c>
      <c r="O1159" s="807">
        <f t="shared" si="91"/>
        <v>-19278867</v>
      </c>
      <c r="P1159" s="807">
        <f>+VLOOKUP(C1159,'BG 12.2024'!$B$471:$E$866,4,0)-H1159</f>
        <v>0</v>
      </c>
      <c r="R1159" s="807">
        <f>+IFERROR(VLOOKUP(C1159,'CA FE'!$A:$C,3,0),0)+G1159</f>
        <v>0</v>
      </c>
      <c r="S1159" s="87" t="s">
        <v>1008</v>
      </c>
    </row>
    <row r="1160" spans="1:19" s="87" customFormat="1">
      <c r="A1160" s="77" t="s">
        <v>286</v>
      </c>
      <c r="B1160" s="77" t="s">
        <v>945</v>
      </c>
      <c r="C1160" s="793">
        <v>4160115203</v>
      </c>
      <c r="D1160" s="77" t="s">
        <v>362</v>
      </c>
      <c r="E1160" s="794" t="s">
        <v>640</v>
      </c>
      <c r="F1160" s="794" t="str">
        <f t="shared" si="88"/>
        <v>I</v>
      </c>
      <c r="G1160" s="1097">
        <f>+IF(F1160="i",IFERROR(VLOOKUP(C1160,'BG 12.2024'!$B:$E,3,FALSE),0),0)</f>
        <v>1264349</v>
      </c>
      <c r="H1160" s="21">
        <f>+IF(F1160="i",IFERROR(VLOOKUP(C1160,'BG 12.2024'!$B:$E,4,FALSE),0),0)</f>
        <v>173.76</v>
      </c>
      <c r="I1160" s="616"/>
      <c r="J1160" s="28">
        <f>IF(F1160="I",IFERROR(VLOOKUP(C1160,'BG 12.2023'!$B$6:$E$746,3,FALSE),0),0)</f>
        <v>1486</v>
      </c>
      <c r="K1160" s="28">
        <f>IF(F1160="I",IFERROR(VLOOKUP(C1160,'BG 12.2023'!$B$6:$E$746,4,FALSE),0),0)</f>
        <v>0.2</v>
      </c>
      <c r="M1160" s="15">
        <f>+VLOOKUP(C1160,'BG 2023'!$B:$E,1,0)</f>
        <v>4160115203</v>
      </c>
      <c r="N1160" s="806">
        <f>+VLOOKUP(C1160,'BG 2023'!$B:$E,3,0)</f>
        <v>1486</v>
      </c>
      <c r="O1160" s="807">
        <f t="shared" si="91"/>
        <v>-1262863</v>
      </c>
      <c r="P1160" s="807">
        <f>+VLOOKUP(C1160,'BG 12.2024'!$B$471:$E$866,4,0)-H1160</f>
        <v>0</v>
      </c>
      <c r="R1160" s="807">
        <f>+IFERROR(VLOOKUP(C1160,'CA FE'!$A:$C,3,0),0)+G1160</f>
        <v>0</v>
      </c>
    </row>
    <row r="1161" spans="1:19" s="87" customFormat="1">
      <c r="A1161" s="77" t="s">
        <v>286</v>
      </c>
      <c r="B1161" s="77" t="s">
        <v>945</v>
      </c>
      <c r="C1161" s="793">
        <v>4160115206</v>
      </c>
      <c r="D1161" s="77" t="s">
        <v>1012</v>
      </c>
      <c r="E1161" s="794" t="s">
        <v>640</v>
      </c>
      <c r="F1161" s="794" t="str">
        <f t="shared" si="88"/>
        <v>I</v>
      </c>
      <c r="G1161" s="28">
        <f>+IF(F1161="i",IFERROR(VLOOKUP(C1161,'BG 12.2024'!$B:$E,3,FALSE),0),0)</f>
        <v>41729583</v>
      </c>
      <c r="H1161" s="21">
        <f>+IF(F1161="i",IFERROR(VLOOKUP(C1161,'BG 12.2024'!$B:$E,4,FALSE),0),0)</f>
        <v>5340</v>
      </c>
      <c r="I1161" s="616"/>
      <c r="J1161" s="28">
        <f>IF(F1161="I",IFERROR(VLOOKUP(C1161,'BG 12.2023'!$B$6:$E$746,3,FALSE),0),0)</f>
        <v>0</v>
      </c>
      <c r="K1161" s="28">
        <f>IF(F1161="I",IFERROR(VLOOKUP(C1161,'BG 12.2023'!$B$6:$E$746,4,FALSE),0),0)</f>
        <v>0</v>
      </c>
      <c r="M1161" s="15" t="e">
        <f>+VLOOKUP(C1161,'BG 2023'!$B:$E,1,0)</f>
        <v>#N/A</v>
      </c>
      <c r="N1161" s="806" t="e">
        <f>+VLOOKUP(C1161,'BG 2023'!$B:$E,3,0)</f>
        <v>#N/A</v>
      </c>
      <c r="O1161" s="807" t="e">
        <f t="shared" si="91"/>
        <v>#N/A</v>
      </c>
      <c r="P1161" s="807"/>
      <c r="R1161" s="807">
        <f>+IFERROR(VLOOKUP(C1161,'CA FE'!$A:$C,3,0),0)+G1161</f>
        <v>0</v>
      </c>
    </row>
    <row r="1162" spans="1:19" s="87" customFormat="1">
      <c r="A1162" s="77" t="s">
        <v>286</v>
      </c>
      <c r="B1162" s="77" t="s">
        <v>974</v>
      </c>
      <c r="C1162" s="793">
        <v>4160115207</v>
      </c>
      <c r="D1162" s="77" t="s">
        <v>1013</v>
      </c>
      <c r="E1162" s="794" t="s">
        <v>640</v>
      </c>
      <c r="F1162" s="794" t="str">
        <f t="shared" si="88"/>
        <v>I</v>
      </c>
      <c r="G1162" s="28">
        <f>+IF(F1162="i",IFERROR(VLOOKUP(C1162,'BG 12.2024'!$B:$E,3,FALSE),0),0)</f>
        <v>0</v>
      </c>
      <c r="H1162" s="21">
        <f>+IF(F1162="i",IFERROR(VLOOKUP(C1162,'BG 12.2024'!$B:$E,4,FALSE),0),0)</f>
        <v>0</v>
      </c>
      <c r="I1162" s="616"/>
      <c r="J1162" s="28">
        <f>IF(F1162="I",IFERROR(VLOOKUP(C1162,'BG 12.2023'!$B$6:$E$746,3,FALSE),0),0)</f>
        <v>0</v>
      </c>
      <c r="K1162" s="28">
        <f>IF(F1162="I",IFERROR(VLOOKUP(C1162,'BG 12.2023'!$B$6:$E$746,4,FALSE),0),0)</f>
        <v>0</v>
      </c>
      <c r="M1162" s="15" t="e">
        <f>+VLOOKUP(C1162,'BG 2023'!$B:$E,1,0)</f>
        <v>#N/A</v>
      </c>
      <c r="N1162" s="806" t="e">
        <f>+VLOOKUP(C1162,'BG 2023'!$B:$E,3,0)</f>
        <v>#N/A</v>
      </c>
      <c r="O1162" s="807" t="e">
        <f t="shared" si="91"/>
        <v>#N/A</v>
      </c>
      <c r="P1162" s="807"/>
      <c r="R1162" s="807">
        <f>+IFERROR(VLOOKUP(C1162,'CA FE'!$A:$C,3,0),0)+G1162</f>
        <v>0</v>
      </c>
      <c r="S1162" s="87" t="s">
        <v>1008</v>
      </c>
    </row>
    <row r="1163" spans="1:19" s="87" customFormat="1">
      <c r="A1163" s="77" t="s">
        <v>286</v>
      </c>
      <c r="B1163" s="77" t="s">
        <v>974</v>
      </c>
      <c r="C1163" s="793">
        <v>4160115208</v>
      </c>
      <c r="D1163" s="77" t="s">
        <v>1014</v>
      </c>
      <c r="E1163" s="794" t="s">
        <v>640</v>
      </c>
      <c r="F1163" s="794" t="str">
        <f t="shared" si="88"/>
        <v>I</v>
      </c>
      <c r="G1163" s="28">
        <f>+IF(F1163="i",IFERROR(VLOOKUP(C1163,'BG 12.2024'!$B:$E,3,FALSE),0),0)</f>
        <v>0</v>
      </c>
      <c r="H1163" s="21">
        <f>+IF(F1163="i",IFERROR(VLOOKUP(C1163,'BG 12.2024'!$B:$E,4,FALSE),0),0)</f>
        <v>0</v>
      </c>
      <c r="I1163" s="616"/>
      <c r="J1163" s="28">
        <f>IF(F1163="I",IFERROR(VLOOKUP(C1163,'BG 12.2023'!$B$6:$E$746,3,FALSE),0),0)</f>
        <v>0</v>
      </c>
      <c r="K1163" s="28">
        <f>IF(F1163="I",IFERROR(VLOOKUP(C1163,'BG 12.2023'!$B$6:$E$746,4,FALSE),0),0)</f>
        <v>0</v>
      </c>
      <c r="M1163" s="15" t="e">
        <f>+VLOOKUP(C1163,'BG 2023'!$B:$E,1,0)</f>
        <v>#N/A</v>
      </c>
      <c r="N1163" s="806" t="e">
        <f>+VLOOKUP(C1163,'BG 2023'!$B:$E,3,0)</f>
        <v>#N/A</v>
      </c>
      <c r="O1163" s="807" t="e">
        <f t="shared" si="91"/>
        <v>#N/A</v>
      </c>
      <c r="P1163" s="807"/>
      <c r="R1163" s="807">
        <f>+IFERROR(VLOOKUP(C1163,'CA FE'!$A:$C,3,0),0)+G1163</f>
        <v>0</v>
      </c>
      <c r="S1163" s="87" t="s">
        <v>1008</v>
      </c>
    </row>
    <row r="1164" spans="1:19" s="87" customFormat="1">
      <c r="A1164" s="77" t="s">
        <v>286</v>
      </c>
      <c r="B1164" s="77" t="s">
        <v>974</v>
      </c>
      <c r="C1164" s="793">
        <v>4160115209</v>
      </c>
      <c r="D1164" s="77" t="s">
        <v>1015</v>
      </c>
      <c r="E1164" s="794" t="s">
        <v>640</v>
      </c>
      <c r="F1164" s="794" t="str">
        <f t="shared" si="88"/>
        <v>I</v>
      </c>
      <c r="G1164" s="28">
        <f>+IF(F1164="i",IFERROR(VLOOKUP(C1164,'BG 12.2024'!$B:$E,3,FALSE),0),0)</f>
        <v>0</v>
      </c>
      <c r="H1164" s="21">
        <f>+IF(F1164="i",IFERROR(VLOOKUP(C1164,'BG 12.2024'!$B:$E,4,FALSE),0),0)</f>
        <v>0</v>
      </c>
      <c r="I1164" s="616"/>
      <c r="J1164" s="28">
        <f>IF(F1164="I",IFERROR(VLOOKUP(C1164,'BG 12.2023'!$B$6:$E$746,3,FALSE),0),0)</f>
        <v>0</v>
      </c>
      <c r="K1164" s="28">
        <f>IF(F1164="I",IFERROR(VLOOKUP(C1164,'BG 12.2023'!$B$6:$E$746,4,FALSE),0),0)</f>
        <v>0</v>
      </c>
      <c r="M1164" s="15" t="e">
        <f>+VLOOKUP(C1164,'BG 2023'!$B:$E,1,0)</f>
        <v>#N/A</v>
      </c>
      <c r="N1164" s="806" t="e">
        <f>+VLOOKUP(C1164,'BG 2023'!$B:$E,3,0)</f>
        <v>#N/A</v>
      </c>
      <c r="O1164" s="807" t="e">
        <f t="shared" si="91"/>
        <v>#N/A</v>
      </c>
      <c r="P1164" s="807"/>
      <c r="R1164" s="807">
        <f>+IFERROR(VLOOKUP(C1164,'CA FE'!$A:$C,3,0),0)+G1164</f>
        <v>0</v>
      </c>
      <c r="S1164" s="87" t="s">
        <v>1008</v>
      </c>
    </row>
    <row r="1165" spans="1:19" s="87" customFormat="1">
      <c r="A1165" s="77" t="s">
        <v>286</v>
      </c>
      <c r="B1165" s="77"/>
      <c r="C1165" s="793">
        <v>41601153</v>
      </c>
      <c r="D1165" s="77" t="s">
        <v>363</v>
      </c>
      <c r="E1165" s="794" t="s">
        <v>640</v>
      </c>
      <c r="F1165" s="794" t="str">
        <f t="shared" si="88"/>
        <v>NI</v>
      </c>
      <c r="G1165" s="28">
        <f>+IF(F1165="i",IFERROR(VLOOKUP(C1165,'BG 12.2024'!$B:$E,3,FALSE),0),0)</f>
        <v>0</v>
      </c>
      <c r="H1165" s="21">
        <f>+IF(F1165="i",IFERROR(VLOOKUP(C1165,'BG 12.2024'!$B:$E,4,FALSE),0),0)</f>
        <v>0</v>
      </c>
      <c r="I1165" s="616"/>
      <c r="J1165" s="28">
        <f>IF(F1165="I",IFERROR(VLOOKUP(C1165,'BG 12.2023'!$B$6:$E$746,3,FALSE),0),0)</f>
        <v>0</v>
      </c>
      <c r="K1165" s="28">
        <f>IF(F1165="I",IFERROR(VLOOKUP(C1165,'BG 12.2023'!$B$6:$E$746,4,FALSE),0),0)</f>
        <v>0</v>
      </c>
      <c r="M1165" s="15">
        <f>+VLOOKUP(C1165,'BG 2023'!$B:$E,1,0)</f>
        <v>41601153</v>
      </c>
      <c r="N1165" s="806">
        <f>+VLOOKUP(C1165,'BG 2023'!$B:$E,3,0)</f>
        <v>150208710</v>
      </c>
      <c r="O1165" s="807">
        <f t="shared" si="91"/>
        <v>150208710</v>
      </c>
      <c r="P1165" s="807"/>
      <c r="R1165" s="807">
        <f>+IFERROR(VLOOKUP(C1165,'CA FE'!$A:$C,3,0),0)+G1165</f>
        <v>0</v>
      </c>
    </row>
    <row r="1166" spans="1:19" s="87" customFormat="1">
      <c r="A1166" s="77" t="s">
        <v>286</v>
      </c>
      <c r="B1166" s="77" t="s">
        <v>974</v>
      </c>
      <c r="C1166" s="793">
        <v>4160115301</v>
      </c>
      <c r="D1166" s="77" t="s">
        <v>364</v>
      </c>
      <c r="E1166" s="794" t="s">
        <v>640</v>
      </c>
      <c r="F1166" s="794" t="str">
        <f t="shared" si="88"/>
        <v>I</v>
      </c>
      <c r="G1166" s="28">
        <f>+IF(F1166="i",IFERROR(VLOOKUP(C1166,'BG 12.2024'!$B:$E,3,FALSE),0),0)</f>
        <v>78006595</v>
      </c>
      <c r="H1166" s="21">
        <f>+IF(F1166="i",IFERROR(VLOOKUP(C1166,'BG 12.2024'!$B:$E,4,FALSE),0),0)</f>
        <v>10489.35</v>
      </c>
      <c r="I1166" s="616"/>
      <c r="J1166" s="28">
        <f>IF(F1166="I",IFERROR(VLOOKUP(C1166,'BG 12.2023'!$B$6:$E$746,3,FALSE),0),0)</f>
        <v>94007166</v>
      </c>
      <c r="K1166" s="28">
        <f>IF(F1166="I",IFERROR(VLOOKUP(C1166,'BG 12.2023'!$B$6:$E$746,4,FALSE),0),0)</f>
        <v>12929.17</v>
      </c>
      <c r="M1166" s="15">
        <f>+VLOOKUP(C1166,'BG 2023'!$B:$E,1,0)</f>
        <v>4160115301</v>
      </c>
      <c r="N1166" s="806">
        <f>+VLOOKUP(C1166,'BG 2023'!$B:$E,3,0)</f>
        <v>94007166</v>
      </c>
      <c r="O1166" s="807">
        <f t="shared" si="91"/>
        <v>16000571</v>
      </c>
      <c r="P1166" s="807">
        <f>+VLOOKUP(C1166,'BG 12.2024'!$B$471:$E$866,4,0)-H1166</f>
        <v>0</v>
      </c>
      <c r="R1166" s="807">
        <f>+IFERROR(VLOOKUP(C1166,'CA FE'!$A:$C,3,0),0)+G1166</f>
        <v>0</v>
      </c>
      <c r="S1166" s="87" t="s">
        <v>1016</v>
      </c>
    </row>
    <row r="1167" spans="1:19" s="87" customFormat="1">
      <c r="A1167" s="77" t="s">
        <v>286</v>
      </c>
      <c r="B1167" s="77" t="s">
        <v>974</v>
      </c>
      <c r="C1167" s="793">
        <v>4160115302</v>
      </c>
      <c r="D1167" s="77" t="s">
        <v>365</v>
      </c>
      <c r="E1167" s="794" t="s">
        <v>640</v>
      </c>
      <c r="F1167" s="794" t="str">
        <f t="shared" si="88"/>
        <v>I</v>
      </c>
      <c r="G1167" s="28">
        <f>+IF(F1167="i",IFERROR(VLOOKUP(C1167,'BG 12.2024'!$B:$E,3,FALSE),0),0)</f>
        <v>12581280</v>
      </c>
      <c r="H1167" s="21">
        <f>+IF(F1167="i",IFERROR(VLOOKUP(C1167,'BG 12.2024'!$B:$E,4,FALSE),0),0)</f>
        <v>1693.13</v>
      </c>
      <c r="I1167" s="616"/>
      <c r="J1167" s="28">
        <f>IF(F1167="I",IFERROR(VLOOKUP(C1167,'BG 12.2023'!$B$6:$E$746,3,FALSE),0),0)</f>
        <v>56201544</v>
      </c>
      <c r="K1167" s="28">
        <f>IF(F1167="I",IFERROR(VLOOKUP(C1167,'BG 12.2023'!$B$6:$E$746,4,FALSE),0),0)</f>
        <v>7760</v>
      </c>
      <c r="M1167" s="15">
        <f>+VLOOKUP(C1167,'BG 2023'!$B:$E,1,0)</f>
        <v>4160115302</v>
      </c>
      <c r="N1167" s="806">
        <f>+VLOOKUP(C1167,'BG 2023'!$B:$E,3,0)</f>
        <v>56201544</v>
      </c>
      <c r="O1167" s="807">
        <f t="shared" si="91"/>
        <v>43620264</v>
      </c>
      <c r="P1167" s="807">
        <f>+VLOOKUP(C1167,'BG 12.2024'!$B$471:$E$866,4,0)-H1167</f>
        <v>0</v>
      </c>
      <c r="R1167" s="807">
        <f>+IFERROR(VLOOKUP(C1167,'CA FE'!$A:$C,3,0),0)+G1167</f>
        <v>0</v>
      </c>
      <c r="S1167" s="87" t="s">
        <v>1016</v>
      </c>
    </row>
    <row r="1168" spans="1:19" s="87" customFormat="1">
      <c r="A1168" s="77" t="s">
        <v>286</v>
      </c>
      <c r="B1168" s="77"/>
      <c r="C1168" s="793">
        <v>4160116</v>
      </c>
      <c r="D1168" s="77" t="s">
        <v>366</v>
      </c>
      <c r="E1168" s="794" t="s">
        <v>634</v>
      </c>
      <c r="F1168" s="794" t="str">
        <f t="shared" si="88"/>
        <v>NI</v>
      </c>
      <c r="G1168" s="28">
        <f>+IF(F1168="i",IFERROR(VLOOKUP(C1168,'BG 12.2024'!$B:$E,3,FALSE),0),0)</f>
        <v>0</v>
      </c>
      <c r="H1168" s="21">
        <f>+IF(F1168="i",IFERROR(VLOOKUP(C1168,'BG 12.2024'!$B:$E,4,FALSE),0),0)</f>
        <v>0</v>
      </c>
      <c r="I1168" s="616"/>
      <c r="J1168" s="28">
        <f>IF(F1168="I",IFERROR(VLOOKUP(C1168,'BG 12.2023'!$B$6:$E$746,3,FALSE),0),0)</f>
        <v>0</v>
      </c>
      <c r="K1168" s="28">
        <f>IF(F1168="I",IFERROR(VLOOKUP(C1168,'BG 12.2023'!$B$6:$E$746,4,FALSE),0),0)</f>
        <v>0</v>
      </c>
      <c r="M1168" s="15">
        <f>+VLOOKUP(C1168,'BG 2023'!$B:$E,1,0)</f>
        <v>4160116</v>
      </c>
      <c r="N1168" s="806">
        <f>+VLOOKUP(C1168,'BG 2023'!$B:$E,3,0)</f>
        <v>85922522</v>
      </c>
      <c r="O1168" s="807">
        <f t="shared" si="91"/>
        <v>85922522</v>
      </c>
      <c r="P1168" s="807"/>
      <c r="R1168" s="807">
        <f>+IFERROR(VLOOKUP(C1168,'CA FE'!$A:$C,3,0),0)+G1168</f>
        <v>0</v>
      </c>
    </row>
    <row r="1169" spans="1:19" s="87" customFormat="1">
      <c r="A1169" s="77" t="s">
        <v>286</v>
      </c>
      <c r="B1169" s="77"/>
      <c r="C1169" s="793">
        <v>41601161</v>
      </c>
      <c r="D1169" s="77" t="s">
        <v>367</v>
      </c>
      <c r="E1169" s="794" t="s">
        <v>634</v>
      </c>
      <c r="F1169" s="794" t="str">
        <f t="shared" si="88"/>
        <v>NI</v>
      </c>
      <c r="G1169" s="28">
        <f>+IF(F1169="i",IFERROR(VLOOKUP(C1169,'BG 12.2024'!$B:$E,3,FALSE),0),0)</f>
        <v>0</v>
      </c>
      <c r="H1169" s="21">
        <f>+IF(F1169="i",IFERROR(VLOOKUP(C1169,'BG 12.2024'!$B:$E,4,FALSE),0),0)</f>
        <v>0</v>
      </c>
      <c r="I1169" s="616"/>
      <c r="J1169" s="28">
        <f>IF(F1169="I",IFERROR(VLOOKUP(C1169,'BG 12.2023'!$B$6:$E$746,3,FALSE),0),0)</f>
        <v>0</v>
      </c>
      <c r="K1169" s="28">
        <f>IF(F1169="I",IFERROR(VLOOKUP(C1169,'BG 12.2023'!$B$6:$E$746,4,FALSE),0),0)</f>
        <v>0</v>
      </c>
      <c r="M1169" s="15">
        <f>+VLOOKUP(C1169,'BG 2023'!$B:$E,1,0)</f>
        <v>41601161</v>
      </c>
      <c r="N1169" s="806">
        <f>+VLOOKUP(C1169,'BG 2023'!$B:$E,3,0)</f>
        <v>83030564</v>
      </c>
      <c r="O1169" s="807">
        <f t="shared" si="91"/>
        <v>83030564</v>
      </c>
      <c r="P1169" s="807"/>
      <c r="R1169" s="807">
        <f>+IFERROR(VLOOKUP(C1169,'CA FE'!$A:$C,3,0),0)+G1169</f>
        <v>0</v>
      </c>
    </row>
    <row r="1170" spans="1:19" s="87" customFormat="1">
      <c r="A1170" s="77" t="s">
        <v>286</v>
      </c>
      <c r="B1170" s="77" t="s">
        <v>974</v>
      </c>
      <c r="C1170" s="793">
        <v>4160116101</v>
      </c>
      <c r="D1170" s="77" t="s">
        <v>368</v>
      </c>
      <c r="E1170" s="794" t="s">
        <v>634</v>
      </c>
      <c r="F1170" s="794" t="str">
        <f t="shared" si="88"/>
        <v>I</v>
      </c>
      <c r="G1170" s="28">
        <f>+IF(F1170="i",IFERROR(VLOOKUP(C1170,'BG 12.2024'!$B:$E,3,FALSE),0),0)</f>
        <v>6311501</v>
      </c>
      <c r="H1170" s="21">
        <f>+IF(F1170="i",IFERROR(VLOOKUP(C1170,'BG 12.2024'!$B:$E,4,FALSE),0),0)</f>
        <v>804.7399999999999</v>
      </c>
      <c r="I1170" s="616"/>
      <c r="J1170" s="28">
        <f>IF(F1170="I",IFERROR(VLOOKUP(C1170,'BG 12.2023'!$B$6:$E$746,3,FALSE),0),0)</f>
        <v>2220142</v>
      </c>
      <c r="K1170" s="28">
        <f>IF(F1170="I",IFERROR(VLOOKUP(C1170,'BG 12.2023'!$B$6:$E$746,4,FALSE),0),0)</f>
        <v>305.08999999999997</v>
      </c>
      <c r="M1170" s="15">
        <f>+VLOOKUP(C1170,'BG 2023'!$B:$E,1,0)</f>
        <v>4160116101</v>
      </c>
      <c r="N1170" s="806">
        <f>+VLOOKUP(C1170,'BG 2023'!$B:$E,3,0)</f>
        <v>2220142</v>
      </c>
      <c r="O1170" s="807">
        <f t="shared" si="91"/>
        <v>-4091359</v>
      </c>
      <c r="P1170" s="807">
        <f>+VLOOKUP(C1170,'BG 12.2024'!$B$471:$E$866,4,0)-H1170</f>
        <v>0</v>
      </c>
      <c r="R1170" s="807">
        <f>+IFERROR(VLOOKUP(C1170,'CA FE'!$A:$C,3,0),0)+G1170</f>
        <v>0</v>
      </c>
      <c r="S1170" s="87" t="s">
        <v>1017</v>
      </c>
    </row>
    <row r="1171" spans="1:19" s="87" customFormat="1">
      <c r="A1171" s="77" t="s">
        <v>286</v>
      </c>
      <c r="B1171" s="77" t="s">
        <v>974</v>
      </c>
      <c r="C1171" s="793">
        <v>4160116102</v>
      </c>
      <c r="D1171" s="77" t="s">
        <v>369</v>
      </c>
      <c r="E1171" s="794" t="s">
        <v>634</v>
      </c>
      <c r="F1171" s="794" t="str">
        <f t="shared" si="88"/>
        <v>I</v>
      </c>
      <c r="G1171" s="28">
        <f>+IF(F1171="i",IFERROR(VLOOKUP(C1171,'BG 12.2024'!$B:$E,3,FALSE),0),0)</f>
        <v>14141656</v>
      </c>
      <c r="H1171" s="21">
        <f>+IF(F1171="i",IFERROR(VLOOKUP(C1171,'BG 12.2024'!$B:$E,4,FALSE),0),0)</f>
        <v>1845.4899999999998</v>
      </c>
      <c r="I1171" s="616"/>
      <c r="J1171" s="28">
        <f>IF(F1171="I",IFERROR(VLOOKUP(C1171,'BG 12.2023'!$B$6:$E$746,3,FALSE),0),0)</f>
        <v>1500645</v>
      </c>
      <c r="K1171" s="28">
        <f>IF(F1171="I",IFERROR(VLOOKUP(C1171,'BG 12.2023'!$B$6:$E$746,4,FALSE),0),0)</f>
        <v>206.70000000000005</v>
      </c>
      <c r="M1171" s="15">
        <f>+VLOOKUP(C1171,'BG 2023'!$B:$E,1,0)</f>
        <v>4160116102</v>
      </c>
      <c r="N1171" s="806">
        <f>+VLOOKUP(C1171,'BG 2023'!$B:$E,3,0)</f>
        <v>1500645</v>
      </c>
      <c r="O1171" s="807">
        <f t="shared" si="91"/>
        <v>-12641011</v>
      </c>
      <c r="P1171" s="807">
        <f>+VLOOKUP(C1171,'BG 12.2024'!$B$471:$E$866,4,0)-H1171</f>
        <v>0</v>
      </c>
      <c r="R1171" s="807">
        <f>+IFERROR(VLOOKUP(C1171,'CA FE'!$A:$C,3,0),0)+G1171</f>
        <v>0</v>
      </c>
      <c r="S1171" s="87" t="s">
        <v>1017</v>
      </c>
    </row>
    <row r="1172" spans="1:19" s="87" customFormat="1">
      <c r="A1172" s="77" t="s">
        <v>286</v>
      </c>
      <c r="B1172" s="77" t="s">
        <v>945</v>
      </c>
      <c r="C1172" s="793">
        <v>4160116103</v>
      </c>
      <c r="D1172" s="77" t="s">
        <v>370</v>
      </c>
      <c r="E1172" s="794" t="s">
        <v>634</v>
      </c>
      <c r="F1172" s="794" t="str">
        <f t="shared" si="88"/>
        <v>I</v>
      </c>
      <c r="G1172" s="1097">
        <f>+IF(F1172="i",IFERROR(VLOOKUP(C1172,'BG 12.2024'!$B:$E,3,FALSE),0),0)</f>
        <v>21775989</v>
      </c>
      <c r="H1172" s="21">
        <f>+IF(F1172="i",IFERROR(VLOOKUP(C1172,'BG 12.2024'!$B:$E,4,FALSE),0),0)</f>
        <v>2885.0800000000017</v>
      </c>
      <c r="I1172" s="616"/>
      <c r="J1172" s="1256">
        <f>IF(F1172="I",IFERROR(VLOOKUP(C1172,'BG 12.2023'!$B$6:$E$746,3,FALSE),0),0)</f>
        <v>74656840</v>
      </c>
      <c r="K1172" s="28">
        <f>IF(F1172="I",IFERROR(VLOOKUP(C1172,'BG 12.2023'!$B$6:$E$746,4,FALSE),0),0)</f>
        <v>10279.149999999998</v>
      </c>
      <c r="M1172" s="15">
        <f>+VLOOKUP(C1172,'BG 2023'!$B:$E,1,0)</f>
        <v>4160116103</v>
      </c>
      <c r="N1172" s="806">
        <f>+VLOOKUP(C1172,'BG 2023'!$B:$E,3,0)</f>
        <v>74656840</v>
      </c>
      <c r="O1172" s="807">
        <f t="shared" si="91"/>
        <v>52880851</v>
      </c>
      <c r="P1172" s="807">
        <f>+VLOOKUP(C1172,'BG 12.2024'!$B$471:$E$866,4,0)-H1172</f>
        <v>0</v>
      </c>
      <c r="R1172" s="807">
        <f>+IFERROR(VLOOKUP(C1172,'CA FE'!$A:$C,3,0),0)+G1172</f>
        <v>0</v>
      </c>
    </row>
    <row r="1173" spans="1:19" s="87" customFormat="1">
      <c r="A1173" s="77" t="s">
        <v>286</v>
      </c>
      <c r="B1173" s="77" t="s">
        <v>945</v>
      </c>
      <c r="C1173" s="793">
        <v>4160116104</v>
      </c>
      <c r="D1173" s="77" t="s">
        <v>371</v>
      </c>
      <c r="E1173" s="794" t="s">
        <v>634</v>
      </c>
      <c r="F1173" s="794" t="str">
        <f t="shared" si="88"/>
        <v>I</v>
      </c>
      <c r="G1173" s="1097">
        <f>+IF(F1173="i",IFERROR(VLOOKUP(C1173,'BG 12.2024'!$B:$E,3,FALSE),0),0)</f>
        <v>1506384</v>
      </c>
      <c r="H1173" s="21">
        <f>+IF(F1173="i",IFERROR(VLOOKUP(C1173,'BG 12.2024'!$B:$E,4,FALSE),0),0)</f>
        <v>193.21</v>
      </c>
      <c r="I1173" s="616"/>
      <c r="J1173" s="1256">
        <f>IF(F1173="I",IFERROR(VLOOKUP(C1173,'BG 12.2023'!$B$6:$E$746,3,FALSE),0),0)</f>
        <v>382960</v>
      </c>
      <c r="K1173" s="28">
        <f>IF(F1173="I",IFERROR(VLOOKUP(C1173,'BG 12.2023'!$B$6:$E$746,4,FALSE),0),0)</f>
        <v>52.42</v>
      </c>
      <c r="M1173" s="15">
        <f>+VLOOKUP(C1173,'BG 2023'!$B:$E,1,0)</f>
        <v>4160116104</v>
      </c>
      <c r="N1173" s="806">
        <f>+VLOOKUP(C1173,'BG 2023'!$B:$E,3,0)</f>
        <v>382960</v>
      </c>
      <c r="O1173" s="807">
        <f t="shared" si="91"/>
        <v>-1123424</v>
      </c>
      <c r="P1173" s="807"/>
      <c r="R1173" s="807">
        <f>+IFERROR(VLOOKUP(C1173,'CA FE'!$A:$C,3,0),0)+G1173</f>
        <v>0</v>
      </c>
    </row>
    <row r="1174" spans="1:19" s="87" customFormat="1">
      <c r="A1174" s="77" t="s">
        <v>286</v>
      </c>
      <c r="B1174" s="77" t="s">
        <v>974</v>
      </c>
      <c r="C1174" s="793">
        <v>4160116105</v>
      </c>
      <c r="D1174" s="77" t="s">
        <v>372</v>
      </c>
      <c r="E1174" s="794" t="s">
        <v>634</v>
      </c>
      <c r="F1174" s="794" t="str">
        <f t="shared" ref="F1174" si="94">+IF(LEN(C1174)&gt;8,"I","NI")</f>
        <v>I</v>
      </c>
      <c r="G1174" s="28">
        <f>+IF(F1174="i",IFERROR(VLOOKUP(C1174,'BG 12.2024'!$B:$E,3,FALSE),0),0)</f>
        <v>3140978</v>
      </c>
      <c r="H1174" s="21">
        <f>+IF(F1174="i",IFERROR(VLOOKUP(C1174,'BG 12.2024'!$B:$E,4,FALSE),0),0)</f>
        <v>406.14</v>
      </c>
      <c r="I1174" s="616"/>
      <c r="J1174" s="28">
        <f>IF(F1174="I",IFERROR(VLOOKUP(C1174,'BG 12.2023'!$B$6:$E$746,3,FALSE),0),0)</f>
        <v>3661920</v>
      </c>
      <c r="K1174" s="28">
        <f>IF(F1174="I",IFERROR(VLOOKUP(C1174,'BG 12.2023'!$B$6:$E$746,4,FALSE),0),0)</f>
        <v>505.97</v>
      </c>
      <c r="M1174" s="15">
        <f>+VLOOKUP(C1174,'BG 2023'!$B:$E,1,0)</f>
        <v>4160116105</v>
      </c>
      <c r="N1174" s="806">
        <f>+VLOOKUP(C1174,'BG 2023'!$B:$E,3,0)</f>
        <v>3661920</v>
      </c>
      <c r="O1174" s="807">
        <f t="shared" si="91"/>
        <v>520942</v>
      </c>
      <c r="P1174" s="807">
        <f>+VLOOKUP(C1174,'BG 12.2024'!$B$471:$E$866,4,0)-H1174</f>
        <v>0</v>
      </c>
      <c r="R1174" s="807">
        <f>+IFERROR(VLOOKUP(C1174,'CA FE'!$A:$C,3,0),0)+G1174</f>
        <v>0</v>
      </c>
      <c r="S1174" s="87" t="s">
        <v>1017</v>
      </c>
    </row>
    <row r="1175" spans="1:19" s="87" customFormat="1">
      <c r="A1175" s="77" t="s">
        <v>286</v>
      </c>
      <c r="B1175" s="77" t="s">
        <v>945</v>
      </c>
      <c r="C1175" s="793">
        <v>4160116106</v>
      </c>
      <c r="D1175" s="77" t="s">
        <v>1018</v>
      </c>
      <c r="E1175" s="794" t="s">
        <v>634</v>
      </c>
      <c r="F1175" s="794" t="str">
        <f t="shared" si="88"/>
        <v>I</v>
      </c>
      <c r="G1175" s="28">
        <f>+IF(F1175="i",IFERROR(VLOOKUP(C1175,'BG 12.2024'!$B:$E,3,FALSE),0),0)</f>
        <v>34292000</v>
      </c>
      <c r="H1175" s="21">
        <f>+IF(F1175="i",IFERROR(VLOOKUP(C1175,'BG 12.2024'!$B:$E,4,FALSE),0),0)</f>
        <v>4380.0200000000004</v>
      </c>
      <c r="I1175" s="616"/>
      <c r="J1175" s="28">
        <f>IF(F1175="I",IFERROR(VLOOKUP(C1175,'BG 12.2023'!$B$6:$E$746,3,FALSE),0),0)</f>
        <v>0</v>
      </c>
      <c r="K1175" s="28">
        <f>IF(F1175="I",IFERROR(VLOOKUP(C1175,'BG 12.2023'!$B$6:$E$746,4,FALSE),0),0)</f>
        <v>0</v>
      </c>
      <c r="M1175" s="15" t="e">
        <f>+VLOOKUP(C1175,'BG 2023'!$B:$E,1,0)</f>
        <v>#N/A</v>
      </c>
      <c r="N1175" s="806" t="e">
        <f>+VLOOKUP(C1175,'BG 2023'!$B:$E,3,0)</f>
        <v>#N/A</v>
      </c>
      <c r="O1175" s="807" t="e">
        <f t="shared" si="91"/>
        <v>#N/A</v>
      </c>
      <c r="P1175" s="807"/>
      <c r="R1175" s="807">
        <f>+IFERROR(VLOOKUP(C1175,'CA FE'!$A:$C,3,0),0)+G1175</f>
        <v>0</v>
      </c>
    </row>
    <row r="1176" spans="1:19" s="87" customFormat="1">
      <c r="A1176" s="77" t="s">
        <v>286</v>
      </c>
      <c r="B1176" s="77" t="s">
        <v>974</v>
      </c>
      <c r="C1176" s="793">
        <v>4160116107</v>
      </c>
      <c r="D1176" s="77" t="s">
        <v>1019</v>
      </c>
      <c r="E1176" s="794" t="s">
        <v>634</v>
      </c>
      <c r="F1176" s="794" t="str">
        <f t="shared" si="88"/>
        <v>I</v>
      </c>
      <c r="G1176" s="28">
        <f>+IF(F1176="i",IFERROR(VLOOKUP(C1176,'BG 12.2024'!$B:$E,3,FALSE),0),0)</f>
        <v>0</v>
      </c>
      <c r="H1176" s="21">
        <f>+IF(F1176="i",IFERROR(VLOOKUP(C1176,'BG 12.2024'!$B:$E,4,FALSE),0),0)</f>
        <v>0</v>
      </c>
      <c r="I1176" s="616"/>
      <c r="J1176" s="28">
        <f>IF(F1176="I",IFERROR(VLOOKUP(C1176,'BG 12.2023'!$B$6:$E$746,3,FALSE),0),0)</f>
        <v>0</v>
      </c>
      <c r="K1176" s="28">
        <f>IF(F1176="I",IFERROR(VLOOKUP(C1176,'BG 12.2023'!$B$6:$E$746,4,FALSE),0),0)</f>
        <v>0</v>
      </c>
      <c r="M1176" s="15" t="e">
        <f>+VLOOKUP(C1176,'BG 2023'!$B:$E,1,0)</f>
        <v>#N/A</v>
      </c>
      <c r="N1176" s="806" t="e">
        <f>+VLOOKUP(C1176,'BG 2023'!$B:$E,3,0)</f>
        <v>#N/A</v>
      </c>
      <c r="O1176" s="807" t="e">
        <f t="shared" si="91"/>
        <v>#N/A</v>
      </c>
      <c r="P1176" s="807"/>
      <c r="R1176" s="807">
        <f>+IFERROR(VLOOKUP(C1176,'CA FE'!$A:$C,3,0),0)+G1176</f>
        <v>0</v>
      </c>
      <c r="S1176" s="87" t="s">
        <v>1017</v>
      </c>
    </row>
    <row r="1177" spans="1:19" s="87" customFormat="1">
      <c r="A1177" s="77" t="s">
        <v>286</v>
      </c>
      <c r="B1177" s="77" t="s">
        <v>974</v>
      </c>
      <c r="C1177" s="793">
        <v>4160116108</v>
      </c>
      <c r="D1177" s="77" t="s">
        <v>1020</v>
      </c>
      <c r="E1177" s="794" t="s">
        <v>634</v>
      </c>
      <c r="F1177" s="794" t="str">
        <f t="shared" si="88"/>
        <v>I</v>
      </c>
      <c r="G1177" s="28">
        <f>+IF(F1177="i",IFERROR(VLOOKUP(C1177,'BG 12.2024'!$B:$E,3,FALSE),0),0)</f>
        <v>0</v>
      </c>
      <c r="H1177" s="21">
        <f>+IF(F1177="i",IFERROR(VLOOKUP(C1177,'BG 12.2024'!$B:$E,4,FALSE),0),0)</f>
        <v>0</v>
      </c>
      <c r="I1177" s="616"/>
      <c r="J1177" s="28">
        <f>IF(F1177="I",IFERROR(VLOOKUP(C1177,'BG 12.2023'!$B$6:$E$746,3,FALSE),0),0)</f>
        <v>0</v>
      </c>
      <c r="K1177" s="28">
        <f>IF(F1177="I",IFERROR(VLOOKUP(C1177,'BG 12.2023'!$B$6:$E$746,4,FALSE),0),0)</f>
        <v>0</v>
      </c>
      <c r="M1177" s="15" t="e">
        <f>+VLOOKUP(C1177,'BG 2023'!$B:$E,1,0)</f>
        <v>#N/A</v>
      </c>
      <c r="N1177" s="806" t="e">
        <f>+VLOOKUP(C1177,'BG 2023'!$B:$E,3,0)</f>
        <v>#N/A</v>
      </c>
      <c r="O1177" s="807" t="e">
        <f t="shared" si="91"/>
        <v>#N/A</v>
      </c>
      <c r="P1177" s="807"/>
      <c r="R1177" s="807">
        <f>+IFERROR(VLOOKUP(C1177,'CA FE'!$A:$C,3,0),0)+G1177</f>
        <v>0</v>
      </c>
      <c r="S1177" s="87" t="s">
        <v>1017</v>
      </c>
    </row>
    <row r="1178" spans="1:19" s="87" customFormat="1">
      <c r="A1178" s="77" t="s">
        <v>286</v>
      </c>
      <c r="B1178" s="77" t="s">
        <v>945</v>
      </c>
      <c r="C1178" s="793">
        <v>4160116109</v>
      </c>
      <c r="D1178" s="77" t="s">
        <v>373</v>
      </c>
      <c r="E1178" s="794" t="s">
        <v>634</v>
      </c>
      <c r="F1178" s="794" t="str">
        <f t="shared" ref="F1178" si="95">+IF(LEN(C1178)&gt;8,"I","NI")</f>
        <v>I</v>
      </c>
      <c r="G1178" s="1097">
        <f>+IF(F1178="i",IFERROR(VLOOKUP(C1178,'BG 12.2024'!$B:$E,3,FALSE),0),0)</f>
        <v>51133</v>
      </c>
      <c r="H1178" s="21">
        <f>+IF(F1178="i",IFERROR(VLOOKUP(C1178,'BG 12.2024'!$B:$E,4,FALSE),0),0)</f>
        <v>6.87</v>
      </c>
      <c r="I1178" s="616"/>
      <c r="J1178" s="1256">
        <f>IF(F1178="I",IFERROR(VLOOKUP(C1178,'BG 12.2023'!$B$6:$E$746,3,FALSE),0),0)</f>
        <v>608057</v>
      </c>
      <c r="K1178" s="28">
        <f>IF(F1178="I",IFERROR(VLOOKUP(C1178,'BG 12.2023'!$B$6:$E$746,4,FALSE),0),0)</f>
        <v>83.33</v>
      </c>
      <c r="M1178" s="15">
        <f>+VLOOKUP(C1178,'BG 2023'!$B:$E,1,0)</f>
        <v>4160116109</v>
      </c>
      <c r="N1178" s="806">
        <f>+VLOOKUP(C1178,'BG 2023'!$B:$E,3,0)</f>
        <v>608057</v>
      </c>
      <c r="O1178" s="807">
        <f t="shared" si="91"/>
        <v>556924</v>
      </c>
      <c r="P1178" s="807">
        <f>+VLOOKUP(C1178,'BG 12.2024'!$B$471:$E$866,4,0)-H1178</f>
        <v>0</v>
      </c>
      <c r="R1178" s="807">
        <f>+IFERROR(VLOOKUP(C1178,'CA FE'!$A:$C,3,0),0)+G1178</f>
        <v>0</v>
      </c>
    </row>
    <row r="1179" spans="1:19" s="87" customFormat="1">
      <c r="A1179" s="77" t="s">
        <v>286</v>
      </c>
      <c r="B1179" s="77"/>
      <c r="C1179" s="793">
        <v>41601162</v>
      </c>
      <c r="D1179" s="77" t="s">
        <v>374</v>
      </c>
      <c r="E1179" s="794" t="s">
        <v>640</v>
      </c>
      <c r="F1179" s="794" t="str">
        <f t="shared" si="88"/>
        <v>NI</v>
      </c>
      <c r="G1179" s="28">
        <f>+IF(F1179="i",IFERROR(VLOOKUP(C1179,'BG 12.2024'!$B:$E,3,FALSE),0),0)</f>
        <v>0</v>
      </c>
      <c r="H1179" s="21">
        <f>+IF(F1179="i",IFERROR(VLOOKUP(C1179,'BG 12.2024'!$B:$E,4,FALSE),0),0)</f>
        <v>0</v>
      </c>
      <c r="I1179" s="616"/>
      <c r="J1179" s="28">
        <f>IF(F1179="I",IFERROR(VLOOKUP(C1179,'BG 12.2023'!$B$6:$E$746,3,FALSE),0),0)</f>
        <v>0</v>
      </c>
      <c r="K1179" s="28">
        <f>IF(F1179="I",IFERROR(VLOOKUP(C1179,'BG 12.2023'!$B$6:$E$746,4,FALSE),0),0)</f>
        <v>0</v>
      </c>
      <c r="M1179" s="15">
        <f>+VLOOKUP(C1179,'BG 2023'!$B:$E,1,0)</f>
        <v>41601162</v>
      </c>
      <c r="N1179" s="806">
        <f>+VLOOKUP(C1179,'BG 2023'!$B:$E,3,0)</f>
        <v>2891958</v>
      </c>
      <c r="O1179" s="807">
        <f t="shared" si="91"/>
        <v>2891958</v>
      </c>
      <c r="P1179" s="807"/>
      <c r="R1179" s="807">
        <f>+IFERROR(VLOOKUP(C1179,'CA FE'!$A:$C,3,0),0)+G1179</f>
        <v>0</v>
      </c>
    </row>
    <row r="1180" spans="1:19" s="87" customFormat="1">
      <c r="A1180" s="77" t="s">
        <v>286</v>
      </c>
      <c r="B1180" s="77" t="s">
        <v>974</v>
      </c>
      <c r="C1180" s="793">
        <v>4160116201</v>
      </c>
      <c r="D1180" s="77" t="s">
        <v>375</v>
      </c>
      <c r="E1180" s="794" t="s">
        <v>640</v>
      </c>
      <c r="F1180" s="794" t="str">
        <f t="shared" si="88"/>
        <v>I</v>
      </c>
      <c r="G1180" s="28">
        <f>+IF(F1180="i",IFERROR(VLOOKUP(C1180,'BG 12.2024'!$B:$E,3,FALSE),0),0)</f>
        <v>7428680</v>
      </c>
      <c r="H1180" s="21">
        <f>+IF(F1180="i",IFERROR(VLOOKUP(C1180,'BG 12.2024'!$B:$E,4,FALSE),0),0)</f>
        <v>963.22</v>
      </c>
      <c r="I1180" s="616"/>
      <c r="J1180" s="28">
        <f>IF(F1180="I",IFERROR(VLOOKUP(C1180,'BG 12.2023'!$B$6:$E$746,3,FALSE),0),0)</f>
        <v>1570925</v>
      </c>
      <c r="K1180" s="28">
        <f>IF(F1180="I",IFERROR(VLOOKUP(C1180,'BG 12.2023'!$B$6:$E$746,4,FALSE),0),0)</f>
        <v>215.38</v>
      </c>
      <c r="M1180" s="15">
        <f>+VLOOKUP(C1180,'BG 2023'!$B:$E,1,0)</f>
        <v>4160116201</v>
      </c>
      <c r="N1180" s="806">
        <f>+VLOOKUP(C1180,'BG 2023'!$B:$E,3,0)</f>
        <v>1570925</v>
      </c>
      <c r="O1180" s="807">
        <f t="shared" si="91"/>
        <v>-5857755</v>
      </c>
      <c r="P1180" s="807">
        <f>+VLOOKUP(C1180,'BG 12.2024'!$B$471:$E$866,4,0)-H1180</f>
        <v>0</v>
      </c>
      <c r="R1180" s="807">
        <f>+IFERROR(VLOOKUP(C1180,'CA FE'!$A:$C,3,0),0)+G1180</f>
        <v>0</v>
      </c>
      <c r="S1180" s="87" t="s">
        <v>1017</v>
      </c>
    </row>
    <row r="1181" spans="1:19" s="87" customFormat="1">
      <c r="A1181" s="77" t="s">
        <v>286</v>
      </c>
      <c r="B1181" s="77" t="s">
        <v>974</v>
      </c>
      <c r="C1181" s="793">
        <v>4160116202</v>
      </c>
      <c r="D1181" s="77" t="s">
        <v>376</v>
      </c>
      <c r="E1181" s="794" t="s">
        <v>640</v>
      </c>
      <c r="F1181" s="794" t="str">
        <f t="shared" si="88"/>
        <v>I</v>
      </c>
      <c r="G1181" s="28">
        <f>+IF(F1181="i",IFERROR(VLOOKUP(C1181,'BG 12.2024'!$B:$E,3,FALSE),0),0)</f>
        <v>6224533</v>
      </c>
      <c r="H1181" s="21">
        <f>+IF(F1181="i",IFERROR(VLOOKUP(C1181,'BG 12.2024'!$B:$E,4,FALSE),0),0)</f>
        <v>802.51</v>
      </c>
      <c r="I1181" s="616"/>
      <c r="J1181" s="28">
        <f>IF(F1181="I",IFERROR(VLOOKUP(C1181,'BG 12.2023'!$B$6:$E$746,3,FALSE),0),0)</f>
        <v>1320660</v>
      </c>
      <c r="K1181" s="28">
        <f>IF(F1181="I",IFERROR(VLOOKUP(C1181,'BG 12.2023'!$B$6:$E$746,4,FALSE),0),0)</f>
        <v>180.89</v>
      </c>
      <c r="M1181" s="15">
        <f>+VLOOKUP(C1181,'BG 2023'!$B:$E,1,0)</f>
        <v>4160116202</v>
      </c>
      <c r="N1181" s="806">
        <f>+VLOOKUP(C1181,'BG 2023'!$B:$E,3,0)</f>
        <v>1320660</v>
      </c>
      <c r="O1181" s="807">
        <f t="shared" si="91"/>
        <v>-4903873</v>
      </c>
      <c r="P1181" s="807">
        <f>+VLOOKUP(C1181,'BG 12.2024'!$B$471:$E$866,4,0)-H1181</f>
        <v>0</v>
      </c>
      <c r="R1181" s="807">
        <f>+IFERROR(VLOOKUP(C1181,'CA FE'!$A:$C,3,0),0)+G1181</f>
        <v>0</v>
      </c>
      <c r="S1181" s="87" t="s">
        <v>1017</v>
      </c>
    </row>
    <row r="1182" spans="1:19" s="87" customFormat="1">
      <c r="A1182" s="77" t="s">
        <v>286</v>
      </c>
      <c r="B1182" s="77" t="s">
        <v>945</v>
      </c>
      <c r="C1182" s="793">
        <v>4160116203</v>
      </c>
      <c r="D1182" s="77" t="s">
        <v>377</v>
      </c>
      <c r="E1182" s="794" t="s">
        <v>640</v>
      </c>
      <c r="F1182" s="794" t="str">
        <f t="shared" ref="F1182" si="96">+IF(LEN(C1182)&gt;8,"I","NI")</f>
        <v>I</v>
      </c>
      <c r="G1182" s="1097">
        <f>+IF(F1182="i",IFERROR(VLOOKUP(C1182,'BG 12.2024'!$B:$E,3,FALSE),0),0)</f>
        <v>316087</v>
      </c>
      <c r="H1182" s="21">
        <f>+IF(F1182="i",IFERROR(VLOOKUP(C1182,'BG 12.2024'!$B:$E,4,FALSE),0),0)</f>
        <v>43.44</v>
      </c>
      <c r="I1182" s="616"/>
      <c r="J1182" s="28">
        <f>IF(F1182="I",IFERROR(VLOOKUP(C1182,'BG 12.2023'!$B$6:$E$746,3,FALSE),0),0)</f>
        <v>373</v>
      </c>
      <c r="K1182" s="28">
        <f>IF(F1182="I",IFERROR(VLOOKUP(C1182,'BG 12.2023'!$B$6:$E$746,4,FALSE),0),0)</f>
        <v>0.05</v>
      </c>
      <c r="M1182" s="15"/>
      <c r="N1182" s="806"/>
      <c r="O1182" s="807"/>
      <c r="P1182" s="807">
        <f>+VLOOKUP(C1182,'BG 12.2024'!$B$471:$E$866,4,0)-H1182</f>
        <v>0</v>
      </c>
      <c r="R1182" s="807">
        <f>+IFERROR(VLOOKUP(C1182,'CA FE'!$A:$C,3,0),0)+G1182</f>
        <v>0</v>
      </c>
      <c r="S1182" s="87" t="s">
        <v>1017</v>
      </c>
    </row>
    <row r="1183" spans="1:19" s="87" customFormat="1">
      <c r="A1183" s="77" t="s">
        <v>286</v>
      </c>
      <c r="B1183" s="77" t="s">
        <v>945</v>
      </c>
      <c r="C1183" s="793">
        <v>4160116206</v>
      </c>
      <c r="D1183" s="77" t="s">
        <v>1021</v>
      </c>
      <c r="E1183" s="794" t="s">
        <v>640</v>
      </c>
      <c r="F1183" s="794" t="str">
        <f t="shared" si="88"/>
        <v>I</v>
      </c>
      <c r="G1183" s="28">
        <f>+IF(F1183="i",IFERROR(VLOOKUP(C1183,'BG 12.2024'!$B:$E,3,FALSE),0),0)</f>
        <v>10432396</v>
      </c>
      <c r="H1183" s="21">
        <f>+IF(F1183="i",IFERROR(VLOOKUP(C1183,'BG 12.2024'!$B:$E,4,FALSE),0),0)</f>
        <v>1335</v>
      </c>
      <c r="I1183" s="616"/>
      <c r="J1183" s="28">
        <f>IF(F1183="I",IFERROR(VLOOKUP(C1183,'BG 12.2023'!$B$6:$E$746,3,FALSE),0),0)</f>
        <v>0</v>
      </c>
      <c r="K1183" s="28">
        <f>IF(F1183="I",IFERROR(VLOOKUP(C1183,'BG 12.2023'!$B$6:$E$746,4,FALSE),0),0)</f>
        <v>0</v>
      </c>
      <c r="M1183" s="15" t="e">
        <f>+VLOOKUP(C1183,'BG 2023'!$B:$E,1,0)</f>
        <v>#N/A</v>
      </c>
      <c r="N1183" s="806" t="e">
        <f>+VLOOKUP(C1183,'BG 2023'!$B:$E,3,0)</f>
        <v>#N/A</v>
      </c>
      <c r="O1183" s="807" t="e">
        <f t="shared" si="91"/>
        <v>#N/A</v>
      </c>
      <c r="P1183" s="807"/>
      <c r="R1183" s="807">
        <f>+IFERROR(VLOOKUP(C1183,'CA FE'!$A:$C,3,0),0)+G1183</f>
        <v>0</v>
      </c>
      <c r="S1183" s="87" t="s">
        <v>1017</v>
      </c>
    </row>
    <row r="1184" spans="1:19" s="87" customFormat="1">
      <c r="A1184" s="77" t="s">
        <v>286</v>
      </c>
      <c r="B1184" s="77" t="s">
        <v>974</v>
      </c>
      <c r="C1184" s="793">
        <v>4160116207</v>
      </c>
      <c r="D1184" s="77" t="s">
        <v>1022</v>
      </c>
      <c r="E1184" s="794" t="s">
        <v>640</v>
      </c>
      <c r="F1184" s="794" t="str">
        <f t="shared" si="88"/>
        <v>I</v>
      </c>
      <c r="G1184" s="28">
        <f>+IF(F1184="i",IFERROR(VLOOKUP(C1184,'BG 12.2024'!$B:$E,3,FALSE),0),0)</f>
        <v>0</v>
      </c>
      <c r="H1184" s="21">
        <f>+IF(F1184="i",IFERROR(VLOOKUP(C1184,'BG 12.2024'!$B:$E,4,FALSE),0),0)</f>
        <v>0</v>
      </c>
      <c r="I1184" s="616"/>
      <c r="J1184" s="28">
        <f>IF(F1184="I",IFERROR(VLOOKUP(C1184,'BG 12.2023'!$B$6:$E$746,3,FALSE),0),0)</f>
        <v>0</v>
      </c>
      <c r="K1184" s="28">
        <f>IF(F1184="I",IFERROR(VLOOKUP(C1184,'BG 12.2023'!$B$6:$E$746,4,FALSE),0),0)</f>
        <v>0</v>
      </c>
      <c r="M1184" s="15" t="e">
        <f>+VLOOKUP(C1184,'BG 2023'!$B:$E,1,0)</f>
        <v>#N/A</v>
      </c>
      <c r="N1184" s="806" t="e">
        <f>+VLOOKUP(C1184,'BG 2023'!$B:$E,3,0)</f>
        <v>#N/A</v>
      </c>
      <c r="O1184" s="807" t="e">
        <f t="shared" si="91"/>
        <v>#N/A</v>
      </c>
      <c r="P1184" s="807"/>
      <c r="R1184" s="807">
        <f>+IFERROR(VLOOKUP(C1184,'CA FE'!$A:$C,3,0),0)+G1184</f>
        <v>0</v>
      </c>
      <c r="S1184" s="87" t="s">
        <v>1017</v>
      </c>
    </row>
    <row r="1185" spans="1:19" s="87" customFormat="1">
      <c r="A1185" s="77" t="s">
        <v>286</v>
      </c>
      <c r="B1185" s="77" t="s">
        <v>974</v>
      </c>
      <c r="C1185" s="793">
        <v>4160116208</v>
      </c>
      <c r="D1185" s="77" t="s">
        <v>1023</v>
      </c>
      <c r="E1185" s="794" t="s">
        <v>640</v>
      </c>
      <c r="F1185" s="794" t="str">
        <f t="shared" si="88"/>
        <v>I</v>
      </c>
      <c r="G1185" s="28">
        <f>+IF(F1185="i",IFERROR(VLOOKUP(C1185,'BG 12.2024'!$B:$E,3,FALSE),0),0)</f>
        <v>0</v>
      </c>
      <c r="H1185" s="21">
        <f>+IF(F1185="i",IFERROR(VLOOKUP(C1185,'BG 12.2024'!$B:$E,4,FALSE),0),0)</f>
        <v>0</v>
      </c>
      <c r="I1185" s="616"/>
      <c r="J1185" s="28">
        <f>IF(F1185="I",IFERROR(VLOOKUP(C1185,'BG 12.2023'!$B$6:$E$746,3,FALSE),0),0)</f>
        <v>0</v>
      </c>
      <c r="K1185" s="28">
        <f>IF(F1185="I",IFERROR(VLOOKUP(C1185,'BG 12.2023'!$B$6:$E$746,4,FALSE),0),0)</f>
        <v>0</v>
      </c>
      <c r="M1185" s="15" t="e">
        <f>+VLOOKUP(C1185,'BG 2023'!$B:$E,1,0)</f>
        <v>#N/A</v>
      </c>
      <c r="N1185" s="806" t="e">
        <f>+VLOOKUP(C1185,'BG 2023'!$B:$E,3,0)</f>
        <v>#N/A</v>
      </c>
      <c r="O1185" s="807" t="e">
        <f t="shared" si="91"/>
        <v>#N/A</v>
      </c>
      <c r="P1185" s="807"/>
      <c r="R1185" s="807">
        <f>+IFERROR(VLOOKUP(C1185,'CA FE'!$A:$C,3,0),0)+G1185</f>
        <v>0</v>
      </c>
      <c r="S1185" s="87" t="s">
        <v>1017</v>
      </c>
    </row>
    <row r="1186" spans="1:19" s="87" customFormat="1">
      <c r="A1186" s="77" t="s">
        <v>286</v>
      </c>
      <c r="B1186" s="77" t="s">
        <v>974</v>
      </c>
      <c r="C1186" s="793">
        <v>4160116209</v>
      </c>
      <c r="D1186" s="77" t="s">
        <v>1024</v>
      </c>
      <c r="E1186" s="794" t="s">
        <v>640</v>
      </c>
      <c r="F1186" s="794" t="str">
        <f t="shared" si="88"/>
        <v>I</v>
      </c>
      <c r="G1186" s="28">
        <f>+IF(F1186="i",IFERROR(VLOOKUP(C1186,'BG 12.2024'!$B:$E,3,FALSE),0),0)</f>
        <v>0</v>
      </c>
      <c r="H1186" s="21">
        <f>+IF(F1186="i",IFERROR(VLOOKUP(C1186,'BG 12.2024'!$B:$E,4,FALSE),0),0)</f>
        <v>0</v>
      </c>
      <c r="I1186" s="616"/>
      <c r="J1186" s="28">
        <f>IF(F1186="I",IFERROR(VLOOKUP(C1186,'BG 12.2023'!$B$6:$E$746,3,FALSE),0),0)</f>
        <v>0</v>
      </c>
      <c r="K1186" s="28">
        <f>IF(F1186="I",IFERROR(VLOOKUP(C1186,'BG 12.2023'!$B$6:$E$746,4,FALSE),0),0)</f>
        <v>0</v>
      </c>
      <c r="M1186" s="15" t="e">
        <f>+VLOOKUP(C1186,'BG 2023'!$B:$E,1,0)</f>
        <v>#N/A</v>
      </c>
      <c r="N1186" s="806" t="e">
        <f>+VLOOKUP(C1186,'BG 2023'!$B:$E,3,0)</f>
        <v>#N/A</v>
      </c>
      <c r="O1186" s="807" t="e">
        <f t="shared" si="91"/>
        <v>#N/A</v>
      </c>
      <c r="P1186" s="807"/>
      <c r="R1186" s="807">
        <f>+IFERROR(VLOOKUP(C1186,'CA FE'!$A:$C,3,0),0)+G1186</f>
        <v>0</v>
      </c>
      <c r="S1186" s="87" t="s">
        <v>1017</v>
      </c>
    </row>
    <row r="1187" spans="1:19" s="87" customFormat="1">
      <c r="A1187" s="77" t="s">
        <v>286</v>
      </c>
      <c r="B1187" s="77"/>
      <c r="C1187" s="793">
        <v>4160117</v>
      </c>
      <c r="D1187" s="77" t="s">
        <v>378</v>
      </c>
      <c r="E1187" s="794" t="s">
        <v>634</v>
      </c>
      <c r="F1187" s="794" t="str">
        <f t="shared" si="88"/>
        <v>NI</v>
      </c>
      <c r="G1187" s="28">
        <f>+IF(F1187="i",IFERROR(VLOOKUP(C1187,'BG 12.2024'!$B:$E,3,FALSE),0),0)</f>
        <v>0</v>
      </c>
      <c r="H1187" s="21">
        <f>+IF(F1187="i",IFERROR(VLOOKUP(C1187,'BG 12.2024'!$B:$E,4,FALSE),0),0)</f>
        <v>0</v>
      </c>
      <c r="I1187" s="616"/>
      <c r="J1187" s="28">
        <f>IF(F1187="I",IFERROR(VLOOKUP(C1187,'BG 12.2023'!$B$6:$E$746,3,FALSE),0),0)</f>
        <v>0</v>
      </c>
      <c r="K1187" s="28">
        <f>IF(F1187="I",IFERROR(VLOOKUP(C1187,'BG 12.2023'!$B$6:$E$746,4,FALSE),0),0)</f>
        <v>0</v>
      </c>
      <c r="M1187" s="15">
        <f>+VLOOKUP(C1187,'BG 2023'!$B:$E,1,0)</f>
        <v>4160117</v>
      </c>
      <c r="N1187" s="806">
        <f>+VLOOKUP(C1187,'BG 2023'!$B:$E,3,0)</f>
        <v>534061600</v>
      </c>
      <c r="O1187" s="807">
        <f t="shared" si="91"/>
        <v>534061600</v>
      </c>
      <c r="P1187" s="807"/>
      <c r="R1187" s="807">
        <f>+IFERROR(VLOOKUP(C1187,'CA FE'!$A:$C,3,0),0)+G1187</f>
        <v>0</v>
      </c>
    </row>
    <row r="1188" spans="1:19" s="87" customFormat="1">
      <c r="A1188" s="77" t="s">
        <v>286</v>
      </c>
      <c r="B1188" s="77"/>
      <c r="C1188" s="793">
        <v>41601171</v>
      </c>
      <c r="D1188" s="77" t="s">
        <v>378</v>
      </c>
      <c r="E1188" s="794" t="s">
        <v>634</v>
      </c>
      <c r="F1188" s="794" t="str">
        <f t="shared" si="88"/>
        <v>NI</v>
      </c>
      <c r="G1188" s="28">
        <f>+IF(F1188="i",IFERROR(VLOOKUP(C1188,'BG 12.2024'!$B:$E,3,FALSE),0),0)</f>
        <v>0</v>
      </c>
      <c r="H1188" s="21">
        <f>+IF(F1188="i",IFERROR(VLOOKUP(C1188,'BG 12.2024'!$B:$E,4,FALSE),0),0)</f>
        <v>0</v>
      </c>
      <c r="I1188" s="616"/>
      <c r="J1188" s="28">
        <f>IF(F1188="I",IFERROR(VLOOKUP(C1188,'BG 12.2023'!$B$6:$E$746,3,FALSE),0),0)</f>
        <v>0</v>
      </c>
      <c r="K1188" s="28">
        <f>IF(F1188="I",IFERROR(VLOOKUP(C1188,'BG 12.2023'!$B$6:$E$746,4,FALSE),0),0)</f>
        <v>0</v>
      </c>
      <c r="M1188" s="15">
        <f>+VLOOKUP(C1188,'BG 2023'!$B:$E,1,0)</f>
        <v>41601171</v>
      </c>
      <c r="N1188" s="806">
        <f>+VLOOKUP(C1188,'BG 2023'!$B:$E,3,0)</f>
        <v>534061600</v>
      </c>
      <c r="O1188" s="807">
        <f t="shared" si="91"/>
        <v>534061600</v>
      </c>
      <c r="P1188" s="807"/>
      <c r="R1188" s="807">
        <f>+IFERROR(VLOOKUP(C1188,'CA FE'!$A:$C,3,0),0)+G1188</f>
        <v>0</v>
      </c>
    </row>
    <row r="1189" spans="1:19" s="87" customFormat="1">
      <c r="A1189" s="77" t="s">
        <v>286</v>
      </c>
      <c r="B1189" s="77" t="s">
        <v>945</v>
      </c>
      <c r="C1189" s="793">
        <v>4160117101</v>
      </c>
      <c r="D1189" s="77" t="s">
        <v>379</v>
      </c>
      <c r="E1189" s="794" t="s">
        <v>634</v>
      </c>
      <c r="F1189" s="794" t="str">
        <f t="shared" ref="F1189" si="97">+IF(LEN(C1189)&gt;8,"I","NI")</f>
        <v>I</v>
      </c>
      <c r="G1189" s="1097">
        <f>+IF(F1189="i",IFERROR(VLOOKUP(C1189,'BG 12.2024'!$B:$E,3,FALSE),0),0)</f>
        <v>1281509060</v>
      </c>
      <c r="H1189" s="21">
        <f>+IF(F1189="i",IFERROR(VLOOKUP(C1189,'BG 12.2024'!$B:$E,4,FALSE),0),0)</f>
        <v>1303.26</v>
      </c>
      <c r="I1189" s="616"/>
      <c r="J1189" s="28">
        <f>IF(F1189="I",IFERROR(VLOOKUP(C1189,'BG 12.2023'!$B$6:$E$746,3,FALSE),0),0)</f>
        <v>86982290</v>
      </c>
      <c r="K1189" s="28">
        <f>IF(F1189="I",IFERROR(VLOOKUP(C1189,'BG 12.2023'!$B$6:$E$746,4,FALSE),0),0)</f>
        <v>1355.98</v>
      </c>
      <c r="M1189" s="15"/>
      <c r="N1189" s="806"/>
      <c r="O1189" s="807"/>
      <c r="P1189" s="807"/>
      <c r="R1189" s="807">
        <f>+IFERROR(VLOOKUP(C1189,'CA FE'!$A:$C,3,0),0)+G1189</f>
        <v>0</v>
      </c>
    </row>
    <row r="1190" spans="1:19" s="87" customFormat="1">
      <c r="A1190" s="77" t="s">
        <v>286</v>
      </c>
      <c r="B1190" s="77" t="s">
        <v>974</v>
      </c>
      <c r="C1190" s="793">
        <v>4160117102</v>
      </c>
      <c r="D1190" s="77" t="s">
        <v>380</v>
      </c>
      <c r="E1190" s="794" t="s">
        <v>634</v>
      </c>
      <c r="F1190" s="794" t="str">
        <f t="shared" si="88"/>
        <v>I</v>
      </c>
      <c r="G1190" s="28">
        <f>+IF(F1190="i",IFERROR(VLOOKUP(C1190,'BG 12.2024'!$B:$E,3,FALSE),0),0)</f>
        <v>1879366660</v>
      </c>
      <c r="H1190" s="21">
        <f>+IF(F1190="i",IFERROR(VLOOKUP(C1190,'BG 12.2024'!$B:$E,4,FALSE),0),0)</f>
        <v>0</v>
      </c>
      <c r="I1190" s="616"/>
      <c r="J1190" s="28">
        <f>IF(F1190="I",IFERROR(VLOOKUP(C1190,'BG 12.2023'!$B$6:$E$746,3,FALSE),0),0)</f>
        <v>447079310</v>
      </c>
      <c r="K1190" s="28">
        <f>IF(F1190="I",IFERROR(VLOOKUP(C1190,'BG 12.2023'!$B$6:$E$746,4,FALSE),0),0)</f>
        <v>6386.7000000000016</v>
      </c>
      <c r="M1190" s="15">
        <f>+VLOOKUP(C1190,'BG 2023'!$B:$E,1,0)</f>
        <v>4160117102</v>
      </c>
      <c r="N1190" s="806">
        <f>+VLOOKUP(C1190,'BG 2023'!$B:$E,3,0)</f>
        <v>447079310</v>
      </c>
      <c r="O1190" s="807">
        <f t="shared" si="91"/>
        <v>-1432287350</v>
      </c>
      <c r="P1190" s="807">
        <f>+VLOOKUP(C1190,'BG 12.2024'!$B$471:$E$866,4,0)-H1190</f>
        <v>0</v>
      </c>
      <c r="R1190" s="807">
        <f>+IFERROR(VLOOKUP(C1190,'CA FE'!$A:$C,3,0),0)+G1190</f>
        <v>0</v>
      </c>
      <c r="S1190" s="87" t="s">
        <v>1025</v>
      </c>
    </row>
    <row r="1191" spans="1:19" s="87" customFormat="1">
      <c r="A1191" s="77" t="s">
        <v>286</v>
      </c>
      <c r="B1191" s="77"/>
      <c r="C1191" s="793">
        <v>42</v>
      </c>
      <c r="D1191" s="77" t="s">
        <v>381</v>
      </c>
      <c r="E1191" s="794" t="s">
        <v>634</v>
      </c>
      <c r="F1191" s="794" t="str">
        <f t="shared" si="88"/>
        <v>NI</v>
      </c>
      <c r="G1191" s="28">
        <f>+IF(F1191="i",IFERROR(VLOOKUP(C1191,'BG 12.2024'!$B:$E,3,FALSE),0),0)</f>
        <v>0</v>
      </c>
      <c r="H1191" s="21">
        <f>+IF(F1191="i",IFERROR(VLOOKUP(C1191,'BG 12.2024'!$B:$E,4,FALSE),0),0)</f>
        <v>0</v>
      </c>
      <c r="I1191" s="616"/>
      <c r="J1191" s="28">
        <f>IF(F1191="I",IFERROR(VLOOKUP(C1191,'BG 12.2023'!$B$6:$E$746,3,FALSE),0),0)</f>
        <v>0</v>
      </c>
      <c r="K1191" s="28">
        <f>IF(F1191="I",IFERROR(VLOOKUP(C1191,'BG 12.2023'!$B$6:$E$746,4,FALSE),0),0)</f>
        <v>0</v>
      </c>
      <c r="M1191" s="15">
        <f>+VLOOKUP(C1191,'BG 2023'!$B:$E,1,0)</f>
        <v>42</v>
      </c>
      <c r="N1191" s="806">
        <f>+VLOOKUP(C1191,'BG 2023'!$B:$E,3,0)</f>
        <v>9431070608</v>
      </c>
      <c r="O1191" s="807">
        <f t="shared" si="91"/>
        <v>9431070608</v>
      </c>
      <c r="P1191" s="807"/>
      <c r="R1191" s="807">
        <f>+IFERROR(VLOOKUP(C1191,'CA FE'!$A:$C,3,0),0)+G1191</f>
        <v>0</v>
      </c>
    </row>
    <row r="1192" spans="1:19" s="87" customFormat="1">
      <c r="A1192" s="77" t="s">
        <v>286</v>
      </c>
      <c r="B1192" s="77"/>
      <c r="C1192" s="793">
        <v>421</v>
      </c>
      <c r="D1192" s="77" t="s">
        <v>382</v>
      </c>
      <c r="E1192" s="794" t="s">
        <v>634</v>
      </c>
      <c r="F1192" s="794" t="str">
        <f t="shared" si="88"/>
        <v>NI</v>
      </c>
      <c r="G1192" s="28">
        <f>+IF(F1192="i",IFERROR(VLOOKUP(C1192,'BG 12.2024'!$B:$E,3,FALSE),0),0)</f>
        <v>0</v>
      </c>
      <c r="H1192" s="21">
        <f>+IF(F1192="i",IFERROR(VLOOKUP(C1192,'BG 12.2024'!$B:$E,4,FALSE),0),0)</f>
        <v>0</v>
      </c>
      <c r="I1192" s="616"/>
      <c r="J1192" s="28">
        <f>IF(F1192="I",IFERROR(VLOOKUP(C1192,'BG 12.2023'!$B$6:$E$746,3,FALSE),0),0)</f>
        <v>0</v>
      </c>
      <c r="K1192" s="28">
        <f>IF(F1192="I",IFERROR(VLOOKUP(C1192,'BG 12.2023'!$B$6:$E$746,4,FALSE),0),0)</f>
        <v>0</v>
      </c>
      <c r="M1192" s="15">
        <f>+VLOOKUP(C1192,'BG 2023'!$B:$E,1,0)</f>
        <v>421</v>
      </c>
      <c r="N1192" s="806">
        <f>+VLOOKUP(C1192,'BG 2023'!$B:$E,3,0)</f>
        <v>38139644</v>
      </c>
      <c r="O1192" s="807">
        <f t="shared" si="91"/>
        <v>38139644</v>
      </c>
      <c r="P1192" s="807"/>
      <c r="R1192" s="807">
        <f>+IFERROR(VLOOKUP(C1192,'CA FE'!$A:$C,3,0),0)+G1192</f>
        <v>0</v>
      </c>
    </row>
    <row r="1193" spans="1:19" s="87" customFormat="1">
      <c r="A1193" s="77" t="s">
        <v>286</v>
      </c>
      <c r="B1193" s="77"/>
      <c r="C1193" s="793">
        <v>42101</v>
      </c>
      <c r="D1193" s="77" t="s">
        <v>382</v>
      </c>
      <c r="E1193" s="794" t="s">
        <v>634</v>
      </c>
      <c r="F1193" s="794" t="str">
        <f t="shared" si="88"/>
        <v>NI</v>
      </c>
      <c r="G1193" s="28">
        <f>+IF(F1193="i",IFERROR(VLOOKUP(C1193,'BG 12.2024'!$B:$E,3,FALSE),0),0)</f>
        <v>0</v>
      </c>
      <c r="H1193" s="21">
        <f>+IF(F1193="i",IFERROR(VLOOKUP(C1193,'BG 12.2024'!$B:$E,4,FALSE),0),0)</f>
        <v>0</v>
      </c>
      <c r="I1193" s="616"/>
      <c r="J1193" s="28">
        <f>IF(F1193="I",IFERROR(VLOOKUP(C1193,'BG 12.2023'!$B$6:$E$746,3,FALSE),0),0)</f>
        <v>0</v>
      </c>
      <c r="K1193" s="28">
        <f>IF(F1193="I",IFERROR(VLOOKUP(C1193,'BG 12.2023'!$B$6:$E$746,4,FALSE),0),0)</f>
        <v>0</v>
      </c>
      <c r="M1193" s="15">
        <f>+VLOOKUP(C1193,'BG 2023'!$B:$E,1,0)</f>
        <v>42101</v>
      </c>
      <c r="N1193" s="806">
        <f>+VLOOKUP(C1193,'BG 2023'!$B:$E,3,0)</f>
        <v>38139644</v>
      </c>
      <c r="O1193" s="807">
        <f t="shared" si="91"/>
        <v>38139644</v>
      </c>
      <c r="P1193" s="807"/>
      <c r="R1193" s="807">
        <f>+IFERROR(VLOOKUP(C1193,'CA FE'!$A:$C,3,0),0)+G1193</f>
        <v>0</v>
      </c>
    </row>
    <row r="1194" spans="1:19" s="87" customFormat="1">
      <c r="A1194" s="77" t="s">
        <v>286</v>
      </c>
      <c r="B1194" s="77"/>
      <c r="C1194" s="793">
        <v>421011</v>
      </c>
      <c r="D1194" s="77" t="s">
        <v>382</v>
      </c>
      <c r="E1194" s="794" t="s">
        <v>634</v>
      </c>
      <c r="F1194" s="794" t="str">
        <f t="shared" si="88"/>
        <v>NI</v>
      </c>
      <c r="G1194" s="28">
        <f>+IF(F1194="i",IFERROR(VLOOKUP(C1194,'BG 12.2024'!$B:$E,3,FALSE),0),0)</f>
        <v>0</v>
      </c>
      <c r="H1194" s="21">
        <f>+IF(F1194="i",IFERROR(VLOOKUP(C1194,'BG 12.2024'!$B:$E,4,FALSE),0),0)</f>
        <v>0</v>
      </c>
      <c r="I1194" s="616"/>
      <c r="J1194" s="28">
        <f>IF(F1194="I",IFERROR(VLOOKUP(C1194,'BG 12.2023'!$B$6:$E$746,3,FALSE),0),0)</f>
        <v>0</v>
      </c>
      <c r="K1194" s="28">
        <f>IF(F1194="I",IFERROR(VLOOKUP(C1194,'BG 12.2023'!$B$6:$E$746,4,FALSE),0),0)</f>
        <v>0</v>
      </c>
      <c r="M1194" s="15">
        <f>+VLOOKUP(C1194,'BG 2023'!$B:$E,1,0)</f>
        <v>421011</v>
      </c>
      <c r="N1194" s="806">
        <f>+VLOOKUP(C1194,'BG 2023'!$B:$E,3,0)</f>
        <v>38139644</v>
      </c>
      <c r="O1194" s="807">
        <f t="shared" si="91"/>
        <v>38139644</v>
      </c>
      <c r="P1194" s="807"/>
      <c r="R1194" s="807">
        <f>+IFERROR(VLOOKUP(C1194,'CA FE'!$A:$C,3,0),0)+G1194</f>
        <v>0</v>
      </c>
    </row>
    <row r="1195" spans="1:19" s="87" customFormat="1">
      <c r="A1195" s="77" t="s">
        <v>286</v>
      </c>
      <c r="B1195" s="77"/>
      <c r="C1195" s="793">
        <v>4210111</v>
      </c>
      <c r="D1195" s="77" t="s">
        <v>382</v>
      </c>
      <c r="E1195" s="794" t="s">
        <v>634</v>
      </c>
      <c r="F1195" s="794" t="str">
        <f t="shared" si="88"/>
        <v>NI</v>
      </c>
      <c r="G1195" s="28">
        <f>+IF(F1195="i",IFERROR(VLOOKUP(C1195,'BG 12.2024'!$B:$E,3,FALSE),0),0)</f>
        <v>0</v>
      </c>
      <c r="H1195" s="21">
        <f>+IF(F1195="i",IFERROR(VLOOKUP(C1195,'BG 12.2024'!$B:$E,4,FALSE),0),0)</f>
        <v>0</v>
      </c>
      <c r="I1195" s="616"/>
      <c r="J1195" s="28">
        <f>IF(F1195="I",IFERROR(VLOOKUP(C1195,'BG 12.2023'!$B$6:$E$746,3,FALSE),0),0)</f>
        <v>0</v>
      </c>
      <c r="K1195" s="28">
        <f>IF(F1195="I",IFERROR(VLOOKUP(C1195,'BG 12.2023'!$B$6:$E$746,4,FALSE),0),0)</f>
        <v>0</v>
      </c>
      <c r="M1195" s="15">
        <f>+VLOOKUP(C1195,'BG 2023'!$B:$E,1,0)</f>
        <v>4210111</v>
      </c>
      <c r="N1195" s="806">
        <f>+VLOOKUP(C1195,'BG 2023'!$B:$E,3,0)</f>
        <v>38139644</v>
      </c>
      <c r="O1195" s="807">
        <f t="shared" si="91"/>
        <v>38139644</v>
      </c>
      <c r="P1195" s="807"/>
      <c r="R1195" s="807">
        <f>+IFERROR(VLOOKUP(C1195,'CA FE'!$A:$C,3,0),0)+G1195</f>
        <v>0</v>
      </c>
    </row>
    <row r="1196" spans="1:19" s="87" customFormat="1">
      <c r="A1196" s="77" t="s">
        <v>286</v>
      </c>
      <c r="B1196" s="77"/>
      <c r="C1196" s="793">
        <v>42101111</v>
      </c>
      <c r="D1196" s="77" t="s">
        <v>383</v>
      </c>
      <c r="E1196" s="794" t="s">
        <v>634</v>
      </c>
      <c r="F1196" s="794" t="str">
        <f t="shared" si="88"/>
        <v>NI</v>
      </c>
      <c r="G1196" s="28">
        <f>+IF(F1196="i",IFERROR(VLOOKUP(C1196,'BG 12.2024'!$B:$E,3,FALSE),0),0)</f>
        <v>0</v>
      </c>
      <c r="H1196" s="21">
        <f>+IF(F1196="i",IFERROR(VLOOKUP(C1196,'BG 12.2024'!$B:$E,4,FALSE),0),0)</f>
        <v>0</v>
      </c>
      <c r="I1196" s="616"/>
      <c r="J1196" s="28">
        <f>IF(F1196="I",IFERROR(VLOOKUP(C1196,'BG 12.2023'!$B$6:$E$746,3,FALSE),0),0)</f>
        <v>0</v>
      </c>
      <c r="K1196" s="28">
        <f>IF(F1196="I",IFERROR(VLOOKUP(C1196,'BG 12.2023'!$B$6:$E$746,4,FALSE),0),0)</f>
        <v>0</v>
      </c>
      <c r="M1196" s="15">
        <f>+VLOOKUP(C1196,'BG 2023'!$B:$E,1,0)</f>
        <v>42101111</v>
      </c>
      <c r="N1196" s="806">
        <f>+VLOOKUP(C1196,'BG 2023'!$B:$E,3,0)</f>
        <v>38139644</v>
      </c>
      <c r="O1196" s="807">
        <f t="shared" si="91"/>
        <v>38139644</v>
      </c>
      <c r="P1196" s="807"/>
      <c r="R1196" s="807">
        <f>+IFERROR(VLOOKUP(C1196,'CA FE'!$A:$C,3,0),0)+G1196</f>
        <v>0</v>
      </c>
    </row>
    <row r="1197" spans="1:19" s="87" customFormat="1">
      <c r="A1197" s="77" t="s">
        <v>286</v>
      </c>
      <c r="B1197" s="77" t="s">
        <v>945</v>
      </c>
      <c r="C1197" s="793">
        <v>4210111101</v>
      </c>
      <c r="D1197" s="77" t="s">
        <v>383</v>
      </c>
      <c r="E1197" s="794" t="s">
        <v>634</v>
      </c>
      <c r="F1197" s="794" t="str">
        <f t="shared" si="88"/>
        <v>I</v>
      </c>
      <c r="G1197" s="1097">
        <f>+IF(F1197="i",IFERROR(VLOOKUP(C1197,'BG 12.2024'!$B:$E,3,FALSE),0),0)</f>
        <v>18076441</v>
      </c>
      <c r="H1197" s="21">
        <f>+IF(F1197="i",IFERROR(VLOOKUP(C1197,'BG 12.2024'!$B:$E,4,FALSE),0),0)</f>
        <v>2363.98</v>
      </c>
      <c r="I1197" s="616"/>
      <c r="J1197" s="1256">
        <f>IF(F1197="I",IFERROR(VLOOKUP(C1197,'BG 12.2023'!$B$6:$E$746,3,FALSE),0),0)</f>
        <v>38139644</v>
      </c>
      <c r="K1197" s="28">
        <f>IF(F1197="I",IFERROR(VLOOKUP(C1197,'BG 12.2023'!$B$6:$E$746,4,FALSE),0),0)</f>
        <v>5164.97</v>
      </c>
      <c r="M1197" s="15">
        <f>+VLOOKUP(C1197,'BG 2023'!$B:$E,1,0)</f>
        <v>4210111101</v>
      </c>
      <c r="N1197" s="806">
        <f>+VLOOKUP(C1197,'BG 2023'!$B:$E,3,0)</f>
        <v>38139644</v>
      </c>
      <c r="O1197" s="807">
        <f t="shared" si="91"/>
        <v>20063203</v>
      </c>
      <c r="P1197" s="807">
        <f>+VLOOKUP(C1197,'BG 12.2024'!$B$471:$E$866,4,0)-H1197</f>
        <v>0</v>
      </c>
      <c r="R1197" s="807">
        <f>+IFERROR(VLOOKUP(C1197,'CA FE'!$A:$C,3,0),0)+G1197</f>
        <v>0</v>
      </c>
    </row>
    <row r="1198" spans="1:19" s="87" customFormat="1">
      <c r="A1198" s="77" t="s">
        <v>286</v>
      </c>
      <c r="B1198" s="77" t="s">
        <v>945</v>
      </c>
      <c r="C1198" s="793">
        <v>4210111102</v>
      </c>
      <c r="D1198" s="77" t="s">
        <v>1026</v>
      </c>
      <c r="E1198" s="794" t="s">
        <v>634</v>
      </c>
      <c r="F1198" s="794" t="str">
        <f t="shared" si="88"/>
        <v>I</v>
      </c>
      <c r="G1198" s="28">
        <f>+IF(F1198="i",IFERROR(VLOOKUP(C1198,'BG 12.2024'!$B:$E,3,FALSE),0),0)</f>
        <v>2463117</v>
      </c>
      <c r="H1198" s="21">
        <f>+IF(F1198="i",IFERROR(VLOOKUP(C1198,'BG 12.2024'!$B:$E,4,FALSE),0),0)</f>
        <v>315.83</v>
      </c>
      <c r="I1198" s="616"/>
      <c r="J1198" s="28">
        <f>IF(F1198="I",IFERROR(VLOOKUP(C1198,'BG 12.2023'!$B$6:$E$746,3,FALSE),0),0)</f>
        <v>0</v>
      </c>
      <c r="K1198" s="28">
        <f>IF(F1198="I",IFERROR(VLOOKUP(C1198,'BG 12.2023'!$B$6:$E$746,4,FALSE),0),0)</f>
        <v>0</v>
      </c>
      <c r="M1198" s="15" t="e">
        <f>+VLOOKUP(C1198,'BG 2023'!$B:$E,1,0)</f>
        <v>#N/A</v>
      </c>
      <c r="N1198" s="806" t="e">
        <f>+VLOOKUP(C1198,'BG 2023'!$B:$E,3,0)</f>
        <v>#N/A</v>
      </c>
      <c r="O1198" s="807" t="e">
        <f t="shared" si="91"/>
        <v>#N/A</v>
      </c>
      <c r="P1198" s="807"/>
      <c r="R1198" s="807">
        <f>+IFERROR(VLOOKUP(C1198,'CA FE'!$A:$C,3,0),0)+G1198</f>
        <v>0</v>
      </c>
    </row>
    <row r="1199" spans="1:19" s="87" customFormat="1">
      <c r="A1199" s="77" t="s">
        <v>286</v>
      </c>
      <c r="B1199" s="77"/>
      <c r="C1199" s="793">
        <v>422</v>
      </c>
      <c r="D1199" s="77" t="s">
        <v>384</v>
      </c>
      <c r="E1199" s="794" t="s">
        <v>634</v>
      </c>
      <c r="F1199" s="794" t="str">
        <f t="shared" si="88"/>
        <v>NI</v>
      </c>
      <c r="G1199" s="28">
        <f>+IF(F1199="i",IFERROR(VLOOKUP(C1199,'BG 12.2024'!$B:$E,3,FALSE),0),0)</f>
        <v>0</v>
      </c>
      <c r="H1199" s="21">
        <f>+IF(F1199="i",IFERROR(VLOOKUP(C1199,'BG 12.2024'!$B:$E,4,FALSE),0),0)</f>
        <v>0</v>
      </c>
      <c r="I1199" s="616"/>
      <c r="J1199" s="28">
        <f>IF(F1199="I",IFERROR(VLOOKUP(C1199,'BG 12.2023'!$B$6:$E$746,3,FALSE),0),0)</f>
        <v>0</v>
      </c>
      <c r="K1199" s="28">
        <f>IF(F1199="I",IFERROR(VLOOKUP(C1199,'BG 12.2023'!$B$6:$E$746,4,FALSE),0),0)</f>
        <v>0</v>
      </c>
      <c r="M1199" s="15">
        <f>+VLOOKUP(C1199,'BG 2023'!$B:$E,1,0)</f>
        <v>422</v>
      </c>
      <c r="N1199" s="806">
        <f>+VLOOKUP(C1199,'BG 2023'!$B:$E,3,0)</f>
        <v>9392930964</v>
      </c>
      <c r="O1199" s="807">
        <f t="shared" si="91"/>
        <v>9392930964</v>
      </c>
      <c r="P1199" s="807"/>
      <c r="R1199" s="807">
        <f>+IFERROR(VLOOKUP(C1199,'CA FE'!$A:$C,3,0),0)+G1199</f>
        <v>0</v>
      </c>
    </row>
    <row r="1200" spans="1:19" s="87" customFormat="1">
      <c r="A1200" s="77" t="s">
        <v>286</v>
      </c>
      <c r="B1200" s="77"/>
      <c r="C1200" s="793">
        <v>42201</v>
      </c>
      <c r="D1200" s="77" t="s">
        <v>384</v>
      </c>
      <c r="E1200" s="794" t="s">
        <v>634</v>
      </c>
      <c r="F1200" s="794" t="str">
        <f t="shared" si="88"/>
        <v>NI</v>
      </c>
      <c r="G1200" s="28">
        <f>+IF(F1200="i",IFERROR(VLOOKUP(C1200,'BG 12.2024'!$B:$E,3,FALSE),0),0)</f>
        <v>0</v>
      </c>
      <c r="H1200" s="21">
        <f>+IF(F1200="i",IFERROR(VLOOKUP(C1200,'BG 12.2024'!$B:$E,4,FALSE),0),0)</f>
        <v>0</v>
      </c>
      <c r="I1200" s="616"/>
      <c r="J1200" s="28">
        <f>IF(F1200="I",IFERROR(VLOOKUP(C1200,'BG 12.2023'!$B$6:$E$746,3,FALSE),0),0)</f>
        <v>0</v>
      </c>
      <c r="K1200" s="28">
        <f>IF(F1200="I",IFERROR(VLOOKUP(C1200,'BG 12.2023'!$B$6:$E$746,4,FALSE),0),0)</f>
        <v>0</v>
      </c>
      <c r="M1200" s="15">
        <f>+VLOOKUP(C1200,'BG 2023'!$B:$E,1,0)</f>
        <v>42201</v>
      </c>
      <c r="N1200" s="806">
        <f>+VLOOKUP(C1200,'BG 2023'!$B:$E,3,0)</f>
        <v>9392930964</v>
      </c>
      <c r="O1200" s="807">
        <f t="shared" si="91"/>
        <v>9392930964</v>
      </c>
      <c r="P1200" s="807"/>
      <c r="R1200" s="807">
        <f>+IFERROR(VLOOKUP(C1200,'CA FE'!$A:$C,3,0),0)+G1200</f>
        <v>0</v>
      </c>
    </row>
    <row r="1201" spans="1:18" s="87" customFormat="1">
      <c r="A1201" s="77" t="s">
        <v>286</v>
      </c>
      <c r="B1201" s="77"/>
      <c r="C1201" s="793">
        <v>422011</v>
      </c>
      <c r="D1201" s="77" t="s">
        <v>384</v>
      </c>
      <c r="E1201" s="794" t="s">
        <v>634</v>
      </c>
      <c r="F1201" s="794" t="str">
        <f t="shared" si="88"/>
        <v>NI</v>
      </c>
      <c r="G1201" s="28">
        <f>+IF(F1201="i",IFERROR(VLOOKUP(C1201,'BG 12.2024'!$B:$E,3,FALSE),0),0)</f>
        <v>0</v>
      </c>
      <c r="H1201" s="21">
        <f>+IF(F1201="i",IFERROR(VLOOKUP(C1201,'BG 12.2024'!$B:$E,4,FALSE),0),0)</f>
        <v>0</v>
      </c>
      <c r="I1201" s="616"/>
      <c r="J1201" s="28">
        <f>IF(F1201="I",IFERROR(VLOOKUP(C1201,'BG 12.2023'!$B$6:$E$746,3,FALSE),0),0)</f>
        <v>0</v>
      </c>
      <c r="K1201" s="28">
        <f>IF(F1201="I",IFERROR(VLOOKUP(C1201,'BG 12.2023'!$B$6:$E$746,4,FALSE),0),0)</f>
        <v>0</v>
      </c>
      <c r="M1201" s="15">
        <f>+VLOOKUP(C1201,'BG 2023'!$B:$E,1,0)</f>
        <v>422011</v>
      </c>
      <c r="N1201" s="806">
        <f>+VLOOKUP(C1201,'BG 2023'!$B:$E,3,0)</f>
        <v>9392930964</v>
      </c>
      <c r="O1201" s="807">
        <f t="shared" si="91"/>
        <v>9392930964</v>
      </c>
      <c r="P1201" s="807"/>
      <c r="R1201" s="807">
        <f>+IFERROR(VLOOKUP(C1201,'CA FE'!$A:$C,3,0),0)+G1201</f>
        <v>0</v>
      </c>
    </row>
    <row r="1202" spans="1:18" s="87" customFormat="1">
      <c r="A1202" s="77" t="s">
        <v>286</v>
      </c>
      <c r="B1202" s="77"/>
      <c r="C1202" s="793">
        <v>4220111</v>
      </c>
      <c r="D1202" s="77" t="s">
        <v>384</v>
      </c>
      <c r="E1202" s="794" t="s">
        <v>634</v>
      </c>
      <c r="F1202" s="794" t="str">
        <f t="shared" si="88"/>
        <v>NI</v>
      </c>
      <c r="G1202" s="28">
        <f>+IF(F1202="i",IFERROR(VLOOKUP(C1202,'BG 12.2024'!$B:$E,3,FALSE),0),0)</f>
        <v>0</v>
      </c>
      <c r="H1202" s="21">
        <f>+IF(F1202="i",IFERROR(VLOOKUP(C1202,'BG 12.2024'!$B:$E,4,FALSE),0),0)</f>
        <v>0</v>
      </c>
      <c r="I1202" s="616"/>
      <c r="J1202" s="28">
        <f>IF(F1202="I",IFERROR(VLOOKUP(C1202,'BG 12.2023'!$B$6:$E$746,3,FALSE),0),0)</f>
        <v>0</v>
      </c>
      <c r="K1202" s="28">
        <f>IF(F1202="I",IFERROR(VLOOKUP(C1202,'BG 12.2023'!$B$6:$E$746,4,FALSE),0),0)</f>
        <v>0</v>
      </c>
      <c r="M1202" s="15">
        <f>+VLOOKUP(C1202,'BG 2023'!$B:$E,1,0)</f>
        <v>4220111</v>
      </c>
      <c r="N1202" s="806">
        <f>+VLOOKUP(C1202,'BG 2023'!$B:$E,3,0)</f>
        <v>9392930964</v>
      </c>
      <c r="O1202" s="807">
        <f t="shared" si="91"/>
        <v>9392930964</v>
      </c>
      <c r="P1202" s="807"/>
      <c r="R1202" s="807">
        <f>+IFERROR(VLOOKUP(C1202,'CA FE'!$A:$C,3,0),0)+G1202</f>
        <v>0</v>
      </c>
    </row>
    <row r="1203" spans="1:18" s="87" customFormat="1">
      <c r="A1203" s="77" t="s">
        <v>286</v>
      </c>
      <c r="B1203" s="77"/>
      <c r="C1203" s="793">
        <v>42201111</v>
      </c>
      <c r="D1203" s="77" t="s">
        <v>384</v>
      </c>
      <c r="E1203" s="794" t="s">
        <v>634</v>
      </c>
      <c r="F1203" s="794" t="str">
        <f t="shared" si="88"/>
        <v>NI</v>
      </c>
      <c r="G1203" s="28">
        <f>+IF(F1203="i",IFERROR(VLOOKUP(C1203,'BG 12.2024'!$B:$E,3,FALSE),0),0)</f>
        <v>0</v>
      </c>
      <c r="H1203" s="21">
        <f>+IF(F1203="i",IFERROR(VLOOKUP(C1203,'BG 12.2024'!$B:$E,4,FALSE),0),0)</f>
        <v>0</v>
      </c>
      <c r="I1203" s="616"/>
      <c r="J1203" s="28">
        <f>IF(F1203="I",IFERROR(VLOOKUP(C1203,'BG 12.2023'!$B$6:$E$746,3,FALSE),0),0)</f>
        <v>0</v>
      </c>
      <c r="K1203" s="28">
        <f>IF(F1203="I",IFERROR(VLOOKUP(C1203,'BG 12.2023'!$B$6:$E$746,4,FALSE),0),0)</f>
        <v>0</v>
      </c>
      <c r="M1203" s="15">
        <f>+VLOOKUP(C1203,'BG 2023'!$B:$E,1,0)</f>
        <v>42201111</v>
      </c>
      <c r="N1203" s="806">
        <f>+VLOOKUP(C1203,'BG 2023'!$B:$E,3,0)</f>
        <v>9392930964</v>
      </c>
      <c r="O1203" s="807">
        <f t="shared" si="91"/>
        <v>9392930964</v>
      </c>
      <c r="P1203" s="807"/>
      <c r="R1203" s="807">
        <f>+IFERROR(VLOOKUP(C1203,'CA FE'!$A:$C,3,0),0)+G1203</f>
        <v>0</v>
      </c>
    </row>
    <row r="1204" spans="1:18" s="87" customFormat="1">
      <c r="A1204" s="77" t="s">
        <v>286</v>
      </c>
      <c r="B1204" s="77" t="s">
        <v>1027</v>
      </c>
      <c r="C1204" s="793">
        <v>4220111101</v>
      </c>
      <c r="D1204" s="77" t="s">
        <v>385</v>
      </c>
      <c r="E1204" s="794" t="s">
        <v>634</v>
      </c>
      <c r="F1204" s="794" t="str">
        <f t="shared" si="88"/>
        <v>I</v>
      </c>
      <c r="G1204" s="28">
        <f>+IF(F1204="i",IFERROR(VLOOKUP(C1204,'BG 12.2024'!$B:$E,3,FALSE),0),0)</f>
        <v>13030597785</v>
      </c>
      <c r="H1204" s="21">
        <f>+IF(F1204="i",IFERROR(VLOOKUP(C1204,'BG 12.2024'!$B:$E,4,FALSE),0),0)</f>
        <v>14616979.390000001</v>
      </c>
      <c r="I1204" s="616"/>
      <c r="J1204" s="28">
        <f>IF(F1204="I",IFERROR(VLOOKUP(C1204,'BG 12.2023'!$B$6:$E$746,3,FALSE),0),0)</f>
        <v>6135016088</v>
      </c>
      <c r="K1204" s="28">
        <f>IF(F1204="I",IFERROR(VLOOKUP(C1204,'BG 12.2023'!$B$6:$E$746,4,FALSE),0),0)</f>
        <v>1641790.6109</v>
      </c>
      <c r="L1204" s="739"/>
      <c r="M1204" s="15">
        <f>+VLOOKUP(C1204,'BG 2023'!$B:$E,1,0)</f>
        <v>4220111101</v>
      </c>
      <c r="N1204" s="806">
        <f>+VLOOKUP(C1204,'BG 2023'!$B:$E,3,0)</f>
        <v>6135016088</v>
      </c>
      <c r="O1204" s="807">
        <f t="shared" si="91"/>
        <v>-6895581697</v>
      </c>
      <c r="P1204" s="807">
        <f>+VLOOKUP(C1204,'BG 12.2024'!$B$471:$E$866,4,0)-H1204</f>
        <v>0</v>
      </c>
      <c r="R1204" s="807">
        <f>+IFERROR(VLOOKUP(C1204,'CA FE'!$A:$C,3,0),0)+G1204</f>
        <v>0</v>
      </c>
    </row>
    <row r="1205" spans="1:18" s="87" customFormat="1">
      <c r="A1205" s="77" t="s">
        <v>286</v>
      </c>
      <c r="B1205" s="77" t="s">
        <v>1027</v>
      </c>
      <c r="C1205" s="793">
        <v>4220111102</v>
      </c>
      <c r="D1205" s="77" t="s">
        <v>386</v>
      </c>
      <c r="E1205" s="794" t="s">
        <v>634</v>
      </c>
      <c r="F1205" s="794" t="str">
        <f t="shared" si="88"/>
        <v>I</v>
      </c>
      <c r="G1205" s="28">
        <f>+IF(F1205="i",IFERROR(VLOOKUP(C1205,'BG 12.2024'!$B:$E,3,FALSE),0),0)</f>
        <v>3924434844</v>
      </c>
      <c r="H1205" s="21">
        <f>+IF(F1205="i",IFERROR(VLOOKUP(C1205,'BG 12.2024'!$B:$E,4,FALSE),0),0)</f>
        <v>16218857.050000001</v>
      </c>
      <c r="I1205" s="616"/>
      <c r="J1205" s="28">
        <f>IF(F1205="I",IFERROR(VLOOKUP(C1205,'BG 12.2023'!$B$6:$E$746,3,FALSE),0),0)</f>
        <v>3257914876</v>
      </c>
      <c r="K1205" s="28">
        <f>IF(F1205="I",IFERROR(VLOOKUP(C1205,'BG 12.2023'!$B$6:$E$746,4,FALSE),0),0)</f>
        <v>679198.22759999998</v>
      </c>
      <c r="L1205" s="739"/>
      <c r="M1205" s="15">
        <f>+VLOOKUP(C1205,'BG 2023'!$B:$E,1,0)</f>
        <v>4220111102</v>
      </c>
      <c r="N1205" s="806">
        <f>+VLOOKUP(C1205,'BG 2023'!$B:$E,3,0)</f>
        <v>3257914876</v>
      </c>
      <c r="O1205" s="807">
        <f t="shared" si="91"/>
        <v>-666519968</v>
      </c>
      <c r="P1205" s="807">
        <f>+VLOOKUP(C1205,'BG 12.2024'!$B$471:$E$866,4,0)-H1205</f>
        <v>0</v>
      </c>
      <c r="R1205" s="807">
        <f>+IFERROR(VLOOKUP(C1205,'CA FE'!$A:$C,3,0),0)+G1205</f>
        <v>0</v>
      </c>
    </row>
    <row r="1206" spans="1:18" s="87" customFormat="1">
      <c r="A1206" s="77" t="s">
        <v>286</v>
      </c>
      <c r="B1206" s="77"/>
      <c r="C1206" s="793">
        <v>4610111101</v>
      </c>
      <c r="D1206" s="77" t="s">
        <v>1028</v>
      </c>
      <c r="E1206" s="794" t="s">
        <v>634</v>
      </c>
      <c r="F1206" s="794" t="str">
        <f t="shared" si="88"/>
        <v>I</v>
      </c>
      <c r="G1206" s="28">
        <f>+IF(F1206="i",IFERROR(VLOOKUP(C1206,'BG 12.2024'!$B:$E,3,FALSE),0),0)</f>
        <v>0</v>
      </c>
      <c r="H1206" s="21">
        <f>+IF(F1206="i",IFERROR(VLOOKUP(C1206,'BG 12.2024'!$B:$E,4,FALSE),0),0)</f>
        <v>0</v>
      </c>
      <c r="I1206" s="616"/>
      <c r="J1206" s="28">
        <f>IF(F1206="I",IFERROR(VLOOKUP(C1206,'BG 12.2023'!$B$6:$E$746,3,FALSE),0),0)</f>
        <v>0</v>
      </c>
      <c r="K1206" s="28">
        <f>IF(F1206="I",IFERROR(VLOOKUP(C1206,'BG 12.2023'!$B$6:$E$746,4,FALSE),0),0)</f>
        <v>0</v>
      </c>
      <c r="M1206" s="15" t="e">
        <f>+VLOOKUP(C1206,'BG 2023'!$B:$E,1,0)</f>
        <v>#N/A</v>
      </c>
      <c r="N1206" s="806" t="e">
        <f>+VLOOKUP(C1206,'BG 2023'!$B:$E,3,0)</f>
        <v>#N/A</v>
      </c>
      <c r="O1206" s="807" t="e">
        <f t="shared" si="91"/>
        <v>#N/A</v>
      </c>
      <c r="P1206" s="807"/>
      <c r="R1206" s="807">
        <f>+IFERROR(VLOOKUP(C1206,'CA FE'!$A:$C,3,0),0)+G1206</f>
        <v>0</v>
      </c>
    </row>
    <row r="1207" spans="1:18" s="87" customFormat="1">
      <c r="A1207" s="77" t="s">
        <v>286</v>
      </c>
      <c r="B1207" s="77"/>
      <c r="C1207" s="793">
        <v>4610111102</v>
      </c>
      <c r="D1207" s="77" t="s">
        <v>1029</v>
      </c>
      <c r="E1207" s="794" t="s">
        <v>634</v>
      </c>
      <c r="F1207" s="794" t="str">
        <f t="shared" si="88"/>
        <v>I</v>
      </c>
      <c r="G1207" s="28">
        <f>+IF(F1207="i",IFERROR(VLOOKUP(C1207,'BG 12.2024'!$B:$E,3,FALSE),0),0)</f>
        <v>0</v>
      </c>
      <c r="H1207" s="21">
        <f>+IF(F1207="i",IFERROR(VLOOKUP(C1207,'BG 12.2024'!$B:$E,4,FALSE),0),0)</f>
        <v>0</v>
      </c>
      <c r="I1207" s="616"/>
      <c r="J1207" s="28">
        <f>IF(F1207="I",IFERROR(VLOOKUP(C1207,'BG 12.2023'!$B$6:$E$746,3,FALSE),0),0)</f>
        <v>0</v>
      </c>
      <c r="K1207" s="28">
        <f>IF(F1207="I",IFERROR(VLOOKUP(C1207,'BG 12.2023'!$B$6:$E$746,4,FALSE),0),0)</f>
        <v>0</v>
      </c>
      <c r="M1207" s="15" t="e">
        <f>+VLOOKUP(C1207,'BG 2023'!$B:$E,1,0)</f>
        <v>#N/A</v>
      </c>
      <c r="N1207" s="806" t="e">
        <f>+VLOOKUP(C1207,'BG 2023'!$B:$E,3,0)</f>
        <v>#N/A</v>
      </c>
      <c r="O1207" s="807" t="e">
        <f t="shared" si="91"/>
        <v>#N/A</v>
      </c>
      <c r="P1207" s="807"/>
      <c r="R1207" s="807">
        <f>+IFERROR(VLOOKUP(C1207,'CA FE'!$A:$C,3,0),0)+G1207</f>
        <v>0</v>
      </c>
    </row>
    <row r="1208" spans="1:18" s="87" customFormat="1">
      <c r="A1208" s="77" t="s">
        <v>286</v>
      </c>
      <c r="B1208" s="77"/>
      <c r="C1208" s="793">
        <v>4610111103</v>
      </c>
      <c r="D1208" s="77" t="s">
        <v>1030</v>
      </c>
      <c r="E1208" s="794" t="s">
        <v>634</v>
      </c>
      <c r="F1208" s="794" t="str">
        <f t="shared" ref="F1208:F1278" si="98">+IF(LEN(C1208)&gt;8,"I","NI")</f>
        <v>I</v>
      </c>
      <c r="G1208" s="28">
        <f>+IF(F1208="i",IFERROR(VLOOKUP(C1208,'BG 12.2024'!$B:$E,3,FALSE),0),0)</f>
        <v>0</v>
      </c>
      <c r="H1208" s="21">
        <f>+IF(F1208="i",IFERROR(VLOOKUP(C1208,'BG 12.2024'!$B:$E,4,FALSE),0),0)</f>
        <v>0</v>
      </c>
      <c r="I1208" s="616"/>
      <c r="J1208" s="28">
        <f>IF(F1208="I",IFERROR(VLOOKUP(C1208,'BG 12.2023'!$B$6:$E$746,3,FALSE),0),0)</f>
        <v>0</v>
      </c>
      <c r="K1208" s="28">
        <f>IF(F1208="I",IFERROR(VLOOKUP(C1208,'BG 12.2023'!$B$6:$E$746,4,FALSE),0),0)</f>
        <v>0</v>
      </c>
      <c r="M1208" s="15" t="e">
        <f>+VLOOKUP(C1208,'BG 2023'!$B:$E,1,0)</f>
        <v>#N/A</v>
      </c>
      <c r="N1208" s="806" t="e">
        <f>+VLOOKUP(C1208,'BG 2023'!$B:$E,3,0)</f>
        <v>#N/A</v>
      </c>
      <c r="O1208" s="807" t="e">
        <f t="shared" si="91"/>
        <v>#N/A</v>
      </c>
      <c r="P1208" s="807"/>
      <c r="R1208" s="807">
        <f>+IFERROR(VLOOKUP(C1208,'CA FE'!$A:$C,3,0),0)+G1208</f>
        <v>0</v>
      </c>
    </row>
    <row r="1209" spans="1:18" s="87" customFormat="1">
      <c r="A1209" s="77" t="s">
        <v>286</v>
      </c>
      <c r="B1209" s="77"/>
      <c r="C1209" s="793">
        <v>4610111104</v>
      </c>
      <c r="D1209" s="77" t="s">
        <v>1031</v>
      </c>
      <c r="E1209" s="794" t="s">
        <v>634</v>
      </c>
      <c r="F1209" s="794" t="str">
        <f t="shared" si="98"/>
        <v>I</v>
      </c>
      <c r="G1209" s="28">
        <f>+IF(F1209="i",IFERROR(VLOOKUP(C1209,'BG 12.2024'!$B:$E,3,FALSE),0),0)</f>
        <v>0</v>
      </c>
      <c r="H1209" s="21">
        <f>+IF(F1209="i",IFERROR(VLOOKUP(C1209,'BG 12.2024'!$B:$E,4,FALSE),0),0)</f>
        <v>0</v>
      </c>
      <c r="I1209" s="616"/>
      <c r="J1209" s="28">
        <f>IF(F1209="I",IFERROR(VLOOKUP(C1209,'BG 12.2023'!$B$6:$E$746,3,FALSE),0),0)</f>
        <v>0</v>
      </c>
      <c r="K1209" s="28">
        <f>IF(F1209="I",IFERROR(VLOOKUP(C1209,'BG 12.2023'!$B$6:$E$746,4,FALSE),0),0)</f>
        <v>0</v>
      </c>
      <c r="M1209" s="15" t="e">
        <f>+VLOOKUP(C1209,'BG 2023'!$B:$E,1,0)</f>
        <v>#N/A</v>
      </c>
      <c r="N1209" s="806" t="e">
        <f>+VLOOKUP(C1209,'BG 2023'!$B:$E,3,0)</f>
        <v>#N/A</v>
      </c>
      <c r="O1209" s="807" t="e">
        <f t="shared" si="91"/>
        <v>#N/A</v>
      </c>
      <c r="P1209" s="807"/>
      <c r="R1209" s="807">
        <f>+IFERROR(VLOOKUP(C1209,'CA FE'!$A:$C,3,0),0)+G1209</f>
        <v>0</v>
      </c>
    </row>
    <row r="1210" spans="1:18" s="87" customFormat="1">
      <c r="A1210" s="77" t="s">
        <v>286</v>
      </c>
      <c r="B1210" s="77"/>
      <c r="C1210" s="793">
        <v>48</v>
      </c>
      <c r="D1210" s="77" t="s">
        <v>387</v>
      </c>
      <c r="E1210" s="794" t="s">
        <v>634</v>
      </c>
      <c r="F1210" s="794" t="str">
        <f t="shared" si="98"/>
        <v>NI</v>
      </c>
      <c r="G1210" s="28">
        <f>+IF(F1210="i",IFERROR(VLOOKUP(C1210,'BG 12.2024'!$B:$E,3,FALSE),0),0)</f>
        <v>0</v>
      </c>
      <c r="H1210" s="21">
        <f>+IF(F1210="i",IFERROR(VLOOKUP(C1210,'BG 12.2024'!$B:$E,4,FALSE),0),0)</f>
        <v>0</v>
      </c>
      <c r="I1210" s="616"/>
      <c r="J1210" s="28">
        <f>IF(F1210="I",IFERROR(VLOOKUP(C1210,'BG 12.2023'!$B$6:$E$746,3,FALSE),0),0)</f>
        <v>0</v>
      </c>
      <c r="K1210" s="28">
        <f>IF(F1210="I",IFERROR(VLOOKUP(C1210,'BG 12.2023'!$B$6:$E$746,4,FALSE),0),0)</f>
        <v>0</v>
      </c>
      <c r="M1210" s="15">
        <f>+VLOOKUP(C1210,'BG 2023'!$B:$E,1,0)</f>
        <v>48</v>
      </c>
      <c r="N1210" s="806">
        <f>+VLOOKUP(C1210,'BG 2023'!$B:$E,3,0)</f>
        <v>361552716</v>
      </c>
      <c r="O1210" s="807">
        <f t="shared" si="91"/>
        <v>361552716</v>
      </c>
      <c r="P1210" s="807"/>
      <c r="R1210" s="807">
        <f>+IFERROR(VLOOKUP(C1210,'CA FE'!$A:$C,3,0),0)+G1210</f>
        <v>0</v>
      </c>
    </row>
    <row r="1211" spans="1:18" s="87" customFormat="1">
      <c r="A1211" s="77" t="s">
        <v>286</v>
      </c>
      <c r="B1211" s="77"/>
      <c r="C1211" s="793">
        <v>481</v>
      </c>
      <c r="D1211" s="77" t="s">
        <v>388</v>
      </c>
      <c r="E1211" s="794" t="s">
        <v>634</v>
      </c>
      <c r="F1211" s="794" t="str">
        <f t="shared" si="98"/>
        <v>NI</v>
      </c>
      <c r="G1211" s="28">
        <f>+IF(F1211="i",IFERROR(VLOOKUP(C1211,'BG 12.2024'!$B:$E,3,FALSE),0),0)</f>
        <v>0</v>
      </c>
      <c r="H1211" s="21">
        <f>+IF(F1211="i",IFERROR(VLOOKUP(C1211,'BG 12.2024'!$B:$E,4,FALSE),0),0)</f>
        <v>0</v>
      </c>
      <c r="I1211" s="616"/>
      <c r="J1211" s="28">
        <f>IF(F1211="I",IFERROR(VLOOKUP(C1211,'BG 12.2023'!$B$6:$E$746,3,FALSE),0),0)</f>
        <v>0</v>
      </c>
      <c r="K1211" s="28">
        <f>IF(F1211="I",IFERROR(VLOOKUP(C1211,'BG 12.2023'!$B$6:$E$746,4,FALSE),0),0)</f>
        <v>0</v>
      </c>
      <c r="M1211" s="15">
        <f>+VLOOKUP(C1211,'BG 2023'!$B:$E,1,0)</f>
        <v>481</v>
      </c>
      <c r="N1211" s="806">
        <f>+VLOOKUP(C1211,'BG 2023'!$B:$E,3,0)</f>
        <v>361552716</v>
      </c>
      <c r="O1211" s="807">
        <f t="shared" si="91"/>
        <v>361552716</v>
      </c>
      <c r="P1211" s="807"/>
      <c r="R1211" s="807">
        <f>+IFERROR(VLOOKUP(C1211,'CA FE'!$A:$C,3,0),0)+G1211</f>
        <v>0</v>
      </c>
    </row>
    <row r="1212" spans="1:18" s="87" customFormat="1">
      <c r="A1212" s="77" t="s">
        <v>286</v>
      </c>
      <c r="B1212" s="77"/>
      <c r="C1212" s="793">
        <v>48101</v>
      </c>
      <c r="D1212" s="77" t="s">
        <v>388</v>
      </c>
      <c r="E1212" s="794" t="s">
        <v>634</v>
      </c>
      <c r="F1212" s="794" t="str">
        <f t="shared" si="98"/>
        <v>NI</v>
      </c>
      <c r="G1212" s="28">
        <f>+IF(F1212="i",IFERROR(VLOOKUP(C1212,'BG 12.2024'!$B:$E,3,FALSE),0),0)</f>
        <v>0</v>
      </c>
      <c r="H1212" s="21">
        <f>+IF(F1212="i",IFERROR(VLOOKUP(C1212,'BG 12.2024'!$B:$E,4,FALSE),0),0)</f>
        <v>0</v>
      </c>
      <c r="I1212" s="616"/>
      <c r="J1212" s="28">
        <f>IF(F1212="I",IFERROR(VLOOKUP(C1212,'BG 12.2023'!$B$6:$E$746,3,FALSE),0),0)</f>
        <v>0</v>
      </c>
      <c r="K1212" s="28">
        <f>IF(F1212="I",IFERROR(VLOOKUP(C1212,'BG 12.2023'!$B$6:$E$746,4,FALSE),0),0)</f>
        <v>0</v>
      </c>
      <c r="M1212" s="15">
        <f>+VLOOKUP(C1212,'BG 2023'!$B:$E,1,0)</f>
        <v>48101</v>
      </c>
      <c r="N1212" s="806">
        <f>+VLOOKUP(C1212,'BG 2023'!$B:$E,3,0)</f>
        <v>361552716</v>
      </c>
      <c r="O1212" s="807">
        <f t="shared" si="91"/>
        <v>361552716</v>
      </c>
      <c r="P1212" s="807"/>
      <c r="R1212" s="807">
        <f>+IFERROR(VLOOKUP(C1212,'CA FE'!$A:$C,3,0),0)+G1212</f>
        <v>0</v>
      </c>
    </row>
    <row r="1213" spans="1:18" s="87" customFormat="1">
      <c r="A1213" s="77" t="s">
        <v>286</v>
      </c>
      <c r="B1213" s="77"/>
      <c r="C1213" s="793">
        <v>481011</v>
      </c>
      <c r="D1213" s="77" t="s">
        <v>388</v>
      </c>
      <c r="E1213" s="794" t="s">
        <v>634</v>
      </c>
      <c r="F1213" s="794" t="str">
        <f t="shared" si="98"/>
        <v>NI</v>
      </c>
      <c r="G1213" s="28">
        <f>+IF(F1213="i",IFERROR(VLOOKUP(C1213,'BG 12.2024'!$B:$E,3,FALSE),0),0)</f>
        <v>0</v>
      </c>
      <c r="H1213" s="21">
        <f>+IF(F1213="i",IFERROR(VLOOKUP(C1213,'BG 12.2024'!$B:$E,4,FALSE),0),0)</f>
        <v>0</v>
      </c>
      <c r="I1213" s="616"/>
      <c r="J1213" s="28">
        <f>IF(F1213="I",IFERROR(VLOOKUP(C1213,'BG 12.2023'!$B$6:$E$746,3,FALSE),0),0)</f>
        <v>0</v>
      </c>
      <c r="K1213" s="28">
        <f>IF(F1213="I",IFERROR(VLOOKUP(C1213,'BG 12.2023'!$B$6:$E$746,4,FALSE),0),0)</f>
        <v>0</v>
      </c>
      <c r="M1213" s="15">
        <f>+VLOOKUP(C1213,'BG 2023'!$B:$E,1,0)</f>
        <v>481011</v>
      </c>
      <c r="N1213" s="806">
        <f>+VLOOKUP(C1213,'BG 2023'!$B:$E,3,0)</f>
        <v>361552716</v>
      </c>
      <c r="O1213" s="807">
        <f t="shared" si="91"/>
        <v>361552716</v>
      </c>
      <c r="P1213" s="807"/>
      <c r="R1213" s="807">
        <f>+IFERROR(VLOOKUP(C1213,'CA FE'!$A:$C,3,0),0)+G1213</f>
        <v>0</v>
      </c>
    </row>
    <row r="1214" spans="1:18" s="87" customFormat="1">
      <c r="A1214" s="77" t="s">
        <v>286</v>
      </c>
      <c r="B1214" s="77"/>
      <c r="C1214" s="793">
        <v>4810111</v>
      </c>
      <c r="D1214" s="77" t="s">
        <v>388</v>
      </c>
      <c r="E1214" s="794" t="s">
        <v>634</v>
      </c>
      <c r="F1214" s="794" t="str">
        <f t="shared" si="98"/>
        <v>NI</v>
      </c>
      <c r="G1214" s="28">
        <f>+IF(F1214="i",IFERROR(VLOOKUP(C1214,'BG 12.2024'!$B:$E,3,FALSE),0),0)</f>
        <v>0</v>
      </c>
      <c r="H1214" s="21">
        <f>+IF(F1214="i",IFERROR(VLOOKUP(C1214,'BG 12.2024'!$B:$E,4,FALSE),0),0)</f>
        <v>0</v>
      </c>
      <c r="I1214" s="616"/>
      <c r="J1214" s="28">
        <f>IF(F1214="I",IFERROR(VLOOKUP(C1214,'BG 12.2023'!$B$6:$E$746,3,FALSE),0),0)</f>
        <v>0</v>
      </c>
      <c r="K1214" s="28">
        <f>IF(F1214="I",IFERROR(VLOOKUP(C1214,'BG 12.2023'!$B$6:$E$746,4,FALSE),0),0)</f>
        <v>0</v>
      </c>
      <c r="M1214" s="15">
        <f>+VLOOKUP(C1214,'BG 2023'!$B:$E,1,0)</f>
        <v>4810111</v>
      </c>
      <c r="N1214" s="806">
        <f>+VLOOKUP(C1214,'BG 2023'!$B:$E,3,0)</f>
        <v>361552716</v>
      </c>
      <c r="O1214" s="807">
        <f t="shared" si="91"/>
        <v>361552716</v>
      </c>
      <c r="P1214" s="807"/>
      <c r="R1214" s="807">
        <f>+IFERROR(VLOOKUP(C1214,'CA FE'!$A:$C,3,0),0)+G1214</f>
        <v>0</v>
      </c>
    </row>
    <row r="1215" spans="1:18" s="87" customFormat="1">
      <c r="A1215" s="77" t="s">
        <v>286</v>
      </c>
      <c r="B1215" s="77"/>
      <c r="C1215" s="793">
        <v>48101111</v>
      </c>
      <c r="D1215" s="77" t="s">
        <v>388</v>
      </c>
      <c r="E1215" s="794" t="s">
        <v>634</v>
      </c>
      <c r="F1215" s="794" t="str">
        <f t="shared" si="98"/>
        <v>NI</v>
      </c>
      <c r="G1215" s="28">
        <f>+IF(F1215="i",IFERROR(VLOOKUP(C1215,'BG 12.2024'!$B:$E,3,FALSE),0),0)</f>
        <v>0</v>
      </c>
      <c r="H1215" s="21">
        <f>+IF(F1215="i",IFERROR(VLOOKUP(C1215,'BG 12.2024'!$B:$E,4,FALSE),0),0)</f>
        <v>0</v>
      </c>
      <c r="I1215" s="616"/>
      <c r="J1215" s="28">
        <f>IF(F1215="I",IFERROR(VLOOKUP(C1215,'BG 12.2023'!$B$6:$E$746,3,FALSE),0),0)</f>
        <v>0</v>
      </c>
      <c r="K1215" s="28">
        <f>IF(F1215="I",IFERROR(VLOOKUP(C1215,'BG 12.2023'!$B$6:$E$746,4,FALSE),0),0)</f>
        <v>0</v>
      </c>
      <c r="M1215" s="15">
        <f>+VLOOKUP(C1215,'BG 2023'!$B:$E,1,0)</f>
        <v>48101111</v>
      </c>
      <c r="N1215" s="806">
        <f>+VLOOKUP(C1215,'BG 2023'!$B:$E,3,0)</f>
        <v>361552716</v>
      </c>
      <c r="O1215" s="807">
        <f t="shared" si="91"/>
        <v>361552716</v>
      </c>
      <c r="P1215" s="807"/>
      <c r="R1215" s="807">
        <f>+IFERROR(VLOOKUP(C1215,'CA FE'!$A:$C,3,0),0)+G1215</f>
        <v>0</v>
      </c>
    </row>
    <row r="1216" spans="1:18" s="87" customFormat="1">
      <c r="A1216" s="77" t="s">
        <v>286</v>
      </c>
      <c r="B1216" s="77" t="s">
        <v>1032</v>
      </c>
      <c r="C1216" s="793">
        <v>4810111101</v>
      </c>
      <c r="D1216" s="77" t="s">
        <v>389</v>
      </c>
      <c r="E1216" s="794" t="s">
        <v>634</v>
      </c>
      <c r="F1216" s="794" t="str">
        <f t="shared" si="98"/>
        <v>I</v>
      </c>
      <c r="G1216" s="28">
        <f>+IF(F1216="i",IFERROR(VLOOKUP(C1216,'BG 12.2024'!$B:$E,3,FALSE),0),0)</f>
        <v>0</v>
      </c>
      <c r="H1216" s="21">
        <f>+IF(F1216="i",IFERROR(VLOOKUP(C1216,'BG 12.2024'!$B:$E,4,FALSE),0),0)</f>
        <v>0</v>
      </c>
      <c r="I1216" s="616"/>
      <c r="J1216" s="28">
        <f>IF(F1216="I",IFERROR(VLOOKUP(C1216,'BG 12.2023'!$B$6:$E$746,3,FALSE),0),0)</f>
        <v>101400</v>
      </c>
      <c r="K1216" s="28">
        <f>IF(F1216="I",IFERROR(VLOOKUP(C1216,'BG 12.2023'!$B$6:$E$746,4,FALSE),0),0)</f>
        <v>13.73</v>
      </c>
      <c r="M1216" s="15">
        <f>+VLOOKUP(C1216,'BG 2023'!$B:$E,1,0)</f>
        <v>4810111101</v>
      </c>
      <c r="N1216" s="806">
        <f>+VLOOKUP(C1216,'BG 2023'!$B:$E,3,0)</f>
        <v>101400</v>
      </c>
      <c r="O1216" s="807">
        <f t="shared" ref="O1216:O1260" si="99">+N1216-G1216</f>
        <v>101400</v>
      </c>
      <c r="P1216" s="807"/>
      <c r="R1216" s="807">
        <f>+IFERROR(VLOOKUP(C1216,'CA FE'!$A:$C,3,0),0)+G1216</f>
        <v>0</v>
      </c>
    </row>
    <row r="1217" spans="1:18" s="87" customFormat="1">
      <c r="A1217" s="77" t="s">
        <v>286</v>
      </c>
      <c r="B1217" s="77" t="s">
        <v>1032</v>
      </c>
      <c r="C1217" s="793">
        <v>4810111102</v>
      </c>
      <c r="D1217" s="77" t="s">
        <v>390</v>
      </c>
      <c r="E1217" s="794" t="s">
        <v>634</v>
      </c>
      <c r="F1217" s="794" t="str">
        <f t="shared" si="98"/>
        <v>I</v>
      </c>
      <c r="G1217" s="28">
        <f>+IF(F1217="i",IFERROR(VLOOKUP(C1217,'BG 12.2024'!$B:$E,3,FALSE),0),0)</f>
        <v>93054</v>
      </c>
      <c r="H1217" s="21">
        <f>+IF(F1217="i",IFERROR(VLOOKUP(C1217,'BG 12.2024'!$B:$E,4,FALSE),0),0)</f>
        <v>23.259999999999998</v>
      </c>
      <c r="I1217" s="616"/>
      <c r="J1217" s="28">
        <f>IF(F1217="I",IFERROR(VLOOKUP(C1217,'BG 12.2023'!$B$6:$E$746,3,FALSE),0),0)</f>
        <v>878379</v>
      </c>
      <c r="K1217" s="28">
        <f>IF(F1217="I",IFERROR(VLOOKUP(C1217,'BG 12.2023'!$B$6:$E$746,4,FALSE),0),0)</f>
        <v>126.3</v>
      </c>
      <c r="M1217" s="15">
        <f>+VLOOKUP(C1217,'BG 2023'!$B:$E,1,0)</f>
        <v>4810111102</v>
      </c>
      <c r="N1217" s="806">
        <f>+VLOOKUP(C1217,'BG 2023'!$B:$E,3,0)</f>
        <v>878379</v>
      </c>
      <c r="O1217" s="807">
        <f t="shared" si="99"/>
        <v>785325</v>
      </c>
      <c r="P1217" s="807">
        <f>+VLOOKUP(C1217,'BG 12.2024'!$B$471:$E$866,4,0)-H1217</f>
        <v>0</v>
      </c>
      <c r="R1217" s="807">
        <f>+IFERROR(VLOOKUP(C1217,'CA FE'!$A:$C,3,0),0)+G1217</f>
        <v>0</v>
      </c>
    </row>
    <row r="1218" spans="1:18" s="87" customFormat="1">
      <c r="A1218" s="77" t="s">
        <v>286</v>
      </c>
      <c r="B1218" s="77" t="s">
        <v>391</v>
      </c>
      <c r="C1218" s="793">
        <v>4810111103</v>
      </c>
      <c r="D1218" s="77" t="s">
        <v>391</v>
      </c>
      <c r="E1218" s="794" t="s">
        <v>634</v>
      </c>
      <c r="F1218" s="794" t="str">
        <f t="shared" si="98"/>
        <v>I</v>
      </c>
      <c r="G1218" s="28">
        <f>+IF(F1218="i",IFERROR(VLOOKUP(C1218,'BG 12.2024'!$B:$E,3,FALSE),0),0)</f>
        <v>120953603</v>
      </c>
      <c r="H1218" s="21">
        <f>+IF(F1218="i",IFERROR(VLOOKUP(C1218,'BG 12.2024'!$B:$E,4,FALSE),0),0)</f>
        <v>16561.43</v>
      </c>
      <c r="I1218" s="616"/>
      <c r="J1218" s="28">
        <f>IF(F1218="I",IFERROR(VLOOKUP(C1218,'BG 12.2023'!$B$6:$E$746,3,FALSE),0),0)</f>
        <v>56695647</v>
      </c>
      <c r="K1218" s="28">
        <f>IF(F1218="I",IFERROR(VLOOKUP(C1218,'BG 12.2023'!$B$6:$E$746,4,FALSE),0),0)</f>
        <v>7823.130000000001</v>
      </c>
      <c r="M1218" s="15">
        <f>+VLOOKUP(C1218,'BG 2023'!$B:$E,1,0)</f>
        <v>4810111103</v>
      </c>
      <c r="N1218" s="806">
        <f>+VLOOKUP(C1218,'BG 2023'!$B:$E,3,0)</f>
        <v>56695647</v>
      </c>
      <c r="O1218" s="807">
        <f t="shared" si="99"/>
        <v>-64257956</v>
      </c>
      <c r="P1218" s="807">
        <f>+VLOOKUP(C1218,'BG 12.2024'!$B$471:$E$866,4,0)-H1218</f>
        <v>0</v>
      </c>
      <c r="R1218" s="807">
        <f>+IFERROR(VLOOKUP(C1218,'CA FE'!$A:$C,3,0),0)+G1218</f>
        <v>0</v>
      </c>
    </row>
    <row r="1219" spans="1:18" s="87" customFormat="1">
      <c r="A1219" s="77" t="s">
        <v>286</v>
      </c>
      <c r="B1219" s="77"/>
      <c r="C1219" s="793">
        <v>4810111104</v>
      </c>
      <c r="D1219" s="77" t="s">
        <v>1033</v>
      </c>
      <c r="E1219" s="794" t="s">
        <v>634</v>
      </c>
      <c r="F1219" s="794" t="str">
        <f t="shared" si="98"/>
        <v>I</v>
      </c>
      <c r="G1219" s="28">
        <f>+IF(F1219="i",IFERROR(VLOOKUP(C1219,'BG 12.2024'!$B:$E,3,FALSE),0),0)</f>
        <v>0</v>
      </c>
      <c r="H1219" s="21">
        <f>+IF(F1219="i",IFERROR(VLOOKUP(C1219,'BG 12.2024'!$B:$E,4,FALSE),0),0)</f>
        <v>0</v>
      </c>
      <c r="I1219" s="616"/>
      <c r="J1219" s="28">
        <f>IF(F1219="I",IFERROR(VLOOKUP(C1219,'BG 12.2023'!$B$6:$E$746,3,FALSE),0),0)</f>
        <v>0</v>
      </c>
      <c r="K1219" s="28">
        <f>IF(F1219="I",IFERROR(VLOOKUP(C1219,'BG 12.2023'!$B$6:$E$746,4,FALSE),0),0)</f>
        <v>0</v>
      </c>
      <c r="M1219" s="15" t="e">
        <f>+VLOOKUP(C1219,'BG 2023'!$B:$E,1,0)</f>
        <v>#N/A</v>
      </c>
      <c r="N1219" s="806" t="e">
        <f>+VLOOKUP(C1219,'BG 2023'!$B:$E,3,0)</f>
        <v>#N/A</v>
      </c>
      <c r="O1219" s="807" t="e">
        <f t="shared" si="99"/>
        <v>#N/A</v>
      </c>
      <c r="P1219" s="807"/>
      <c r="R1219" s="807">
        <f>+IFERROR(VLOOKUP(C1219,'CA FE'!$A:$C,3,0),0)+G1219</f>
        <v>0</v>
      </c>
    </row>
    <row r="1220" spans="1:18" s="87" customFormat="1">
      <c r="A1220" s="77" t="s">
        <v>286</v>
      </c>
      <c r="B1220" s="77" t="s">
        <v>1032</v>
      </c>
      <c r="C1220" s="793">
        <v>4810111105</v>
      </c>
      <c r="D1220" s="77" t="s">
        <v>392</v>
      </c>
      <c r="E1220" s="794" t="s">
        <v>634</v>
      </c>
      <c r="F1220" s="794" t="str">
        <f t="shared" si="98"/>
        <v>I</v>
      </c>
      <c r="G1220" s="28">
        <f>+IF(F1220="i",IFERROR(VLOOKUP(C1220,'BG 12.2024'!$B:$E,3,FALSE),0),0)</f>
        <v>10398402</v>
      </c>
      <c r="H1220" s="21">
        <f>+IF(F1220="i",IFERROR(VLOOKUP(C1220,'BG 12.2024'!$B:$E,4,FALSE),0),0)</f>
        <v>1394.74</v>
      </c>
      <c r="I1220" s="616"/>
      <c r="J1220" s="28">
        <f>IF(F1220="I",IFERROR(VLOOKUP(C1220,'BG 12.2023'!$B$6:$E$746,3,FALSE),0),0)</f>
        <v>5400000</v>
      </c>
      <c r="K1220" s="28">
        <f>IF(F1220="I",IFERROR(VLOOKUP(C1220,'BG 12.2023'!$B$6:$E$746,4,FALSE),0),0)</f>
        <v>743.67000000000007</v>
      </c>
      <c r="M1220" s="15">
        <f>+VLOOKUP(C1220,'BG 2023'!$B:$E,1,0)</f>
        <v>4810111105</v>
      </c>
      <c r="N1220" s="806">
        <f>+VLOOKUP(C1220,'BG 2023'!$B:$E,3,0)</f>
        <v>5400000</v>
      </c>
      <c r="O1220" s="807">
        <f t="shared" si="99"/>
        <v>-4998402</v>
      </c>
      <c r="P1220" s="807">
        <f>+VLOOKUP(C1220,'BG 12.2024'!$B$471:$E$866,4,0)-H1220</f>
        <v>0</v>
      </c>
      <c r="R1220" s="807">
        <f>+IFERROR(VLOOKUP(C1220,'CA FE'!$A:$C,3,0),0)+G1220</f>
        <v>0</v>
      </c>
    </row>
    <row r="1221" spans="1:18" s="87" customFormat="1">
      <c r="A1221" s="77" t="s">
        <v>286</v>
      </c>
      <c r="B1221" s="77" t="s">
        <v>945</v>
      </c>
      <c r="C1221" s="793">
        <v>4810111106</v>
      </c>
      <c r="D1221" s="77" t="s">
        <v>393</v>
      </c>
      <c r="E1221" s="794" t="s">
        <v>634</v>
      </c>
      <c r="F1221" s="794" t="str">
        <f t="shared" si="98"/>
        <v>I</v>
      </c>
      <c r="G1221" s="1097">
        <f>+IF(F1221="i",IFERROR(VLOOKUP(C1221,'BG 12.2024'!$B:$E,3,FALSE),0),0)</f>
        <v>162659040</v>
      </c>
      <c r="H1221" s="21">
        <f>+IF(F1221="i",IFERROR(VLOOKUP(C1221,'BG 12.2024'!$B:$E,4,FALSE),0),0)</f>
        <v>21478.02</v>
      </c>
      <c r="I1221" s="616"/>
      <c r="J1221" s="1256">
        <f>IF(F1221="I",IFERROR(VLOOKUP(C1221,'BG 12.2023'!$B$6:$E$746,3,FALSE),0),0)</f>
        <v>149304120</v>
      </c>
      <c r="K1221" s="28">
        <f>IF(F1221="I",IFERROR(VLOOKUP(C1221,'BG 12.2023'!$B$6:$E$746,4,FALSE),0),0)</f>
        <v>20555.730000000003</v>
      </c>
      <c r="M1221" s="15">
        <f>+VLOOKUP(C1221,'BG 2023'!$B:$E,1,0)</f>
        <v>4810111106</v>
      </c>
      <c r="N1221" s="806">
        <f>+VLOOKUP(C1221,'BG 2023'!$B:$E,3,0)</f>
        <v>149304120</v>
      </c>
      <c r="O1221" s="807">
        <f t="shared" si="99"/>
        <v>-13354920</v>
      </c>
      <c r="P1221" s="807">
        <f>+VLOOKUP(C1221,'BG 12.2024'!$B$471:$E$866,4,0)-H1221</f>
        <v>0</v>
      </c>
      <c r="R1221" s="807">
        <f>+IFERROR(VLOOKUP(C1221,'CA FE'!$A:$C,3,0),0)+G1221</f>
        <v>0</v>
      </c>
    </row>
    <row r="1222" spans="1:18" s="87" customFormat="1">
      <c r="A1222" s="77" t="s">
        <v>286</v>
      </c>
      <c r="B1222" s="77" t="s">
        <v>945</v>
      </c>
      <c r="C1222" s="793">
        <v>4810111107</v>
      </c>
      <c r="D1222" s="77" t="s">
        <v>394</v>
      </c>
      <c r="E1222" s="794" t="s">
        <v>634</v>
      </c>
      <c r="F1222" s="794" t="str">
        <f t="shared" ref="F1222" si="100">+IF(LEN(C1222)&gt;8,"I","NI")</f>
        <v>I</v>
      </c>
      <c r="G1222" s="28">
        <f>+IF(F1222="i",IFERROR(VLOOKUP(C1222,'BG 12.2024'!$B:$E,3,FALSE),0),0)</f>
        <v>0</v>
      </c>
      <c r="H1222" s="21">
        <f>+IF(F1222="i",IFERROR(VLOOKUP(C1222,'BG 12.2024'!$B:$E,4,FALSE),0),0)</f>
        <v>0</v>
      </c>
      <c r="I1222" s="616"/>
      <c r="J1222" s="1256">
        <f>IF(F1222="I",IFERROR(VLOOKUP(C1222,'BG 12.2023'!$B$6:$E$746,3,FALSE),0),0)</f>
        <v>149173170</v>
      </c>
      <c r="K1222" s="28">
        <f>IF(F1222="I",IFERROR(VLOOKUP(C1222,'BG 12.2023'!$B$6:$E$746,4,FALSE),0),0)</f>
        <v>20609.47</v>
      </c>
      <c r="M1222" s="15">
        <f>+VLOOKUP(C1222,'BG 2023'!$B:$E,1,0)</f>
        <v>4810111107</v>
      </c>
      <c r="N1222" s="806">
        <f>+VLOOKUP(C1222,'BG 2023'!$B:$E,3,0)</f>
        <v>149173170</v>
      </c>
      <c r="O1222" s="807">
        <f t="shared" si="99"/>
        <v>149173170</v>
      </c>
      <c r="P1222" s="807"/>
      <c r="R1222" s="807">
        <f>+IFERROR(VLOOKUP(C1222,'CA FE'!$A:$C,3,0),0)-G1222</f>
        <v>0</v>
      </c>
    </row>
    <row r="1223" spans="1:18" s="87" customFormat="1">
      <c r="A1223" s="921"/>
      <c r="B1223" s="921"/>
      <c r="C1223" s="922"/>
      <c r="D1223" s="921"/>
      <c r="E1223" s="795"/>
      <c r="F1223" s="795"/>
      <c r="G1223" s="28">
        <f>+IF(F1223="i",IFERROR(VLOOKUP(C1223,'BG 12.2024'!$B:$E,3,FALSE),0),0)</f>
        <v>0</v>
      </c>
      <c r="H1223" s="21">
        <f>+IF(F1223="i",IFERROR(VLOOKUP(C1223,'BG 12.2024'!$B:$E,4,FALSE),0),0)</f>
        <v>0</v>
      </c>
      <c r="I1223" s="797"/>
      <c r="J1223" s="28">
        <f>IF(F1223="I",IFERROR(VLOOKUP(C1223,'BG 12.2023'!$B$6:$E$746,3,FALSE),0),0)</f>
        <v>0</v>
      </c>
      <c r="K1223" s="28">
        <f>IF(F1223="I",IFERROR(VLOOKUP(C1223,'BG 12.2023'!$B$6:$E$746,4,FALSE),0),0)</f>
        <v>0</v>
      </c>
      <c r="M1223" s="15" t="e">
        <f>+VLOOKUP(C1223,'BG 2023'!$B:$E,1,0)</f>
        <v>#N/A</v>
      </c>
      <c r="N1223" s="806" t="e">
        <f>+VLOOKUP(C1223,'BG 2023'!$B:$E,3,0)</f>
        <v>#N/A</v>
      </c>
      <c r="O1223" s="807" t="e">
        <f t="shared" si="99"/>
        <v>#N/A</v>
      </c>
      <c r="P1223" s="807"/>
      <c r="R1223" s="807">
        <f>+IFERROR(VLOOKUP(C1223,'CA FE'!$A:$C,3,0),0)-G1223</f>
        <v>0</v>
      </c>
    </row>
    <row r="1224" spans="1:18" s="87" customFormat="1">
      <c r="A1224" s="77" t="s">
        <v>395</v>
      </c>
      <c r="B1224" s="77"/>
      <c r="C1224" s="793">
        <v>5</v>
      </c>
      <c r="D1224" s="77" t="s">
        <v>395</v>
      </c>
      <c r="E1224" s="794" t="s">
        <v>634</v>
      </c>
      <c r="F1224" s="794" t="str">
        <f t="shared" si="98"/>
        <v>NI</v>
      </c>
      <c r="G1224" s="28">
        <f>+IF(F1224="i",IFERROR(VLOOKUP(C1224,'BG 12.2024'!$B:$E,3,FALSE),0),0)</f>
        <v>0</v>
      </c>
      <c r="H1224" s="21">
        <f>+IF(F1224="i",IFERROR(VLOOKUP(C1224,'BG 12.2024'!$B:$E,4,FALSE),0),0)</f>
        <v>0</v>
      </c>
      <c r="I1224" s="616"/>
      <c r="J1224" s="28">
        <f>IF(F1224="I",IFERROR(VLOOKUP(C1224,'BG 12.2023'!$B$6:$E$746,3,FALSE),0),0)</f>
        <v>0</v>
      </c>
      <c r="K1224" s="28">
        <f>IF(F1224="I",IFERROR(VLOOKUP(C1224,'BG 12.2023'!$B$6:$E$746,4,FALSE),0),0)</f>
        <v>0</v>
      </c>
      <c r="L1224" s="87">
        <f>+SUMIF('CA FE'!$A$1214:$A$1508,Composición!C1224,'CA FE'!$C$1214:$C$1508)</f>
        <v>0</v>
      </c>
      <c r="M1224" s="15">
        <f>+VLOOKUP(C1224,'BG 2023'!$B:$E,1,0)</f>
        <v>5</v>
      </c>
      <c r="N1224" s="806">
        <f>+VLOOKUP(C1224,'BG 2023'!$B:$E,3,0)-J1224</f>
        <v>24928244091</v>
      </c>
      <c r="O1224" s="807">
        <f t="shared" si="99"/>
        <v>24928244091</v>
      </c>
      <c r="P1224" s="807"/>
      <c r="R1224" s="807">
        <f>+IFERROR(VLOOKUP(C1224,'CA FE'!$A:$C,3,0),0)-G1224</f>
        <v>0</v>
      </c>
    </row>
    <row r="1225" spans="1:18" s="87" customFormat="1">
      <c r="A1225" s="77" t="s">
        <v>395</v>
      </c>
      <c r="B1225" s="77"/>
      <c r="C1225" s="793">
        <v>51</v>
      </c>
      <c r="D1225" s="77" t="s">
        <v>396</v>
      </c>
      <c r="E1225" s="794" t="s">
        <v>634</v>
      </c>
      <c r="F1225" s="794" t="str">
        <f t="shared" si="98"/>
        <v>NI</v>
      </c>
      <c r="G1225" s="28">
        <f>+IF(F1225="i",IFERROR(VLOOKUP(C1225,'BG 12.2024'!$B:$E,3,FALSE),0),0)</f>
        <v>0</v>
      </c>
      <c r="H1225" s="21">
        <f>+IF(F1225="i",IFERROR(VLOOKUP(C1225,'BG 12.2024'!$B:$E,4,FALSE),0),0)</f>
        <v>0</v>
      </c>
      <c r="I1225" s="616"/>
      <c r="J1225" s="28">
        <f>IF(F1225="I",IFERROR(VLOOKUP(C1225,'BG 12.2023'!$B$6:$E$746,3,FALSE),0),0)</f>
        <v>0</v>
      </c>
      <c r="K1225" s="28">
        <f>IF(F1225="I",IFERROR(VLOOKUP(C1225,'BG 12.2023'!$B$6:$E$746,4,FALSE),0),0)</f>
        <v>0</v>
      </c>
      <c r="L1225" s="87">
        <f>+SUMIF('CA FE'!$A$1214:$A$1508,Composición!C1225,'CA FE'!$C$1214:$C$1508)</f>
        <v>0</v>
      </c>
      <c r="M1225" s="15">
        <f>+VLOOKUP(C1225,'BG 2023'!$B:$E,1,0)</f>
        <v>51</v>
      </c>
      <c r="N1225" s="806">
        <f>+VLOOKUP(C1225,'BG 2023'!$B:$E,3,0)-J1225</f>
        <v>24852195755</v>
      </c>
      <c r="O1225" s="807">
        <f t="shared" si="99"/>
        <v>24852195755</v>
      </c>
      <c r="P1225" s="807"/>
      <c r="R1225" s="807">
        <f>+IFERROR(VLOOKUP(C1225,'CA FE'!$A:$C,3,0),0)-G1225</f>
        <v>0</v>
      </c>
    </row>
    <row r="1226" spans="1:18" s="87" customFormat="1">
      <c r="A1226" s="77" t="s">
        <v>395</v>
      </c>
      <c r="B1226" s="77"/>
      <c r="C1226" s="793">
        <v>511</v>
      </c>
      <c r="D1226" s="77" t="s">
        <v>397</v>
      </c>
      <c r="E1226" s="794" t="s">
        <v>634</v>
      </c>
      <c r="F1226" s="794" t="str">
        <f t="shared" si="98"/>
        <v>NI</v>
      </c>
      <c r="G1226" s="28">
        <f>+IF(F1226="i",IFERROR(VLOOKUP(C1226,'BG 12.2024'!$B:$E,3,FALSE),0),0)</f>
        <v>0</v>
      </c>
      <c r="H1226" s="21">
        <f>+IF(F1226="i",IFERROR(VLOOKUP(C1226,'BG 12.2024'!$B:$E,4,FALSE),0),0)</f>
        <v>0</v>
      </c>
      <c r="I1226" s="616"/>
      <c r="J1226" s="1256">
        <f>IF(F1226="I",IFERROR(VLOOKUP(C1226,'BG 12.2023'!$B$6:$E$746,3,FALSE),0),0)</f>
        <v>0</v>
      </c>
      <c r="K1226" s="28">
        <f>IF(F1226="I",IFERROR(VLOOKUP(C1226,'BG 12.2023'!$B$6:$E$746,4,FALSE),0),0)</f>
        <v>0</v>
      </c>
      <c r="L1226" s="87">
        <f>+SUMIF('CA FE'!$A$1214:$A$1508,Composición!C1226,'CA FE'!$C$1214:$C$1508)</f>
        <v>0</v>
      </c>
      <c r="M1226" s="15">
        <f>+VLOOKUP(C1226,'BG 2023'!$B:$E,1,0)</f>
        <v>511</v>
      </c>
      <c r="N1226" s="806">
        <f>+VLOOKUP(C1226,'BG 2023'!$B:$E,3,0)-J1226</f>
        <v>2172964847</v>
      </c>
      <c r="O1226" s="807">
        <f t="shared" si="99"/>
        <v>2172964847</v>
      </c>
      <c r="P1226" s="807"/>
      <c r="R1226" s="807">
        <f>+IFERROR(VLOOKUP(C1226,'CA FE'!$A:$C,3,0),0)-G1226</f>
        <v>0</v>
      </c>
    </row>
    <row r="1227" spans="1:18" s="87" customFormat="1">
      <c r="A1227" s="77" t="s">
        <v>395</v>
      </c>
      <c r="B1227" s="77"/>
      <c r="C1227" s="793">
        <v>51101</v>
      </c>
      <c r="D1227" s="77" t="s">
        <v>398</v>
      </c>
      <c r="E1227" s="794" t="s">
        <v>634</v>
      </c>
      <c r="F1227" s="794" t="str">
        <f t="shared" si="98"/>
        <v>NI</v>
      </c>
      <c r="G1227" s="28">
        <f>+IF(F1227="i",IFERROR(VLOOKUP(C1227,'BG 12.2024'!$B:$E,3,FALSE),0),0)</f>
        <v>0</v>
      </c>
      <c r="H1227" s="21">
        <f>+IF(F1227="i",IFERROR(VLOOKUP(C1227,'BG 12.2024'!$B:$E,4,FALSE),0),0)</f>
        <v>0</v>
      </c>
      <c r="I1227" s="616"/>
      <c r="J1227" s="28">
        <f>IF(F1227="I",IFERROR(VLOOKUP(C1227,'BG 12.2023'!$B$6:$E$746,3,FALSE),0),0)</f>
        <v>0</v>
      </c>
      <c r="K1227" s="28">
        <f>IF(F1227="I",IFERROR(VLOOKUP(C1227,'BG 12.2023'!$B$6:$E$746,4,FALSE),0),0)</f>
        <v>0</v>
      </c>
      <c r="L1227" s="87">
        <f>+SUMIF('CA FE'!$A$1214:$A$1508,Composición!C1227,'CA FE'!$C$1214:$C$1508)</f>
        <v>0</v>
      </c>
      <c r="M1227" s="15">
        <f>+VLOOKUP(C1227,'BG 2023'!$B:$E,1,0)</f>
        <v>51101</v>
      </c>
      <c r="N1227" s="806">
        <f>+VLOOKUP(C1227,'BG 2023'!$B:$E,3,0)-J1227</f>
        <v>214127705</v>
      </c>
      <c r="O1227" s="807">
        <f t="shared" si="99"/>
        <v>214127705</v>
      </c>
      <c r="P1227" s="807"/>
      <c r="R1227" s="807">
        <f>+IFERROR(VLOOKUP(C1227,'CA FE'!$A:$C,3,0),0)-G1227</f>
        <v>0</v>
      </c>
    </row>
    <row r="1228" spans="1:18" s="87" customFormat="1">
      <c r="A1228" s="77" t="s">
        <v>395</v>
      </c>
      <c r="B1228" s="77"/>
      <c r="C1228" s="793">
        <v>511011</v>
      </c>
      <c r="D1228" s="77" t="s">
        <v>398</v>
      </c>
      <c r="E1228" s="794" t="s">
        <v>634</v>
      </c>
      <c r="F1228" s="794" t="str">
        <f t="shared" si="98"/>
        <v>NI</v>
      </c>
      <c r="G1228" s="28">
        <f>+IF(F1228="i",IFERROR(VLOOKUP(C1228,'BG 12.2024'!$B:$E,3,FALSE),0),0)</f>
        <v>0</v>
      </c>
      <c r="H1228" s="21">
        <f>+IF(F1228="i",IFERROR(VLOOKUP(C1228,'BG 12.2024'!$B:$E,4,FALSE),0),0)</f>
        <v>0</v>
      </c>
      <c r="I1228" s="616"/>
      <c r="J1228" s="28">
        <f>IF(F1228="I",IFERROR(VLOOKUP(C1228,'BG 12.2023'!$B$6:$E$746,3,FALSE),0),0)</f>
        <v>0</v>
      </c>
      <c r="K1228" s="28">
        <f>IF(F1228="I",IFERROR(VLOOKUP(C1228,'BG 12.2023'!$B$6:$E$746,4,FALSE),0),0)</f>
        <v>0</v>
      </c>
      <c r="L1228" s="87">
        <f>+SUMIF('CA FE'!$A$1214:$A$1508,Composición!C1228,'CA FE'!$C$1214:$C$1508)</f>
        <v>0</v>
      </c>
      <c r="M1228" s="15">
        <f>+VLOOKUP(C1228,'BG 2023'!$B:$E,1,0)</f>
        <v>511011</v>
      </c>
      <c r="N1228" s="806">
        <f>+VLOOKUP(C1228,'BG 2023'!$B:$E,3,0)-J1228</f>
        <v>214127705</v>
      </c>
      <c r="O1228" s="807">
        <f t="shared" si="99"/>
        <v>214127705</v>
      </c>
      <c r="P1228" s="807"/>
      <c r="R1228" s="807">
        <f>+IFERROR(VLOOKUP(C1228,'CA FE'!$A:$C,3,0),0)-G1228</f>
        <v>0</v>
      </c>
    </row>
    <row r="1229" spans="1:18" s="87" customFormat="1">
      <c r="A1229" s="77" t="s">
        <v>395</v>
      </c>
      <c r="B1229" s="77"/>
      <c r="C1229" s="793">
        <v>5110111</v>
      </c>
      <c r="D1229" s="77" t="s">
        <v>398</v>
      </c>
      <c r="E1229" s="794" t="s">
        <v>634</v>
      </c>
      <c r="F1229" s="794" t="str">
        <f t="shared" si="98"/>
        <v>NI</v>
      </c>
      <c r="G1229" s="28">
        <f>+IF(F1229="i",IFERROR(VLOOKUP(C1229,'BG 12.2024'!$B:$E,3,FALSE),0),0)</f>
        <v>0</v>
      </c>
      <c r="H1229" s="21">
        <f>+IF(F1229="i",IFERROR(VLOOKUP(C1229,'BG 12.2024'!$B:$E,4,FALSE),0),0)</f>
        <v>0</v>
      </c>
      <c r="I1229" s="616"/>
      <c r="J1229" s="28">
        <f>IF(F1229="I",IFERROR(VLOOKUP(C1229,'BG 12.2023'!$B$6:$E$746,3,FALSE),0),0)</f>
        <v>0</v>
      </c>
      <c r="K1229" s="28">
        <f>IF(F1229="I",IFERROR(VLOOKUP(C1229,'BG 12.2023'!$B$6:$E$746,4,FALSE),0),0)</f>
        <v>0</v>
      </c>
      <c r="L1229" s="87">
        <f>+SUMIF('CA FE'!$A$1214:$A$1508,Composición!C1229,'CA FE'!$C$1214:$C$1508)</f>
        <v>0</v>
      </c>
      <c r="M1229" s="15">
        <f>+VLOOKUP(C1229,'BG 2023'!$B:$E,1,0)</f>
        <v>5110111</v>
      </c>
      <c r="N1229" s="806">
        <f>+VLOOKUP(C1229,'BG 2023'!$B:$E,3,0)-J1229</f>
        <v>214127705</v>
      </c>
      <c r="O1229" s="807">
        <f t="shared" si="99"/>
        <v>214127705</v>
      </c>
      <c r="P1229" s="807"/>
      <c r="R1229" s="807">
        <f>+IFERROR(VLOOKUP(C1229,'CA FE'!$A:$C,3,0),0)-G1229</f>
        <v>0</v>
      </c>
    </row>
    <row r="1230" spans="1:18" s="87" customFormat="1">
      <c r="A1230" s="77" t="s">
        <v>395</v>
      </c>
      <c r="B1230" s="77"/>
      <c r="C1230" s="793">
        <v>51101111</v>
      </c>
      <c r="D1230" s="77" t="s">
        <v>399</v>
      </c>
      <c r="E1230" s="794" t="s">
        <v>634</v>
      </c>
      <c r="F1230" s="794" t="str">
        <f t="shared" si="98"/>
        <v>NI</v>
      </c>
      <c r="G1230" s="28">
        <f>+IF(F1230="i",IFERROR(VLOOKUP(C1230,'BG 12.2024'!$B:$E,3,FALSE),0),0)</f>
        <v>0</v>
      </c>
      <c r="H1230" s="21">
        <f>+IF(F1230="i",IFERROR(VLOOKUP(C1230,'BG 12.2024'!$B:$E,4,FALSE),0),0)</f>
        <v>0</v>
      </c>
      <c r="I1230" s="616"/>
      <c r="J1230" s="28">
        <f>IF(F1230="I",IFERROR(VLOOKUP(C1230,'BG 12.2023'!$B$6:$E$746,3,FALSE),0),0)</f>
        <v>0</v>
      </c>
      <c r="K1230" s="28">
        <f>IF(F1230="I",IFERROR(VLOOKUP(C1230,'BG 12.2023'!$B$6:$E$746,4,FALSE),0),0)</f>
        <v>0</v>
      </c>
      <c r="L1230" s="87">
        <f>+SUMIF('CA FE'!$A$1214:$A$1508,Composición!C1230,'CA FE'!$C$1214:$C$1508)</f>
        <v>0</v>
      </c>
      <c r="M1230" s="15">
        <f>+VLOOKUP(C1230,'BG 2023'!$B:$E,1,0)</f>
        <v>51101111</v>
      </c>
      <c r="N1230" s="806">
        <f>+VLOOKUP(C1230,'BG 2023'!$B:$E,3,0)-J1230</f>
        <v>7272727</v>
      </c>
      <c r="O1230" s="807">
        <f t="shared" si="99"/>
        <v>7272727</v>
      </c>
      <c r="P1230" s="807"/>
      <c r="R1230" s="807">
        <f>+IFERROR(VLOOKUP(C1230,'CA FE'!$A:$C,3,0),0)-G1230</f>
        <v>0</v>
      </c>
    </row>
    <row r="1231" spans="1:18" s="87" customFormat="1">
      <c r="A1231" s="77" t="s">
        <v>395</v>
      </c>
      <c r="B1231" s="77"/>
      <c r="C1231" s="793">
        <v>5110111101</v>
      </c>
      <c r="D1231" s="77" t="s">
        <v>1034</v>
      </c>
      <c r="E1231" s="794" t="s">
        <v>634</v>
      </c>
      <c r="F1231" s="794" t="str">
        <f t="shared" si="98"/>
        <v>I</v>
      </c>
      <c r="G1231" s="28">
        <f>+IF(F1231="i",IFERROR(VLOOKUP(C1231,'BG 12.2024'!$B:$E,3,FALSE),0),0)</f>
        <v>0</v>
      </c>
      <c r="H1231" s="21">
        <f>+IF(F1231="i",IFERROR(VLOOKUP(C1231,'BG 12.2024'!$B:$E,4,FALSE),0),0)</f>
        <v>0</v>
      </c>
      <c r="I1231" s="616"/>
      <c r="J1231" s="28">
        <f>IF(F1231="I",IFERROR(VLOOKUP(C1231,'BG 12.2023'!$B$6:$E$746,3,FALSE),0),0)</f>
        <v>0</v>
      </c>
      <c r="K1231" s="28">
        <f>IF(F1231="I",IFERROR(VLOOKUP(C1231,'BG 12.2023'!$B$6:$E$746,4,FALSE),0),0)</f>
        <v>0</v>
      </c>
      <c r="L1231" s="87">
        <f>+SUMIF('CA FE'!$A$1214:$A$1508,Composición!C1231,'CA FE'!$C$1214:$C$1508)</f>
        <v>0</v>
      </c>
      <c r="M1231" s="15" t="e">
        <f>+VLOOKUP(C1231,'BG 2023'!$B:$E,1,0)</f>
        <v>#N/A</v>
      </c>
      <c r="N1231" s="819" t="e">
        <f>+VLOOKUP(C1231,'BG 12.2024'!$B:$E,3,0)</f>
        <v>#N/A</v>
      </c>
      <c r="O1231" s="807" t="e">
        <f>+N1231-J1231</f>
        <v>#N/A</v>
      </c>
      <c r="P1231" s="807"/>
      <c r="R1231" s="807">
        <f>+IFERROR(VLOOKUP(C1231,'CA FE'!$A:$C,3,0),0)-G1231</f>
        <v>0</v>
      </c>
    </row>
    <row r="1232" spans="1:18" s="87" customFormat="1">
      <c r="A1232" s="77" t="s">
        <v>395</v>
      </c>
      <c r="B1232" s="77" t="s">
        <v>398</v>
      </c>
      <c r="C1232" s="793">
        <v>5110111102</v>
      </c>
      <c r="D1232" s="77" t="s">
        <v>399</v>
      </c>
      <c r="E1232" s="794" t="s">
        <v>634</v>
      </c>
      <c r="F1232" s="794" t="str">
        <f t="shared" si="98"/>
        <v>I</v>
      </c>
      <c r="G1232" s="28">
        <f>+IF(F1232="i",IFERROR(VLOOKUP(C1232,'BG 12.2024'!$B:$E,3,FALSE),0),0)</f>
        <v>0</v>
      </c>
      <c r="H1232" s="21">
        <f>+IF(F1232="i",IFERROR(VLOOKUP(C1232,'BG 12.2024'!$B:$E,4,FALSE),0),0)</f>
        <v>0</v>
      </c>
      <c r="I1232" s="616"/>
      <c r="J1232" s="28">
        <f>IF(F1232="I",IFERROR(VLOOKUP(C1232,'BG 12.2023'!$B$6:$E$746,3,FALSE),0),0)</f>
        <v>7272727</v>
      </c>
      <c r="K1232" s="28">
        <f>IF(F1232="I",IFERROR(VLOOKUP(C1232,'BG 12.2023'!$B$6:$E$746,4,FALSE),0),0)</f>
        <v>977.46</v>
      </c>
      <c r="L1232" s="87">
        <f>+SUMIF('CA FE'!$A$1214:$A$1508,Composición!C1232,'CA FE'!$C$1214:$C$1508)</f>
        <v>0</v>
      </c>
      <c r="M1232" s="15">
        <f>+VLOOKUP(C1232,'BG 2023'!$B:$E,1,0)</f>
        <v>5110111102</v>
      </c>
      <c r="N1232" s="819" t="e">
        <f>+VLOOKUP(C1232,'BG 12.2024'!$B:$E,3,0)</f>
        <v>#N/A</v>
      </c>
      <c r="O1232" s="807" t="e">
        <f>+N1232-J1232</f>
        <v>#N/A</v>
      </c>
      <c r="P1232" s="807"/>
      <c r="R1232" s="807">
        <f>+IFERROR(VLOOKUP(C1232,'CA FE'!$A:$C,3,0),0)-G1232</f>
        <v>0</v>
      </c>
    </row>
    <row r="1233" spans="1:18" s="87" customFormat="1">
      <c r="A1233" s="77" t="s">
        <v>395</v>
      </c>
      <c r="B1233" s="77"/>
      <c r="C1233" s="793">
        <v>51101112</v>
      </c>
      <c r="D1233" s="77" t="s">
        <v>401</v>
      </c>
      <c r="E1233" s="794" t="s">
        <v>634</v>
      </c>
      <c r="F1233" s="794" t="str">
        <f t="shared" si="98"/>
        <v>NI</v>
      </c>
      <c r="G1233" s="28">
        <f>+IF(F1233="i",IFERROR(VLOOKUP(C1233,'BG 12.2024'!$B:$E,3,FALSE),0),0)</f>
        <v>0</v>
      </c>
      <c r="H1233" s="21">
        <f>+IF(F1233="i",IFERROR(VLOOKUP(C1233,'BG 12.2024'!$B:$E,4,FALSE),0),0)</f>
        <v>0</v>
      </c>
      <c r="I1233" s="616"/>
      <c r="J1233" s="28">
        <f>IF(F1233="I",IFERROR(VLOOKUP(C1233,'BG 12.2023'!$B$6:$E$746,3,FALSE),0),0)</f>
        <v>0</v>
      </c>
      <c r="K1233" s="28">
        <f>IF(F1233="I",IFERROR(VLOOKUP(C1233,'BG 12.2023'!$B$6:$E$746,4,FALSE),0),0)</f>
        <v>0</v>
      </c>
      <c r="L1233" s="87">
        <f>+SUMIF('CA FE'!$A$1214:$A$1508,Composición!C1233,'CA FE'!$C$1214:$C$1508)</f>
        <v>0</v>
      </c>
      <c r="M1233" s="15">
        <f>+VLOOKUP(C1233,'BG 2023'!$B:$E,1,0)</f>
        <v>51101112</v>
      </c>
      <c r="N1233" s="806">
        <f>+VLOOKUP(C1233,'BG 2023'!$B:$E,3,0)-J1233</f>
        <v>7500000</v>
      </c>
      <c r="O1233" s="807">
        <f t="shared" si="99"/>
        <v>7500000</v>
      </c>
      <c r="P1233" s="807"/>
      <c r="R1233" s="807">
        <f>+IFERROR(VLOOKUP(C1233,'CA FE'!$A:$C,3,0),0)-G1233</f>
        <v>0</v>
      </c>
    </row>
    <row r="1234" spans="1:18" s="87" customFormat="1">
      <c r="A1234" s="77" t="s">
        <v>395</v>
      </c>
      <c r="B1234" s="77" t="s">
        <v>398</v>
      </c>
      <c r="C1234" s="793">
        <v>5110111201</v>
      </c>
      <c r="D1234" s="77" t="s">
        <v>402</v>
      </c>
      <c r="E1234" s="794" t="s">
        <v>634</v>
      </c>
      <c r="F1234" s="794" t="str">
        <f t="shared" si="98"/>
        <v>I</v>
      </c>
      <c r="G1234" s="28">
        <f>+IF(F1234="i",IFERROR(VLOOKUP(C1234,'BG 12.2024'!$B:$E,3,FALSE),0),0)</f>
        <v>0</v>
      </c>
      <c r="H1234" s="21">
        <f>+IF(F1234="i",IFERROR(VLOOKUP(C1234,'BG 12.2024'!$B:$E,4,FALSE),0),0)</f>
        <v>0</v>
      </c>
      <c r="I1234" s="616"/>
      <c r="J1234" s="28">
        <f>IF(F1234="I",IFERROR(VLOOKUP(C1234,'BG 12.2023'!$B$6:$E$746,3,FALSE),0),0)</f>
        <v>7500000</v>
      </c>
      <c r="K1234" s="28">
        <f>IF(F1234="I",IFERROR(VLOOKUP(C1234,'BG 12.2023'!$B$6:$E$746,4,FALSE),0),0)</f>
        <v>1021.93</v>
      </c>
      <c r="L1234" s="87">
        <f>+SUMIF('CA FE'!$A$1214:$A$1508,Composición!C1234,'CA FE'!$C$1214:$C$1508)</f>
        <v>0</v>
      </c>
      <c r="M1234" s="15">
        <f>+VLOOKUP(C1234,'BG 2023'!$B:$E,1,0)</f>
        <v>5110111201</v>
      </c>
      <c r="N1234" s="819" t="e">
        <f>+VLOOKUP(C1234,'BG 12.2024'!$B:$E,3,0)</f>
        <v>#N/A</v>
      </c>
      <c r="O1234" s="807" t="e">
        <f t="shared" ref="O1234:O1235" si="101">+N1234-J1234</f>
        <v>#N/A</v>
      </c>
      <c r="P1234" s="807"/>
      <c r="R1234" s="807">
        <f>+IFERROR(VLOOKUP(C1234,'CA FE'!$A:$C,3,0),0)-G1234</f>
        <v>0</v>
      </c>
    </row>
    <row r="1235" spans="1:18" s="87" customFormat="1">
      <c r="A1235" s="77" t="s">
        <v>395</v>
      </c>
      <c r="B1235" s="77"/>
      <c r="C1235" s="793">
        <v>5110111202</v>
      </c>
      <c r="D1235" s="77" t="s">
        <v>402</v>
      </c>
      <c r="E1235" s="794" t="s">
        <v>640</v>
      </c>
      <c r="F1235" s="794" t="str">
        <f t="shared" si="98"/>
        <v>I</v>
      </c>
      <c r="G1235" s="28">
        <f>+IF(F1235="i",IFERROR(VLOOKUP(C1235,'BG 12.2024'!$B:$E,3,FALSE),0),0)</f>
        <v>0</v>
      </c>
      <c r="H1235" s="21">
        <f>+IF(F1235="i",IFERROR(VLOOKUP(C1235,'BG 12.2024'!$B:$E,4,FALSE),0),0)</f>
        <v>0</v>
      </c>
      <c r="I1235" s="616"/>
      <c r="J1235" s="28">
        <f>IF(F1235="I",IFERROR(VLOOKUP(C1235,'BG 12.2023'!$B$6:$E$746,3,FALSE),0),0)</f>
        <v>0</v>
      </c>
      <c r="K1235" s="28">
        <f>IF(F1235="I",IFERROR(VLOOKUP(C1235,'BG 12.2023'!$B$6:$E$746,4,FALSE),0),0)</f>
        <v>0</v>
      </c>
      <c r="L1235" s="87">
        <f>+SUMIF('CA FE'!$A$1214:$A$1508,Composición!C1235,'CA FE'!$C$1214:$C$1508)</f>
        <v>0</v>
      </c>
      <c r="M1235" s="15" t="e">
        <f>+VLOOKUP(C1235,'BG 2023'!$B:$E,1,0)</f>
        <v>#N/A</v>
      </c>
      <c r="N1235" s="819" t="e">
        <f>+VLOOKUP(C1235,'BG 12.2024'!$B:$E,3,0)</f>
        <v>#N/A</v>
      </c>
      <c r="O1235" s="807" t="e">
        <f t="shared" si="101"/>
        <v>#N/A</v>
      </c>
      <c r="P1235" s="807"/>
      <c r="R1235" s="807">
        <f>+IFERROR(VLOOKUP(C1235,'CA FE'!$A:$C,3,0),0)-G1235</f>
        <v>0</v>
      </c>
    </row>
    <row r="1236" spans="1:18" s="87" customFormat="1">
      <c r="A1236" s="77" t="s">
        <v>395</v>
      </c>
      <c r="B1236" s="77"/>
      <c r="C1236" s="793">
        <v>51101113</v>
      </c>
      <c r="D1236" s="77" t="s">
        <v>403</v>
      </c>
      <c r="E1236" s="794" t="s">
        <v>634</v>
      </c>
      <c r="F1236" s="794" t="str">
        <f t="shared" si="98"/>
        <v>NI</v>
      </c>
      <c r="G1236" s="28">
        <f>+IF(F1236="i",IFERROR(VLOOKUP(C1236,'BG 12.2024'!$B:$E,3,FALSE),0),0)</f>
        <v>0</v>
      </c>
      <c r="H1236" s="21">
        <f>+IF(F1236="i",IFERROR(VLOOKUP(C1236,'BG 12.2024'!$B:$E,4,FALSE),0),0)</f>
        <v>0</v>
      </c>
      <c r="I1236" s="616"/>
      <c r="J1236" s="28">
        <f>IF(F1236="I",IFERROR(VLOOKUP(C1236,'BG 12.2023'!$B$6:$E$746,3,FALSE),0),0)</f>
        <v>0</v>
      </c>
      <c r="K1236" s="28">
        <f>IF(F1236="I",IFERROR(VLOOKUP(C1236,'BG 12.2023'!$B$6:$E$746,4,FALSE),0),0)</f>
        <v>0</v>
      </c>
      <c r="L1236" s="87">
        <f>+SUMIF('CA FE'!$A$1214:$A$1508,Composición!C1236,'CA FE'!$C$1214:$C$1508)</f>
        <v>0</v>
      </c>
      <c r="M1236" s="15">
        <f>+VLOOKUP(C1236,'BG 2023'!$B:$E,1,0)</f>
        <v>51101113</v>
      </c>
      <c r="N1236" s="806">
        <f>+VLOOKUP(C1236,'BG 2023'!$B:$E,3,0)-J1236</f>
        <v>199354978</v>
      </c>
      <c r="O1236" s="807">
        <f t="shared" si="99"/>
        <v>199354978</v>
      </c>
      <c r="P1236" s="807"/>
      <c r="R1236" s="807">
        <f>+IFERROR(VLOOKUP(C1236,'CA FE'!$A:$C,3,0),0)-G1236</f>
        <v>0</v>
      </c>
    </row>
    <row r="1237" spans="1:18" s="87" customFormat="1">
      <c r="A1237" s="77" t="s">
        <v>395</v>
      </c>
      <c r="B1237" s="77" t="s">
        <v>398</v>
      </c>
      <c r="C1237" s="793">
        <v>5110111301</v>
      </c>
      <c r="D1237" s="77" t="s">
        <v>1035</v>
      </c>
      <c r="E1237" s="794" t="s">
        <v>634</v>
      </c>
      <c r="F1237" s="794" t="str">
        <f t="shared" si="98"/>
        <v>I</v>
      </c>
      <c r="G1237" s="1097">
        <f>+IF(F1237="i",IFERROR(VLOOKUP(C1237,'BG 12.2024'!$B:$E,3,FALSE),0),0)</f>
        <v>446163677</v>
      </c>
      <c r="H1237" s="21">
        <f>+IF(F1237="i",IFERROR(VLOOKUP(C1237,'BG 12.2024'!$B:$E,4,FALSE),0),0)</f>
        <v>58399.54</v>
      </c>
      <c r="I1237" s="616"/>
      <c r="J1237" s="28">
        <f>IF(F1237="I",IFERROR(VLOOKUP(C1237,'BG 12.2023'!$B$6:$E$746,3,FALSE),0),0)</f>
        <v>199354978</v>
      </c>
      <c r="K1237" s="28">
        <f>IF(F1237="I",IFERROR(VLOOKUP(C1237,'BG 12.2023'!$B$6:$E$746,4,FALSE),0),0)</f>
        <v>27214.7</v>
      </c>
      <c r="L1237" s="87">
        <f>+SUMIF('CA FE'!$A$1214:$A$1508,Composición!C1237,'CA FE'!$C$1214:$C$1508)</f>
        <v>446163677</v>
      </c>
      <c r="M1237" s="15">
        <f>+VLOOKUP(C1237,'BG 2023'!$B:$E,1,0)</f>
        <v>5110111301</v>
      </c>
      <c r="N1237" s="806">
        <f>+VLOOKUP(C1237,'BG 12.2024'!$B:$E,3,0)</f>
        <v>446163677</v>
      </c>
      <c r="O1237" s="807">
        <f>+N1237-J1237</f>
        <v>246808699</v>
      </c>
      <c r="P1237" s="807"/>
      <c r="R1237" s="807">
        <f>+IFERROR(VLOOKUP(C1237,'CA FE'!$A:$C,3,0),0)-G1237</f>
        <v>0</v>
      </c>
    </row>
    <row r="1238" spans="1:18" s="87" customFormat="1">
      <c r="A1238" s="77" t="s">
        <v>395</v>
      </c>
      <c r="B1238" s="77"/>
      <c r="C1238" s="793">
        <v>51102</v>
      </c>
      <c r="D1238" s="77" t="s">
        <v>405</v>
      </c>
      <c r="E1238" s="794" t="s">
        <v>634</v>
      </c>
      <c r="F1238" s="794" t="str">
        <f t="shared" si="98"/>
        <v>NI</v>
      </c>
      <c r="G1238" s="28">
        <f>+IF(F1238="i",IFERROR(VLOOKUP(C1238,'BG 12.2024'!$B:$E,3,FALSE),0),0)</f>
        <v>0</v>
      </c>
      <c r="H1238" s="21">
        <f>+IF(F1238="i",IFERROR(VLOOKUP(C1238,'BG 12.2024'!$B:$E,4,FALSE),0),0)</f>
        <v>0</v>
      </c>
      <c r="I1238" s="616"/>
      <c r="J1238" s="28">
        <f>IF(F1238="I",IFERROR(VLOOKUP(C1238,'BG 12.2023'!$B$6:$E$746,3,FALSE),0),0)</f>
        <v>0</v>
      </c>
      <c r="K1238" s="28">
        <f>IF(F1238="I",IFERROR(VLOOKUP(C1238,'BG 12.2023'!$B$6:$E$746,4,FALSE),0),0)</f>
        <v>0</v>
      </c>
      <c r="L1238" s="87">
        <f>+SUMIF('CA FE'!$A$1214:$A$1508,Composición!C1238,'CA FE'!$C$1214:$C$1508)</f>
        <v>0</v>
      </c>
      <c r="M1238" s="15">
        <f>+VLOOKUP(C1238,'BG 2023'!$B:$E,1,0)</f>
        <v>51102</v>
      </c>
      <c r="N1238" s="806">
        <f>+VLOOKUP(C1238,'BG 2023'!$B:$E,3,0)-J1238</f>
        <v>279795358</v>
      </c>
      <c r="O1238" s="807">
        <f t="shared" si="99"/>
        <v>279795358</v>
      </c>
      <c r="P1238" s="807"/>
      <c r="R1238" s="807">
        <f>+IFERROR(VLOOKUP(C1238,'CA FE'!$A:$C,3,0),0)-G1238</f>
        <v>0</v>
      </c>
    </row>
    <row r="1239" spans="1:18" s="87" customFormat="1">
      <c r="A1239" s="77" t="s">
        <v>395</v>
      </c>
      <c r="B1239" s="77"/>
      <c r="C1239" s="793">
        <v>511021</v>
      </c>
      <c r="D1239" s="77" t="s">
        <v>405</v>
      </c>
      <c r="E1239" s="794" t="s">
        <v>634</v>
      </c>
      <c r="F1239" s="794" t="str">
        <f t="shared" si="98"/>
        <v>NI</v>
      </c>
      <c r="G1239" s="28">
        <f>+IF(F1239="i",IFERROR(VLOOKUP(C1239,'BG 12.2024'!$B:$E,3,FALSE),0),0)</f>
        <v>0</v>
      </c>
      <c r="H1239" s="21">
        <f>+IF(F1239="i",IFERROR(VLOOKUP(C1239,'BG 12.2024'!$B:$E,4,FALSE),0),0)</f>
        <v>0</v>
      </c>
      <c r="I1239" s="616"/>
      <c r="J1239" s="28">
        <f>IF(F1239="I",IFERROR(VLOOKUP(C1239,'BG 12.2023'!$B$6:$E$746,3,FALSE),0),0)</f>
        <v>0</v>
      </c>
      <c r="K1239" s="28">
        <f>IF(F1239="I",IFERROR(VLOOKUP(C1239,'BG 12.2023'!$B$6:$E$746,4,FALSE),0),0)</f>
        <v>0</v>
      </c>
      <c r="L1239" s="87">
        <f>+SUMIF('CA FE'!$A$1214:$A$1508,Composición!C1239,'CA FE'!$C$1214:$C$1508)</f>
        <v>0</v>
      </c>
      <c r="M1239" s="15">
        <f>+VLOOKUP(C1239,'BG 2023'!$B:$E,1,0)</f>
        <v>511021</v>
      </c>
      <c r="N1239" s="806">
        <f>+VLOOKUP(C1239,'BG 2023'!$B:$E,3,0)-J1239</f>
        <v>279795358</v>
      </c>
      <c r="O1239" s="807">
        <f t="shared" si="99"/>
        <v>279795358</v>
      </c>
      <c r="P1239" s="807"/>
      <c r="R1239" s="807">
        <f>+IFERROR(VLOOKUP(C1239,'CA FE'!$A:$C,3,0),0)-G1239</f>
        <v>0</v>
      </c>
    </row>
    <row r="1240" spans="1:18" s="87" customFormat="1">
      <c r="A1240" s="77" t="s">
        <v>395</v>
      </c>
      <c r="B1240" s="77"/>
      <c r="C1240" s="793">
        <v>5110211</v>
      </c>
      <c r="D1240" s="77" t="s">
        <v>405</v>
      </c>
      <c r="E1240" s="794" t="s">
        <v>634</v>
      </c>
      <c r="F1240" s="794" t="str">
        <f t="shared" si="98"/>
        <v>NI</v>
      </c>
      <c r="G1240" s="28">
        <f>+IF(F1240="i",IFERROR(VLOOKUP(C1240,'BG 12.2024'!$B:$E,3,FALSE),0),0)</f>
        <v>0</v>
      </c>
      <c r="H1240" s="21">
        <f>+IF(F1240="i",IFERROR(VLOOKUP(C1240,'BG 12.2024'!$B:$E,4,FALSE),0),0)</f>
        <v>0</v>
      </c>
      <c r="I1240" s="616"/>
      <c r="J1240" s="28">
        <f>IF(F1240="I",IFERROR(VLOOKUP(C1240,'BG 12.2023'!$B$6:$E$746,3,FALSE),0),0)</f>
        <v>0</v>
      </c>
      <c r="K1240" s="28">
        <f>IF(F1240="I",IFERROR(VLOOKUP(C1240,'BG 12.2023'!$B$6:$E$746,4,FALSE),0),0)</f>
        <v>0</v>
      </c>
      <c r="L1240" s="87">
        <f>+SUMIF('CA FE'!$A$1214:$A$1508,Composición!C1240,'CA FE'!$C$1214:$C$1508)</f>
        <v>0</v>
      </c>
      <c r="M1240" s="15">
        <f>+VLOOKUP(C1240,'BG 2023'!$B:$E,1,0)</f>
        <v>5110211</v>
      </c>
      <c r="N1240" s="806">
        <f>+VLOOKUP(C1240,'BG 2023'!$B:$E,3,0)-J1240</f>
        <v>279795358</v>
      </c>
      <c r="O1240" s="807">
        <f t="shared" si="99"/>
        <v>279795358</v>
      </c>
      <c r="P1240" s="807"/>
      <c r="R1240" s="807">
        <f>+IFERROR(VLOOKUP(C1240,'CA FE'!$A:$C,3,0),0)-G1240</f>
        <v>0</v>
      </c>
    </row>
    <row r="1241" spans="1:18" s="87" customFormat="1">
      <c r="A1241" s="77" t="s">
        <v>395</v>
      </c>
      <c r="B1241" s="77"/>
      <c r="C1241" s="793">
        <v>51102111</v>
      </c>
      <c r="D1241" s="77" t="s">
        <v>405</v>
      </c>
      <c r="E1241" s="794" t="s">
        <v>634</v>
      </c>
      <c r="F1241" s="794" t="str">
        <f t="shared" si="98"/>
        <v>NI</v>
      </c>
      <c r="G1241" s="28">
        <f>+IF(F1241="i",IFERROR(VLOOKUP(C1241,'BG 12.2024'!$B:$E,3,FALSE),0),0)</f>
        <v>0</v>
      </c>
      <c r="H1241" s="21">
        <f>+IF(F1241="i",IFERROR(VLOOKUP(C1241,'BG 12.2024'!$B:$E,4,FALSE),0),0)</f>
        <v>0</v>
      </c>
      <c r="I1241" s="616"/>
      <c r="J1241" s="28">
        <f>IF(F1241="I",IFERROR(VLOOKUP(C1241,'BG 12.2023'!$B$6:$E$746,3,FALSE),0),0)</f>
        <v>0</v>
      </c>
      <c r="K1241" s="28">
        <f>IF(F1241="I",IFERROR(VLOOKUP(C1241,'BG 12.2023'!$B$6:$E$746,4,FALSE),0),0)</f>
        <v>0</v>
      </c>
      <c r="L1241" s="87">
        <f>+SUMIF('CA FE'!$A$1214:$A$1508,Composición!C1241,'CA FE'!$C$1214:$C$1508)</f>
        <v>0</v>
      </c>
      <c r="M1241" s="15">
        <f>+VLOOKUP(C1241,'BG 2023'!$B:$E,1,0)</f>
        <v>51102111</v>
      </c>
      <c r="N1241" s="806">
        <f>+VLOOKUP(C1241,'BG 2023'!$B:$E,3,0)-J1241</f>
        <v>224520476</v>
      </c>
      <c r="O1241" s="807">
        <f t="shared" si="99"/>
        <v>224520476</v>
      </c>
      <c r="P1241" s="807"/>
      <c r="R1241" s="807">
        <f>+IFERROR(VLOOKUP(C1241,'CA FE'!$A:$C,3,0),0)-G1241</f>
        <v>0</v>
      </c>
    </row>
    <row r="1242" spans="1:18" s="87" customFormat="1">
      <c r="A1242" s="77" t="s">
        <v>395</v>
      </c>
      <c r="B1242" s="77" t="s">
        <v>1036</v>
      </c>
      <c r="C1242" s="793">
        <v>5110211101</v>
      </c>
      <c r="D1242" s="77" t="s">
        <v>406</v>
      </c>
      <c r="E1242" s="794" t="s">
        <v>634</v>
      </c>
      <c r="F1242" s="794" t="str">
        <f t="shared" si="98"/>
        <v>I</v>
      </c>
      <c r="G1242" s="28">
        <f>+IF(F1242="i",IFERROR(VLOOKUP(C1242,'BG 12.2024'!$B:$E,3,FALSE),0),0)</f>
        <v>486103677</v>
      </c>
      <c r="H1242" s="21">
        <f>+IF(F1242="i",IFERROR(VLOOKUP(C1242,'BG 12.2024'!$B:$E,4,FALSE),0),0)</f>
        <v>63354.69</v>
      </c>
      <c r="I1242" s="616"/>
      <c r="J1242" s="28">
        <f>IF(F1242="I",IFERROR(VLOOKUP(C1242,'BG 12.2023'!$B$6:$E$746,3,FALSE),0),0)</f>
        <v>103576889</v>
      </c>
      <c r="K1242" s="28">
        <f>IF(F1242="I",IFERROR(VLOOKUP(C1242,'BG 12.2023'!$B$6:$E$746,4,FALSE),0),0)</f>
        <v>14237.05</v>
      </c>
      <c r="L1242" s="87">
        <f>+SUMIF('CA FE'!$A$1214:$A$1508,Composición!C1242,'CA FE'!$C$1214:$C$1508)</f>
        <v>486103677</v>
      </c>
      <c r="M1242" s="15">
        <f>+VLOOKUP(C1242,'BG 2023'!$B:$E,1,0)</f>
        <v>5110211101</v>
      </c>
      <c r="N1242" s="806">
        <f>+VLOOKUP(C1242,'BG 12.2024'!$B:$E,3,0)</f>
        <v>486103677</v>
      </c>
      <c r="O1242" s="807">
        <f t="shared" ref="O1242:O1243" si="102">+N1242-J1242</f>
        <v>382526788</v>
      </c>
      <c r="P1242" s="807"/>
      <c r="R1242" s="807">
        <f>+IFERROR(VLOOKUP(C1242,'CA FE'!$A:$C,3,0),0)-G1242</f>
        <v>0</v>
      </c>
    </row>
    <row r="1243" spans="1:18" s="87" customFormat="1">
      <c r="A1243" s="77" t="s">
        <v>395</v>
      </c>
      <c r="B1243" s="77" t="s">
        <v>1036</v>
      </c>
      <c r="C1243" s="793">
        <v>5110211102</v>
      </c>
      <c r="D1243" s="77" t="s">
        <v>407</v>
      </c>
      <c r="E1243" s="794" t="s">
        <v>640</v>
      </c>
      <c r="F1243" s="794" t="str">
        <f t="shared" si="98"/>
        <v>I</v>
      </c>
      <c r="G1243" s="28">
        <f>+IF(F1243="i",IFERROR(VLOOKUP(C1243,'BG 12.2024'!$B:$E,3,FALSE),0),0)</f>
        <v>252093722</v>
      </c>
      <c r="H1243" s="21">
        <f>+IF(F1243="i",IFERROR(VLOOKUP(C1243,'BG 12.2024'!$B:$E,4,FALSE),0),0)</f>
        <v>33322.67</v>
      </c>
      <c r="I1243" s="616"/>
      <c r="J1243" s="28">
        <f>IF(F1243="I",IFERROR(VLOOKUP(C1243,'BG 12.2023'!$B$6:$E$746,3,FALSE),0),0)</f>
        <v>120943587</v>
      </c>
      <c r="K1243" s="28">
        <f>IF(F1243="I",IFERROR(VLOOKUP(C1243,'BG 12.2023'!$B$6:$E$746,4,FALSE),0),0)</f>
        <v>16427.63</v>
      </c>
      <c r="L1243" s="87">
        <f>+SUMIF('CA FE'!$A$1214:$A$1508,Composición!C1243,'CA FE'!$C$1214:$C$1508)</f>
        <v>252093722</v>
      </c>
      <c r="M1243" s="15">
        <f>+VLOOKUP(C1243,'BG 2023'!$B:$E,1,0)</f>
        <v>5110211102</v>
      </c>
      <c r="N1243" s="806">
        <f>+VLOOKUP(C1243,'BG 12.2024'!$B:$E,3,0)</f>
        <v>252093722</v>
      </c>
      <c r="O1243" s="807">
        <f t="shared" si="102"/>
        <v>131150135</v>
      </c>
      <c r="P1243" s="807"/>
      <c r="R1243" s="807">
        <f>+IFERROR(VLOOKUP(C1243,'CA FE'!$A:$C,3,0),0)-G1243</f>
        <v>0</v>
      </c>
    </row>
    <row r="1244" spans="1:18" s="87" customFormat="1">
      <c r="A1244" s="77" t="s">
        <v>395</v>
      </c>
      <c r="B1244" s="77"/>
      <c r="C1244" s="793">
        <v>51102112</v>
      </c>
      <c r="D1244" s="77" t="s">
        <v>366</v>
      </c>
      <c r="E1244" s="794" t="s">
        <v>634</v>
      </c>
      <c r="F1244" s="794" t="str">
        <f t="shared" si="98"/>
        <v>NI</v>
      </c>
      <c r="G1244" s="28">
        <f>+IF(F1244="i",IFERROR(VLOOKUP(C1244,'BG 12.2024'!$B:$E,3,FALSE),0),0)</f>
        <v>0</v>
      </c>
      <c r="H1244" s="21">
        <f>+IF(F1244="i",IFERROR(VLOOKUP(C1244,'BG 12.2024'!$B:$E,4,FALSE),0),0)</f>
        <v>0</v>
      </c>
      <c r="I1244" s="616"/>
      <c r="J1244" s="28">
        <f>IF(F1244="I",IFERROR(VLOOKUP(C1244,'BG 12.2023'!$B$6:$E$746,3,FALSE),0),0)</f>
        <v>0</v>
      </c>
      <c r="K1244" s="28">
        <f>IF(F1244="I",IFERROR(VLOOKUP(C1244,'BG 12.2023'!$B$6:$E$746,4,FALSE),0),0)</f>
        <v>0</v>
      </c>
      <c r="L1244" s="87">
        <f>+SUMIF('CA FE'!$A$1214:$A$1508,Composición!C1244,'CA FE'!$C$1214:$C$1508)</f>
        <v>0</v>
      </c>
      <c r="M1244" s="15">
        <f>+VLOOKUP(C1244,'BG 2023'!$B:$E,1,0)</f>
        <v>51102112</v>
      </c>
      <c r="N1244" s="806">
        <f>+VLOOKUP(C1244,'BG 2023'!$B:$E,3,0)-J1244</f>
        <v>55274882</v>
      </c>
      <c r="O1244" s="807">
        <f t="shared" si="99"/>
        <v>55274882</v>
      </c>
      <c r="P1244" s="807"/>
      <c r="R1244" s="807">
        <f>+IFERROR(VLOOKUP(C1244,'CA FE'!$A:$C,3,0),0)-G1244</f>
        <v>0</v>
      </c>
    </row>
    <row r="1245" spans="1:18" s="87" customFormat="1">
      <c r="A1245" s="77" t="s">
        <v>395</v>
      </c>
      <c r="B1245" s="77" t="s">
        <v>1036</v>
      </c>
      <c r="C1245" s="793">
        <v>5110211201</v>
      </c>
      <c r="D1245" s="77" t="s">
        <v>408</v>
      </c>
      <c r="E1245" s="794" t="s">
        <v>634</v>
      </c>
      <c r="F1245" s="794" t="str">
        <f t="shared" si="98"/>
        <v>I</v>
      </c>
      <c r="G1245" s="28">
        <f>+IF(F1245="i",IFERROR(VLOOKUP(C1245,'BG 12.2024'!$B:$E,3,FALSE),0),0)</f>
        <v>144894320</v>
      </c>
      <c r="H1245" s="21">
        <f>+IF(F1245="i",IFERROR(VLOOKUP(C1245,'BG 12.2024'!$B:$E,4,FALSE),0),0)</f>
        <v>19148.88</v>
      </c>
      <c r="I1245" s="616"/>
      <c r="J1245" s="28">
        <f>IF(F1245="I",IFERROR(VLOOKUP(C1245,'BG 12.2023'!$B$6:$E$746,3,FALSE),0),0)</f>
        <v>47793592</v>
      </c>
      <c r="K1245" s="28">
        <f>IF(F1245="I",IFERROR(VLOOKUP(C1245,'BG 12.2023'!$B$6:$E$746,4,FALSE),0),0)</f>
        <v>6568.5</v>
      </c>
      <c r="L1245" s="87">
        <f>+SUMIF('CA FE'!$A$1214:$A$1508,Composición!C1245,'CA FE'!$C$1214:$C$1508)</f>
        <v>144894320</v>
      </c>
      <c r="M1245" s="15">
        <f>+VLOOKUP(C1245,'BG 2023'!$B:$E,1,0)</f>
        <v>5110211201</v>
      </c>
      <c r="N1245" s="806">
        <f>+VLOOKUP(C1245,'BG 12.2024'!$B:$E,3,0)</f>
        <v>144894320</v>
      </c>
      <c r="O1245" s="807">
        <f t="shared" ref="O1245:O1246" si="103">+N1245-J1245</f>
        <v>97100728</v>
      </c>
      <c r="P1245" s="807"/>
      <c r="R1245" s="807">
        <f>+IFERROR(VLOOKUP(C1245,'CA FE'!$A:$C,3,0),0)-G1245</f>
        <v>0</v>
      </c>
    </row>
    <row r="1246" spans="1:18" s="87" customFormat="1">
      <c r="A1246" s="77" t="s">
        <v>395</v>
      </c>
      <c r="B1246" s="77" t="s">
        <v>1036</v>
      </c>
      <c r="C1246" s="793">
        <v>5110211202</v>
      </c>
      <c r="D1246" s="77" t="s">
        <v>409</v>
      </c>
      <c r="E1246" s="794" t="s">
        <v>640</v>
      </c>
      <c r="F1246" s="794" t="str">
        <f t="shared" si="98"/>
        <v>I</v>
      </c>
      <c r="G1246" s="28">
        <f>+IF(F1246="i",IFERROR(VLOOKUP(C1246,'BG 12.2024'!$B:$E,3,FALSE),0),0)</f>
        <v>30151146</v>
      </c>
      <c r="H1246" s="21">
        <f>+IF(F1246="i",IFERROR(VLOOKUP(C1246,'BG 12.2024'!$B:$E,4,FALSE),0),0)</f>
        <v>3880.52</v>
      </c>
      <c r="I1246" s="616"/>
      <c r="J1246" s="28">
        <f>IF(F1246="I",IFERROR(VLOOKUP(C1246,'BG 12.2023'!$B$6:$E$746,3,FALSE),0),0)</f>
        <v>7481290</v>
      </c>
      <c r="K1246" s="28">
        <f>IF(F1246="I",IFERROR(VLOOKUP(C1246,'BG 12.2023'!$B$6:$E$746,4,FALSE),0),0)</f>
        <v>1026.03</v>
      </c>
      <c r="L1246" s="87">
        <f>+SUMIF('CA FE'!$A$1214:$A$1508,Composición!C1246,'CA FE'!$C$1214:$C$1508)</f>
        <v>30151146</v>
      </c>
      <c r="M1246" s="15">
        <f>+VLOOKUP(C1246,'BG 2023'!$B:$E,1,0)</f>
        <v>5110211202</v>
      </c>
      <c r="N1246" s="806">
        <f>+VLOOKUP(C1246,'BG 12.2024'!$B:$E,3,0)</f>
        <v>30151146</v>
      </c>
      <c r="O1246" s="807">
        <f t="shared" si="103"/>
        <v>22669856</v>
      </c>
      <c r="P1246" s="807"/>
      <c r="R1246" s="807">
        <f>+IFERROR(VLOOKUP(C1246,'CA FE'!$A:$C,3,0),0)-G1246</f>
        <v>0</v>
      </c>
    </row>
    <row r="1247" spans="1:18" s="87" customFormat="1">
      <c r="A1247" s="77" t="s">
        <v>395</v>
      </c>
      <c r="B1247" s="77"/>
      <c r="C1247" s="793">
        <v>51103</v>
      </c>
      <c r="D1247" s="77" t="s">
        <v>410</v>
      </c>
      <c r="E1247" s="794" t="s">
        <v>634</v>
      </c>
      <c r="F1247" s="794" t="str">
        <f t="shared" si="98"/>
        <v>NI</v>
      </c>
      <c r="G1247" s="28">
        <f>+IF(F1247="i",IFERROR(VLOOKUP(C1247,'BG 12.2024'!$B:$E,3,FALSE),0),0)</f>
        <v>0</v>
      </c>
      <c r="H1247" s="21">
        <f>+IF(F1247="i",IFERROR(VLOOKUP(C1247,'BG 12.2024'!$B:$E,4,FALSE),0),0)</f>
        <v>0</v>
      </c>
      <c r="I1247" s="616"/>
      <c r="J1247" s="28">
        <f>IF(F1247="I",IFERROR(VLOOKUP(C1247,'BG 12.2023'!$B$6:$E$746,3,FALSE),0),0)</f>
        <v>0</v>
      </c>
      <c r="K1247" s="28">
        <f>IF(F1247="I",IFERROR(VLOOKUP(C1247,'BG 12.2023'!$B$6:$E$746,4,FALSE),0),0)</f>
        <v>0</v>
      </c>
      <c r="L1247" s="87">
        <f>+SUMIF('CA FE'!$A$1214:$A$1508,Composición!C1247,'CA FE'!$C$1214:$C$1508)</f>
        <v>0</v>
      </c>
      <c r="M1247" s="15">
        <f>+VLOOKUP(C1247,'BG 2023'!$B:$E,1,0)</f>
        <v>51103</v>
      </c>
      <c r="N1247" s="806">
        <f>+VLOOKUP(C1247,'BG 2023'!$B:$E,3,0)-J1247</f>
        <v>1327178314</v>
      </c>
      <c r="O1247" s="807">
        <f t="shared" si="99"/>
        <v>1327178314</v>
      </c>
      <c r="P1247" s="807"/>
      <c r="R1247" s="807">
        <f>+IFERROR(VLOOKUP(C1247,'CA FE'!$A:$C,3,0),0)-G1247</f>
        <v>0</v>
      </c>
    </row>
    <row r="1248" spans="1:18" s="87" customFormat="1">
      <c r="A1248" s="77" t="s">
        <v>395</v>
      </c>
      <c r="B1248" s="77"/>
      <c r="C1248" s="793">
        <v>511031</v>
      </c>
      <c r="D1248" s="77" t="s">
        <v>336</v>
      </c>
      <c r="E1248" s="794" t="s">
        <v>634</v>
      </c>
      <c r="F1248" s="794" t="str">
        <f t="shared" si="98"/>
        <v>NI</v>
      </c>
      <c r="G1248" s="28">
        <f>+IF(F1248="i",IFERROR(VLOOKUP(C1248,'BG 12.2024'!$B:$E,3,FALSE),0),0)</f>
        <v>0</v>
      </c>
      <c r="H1248" s="21">
        <f>+IF(F1248="i",IFERROR(VLOOKUP(C1248,'BG 12.2024'!$B:$E,4,FALSE),0),0)</f>
        <v>0</v>
      </c>
      <c r="I1248" s="616"/>
      <c r="J1248" s="28">
        <f>IF(F1248="I",IFERROR(VLOOKUP(C1248,'BG 12.2023'!$B$6:$E$746,3,FALSE),0),0)</f>
        <v>0</v>
      </c>
      <c r="K1248" s="28">
        <f>IF(F1248="I",IFERROR(VLOOKUP(C1248,'BG 12.2023'!$B$6:$E$746,4,FALSE),0),0)</f>
        <v>0</v>
      </c>
      <c r="L1248" s="87">
        <f>+SUMIF('CA FE'!$A$1214:$A$1508,Composición!C1248,'CA FE'!$C$1214:$C$1508)</f>
        <v>0</v>
      </c>
      <c r="M1248" s="15">
        <f>+VLOOKUP(C1248,'BG 2023'!$B:$E,1,0)</f>
        <v>511031</v>
      </c>
      <c r="N1248" s="806">
        <f>+VLOOKUP(C1248,'BG 2023'!$B:$E,3,0)-J1248</f>
        <v>904753321</v>
      </c>
      <c r="O1248" s="807">
        <f t="shared" si="99"/>
        <v>904753321</v>
      </c>
      <c r="P1248" s="807"/>
      <c r="R1248" s="807">
        <f>+IFERROR(VLOOKUP(C1248,'CA FE'!$A:$C,3,0),0)-G1248</f>
        <v>0</v>
      </c>
    </row>
    <row r="1249" spans="1:19" s="87" customFormat="1">
      <c r="A1249" s="77" t="s">
        <v>395</v>
      </c>
      <c r="B1249" s="77"/>
      <c r="C1249" s="793">
        <v>5110311</v>
      </c>
      <c r="D1249" s="77" t="s">
        <v>336</v>
      </c>
      <c r="E1249" s="794" t="s">
        <v>634</v>
      </c>
      <c r="F1249" s="794" t="str">
        <f t="shared" si="98"/>
        <v>NI</v>
      </c>
      <c r="G1249" s="28">
        <f>+IF(F1249="i",IFERROR(VLOOKUP(C1249,'BG 12.2024'!$B:$E,3,FALSE),0),0)</f>
        <v>0</v>
      </c>
      <c r="H1249" s="21">
        <f>+IF(F1249="i",IFERROR(VLOOKUP(C1249,'BG 12.2024'!$B:$E,4,FALSE),0),0)</f>
        <v>0</v>
      </c>
      <c r="I1249" s="616"/>
      <c r="J1249" s="28">
        <f>IF(F1249="I",IFERROR(VLOOKUP(C1249,'BG 12.2023'!$B$6:$E$746,3,FALSE),0),0)</f>
        <v>0</v>
      </c>
      <c r="K1249" s="28">
        <f>IF(F1249="I",IFERROR(VLOOKUP(C1249,'BG 12.2023'!$B$6:$E$746,4,FALSE),0),0)</f>
        <v>0</v>
      </c>
      <c r="L1249" s="87">
        <f>+SUMIF('CA FE'!$A$1214:$A$1508,Composición!C1249,'CA FE'!$C$1214:$C$1508)</f>
        <v>0</v>
      </c>
      <c r="M1249" s="15">
        <f>+VLOOKUP(C1249,'BG 2023'!$B:$E,1,0)</f>
        <v>5110311</v>
      </c>
      <c r="N1249" s="806">
        <f>+VLOOKUP(C1249,'BG 2023'!$B:$E,3,0)-J1249</f>
        <v>904753321</v>
      </c>
      <c r="O1249" s="807">
        <f t="shared" si="99"/>
        <v>904753321</v>
      </c>
      <c r="P1249" s="807"/>
      <c r="R1249" s="807">
        <f>+IFERROR(VLOOKUP(C1249,'CA FE'!$A:$C,3,0),0)-G1249</f>
        <v>0</v>
      </c>
    </row>
    <row r="1250" spans="1:19" s="87" customFormat="1">
      <c r="A1250" s="77" t="s">
        <v>395</v>
      </c>
      <c r="B1250" s="77"/>
      <c r="C1250" s="793">
        <v>51103111</v>
      </c>
      <c r="D1250" s="77" t="s">
        <v>339</v>
      </c>
      <c r="E1250" s="794" t="s">
        <v>634</v>
      </c>
      <c r="F1250" s="794" t="str">
        <f t="shared" si="98"/>
        <v>NI</v>
      </c>
      <c r="G1250" s="28">
        <f>+IF(F1250="i",IFERROR(VLOOKUP(C1250,'BG 12.2024'!$B:$E,3,FALSE),0),0)</f>
        <v>0</v>
      </c>
      <c r="H1250" s="21">
        <f>+IF(F1250="i",IFERROR(VLOOKUP(C1250,'BG 12.2024'!$B:$E,4,FALSE),0),0)</f>
        <v>0</v>
      </c>
      <c r="I1250" s="616"/>
      <c r="J1250" s="28">
        <f>IF(F1250="I",IFERROR(VLOOKUP(C1250,'BG 12.2023'!$B$6:$E$746,3,FALSE),0),0)</f>
        <v>0</v>
      </c>
      <c r="K1250" s="28">
        <f>IF(F1250="I",IFERROR(VLOOKUP(C1250,'BG 12.2023'!$B$6:$E$746,4,FALSE),0),0)</f>
        <v>0</v>
      </c>
      <c r="L1250" s="87">
        <f>+SUMIF('CA FE'!$A$1214:$A$1508,Composición!C1250,'CA FE'!$C$1214:$C$1508)</f>
        <v>0</v>
      </c>
      <c r="M1250" s="15">
        <f>+VLOOKUP(C1250,'BG 2023'!$B:$E,1,0)</f>
        <v>51103111</v>
      </c>
      <c r="N1250" s="806">
        <f>+VLOOKUP(C1250,'BG 2023'!$B:$E,3,0)-J1250</f>
        <v>571494830</v>
      </c>
      <c r="O1250" s="807">
        <f t="shared" si="99"/>
        <v>571494830</v>
      </c>
      <c r="P1250" s="807"/>
      <c r="R1250" s="807">
        <f>+IFERROR(VLOOKUP(C1250,'CA FE'!$A:$C,3,0),0)-G1250</f>
        <v>0</v>
      </c>
    </row>
    <row r="1251" spans="1:19" s="87" customFormat="1">
      <c r="A1251" s="77" t="s">
        <v>395</v>
      </c>
      <c r="B1251" s="77" t="s">
        <v>410</v>
      </c>
      <c r="C1251" s="793">
        <v>5110311101</v>
      </c>
      <c r="D1251" s="77" t="s">
        <v>339</v>
      </c>
      <c r="E1251" s="794" t="s">
        <v>634</v>
      </c>
      <c r="F1251" s="794" t="str">
        <f t="shared" si="98"/>
        <v>I</v>
      </c>
      <c r="G1251" s="28">
        <f>+IF(F1251="i",IFERROR(VLOOKUP(C1251,'BG 12.2024'!$B:$E,3,FALSE),0),0)</f>
        <v>43330903</v>
      </c>
      <c r="H1251" s="21">
        <f>+IF(F1251="i",IFERROR(VLOOKUP(C1251,'BG 12.2024'!$B:$E,4,FALSE),0),0)</f>
        <v>5459.7599999999993</v>
      </c>
      <c r="I1251" s="616"/>
      <c r="J1251" s="28">
        <f>IF(F1251="I",IFERROR(VLOOKUP(C1251,'BG 12.2023'!$B$6:$E$746,3,FALSE),0),0)</f>
        <v>142117320</v>
      </c>
      <c r="K1251" s="28">
        <f>IF(F1251="I",IFERROR(VLOOKUP(C1251,'BG 12.2023'!$B$6:$E$746,4,FALSE),0),0)</f>
        <v>19335.96</v>
      </c>
      <c r="L1251" s="87">
        <f>+SUMIF('CA FE'!$A$1214:$A$1508,Composición!C1251,'CA FE'!$C$1214:$C$1508)</f>
        <v>43330903</v>
      </c>
      <c r="M1251" s="15">
        <f>+VLOOKUP(C1251,'BG 2023'!$B:$E,1,0)</f>
        <v>5110311101</v>
      </c>
      <c r="N1251" s="806">
        <f>+VLOOKUP(C1251,'BG 12.2024'!$B:$E,3,0)</f>
        <v>43330903</v>
      </c>
      <c r="O1251" s="807">
        <f t="shared" ref="O1251:O1255" si="104">+N1251-J1251</f>
        <v>-98786417</v>
      </c>
      <c r="P1251" s="807"/>
      <c r="R1251" s="807">
        <f>+IFERROR(VLOOKUP(C1251,'CA FE'!$A:$C,3,0),0)-G1251</f>
        <v>0</v>
      </c>
    </row>
    <row r="1252" spans="1:19" s="87" customFormat="1">
      <c r="A1252" s="77" t="s">
        <v>395</v>
      </c>
      <c r="B1252" s="77" t="s">
        <v>410</v>
      </c>
      <c r="C1252" s="793">
        <v>5110311102</v>
      </c>
      <c r="D1252" s="77" t="s">
        <v>339</v>
      </c>
      <c r="E1252" s="794" t="s">
        <v>634</v>
      </c>
      <c r="F1252" s="794" t="str">
        <f t="shared" si="98"/>
        <v>I</v>
      </c>
      <c r="G1252" s="28">
        <f>+IF(F1252="i",IFERROR(VLOOKUP(C1252,'BG 12.2024'!$B:$E,3,FALSE),0),0)</f>
        <v>1846668</v>
      </c>
      <c r="H1252" s="21">
        <f>+IF(F1252="i",IFERROR(VLOOKUP(C1252,'BG 12.2024'!$B:$E,4,FALSE),0),0)</f>
        <v>245.67</v>
      </c>
      <c r="I1252" s="616"/>
      <c r="J1252" s="28">
        <f>IF(F1252="I",IFERROR(VLOOKUP(C1252,'BG 12.2023'!$B$6:$E$746,3,FALSE),0),0)</f>
        <v>7613917</v>
      </c>
      <c r="K1252" s="28">
        <f>IF(F1252="I",IFERROR(VLOOKUP(C1252,'BG 12.2023'!$B$6:$E$746,4,FALSE),0),0)</f>
        <v>1031.9000000000001</v>
      </c>
      <c r="L1252" s="87">
        <f>+SUMIF('CA FE'!$A$1214:$A$1508,Composición!C1252,'CA FE'!$C$1214:$C$1508)</f>
        <v>1846668</v>
      </c>
      <c r="M1252" s="15">
        <f>+VLOOKUP(C1252,'BG 2023'!$B:$E,1,0)</f>
        <v>5110311102</v>
      </c>
      <c r="N1252" s="819">
        <f>+VLOOKUP(C1252,'BG 12.2024'!$B:$E,3,0)</f>
        <v>1846668</v>
      </c>
      <c r="O1252" s="807">
        <f t="shared" si="104"/>
        <v>-5767249</v>
      </c>
      <c r="P1252" s="807"/>
      <c r="R1252" s="807">
        <f>+IFERROR(VLOOKUP(C1252,'CA FE'!$A:$C,3,0),0)-G1252</f>
        <v>0</v>
      </c>
    </row>
    <row r="1253" spans="1:19" s="87" customFormat="1">
      <c r="A1253" s="77" t="s">
        <v>395</v>
      </c>
      <c r="B1253" s="77" t="s">
        <v>410</v>
      </c>
      <c r="C1253" s="793">
        <v>5110311103</v>
      </c>
      <c r="D1253" s="77" t="s">
        <v>64</v>
      </c>
      <c r="E1253" s="794" t="s">
        <v>640</v>
      </c>
      <c r="F1253" s="794" t="str">
        <f t="shared" si="98"/>
        <v>I</v>
      </c>
      <c r="G1253" s="28">
        <f>+IF(F1253="i",IFERROR(VLOOKUP(C1253,'BG 12.2024'!$B:$E,3,FALSE),0),0)</f>
        <v>528246578</v>
      </c>
      <c r="H1253" s="21">
        <f>+IF(F1253="i",IFERROR(VLOOKUP(C1253,'BG 12.2024'!$B:$E,4,FALSE),0),0)</f>
        <v>69879.95</v>
      </c>
      <c r="I1253" s="616"/>
      <c r="J1253" s="28">
        <f>IF(F1253="I",IFERROR(VLOOKUP(C1253,'BG 12.2023'!$B$6:$E$746,3,FALSE),0),0)</f>
        <v>318600358</v>
      </c>
      <c r="K1253" s="28">
        <f>IF(F1253="I",IFERROR(VLOOKUP(C1253,'BG 12.2023'!$B$6:$E$746,4,FALSE),0),0)</f>
        <v>43714.21</v>
      </c>
      <c r="L1253" s="87">
        <f>+SUMIF('CA FE'!$A$1214:$A$1508,Composición!C1253,'CA FE'!$C$1214:$C$1508)</f>
        <v>528246578</v>
      </c>
      <c r="M1253" s="15">
        <f>+VLOOKUP(C1253,'BG 2023'!$B:$E,1,0)</f>
        <v>5110311103</v>
      </c>
      <c r="N1253" s="806">
        <f>+VLOOKUP(C1253,'BG 12.2024'!$B:$E,3,0)</f>
        <v>528246578</v>
      </c>
      <c r="O1253" s="807">
        <f t="shared" si="104"/>
        <v>209646220</v>
      </c>
      <c r="P1253" s="807"/>
      <c r="R1253" s="807">
        <f>+IFERROR(VLOOKUP(C1253,'CA FE'!$A:$C,3,0),0)-G1253</f>
        <v>0</v>
      </c>
    </row>
    <row r="1254" spans="1:19" s="87" customFormat="1">
      <c r="A1254" s="77" t="s">
        <v>395</v>
      </c>
      <c r="B1254" s="77" t="s">
        <v>410</v>
      </c>
      <c r="C1254" s="793">
        <v>5110311104</v>
      </c>
      <c r="D1254" s="77" t="s">
        <v>335</v>
      </c>
      <c r="E1254" s="794" t="s">
        <v>634</v>
      </c>
      <c r="F1254" s="794" t="str">
        <f t="shared" si="98"/>
        <v>I</v>
      </c>
      <c r="G1254" s="28">
        <f>+IF(F1254="i",IFERROR(VLOOKUP(C1254,'BG 12.2024'!$B:$E,3,FALSE),0),0)</f>
        <v>0</v>
      </c>
      <c r="H1254" s="21">
        <f>+IF(F1254="i",IFERROR(VLOOKUP(C1254,'BG 12.2024'!$B:$E,4,FALSE),0),0)</f>
        <v>0</v>
      </c>
      <c r="I1254" s="616"/>
      <c r="J1254" s="28">
        <f>IF(F1254="I",IFERROR(VLOOKUP(C1254,'BG 12.2023'!$B$6:$E$746,3,FALSE),0),0)</f>
        <v>99656407</v>
      </c>
      <c r="K1254" s="28">
        <f>IF(F1254="I",IFERROR(VLOOKUP(C1254,'BG 12.2023'!$B$6:$E$746,4,FALSE),0),0)</f>
        <v>13736.87</v>
      </c>
      <c r="L1254" s="87">
        <f>+SUMIF('CA FE'!$A$1214:$A$1508,Composición!C1254,'CA FE'!$C$1214:$C$1508)</f>
        <v>0</v>
      </c>
      <c r="M1254" s="15">
        <f>+VLOOKUP(C1254,'BG 2023'!$B:$E,1,0)</f>
        <v>5110311104</v>
      </c>
      <c r="N1254" s="819" t="e">
        <f>+VLOOKUP(C1254,'BG 12.2024'!$B:$E,3,0)</f>
        <v>#N/A</v>
      </c>
      <c r="O1254" s="807" t="e">
        <f t="shared" si="104"/>
        <v>#N/A</v>
      </c>
      <c r="P1254" s="807"/>
      <c r="R1254" s="807">
        <f>+IFERROR(VLOOKUP(C1254,'CA FE'!$A:$C,3,0),0)-G1254</f>
        <v>0</v>
      </c>
    </row>
    <row r="1255" spans="1:19" s="87" customFormat="1">
      <c r="A1255" s="77" t="s">
        <v>395</v>
      </c>
      <c r="B1255" s="77" t="s">
        <v>410</v>
      </c>
      <c r="C1255" s="793">
        <v>5110311105</v>
      </c>
      <c r="D1255" s="77" t="s">
        <v>411</v>
      </c>
      <c r="E1255" s="794" t="s">
        <v>634</v>
      </c>
      <c r="F1255" s="794" t="str">
        <f t="shared" ref="F1255" si="105">+IF(LEN(C1255)&gt;8,"I","NI")</f>
        <v>I</v>
      </c>
      <c r="G1255" s="28">
        <f>+IF(F1255="i",IFERROR(VLOOKUP(C1255,'BG 12.2024'!$B:$E,3,FALSE),0),0)</f>
        <v>13892369</v>
      </c>
      <c r="H1255" s="21">
        <f>+IF(F1255="i",IFERROR(VLOOKUP(C1255,'BG 12.2024'!$B:$E,4,FALSE),0),0)</f>
        <v>1795.38</v>
      </c>
      <c r="I1255" s="616"/>
      <c r="J1255" s="28">
        <f>IF(F1255="I",IFERROR(VLOOKUP(C1255,'BG 12.2023'!$B$6:$E$746,3,FALSE),0),0)</f>
        <v>3506828</v>
      </c>
      <c r="K1255" s="28">
        <f>IF(F1255="I",IFERROR(VLOOKUP(C1255,'BG 12.2023'!$B$6:$E$746,4,FALSE),0),0)</f>
        <v>470.89</v>
      </c>
      <c r="L1255" s="87">
        <f>+SUMIF('CA FE'!$A$1214:$A$1508,Composición!C1255,'CA FE'!$C$1214:$C$1508)</f>
        <v>13892369</v>
      </c>
      <c r="M1255" s="15"/>
      <c r="N1255" s="819">
        <f>+VLOOKUP(C1255,'BG 12.2024'!$B:$E,3,0)</f>
        <v>13892369</v>
      </c>
      <c r="O1255" s="807">
        <f t="shared" si="104"/>
        <v>10385541</v>
      </c>
      <c r="P1255" s="807"/>
      <c r="R1255" s="807">
        <f>+IFERROR(VLOOKUP(C1255,'CA FE'!$A:$C,3,0),0)-G1255</f>
        <v>0</v>
      </c>
      <c r="S1255" s="842" t="s">
        <v>1037</v>
      </c>
    </row>
    <row r="1256" spans="1:19" s="87" customFormat="1">
      <c r="A1256" s="77" t="s">
        <v>395</v>
      </c>
      <c r="B1256" s="77" t="s">
        <v>410</v>
      </c>
      <c r="C1256" s="793">
        <v>5110311106</v>
      </c>
      <c r="D1256" s="77" t="s">
        <v>608</v>
      </c>
      <c r="E1256" s="794" t="s">
        <v>634</v>
      </c>
      <c r="F1256" s="794" t="str">
        <f t="shared" ref="F1256:F1259" si="106">+IF(LEN(C1256)&gt;8,"I","NI")</f>
        <v>I</v>
      </c>
      <c r="G1256" s="28">
        <f>+IF(F1256="i",IFERROR(VLOOKUP(C1256,'BG 12.2024'!$B:$E,3,FALSE),0),0)</f>
        <v>2898478</v>
      </c>
      <c r="H1256" s="21">
        <f>+IF(F1256="i",IFERROR(VLOOKUP(C1256,'BG 12.2024'!$B:$E,4,FALSE),0),0)</f>
        <v>383.7</v>
      </c>
      <c r="I1256" s="616"/>
      <c r="J1256" s="28">
        <f>IF(F1256="I",IFERROR(VLOOKUP(C1256,'BG 12.2023'!$B$6:$E$746,3,FALSE),0),0)</f>
        <v>0</v>
      </c>
      <c r="K1256" s="28">
        <f>IF(F1256="I",IFERROR(VLOOKUP(C1256,'BG 12.2023'!$B$6:$E$746,4,FALSE),0),0)</f>
        <v>0</v>
      </c>
      <c r="M1256" s="15"/>
      <c r="N1256" s="819"/>
      <c r="O1256" s="807"/>
      <c r="P1256" s="807"/>
      <c r="R1256" s="807">
        <f>+IFERROR(VLOOKUP(C1256,'CA FE'!$A:$C,3,0),0)-G1256</f>
        <v>0</v>
      </c>
      <c r="S1256" s="842"/>
    </row>
    <row r="1257" spans="1:19" s="87" customFormat="1" ht="12">
      <c r="A1257" s="77" t="s">
        <v>395</v>
      </c>
      <c r="B1257" s="77" t="s">
        <v>410</v>
      </c>
      <c r="C1257" s="793">
        <v>5110311107</v>
      </c>
      <c r="D1257" s="77" t="s">
        <v>609</v>
      </c>
      <c r="E1257" s="794" t="s">
        <v>634</v>
      </c>
      <c r="F1257" s="794" t="str">
        <f t="shared" ref="F1257:F1258" si="107">+IF(LEN(C1257)&gt;8,"I","NI")</f>
        <v>I</v>
      </c>
      <c r="G1257" s="1377">
        <f>+IF(F1257="i",IFERROR(VLOOKUP(C1257,'BG 12.2024'!$B:$E,3,FALSE),0),0)</f>
        <v>42667128</v>
      </c>
      <c r="H1257" s="21">
        <f>+IF(F1257="i",IFERROR(VLOOKUP(C1257,'BG 12.2024'!$B:$E,4,FALSE),0),0)</f>
        <v>5438.68</v>
      </c>
      <c r="I1257" s="616"/>
      <c r="J1257" s="28">
        <f>IF(F1257="I",IFERROR(VLOOKUP(C1257,'BG 12.2023'!$B$6:$E$746,3,FALSE),0),0)</f>
        <v>0</v>
      </c>
      <c r="K1257" s="28">
        <f>IF(F1257="I",IFERROR(VLOOKUP(C1257,'BG 12.2023'!$B$6:$E$746,4,FALSE),0),0)</f>
        <v>0</v>
      </c>
      <c r="M1257" s="15"/>
      <c r="N1257" s="819"/>
      <c r="O1257" s="807"/>
      <c r="P1257" s="807"/>
      <c r="R1257" s="807">
        <f>+IFERROR(VLOOKUP(C1257,'CA FE'!$A:$C,3,0),0)-G1257</f>
        <v>0</v>
      </c>
      <c r="S1257" s="842"/>
    </row>
    <row r="1258" spans="1:19" s="87" customFormat="1" ht="12">
      <c r="A1258" s="77" t="s">
        <v>395</v>
      </c>
      <c r="B1258" s="77" t="s">
        <v>410</v>
      </c>
      <c r="C1258" s="1350">
        <v>5110311108</v>
      </c>
      <c r="D1258" s="1349" t="s">
        <v>2966</v>
      </c>
      <c r="E1258" s="794" t="s">
        <v>634</v>
      </c>
      <c r="F1258" s="794" t="str">
        <f t="shared" si="107"/>
        <v>I</v>
      </c>
      <c r="G1258" s="1377">
        <f>+IF(F1258="i",IFERROR(VLOOKUP(C1258,'BG 12.2024'!$B:$E,3,FALSE),0),0)</f>
        <v>9589040</v>
      </c>
      <c r="H1258" s="21">
        <f>+IF(F1258="i",IFERROR(VLOOKUP(C1258,'BG 12.2024'!$B:$E,4,FALSE),0),0)</f>
        <v>1228.43</v>
      </c>
      <c r="I1258" s="616"/>
      <c r="J1258" s="28">
        <f>IF(F1258="I",IFERROR(VLOOKUP(C1258,'BG 12.2023'!$B$6:$E$746,3,FALSE),0),0)</f>
        <v>0</v>
      </c>
      <c r="K1258" s="28">
        <f>IF(F1258="I",IFERROR(VLOOKUP(C1258,'BG 12.2023'!$B$6:$E$746,4,FALSE),0),0)</f>
        <v>0</v>
      </c>
      <c r="M1258" s="15"/>
      <c r="N1258" s="819"/>
      <c r="O1258" s="807"/>
      <c r="P1258" s="807"/>
      <c r="R1258" s="807">
        <f>+IFERROR(VLOOKUP(C1258,'CA FE'!$A:$C,3,0),0)-G1258</f>
        <v>0</v>
      </c>
      <c r="S1258" s="842"/>
    </row>
    <row r="1259" spans="1:19" s="87" customFormat="1">
      <c r="A1259" s="77" t="s">
        <v>395</v>
      </c>
      <c r="B1259" s="77" t="s">
        <v>410</v>
      </c>
      <c r="C1259" s="1350">
        <v>5110311109</v>
      </c>
      <c r="D1259" s="1349" t="s">
        <v>2967</v>
      </c>
      <c r="E1259" s="794" t="s">
        <v>640</v>
      </c>
      <c r="F1259" s="794" t="str">
        <f t="shared" si="106"/>
        <v>I</v>
      </c>
      <c r="G1259" s="28">
        <f>+IF(F1259="i",IFERROR(VLOOKUP(C1259,'BG 12.2024'!$B:$E,3,FALSE),0),0)</f>
        <v>48718</v>
      </c>
      <c r="H1259" s="21">
        <f>+IF(F1259="i",IFERROR(VLOOKUP(C1259,'BG 12.2024'!$B:$E,4,FALSE),0),0)</f>
        <v>6.23</v>
      </c>
      <c r="I1259" s="616"/>
      <c r="J1259" s="28">
        <f>IF(F1259="I",IFERROR(VLOOKUP(C1259,'BG 12.2023'!$B$6:$E$746,3,FALSE),0),0)</f>
        <v>0</v>
      </c>
      <c r="K1259" s="28">
        <f>IF(F1259="I",IFERROR(VLOOKUP(C1259,'BG 12.2023'!$B$6:$E$746,4,FALSE),0),0)</f>
        <v>0</v>
      </c>
      <c r="M1259" s="15"/>
      <c r="N1259" s="819"/>
      <c r="O1259" s="807"/>
      <c r="P1259" s="807"/>
      <c r="R1259" s="807">
        <f>+IFERROR(VLOOKUP(C1259,'CA FE'!$A:$C,3,0),0)-G1259</f>
        <v>0</v>
      </c>
      <c r="S1259" s="842"/>
    </row>
    <row r="1260" spans="1:19" s="87" customFormat="1">
      <c r="A1260" s="77" t="s">
        <v>395</v>
      </c>
      <c r="B1260" s="77"/>
      <c r="C1260" s="793">
        <v>51103112</v>
      </c>
      <c r="D1260" s="77" t="s">
        <v>412</v>
      </c>
      <c r="E1260" s="794" t="s">
        <v>634</v>
      </c>
      <c r="F1260" s="794" t="str">
        <f t="shared" si="98"/>
        <v>NI</v>
      </c>
      <c r="G1260" s="28">
        <f>+IF(F1260="i",IFERROR(VLOOKUP(C1260,'BG 12.2024'!$B:$E,3,FALSE),0),0)</f>
        <v>0</v>
      </c>
      <c r="H1260" s="21">
        <f>+IF(F1260="i",IFERROR(VLOOKUP(C1260,'BG 12.2024'!$B:$E,4,FALSE),0),0)</f>
        <v>0</v>
      </c>
      <c r="I1260" s="616"/>
      <c r="J1260" s="28">
        <f>IF(F1260="I",IFERROR(VLOOKUP(C1260,'BG 12.2023'!$B$6:$E$746,3,FALSE),0),0)</f>
        <v>0</v>
      </c>
      <c r="K1260" s="28">
        <f>IF(F1260="I",IFERROR(VLOOKUP(C1260,'BG 12.2023'!$B$6:$E$746,4,FALSE),0),0)</f>
        <v>0</v>
      </c>
      <c r="L1260" s="87">
        <f>+SUMIF('CA FE'!$A$1214:$A$1508,Composición!C1260,'CA FE'!$C$1214:$C$1508)</f>
        <v>0</v>
      </c>
      <c r="M1260" s="15">
        <f>+VLOOKUP(C1260,'BG 2023'!$B:$E,1,0)</f>
        <v>51103112</v>
      </c>
      <c r="N1260" s="806">
        <f>+VLOOKUP(C1260,'BG 2023'!$B:$E,3,0)-J1260</f>
        <v>239007233</v>
      </c>
      <c r="O1260" s="807">
        <f t="shared" si="99"/>
        <v>239007233</v>
      </c>
      <c r="P1260" s="807"/>
      <c r="R1260" s="807">
        <f>+IFERROR(VLOOKUP(C1260,'CA FE'!$A:$C,3,0),0)-G1260</f>
        <v>0</v>
      </c>
    </row>
    <row r="1261" spans="1:19" s="87" customFormat="1">
      <c r="A1261" s="77" t="s">
        <v>395</v>
      </c>
      <c r="B1261" s="77" t="s">
        <v>410</v>
      </c>
      <c r="C1261" s="793">
        <v>5110311201</v>
      </c>
      <c r="D1261" s="77" t="s">
        <v>57</v>
      </c>
      <c r="E1261" s="794" t="s">
        <v>634</v>
      </c>
      <c r="F1261" s="794" t="str">
        <f t="shared" si="98"/>
        <v>I</v>
      </c>
      <c r="G1261" s="28">
        <f>+IF(F1261="i",IFERROR(VLOOKUP(C1261,'BG 12.2024'!$B:$E,3,FALSE),0),0)</f>
        <v>16167355</v>
      </c>
      <c r="H1261" s="21">
        <f>+IF(F1261="i",IFERROR(VLOOKUP(C1261,'BG 12.2024'!$B:$E,4,FALSE),0),0)</f>
        <v>2134.5400000000004</v>
      </c>
      <c r="I1261" s="616"/>
      <c r="J1261" s="28">
        <f>IF(F1261="I",IFERROR(VLOOKUP(C1261,'BG 12.2023'!$B$6:$E$746,3,FALSE),0),0)</f>
        <v>4487029</v>
      </c>
      <c r="K1261" s="28">
        <f>IF(F1261="I",IFERROR(VLOOKUP(C1261,'BG 12.2023'!$B$6:$E$746,4,FALSE),0),0)</f>
        <v>599.51</v>
      </c>
      <c r="L1261" s="87">
        <f>+SUMIF('CA FE'!$A$1214:$A$1508,Composición!C1261,'CA FE'!$C$1214:$C$1508)</f>
        <v>16167355</v>
      </c>
      <c r="M1261" s="15">
        <f>+VLOOKUP(C1261,'BG 2023'!$B:$E,1,0)</f>
        <v>5110311201</v>
      </c>
      <c r="N1261" s="819">
        <f>+VLOOKUP(C1261,'BG 12.2024'!$B:$E,3,0)</f>
        <v>16167355</v>
      </c>
      <c r="O1261" s="807">
        <f t="shared" ref="O1261:O1292" si="108">+N1261-J1261</f>
        <v>11680326</v>
      </c>
      <c r="P1261" s="807"/>
      <c r="R1261" s="807">
        <f>+IFERROR(VLOOKUP(C1261,'CA FE'!$A:$C,3,0),0)-G1261</f>
        <v>0</v>
      </c>
    </row>
    <row r="1262" spans="1:19" s="87" customFormat="1">
      <c r="A1262" s="77" t="s">
        <v>395</v>
      </c>
      <c r="B1262" s="77" t="s">
        <v>410</v>
      </c>
      <c r="C1262" s="793">
        <v>5110311202</v>
      </c>
      <c r="D1262" s="77" t="s">
        <v>254</v>
      </c>
      <c r="E1262" s="794" t="s">
        <v>640</v>
      </c>
      <c r="F1262" s="794" t="str">
        <f t="shared" si="98"/>
        <v>I</v>
      </c>
      <c r="G1262" s="28">
        <f>+IF(F1262="i",IFERROR(VLOOKUP(C1262,'BG 12.2024'!$B:$E,3,FALSE),0),0)</f>
        <v>193285</v>
      </c>
      <c r="H1262" s="21">
        <f>+IF(F1262="i",IFERROR(VLOOKUP(C1262,'BG 12.2024'!$B:$E,4,FALSE),0),0)</f>
        <v>25.15</v>
      </c>
      <c r="I1262" s="616"/>
      <c r="J1262" s="28">
        <f>IF(F1262="I",IFERROR(VLOOKUP(C1262,'BG 12.2023'!$B$6:$E$746,3,FALSE),0),0)</f>
        <v>56774</v>
      </c>
      <c r="K1262" s="28">
        <f>IF(F1262="I",IFERROR(VLOOKUP(C1262,'BG 12.2023'!$B$6:$E$746,4,FALSE),0),0)</f>
        <v>7.82</v>
      </c>
      <c r="L1262" s="87">
        <f>+SUMIF('CA FE'!$A$1214:$A$1508,Composición!C1262,'CA FE'!$C$1214:$C$1508)</f>
        <v>193285</v>
      </c>
      <c r="M1262" s="15">
        <f>+VLOOKUP(C1262,'BG 2023'!$B:$E,1,0)</f>
        <v>5110311202</v>
      </c>
      <c r="N1262" s="806">
        <f>+VLOOKUP(C1262,'BG 12.2024'!$B:$E,3,0)</f>
        <v>193285</v>
      </c>
      <c r="O1262" s="807">
        <f t="shared" si="108"/>
        <v>136511</v>
      </c>
      <c r="P1262" s="807"/>
      <c r="R1262" s="807">
        <f>+IFERROR(VLOOKUP(C1262,'CA FE'!$A:$C,3,0),0)-G1262</f>
        <v>0</v>
      </c>
    </row>
    <row r="1263" spans="1:19" s="87" customFormat="1">
      <c r="A1263" s="77" t="s">
        <v>395</v>
      </c>
      <c r="B1263" s="77" t="s">
        <v>410</v>
      </c>
      <c r="C1263" s="793">
        <v>5110311203</v>
      </c>
      <c r="D1263" s="77" t="s">
        <v>256</v>
      </c>
      <c r="E1263" s="794" t="s">
        <v>634</v>
      </c>
      <c r="F1263" s="794" t="str">
        <f t="shared" si="98"/>
        <v>I</v>
      </c>
      <c r="G1263" s="28">
        <f>+IF(F1263="i",IFERROR(VLOOKUP(C1263,'BG 12.2024'!$B:$E,3,FALSE),0),0)</f>
        <v>9195274</v>
      </c>
      <c r="H1263" s="21">
        <f>+IF(F1263="i",IFERROR(VLOOKUP(C1263,'BG 12.2024'!$B:$E,4,FALSE),0),0)</f>
        <v>1231.95</v>
      </c>
      <c r="I1263" s="616"/>
      <c r="J1263" s="28">
        <f>IF(F1263="I",IFERROR(VLOOKUP(C1263,'BG 12.2023'!$B$6:$E$746,3,FALSE),0),0)</f>
        <v>0</v>
      </c>
      <c r="K1263" s="28">
        <f>IF(F1263="I",IFERROR(VLOOKUP(C1263,'BG 12.2023'!$B$6:$E$746,4,FALSE),0),0)</f>
        <v>0</v>
      </c>
      <c r="L1263" s="87">
        <f>+SUMIF('CA FE'!$A$1214:$A$1508,Composición!C1263,'CA FE'!$C$1214:$C$1508)</f>
        <v>9195274</v>
      </c>
      <c r="M1263" s="15" t="e">
        <f>+VLOOKUP(C1263,'BG 2023'!$B:$E,1,0)</f>
        <v>#N/A</v>
      </c>
      <c r="N1263" s="819">
        <f>+VLOOKUP(C1263,'BG 12.2024'!$B:$E,3,0)</f>
        <v>9195274</v>
      </c>
      <c r="O1263" s="807">
        <f t="shared" si="108"/>
        <v>9195274</v>
      </c>
      <c r="P1263" s="807"/>
      <c r="R1263" s="807">
        <f>+IFERROR(VLOOKUP(C1263,'CA FE'!$A:$C,3,0),0)-G1263</f>
        <v>0</v>
      </c>
    </row>
    <row r="1264" spans="1:19" s="87" customFormat="1">
      <c r="A1264" s="77" t="s">
        <v>395</v>
      </c>
      <c r="B1264" s="77" t="s">
        <v>410</v>
      </c>
      <c r="C1264" s="793">
        <v>5110311204</v>
      </c>
      <c r="D1264" s="77" t="s">
        <v>258</v>
      </c>
      <c r="E1264" s="794" t="s">
        <v>640</v>
      </c>
      <c r="F1264" s="794" t="str">
        <f t="shared" si="98"/>
        <v>I</v>
      </c>
      <c r="G1264" s="28">
        <f>+IF(F1264="i",IFERROR(VLOOKUP(C1264,'BG 12.2024'!$B:$E,3,FALSE),0),0)</f>
        <v>66050</v>
      </c>
      <c r="H1264" s="21">
        <f>+IF(F1264="i",IFERROR(VLOOKUP(C1264,'BG 12.2024'!$B:$E,4,FALSE),0),0)</f>
        <v>8.4499999999999993</v>
      </c>
      <c r="I1264" s="616"/>
      <c r="J1264" s="28">
        <f>IF(F1264="I",IFERROR(VLOOKUP(C1264,'BG 12.2023'!$B$6:$E$746,3,FALSE),0),0)</f>
        <v>104412</v>
      </c>
      <c r="K1264" s="28">
        <f>IF(F1264="I",IFERROR(VLOOKUP(C1264,'BG 12.2023'!$B$6:$E$746,4,FALSE),0),0)</f>
        <v>14.63</v>
      </c>
      <c r="L1264" s="87">
        <f>+SUMIF('CA FE'!$A$1214:$A$1508,Composición!C1264,'CA FE'!$C$1214:$C$1508)</f>
        <v>66050</v>
      </c>
      <c r="M1264" s="15">
        <f>+VLOOKUP(C1264,'BG 2023'!$B:$E,1,0)</f>
        <v>5110311204</v>
      </c>
      <c r="N1264" s="806">
        <f>+VLOOKUP(C1264,'BG 12.2024'!$B:$E,3,0)</f>
        <v>66050</v>
      </c>
      <c r="O1264" s="807">
        <f t="shared" si="108"/>
        <v>-38362</v>
      </c>
      <c r="P1264" s="807"/>
      <c r="R1264" s="807">
        <f>+IFERROR(VLOOKUP(C1264,'CA FE'!$A:$C,3,0),0)-G1264</f>
        <v>0</v>
      </c>
    </row>
    <row r="1265" spans="1:19" s="87" customFormat="1">
      <c r="A1265" s="77" t="s">
        <v>395</v>
      </c>
      <c r="B1265" s="77" t="s">
        <v>410</v>
      </c>
      <c r="C1265" s="793">
        <v>5110311205</v>
      </c>
      <c r="D1265" s="77" t="s">
        <v>59</v>
      </c>
      <c r="E1265" s="794" t="s">
        <v>634</v>
      </c>
      <c r="F1265" s="794" t="str">
        <f t="shared" si="98"/>
        <v>I</v>
      </c>
      <c r="G1265" s="28">
        <f>+IF(F1265="i",IFERROR(VLOOKUP(C1265,'BG 12.2024'!$B:$E,3,FALSE),0),0)</f>
        <v>122729834</v>
      </c>
      <c r="H1265" s="21">
        <f>+IF(F1265="i",IFERROR(VLOOKUP(C1265,'BG 12.2024'!$B:$E,4,FALSE),0),0)</f>
        <v>15691.16</v>
      </c>
      <c r="I1265" s="616"/>
      <c r="J1265" s="28">
        <f>IF(F1265="I",IFERROR(VLOOKUP(C1265,'BG 12.2023'!$B$6:$E$746,3,FALSE),0),0)</f>
        <v>3173989</v>
      </c>
      <c r="K1265" s="28">
        <f>IF(F1265="I",IFERROR(VLOOKUP(C1265,'BG 12.2023'!$B$6:$E$746,4,FALSE),0),0)</f>
        <v>433.09</v>
      </c>
      <c r="L1265" s="87">
        <f>+SUMIF('CA FE'!$A$1214:$A$1508,Composición!C1265,'CA FE'!$C$1214:$C$1508)</f>
        <v>122729834</v>
      </c>
      <c r="M1265" s="15">
        <f>+VLOOKUP(C1265,'BG 2023'!$B:$E,1,0)</f>
        <v>5110311205</v>
      </c>
      <c r="N1265" s="806">
        <f>+VLOOKUP(C1265,'BG 12.2024'!$B:$E,3,0)</f>
        <v>122729834</v>
      </c>
      <c r="O1265" s="807">
        <f t="shared" si="108"/>
        <v>119555845</v>
      </c>
      <c r="P1265" s="807"/>
      <c r="R1265" s="807">
        <f>+IFERROR(VLOOKUP(C1265,'CA FE'!$A:$C,3,0),0)-G1265</f>
        <v>0</v>
      </c>
    </row>
    <row r="1266" spans="1:19" s="87" customFormat="1">
      <c r="A1266" s="77" t="s">
        <v>395</v>
      </c>
      <c r="B1266" s="77" t="s">
        <v>410</v>
      </c>
      <c r="C1266" s="793">
        <v>5110311206</v>
      </c>
      <c r="D1266" s="77" t="s">
        <v>60</v>
      </c>
      <c r="E1266" s="794" t="s">
        <v>640</v>
      </c>
      <c r="F1266" s="794" t="str">
        <f t="shared" si="98"/>
        <v>I</v>
      </c>
      <c r="G1266" s="28">
        <f>+IF(F1266="i",IFERROR(VLOOKUP(C1266,'BG 12.2024'!$B:$E,3,FALSE),0),0)</f>
        <v>2508987</v>
      </c>
      <c r="H1266" s="21">
        <f>+IF(F1266="i",IFERROR(VLOOKUP(C1266,'BG 12.2024'!$B:$E,4,FALSE),0),0)</f>
        <v>334.82</v>
      </c>
      <c r="I1266" s="616"/>
      <c r="J1266" s="28">
        <f>IF(F1266="I",IFERROR(VLOOKUP(C1266,'BG 12.2023'!$B$6:$E$746,3,FALSE),0),0)</f>
        <v>45793</v>
      </c>
      <c r="K1266" s="28">
        <f>IF(F1266="I",IFERROR(VLOOKUP(C1266,'BG 12.2023'!$B$6:$E$746,4,FALSE),0),0)</f>
        <v>6.3</v>
      </c>
      <c r="L1266" s="87">
        <f>+SUMIF('CA FE'!$A$1214:$A$1508,Composición!C1266,'CA FE'!$C$1214:$C$1508)</f>
        <v>2508987</v>
      </c>
      <c r="M1266" s="15">
        <f>+VLOOKUP(C1266,'BG 2023'!$B:$E,1,0)</f>
        <v>5110311206</v>
      </c>
      <c r="N1266" s="806">
        <f>+VLOOKUP(C1266,'BG 12.2024'!$B:$E,3,0)</f>
        <v>2508987</v>
      </c>
      <c r="O1266" s="807">
        <f t="shared" si="108"/>
        <v>2463194</v>
      </c>
      <c r="P1266" s="807"/>
      <c r="R1266" s="807">
        <f>+IFERROR(VLOOKUP(C1266,'CA FE'!$A:$C,3,0),0)-G1266</f>
        <v>0</v>
      </c>
    </row>
    <row r="1267" spans="1:19" s="87" customFormat="1">
      <c r="A1267" s="77" t="s">
        <v>395</v>
      </c>
      <c r="B1267" s="77" t="s">
        <v>410</v>
      </c>
      <c r="C1267" s="793">
        <v>5110311207</v>
      </c>
      <c r="D1267" s="77" t="s">
        <v>63</v>
      </c>
      <c r="E1267" s="794" t="s">
        <v>634</v>
      </c>
      <c r="F1267" s="794" t="str">
        <f t="shared" si="98"/>
        <v>I</v>
      </c>
      <c r="G1267" s="28">
        <f>+IF(F1267="i",IFERROR(VLOOKUP(C1267,'BG 12.2024'!$B:$E,3,FALSE),0),0)</f>
        <v>6281537</v>
      </c>
      <c r="H1267" s="21">
        <f>+IF(F1267="i",IFERROR(VLOOKUP(C1267,'BG 12.2024'!$B:$E,4,FALSE),0),0)</f>
        <v>827.21</v>
      </c>
      <c r="I1267" s="616"/>
      <c r="J1267" s="28">
        <f>IF(F1267="I",IFERROR(VLOOKUP(C1267,'BG 12.2023'!$B$6:$E$746,3,FALSE),0),0)</f>
        <v>3151438</v>
      </c>
      <c r="K1267" s="28">
        <f>IF(F1267="I",IFERROR(VLOOKUP(C1267,'BG 12.2023'!$B$6:$E$746,4,FALSE),0),0)</f>
        <v>430.33</v>
      </c>
      <c r="L1267" s="87">
        <f>+SUMIF('CA FE'!$A$1214:$A$1508,Composición!C1267,'CA FE'!$C$1214:$C$1508)</f>
        <v>6281537</v>
      </c>
      <c r="M1267" s="15">
        <f>+VLOOKUP(C1267,'BG 2023'!$B:$E,1,0)</f>
        <v>5110311207</v>
      </c>
      <c r="N1267" s="806">
        <f>+VLOOKUP(C1267,'BG 12.2024'!$B:$E,3,0)</f>
        <v>6281537</v>
      </c>
      <c r="O1267" s="807">
        <f t="shared" si="108"/>
        <v>3130099</v>
      </c>
      <c r="P1267" s="807"/>
      <c r="R1267" s="807">
        <f>+IFERROR(VLOOKUP(C1267,'CA FE'!$A:$C,3,0),0)-G1267</f>
        <v>0</v>
      </c>
    </row>
    <row r="1268" spans="1:19" s="87" customFormat="1">
      <c r="A1268" s="77" t="s">
        <v>395</v>
      </c>
      <c r="B1268" s="77" t="s">
        <v>410</v>
      </c>
      <c r="C1268" s="793">
        <v>5110311208</v>
      </c>
      <c r="D1268" s="77" t="s">
        <v>64</v>
      </c>
      <c r="E1268" s="794" t="s">
        <v>640</v>
      </c>
      <c r="F1268" s="794" t="str">
        <f t="shared" si="98"/>
        <v>I</v>
      </c>
      <c r="G1268" s="28">
        <f>+IF(F1268="i",IFERROR(VLOOKUP(C1268,'BG 12.2024'!$B:$E,3,FALSE),0),0)</f>
        <v>5544723</v>
      </c>
      <c r="H1268" s="21">
        <f>+IF(F1268="i",IFERROR(VLOOKUP(C1268,'BG 12.2024'!$B:$E,4,FALSE),0),0)</f>
        <v>737.47</v>
      </c>
      <c r="I1268" s="616"/>
      <c r="J1268" s="28">
        <f>IF(F1268="I",IFERROR(VLOOKUP(C1268,'BG 12.2023'!$B$6:$E$746,3,FALSE),0),0)</f>
        <v>6098071</v>
      </c>
      <c r="K1268" s="28">
        <f>IF(F1268="I",IFERROR(VLOOKUP(C1268,'BG 12.2023'!$B$6:$E$746,4,FALSE),0),0)</f>
        <v>839.28000000000009</v>
      </c>
      <c r="L1268" s="87">
        <f>+SUMIF('CA FE'!$A$1214:$A$1508,Composición!C1268,'CA FE'!$C$1214:$C$1508)</f>
        <v>5544723</v>
      </c>
      <c r="M1268" s="15">
        <f>+VLOOKUP(C1268,'BG 2023'!$B:$E,1,0)</f>
        <v>5110311208</v>
      </c>
      <c r="N1268" s="806">
        <f>+VLOOKUP(C1268,'BG 12.2024'!$B:$E,3,0)</f>
        <v>5544723</v>
      </c>
      <c r="O1268" s="807">
        <f t="shared" si="108"/>
        <v>-553348</v>
      </c>
      <c r="P1268" s="807"/>
      <c r="R1268" s="807">
        <f>+IFERROR(VLOOKUP(C1268,'CA FE'!$A:$C,3,0),0)-G1268</f>
        <v>0</v>
      </c>
    </row>
    <row r="1269" spans="1:19" s="87" customFormat="1">
      <c r="A1269" s="77" t="s">
        <v>395</v>
      </c>
      <c r="B1269" s="77"/>
      <c r="C1269" s="793">
        <v>5110311209</v>
      </c>
      <c r="D1269" s="77" t="s">
        <v>66</v>
      </c>
      <c r="E1269" s="794" t="s">
        <v>634</v>
      </c>
      <c r="F1269" s="794" t="str">
        <f t="shared" si="98"/>
        <v>I</v>
      </c>
      <c r="G1269" s="28">
        <f>+IF(F1269="i",IFERROR(VLOOKUP(C1269,'BG 12.2024'!$B:$E,3,FALSE),0),0)</f>
        <v>0</v>
      </c>
      <c r="H1269" s="21">
        <f>+IF(F1269="i",IFERROR(VLOOKUP(C1269,'BG 12.2024'!$B:$E,4,FALSE),0),0)</f>
        <v>0</v>
      </c>
      <c r="I1269" s="616"/>
      <c r="J1269" s="28">
        <f>IF(F1269="I",IFERROR(VLOOKUP(C1269,'BG 12.2023'!$B$6:$E$746,3,FALSE),0),0)</f>
        <v>0</v>
      </c>
      <c r="K1269" s="28">
        <f>IF(F1269="I",IFERROR(VLOOKUP(C1269,'BG 12.2023'!$B$6:$E$746,4,FALSE),0),0)</f>
        <v>0</v>
      </c>
      <c r="L1269" s="87">
        <f>+SUMIF('CA FE'!$A$1214:$A$1508,Composición!C1269,'CA FE'!$C$1214:$C$1508)</f>
        <v>0</v>
      </c>
      <c r="M1269" s="15" t="e">
        <f>+VLOOKUP(C1269,'BG 2023'!$B:$E,1,0)</f>
        <v>#N/A</v>
      </c>
      <c r="N1269" s="819" t="e">
        <f>+VLOOKUP(C1269,'BG 12.2024'!$B:$E,3,0)</f>
        <v>#N/A</v>
      </c>
      <c r="O1269" s="807" t="e">
        <f t="shared" si="108"/>
        <v>#N/A</v>
      </c>
      <c r="P1269" s="807"/>
      <c r="R1269" s="807">
        <f>+IFERROR(VLOOKUP(C1269,'CA FE'!$A:$C,3,0),0)-G1269</f>
        <v>0</v>
      </c>
    </row>
    <row r="1270" spans="1:19" s="87" customFormat="1">
      <c r="A1270" s="77" t="s">
        <v>395</v>
      </c>
      <c r="B1270" s="77"/>
      <c r="C1270" s="793">
        <v>5110311210</v>
      </c>
      <c r="D1270" s="77" t="s">
        <v>690</v>
      </c>
      <c r="E1270" s="794" t="s">
        <v>640</v>
      </c>
      <c r="F1270" s="794" t="str">
        <f t="shared" si="98"/>
        <v>I</v>
      </c>
      <c r="G1270" s="28">
        <f>+IF(F1270="i",IFERROR(VLOOKUP(C1270,'BG 12.2024'!$B:$E,3,FALSE),0),0)</f>
        <v>0</v>
      </c>
      <c r="H1270" s="21">
        <f>+IF(F1270="i",IFERROR(VLOOKUP(C1270,'BG 12.2024'!$B:$E,4,FALSE),0),0)</f>
        <v>0</v>
      </c>
      <c r="I1270" s="616"/>
      <c r="J1270" s="28">
        <f>IF(F1270="I",IFERROR(VLOOKUP(C1270,'BG 12.2023'!$B$6:$E$746,3,FALSE),0),0)</f>
        <v>0</v>
      </c>
      <c r="K1270" s="28">
        <f>IF(F1270="I",IFERROR(VLOOKUP(C1270,'BG 12.2023'!$B$6:$E$746,4,FALSE),0),0)</f>
        <v>0</v>
      </c>
      <c r="L1270" s="87">
        <f>+SUMIF('CA FE'!$A$1214:$A$1508,Composición!C1270,'CA FE'!$C$1214:$C$1508)</f>
        <v>0</v>
      </c>
      <c r="M1270" s="15" t="e">
        <f>+VLOOKUP(C1270,'BG 2023'!$B:$E,1,0)</f>
        <v>#N/A</v>
      </c>
      <c r="N1270" s="819" t="e">
        <f>+VLOOKUP(C1270,'BG 12.2024'!$B:$E,3,0)</f>
        <v>#N/A</v>
      </c>
      <c r="O1270" s="807" t="e">
        <f t="shared" si="108"/>
        <v>#N/A</v>
      </c>
      <c r="P1270" s="807"/>
      <c r="R1270" s="807">
        <f>+IFERROR(VLOOKUP(C1270,'CA FE'!$A:$C,3,0),0)-G1270</f>
        <v>0</v>
      </c>
    </row>
    <row r="1271" spans="1:19" s="87" customFormat="1">
      <c r="A1271" s="77" t="s">
        <v>395</v>
      </c>
      <c r="B1271" s="77"/>
      <c r="C1271" s="793">
        <v>5110311211</v>
      </c>
      <c r="D1271" s="77" t="s">
        <v>692</v>
      </c>
      <c r="E1271" s="794" t="s">
        <v>634</v>
      </c>
      <c r="F1271" s="794" t="str">
        <f t="shared" si="98"/>
        <v>I</v>
      </c>
      <c r="G1271" s="28">
        <f>+IF(F1271="i",IFERROR(VLOOKUP(C1271,'BG 12.2024'!$B:$E,3,FALSE),0),0)</f>
        <v>0</v>
      </c>
      <c r="H1271" s="21">
        <f>+IF(F1271="i",IFERROR(VLOOKUP(C1271,'BG 12.2024'!$B:$E,4,FALSE),0),0)</f>
        <v>0</v>
      </c>
      <c r="I1271" s="616"/>
      <c r="J1271" s="28">
        <f>IF(F1271="I",IFERROR(VLOOKUP(C1271,'BG 12.2023'!$B$6:$E$746,3,FALSE),0),0)</f>
        <v>0</v>
      </c>
      <c r="K1271" s="28">
        <f>IF(F1271="I",IFERROR(VLOOKUP(C1271,'BG 12.2023'!$B$6:$E$746,4,FALSE),0),0)</f>
        <v>0</v>
      </c>
      <c r="L1271" s="87">
        <f>+SUMIF('CA FE'!$A$1214:$A$1508,Composición!C1271,'CA FE'!$C$1214:$C$1508)</f>
        <v>0</v>
      </c>
      <c r="M1271" s="15" t="e">
        <f>+VLOOKUP(C1271,'BG 2023'!$B:$E,1,0)</f>
        <v>#N/A</v>
      </c>
      <c r="N1271" s="819" t="e">
        <f>+VLOOKUP(C1271,'BG 12.2024'!$B:$E,3,0)</f>
        <v>#N/A</v>
      </c>
      <c r="O1271" s="807" t="e">
        <f t="shared" si="108"/>
        <v>#N/A</v>
      </c>
      <c r="P1271" s="807"/>
      <c r="R1271" s="807">
        <f>+IFERROR(VLOOKUP(C1271,'CA FE'!$A:$C,3,0),0)-G1271</f>
        <v>0</v>
      </c>
    </row>
    <row r="1272" spans="1:19" s="87" customFormat="1">
      <c r="A1272" s="77" t="s">
        <v>395</v>
      </c>
      <c r="B1272" s="77"/>
      <c r="C1272" s="793">
        <v>5110311212</v>
      </c>
      <c r="D1272" s="77" t="s">
        <v>693</v>
      </c>
      <c r="E1272" s="794" t="s">
        <v>640</v>
      </c>
      <c r="F1272" s="794" t="str">
        <f t="shared" si="98"/>
        <v>I</v>
      </c>
      <c r="G1272" s="28">
        <f>+IF(F1272="i",IFERROR(VLOOKUP(C1272,'BG 12.2024'!$B:$E,3,FALSE),0),0)</f>
        <v>0</v>
      </c>
      <c r="H1272" s="21">
        <f>+IF(F1272="i",IFERROR(VLOOKUP(C1272,'BG 12.2024'!$B:$E,4,FALSE),0),0)</f>
        <v>0</v>
      </c>
      <c r="I1272" s="616"/>
      <c r="J1272" s="28">
        <f>IF(F1272="I",IFERROR(VLOOKUP(C1272,'BG 12.2023'!$B$6:$E$746,3,FALSE),0),0)</f>
        <v>0</v>
      </c>
      <c r="K1272" s="28">
        <f>IF(F1272="I",IFERROR(VLOOKUP(C1272,'BG 12.2023'!$B$6:$E$746,4,FALSE),0),0)</f>
        <v>0</v>
      </c>
      <c r="L1272" s="87">
        <f>+SUMIF('CA FE'!$A$1214:$A$1508,Composición!C1272,'CA FE'!$C$1214:$C$1508)</f>
        <v>0</v>
      </c>
      <c r="M1272" s="15" t="e">
        <f>+VLOOKUP(C1272,'BG 2023'!$B:$E,1,0)</f>
        <v>#N/A</v>
      </c>
      <c r="N1272" s="819" t="e">
        <f>+VLOOKUP(C1272,'BG 12.2024'!$B:$E,3,0)</f>
        <v>#N/A</v>
      </c>
      <c r="O1272" s="807" t="e">
        <f t="shared" si="108"/>
        <v>#N/A</v>
      </c>
      <c r="P1272" s="807"/>
      <c r="R1272" s="807">
        <f>+IFERROR(VLOOKUP(C1272,'CA FE'!$A:$C,3,0),0)-G1272</f>
        <v>0</v>
      </c>
    </row>
    <row r="1273" spans="1:19" s="87" customFormat="1">
      <c r="A1273" s="77" t="s">
        <v>395</v>
      </c>
      <c r="B1273" s="77"/>
      <c r="C1273" s="793">
        <v>5110311213</v>
      </c>
      <c r="D1273" s="77" t="s">
        <v>267</v>
      </c>
      <c r="E1273" s="794" t="s">
        <v>634</v>
      </c>
      <c r="F1273" s="794" t="str">
        <f t="shared" si="98"/>
        <v>I</v>
      </c>
      <c r="G1273" s="28">
        <f>+IF(F1273="i",IFERROR(VLOOKUP(C1273,'BG 12.2024'!$B:$E,3,FALSE),0),0)</f>
        <v>0</v>
      </c>
      <c r="H1273" s="21">
        <f>+IF(F1273="i",IFERROR(VLOOKUP(C1273,'BG 12.2024'!$B:$E,4,FALSE),0),0)</f>
        <v>0</v>
      </c>
      <c r="I1273" s="616"/>
      <c r="J1273" s="28">
        <f>IF(F1273="I",IFERROR(VLOOKUP(C1273,'BG 12.2023'!$B$6:$E$746,3,FALSE),0),0)</f>
        <v>0</v>
      </c>
      <c r="K1273" s="28">
        <f>IF(F1273="I",IFERROR(VLOOKUP(C1273,'BG 12.2023'!$B$6:$E$746,4,FALSE),0),0)</f>
        <v>0</v>
      </c>
      <c r="L1273" s="87">
        <f>+SUMIF('CA FE'!$A$1214:$A$1508,Composición!C1273,'CA FE'!$C$1214:$C$1508)</f>
        <v>0</v>
      </c>
      <c r="M1273" s="15" t="e">
        <f>+VLOOKUP(C1273,'BG 2023'!$B:$E,1,0)</f>
        <v>#N/A</v>
      </c>
      <c r="N1273" s="819" t="e">
        <f>+VLOOKUP(C1273,'BG 12.2024'!$B:$E,3,0)</f>
        <v>#N/A</v>
      </c>
      <c r="O1273" s="807" t="e">
        <f t="shared" si="108"/>
        <v>#N/A</v>
      </c>
      <c r="P1273" s="807"/>
      <c r="R1273" s="807">
        <f>+IFERROR(VLOOKUP(C1273,'CA FE'!$A:$C,3,0),0)-G1273</f>
        <v>0</v>
      </c>
    </row>
    <row r="1274" spans="1:19" s="87" customFormat="1">
      <c r="A1274" s="77" t="s">
        <v>395</v>
      </c>
      <c r="B1274" s="77"/>
      <c r="C1274" s="793">
        <v>5110311214</v>
      </c>
      <c r="D1274" s="77" t="s">
        <v>269</v>
      </c>
      <c r="E1274" s="794" t="s">
        <v>640</v>
      </c>
      <c r="F1274" s="794" t="str">
        <f t="shared" si="98"/>
        <v>I</v>
      </c>
      <c r="G1274" s="28">
        <f>+IF(F1274="i",IFERROR(VLOOKUP(C1274,'BG 12.2024'!$B:$E,3,FALSE),0),0)</f>
        <v>0</v>
      </c>
      <c r="H1274" s="21">
        <f>+IF(F1274="i",IFERROR(VLOOKUP(C1274,'BG 12.2024'!$B:$E,4,FALSE),0),0)</f>
        <v>0</v>
      </c>
      <c r="I1274" s="616"/>
      <c r="J1274" s="28">
        <f>IF(F1274="I",IFERROR(VLOOKUP(C1274,'BG 12.2023'!$B$6:$E$746,3,FALSE),0),0)</f>
        <v>0</v>
      </c>
      <c r="K1274" s="28">
        <f>IF(F1274="I",IFERROR(VLOOKUP(C1274,'BG 12.2023'!$B$6:$E$746,4,FALSE),0),0)</f>
        <v>0</v>
      </c>
      <c r="L1274" s="87">
        <f>+SUMIF('CA FE'!$A$1214:$A$1508,Composición!C1274,'CA FE'!$C$1214:$C$1508)</f>
        <v>0</v>
      </c>
      <c r="M1274" s="15" t="e">
        <f>+VLOOKUP(C1274,'BG 2023'!$B:$E,1,0)</f>
        <v>#N/A</v>
      </c>
      <c r="N1274" s="819" t="e">
        <f>+VLOOKUP(C1274,'BG 12.2024'!$B:$E,3,0)</f>
        <v>#N/A</v>
      </c>
      <c r="O1274" s="807" t="e">
        <f t="shared" si="108"/>
        <v>#N/A</v>
      </c>
      <c r="P1274" s="807"/>
      <c r="R1274" s="807">
        <f>+IFERROR(VLOOKUP(C1274,'CA FE'!$A:$C,3,0),0)-G1274</f>
        <v>0</v>
      </c>
    </row>
    <row r="1275" spans="1:19" s="87" customFormat="1">
      <c r="A1275" s="77" t="s">
        <v>395</v>
      </c>
      <c r="B1275" s="77"/>
      <c r="C1275" s="793">
        <v>5110311215</v>
      </c>
      <c r="D1275" s="77" t="s">
        <v>978</v>
      </c>
      <c r="E1275" s="794" t="s">
        <v>634</v>
      </c>
      <c r="F1275" s="794" t="str">
        <f t="shared" si="98"/>
        <v>I</v>
      </c>
      <c r="G1275" s="28">
        <f>+IF(F1275="i",IFERROR(VLOOKUP(C1275,'BG 12.2024'!$B:$E,3,FALSE),0),0)</f>
        <v>0</v>
      </c>
      <c r="H1275" s="21">
        <f>+IF(F1275="i",IFERROR(VLOOKUP(C1275,'BG 12.2024'!$B:$E,4,FALSE),0),0)</f>
        <v>0</v>
      </c>
      <c r="I1275" s="616"/>
      <c r="J1275" s="28">
        <f>IF(F1275="I",IFERROR(VLOOKUP(C1275,'BG 12.2023'!$B$6:$E$746,3,FALSE),0),0)</f>
        <v>0</v>
      </c>
      <c r="K1275" s="28">
        <f>IF(F1275="I",IFERROR(VLOOKUP(C1275,'BG 12.2023'!$B$6:$E$746,4,FALSE),0),0)</f>
        <v>0</v>
      </c>
      <c r="L1275" s="87">
        <f>+SUMIF('CA FE'!$A$1214:$A$1508,Composición!C1275,'CA FE'!$C$1214:$C$1508)</f>
        <v>0</v>
      </c>
      <c r="M1275" s="15" t="e">
        <f>+VLOOKUP(C1275,'BG 2023'!$B:$E,1,0)</f>
        <v>#N/A</v>
      </c>
      <c r="N1275" s="819" t="e">
        <f>+VLOOKUP(C1275,'BG 12.2024'!$B:$E,3,0)</f>
        <v>#N/A</v>
      </c>
      <c r="O1275" s="807" t="e">
        <f t="shared" si="108"/>
        <v>#N/A</v>
      </c>
      <c r="P1275" s="807"/>
      <c r="R1275" s="807">
        <f>+IFERROR(VLOOKUP(C1275,'CA FE'!$A:$C,3,0),0)-G1275</f>
        <v>0</v>
      </c>
    </row>
    <row r="1276" spans="1:19" s="87" customFormat="1">
      <c r="A1276" s="77" t="s">
        <v>395</v>
      </c>
      <c r="B1276" s="77"/>
      <c r="C1276" s="793">
        <v>5110311216</v>
      </c>
      <c r="D1276" s="77" t="s">
        <v>979</v>
      </c>
      <c r="E1276" s="794" t="s">
        <v>640</v>
      </c>
      <c r="F1276" s="794" t="str">
        <f t="shared" si="98"/>
        <v>I</v>
      </c>
      <c r="G1276" s="28">
        <f>+IF(F1276="i",IFERROR(VLOOKUP(C1276,'BG 12.2024'!$B:$E,3,FALSE),0),0)</f>
        <v>0</v>
      </c>
      <c r="H1276" s="21">
        <f>+IF(F1276="i",IFERROR(VLOOKUP(C1276,'BG 12.2024'!$B:$E,4,FALSE),0),0)</f>
        <v>0</v>
      </c>
      <c r="I1276" s="616"/>
      <c r="J1276" s="28">
        <f>IF(F1276="I",IFERROR(VLOOKUP(C1276,'BG 12.2023'!$B$6:$E$746,3,FALSE),0),0)</f>
        <v>0</v>
      </c>
      <c r="K1276" s="28">
        <f>IF(F1276="I",IFERROR(VLOOKUP(C1276,'BG 12.2023'!$B$6:$E$746,4,FALSE),0),0)</f>
        <v>0</v>
      </c>
      <c r="L1276" s="87">
        <f>+SUMIF('CA FE'!$A$1214:$A$1508,Composición!C1276,'CA FE'!$C$1214:$C$1508)</f>
        <v>0</v>
      </c>
      <c r="M1276" s="15" t="e">
        <f>+VLOOKUP(C1276,'BG 2023'!$B:$E,1,0)</f>
        <v>#N/A</v>
      </c>
      <c r="N1276" s="819" t="e">
        <f>+VLOOKUP(C1276,'BG 12.2024'!$B:$E,3,0)</f>
        <v>#N/A</v>
      </c>
      <c r="O1276" s="807" t="e">
        <f t="shared" si="108"/>
        <v>#N/A</v>
      </c>
      <c r="P1276" s="807"/>
      <c r="R1276" s="807">
        <f>+IFERROR(VLOOKUP(C1276,'CA FE'!$A:$C,3,0),0)-G1276</f>
        <v>0</v>
      </c>
    </row>
    <row r="1277" spans="1:19" s="87" customFormat="1">
      <c r="A1277" s="77" t="s">
        <v>395</v>
      </c>
      <c r="B1277" s="77" t="s">
        <v>410</v>
      </c>
      <c r="C1277" s="793">
        <v>5110311217</v>
      </c>
      <c r="D1277" s="77" t="s">
        <v>271</v>
      </c>
      <c r="E1277" s="794" t="s">
        <v>634</v>
      </c>
      <c r="F1277" s="794" t="str">
        <f t="shared" si="98"/>
        <v>I</v>
      </c>
      <c r="G1277" s="1097">
        <f>+IF(F1277="i",IFERROR(VLOOKUP(C1277,'BG 12.2024'!$B:$E,3,FALSE),0),0)</f>
        <v>34891064</v>
      </c>
      <c r="H1277" s="21">
        <f>+IF(F1277="i",IFERROR(VLOOKUP(C1277,'BG 12.2024'!$B:$E,4,FALSE),0),0)</f>
        <v>4520.75</v>
      </c>
      <c r="I1277" s="616"/>
      <c r="J1277" s="28">
        <f>IF(F1277="I",IFERROR(VLOOKUP(C1277,'BG 12.2023'!$B$6:$E$746,3,FALSE),0),0)</f>
        <v>619711</v>
      </c>
      <c r="K1277" s="28">
        <f>IF(F1277="I",IFERROR(VLOOKUP(C1277,'BG 12.2023'!$B$6:$E$746,4,FALSE),0),0)</f>
        <v>85.07</v>
      </c>
      <c r="L1277" s="87">
        <f>+SUMIF('CA FE'!$A$1214:$A$1508,Composición!C1277,'CA FE'!$C$1214:$C$1508)</f>
        <v>34891064</v>
      </c>
      <c r="M1277" s="15">
        <f>+VLOOKUP(C1277,'BG 2023'!$B:$E,1,0)</f>
        <v>5110311217</v>
      </c>
      <c r="N1277" s="806">
        <f>+VLOOKUP(C1277,'BG 12.2024'!$B:$E,3,0)</f>
        <v>34891064</v>
      </c>
      <c r="O1277" s="807">
        <f t="shared" si="108"/>
        <v>34271353</v>
      </c>
      <c r="P1277" s="807"/>
      <c r="R1277" s="807">
        <f>+IFERROR(VLOOKUP(C1277,'CA FE'!$A:$C,3,0),0)-G1277</f>
        <v>0</v>
      </c>
      <c r="S1277" s="842" t="s">
        <v>1037</v>
      </c>
    </row>
    <row r="1278" spans="1:19" s="87" customFormat="1">
      <c r="A1278" s="77" t="s">
        <v>395</v>
      </c>
      <c r="B1278" s="77" t="s">
        <v>410</v>
      </c>
      <c r="C1278" s="793">
        <v>5110311218</v>
      </c>
      <c r="D1278" s="77" t="s">
        <v>274</v>
      </c>
      <c r="E1278" s="794" t="s">
        <v>640</v>
      </c>
      <c r="F1278" s="794" t="str">
        <f t="shared" si="98"/>
        <v>I</v>
      </c>
      <c r="G1278" s="1097">
        <f>+IF(F1278="i",IFERROR(VLOOKUP(C1278,'BG 12.2024'!$B:$E,3,FALSE),0),0)</f>
        <v>1259045</v>
      </c>
      <c r="H1278" s="21">
        <f>+IF(F1278="i",IFERROR(VLOOKUP(C1278,'BG 12.2024'!$B:$E,4,FALSE),0),0)</f>
        <v>169.33</v>
      </c>
      <c r="I1278" s="616"/>
      <c r="J1278" s="28">
        <f>IF(F1278="I",IFERROR(VLOOKUP(C1278,'BG 12.2023'!$B$6:$E$746,3,FALSE),0),0)</f>
        <v>2312</v>
      </c>
      <c r="K1278" s="28">
        <f>IF(F1278="I",IFERROR(VLOOKUP(C1278,'BG 12.2023'!$B$6:$E$746,4,FALSE),0),0)</f>
        <v>0.31000000000000005</v>
      </c>
      <c r="L1278" s="87">
        <f>+SUMIF('CA FE'!$A$1214:$A$1508,Composición!C1278,'CA FE'!$C$1214:$C$1508)</f>
        <v>1259045</v>
      </c>
      <c r="M1278" s="15">
        <f>+VLOOKUP(C1278,'BG 2023'!$B:$E,1,0)</f>
        <v>5110311218</v>
      </c>
      <c r="N1278" s="819">
        <f>+VLOOKUP(C1278,'BG 12.2024'!$B:$E,3,0)</f>
        <v>1259045</v>
      </c>
      <c r="O1278" s="807">
        <f t="shared" si="108"/>
        <v>1256733</v>
      </c>
      <c r="P1278" s="807"/>
      <c r="R1278" s="807">
        <f>+IFERROR(VLOOKUP(C1278,'CA FE'!$A:$C,3,0),0)-G1278</f>
        <v>0</v>
      </c>
      <c r="S1278" s="842" t="s">
        <v>1037</v>
      </c>
    </row>
    <row r="1279" spans="1:19" s="87" customFormat="1">
      <c r="A1279" s="77" t="s">
        <v>395</v>
      </c>
      <c r="B1279" s="77" t="s">
        <v>410</v>
      </c>
      <c r="C1279" s="793">
        <v>5110311219</v>
      </c>
      <c r="D1279" s="77" t="s">
        <v>413</v>
      </c>
      <c r="E1279" s="794" t="s">
        <v>634</v>
      </c>
      <c r="F1279" s="794" t="str">
        <f t="shared" ref="F1279:F1364" si="109">+IF(LEN(C1279)&gt;8,"I","NI")</f>
        <v>I</v>
      </c>
      <c r="G1279" s="1097">
        <f>+IF(F1279="i",IFERROR(VLOOKUP(C1279,'BG 12.2024'!$B:$E,3,FALSE),0),0)</f>
        <v>0</v>
      </c>
      <c r="H1279" s="21">
        <f>+IF(F1279="i",IFERROR(VLOOKUP(C1279,'BG 12.2024'!$B:$E,4,FALSE),0),0)</f>
        <v>0</v>
      </c>
      <c r="I1279" s="616"/>
      <c r="J1279" s="28">
        <f>IF(F1279="I",IFERROR(VLOOKUP(C1279,'BG 12.2023'!$B$6:$E$746,3,FALSE),0),0)</f>
        <v>10208</v>
      </c>
      <c r="K1279" s="28">
        <f>IF(F1279="I",IFERROR(VLOOKUP(C1279,'BG 12.2023'!$B$6:$E$746,4,FALSE),0),0)</f>
        <v>1.41</v>
      </c>
      <c r="L1279" s="87">
        <f>+SUMIF('CA FE'!$A$1214:$A$1508,Composición!C1279,'CA FE'!$C$1214:$C$1508)</f>
        <v>0</v>
      </c>
      <c r="M1279" s="15">
        <f>+VLOOKUP(C1279,'BG 2023'!$B:$E,1,0)</f>
        <v>5110311219</v>
      </c>
      <c r="N1279" s="819" t="e">
        <f>+VLOOKUP(C1279,'BG 12.2024'!$B:$E,3,0)</f>
        <v>#N/A</v>
      </c>
      <c r="O1279" s="807" t="e">
        <f t="shared" si="108"/>
        <v>#N/A</v>
      </c>
      <c r="P1279" s="807"/>
      <c r="R1279" s="807">
        <f>+IFERROR(VLOOKUP(C1279,'CA FE'!$A:$C,3,0),0)-G1279</f>
        <v>0</v>
      </c>
    </row>
    <row r="1280" spans="1:19" s="87" customFormat="1">
      <c r="A1280" s="77" t="s">
        <v>395</v>
      </c>
      <c r="B1280" s="77"/>
      <c r="C1280" s="793">
        <v>5110311220</v>
      </c>
      <c r="D1280" s="77" t="s">
        <v>980</v>
      </c>
      <c r="E1280" s="794" t="s">
        <v>640</v>
      </c>
      <c r="F1280" s="794" t="str">
        <f t="shared" si="109"/>
        <v>I</v>
      </c>
      <c r="G1280" s="28">
        <f>+IF(F1280="i",IFERROR(VLOOKUP(C1280,'BG 12.2024'!$B:$E,3,FALSE),0),0)</f>
        <v>0</v>
      </c>
      <c r="H1280" s="21">
        <f>+IF(F1280="i",IFERROR(VLOOKUP(C1280,'BG 12.2024'!$B:$E,4,FALSE),0),0)</f>
        <v>0</v>
      </c>
      <c r="I1280" s="616"/>
      <c r="J1280" s="28">
        <f>IF(F1280="I",IFERROR(VLOOKUP(C1280,'BG 12.2023'!$B$6:$E$746,3,FALSE),0),0)</f>
        <v>0</v>
      </c>
      <c r="K1280" s="28">
        <f>IF(F1280="I",IFERROR(VLOOKUP(C1280,'BG 12.2023'!$B$6:$E$746,4,FALSE),0),0)</f>
        <v>0</v>
      </c>
      <c r="L1280" s="87">
        <f>+SUMIF('CA FE'!$A$1214:$A$1508,Composición!C1280,'CA FE'!$C$1214:$C$1508)</f>
        <v>0</v>
      </c>
      <c r="M1280" s="15" t="e">
        <f>+VLOOKUP(C1280,'BG 2023'!$B:$E,1,0)</f>
        <v>#N/A</v>
      </c>
      <c r="N1280" s="819" t="e">
        <f>+VLOOKUP(C1280,'BG 12.2024'!$B:$E,3,0)</f>
        <v>#N/A</v>
      </c>
      <c r="O1280" s="807" t="e">
        <f t="shared" si="108"/>
        <v>#N/A</v>
      </c>
      <c r="P1280" s="807"/>
      <c r="R1280" s="807">
        <f>+IFERROR(VLOOKUP(C1280,'CA FE'!$A:$C,3,0),0)-G1280</f>
        <v>0</v>
      </c>
    </row>
    <row r="1281" spans="1:19" s="87" customFormat="1">
      <c r="A1281" s="77" t="s">
        <v>395</v>
      </c>
      <c r="B1281" s="77"/>
      <c r="C1281" s="793">
        <v>5110311221</v>
      </c>
      <c r="D1281" s="77" t="s">
        <v>804</v>
      </c>
      <c r="E1281" s="794" t="s">
        <v>634</v>
      </c>
      <c r="F1281" s="794" t="str">
        <f t="shared" si="109"/>
        <v>I</v>
      </c>
      <c r="G1281" s="28">
        <f>+IF(F1281="i",IFERROR(VLOOKUP(C1281,'BG 12.2024'!$B:$E,3,FALSE),0),0)</f>
        <v>0</v>
      </c>
      <c r="H1281" s="21">
        <f>+IF(F1281="i",IFERROR(VLOOKUP(C1281,'BG 12.2024'!$B:$E,4,FALSE),0),0)</f>
        <v>0</v>
      </c>
      <c r="I1281" s="616"/>
      <c r="J1281" s="28">
        <f>IF(F1281="I",IFERROR(VLOOKUP(C1281,'BG 12.2023'!$B$6:$E$746,3,FALSE),0),0)</f>
        <v>0</v>
      </c>
      <c r="K1281" s="28">
        <f>IF(F1281="I",IFERROR(VLOOKUP(C1281,'BG 12.2023'!$B$6:$E$746,4,FALSE),0),0)</f>
        <v>0</v>
      </c>
      <c r="L1281" s="87">
        <f>+SUMIF('CA FE'!$A$1214:$A$1508,Composición!C1281,'CA FE'!$C$1214:$C$1508)</f>
        <v>0</v>
      </c>
      <c r="M1281" s="15" t="e">
        <f>+VLOOKUP(C1281,'BG 2023'!$B:$E,1,0)</f>
        <v>#N/A</v>
      </c>
      <c r="N1281" s="819" t="e">
        <f>+VLOOKUP(C1281,'BG 12.2024'!$B:$E,3,0)</f>
        <v>#N/A</v>
      </c>
      <c r="O1281" s="807" t="e">
        <f t="shared" si="108"/>
        <v>#N/A</v>
      </c>
      <c r="P1281" s="807"/>
      <c r="R1281" s="807">
        <f>+IFERROR(VLOOKUP(C1281,'CA FE'!$A:$C,3,0),0)-G1281</f>
        <v>0</v>
      </c>
    </row>
    <row r="1282" spans="1:19" s="87" customFormat="1">
      <c r="A1282" s="77" t="s">
        <v>395</v>
      </c>
      <c r="B1282" s="77"/>
      <c r="C1282" s="793">
        <v>5110311222</v>
      </c>
      <c r="D1282" s="77" t="s">
        <v>805</v>
      </c>
      <c r="E1282" s="794" t="s">
        <v>640</v>
      </c>
      <c r="F1282" s="794" t="str">
        <f t="shared" si="109"/>
        <v>I</v>
      </c>
      <c r="G1282" s="28">
        <f>+IF(F1282="i",IFERROR(VLOOKUP(C1282,'BG 12.2024'!$B:$E,3,FALSE),0),0)</f>
        <v>0</v>
      </c>
      <c r="H1282" s="21">
        <f>+IF(F1282="i",IFERROR(VLOOKUP(C1282,'BG 12.2024'!$B:$E,4,FALSE),0),0)</f>
        <v>0</v>
      </c>
      <c r="I1282" s="616"/>
      <c r="J1282" s="28">
        <f>IF(F1282="I",IFERROR(VLOOKUP(C1282,'BG 12.2023'!$B$6:$E$746,3,FALSE),0),0)</f>
        <v>0</v>
      </c>
      <c r="K1282" s="28">
        <f>IF(F1282="I",IFERROR(VLOOKUP(C1282,'BG 12.2023'!$B$6:$E$746,4,FALSE),0),0)</f>
        <v>0</v>
      </c>
      <c r="L1282" s="87">
        <f>+SUMIF('CA FE'!$A$1214:$A$1508,Composición!C1282,'CA FE'!$C$1214:$C$1508)</f>
        <v>0</v>
      </c>
      <c r="M1282" s="15" t="e">
        <f>+VLOOKUP(C1282,'BG 2023'!$B:$E,1,0)</f>
        <v>#N/A</v>
      </c>
      <c r="N1282" s="819" t="e">
        <f>+VLOOKUP(C1282,'BG 12.2024'!$B:$E,3,0)</f>
        <v>#N/A</v>
      </c>
      <c r="O1282" s="807" t="e">
        <f t="shared" si="108"/>
        <v>#N/A</v>
      </c>
      <c r="P1282" s="807"/>
      <c r="R1282" s="807">
        <f>+IFERROR(VLOOKUP(C1282,'CA FE'!$A:$C,3,0),0)-G1282</f>
        <v>0</v>
      </c>
    </row>
    <row r="1283" spans="1:19" s="87" customFormat="1">
      <c r="A1283" s="77" t="s">
        <v>395</v>
      </c>
      <c r="B1283" s="77"/>
      <c r="C1283" s="793">
        <v>5110311223</v>
      </c>
      <c r="D1283" s="77" t="s">
        <v>981</v>
      </c>
      <c r="E1283" s="794" t="s">
        <v>634</v>
      </c>
      <c r="F1283" s="794" t="str">
        <f t="shared" si="109"/>
        <v>I</v>
      </c>
      <c r="G1283" s="28">
        <f>+IF(F1283="i",IFERROR(VLOOKUP(C1283,'BG 12.2024'!$B:$E,3,FALSE),0),0)</f>
        <v>0</v>
      </c>
      <c r="H1283" s="21">
        <f>+IF(F1283="i",IFERROR(VLOOKUP(C1283,'BG 12.2024'!$B:$E,4,FALSE),0),0)</f>
        <v>0</v>
      </c>
      <c r="I1283" s="616"/>
      <c r="J1283" s="28">
        <f>IF(F1283="I",IFERROR(VLOOKUP(C1283,'BG 12.2023'!$B$6:$E$746,3,FALSE),0),0)</f>
        <v>0</v>
      </c>
      <c r="K1283" s="28">
        <f>IF(F1283="I",IFERROR(VLOOKUP(C1283,'BG 12.2023'!$B$6:$E$746,4,FALSE),0),0)</f>
        <v>0</v>
      </c>
      <c r="L1283" s="87">
        <f>+SUMIF('CA FE'!$A$1214:$A$1508,Composición!C1283,'CA FE'!$C$1214:$C$1508)</f>
        <v>0</v>
      </c>
      <c r="M1283" s="15" t="e">
        <f>+VLOOKUP(C1283,'BG 2023'!$B:$E,1,0)</f>
        <v>#N/A</v>
      </c>
      <c r="N1283" s="819" t="e">
        <f>+VLOOKUP(C1283,'BG 12.2024'!$B:$E,3,0)</f>
        <v>#N/A</v>
      </c>
      <c r="O1283" s="807" t="e">
        <f t="shared" si="108"/>
        <v>#N/A</v>
      </c>
      <c r="P1283" s="807"/>
      <c r="R1283" s="807">
        <f>+IFERROR(VLOOKUP(C1283,'CA FE'!$A:$C,3,0),0)-G1283</f>
        <v>0</v>
      </c>
    </row>
    <row r="1284" spans="1:19" s="87" customFormat="1">
      <c r="A1284" s="77" t="s">
        <v>395</v>
      </c>
      <c r="B1284" s="77"/>
      <c r="C1284" s="793">
        <v>5110311224</v>
      </c>
      <c r="D1284" s="77" t="s">
        <v>982</v>
      </c>
      <c r="E1284" s="794" t="s">
        <v>640</v>
      </c>
      <c r="F1284" s="794" t="str">
        <f t="shared" si="109"/>
        <v>I</v>
      </c>
      <c r="G1284" s="28">
        <f>+IF(F1284="i",IFERROR(VLOOKUP(C1284,'BG 12.2024'!$B:$E,3,FALSE),0),0)</f>
        <v>0</v>
      </c>
      <c r="H1284" s="21">
        <f>+IF(F1284="i",IFERROR(VLOOKUP(C1284,'BG 12.2024'!$B:$E,4,FALSE),0),0)</f>
        <v>0</v>
      </c>
      <c r="I1284" s="616"/>
      <c r="J1284" s="28">
        <f>IF(F1284="I",IFERROR(VLOOKUP(C1284,'BG 12.2023'!$B$6:$E$746,3,FALSE),0),0)</f>
        <v>0</v>
      </c>
      <c r="K1284" s="28">
        <f>IF(F1284="I",IFERROR(VLOOKUP(C1284,'BG 12.2023'!$B$6:$E$746,4,FALSE),0),0)</f>
        <v>0</v>
      </c>
      <c r="L1284" s="87">
        <f>+SUMIF('CA FE'!$A$1214:$A$1508,Composición!C1284,'CA FE'!$C$1214:$C$1508)</f>
        <v>0</v>
      </c>
      <c r="M1284" s="15" t="e">
        <f>+VLOOKUP(C1284,'BG 2023'!$B:$E,1,0)</f>
        <v>#N/A</v>
      </c>
      <c r="N1284" s="819" t="e">
        <f>+VLOOKUP(C1284,'BG 12.2024'!$B:$E,3,0)</f>
        <v>#N/A</v>
      </c>
      <c r="O1284" s="807" t="e">
        <f t="shared" si="108"/>
        <v>#N/A</v>
      </c>
      <c r="P1284" s="807"/>
      <c r="R1284" s="807">
        <f>+IFERROR(VLOOKUP(C1284,'CA FE'!$A:$C,3,0),0)-G1284</f>
        <v>0</v>
      </c>
    </row>
    <row r="1285" spans="1:19" s="87" customFormat="1">
      <c r="A1285" s="77" t="s">
        <v>395</v>
      </c>
      <c r="B1285" s="77"/>
      <c r="C1285" s="793">
        <v>5110311225</v>
      </c>
      <c r="D1285" s="77" t="s">
        <v>983</v>
      </c>
      <c r="E1285" s="794" t="s">
        <v>634</v>
      </c>
      <c r="F1285" s="794" t="str">
        <f t="shared" si="109"/>
        <v>I</v>
      </c>
      <c r="G1285" s="28">
        <f>+IF(F1285="i",IFERROR(VLOOKUP(C1285,'BG 12.2024'!$B:$E,3,FALSE),0),0)</f>
        <v>0</v>
      </c>
      <c r="H1285" s="21">
        <f>+IF(F1285="i",IFERROR(VLOOKUP(C1285,'BG 12.2024'!$B:$E,4,FALSE),0),0)</f>
        <v>0</v>
      </c>
      <c r="I1285" s="616"/>
      <c r="J1285" s="28">
        <f>IF(F1285="I",IFERROR(VLOOKUP(C1285,'BG 12.2023'!$B$6:$E$746,3,FALSE),0),0)</f>
        <v>0</v>
      </c>
      <c r="K1285" s="28">
        <f>IF(F1285="I",IFERROR(VLOOKUP(C1285,'BG 12.2023'!$B$6:$E$746,4,FALSE),0),0)</f>
        <v>0</v>
      </c>
      <c r="L1285" s="87">
        <f>+SUMIF('CA FE'!$A$1214:$A$1508,Composición!C1285,'CA FE'!$C$1214:$C$1508)</f>
        <v>0</v>
      </c>
      <c r="M1285" s="15" t="e">
        <f>+VLOOKUP(C1285,'BG 2023'!$B:$E,1,0)</f>
        <v>#N/A</v>
      </c>
      <c r="N1285" s="819" t="e">
        <f>+VLOOKUP(C1285,'BG 12.2024'!$B:$E,3,0)</f>
        <v>#N/A</v>
      </c>
      <c r="O1285" s="807" t="e">
        <f t="shared" si="108"/>
        <v>#N/A</v>
      </c>
      <c r="P1285" s="807"/>
      <c r="R1285" s="807">
        <f>+IFERROR(VLOOKUP(C1285,'CA FE'!$A:$C,3,0),0)-G1285</f>
        <v>0</v>
      </c>
      <c r="S1285" s="87" t="s">
        <v>1037</v>
      </c>
    </row>
    <row r="1286" spans="1:19" s="87" customFormat="1">
      <c r="A1286" s="77" t="s">
        <v>395</v>
      </c>
      <c r="B1286" s="77"/>
      <c r="C1286" s="793">
        <v>5110311226</v>
      </c>
      <c r="D1286" s="77" t="s">
        <v>984</v>
      </c>
      <c r="E1286" s="794" t="s">
        <v>640</v>
      </c>
      <c r="F1286" s="794" t="str">
        <f t="shared" si="109"/>
        <v>I</v>
      </c>
      <c r="G1286" s="28">
        <f>+IF(F1286="i",IFERROR(VLOOKUP(C1286,'BG 12.2024'!$B:$E,3,FALSE),0),0)</f>
        <v>0</v>
      </c>
      <c r="H1286" s="21">
        <f>+IF(F1286="i",IFERROR(VLOOKUP(C1286,'BG 12.2024'!$B:$E,4,FALSE),0),0)</f>
        <v>0</v>
      </c>
      <c r="I1286" s="616"/>
      <c r="J1286" s="28">
        <f>IF(F1286="I",IFERROR(VLOOKUP(C1286,'BG 12.2023'!$B$6:$E$746,3,FALSE),0),0)</f>
        <v>0</v>
      </c>
      <c r="K1286" s="28">
        <f>IF(F1286="I",IFERROR(VLOOKUP(C1286,'BG 12.2023'!$B$6:$E$746,4,FALSE),0),0)</f>
        <v>0</v>
      </c>
      <c r="L1286" s="87">
        <f>+SUMIF('CA FE'!$A$1214:$A$1508,Composición!C1286,'CA FE'!$C$1214:$C$1508)</f>
        <v>0</v>
      </c>
      <c r="M1286" s="15" t="e">
        <f>+VLOOKUP(C1286,'BG 2023'!$B:$E,1,0)</f>
        <v>#N/A</v>
      </c>
      <c r="N1286" s="819" t="e">
        <f>+VLOOKUP(C1286,'BG 12.2024'!$B:$E,3,0)</f>
        <v>#N/A</v>
      </c>
      <c r="O1286" s="807" t="e">
        <f t="shared" si="108"/>
        <v>#N/A</v>
      </c>
      <c r="P1286" s="807"/>
      <c r="R1286" s="807">
        <f>+IFERROR(VLOOKUP(C1286,'CA FE'!$A:$C,3,0),0)-G1286</f>
        <v>0</v>
      </c>
    </row>
    <row r="1287" spans="1:19" s="87" customFormat="1">
      <c r="A1287" s="77" t="s">
        <v>395</v>
      </c>
      <c r="B1287" s="77"/>
      <c r="C1287" s="793">
        <v>5110311227</v>
      </c>
      <c r="D1287" s="77" t="s">
        <v>985</v>
      </c>
      <c r="E1287" s="794" t="s">
        <v>634</v>
      </c>
      <c r="F1287" s="794" t="str">
        <f t="shared" si="109"/>
        <v>I</v>
      </c>
      <c r="G1287" s="28">
        <f>+IF(F1287="i",IFERROR(VLOOKUP(C1287,'BG 12.2024'!$B:$E,3,FALSE),0),0)</f>
        <v>0</v>
      </c>
      <c r="H1287" s="21">
        <f>+IF(F1287="i",IFERROR(VLOOKUP(C1287,'BG 12.2024'!$B:$E,4,FALSE),0),0)</f>
        <v>0</v>
      </c>
      <c r="I1287" s="616"/>
      <c r="J1287" s="28">
        <f>IF(F1287="I",IFERROR(VLOOKUP(C1287,'BG 12.2023'!$B$6:$E$746,3,FALSE),0),0)</f>
        <v>0</v>
      </c>
      <c r="K1287" s="28">
        <f>IF(F1287="I",IFERROR(VLOOKUP(C1287,'BG 12.2023'!$B$6:$E$746,4,FALSE),0),0)</f>
        <v>0</v>
      </c>
      <c r="L1287" s="87">
        <f>+SUMIF('CA FE'!$A$1214:$A$1508,Composición!C1287,'CA FE'!$C$1214:$C$1508)</f>
        <v>0</v>
      </c>
      <c r="M1287" s="15" t="e">
        <f>+VLOOKUP(C1287,'BG 2023'!$B:$E,1,0)</f>
        <v>#N/A</v>
      </c>
      <c r="N1287" s="819" t="e">
        <f>+VLOOKUP(C1287,'BG 12.2024'!$B:$E,3,0)</f>
        <v>#N/A</v>
      </c>
      <c r="O1287" s="807" t="e">
        <f t="shared" si="108"/>
        <v>#N/A</v>
      </c>
      <c r="P1287" s="807"/>
      <c r="R1287" s="807">
        <f>+IFERROR(VLOOKUP(C1287,'CA FE'!$A:$C,3,0),0)-G1287</f>
        <v>0</v>
      </c>
    </row>
    <row r="1288" spans="1:19" s="87" customFormat="1">
      <c r="A1288" s="77" t="s">
        <v>395</v>
      </c>
      <c r="B1288" s="77"/>
      <c r="C1288" s="793">
        <v>5110311228</v>
      </c>
      <c r="D1288" s="77" t="s">
        <v>986</v>
      </c>
      <c r="E1288" s="794" t="s">
        <v>640</v>
      </c>
      <c r="F1288" s="794" t="str">
        <f t="shared" si="109"/>
        <v>I</v>
      </c>
      <c r="G1288" s="28">
        <f>+IF(F1288="i",IFERROR(VLOOKUP(C1288,'BG 12.2024'!$B:$E,3,FALSE),0),0)</f>
        <v>0</v>
      </c>
      <c r="H1288" s="21">
        <f>+IF(F1288="i",IFERROR(VLOOKUP(C1288,'BG 12.2024'!$B:$E,4,FALSE),0),0)</f>
        <v>0</v>
      </c>
      <c r="I1288" s="616"/>
      <c r="J1288" s="28">
        <f>IF(F1288="I",IFERROR(VLOOKUP(C1288,'BG 12.2023'!$B$6:$E$746,3,FALSE),0),0)</f>
        <v>0</v>
      </c>
      <c r="K1288" s="28">
        <f>IF(F1288="I",IFERROR(VLOOKUP(C1288,'BG 12.2023'!$B$6:$E$746,4,FALSE),0),0)</f>
        <v>0</v>
      </c>
      <c r="L1288" s="87">
        <f>+SUMIF('CA FE'!$A$1214:$A$1508,Composición!C1288,'CA FE'!$C$1214:$C$1508)</f>
        <v>0</v>
      </c>
      <c r="M1288" s="15" t="e">
        <f>+VLOOKUP(C1288,'BG 2023'!$B:$E,1,0)</f>
        <v>#N/A</v>
      </c>
      <c r="N1288" s="819" t="e">
        <f>+VLOOKUP(C1288,'BG 12.2024'!$B:$E,3,0)</f>
        <v>#N/A</v>
      </c>
      <c r="O1288" s="807" t="e">
        <f t="shared" si="108"/>
        <v>#N/A</v>
      </c>
      <c r="P1288" s="807"/>
      <c r="R1288" s="807">
        <f>+IFERROR(VLOOKUP(C1288,'CA FE'!$A:$C,3,0),0)-G1288</f>
        <v>0</v>
      </c>
    </row>
    <row r="1289" spans="1:19" s="87" customFormat="1">
      <c r="A1289" s="77" t="s">
        <v>395</v>
      </c>
      <c r="B1289" s="77" t="s">
        <v>410</v>
      </c>
      <c r="C1289" s="793">
        <v>5110311229</v>
      </c>
      <c r="D1289" s="77" t="s">
        <v>525</v>
      </c>
      <c r="E1289" s="794" t="s">
        <v>634</v>
      </c>
      <c r="F1289" s="794" t="str">
        <f t="shared" si="109"/>
        <v>I</v>
      </c>
      <c r="G1289" s="28">
        <f>+IF(F1289="i",IFERROR(VLOOKUP(C1289,'BG 12.2024'!$B:$E,3,FALSE),0),0)</f>
        <v>32021865</v>
      </c>
      <c r="H1289" s="21">
        <f>+IF(F1289="i",IFERROR(VLOOKUP(C1289,'BG 12.2024'!$B:$E,4,FALSE),0),0)</f>
        <v>4160.08</v>
      </c>
      <c r="I1289" s="616"/>
      <c r="J1289" s="28">
        <f>IF(F1289="I",IFERROR(VLOOKUP(C1289,'BG 12.2023'!$B$6:$E$746,3,FALSE),0),0)</f>
        <v>541496</v>
      </c>
      <c r="K1289" s="28">
        <f>IF(F1289="I",IFERROR(VLOOKUP(C1289,'BG 12.2023'!$B$6:$E$746,4,FALSE),0),0)</f>
        <v>73.760000000000005</v>
      </c>
      <c r="L1289" s="87">
        <f>+SUMIF('CA FE'!$A$1214:$A$1508,Composición!C1289,'CA FE'!$C$1214:$C$1508)</f>
        <v>32021865</v>
      </c>
      <c r="M1289" s="15">
        <f>+VLOOKUP(C1289,'BG 2023'!$B:$E,1,0)</f>
        <v>5110311229</v>
      </c>
      <c r="N1289" s="806">
        <f>+VLOOKUP(C1289,'BG 12.2024'!$B:$E,3,0)</f>
        <v>32021865</v>
      </c>
      <c r="O1289" s="807">
        <f t="shared" si="108"/>
        <v>31480369</v>
      </c>
      <c r="P1289" s="807"/>
      <c r="R1289" s="807">
        <f>+IFERROR(VLOOKUP(C1289,'CA FE'!$A:$C,3,0),0)-G1289</f>
        <v>0</v>
      </c>
    </row>
    <row r="1290" spans="1:19" s="87" customFormat="1">
      <c r="A1290" s="77" t="s">
        <v>395</v>
      </c>
      <c r="B1290" s="77"/>
      <c r="C1290" s="793">
        <v>5110311230</v>
      </c>
      <c r="D1290" s="77" t="s">
        <v>689</v>
      </c>
      <c r="E1290" s="794" t="s">
        <v>640</v>
      </c>
      <c r="F1290" s="794" t="str">
        <f t="shared" si="109"/>
        <v>I</v>
      </c>
      <c r="G1290" s="28">
        <f>+IF(F1290="i",IFERROR(VLOOKUP(C1290,'BG 12.2024'!$B:$E,3,FALSE),0),0)</f>
        <v>0</v>
      </c>
      <c r="H1290" s="21">
        <f>+IF(F1290="i",IFERROR(VLOOKUP(C1290,'BG 12.2024'!$B:$E,4,FALSE),0),0)</f>
        <v>0</v>
      </c>
      <c r="I1290" s="616"/>
      <c r="J1290" s="28">
        <f>IF(F1290="I",IFERROR(VLOOKUP(C1290,'BG 12.2023'!$B$6:$E$746,3,FALSE),0),0)</f>
        <v>0</v>
      </c>
      <c r="K1290" s="28">
        <f>IF(F1290="I",IFERROR(VLOOKUP(C1290,'BG 12.2023'!$B$6:$E$746,4,FALSE),0),0)</f>
        <v>0</v>
      </c>
      <c r="L1290" s="87">
        <f>+SUMIF('CA FE'!$A$1214:$A$1508,Composición!C1290,'CA FE'!$C$1214:$C$1508)</f>
        <v>0</v>
      </c>
      <c r="M1290" s="15" t="e">
        <f>+VLOOKUP(C1290,'BG 2023'!$B:$E,1,0)</f>
        <v>#N/A</v>
      </c>
      <c r="N1290" s="819" t="e">
        <f>+VLOOKUP(C1290,'BG 12.2024'!$B:$E,3,0)</f>
        <v>#N/A</v>
      </c>
      <c r="O1290" s="807" t="e">
        <f t="shared" si="108"/>
        <v>#N/A</v>
      </c>
      <c r="P1290" s="807"/>
      <c r="R1290" s="807">
        <f>+IFERROR(VLOOKUP(C1290,'CA FE'!$A:$C,3,0),0)-G1290</f>
        <v>0</v>
      </c>
    </row>
    <row r="1291" spans="1:19" s="87" customFormat="1">
      <c r="A1291" s="77" t="s">
        <v>395</v>
      </c>
      <c r="B1291" s="77" t="s">
        <v>410</v>
      </c>
      <c r="C1291" s="793">
        <v>5110311231</v>
      </c>
      <c r="D1291" s="77" t="s">
        <v>599</v>
      </c>
      <c r="E1291" s="794" t="s">
        <v>634</v>
      </c>
      <c r="F1291" s="794" t="str">
        <f t="shared" ref="F1291" si="110">+IF(LEN(C1291)&gt;8,"I","NI")</f>
        <v>I</v>
      </c>
      <c r="G1291" s="28">
        <f>+IF(F1291="i",IFERROR(VLOOKUP(C1291,'BG 12.2024'!$B:$E,3,FALSE),0),0)</f>
        <v>3743491</v>
      </c>
      <c r="H1291" s="21">
        <f>+IF(F1291="i",IFERROR(VLOOKUP(C1291,'BG 12.2024'!$B:$E,4,FALSE),0),0)</f>
        <v>506.3</v>
      </c>
      <c r="I1291" s="616"/>
      <c r="J1291" s="28">
        <f>IF(F1291="I",IFERROR(VLOOKUP(C1291,'BG 12.2023'!$B$6:$E$746,3,FALSE),0),0)</f>
        <v>220716000</v>
      </c>
      <c r="K1291" s="28">
        <f>IF(F1291="I",IFERROR(VLOOKUP(C1291,'BG 12.2023'!$B$6:$E$746,4,FALSE),0),0)</f>
        <v>30343.51</v>
      </c>
      <c r="L1291" s="87">
        <f>+SUMIF('CA FE'!$A$1214:$A$1508,Composición!C1291,'CA FE'!$C$1214:$C$1508)</f>
        <v>3743491</v>
      </c>
      <c r="M1291" s="15">
        <f>+VLOOKUP(C1291,'BG 2023'!$B:$E,1,0)</f>
        <v>5110311231</v>
      </c>
      <c r="N1291" s="806">
        <f>+VLOOKUP(C1291,'BG 12.2024'!$B:$E,3,0)</f>
        <v>3743491</v>
      </c>
      <c r="O1291" s="807">
        <f t="shared" ref="O1291" si="111">+N1291-J1291</f>
        <v>-216972509</v>
      </c>
      <c r="P1291" s="807"/>
      <c r="R1291" s="807">
        <f>+IFERROR(VLOOKUP(C1291,'CA FE'!$A:$C,3,0),0)-G1291</f>
        <v>0</v>
      </c>
    </row>
    <row r="1292" spans="1:19" s="87" customFormat="1">
      <c r="A1292" s="77" t="s">
        <v>395</v>
      </c>
      <c r="B1292" s="77" t="s">
        <v>410</v>
      </c>
      <c r="C1292" s="1350">
        <v>5110311232</v>
      </c>
      <c r="D1292" s="1349" t="s">
        <v>415</v>
      </c>
      <c r="E1292" s="794" t="s">
        <v>634</v>
      </c>
      <c r="F1292" s="794" t="str">
        <f t="shared" si="109"/>
        <v>I</v>
      </c>
      <c r="G1292" s="28">
        <f>+IF(F1292="i",IFERROR(VLOOKUP(C1292,'BG 12.2024'!$B:$E,3,FALSE),0),0)</f>
        <v>186582130</v>
      </c>
      <c r="H1292" s="21">
        <f>+IF(F1292="i",IFERROR(VLOOKUP(C1292,'BG 12.2024'!$B:$E,4,FALSE),0),0)</f>
        <v>23907.45</v>
      </c>
      <c r="I1292" s="616"/>
      <c r="J1292" s="28">
        <f>IF(F1292="I",IFERROR(VLOOKUP(C1292,'BG 12.2023'!$B$6:$E$746,3,FALSE),0),0)</f>
        <v>0</v>
      </c>
      <c r="K1292" s="28">
        <f>IF(F1292="I",IFERROR(VLOOKUP(C1292,'BG 12.2023'!$B$6:$E$746,4,FALSE),0),0)</f>
        <v>0</v>
      </c>
      <c r="L1292" s="87">
        <f>+SUMIF('CA FE'!$A$1214:$A$1508,Composición!C1292,'CA FE'!$C$1214:$C$1508)</f>
        <v>186582130</v>
      </c>
      <c r="M1292" s="15" t="e">
        <f>+VLOOKUP(C1292,'BG 2023'!$B:$E,1,0)</f>
        <v>#N/A</v>
      </c>
      <c r="N1292" s="806">
        <f>+VLOOKUP(C1292,'BG 12.2024'!$B:$E,3,0)</f>
        <v>186582130</v>
      </c>
      <c r="O1292" s="807">
        <f t="shared" si="108"/>
        <v>186582130</v>
      </c>
      <c r="P1292" s="807"/>
      <c r="R1292" s="807">
        <f>+IFERROR(VLOOKUP(C1292,'CA FE'!$A:$C,3,0),0)-G1292</f>
        <v>0</v>
      </c>
    </row>
    <row r="1293" spans="1:19" s="87" customFormat="1">
      <c r="A1293" s="77" t="s">
        <v>395</v>
      </c>
      <c r="B1293" s="77"/>
      <c r="C1293" s="793">
        <v>51103113</v>
      </c>
      <c r="D1293" s="77" t="s">
        <v>416</v>
      </c>
      <c r="E1293" s="794" t="s">
        <v>634</v>
      </c>
      <c r="F1293" s="794" t="str">
        <f t="shared" si="109"/>
        <v>NI</v>
      </c>
      <c r="G1293" s="28">
        <f>+IF(F1293="i",IFERROR(VLOOKUP(C1293,'BG 12.2024'!$B:$E,3,FALSE),0),0)</f>
        <v>0</v>
      </c>
      <c r="H1293" s="21">
        <f>+IF(F1293="i",IFERROR(VLOOKUP(C1293,'BG 12.2024'!$B:$E,4,FALSE),0),0)</f>
        <v>0</v>
      </c>
      <c r="I1293" s="616"/>
      <c r="J1293" s="28">
        <f>IF(F1293="I",IFERROR(VLOOKUP(C1293,'BG 12.2023'!$B$6:$E$746,3,FALSE),0),0)</f>
        <v>0</v>
      </c>
      <c r="K1293" s="28">
        <f>IF(F1293="I",IFERROR(VLOOKUP(C1293,'BG 12.2023'!$B$6:$E$746,4,FALSE),0),0)</f>
        <v>0</v>
      </c>
      <c r="L1293" s="87">
        <f>+SUMIF('CA FE'!$A$1214:$A$1508,Composición!C1293,'CA FE'!$C$1214:$C$1508)</f>
        <v>0</v>
      </c>
      <c r="M1293" s="15">
        <f>+VLOOKUP(C1293,'BG 2023'!$B:$E,1,0)</f>
        <v>51103113</v>
      </c>
      <c r="N1293" s="806">
        <f>+VLOOKUP(C1293,'BG 2023'!$B:$E,3,0)-J1293</f>
        <v>86682763</v>
      </c>
      <c r="O1293" s="807">
        <f t="shared" ref="O1293:O1343" si="112">+N1293-G1293</f>
        <v>86682763</v>
      </c>
      <c r="P1293" s="807"/>
      <c r="R1293" s="807">
        <f>+IFERROR(VLOOKUP(C1293,'CA FE'!$A:$C,3,0),0)-G1293</f>
        <v>0</v>
      </c>
    </row>
    <row r="1294" spans="1:19" s="87" customFormat="1">
      <c r="A1294" s="77" t="s">
        <v>395</v>
      </c>
      <c r="B1294" s="77" t="s">
        <v>410</v>
      </c>
      <c r="C1294" s="793">
        <v>5110311301</v>
      </c>
      <c r="D1294" s="77" t="s">
        <v>57</v>
      </c>
      <c r="E1294" s="794" t="s">
        <v>634</v>
      </c>
      <c r="F1294" s="794" t="str">
        <f t="shared" si="109"/>
        <v>I</v>
      </c>
      <c r="G1294" s="28">
        <f>+IF(F1294="i",IFERROR(VLOOKUP(C1294,'BG 12.2024'!$B:$E,3,FALSE),0),0)</f>
        <v>182320</v>
      </c>
      <c r="H1294" s="21">
        <f>+IF(F1294="i",IFERROR(VLOOKUP(C1294,'BG 12.2024'!$B:$E,4,FALSE),0),0)</f>
        <v>24.290000000000003</v>
      </c>
      <c r="I1294" s="616"/>
      <c r="J1294" s="28">
        <f>IF(F1294="I",IFERROR(VLOOKUP(C1294,'BG 12.2023'!$B$6:$E$746,3,FALSE),0),0)</f>
        <v>2855607</v>
      </c>
      <c r="K1294" s="28">
        <f>IF(F1294="I",IFERROR(VLOOKUP(C1294,'BG 12.2023'!$B$6:$E$746,4,FALSE),0),0)</f>
        <v>388.75</v>
      </c>
      <c r="L1294" s="87">
        <f>+SUMIF('CA FE'!$A$1214:$A$1508,Composición!C1294,'CA FE'!$C$1214:$C$1508)</f>
        <v>182320</v>
      </c>
      <c r="M1294" s="15">
        <f>+VLOOKUP(C1294,'BG 2023'!$B:$E,1,0)</f>
        <v>5110311301</v>
      </c>
      <c r="N1294" s="806">
        <f>+VLOOKUP(C1294,'BG 12.2024'!$B:$E,3,0)</f>
        <v>182320</v>
      </c>
      <c r="O1294" s="807">
        <f t="shared" ref="O1294:O1309" si="113">+N1294-J1294</f>
        <v>-2673287</v>
      </c>
      <c r="P1294" s="807"/>
      <c r="R1294" s="807">
        <f>+IFERROR(VLOOKUP(C1294,'CA FE'!$A:$C,3,0),0)-G1294</f>
        <v>0</v>
      </c>
    </row>
    <row r="1295" spans="1:19" s="87" customFormat="1">
      <c r="A1295" s="77" t="s">
        <v>395</v>
      </c>
      <c r="B1295" s="77" t="s">
        <v>410</v>
      </c>
      <c r="C1295" s="793">
        <v>5110311302</v>
      </c>
      <c r="D1295" s="77" t="s">
        <v>254</v>
      </c>
      <c r="E1295" s="794" t="s">
        <v>640</v>
      </c>
      <c r="F1295" s="794" t="str">
        <f t="shared" si="109"/>
        <v>I</v>
      </c>
      <c r="G1295" s="28">
        <f>+IF(F1295="i",IFERROR(VLOOKUP(C1295,'BG 12.2024'!$B:$E,3,FALSE),0),0)</f>
        <v>810308</v>
      </c>
      <c r="H1295" s="21">
        <f>+IF(F1295="i",IFERROR(VLOOKUP(C1295,'BG 12.2024'!$B:$E,4,FALSE),0),0)</f>
        <v>106.96</v>
      </c>
      <c r="I1295" s="616"/>
      <c r="J1295" s="28">
        <f>IF(F1295="I",IFERROR(VLOOKUP(C1295,'BG 12.2023'!$B$6:$E$746,3,FALSE),0),0)</f>
        <v>1487418</v>
      </c>
      <c r="K1295" s="28">
        <f>IF(F1295="I",IFERROR(VLOOKUP(C1295,'BG 12.2023'!$B$6:$E$746,4,FALSE),0),0)</f>
        <v>206.28</v>
      </c>
      <c r="L1295" s="87">
        <f>+SUMIF('CA FE'!$A$1214:$A$1508,Composición!C1295,'CA FE'!$C$1214:$C$1508)</f>
        <v>810308</v>
      </c>
      <c r="M1295" s="15">
        <f>+VLOOKUP(C1295,'BG 2023'!$B:$E,1,0)</f>
        <v>5110311302</v>
      </c>
      <c r="N1295" s="806">
        <f>+VLOOKUP(C1295,'BG 12.2024'!$B:$E,3,0)</f>
        <v>810308</v>
      </c>
      <c r="O1295" s="807">
        <f t="shared" si="113"/>
        <v>-677110</v>
      </c>
      <c r="P1295" s="807"/>
      <c r="R1295" s="807">
        <f>+IFERROR(VLOOKUP(C1295,'CA FE'!$A:$C,3,0),0)-G1295</f>
        <v>0</v>
      </c>
    </row>
    <row r="1296" spans="1:19" s="87" customFormat="1">
      <c r="A1296" s="77" t="s">
        <v>395</v>
      </c>
      <c r="B1296" s="77" t="s">
        <v>410</v>
      </c>
      <c r="C1296" s="793">
        <v>5110311304</v>
      </c>
      <c r="D1296" s="77" t="s">
        <v>258</v>
      </c>
      <c r="E1296" s="794" t="s">
        <v>640</v>
      </c>
      <c r="F1296" s="794" t="str">
        <f t="shared" si="109"/>
        <v>I</v>
      </c>
      <c r="G1296" s="28">
        <f>+IF(F1296="i",IFERROR(VLOOKUP(C1296,'BG 12.2024'!$B:$E,3,FALSE),0),0)</f>
        <v>0</v>
      </c>
      <c r="H1296" s="21">
        <f>+IF(F1296="i",IFERROR(VLOOKUP(C1296,'BG 12.2024'!$B:$E,4,FALSE),0),0)</f>
        <v>0</v>
      </c>
      <c r="I1296" s="616"/>
      <c r="J1296" s="28">
        <f>IF(F1296="I",IFERROR(VLOOKUP(C1296,'BG 12.2023'!$B$6:$E$746,3,FALSE),0),0)</f>
        <v>642682</v>
      </c>
      <c r="K1296" s="28">
        <f>IF(F1296="I",IFERROR(VLOOKUP(C1296,'BG 12.2023'!$B$6:$E$746,4,FALSE),0),0)</f>
        <v>89.4</v>
      </c>
      <c r="L1296" s="87">
        <f>+SUMIF('CA FE'!$A$1214:$A$1508,Composición!C1296,'CA FE'!$C$1214:$C$1508)</f>
        <v>0</v>
      </c>
      <c r="M1296" s="15">
        <f>+VLOOKUP(C1296,'BG 2023'!$B:$E,1,0)</f>
        <v>5110311304</v>
      </c>
      <c r="N1296" s="806" t="e">
        <f>+VLOOKUP(C1296,'BG 12.2024'!$B:$E,3,0)</f>
        <v>#N/A</v>
      </c>
      <c r="O1296" s="807" t="e">
        <f t="shared" si="113"/>
        <v>#N/A</v>
      </c>
      <c r="P1296" s="807"/>
      <c r="R1296" s="807">
        <f>+IFERROR(VLOOKUP(C1296,'CA FE'!$A:$C,3,0),0)-G1296</f>
        <v>0</v>
      </c>
    </row>
    <row r="1297" spans="1:19" s="87" customFormat="1">
      <c r="A1297" s="77" t="s">
        <v>395</v>
      </c>
      <c r="B1297" s="77" t="s">
        <v>410</v>
      </c>
      <c r="C1297" s="793">
        <v>5110311305</v>
      </c>
      <c r="D1297" s="77" t="s">
        <v>59</v>
      </c>
      <c r="E1297" s="794" t="s">
        <v>634</v>
      </c>
      <c r="F1297" s="794" t="str">
        <f t="shared" si="109"/>
        <v>I</v>
      </c>
      <c r="G1297" s="28">
        <f>+IF(F1297="i",IFERROR(VLOOKUP(C1297,'BG 12.2024'!$B:$E,3,FALSE),0),0)</f>
        <v>48370044</v>
      </c>
      <c r="H1297" s="21">
        <f>+IF(F1297="i",IFERROR(VLOOKUP(C1297,'BG 12.2024'!$B:$E,4,FALSE),0),0)</f>
        <v>6238.27</v>
      </c>
      <c r="I1297" s="616"/>
      <c r="J1297" s="28">
        <f>IF(F1297="I",IFERROR(VLOOKUP(C1297,'BG 12.2023'!$B$6:$E$746,3,FALSE),0),0)</f>
        <v>2167951</v>
      </c>
      <c r="K1297" s="28">
        <f>IF(F1297="I",IFERROR(VLOOKUP(C1297,'BG 12.2023'!$B$6:$E$746,4,FALSE),0),0)</f>
        <v>298.45</v>
      </c>
      <c r="L1297" s="87">
        <f>+SUMIF('CA FE'!$A$1214:$A$1508,Composición!C1297,'CA FE'!$C$1214:$C$1508)</f>
        <v>48370044</v>
      </c>
      <c r="M1297" s="15">
        <f>+VLOOKUP(C1297,'BG 2023'!$B:$E,1,0)</f>
        <v>5110311305</v>
      </c>
      <c r="N1297" s="806">
        <f>+VLOOKUP(C1297,'BG 12.2024'!$B:$E,3,0)</f>
        <v>48370044</v>
      </c>
      <c r="O1297" s="807">
        <f t="shared" si="113"/>
        <v>46202093</v>
      </c>
      <c r="P1297" s="807"/>
      <c r="R1297" s="807">
        <f>+IFERROR(VLOOKUP(C1297,'CA FE'!$A:$C,3,0),0)-G1297</f>
        <v>0</v>
      </c>
    </row>
    <row r="1298" spans="1:19" s="87" customFormat="1">
      <c r="A1298" s="77" t="s">
        <v>395</v>
      </c>
      <c r="B1298" s="77" t="s">
        <v>410</v>
      </c>
      <c r="C1298" s="793">
        <v>5110311306</v>
      </c>
      <c r="D1298" s="77" t="s">
        <v>60</v>
      </c>
      <c r="E1298" s="794" t="s">
        <v>640</v>
      </c>
      <c r="F1298" s="794" t="str">
        <f t="shared" si="109"/>
        <v>I</v>
      </c>
      <c r="G1298" s="28">
        <f>+IF(F1298="i",IFERROR(VLOOKUP(C1298,'BG 12.2024'!$B:$E,3,FALSE),0),0)</f>
        <v>2733917</v>
      </c>
      <c r="H1298" s="21">
        <f>+IF(F1298="i",IFERROR(VLOOKUP(C1298,'BG 12.2024'!$B:$E,4,FALSE),0),0)</f>
        <v>362.58999999999992</v>
      </c>
      <c r="I1298" s="616"/>
      <c r="J1298" s="28">
        <f>IF(F1298="I",IFERROR(VLOOKUP(C1298,'BG 12.2023'!$B$6:$E$746,3,FALSE),0),0)</f>
        <v>141672</v>
      </c>
      <c r="K1298" s="28">
        <f>IF(F1298="I",IFERROR(VLOOKUP(C1298,'BG 12.2023'!$B$6:$E$746,4,FALSE),0),0)</f>
        <v>19.41</v>
      </c>
      <c r="L1298" s="87">
        <f>+SUMIF('CA FE'!$A$1214:$A$1508,Composición!C1298,'CA FE'!$C$1214:$C$1508)</f>
        <v>2733917</v>
      </c>
      <c r="M1298" s="15">
        <f>+VLOOKUP(C1298,'BG 2023'!$B:$E,1,0)</f>
        <v>5110311306</v>
      </c>
      <c r="N1298" s="819">
        <f>+VLOOKUP(C1298,'BG 12.2024'!$B:$E,3,0)</f>
        <v>2733917</v>
      </c>
      <c r="O1298" s="807">
        <f t="shared" si="113"/>
        <v>2592245</v>
      </c>
      <c r="P1298" s="807"/>
      <c r="R1298" s="807">
        <f>+IFERROR(VLOOKUP(C1298,'CA FE'!$A:$C,3,0),0)-G1298</f>
        <v>0</v>
      </c>
    </row>
    <row r="1299" spans="1:19" s="87" customFormat="1">
      <c r="A1299" s="77" t="s">
        <v>395</v>
      </c>
      <c r="B1299" s="77" t="s">
        <v>410</v>
      </c>
      <c r="C1299" s="793">
        <v>5110311307</v>
      </c>
      <c r="D1299" s="77" t="s">
        <v>63</v>
      </c>
      <c r="E1299" s="794" t="s">
        <v>634</v>
      </c>
      <c r="F1299" s="794" t="str">
        <f t="shared" si="109"/>
        <v>I</v>
      </c>
      <c r="G1299" s="28">
        <f>+IF(F1299="i",IFERROR(VLOOKUP(C1299,'BG 12.2024'!$B:$E,3,FALSE),0),0)</f>
        <v>144590</v>
      </c>
      <c r="H1299" s="21">
        <f>+IF(F1299="i",IFERROR(VLOOKUP(C1299,'BG 12.2024'!$B:$E,4,FALSE),0),0)</f>
        <v>19.41</v>
      </c>
      <c r="I1299" s="616"/>
      <c r="J1299" s="28">
        <f>IF(F1299="I",IFERROR(VLOOKUP(C1299,'BG 12.2023'!$B$6:$E$746,3,FALSE),0),0)</f>
        <v>662437</v>
      </c>
      <c r="K1299" s="28">
        <f>IF(F1299="I",IFERROR(VLOOKUP(C1299,'BG 12.2023'!$B$6:$E$746,4,FALSE),0),0)</f>
        <v>88.84</v>
      </c>
      <c r="L1299" s="87">
        <f>+SUMIF('CA FE'!$A$1214:$A$1508,Composición!C1299,'CA FE'!$C$1214:$C$1508)</f>
        <v>144590</v>
      </c>
      <c r="M1299" s="15">
        <f>+VLOOKUP(C1299,'BG 2023'!$B:$E,1,0)</f>
        <v>5110311307</v>
      </c>
      <c r="N1299" s="806">
        <f>+VLOOKUP(C1299,'BG 12.2024'!$B:$E,3,0)</f>
        <v>144590</v>
      </c>
      <c r="O1299" s="807">
        <f t="shared" si="113"/>
        <v>-517847</v>
      </c>
      <c r="P1299" s="807"/>
      <c r="R1299" s="807">
        <f>+IFERROR(VLOOKUP(C1299,'CA FE'!$A:$C,3,0),0)-G1299</f>
        <v>0</v>
      </c>
    </row>
    <row r="1300" spans="1:19" s="87" customFormat="1">
      <c r="A1300" s="77" t="s">
        <v>395</v>
      </c>
      <c r="B1300" s="77" t="s">
        <v>410</v>
      </c>
      <c r="C1300" s="793">
        <v>5110311308</v>
      </c>
      <c r="D1300" s="77" t="s">
        <v>64</v>
      </c>
      <c r="E1300" s="794" t="s">
        <v>640</v>
      </c>
      <c r="F1300" s="794" t="str">
        <f t="shared" si="109"/>
        <v>I</v>
      </c>
      <c r="G1300" s="28">
        <f>+IF(F1300="i",IFERROR(VLOOKUP(C1300,'BG 12.2024'!$B:$E,3,FALSE),0),0)</f>
        <v>0</v>
      </c>
      <c r="H1300" s="21">
        <f>+IF(F1300="i",IFERROR(VLOOKUP(C1300,'BG 12.2024'!$B:$E,4,FALSE),0),0)</f>
        <v>0</v>
      </c>
      <c r="I1300" s="616"/>
      <c r="J1300" s="28">
        <f>IF(F1300="I",IFERROR(VLOOKUP(C1300,'BG 12.2023'!$B$6:$E$746,3,FALSE),0),0)</f>
        <v>77830904</v>
      </c>
      <c r="K1300" s="28">
        <f>IF(F1300="I",IFERROR(VLOOKUP(C1300,'BG 12.2023'!$B$6:$E$746,4,FALSE),0),0)</f>
        <v>10853.36</v>
      </c>
      <c r="L1300" s="87">
        <f>+SUMIF('CA FE'!$A$1214:$A$1508,Composición!C1300,'CA FE'!$C$1214:$C$1508)</f>
        <v>0</v>
      </c>
      <c r="M1300" s="15">
        <f>+VLOOKUP(C1300,'BG 2023'!$B:$E,1,0)</f>
        <v>5110311308</v>
      </c>
      <c r="N1300" s="806" t="e">
        <f>+VLOOKUP(C1300,'BG 12.2024'!$B:$E,3,0)</f>
        <v>#N/A</v>
      </c>
      <c r="O1300" s="807" t="e">
        <f t="shared" si="113"/>
        <v>#N/A</v>
      </c>
      <c r="P1300" s="807"/>
      <c r="R1300" s="807">
        <f>+IFERROR(VLOOKUP(C1300,'CA FE'!$A:$C,3,0),0)-G1300</f>
        <v>0</v>
      </c>
    </row>
    <row r="1301" spans="1:19" s="87" customFormat="1">
      <c r="A1301" s="77" t="s">
        <v>395</v>
      </c>
      <c r="B1301" s="77" t="s">
        <v>410</v>
      </c>
      <c r="C1301" s="793">
        <v>5110311309</v>
      </c>
      <c r="D1301" s="77" t="s">
        <v>66</v>
      </c>
      <c r="E1301" s="794" t="s">
        <v>634</v>
      </c>
      <c r="F1301" s="794" t="str">
        <f>+IF(LEN(C1301)&gt;8,"I","NI")</f>
        <v>I</v>
      </c>
      <c r="G1301" s="28">
        <f>+IF(F1301="i",IFERROR(VLOOKUP(C1301,'BG 12.2024'!$B:$E,3,FALSE),0),0)</f>
        <v>67791</v>
      </c>
      <c r="H1301" s="21">
        <f>+IF(F1301="i",IFERROR(VLOOKUP(C1301,'BG 12.2024'!$B:$E,4,FALSE),0),0)</f>
        <v>8.98</v>
      </c>
      <c r="I1301" s="616"/>
      <c r="J1301" s="28"/>
      <c r="K1301" s="28"/>
      <c r="M1301" s="15"/>
      <c r="N1301" s="806"/>
      <c r="O1301" s="807"/>
      <c r="P1301" s="807"/>
      <c r="R1301" s="807">
        <f>+IFERROR(VLOOKUP(C1301,'CA FE'!$A:$C,3,0),0)-G1301</f>
        <v>0</v>
      </c>
    </row>
    <row r="1302" spans="1:19" s="87" customFormat="1">
      <c r="A1302" s="77" t="s">
        <v>395</v>
      </c>
      <c r="B1302" s="77" t="s">
        <v>410</v>
      </c>
      <c r="C1302" s="1350">
        <v>5110311317</v>
      </c>
      <c r="D1302" s="1349" t="s">
        <v>2968</v>
      </c>
      <c r="E1302" s="794" t="s">
        <v>634</v>
      </c>
      <c r="F1302" s="794" t="str">
        <f>+IF(LEN(C1302)&gt;8,"I","NI")</f>
        <v>I</v>
      </c>
      <c r="G1302" s="28">
        <f>+IF(F1302="i",IFERROR(VLOOKUP(C1302,'BG 12.2024'!$B:$E,3,FALSE),0),0)</f>
        <v>361310</v>
      </c>
      <c r="H1302" s="21">
        <f>+IF(F1302="i",IFERROR(VLOOKUP(C1302,'BG 12.2024'!$B:$E,4,FALSE),0),0)</f>
        <v>45.69</v>
      </c>
      <c r="I1302" s="616"/>
      <c r="J1302" s="28"/>
      <c r="K1302" s="28"/>
      <c r="M1302" s="15"/>
      <c r="N1302" s="806"/>
      <c r="O1302" s="807"/>
      <c r="P1302" s="807"/>
      <c r="R1302" s="807">
        <f>+IFERROR(VLOOKUP(C1302,'CA FE'!$A:$C,3,0),0)-G1302</f>
        <v>0</v>
      </c>
    </row>
    <row r="1303" spans="1:19" s="87" customFormat="1">
      <c r="A1303" s="77" t="s">
        <v>395</v>
      </c>
      <c r="B1303" s="77"/>
      <c r="C1303" s="793">
        <v>5110311313</v>
      </c>
      <c r="D1303" s="77" t="s">
        <v>1038</v>
      </c>
      <c r="E1303" s="794" t="s">
        <v>634</v>
      </c>
      <c r="F1303" s="794" t="str">
        <f t="shared" si="109"/>
        <v>I</v>
      </c>
      <c r="G1303" s="28">
        <f>+IF(F1303="i",IFERROR(VLOOKUP(C1303,'BG 12.2024'!$B:$E,3,FALSE),0),0)</f>
        <v>0</v>
      </c>
      <c r="H1303" s="21">
        <f>+IF(F1303="i",IFERROR(VLOOKUP(C1303,'BG 12.2024'!$B:$E,4,FALSE),0),0)</f>
        <v>0</v>
      </c>
      <c r="I1303" s="616"/>
      <c r="J1303" s="28">
        <f>IF(F1303="I",IFERROR(VLOOKUP(C1303,'BG 12.2023'!$B$6:$E$746,3,FALSE),0),0)</f>
        <v>0</v>
      </c>
      <c r="K1303" s="28">
        <f>IF(F1303="I",IFERROR(VLOOKUP(C1303,'BG 12.2023'!$B$6:$E$746,4,FALSE),0),0)</f>
        <v>0</v>
      </c>
      <c r="L1303" s="87">
        <f>+SUMIF('CA FE'!$A$1214:$A$1508,Composición!C1303,'CA FE'!$C$1214:$C$1508)</f>
        <v>0</v>
      </c>
      <c r="M1303" s="15" t="e">
        <f>+VLOOKUP(C1303,'BG 2023'!$B:$E,1,0)</f>
        <v>#N/A</v>
      </c>
      <c r="N1303" s="819" t="e">
        <f>+VLOOKUP(C1303,'BG 12.2024'!$B:$E,3,0)</f>
        <v>#N/A</v>
      </c>
      <c r="O1303" s="807" t="e">
        <f t="shared" si="113"/>
        <v>#N/A</v>
      </c>
      <c r="P1303" s="807"/>
      <c r="R1303" s="807">
        <f>+IFERROR(VLOOKUP(C1303,'CA FE'!$A:$C,3,0),0)-G1303</f>
        <v>0</v>
      </c>
    </row>
    <row r="1304" spans="1:19" s="87" customFormat="1">
      <c r="A1304" s="77" t="s">
        <v>395</v>
      </c>
      <c r="B1304" s="77" t="s">
        <v>410</v>
      </c>
      <c r="C1304" s="793">
        <v>5110311321</v>
      </c>
      <c r="D1304" s="77" t="s">
        <v>417</v>
      </c>
      <c r="E1304" s="794" t="s">
        <v>634</v>
      </c>
      <c r="F1304" s="794" t="str">
        <f t="shared" ref="F1304" si="114">+IF(LEN(C1304)&gt;8,"I","NI")</f>
        <v>I</v>
      </c>
      <c r="G1304" s="1097">
        <f>+IF(F1304="i",IFERROR(VLOOKUP(C1304,'BG 12.2024'!$B:$E,3,FALSE),0),0)</f>
        <v>0</v>
      </c>
      <c r="H1304" s="21">
        <f>+IF(F1304="i",IFERROR(VLOOKUP(C1304,'BG 12.2024'!$B:$E,4,FALSE),0),0)</f>
        <v>0</v>
      </c>
      <c r="I1304" s="616"/>
      <c r="J1304" s="28">
        <f>IF(F1304="I",IFERROR(VLOOKUP(C1304,'BG 12.2023'!$B$6:$E$746,3,FALSE),0),0)</f>
        <v>26033</v>
      </c>
      <c r="K1304" s="28">
        <f>IF(F1304="I",IFERROR(VLOOKUP(C1304,'BG 12.2023'!$B$6:$E$746,4,FALSE),0),0)</f>
        <v>3.51</v>
      </c>
      <c r="L1304" s="87">
        <f>+SUMIF('CA FE'!$A$1214:$A$1508,Composición!C1304,'CA FE'!$C$1214:$C$1508)</f>
        <v>0</v>
      </c>
      <c r="M1304" s="15"/>
      <c r="N1304" s="819" t="e">
        <f>+VLOOKUP(C1304,'BG 12.2024'!$B:$E,3,0)</f>
        <v>#N/A</v>
      </c>
      <c r="O1304" s="807" t="e">
        <f t="shared" si="113"/>
        <v>#N/A</v>
      </c>
      <c r="P1304" s="807"/>
      <c r="R1304" s="807">
        <f>+IFERROR(VLOOKUP(C1304,'CA FE'!$A:$C,3,0),0)-G1304</f>
        <v>0</v>
      </c>
      <c r="S1304" s="842" t="s">
        <v>1037</v>
      </c>
    </row>
    <row r="1305" spans="1:19" s="87" customFormat="1">
      <c r="A1305" s="77" t="s">
        <v>395</v>
      </c>
      <c r="B1305" s="77" t="s">
        <v>410</v>
      </c>
      <c r="C1305" s="793">
        <v>5110311329</v>
      </c>
      <c r="D1305" s="77" t="s">
        <v>609</v>
      </c>
      <c r="E1305" s="794" t="s">
        <v>634</v>
      </c>
      <c r="F1305" s="794" t="str">
        <f t="shared" si="109"/>
        <v>I</v>
      </c>
      <c r="G1305" s="28">
        <f>+IF(F1305="i",IFERROR(VLOOKUP(C1305,'BG 12.2024'!$B:$E,3,FALSE),0),0)</f>
        <v>2574473</v>
      </c>
      <c r="H1305" s="21">
        <f>+IF(F1305="i",IFERROR(VLOOKUP(C1305,'BG 12.2024'!$B:$E,4,FALSE),0),0)</f>
        <v>329.77</v>
      </c>
      <c r="I1305" s="616"/>
      <c r="J1305" s="28">
        <f>IF(F1305="I",IFERROR(VLOOKUP(C1305,'BG 12.2023'!$B$6:$E$746,3,FALSE),0),0)</f>
        <v>0</v>
      </c>
      <c r="K1305" s="28">
        <f>IF(F1305="I",IFERROR(VLOOKUP(C1305,'BG 12.2023'!$B$6:$E$746,4,FALSE),0),0)</f>
        <v>0</v>
      </c>
      <c r="L1305" s="87">
        <f>+SUMIF('CA FE'!$A$1214:$A$1508,Composición!C1305,'CA FE'!$C$1214:$C$1508)</f>
        <v>2574473</v>
      </c>
      <c r="M1305" s="15" t="e">
        <f>+VLOOKUP(C1305,'BG 2023'!$B:$E,1,0)</f>
        <v>#N/A</v>
      </c>
      <c r="N1305" s="806">
        <f>+VLOOKUP(C1305,'BG 12.2024'!$B:$E,3,0)</f>
        <v>2574473</v>
      </c>
      <c r="O1305" s="807">
        <f t="shared" si="113"/>
        <v>2574473</v>
      </c>
      <c r="P1305" s="807"/>
      <c r="R1305" s="807">
        <f>+IFERROR(VLOOKUP(C1305,'CA FE'!$A:$C,3,0),0)-G1305</f>
        <v>0</v>
      </c>
    </row>
    <row r="1306" spans="1:19" s="87" customFormat="1">
      <c r="A1306" s="77" t="s">
        <v>395</v>
      </c>
      <c r="B1306" s="77" t="s">
        <v>410</v>
      </c>
      <c r="C1306" s="793">
        <v>5110311334</v>
      </c>
      <c r="D1306" s="77" t="s">
        <v>1039</v>
      </c>
      <c r="E1306" s="794" t="s">
        <v>634</v>
      </c>
      <c r="F1306" s="794" t="str">
        <f t="shared" ref="F1306:F1308" si="115">+IF(LEN(C1306)&gt;8,"I","NI")</f>
        <v>I</v>
      </c>
      <c r="G1306" s="28">
        <f>+IF(F1306="i",IFERROR(VLOOKUP(C1306,'BG 12.2024'!$B:$E,3,FALSE),0),0)</f>
        <v>0</v>
      </c>
      <c r="H1306" s="21">
        <f>+IF(F1306="i",IFERROR(VLOOKUP(C1306,'BG 12.2024'!$B:$E,4,FALSE),0),0)</f>
        <v>0</v>
      </c>
      <c r="I1306" s="616"/>
      <c r="J1306" s="28">
        <f>IF(F1306="I",IFERROR(VLOOKUP(C1306,'BG 12.2023'!$B$6:$E$746,3,FALSE),0),0)</f>
        <v>0</v>
      </c>
      <c r="K1306" s="28">
        <f>IF(F1306="I",IFERROR(VLOOKUP(C1306,'BG 12.2023'!$B$6:$E$746,4,FALSE),0),0)</f>
        <v>0</v>
      </c>
      <c r="L1306" s="87">
        <f>+SUMIF('CA FE'!$A$1214:$A$1508,Composición!C1306,'CA FE'!$C$1214:$C$1508)</f>
        <v>0</v>
      </c>
      <c r="M1306" s="15" t="e">
        <f>+VLOOKUP(C1306,'BG 2023'!$B:$E,1,0)</f>
        <v>#N/A</v>
      </c>
      <c r="N1306" s="806" t="e">
        <f>+VLOOKUP(C1306,'BG 12.2024'!$B:$E,3,0)</f>
        <v>#N/A</v>
      </c>
      <c r="O1306" s="807" t="e">
        <f t="shared" si="113"/>
        <v>#N/A</v>
      </c>
      <c r="P1306" s="807"/>
      <c r="R1306" s="807">
        <f>+IFERROR(VLOOKUP(C1306,'CA FE'!$A:$C,3,0),0)-G1306</f>
        <v>0</v>
      </c>
    </row>
    <row r="1307" spans="1:19" s="87" customFormat="1">
      <c r="A1307" s="77" t="s">
        <v>395</v>
      </c>
      <c r="B1307" s="77" t="s">
        <v>410</v>
      </c>
      <c r="C1307" s="793">
        <v>5110311335</v>
      </c>
      <c r="D1307" s="77" t="s">
        <v>418</v>
      </c>
      <c r="E1307" s="794" t="s">
        <v>634</v>
      </c>
      <c r="F1307" s="794" t="str">
        <f t="shared" si="115"/>
        <v>I</v>
      </c>
      <c r="G1307" s="28">
        <f>+IF(F1307="i",IFERROR(VLOOKUP(C1307,'BG 12.2024'!$B:$E,3,FALSE),0),0)</f>
        <v>1</v>
      </c>
      <c r="H1307" s="21">
        <f>+IF(F1307="i",IFERROR(VLOOKUP(C1307,'BG 12.2024'!$B:$E,4,FALSE),0),0)</f>
        <v>0</v>
      </c>
      <c r="I1307" s="616"/>
      <c r="J1307" s="28">
        <f>IF(F1307="I",IFERROR(VLOOKUP(C1307,'BG 12.2023'!$B$6:$E$746,3,FALSE),0),0)</f>
        <v>868059</v>
      </c>
      <c r="K1307" s="28">
        <f>IF(F1307="I",IFERROR(VLOOKUP(C1307,'BG 12.2023'!$B$6:$E$746,4,FALSE),0),0)</f>
        <v>119.59</v>
      </c>
      <c r="L1307" s="87">
        <f>+SUMIF('CA FE'!$A$1214:$A$1508,Composición!C1307,'CA FE'!$C$1214:$C$1508)</f>
        <v>1</v>
      </c>
      <c r="M1307" s="15">
        <f>+VLOOKUP(C1307,'BG 2023'!$B:$E,1,0)</f>
        <v>5110311335</v>
      </c>
      <c r="N1307" s="819">
        <f>+VLOOKUP(C1307,'BG 12.2024'!$B:$E,3,0)</f>
        <v>1</v>
      </c>
      <c r="O1307" s="807">
        <f t="shared" ref="O1307:O1308" si="116">+N1307-J1307</f>
        <v>-868058</v>
      </c>
      <c r="P1307" s="807"/>
      <c r="R1307" s="807">
        <f>+IFERROR(VLOOKUP(C1307,'CA FE'!$A:$C,3,0),0)-G1307</f>
        <v>0</v>
      </c>
    </row>
    <row r="1308" spans="1:19" s="87" customFormat="1">
      <c r="A1308" s="77" t="s">
        <v>395</v>
      </c>
      <c r="B1308" s="77" t="s">
        <v>410</v>
      </c>
      <c r="C1308" s="1350">
        <v>5110311338</v>
      </c>
      <c r="D1308" s="1349" t="s">
        <v>338</v>
      </c>
      <c r="E1308" s="794" t="s">
        <v>634</v>
      </c>
      <c r="F1308" s="794" t="str">
        <f t="shared" si="115"/>
        <v>I</v>
      </c>
      <c r="G1308" s="28">
        <f>+IF(F1308="i",IFERROR(VLOOKUP(C1308,'BG 12.2024'!$B:$E,3,FALSE),0),0)</f>
        <v>11254283</v>
      </c>
      <c r="H1308" s="21">
        <f>+IF(F1308="i",IFERROR(VLOOKUP(C1308,'BG 12.2024'!$B:$E,4,FALSE),0),0)</f>
        <v>1429.67</v>
      </c>
      <c r="I1308" s="616"/>
      <c r="J1308" s="28">
        <f>IF(F1308="I",IFERROR(VLOOKUP(C1308,'BG 12.2023'!$B$6:$E$746,3,FALSE),0),0)</f>
        <v>0</v>
      </c>
      <c r="K1308" s="28">
        <f>IF(F1308="I",IFERROR(VLOOKUP(C1308,'BG 12.2023'!$B$6:$E$746,4,FALSE),0),0)</f>
        <v>0</v>
      </c>
      <c r="L1308" s="87">
        <f>+SUMIF('CA FE'!$A$1214:$A$1508,Composición!C1308,'CA FE'!$C$1214:$C$1508)</f>
        <v>11254283</v>
      </c>
      <c r="M1308" s="15" t="e">
        <f>+VLOOKUP(C1308,'BG 2023'!$B:$E,1,0)</f>
        <v>#N/A</v>
      </c>
      <c r="N1308" s="819">
        <f>+VLOOKUP(C1308,'BG 12.2024'!$B:$E,3,0)</f>
        <v>11254283</v>
      </c>
      <c r="O1308" s="807">
        <f t="shared" si="116"/>
        <v>11254283</v>
      </c>
      <c r="P1308" s="807"/>
      <c r="R1308" s="807">
        <f>+IFERROR(VLOOKUP(C1308,'CA FE'!$A:$C,3,0),0)-G1308</f>
        <v>0</v>
      </c>
    </row>
    <row r="1309" spans="1:19" s="87" customFormat="1">
      <c r="A1309" s="77" t="s">
        <v>395</v>
      </c>
      <c r="B1309" s="77" t="s">
        <v>410</v>
      </c>
      <c r="C1309" s="1350">
        <v>5110311339</v>
      </c>
      <c r="D1309" s="1349" t="s">
        <v>2969</v>
      </c>
      <c r="E1309" s="794" t="s">
        <v>634</v>
      </c>
      <c r="F1309" s="794" t="str">
        <f t="shared" si="109"/>
        <v>I</v>
      </c>
      <c r="G1309" s="28">
        <f>+IF(F1309="i",IFERROR(VLOOKUP(C1309,'BG 12.2024'!$B:$E,3,FALSE),0),0)</f>
        <v>5583618</v>
      </c>
      <c r="H1309" s="21">
        <f>+IF(F1309="i",IFERROR(VLOOKUP(C1309,'BG 12.2024'!$B:$E,4,FALSE),0),0)</f>
        <v>719.21</v>
      </c>
      <c r="I1309" s="616"/>
      <c r="J1309" s="28">
        <f>IF(F1309="I",IFERROR(VLOOKUP(C1309,'BG 12.2023'!$B$6:$E$746,3,FALSE),0),0)</f>
        <v>0</v>
      </c>
      <c r="K1309" s="28">
        <f>IF(F1309="I",IFERROR(VLOOKUP(C1309,'BG 12.2023'!$B$6:$E$746,4,FALSE),0),0)</f>
        <v>0</v>
      </c>
      <c r="L1309" s="87">
        <f>+SUMIF('CA FE'!$A$1214:$A$1508,Composición!C1309,'CA FE'!$C$1214:$C$1508)</f>
        <v>5583618</v>
      </c>
      <c r="M1309" s="15" t="e">
        <f>+VLOOKUP(C1309,'BG 2023'!$B:$E,1,0)</f>
        <v>#N/A</v>
      </c>
      <c r="N1309" s="819">
        <f>+VLOOKUP(C1309,'BG 12.2024'!$B:$E,3,0)</f>
        <v>5583618</v>
      </c>
      <c r="O1309" s="807">
        <f t="shared" si="113"/>
        <v>5583618</v>
      </c>
      <c r="P1309" s="807"/>
      <c r="R1309" s="807">
        <f>+IFERROR(VLOOKUP(C1309,'CA FE'!$A:$C,3,0),0)-G1309</f>
        <v>0</v>
      </c>
    </row>
    <row r="1310" spans="1:19" s="87" customFormat="1">
      <c r="A1310" s="77" t="s">
        <v>395</v>
      </c>
      <c r="B1310" s="77"/>
      <c r="C1310" s="793">
        <v>51103115</v>
      </c>
      <c r="D1310" s="77" t="s">
        <v>419</v>
      </c>
      <c r="E1310" s="794" t="s">
        <v>634</v>
      </c>
      <c r="F1310" s="794" t="str">
        <f t="shared" si="109"/>
        <v>NI</v>
      </c>
      <c r="G1310" s="28">
        <f>+IF(F1310="i",IFERROR(VLOOKUP(C1310,'BG 12.2024'!$B:$E,3,FALSE),0),0)</f>
        <v>0</v>
      </c>
      <c r="H1310" s="21">
        <f>+IF(F1310="i",IFERROR(VLOOKUP(C1310,'BG 12.2024'!$B:$E,4,FALSE),0),0)</f>
        <v>0</v>
      </c>
      <c r="I1310" s="616"/>
      <c r="J1310" s="28">
        <f>IF(F1310="I",IFERROR(VLOOKUP(C1310,'BG 12.2023'!$B$6:$E$746,3,FALSE),0),0)</f>
        <v>0</v>
      </c>
      <c r="K1310" s="28">
        <f>IF(F1310="I",IFERROR(VLOOKUP(C1310,'BG 12.2023'!$B$6:$E$746,4,FALSE),0),0)</f>
        <v>0</v>
      </c>
      <c r="L1310" s="87">
        <f>+SUMIF('CA FE'!$A$1214:$A$1508,Composición!C1310,'CA FE'!$C$1214:$C$1508)</f>
        <v>0</v>
      </c>
      <c r="M1310" s="15">
        <f>+VLOOKUP(C1310,'BG 2023'!$B:$E,1,0)</f>
        <v>51103115</v>
      </c>
      <c r="N1310" s="806">
        <f>+VLOOKUP(C1310,'BG 2023'!$B:$E,3,0)-J1310</f>
        <v>7568495</v>
      </c>
      <c r="O1310" s="807">
        <f t="shared" si="112"/>
        <v>7568495</v>
      </c>
      <c r="P1310" s="807"/>
      <c r="R1310" s="807">
        <f>+IFERROR(VLOOKUP(C1310,'CA FE'!$A:$C,3,0),0)-G1310</f>
        <v>0</v>
      </c>
    </row>
    <row r="1311" spans="1:19" s="87" customFormat="1">
      <c r="A1311" s="77" t="s">
        <v>395</v>
      </c>
      <c r="B1311" s="77" t="s">
        <v>410</v>
      </c>
      <c r="C1311" s="793">
        <v>5110311501</v>
      </c>
      <c r="D1311" s="77" t="s">
        <v>1040</v>
      </c>
      <c r="E1311" s="794" t="s">
        <v>634</v>
      </c>
      <c r="F1311" s="794" t="str">
        <f t="shared" si="109"/>
        <v>I</v>
      </c>
      <c r="G1311" s="28">
        <f>+IF(F1311="i",IFERROR(VLOOKUP(C1311,'BG 12.2024'!$B:$E,3,FALSE),0),0)</f>
        <v>0</v>
      </c>
      <c r="H1311" s="21">
        <f>+IF(F1311="i",IFERROR(VLOOKUP(C1311,'BG 12.2024'!$B:$E,4,FALSE),0),0)</f>
        <v>0</v>
      </c>
      <c r="I1311" s="616"/>
      <c r="J1311" s="28">
        <f>IF(F1311="I",IFERROR(VLOOKUP(C1311,'BG 12.2023'!$B$6:$E$746,3,FALSE),0),0)</f>
        <v>7568495</v>
      </c>
      <c r="K1311" s="28">
        <f>IF(F1311="I",IFERROR(VLOOKUP(C1311,'BG 12.2023'!$B$6:$E$746,4,FALSE),0),0)</f>
        <v>1035.45</v>
      </c>
      <c r="L1311" s="87">
        <f>+SUMIF('CA FE'!$A$1214:$A$1508,Composición!C1311,'CA FE'!$C$1214:$C$1508)</f>
        <v>0</v>
      </c>
      <c r="M1311" s="15">
        <f>+VLOOKUP(C1311,'BG 2023'!$B:$E,1,0)</f>
        <v>5110311501</v>
      </c>
      <c r="N1311" s="806" t="e">
        <f>+VLOOKUP(C1311,'BG 12.2024'!$B:$E,3,0)</f>
        <v>#N/A</v>
      </c>
      <c r="O1311" s="807" t="e">
        <f>+N1311-J1311</f>
        <v>#N/A</v>
      </c>
      <c r="P1311" s="807"/>
      <c r="R1311" s="807">
        <f>+IFERROR(VLOOKUP(C1311,'CA FE'!$A:$C,3,0),0)-G1311</f>
        <v>0</v>
      </c>
    </row>
    <row r="1312" spans="1:19" s="87" customFormat="1">
      <c r="A1312" s="77" t="s">
        <v>395</v>
      </c>
      <c r="B1312" s="77"/>
      <c r="C1312" s="793">
        <v>511032</v>
      </c>
      <c r="D1312" s="77" t="s">
        <v>106</v>
      </c>
      <c r="E1312" s="794" t="s">
        <v>634</v>
      </c>
      <c r="F1312" s="794" t="str">
        <f t="shared" ref="F1312:F1316" si="117">+IF(LEN(C1312)&gt;8,"I","NI")</f>
        <v>NI</v>
      </c>
      <c r="G1312" s="28">
        <f>+IF(F1312="i",IFERROR(VLOOKUP(C1312,'BG 12.2024'!$B:$E,3,FALSE),0),0)</f>
        <v>0</v>
      </c>
      <c r="H1312" s="21">
        <f>+IF(F1312="i",IFERROR(VLOOKUP(C1312,'BG 12.2024'!$B:$E,4,FALSE),0),0)</f>
        <v>0</v>
      </c>
      <c r="I1312" s="616"/>
      <c r="J1312" s="28">
        <f>IF(F1312="I",IFERROR(VLOOKUP(C1312,'BG 12.2023'!$B$6:$E$746,3,FALSE),0),0)</f>
        <v>0</v>
      </c>
      <c r="K1312" s="28">
        <f>IF(F1312="I",IFERROR(VLOOKUP(C1312,'BG 12.2023'!$B$6:$E$746,4,FALSE),0),0)</f>
        <v>0</v>
      </c>
      <c r="L1312" s="87">
        <f>+SUMIF('CA FE'!$A$1214:$A$1508,Composición!C1312,'CA FE'!$C$1214:$C$1508)</f>
        <v>0</v>
      </c>
      <c r="M1312" s="15">
        <f>+VLOOKUP(C1312,'BG 2023'!$B:$E,1,0)</f>
        <v>511032</v>
      </c>
      <c r="N1312" s="806">
        <f>+VLOOKUP(C1312,'BG 2023'!$B:$E,3,0)-J1312</f>
        <v>422424993</v>
      </c>
      <c r="O1312" s="807">
        <f t="shared" si="112"/>
        <v>422424993</v>
      </c>
      <c r="P1312" s="807"/>
      <c r="R1312" s="807">
        <f>+IFERROR(VLOOKUP(C1312,'CA FE'!$A:$C,3,0),0)-G1312</f>
        <v>0</v>
      </c>
    </row>
    <row r="1313" spans="1:18" s="87" customFormat="1">
      <c r="A1313" s="77" t="s">
        <v>395</v>
      </c>
      <c r="B1313" s="77"/>
      <c r="C1313" s="793">
        <v>5110321</v>
      </c>
      <c r="D1313" s="77" t="s">
        <v>106</v>
      </c>
      <c r="E1313" s="794" t="s">
        <v>634</v>
      </c>
      <c r="F1313" s="794" t="str">
        <f t="shared" si="117"/>
        <v>NI</v>
      </c>
      <c r="G1313" s="28">
        <f>+IF(F1313="i",IFERROR(VLOOKUP(C1313,'BG 12.2024'!$B:$E,3,FALSE),0),0)</f>
        <v>0</v>
      </c>
      <c r="H1313" s="21">
        <f>+IF(F1313="i",IFERROR(VLOOKUP(C1313,'BG 12.2024'!$B:$E,4,FALSE),0),0)</f>
        <v>0</v>
      </c>
      <c r="I1313" s="616"/>
      <c r="J1313" s="28">
        <f>IF(F1313="I",IFERROR(VLOOKUP(C1313,'BG 12.2023'!$B$6:$E$746,3,FALSE),0),0)</f>
        <v>0</v>
      </c>
      <c r="K1313" s="28">
        <f>IF(F1313="I",IFERROR(VLOOKUP(C1313,'BG 12.2023'!$B$6:$E$746,4,FALSE),0),0)</f>
        <v>0</v>
      </c>
      <c r="L1313" s="87">
        <f>+SUMIF('CA FE'!$A$1214:$A$1508,Composición!C1313,'CA FE'!$C$1214:$C$1508)</f>
        <v>0</v>
      </c>
      <c r="M1313" s="15">
        <f>+VLOOKUP(C1313,'BG 2023'!$B:$E,1,0)</f>
        <v>5110321</v>
      </c>
      <c r="N1313" s="806">
        <f>+VLOOKUP(C1313,'BG 2023'!$B:$E,3,0)-J1313</f>
        <v>422424993</v>
      </c>
      <c r="O1313" s="807">
        <f t="shared" si="112"/>
        <v>422424993</v>
      </c>
      <c r="P1313" s="807"/>
      <c r="R1313" s="807">
        <f>+IFERROR(VLOOKUP(C1313,'CA FE'!$A:$C,3,0),0)-G1313</f>
        <v>0</v>
      </c>
    </row>
    <row r="1314" spans="1:18" s="87" customFormat="1">
      <c r="A1314" s="77" t="s">
        <v>395</v>
      </c>
      <c r="B1314" s="77"/>
      <c r="C1314" s="793">
        <v>51103211</v>
      </c>
      <c r="D1314" s="77" t="s">
        <v>106</v>
      </c>
      <c r="E1314" s="794" t="s">
        <v>634</v>
      </c>
      <c r="F1314" s="794" t="str">
        <f t="shared" si="117"/>
        <v>NI</v>
      </c>
      <c r="G1314" s="28">
        <f>+IF(F1314="i",IFERROR(VLOOKUP(C1314,'BG 12.2024'!$B:$E,3,FALSE),0),0)</f>
        <v>0</v>
      </c>
      <c r="H1314" s="21">
        <f>+IF(F1314="i",IFERROR(VLOOKUP(C1314,'BG 12.2024'!$B:$E,4,FALSE),0),0)</f>
        <v>0</v>
      </c>
      <c r="I1314" s="616"/>
      <c r="J1314" s="28">
        <f>IF(F1314="I",IFERROR(VLOOKUP(C1314,'BG 12.2023'!$B$6:$E$746,3,FALSE),0),0)</f>
        <v>0</v>
      </c>
      <c r="K1314" s="28">
        <f>IF(F1314="I",IFERROR(VLOOKUP(C1314,'BG 12.2023'!$B$6:$E$746,4,FALSE),0),0)</f>
        <v>0</v>
      </c>
      <c r="L1314" s="87">
        <f>+SUMIF('CA FE'!$A$1214:$A$1508,Composición!C1314,'CA FE'!$C$1214:$C$1508)</f>
        <v>0</v>
      </c>
      <c r="M1314" s="15">
        <f>+VLOOKUP(C1314,'BG 2023'!$B:$E,1,0)</f>
        <v>51103211</v>
      </c>
      <c r="N1314" s="806">
        <f>+VLOOKUP(C1314,'BG 2023'!$B:$E,3,0)-J1314</f>
        <v>422424993</v>
      </c>
      <c r="O1314" s="807">
        <f t="shared" si="112"/>
        <v>422424993</v>
      </c>
      <c r="P1314" s="807"/>
      <c r="R1314" s="807">
        <f>+IFERROR(VLOOKUP(C1314,'CA FE'!$A:$C,3,0),0)-G1314</f>
        <v>0</v>
      </c>
    </row>
    <row r="1315" spans="1:18" s="87" customFormat="1">
      <c r="A1315" s="77" t="s">
        <v>395</v>
      </c>
      <c r="B1315" s="77"/>
      <c r="C1315" s="793">
        <v>5110321101</v>
      </c>
      <c r="D1315" s="77" t="s">
        <v>1041</v>
      </c>
      <c r="E1315" s="794" t="s">
        <v>634</v>
      </c>
      <c r="F1315" s="794" t="str">
        <f t="shared" si="117"/>
        <v>I</v>
      </c>
      <c r="G1315" s="28">
        <f>+IF(F1315="i",IFERROR(VLOOKUP(C1315,'BG 12.2024'!$B:$E,3,FALSE),0),0)</f>
        <v>0</v>
      </c>
      <c r="H1315" s="21">
        <f>+IF(F1315="i",IFERROR(VLOOKUP(C1315,'BG 12.2024'!$B:$E,4,FALSE),0),0)</f>
        <v>0</v>
      </c>
      <c r="I1315" s="616"/>
      <c r="J1315" s="28">
        <f>IF(F1315="I",IFERROR(VLOOKUP(C1315,'BG 12.2023'!$B$6:$E$746,3,FALSE),0),0)</f>
        <v>0</v>
      </c>
      <c r="K1315" s="28">
        <f>IF(F1315="I",IFERROR(VLOOKUP(C1315,'BG 12.2023'!$B$6:$E$746,4,FALSE),0),0)</f>
        <v>0</v>
      </c>
      <c r="L1315" s="87">
        <f>+SUMIF('CA FE'!$A$1214:$A$1508,Composición!C1315,'CA FE'!$C$1214:$C$1508)</f>
        <v>0</v>
      </c>
      <c r="M1315" s="15" t="e">
        <f>+VLOOKUP(C1315,'BG 2023'!$B:$E,1,0)</f>
        <v>#N/A</v>
      </c>
      <c r="N1315" s="819" t="e">
        <f>+VLOOKUP(C1315,'BG 12.2024'!$B:$E,3,0)</f>
        <v>#N/A</v>
      </c>
      <c r="O1315" s="807" t="e">
        <f t="shared" ref="O1315:O1316" si="118">+N1315-J1315</f>
        <v>#N/A</v>
      </c>
      <c r="P1315" s="807"/>
      <c r="R1315" s="807">
        <f>+IFERROR(VLOOKUP(C1315,'CA FE'!$A:$C,3,0),0)-G1315</f>
        <v>0</v>
      </c>
    </row>
    <row r="1316" spans="1:18" s="87" customFormat="1">
      <c r="A1316" s="77" t="s">
        <v>395</v>
      </c>
      <c r="B1316" s="77" t="s">
        <v>1042</v>
      </c>
      <c r="C1316" s="793">
        <v>5110321102</v>
      </c>
      <c r="D1316" s="77" t="s">
        <v>421</v>
      </c>
      <c r="E1316" s="794" t="s">
        <v>634</v>
      </c>
      <c r="F1316" s="794" t="str">
        <f t="shared" si="117"/>
        <v>I</v>
      </c>
      <c r="G1316" s="28">
        <f>+IF(F1316="i",IFERROR(VLOOKUP(C1316,'BG 12.2024'!$B:$E,3,FALSE),0),0)</f>
        <v>228401350</v>
      </c>
      <c r="H1316" s="21">
        <f>+IF(F1316="i",IFERROR(VLOOKUP(C1316,'BG 12.2024'!$B:$E,4,FALSE),0),0)</f>
        <v>29432.06</v>
      </c>
      <c r="I1316" s="616"/>
      <c r="J1316" s="28">
        <f>IF(F1316="I",IFERROR(VLOOKUP(C1316,'BG 12.2023'!$B$6:$E$746,3,FALSE),0),0)</f>
        <v>422424993</v>
      </c>
      <c r="K1316" s="28">
        <f>IF(F1316="I",IFERROR(VLOOKUP(C1316,'BG 12.2023'!$B$6:$E$746,4,FALSE),0),0)</f>
        <v>59164.17</v>
      </c>
      <c r="L1316" s="87">
        <f>+SUMIF('CA FE'!$A$1214:$A$1508,Composición!C1316,'CA FE'!$C$1214:$C$1508)</f>
        <v>228401350</v>
      </c>
      <c r="M1316" s="15">
        <f>+VLOOKUP(C1316,'BG 2023'!$B:$E,1,0)</f>
        <v>5110321102</v>
      </c>
      <c r="N1316" s="819">
        <f>+VLOOKUP(C1316,'BG 12.2024'!$B:$E,3,0)</f>
        <v>228401350</v>
      </c>
      <c r="O1316" s="807">
        <f t="shared" si="118"/>
        <v>-194023643</v>
      </c>
      <c r="P1316" s="807"/>
      <c r="R1316" s="807">
        <f>+IFERROR(VLOOKUP(C1316,'CA FE'!$A:$C,3,0),0)-G1316</f>
        <v>0</v>
      </c>
    </row>
    <row r="1317" spans="1:18" s="87" customFormat="1">
      <c r="A1317" s="77" t="s">
        <v>395</v>
      </c>
      <c r="B1317" s="77"/>
      <c r="C1317" s="793">
        <v>51104</v>
      </c>
      <c r="D1317" s="77" t="s">
        <v>422</v>
      </c>
      <c r="E1317" s="794" t="s">
        <v>634</v>
      </c>
      <c r="F1317" s="794" t="str">
        <f t="shared" si="109"/>
        <v>NI</v>
      </c>
      <c r="G1317" s="28">
        <f>+IF(F1317="i",IFERROR(VLOOKUP(C1317,'BG 12.2024'!$B:$E,3,FALSE),0),0)</f>
        <v>0</v>
      </c>
      <c r="H1317" s="21">
        <f>+IF(F1317="i",IFERROR(VLOOKUP(C1317,'BG 12.2024'!$B:$E,4,FALSE),0),0)</f>
        <v>0</v>
      </c>
      <c r="I1317" s="616"/>
      <c r="J1317" s="28">
        <f>IF(F1317="I",IFERROR(VLOOKUP(C1317,'BG 12.2023'!$B$6:$E$746,3,FALSE),0),0)</f>
        <v>0</v>
      </c>
      <c r="K1317" s="28">
        <f>IF(F1317="I",IFERROR(VLOOKUP(C1317,'BG 12.2023'!$B$6:$E$746,4,FALSE),0),0)</f>
        <v>0</v>
      </c>
      <c r="L1317" s="87">
        <f>+SUMIF('CA FE'!$A$1214:$A$1508,Composición!C1317,'CA FE'!$C$1214:$C$1508)</f>
        <v>0</v>
      </c>
      <c r="M1317" s="15">
        <f>+VLOOKUP(C1317,'BG 2023'!$B:$E,1,0)</f>
        <v>51104</v>
      </c>
      <c r="N1317" s="806">
        <f>+VLOOKUP(C1317,'BG 2023'!$B:$E,3,0)-J1317</f>
        <v>2942670</v>
      </c>
      <c r="O1317" s="807">
        <f t="shared" si="112"/>
        <v>2942670</v>
      </c>
      <c r="P1317" s="807"/>
      <c r="R1317" s="807">
        <f>+IFERROR(VLOOKUP(C1317,'CA FE'!$A:$C,3,0),0)-G1317</f>
        <v>0</v>
      </c>
    </row>
    <row r="1318" spans="1:18" s="87" customFormat="1">
      <c r="A1318" s="77" t="s">
        <v>395</v>
      </c>
      <c r="B1318" s="77"/>
      <c r="C1318" s="793">
        <v>511041</v>
      </c>
      <c r="D1318" s="77" t="s">
        <v>422</v>
      </c>
      <c r="E1318" s="794" t="s">
        <v>634</v>
      </c>
      <c r="F1318" s="794" t="str">
        <f t="shared" si="109"/>
        <v>NI</v>
      </c>
      <c r="G1318" s="28">
        <f>+IF(F1318="i",IFERROR(VLOOKUP(C1318,'BG 12.2024'!$B:$E,3,FALSE),0),0)</f>
        <v>0</v>
      </c>
      <c r="H1318" s="21">
        <f>+IF(F1318="i",IFERROR(VLOOKUP(C1318,'BG 12.2024'!$B:$E,4,FALSE),0),0)</f>
        <v>0</v>
      </c>
      <c r="I1318" s="616"/>
      <c r="J1318" s="28">
        <f>IF(F1318="I",IFERROR(VLOOKUP(C1318,'BG 12.2023'!$B$6:$E$746,3,FALSE),0),0)</f>
        <v>0</v>
      </c>
      <c r="K1318" s="28">
        <f>IF(F1318="I",IFERROR(VLOOKUP(C1318,'BG 12.2023'!$B$6:$E$746,4,FALSE),0),0)</f>
        <v>0</v>
      </c>
      <c r="L1318" s="87">
        <f>+SUMIF('CA FE'!$A$1214:$A$1508,Composición!C1318,'CA FE'!$C$1214:$C$1508)</f>
        <v>0</v>
      </c>
      <c r="M1318" s="15">
        <f>+VLOOKUP(C1318,'BG 2023'!$B:$E,1,0)</f>
        <v>511041</v>
      </c>
      <c r="N1318" s="806">
        <f>+VLOOKUP(C1318,'BG 2023'!$B:$E,3,0)-J1318</f>
        <v>2942670</v>
      </c>
      <c r="O1318" s="807">
        <f t="shared" si="112"/>
        <v>2942670</v>
      </c>
      <c r="P1318" s="807"/>
      <c r="R1318" s="807">
        <f>+IFERROR(VLOOKUP(C1318,'CA FE'!$A:$C,3,0),0)-G1318</f>
        <v>0</v>
      </c>
    </row>
    <row r="1319" spans="1:18" s="87" customFormat="1">
      <c r="A1319" s="77" t="s">
        <v>395</v>
      </c>
      <c r="B1319" s="77"/>
      <c r="C1319" s="793">
        <v>5110411</v>
      </c>
      <c r="D1319" s="77" t="s">
        <v>422</v>
      </c>
      <c r="E1319" s="794" t="s">
        <v>634</v>
      </c>
      <c r="F1319" s="794" t="str">
        <f t="shared" si="109"/>
        <v>NI</v>
      </c>
      <c r="G1319" s="28">
        <f>+IF(F1319="i",IFERROR(VLOOKUP(C1319,'BG 12.2024'!$B:$E,3,FALSE),0),0)</f>
        <v>0</v>
      </c>
      <c r="H1319" s="21">
        <f>+IF(F1319="i",IFERROR(VLOOKUP(C1319,'BG 12.2024'!$B:$E,4,FALSE),0),0)</f>
        <v>0</v>
      </c>
      <c r="I1319" s="616"/>
      <c r="J1319" s="28">
        <f>IF(F1319="I",IFERROR(VLOOKUP(C1319,'BG 12.2023'!$B$6:$E$746,3,FALSE),0),0)</f>
        <v>0</v>
      </c>
      <c r="K1319" s="28">
        <f>IF(F1319="I",IFERROR(VLOOKUP(C1319,'BG 12.2023'!$B$6:$E$746,4,FALSE),0),0)</f>
        <v>0</v>
      </c>
      <c r="L1319" s="87">
        <f>+SUMIF('CA FE'!$A$1214:$A$1508,Composición!C1319,'CA FE'!$C$1214:$C$1508)</f>
        <v>0</v>
      </c>
      <c r="M1319" s="15">
        <f>+VLOOKUP(C1319,'BG 2023'!$B:$E,1,0)</f>
        <v>5110411</v>
      </c>
      <c r="N1319" s="806">
        <f>+VLOOKUP(C1319,'BG 2023'!$B:$E,3,0)-J1319</f>
        <v>2942670</v>
      </c>
      <c r="O1319" s="807">
        <f t="shared" si="112"/>
        <v>2942670</v>
      </c>
      <c r="P1319" s="807"/>
      <c r="R1319" s="807">
        <f>+IFERROR(VLOOKUP(C1319,'CA FE'!$A:$C,3,0),0)-G1319</f>
        <v>0</v>
      </c>
    </row>
    <row r="1320" spans="1:18" s="87" customFormat="1">
      <c r="A1320" s="77" t="s">
        <v>395</v>
      </c>
      <c r="B1320" s="77"/>
      <c r="C1320" s="793">
        <v>51104111</v>
      </c>
      <c r="D1320" s="77" t="s">
        <v>422</v>
      </c>
      <c r="E1320" s="794" t="s">
        <v>634</v>
      </c>
      <c r="F1320" s="794" t="str">
        <f t="shared" si="109"/>
        <v>NI</v>
      </c>
      <c r="G1320" s="28">
        <f>+IF(F1320="i",IFERROR(VLOOKUP(C1320,'BG 12.2024'!$B:$E,3,FALSE),0),0)</f>
        <v>0</v>
      </c>
      <c r="H1320" s="21">
        <f>+IF(F1320="i",IFERROR(VLOOKUP(C1320,'BG 12.2024'!$B:$E,4,FALSE),0),0)</f>
        <v>0</v>
      </c>
      <c r="I1320" s="616"/>
      <c r="J1320" s="28">
        <f>IF(F1320="I",IFERROR(VLOOKUP(C1320,'BG 12.2023'!$B$6:$E$746,3,FALSE),0),0)</f>
        <v>0</v>
      </c>
      <c r="K1320" s="28">
        <f>IF(F1320="I",IFERROR(VLOOKUP(C1320,'BG 12.2023'!$B$6:$E$746,4,FALSE),0),0)</f>
        <v>0</v>
      </c>
      <c r="L1320" s="87">
        <f>+SUMIF('CA FE'!$A$1214:$A$1508,Composición!C1320,'CA FE'!$C$1214:$C$1508)</f>
        <v>0</v>
      </c>
      <c r="M1320" s="15">
        <f>+VLOOKUP(C1320,'BG 2023'!$B:$E,1,0)</f>
        <v>51104111</v>
      </c>
      <c r="N1320" s="806">
        <f>+VLOOKUP(C1320,'BG 2023'!$B:$E,3,0)-J1320</f>
        <v>2942670</v>
      </c>
      <c r="O1320" s="807">
        <f t="shared" si="112"/>
        <v>2942670</v>
      </c>
      <c r="P1320" s="807"/>
      <c r="R1320" s="807">
        <f>+IFERROR(VLOOKUP(C1320,'CA FE'!$A:$C,3,0),0)-G1320</f>
        <v>0</v>
      </c>
    </row>
    <row r="1321" spans="1:18" s="87" customFormat="1">
      <c r="A1321" s="77" t="s">
        <v>395</v>
      </c>
      <c r="B1321" s="77" t="s">
        <v>410</v>
      </c>
      <c r="C1321" s="793">
        <v>5110411101</v>
      </c>
      <c r="D1321" s="77" t="s">
        <v>423</v>
      </c>
      <c r="E1321" s="794" t="s">
        <v>634</v>
      </c>
      <c r="F1321" s="794" t="str">
        <f t="shared" si="109"/>
        <v>I</v>
      </c>
      <c r="G1321" s="28">
        <f>+IF(F1321="i",IFERROR(VLOOKUP(C1321,'BG 12.2024'!$B:$E,3,FALSE),0),0)</f>
        <v>3092730</v>
      </c>
      <c r="H1321" s="21">
        <f>+IF(F1321="i",IFERROR(VLOOKUP(C1321,'BG 12.2024'!$B:$E,4,FALSE),0),0)</f>
        <v>425.14</v>
      </c>
      <c r="I1321" s="616"/>
      <c r="J1321" s="28">
        <f>IF(F1321="I",IFERROR(VLOOKUP(C1321,'BG 12.2023'!$B$6:$E$746,3,FALSE),0),0)</f>
        <v>2942670</v>
      </c>
      <c r="K1321" s="28">
        <f>IF(F1321="I",IFERROR(VLOOKUP(C1321,'BG 12.2023'!$B$6:$E$746,4,FALSE),0),0)</f>
        <v>404.9</v>
      </c>
      <c r="L1321" s="87">
        <f>+SUMIF('CA FE'!$A$1214:$A$1508,Composición!C1321,'CA FE'!$C$1214:$C$1508)</f>
        <v>3092730</v>
      </c>
      <c r="M1321" s="15">
        <f>+VLOOKUP(C1321,'BG 2023'!$B:$E,1,0)</f>
        <v>5110411101</v>
      </c>
      <c r="N1321" s="806">
        <f>+VLOOKUP(C1321,'BG 12.2024'!$B:$E,3,0)</f>
        <v>3092730</v>
      </c>
      <c r="O1321" s="807">
        <f>+N1321-J1321</f>
        <v>150060</v>
      </c>
      <c r="P1321" s="807"/>
      <c r="R1321" s="807">
        <f>+IFERROR(VLOOKUP(C1321,'CA FE'!$A:$C,3,0),0)-G1321</f>
        <v>0</v>
      </c>
    </row>
    <row r="1322" spans="1:18" s="87" customFormat="1">
      <c r="A1322" s="77" t="s">
        <v>395</v>
      </c>
      <c r="B1322" s="77"/>
      <c r="C1322" s="793">
        <v>51105</v>
      </c>
      <c r="D1322" s="77" t="s">
        <v>1043</v>
      </c>
      <c r="E1322" s="794" t="s">
        <v>634</v>
      </c>
      <c r="F1322" s="794" t="str">
        <f t="shared" ref="F1322:F1327" si="119">+IF(LEN(C1322)&gt;8,"I","NI")</f>
        <v>NI</v>
      </c>
      <c r="G1322" s="28">
        <f>+IF(F1322="i",IFERROR(VLOOKUP(C1322,'BG 12.2024'!$B:$E,3,FALSE),0),0)</f>
        <v>0</v>
      </c>
      <c r="H1322" s="21">
        <f>+IF(F1322="i",IFERROR(VLOOKUP(C1322,'BG 12.2024'!$B:$E,4,FALSE),0),0)</f>
        <v>0</v>
      </c>
      <c r="I1322" s="616"/>
      <c r="J1322" s="28">
        <f>IF(F1322="I",IFERROR(VLOOKUP(C1322,'BG 12.2023'!$B$6:$E$746,3,FALSE),0),0)</f>
        <v>0</v>
      </c>
      <c r="K1322" s="28">
        <f>IF(F1322="I",IFERROR(VLOOKUP(C1322,'BG 12.2023'!$B$6:$E$746,4,FALSE),0),0)</f>
        <v>0</v>
      </c>
      <c r="L1322" s="87">
        <f>+SUMIF('CA FE'!$A$1214:$A$1508,Composición!C1322,'CA FE'!$C$1214:$C$1508)</f>
        <v>0</v>
      </c>
      <c r="M1322" s="15">
        <f>+VLOOKUP(C1322,'BG 2023'!$B:$E,1,0)</f>
        <v>51105</v>
      </c>
      <c r="N1322" s="806">
        <f>+VLOOKUP(C1322,'BG 2023'!$B:$E,3,0)-J1322</f>
        <v>348920800</v>
      </c>
      <c r="O1322" s="807">
        <f t="shared" si="112"/>
        <v>348920800</v>
      </c>
      <c r="P1322" s="807"/>
      <c r="R1322" s="807">
        <f>+IFERROR(VLOOKUP(C1322,'CA FE'!$A:$C,3,0),0)-G1322</f>
        <v>0</v>
      </c>
    </row>
    <row r="1323" spans="1:18" s="87" customFormat="1">
      <c r="A1323" s="77" t="s">
        <v>395</v>
      </c>
      <c r="B1323" s="77"/>
      <c r="C1323" s="793">
        <v>511051</v>
      </c>
      <c r="D1323" s="77" t="s">
        <v>1043</v>
      </c>
      <c r="E1323" s="794" t="s">
        <v>634</v>
      </c>
      <c r="F1323" s="794" t="str">
        <f t="shared" si="119"/>
        <v>NI</v>
      </c>
      <c r="G1323" s="28">
        <f>+IF(F1323="i",IFERROR(VLOOKUP(C1323,'BG 12.2024'!$B:$E,3,FALSE),0),0)</f>
        <v>0</v>
      </c>
      <c r="H1323" s="21">
        <f>+IF(F1323="i",IFERROR(VLOOKUP(C1323,'BG 12.2024'!$B:$E,4,FALSE),0),0)</f>
        <v>0</v>
      </c>
      <c r="I1323" s="616"/>
      <c r="J1323" s="28">
        <f>IF(F1323="I",IFERROR(VLOOKUP(C1323,'BG 12.2023'!$B$6:$E$746,3,FALSE),0),0)</f>
        <v>0</v>
      </c>
      <c r="K1323" s="28">
        <f>IF(F1323="I",IFERROR(VLOOKUP(C1323,'BG 12.2023'!$B$6:$E$746,4,FALSE),0),0)</f>
        <v>0</v>
      </c>
      <c r="L1323" s="87">
        <f>+SUMIF('CA FE'!$A$1214:$A$1508,Composición!C1323,'CA FE'!$C$1214:$C$1508)</f>
        <v>0</v>
      </c>
      <c r="M1323" s="15">
        <f>+VLOOKUP(C1323,'BG 2023'!$B:$E,1,0)</f>
        <v>511051</v>
      </c>
      <c r="N1323" s="806">
        <f>+VLOOKUP(C1323,'BG 2023'!$B:$E,3,0)-J1323</f>
        <v>348920800</v>
      </c>
      <c r="O1323" s="807">
        <f t="shared" si="112"/>
        <v>348920800</v>
      </c>
      <c r="P1323" s="807"/>
      <c r="R1323" s="807">
        <f>+IFERROR(VLOOKUP(C1323,'CA FE'!$A:$C,3,0),0)-G1323</f>
        <v>0</v>
      </c>
    </row>
    <row r="1324" spans="1:18" s="87" customFormat="1">
      <c r="A1324" s="77" t="s">
        <v>395</v>
      </c>
      <c r="B1324" s="77"/>
      <c r="C1324" s="793">
        <v>5110511</v>
      </c>
      <c r="D1324" s="77" t="s">
        <v>1043</v>
      </c>
      <c r="E1324" s="794" t="s">
        <v>634</v>
      </c>
      <c r="F1324" s="794" t="str">
        <f t="shared" si="119"/>
        <v>NI</v>
      </c>
      <c r="G1324" s="28">
        <f>+IF(F1324="i",IFERROR(VLOOKUP(C1324,'BG 12.2024'!$B:$E,3,FALSE),0),0)</f>
        <v>0</v>
      </c>
      <c r="H1324" s="21">
        <f>+IF(F1324="i",IFERROR(VLOOKUP(C1324,'BG 12.2024'!$B:$E,4,FALSE),0),0)</f>
        <v>0</v>
      </c>
      <c r="I1324" s="616"/>
      <c r="J1324" s="28">
        <f>IF(F1324="I",IFERROR(VLOOKUP(C1324,'BG 12.2023'!$B$6:$E$746,3,FALSE),0),0)</f>
        <v>0</v>
      </c>
      <c r="K1324" s="28">
        <f>IF(F1324="I",IFERROR(VLOOKUP(C1324,'BG 12.2023'!$B$6:$E$746,4,FALSE),0),0)</f>
        <v>0</v>
      </c>
      <c r="L1324" s="87">
        <f>+SUMIF('CA FE'!$A$1214:$A$1508,Composición!C1324,'CA FE'!$C$1214:$C$1508)</f>
        <v>0</v>
      </c>
      <c r="M1324" s="15">
        <f>+VLOOKUP(C1324,'BG 2023'!$B:$E,1,0)</f>
        <v>5110511</v>
      </c>
      <c r="N1324" s="806">
        <f>+VLOOKUP(C1324,'BG 2023'!$B:$E,3,0)-J1324</f>
        <v>348920800</v>
      </c>
      <c r="O1324" s="807">
        <f t="shared" si="112"/>
        <v>348920800</v>
      </c>
      <c r="P1324" s="807"/>
      <c r="R1324" s="807">
        <f>+IFERROR(VLOOKUP(C1324,'CA FE'!$A:$C,3,0),0)-G1324</f>
        <v>0</v>
      </c>
    </row>
    <row r="1325" spans="1:18" s="87" customFormat="1">
      <c r="A1325" s="77" t="s">
        <v>395</v>
      </c>
      <c r="B1325" s="77"/>
      <c r="C1325" s="793">
        <v>51105111</v>
      </c>
      <c r="D1325" s="77" t="s">
        <v>1043</v>
      </c>
      <c r="E1325" s="794" t="s">
        <v>634</v>
      </c>
      <c r="F1325" s="794" t="str">
        <f t="shared" si="119"/>
        <v>NI</v>
      </c>
      <c r="G1325" s="28">
        <f>+IF(F1325="i",IFERROR(VLOOKUP(C1325,'BG 12.2024'!$B:$E,3,FALSE),0),0)</f>
        <v>0</v>
      </c>
      <c r="H1325" s="21">
        <f>+IF(F1325="i",IFERROR(VLOOKUP(C1325,'BG 12.2024'!$B:$E,4,FALSE),0),0)</f>
        <v>0</v>
      </c>
      <c r="I1325" s="616"/>
      <c r="J1325" s="28">
        <f>IF(F1325="I",IFERROR(VLOOKUP(C1325,'BG 12.2023'!$B$6:$E$746,3,FALSE),0),0)</f>
        <v>0</v>
      </c>
      <c r="K1325" s="28">
        <f>IF(F1325="I",IFERROR(VLOOKUP(C1325,'BG 12.2023'!$B$6:$E$746,4,FALSE),0),0)</f>
        <v>0</v>
      </c>
      <c r="L1325" s="87">
        <f>+SUMIF('CA FE'!$A$1214:$A$1508,Composición!C1325,'CA FE'!$C$1214:$C$1508)</f>
        <v>0</v>
      </c>
      <c r="M1325" s="15">
        <f>+VLOOKUP(C1325,'BG 2023'!$B:$E,1,0)</f>
        <v>51105111</v>
      </c>
      <c r="N1325" s="806">
        <f>+VLOOKUP(C1325,'BG 2023'!$B:$E,3,0)-J1325</f>
        <v>348920800</v>
      </c>
      <c r="O1325" s="807">
        <f t="shared" si="112"/>
        <v>348920800</v>
      </c>
      <c r="P1325" s="807"/>
      <c r="R1325" s="807">
        <f>+IFERROR(VLOOKUP(C1325,'CA FE'!$A:$C,3,0),0)-G1325</f>
        <v>0</v>
      </c>
    </row>
    <row r="1326" spans="1:18" s="87" customFormat="1">
      <c r="A1326" s="77" t="s">
        <v>395</v>
      </c>
      <c r="B1326" s="77" t="s">
        <v>410</v>
      </c>
      <c r="C1326" s="793">
        <v>5110511101</v>
      </c>
      <c r="D1326" s="77" t="s">
        <v>1044</v>
      </c>
      <c r="E1326" s="794" t="s">
        <v>634</v>
      </c>
      <c r="F1326" s="794" t="str">
        <f t="shared" si="119"/>
        <v>I</v>
      </c>
      <c r="G1326" s="1097">
        <f>+IF(F1326="i",IFERROR(VLOOKUP(C1326,'BG 12.2024'!$B:$E,3,FALSE),0),0)</f>
        <v>229370770</v>
      </c>
      <c r="H1326" s="21">
        <f>+IF(F1326="i",IFERROR(VLOOKUP(C1326,'BG 12.2024'!$B:$E,4,FALSE),0),0)</f>
        <v>0</v>
      </c>
      <c r="I1326" s="616"/>
      <c r="J1326" s="28">
        <f>IF(F1326="I",IFERROR(VLOOKUP(C1326,'BG 12.2023'!$B$6:$E$746,3,FALSE),0),0)</f>
        <v>45992420</v>
      </c>
      <c r="K1326" s="28">
        <f>IF(F1326="I",IFERROR(VLOOKUP(C1326,'BG 12.2023'!$B$6:$E$746,4,FALSE),0),0)</f>
        <v>480.84</v>
      </c>
      <c r="L1326" s="87">
        <f>+SUMIF('CA FE'!$A$1214:$A$1508,Composición!C1326,'CA FE'!$C$1214:$C$1508)</f>
        <v>229370770</v>
      </c>
      <c r="M1326" s="15">
        <f>+VLOOKUP(C1326,'BG 2023'!$B:$E,1,0)</f>
        <v>5110511101</v>
      </c>
      <c r="N1326" s="819">
        <f>+VLOOKUP(C1326,'BG 12.2024'!$B:$E,3,0)</f>
        <v>229370770</v>
      </c>
      <c r="O1326" s="807">
        <f t="shared" ref="O1326:O1327" si="120">+N1326-J1326</f>
        <v>183378350</v>
      </c>
      <c r="P1326" s="807"/>
      <c r="R1326" s="807">
        <f>+IFERROR(VLOOKUP(C1326,'CA FE'!$A:$C,3,0),0)-G1326</f>
        <v>0</v>
      </c>
    </row>
    <row r="1327" spans="1:18" s="87" customFormat="1">
      <c r="A1327" s="77" t="s">
        <v>395</v>
      </c>
      <c r="B1327" s="77" t="s">
        <v>410</v>
      </c>
      <c r="C1327" s="793">
        <v>5110511102</v>
      </c>
      <c r="D1327" s="77" t="s">
        <v>1045</v>
      </c>
      <c r="E1327" s="794" t="s">
        <v>634</v>
      </c>
      <c r="F1327" s="794" t="str">
        <f t="shared" si="119"/>
        <v>I</v>
      </c>
      <c r="G1327" s="28">
        <f>+IF(F1327="i",IFERROR(VLOOKUP(C1327,'BG 12.2024'!$B:$E,3,FALSE),0),0)</f>
        <v>2410982950</v>
      </c>
      <c r="H1327" s="21">
        <f>+IF(F1327="i",IFERROR(VLOOKUP(C1327,'BG 12.2024'!$B:$E,4,FALSE),0),0)</f>
        <v>0</v>
      </c>
      <c r="I1327" s="616"/>
      <c r="J1327" s="28">
        <f>IF(F1327="I",IFERROR(VLOOKUP(C1327,'BG 12.2023'!$B$6:$E$746,3,FALSE),0),0)</f>
        <v>302928380</v>
      </c>
      <c r="K1327" s="28">
        <f>IF(F1327="I",IFERROR(VLOOKUP(C1327,'BG 12.2023'!$B$6:$E$746,4,FALSE),0),0)</f>
        <v>5836.51</v>
      </c>
      <c r="L1327" s="87">
        <f>+SUMIF('CA FE'!$A$1214:$A$1508,Composición!C1327,'CA FE'!$C$1214:$C$1508)</f>
        <v>2410982950</v>
      </c>
      <c r="M1327" s="15">
        <f>+VLOOKUP(C1327,'BG 2023'!$B:$E,1,0)</f>
        <v>5110511102</v>
      </c>
      <c r="N1327" s="819">
        <f>+VLOOKUP(C1327,'BG 12.2024'!$B:$E,3,0)</f>
        <v>2410982950</v>
      </c>
      <c r="O1327" s="807">
        <f t="shared" si="120"/>
        <v>2108054570</v>
      </c>
      <c r="P1327" s="807"/>
      <c r="R1327" s="807">
        <f>+IFERROR(VLOOKUP(C1327,'CA FE'!$A:$C,3,0),0)-G1327</f>
        <v>0</v>
      </c>
    </row>
    <row r="1328" spans="1:18" s="87" customFormat="1">
      <c r="A1328" s="77" t="s">
        <v>395</v>
      </c>
      <c r="B1328" s="77"/>
      <c r="C1328" s="793">
        <v>512</v>
      </c>
      <c r="D1328" s="77" t="s">
        <v>425</v>
      </c>
      <c r="E1328" s="794" t="s">
        <v>634</v>
      </c>
      <c r="F1328" s="794" t="str">
        <f t="shared" si="109"/>
        <v>NI</v>
      </c>
      <c r="G1328" s="28">
        <f>+IF(F1328="i",IFERROR(VLOOKUP(C1328,'BG 12.2024'!$B:$E,3,FALSE),0),0)</f>
        <v>0</v>
      </c>
      <c r="H1328" s="21">
        <f>+IF(F1328="i",IFERROR(VLOOKUP(C1328,'BG 12.2024'!$B:$E,4,FALSE),0),0)</f>
        <v>0</v>
      </c>
      <c r="I1328" s="616"/>
      <c r="J1328" s="28">
        <f>IF(F1328="I",IFERROR(VLOOKUP(C1328,'BG 12.2023'!$B$6:$E$746,3,FALSE),0),0)</f>
        <v>0</v>
      </c>
      <c r="K1328" s="28">
        <f>IF(F1328="I",IFERROR(VLOOKUP(C1328,'BG 12.2023'!$B$6:$E$746,4,FALSE),0),0)</f>
        <v>0</v>
      </c>
      <c r="L1328" s="87">
        <f>+SUMIF('CA FE'!$A$1214:$A$1508,Composición!C1328,'CA FE'!$C$1214:$C$1508)</f>
        <v>0</v>
      </c>
      <c r="M1328" s="15">
        <f>+VLOOKUP(C1328,'BG 2023'!$B:$E,1,0)</f>
        <v>512</v>
      </c>
      <c r="N1328" s="806">
        <f>+VLOOKUP(C1328,'BG 2023'!$B:$E,3,0)-J1328</f>
        <v>74680707</v>
      </c>
      <c r="O1328" s="807">
        <f t="shared" si="112"/>
        <v>74680707</v>
      </c>
      <c r="P1328" s="807"/>
      <c r="R1328" s="807">
        <f>+IFERROR(VLOOKUP(C1328,'CA FE'!$A:$C,3,0),0)-G1328</f>
        <v>0</v>
      </c>
    </row>
    <row r="1329" spans="1:18" s="87" customFormat="1">
      <c r="A1329" s="77" t="s">
        <v>395</v>
      </c>
      <c r="B1329" s="77"/>
      <c r="C1329" s="793">
        <v>51201</v>
      </c>
      <c r="D1329" s="77" t="s">
        <v>426</v>
      </c>
      <c r="E1329" s="794" t="s">
        <v>634</v>
      </c>
      <c r="F1329" s="794" t="str">
        <f t="shared" si="109"/>
        <v>NI</v>
      </c>
      <c r="G1329" s="28">
        <f>+IF(F1329="i",IFERROR(VLOOKUP(C1329,'BG 12.2024'!$B:$E,3,FALSE),0),0)</f>
        <v>0</v>
      </c>
      <c r="H1329" s="21">
        <f>+IF(F1329="i",IFERROR(VLOOKUP(C1329,'BG 12.2024'!$B:$E,4,FALSE),0),0)</f>
        <v>0</v>
      </c>
      <c r="I1329" s="616"/>
      <c r="J1329" s="28">
        <f>IF(F1329="I",IFERROR(VLOOKUP(C1329,'BG 12.2023'!$B$6:$E$746,3,FALSE),0),0)</f>
        <v>0</v>
      </c>
      <c r="K1329" s="28">
        <f>IF(F1329="I",IFERROR(VLOOKUP(C1329,'BG 12.2023'!$B$6:$E$746,4,FALSE),0),0)</f>
        <v>0</v>
      </c>
      <c r="L1329" s="87">
        <f>+SUMIF('CA FE'!$A$1214:$A$1508,Composición!C1329,'CA FE'!$C$1214:$C$1508)</f>
        <v>0</v>
      </c>
      <c r="M1329" s="15">
        <f>+VLOOKUP(C1329,'BG 2023'!$B:$E,1,0)</f>
        <v>51201</v>
      </c>
      <c r="N1329" s="806">
        <f>+VLOOKUP(C1329,'BG 2023'!$B:$E,3,0)-J1329</f>
        <v>74680707</v>
      </c>
      <c r="O1329" s="807">
        <f t="shared" si="112"/>
        <v>74680707</v>
      </c>
      <c r="P1329" s="807"/>
      <c r="R1329" s="807">
        <f>+IFERROR(VLOOKUP(C1329,'CA FE'!$A:$C,3,0),0)-G1329</f>
        <v>0</v>
      </c>
    </row>
    <row r="1330" spans="1:18" s="87" customFormat="1">
      <c r="A1330" s="77" t="s">
        <v>395</v>
      </c>
      <c r="B1330" s="77"/>
      <c r="C1330" s="793">
        <v>512011</v>
      </c>
      <c r="D1330" s="77" t="s">
        <v>426</v>
      </c>
      <c r="E1330" s="794" t="s">
        <v>634</v>
      </c>
      <c r="F1330" s="794" t="str">
        <f t="shared" si="109"/>
        <v>NI</v>
      </c>
      <c r="G1330" s="28">
        <f>+IF(F1330="i",IFERROR(VLOOKUP(C1330,'BG 12.2024'!$B:$E,3,FALSE),0),0)</f>
        <v>0</v>
      </c>
      <c r="H1330" s="21">
        <f>+IF(F1330="i",IFERROR(VLOOKUP(C1330,'BG 12.2024'!$B:$E,4,FALSE),0),0)</f>
        <v>0</v>
      </c>
      <c r="I1330" s="616"/>
      <c r="J1330" s="28">
        <f>IF(F1330="I",IFERROR(VLOOKUP(C1330,'BG 12.2023'!$B$6:$E$746,3,FALSE),0),0)</f>
        <v>0</v>
      </c>
      <c r="K1330" s="28">
        <f>IF(F1330="I",IFERROR(VLOOKUP(C1330,'BG 12.2023'!$B$6:$E$746,4,FALSE),0),0)</f>
        <v>0</v>
      </c>
      <c r="L1330" s="87">
        <f>+SUMIF('CA FE'!$A$1214:$A$1508,Composición!C1330,'CA FE'!$C$1214:$C$1508)</f>
        <v>0</v>
      </c>
      <c r="M1330" s="15">
        <f>+VLOOKUP(C1330,'BG 2023'!$B:$E,1,0)</f>
        <v>512011</v>
      </c>
      <c r="N1330" s="806">
        <f>+VLOOKUP(C1330,'BG 2023'!$B:$E,3,0)-J1330</f>
        <v>74680707</v>
      </c>
      <c r="O1330" s="807">
        <f t="shared" si="112"/>
        <v>74680707</v>
      </c>
      <c r="P1330" s="807"/>
      <c r="R1330" s="807">
        <f>+IFERROR(VLOOKUP(C1330,'CA FE'!$A:$C,3,0),0)-G1330</f>
        <v>0</v>
      </c>
    </row>
    <row r="1331" spans="1:18" s="87" customFormat="1">
      <c r="A1331" s="77" t="s">
        <v>395</v>
      </c>
      <c r="B1331" s="77"/>
      <c r="C1331" s="793">
        <v>5120111</v>
      </c>
      <c r="D1331" s="77" t="s">
        <v>426</v>
      </c>
      <c r="E1331" s="794" t="s">
        <v>634</v>
      </c>
      <c r="F1331" s="794" t="str">
        <f t="shared" si="109"/>
        <v>NI</v>
      </c>
      <c r="G1331" s="28">
        <f>+IF(F1331="i",IFERROR(VLOOKUP(C1331,'BG 12.2024'!$B:$E,3,FALSE),0),0)</f>
        <v>0</v>
      </c>
      <c r="H1331" s="21">
        <f>+IF(F1331="i",IFERROR(VLOOKUP(C1331,'BG 12.2024'!$B:$E,4,FALSE),0),0)</f>
        <v>0</v>
      </c>
      <c r="I1331" s="616"/>
      <c r="J1331" s="28">
        <f>IF(F1331="I",IFERROR(VLOOKUP(C1331,'BG 12.2023'!$B$6:$E$746,3,FALSE),0),0)</f>
        <v>0</v>
      </c>
      <c r="K1331" s="28">
        <f>IF(F1331="I",IFERROR(VLOOKUP(C1331,'BG 12.2023'!$B$6:$E$746,4,FALSE),0),0)</f>
        <v>0</v>
      </c>
      <c r="L1331" s="87">
        <f>+SUMIF('CA FE'!$A$1214:$A$1508,Composición!C1331,'CA FE'!$C$1214:$C$1508)</f>
        <v>0</v>
      </c>
      <c r="M1331" s="15">
        <f>+VLOOKUP(C1331,'BG 2023'!$B:$E,1,0)</f>
        <v>5120111</v>
      </c>
      <c r="N1331" s="806">
        <f>+VLOOKUP(C1331,'BG 2023'!$B:$E,3,0)-J1331</f>
        <v>74680707</v>
      </c>
      <c r="O1331" s="807">
        <f t="shared" si="112"/>
        <v>74680707</v>
      </c>
      <c r="P1331" s="807"/>
      <c r="R1331" s="807">
        <f>+IFERROR(VLOOKUP(C1331,'CA FE'!$A:$C,3,0),0)-G1331</f>
        <v>0</v>
      </c>
    </row>
    <row r="1332" spans="1:18" s="87" customFormat="1">
      <c r="A1332" s="77" t="s">
        <v>395</v>
      </c>
      <c r="B1332" s="77"/>
      <c r="C1332" s="793">
        <v>51201111</v>
      </c>
      <c r="D1332" s="77" t="s">
        <v>426</v>
      </c>
      <c r="E1332" s="794" t="s">
        <v>634</v>
      </c>
      <c r="F1332" s="794" t="str">
        <f t="shared" si="109"/>
        <v>NI</v>
      </c>
      <c r="G1332" s="28">
        <f>+IF(F1332="i",IFERROR(VLOOKUP(C1332,'BG 12.2024'!$B:$E,3,FALSE),0),0)</f>
        <v>0</v>
      </c>
      <c r="H1332" s="21">
        <f>+IF(F1332="i",IFERROR(VLOOKUP(C1332,'BG 12.2024'!$B:$E,4,FALSE),0),0)</f>
        <v>0</v>
      </c>
      <c r="I1332" s="616"/>
      <c r="J1332" s="28">
        <f>IF(F1332="I",IFERROR(VLOOKUP(C1332,'BG 12.2023'!$B$6:$E$746,3,FALSE),0),0)</f>
        <v>0</v>
      </c>
      <c r="K1332" s="28">
        <f>IF(F1332="I",IFERROR(VLOOKUP(C1332,'BG 12.2023'!$B$6:$E$746,4,FALSE),0),0)</f>
        <v>0</v>
      </c>
      <c r="L1332" s="87">
        <f>+SUMIF('CA FE'!$A$1214:$A$1508,Composición!C1332,'CA FE'!$C$1214:$C$1508)</f>
        <v>0</v>
      </c>
      <c r="M1332" s="15">
        <f>+VLOOKUP(C1332,'BG 2023'!$B:$E,1,0)</f>
        <v>51201111</v>
      </c>
      <c r="N1332" s="806">
        <f>+VLOOKUP(C1332,'BG 2023'!$B:$E,3,0)-J1332</f>
        <v>74680707</v>
      </c>
      <c r="O1332" s="807">
        <f t="shared" si="112"/>
        <v>74680707</v>
      </c>
      <c r="P1332" s="807"/>
      <c r="R1332" s="807">
        <f>+IFERROR(VLOOKUP(C1332,'CA FE'!$A:$C,3,0),0)-G1332</f>
        <v>0</v>
      </c>
    </row>
    <row r="1333" spans="1:18" s="87" customFormat="1">
      <c r="A1333" s="77" t="s">
        <v>395</v>
      </c>
      <c r="B1333" s="77" t="s">
        <v>1046</v>
      </c>
      <c r="C1333" s="793">
        <v>5120111101</v>
      </c>
      <c r="D1333" s="77" t="s">
        <v>427</v>
      </c>
      <c r="E1333" s="794" t="s">
        <v>634</v>
      </c>
      <c r="F1333" s="794" t="str">
        <f t="shared" si="109"/>
        <v>I</v>
      </c>
      <c r="G1333" s="28">
        <f>+IF(F1333="i",IFERROR(VLOOKUP(C1333,'BG 12.2024'!$B:$E,3,FALSE),0),0)</f>
        <v>300115636</v>
      </c>
      <c r="H1333" s="21">
        <f>+IF(F1333="i",IFERROR(VLOOKUP(C1333,'BG 12.2024'!$B:$E,4,FALSE),0),0)</f>
        <v>38980.339999999997</v>
      </c>
      <c r="I1333" s="616"/>
      <c r="J1333" s="28">
        <f>IF(F1333="I",IFERROR(VLOOKUP(C1333,'BG 12.2023'!$B$6:$E$746,3,FALSE),0),0)</f>
        <v>35932972</v>
      </c>
      <c r="K1333" s="28">
        <f>IF(F1333="I",IFERROR(VLOOKUP(C1333,'BG 12.2023'!$B$6:$E$746,4,FALSE),0),0)</f>
        <v>4941.42</v>
      </c>
      <c r="L1333" s="87">
        <f>+SUMIF('CA FE'!$A$1214:$A$1508,Composición!C1333,'CA FE'!$C$1214:$C$1508)</f>
        <v>300115636</v>
      </c>
      <c r="M1333" s="15">
        <f>+VLOOKUP(C1333,'BG 2023'!$B:$E,1,0)</f>
        <v>5120111101</v>
      </c>
      <c r="N1333" s="806">
        <f>+VLOOKUP(C1333,'BG 12.2024'!$B:$E,3,0)</f>
        <v>300115636</v>
      </c>
      <c r="O1333" s="807">
        <f t="shared" ref="O1333:O1338" si="121">+N1333-J1333</f>
        <v>264182664</v>
      </c>
      <c r="P1333" s="807"/>
      <c r="R1333" s="807">
        <f>+IFERROR(VLOOKUP(C1333,'CA FE'!$A:$C,3,0),0)-G1333</f>
        <v>0</v>
      </c>
    </row>
    <row r="1334" spans="1:18" s="87" customFormat="1">
      <c r="A1334" s="77" t="s">
        <v>395</v>
      </c>
      <c r="B1334" s="77"/>
      <c r="C1334" s="793">
        <v>5120111102</v>
      </c>
      <c r="D1334" s="77" t="s">
        <v>1047</v>
      </c>
      <c r="E1334" s="794" t="s">
        <v>634</v>
      </c>
      <c r="F1334" s="794" t="str">
        <f t="shared" si="109"/>
        <v>I</v>
      </c>
      <c r="G1334" s="28">
        <f>+IF(F1334="i",IFERROR(VLOOKUP(C1334,'BG 12.2024'!$B:$E,3,FALSE),0),0)</f>
        <v>0</v>
      </c>
      <c r="H1334" s="21">
        <f>+IF(F1334="i",IFERROR(VLOOKUP(C1334,'BG 12.2024'!$B:$E,4,FALSE),0),0)</f>
        <v>0</v>
      </c>
      <c r="I1334" s="616"/>
      <c r="J1334" s="28">
        <f>IF(F1334="I",IFERROR(VLOOKUP(C1334,'BG 12.2023'!$B$6:$E$746,3,FALSE),0),0)</f>
        <v>0</v>
      </c>
      <c r="K1334" s="28">
        <f>IF(F1334="I",IFERROR(VLOOKUP(C1334,'BG 12.2023'!$B$6:$E$746,4,FALSE),0),0)</f>
        <v>0</v>
      </c>
      <c r="L1334" s="87">
        <f>+SUMIF('CA FE'!$A$1214:$A$1508,Composición!C1334,'CA FE'!$C$1214:$C$1508)</f>
        <v>0</v>
      </c>
      <c r="M1334" s="15" t="e">
        <f>+VLOOKUP(C1334,'BG 2023'!$B:$E,1,0)</f>
        <v>#N/A</v>
      </c>
      <c r="N1334" s="819" t="e">
        <f>+VLOOKUP(C1334,'BG 12.2024'!$B:$E,3,0)</f>
        <v>#N/A</v>
      </c>
      <c r="O1334" s="807" t="e">
        <f t="shared" si="121"/>
        <v>#N/A</v>
      </c>
      <c r="P1334" s="807"/>
      <c r="R1334" s="807">
        <f>+IFERROR(VLOOKUP(C1334,'CA FE'!$A:$C,3,0),0)-G1334</f>
        <v>0</v>
      </c>
    </row>
    <row r="1335" spans="1:18" s="87" customFormat="1">
      <c r="A1335" s="77" t="s">
        <v>395</v>
      </c>
      <c r="B1335" s="77" t="s">
        <v>1048</v>
      </c>
      <c r="C1335" s="793">
        <v>5120111103</v>
      </c>
      <c r="D1335" s="77" t="s">
        <v>428</v>
      </c>
      <c r="E1335" s="794" t="s">
        <v>634</v>
      </c>
      <c r="F1335" s="794" t="str">
        <f t="shared" si="109"/>
        <v>I</v>
      </c>
      <c r="G1335" s="28">
        <f>+IF(F1335="i",IFERROR(VLOOKUP(C1335,'BG 12.2024'!$B:$E,3,FALSE),0),0)</f>
        <v>48127656</v>
      </c>
      <c r="H1335" s="21">
        <f>+IF(F1335="i",IFERROR(VLOOKUP(C1335,'BG 12.2024'!$B:$E,4,FALSE),0),0)</f>
        <v>6375.7</v>
      </c>
      <c r="I1335" s="616"/>
      <c r="J1335" s="28">
        <f>IF(F1335="I",IFERROR(VLOOKUP(C1335,'BG 12.2023'!$B$6:$E$746,3,FALSE),0),0)</f>
        <v>32502657</v>
      </c>
      <c r="K1335" s="28">
        <f>IF(F1335="I",IFERROR(VLOOKUP(C1335,'BG 12.2023'!$B$6:$E$746,4,FALSE),0),0)</f>
        <v>4435.9599999999991</v>
      </c>
      <c r="L1335" s="87">
        <f>+SUMIF('CA FE'!$A$1214:$A$1508,Composición!C1335,'CA FE'!$C$1214:$C$1508)</f>
        <v>48127656</v>
      </c>
      <c r="M1335" s="15">
        <f>+VLOOKUP(C1335,'BG 2023'!$B:$E,1,0)</f>
        <v>5120111103</v>
      </c>
      <c r="N1335" s="806">
        <f>+VLOOKUP(C1335,'BG 12.2024'!$B:$E,3,0)</f>
        <v>48127656</v>
      </c>
      <c r="O1335" s="807">
        <f t="shared" si="121"/>
        <v>15624999</v>
      </c>
      <c r="P1335" s="807"/>
      <c r="R1335" s="807">
        <f>+IFERROR(VLOOKUP(C1335,'CA FE'!$A:$C,3,0),0)-G1335</f>
        <v>0</v>
      </c>
    </row>
    <row r="1336" spans="1:18" s="87" customFormat="1">
      <c r="A1336" s="77" t="s">
        <v>395</v>
      </c>
      <c r="B1336" s="77" t="s">
        <v>1048</v>
      </c>
      <c r="C1336" s="793">
        <v>5120111104</v>
      </c>
      <c r="D1336" s="77" t="s">
        <v>429</v>
      </c>
      <c r="E1336" s="794" t="s">
        <v>634</v>
      </c>
      <c r="F1336" s="794" t="str">
        <f t="shared" si="109"/>
        <v>I</v>
      </c>
      <c r="G1336" s="28">
        <f>+IF(F1336="i",IFERROR(VLOOKUP(C1336,'BG 12.2024'!$B:$E,3,FALSE),0),0)</f>
        <v>41412543</v>
      </c>
      <c r="H1336" s="21">
        <f>+IF(F1336="i",IFERROR(VLOOKUP(C1336,'BG 12.2024'!$B:$E,4,FALSE),0),0)</f>
        <v>5409.58</v>
      </c>
      <c r="I1336" s="616"/>
      <c r="J1336" s="28">
        <f>IF(F1336="I",IFERROR(VLOOKUP(C1336,'BG 12.2023'!$B$6:$E$746,3,FALSE),0),0)</f>
        <v>418182</v>
      </c>
      <c r="K1336" s="28">
        <f>IF(F1336="I",IFERROR(VLOOKUP(C1336,'BG 12.2023'!$B$6:$E$746,4,FALSE),0),0)</f>
        <v>57.28</v>
      </c>
      <c r="L1336" s="87">
        <f>+SUMIF('CA FE'!$A$1214:$A$1508,Composición!C1336,'CA FE'!$C$1214:$C$1508)</f>
        <v>41412543</v>
      </c>
      <c r="M1336" s="15">
        <f>+VLOOKUP(C1336,'BG 2023'!$B:$E,1,0)</f>
        <v>5120111104</v>
      </c>
      <c r="N1336" s="819">
        <f>+VLOOKUP(C1336,'BG 12.2024'!$B:$E,3,0)</f>
        <v>41412543</v>
      </c>
      <c r="O1336" s="807">
        <f t="shared" si="121"/>
        <v>40994361</v>
      </c>
      <c r="P1336" s="807"/>
      <c r="R1336" s="807">
        <f>+IFERROR(VLOOKUP(C1336,'CA FE'!$A:$C,3,0),0)-G1336</f>
        <v>0</v>
      </c>
    </row>
    <row r="1337" spans="1:18" s="87" customFormat="1">
      <c r="A1337" s="77" t="s">
        <v>395</v>
      </c>
      <c r="B1337" s="77" t="s">
        <v>1048</v>
      </c>
      <c r="C1337" s="793">
        <v>5120111105</v>
      </c>
      <c r="D1337" s="77" t="s">
        <v>430</v>
      </c>
      <c r="E1337" s="794" t="s">
        <v>634</v>
      </c>
      <c r="F1337" s="794" t="str">
        <f t="shared" si="109"/>
        <v>I</v>
      </c>
      <c r="G1337" s="28">
        <f>+IF(F1337="i",IFERROR(VLOOKUP(C1337,'BG 12.2024'!$B:$E,3,FALSE),0),0)</f>
        <v>9600000</v>
      </c>
      <c r="H1337" s="21">
        <f>+IF(F1337="i",IFERROR(VLOOKUP(C1337,'BG 12.2024'!$B:$E,4,FALSE),0),0)</f>
        <v>1232.94</v>
      </c>
      <c r="I1337" s="616"/>
      <c r="J1337" s="28">
        <f>IF(F1337="I",IFERROR(VLOOKUP(C1337,'BG 12.2023'!$B$6:$E$746,3,FALSE),0),0)</f>
        <v>5826896</v>
      </c>
      <c r="K1337" s="28">
        <f>IF(F1337="I",IFERROR(VLOOKUP(C1337,'BG 12.2023'!$B$6:$E$746,4,FALSE),0),0)</f>
        <v>800</v>
      </c>
      <c r="L1337" s="87">
        <f>+SUMIF('CA FE'!$A$1214:$A$1508,Composición!C1337,'CA FE'!$C$1214:$C$1508)</f>
        <v>9600000</v>
      </c>
      <c r="M1337" s="15">
        <f>+VLOOKUP(C1337,'BG 2023'!$B:$E,1,0)</f>
        <v>5120111105</v>
      </c>
      <c r="N1337" s="806">
        <f>+VLOOKUP(C1337,'BG 12.2024'!$B:$E,3,0)</f>
        <v>9600000</v>
      </c>
      <c r="O1337" s="807">
        <f t="shared" si="121"/>
        <v>3773104</v>
      </c>
      <c r="P1337" s="807"/>
      <c r="R1337" s="807">
        <f>+IFERROR(VLOOKUP(C1337,'CA FE'!$A:$C,3,0),0)-G1337</f>
        <v>0</v>
      </c>
    </row>
    <row r="1338" spans="1:18" s="87" customFormat="1">
      <c r="A1338" s="77" t="s">
        <v>395</v>
      </c>
      <c r="B1338" s="77"/>
      <c r="C1338" s="793">
        <v>5120111106</v>
      </c>
      <c r="D1338" s="77" t="s">
        <v>1048</v>
      </c>
      <c r="E1338" s="794" t="s">
        <v>634</v>
      </c>
      <c r="F1338" s="794" t="str">
        <f t="shared" si="109"/>
        <v>I</v>
      </c>
      <c r="G1338" s="28">
        <f>+IF(F1338="i",IFERROR(VLOOKUP(C1338,'BG 12.2024'!$B:$E,3,FALSE),0),0)</f>
        <v>0</v>
      </c>
      <c r="H1338" s="21">
        <f>+IF(F1338="i",IFERROR(VLOOKUP(C1338,'BG 12.2024'!$B:$E,4,FALSE),0),0)</f>
        <v>0</v>
      </c>
      <c r="I1338" s="616"/>
      <c r="J1338" s="28">
        <f>IF(F1338="I",IFERROR(VLOOKUP(C1338,'BG 12.2023'!$B$6:$E$746,3,FALSE),0),0)</f>
        <v>0</v>
      </c>
      <c r="K1338" s="28">
        <f>IF(F1338="I",IFERROR(VLOOKUP(C1338,'BG 12.2023'!$B$6:$E$746,4,FALSE),0),0)</f>
        <v>0</v>
      </c>
      <c r="L1338" s="87">
        <f>+SUMIF('CA FE'!$A$1214:$A$1508,Composición!C1338,'CA FE'!$C$1214:$C$1508)</f>
        <v>0</v>
      </c>
      <c r="M1338" s="15" t="e">
        <f>+VLOOKUP(C1338,'BG 2023'!$B:$E,1,0)</f>
        <v>#N/A</v>
      </c>
      <c r="N1338" s="819" t="e">
        <f>+VLOOKUP(C1338,'BG 12.2024'!$B:$E,3,0)</f>
        <v>#N/A</v>
      </c>
      <c r="O1338" s="807" t="e">
        <f t="shared" si="121"/>
        <v>#N/A</v>
      </c>
      <c r="P1338" s="807"/>
      <c r="R1338" s="807">
        <f>+IFERROR(VLOOKUP(C1338,'CA FE'!$A:$C,3,0),0)-G1338</f>
        <v>0</v>
      </c>
    </row>
    <row r="1339" spans="1:18" s="87" customFormat="1">
      <c r="A1339" s="77" t="s">
        <v>395</v>
      </c>
      <c r="B1339" s="77"/>
      <c r="C1339" s="793">
        <v>513</v>
      </c>
      <c r="D1339" s="77" t="s">
        <v>431</v>
      </c>
      <c r="E1339" s="794" t="s">
        <v>634</v>
      </c>
      <c r="F1339" s="794" t="str">
        <f t="shared" si="109"/>
        <v>NI</v>
      </c>
      <c r="G1339" s="28">
        <f>+IF(F1339="i",IFERROR(VLOOKUP(C1339,'BG 12.2024'!$B:$E,3,FALSE),0),0)</f>
        <v>0</v>
      </c>
      <c r="H1339" s="21">
        <f>+IF(F1339="i",IFERROR(VLOOKUP(C1339,'BG 12.2024'!$B:$E,4,FALSE),0),0)</f>
        <v>0</v>
      </c>
      <c r="I1339" s="616"/>
      <c r="J1339" s="28">
        <f>IF(F1339="I",IFERROR(VLOOKUP(C1339,'BG 12.2023'!$B$6:$E$746,3,FALSE),0),0)</f>
        <v>0</v>
      </c>
      <c r="K1339" s="28">
        <f>IF(F1339="I",IFERROR(VLOOKUP(C1339,'BG 12.2023'!$B$6:$E$746,4,FALSE),0),0)</f>
        <v>0</v>
      </c>
      <c r="L1339" s="87">
        <f>+SUMIF('CA FE'!$A$1214:$A$1508,Composición!C1339,'CA FE'!$C$1214:$C$1508)</f>
        <v>0</v>
      </c>
      <c r="M1339" s="15">
        <f>+VLOOKUP(C1339,'BG 2023'!$B:$E,1,0)</f>
        <v>513</v>
      </c>
      <c r="N1339" s="806">
        <f>+VLOOKUP(C1339,'BG 2023'!$B:$E,3,0)-J1339</f>
        <v>11687345989</v>
      </c>
      <c r="O1339" s="807">
        <f t="shared" si="112"/>
        <v>11687345989</v>
      </c>
      <c r="P1339" s="807"/>
      <c r="R1339" s="807">
        <f>+IFERROR(VLOOKUP(C1339,'CA FE'!$A:$C,3,0),0)-G1339</f>
        <v>0</v>
      </c>
    </row>
    <row r="1340" spans="1:18" s="87" customFormat="1">
      <c r="A1340" s="77" t="s">
        <v>395</v>
      </c>
      <c r="B1340" s="77"/>
      <c r="C1340" s="793">
        <v>51301</v>
      </c>
      <c r="D1340" s="77" t="s">
        <v>432</v>
      </c>
      <c r="E1340" s="794" t="s">
        <v>634</v>
      </c>
      <c r="F1340" s="794" t="str">
        <f t="shared" si="109"/>
        <v>NI</v>
      </c>
      <c r="G1340" s="28">
        <f>+IF(F1340="i",IFERROR(VLOOKUP(C1340,'BG 12.2024'!$B:$E,3,FALSE),0),0)</f>
        <v>0</v>
      </c>
      <c r="H1340" s="21">
        <f>+IF(F1340="i",IFERROR(VLOOKUP(C1340,'BG 12.2024'!$B:$E,4,FALSE),0),0)</f>
        <v>0</v>
      </c>
      <c r="I1340" s="616"/>
      <c r="J1340" s="28">
        <f>IF(F1340="I",IFERROR(VLOOKUP(C1340,'BG 12.2023'!$B$6:$E$746,3,FALSE),0),0)</f>
        <v>0</v>
      </c>
      <c r="K1340" s="28">
        <f>IF(F1340="I",IFERROR(VLOOKUP(C1340,'BG 12.2023'!$B$6:$E$746,4,FALSE),0),0)</f>
        <v>0</v>
      </c>
      <c r="L1340" s="87">
        <f>+SUMIF('CA FE'!$A$1214:$A$1508,Composición!C1340,'CA FE'!$C$1214:$C$1508)</f>
        <v>0</v>
      </c>
      <c r="M1340" s="15">
        <f>+VLOOKUP(C1340,'BG 2023'!$B:$E,1,0)</f>
        <v>51301</v>
      </c>
      <c r="N1340" s="806">
        <f>+VLOOKUP(C1340,'BG 2023'!$B:$E,3,0)-J1340</f>
        <v>3642061750</v>
      </c>
      <c r="O1340" s="807">
        <f t="shared" si="112"/>
        <v>3642061750</v>
      </c>
      <c r="P1340" s="807"/>
      <c r="R1340" s="807">
        <f>+IFERROR(VLOOKUP(C1340,'CA FE'!$A:$C,3,0),0)-G1340</f>
        <v>0</v>
      </c>
    </row>
    <row r="1341" spans="1:18" s="87" customFormat="1">
      <c r="A1341" s="77" t="s">
        <v>395</v>
      </c>
      <c r="B1341" s="77"/>
      <c r="C1341" s="793">
        <v>513011</v>
      </c>
      <c r="D1341" s="77" t="s">
        <v>432</v>
      </c>
      <c r="E1341" s="794" t="s">
        <v>634</v>
      </c>
      <c r="F1341" s="794" t="str">
        <f t="shared" si="109"/>
        <v>NI</v>
      </c>
      <c r="G1341" s="28">
        <f>+IF(F1341="i",IFERROR(VLOOKUP(C1341,'BG 12.2024'!$B:$E,3,FALSE),0),0)</f>
        <v>0</v>
      </c>
      <c r="H1341" s="21">
        <f>+IF(F1341="i",IFERROR(VLOOKUP(C1341,'BG 12.2024'!$B:$E,4,FALSE),0),0)</f>
        <v>0</v>
      </c>
      <c r="I1341" s="616"/>
      <c r="J1341" s="28">
        <f>IF(F1341="I",IFERROR(VLOOKUP(C1341,'BG 12.2023'!$B$6:$E$746,3,FALSE),0),0)</f>
        <v>0</v>
      </c>
      <c r="K1341" s="28">
        <f>IF(F1341="I",IFERROR(VLOOKUP(C1341,'BG 12.2023'!$B$6:$E$746,4,FALSE),0),0)</f>
        <v>0</v>
      </c>
      <c r="L1341" s="87">
        <f>+SUMIF('CA FE'!$A$1214:$A$1508,Composición!C1341,'CA FE'!$C$1214:$C$1508)</f>
        <v>0</v>
      </c>
      <c r="M1341" s="15">
        <f>+VLOOKUP(C1341,'BG 2023'!$B:$E,1,0)</f>
        <v>513011</v>
      </c>
      <c r="N1341" s="806">
        <f>+VLOOKUP(C1341,'BG 2023'!$B:$E,3,0)-J1341</f>
        <v>3642061750</v>
      </c>
      <c r="O1341" s="807">
        <f t="shared" si="112"/>
        <v>3642061750</v>
      </c>
      <c r="P1341" s="807"/>
      <c r="R1341" s="807">
        <f>+IFERROR(VLOOKUP(C1341,'CA FE'!$A:$C,3,0),0)-G1341</f>
        <v>0</v>
      </c>
    </row>
    <row r="1342" spans="1:18" s="87" customFormat="1">
      <c r="A1342" s="77" t="s">
        <v>395</v>
      </c>
      <c r="B1342" s="77"/>
      <c r="C1342" s="793">
        <v>5130111</v>
      </c>
      <c r="D1342" s="77" t="s">
        <v>432</v>
      </c>
      <c r="E1342" s="794" t="s">
        <v>634</v>
      </c>
      <c r="F1342" s="794" t="str">
        <f t="shared" si="109"/>
        <v>NI</v>
      </c>
      <c r="G1342" s="28">
        <f>+IF(F1342="i",IFERROR(VLOOKUP(C1342,'BG 12.2024'!$B:$E,3,FALSE),0),0)</f>
        <v>0</v>
      </c>
      <c r="H1342" s="21">
        <f>+IF(F1342="i",IFERROR(VLOOKUP(C1342,'BG 12.2024'!$B:$E,4,FALSE),0),0)</f>
        <v>0</v>
      </c>
      <c r="I1342" s="616"/>
      <c r="J1342" s="28">
        <f>IF(F1342="I",IFERROR(VLOOKUP(C1342,'BG 12.2023'!$B$6:$E$746,3,FALSE),0),0)</f>
        <v>0</v>
      </c>
      <c r="K1342" s="28">
        <f>IF(F1342="I",IFERROR(VLOOKUP(C1342,'BG 12.2023'!$B$6:$E$746,4,FALSE),0),0)</f>
        <v>0</v>
      </c>
      <c r="L1342" s="87">
        <f>+SUMIF('CA FE'!$A$1214:$A$1508,Composición!C1342,'CA FE'!$C$1214:$C$1508)</f>
        <v>0</v>
      </c>
      <c r="M1342" s="15">
        <f>+VLOOKUP(C1342,'BG 2023'!$B:$E,1,0)</f>
        <v>5130111</v>
      </c>
      <c r="N1342" s="806">
        <f>+VLOOKUP(C1342,'BG 2023'!$B:$E,3,0)-J1342</f>
        <v>3642061750</v>
      </c>
      <c r="O1342" s="807">
        <f t="shared" si="112"/>
        <v>3642061750</v>
      </c>
      <c r="P1342" s="807"/>
      <c r="R1342" s="807">
        <f>+IFERROR(VLOOKUP(C1342,'CA FE'!$A:$C,3,0),0)-G1342</f>
        <v>0</v>
      </c>
    </row>
    <row r="1343" spans="1:18" s="87" customFormat="1">
      <c r="A1343" s="77" t="s">
        <v>395</v>
      </c>
      <c r="B1343" s="77"/>
      <c r="C1343" s="793">
        <v>51301111</v>
      </c>
      <c r="D1343" s="77" t="s">
        <v>432</v>
      </c>
      <c r="E1343" s="794" t="s">
        <v>634</v>
      </c>
      <c r="F1343" s="794" t="str">
        <f t="shared" si="109"/>
        <v>NI</v>
      </c>
      <c r="G1343" s="28">
        <f>+IF(F1343="i",IFERROR(VLOOKUP(C1343,'BG 12.2024'!$B:$E,3,FALSE),0),0)</f>
        <v>0</v>
      </c>
      <c r="H1343" s="21">
        <f>+IF(F1343="i",IFERROR(VLOOKUP(C1343,'BG 12.2024'!$B:$E,4,FALSE),0),0)</f>
        <v>0</v>
      </c>
      <c r="I1343" s="616"/>
      <c r="J1343" s="28">
        <f>IF(F1343="I",IFERROR(VLOOKUP(C1343,'BG 12.2023'!$B$6:$E$746,3,FALSE),0),0)</f>
        <v>0</v>
      </c>
      <c r="K1343" s="28">
        <f>IF(F1343="I",IFERROR(VLOOKUP(C1343,'BG 12.2023'!$B$6:$E$746,4,FALSE),0),0)</f>
        <v>0</v>
      </c>
      <c r="L1343" s="87">
        <f>+SUMIF('CA FE'!$A$1214:$A$1508,Composición!C1343,'CA FE'!$C$1214:$C$1508)</f>
        <v>0</v>
      </c>
      <c r="M1343" s="15">
        <f>+VLOOKUP(C1343,'BG 2023'!$B:$E,1,0)</f>
        <v>51301111</v>
      </c>
      <c r="N1343" s="806">
        <f>+VLOOKUP(C1343,'BG 2023'!$B:$E,3,0)-J1343</f>
        <v>3642061750</v>
      </c>
      <c r="O1343" s="807">
        <f t="shared" si="112"/>
        <v>3642061750</v>
      </c>
      <c r="P1343" s="807"/>
      <c r="R1343" s="807">
        <f>+IFERROR(VLOOKUP(C1343,'CA FE'!$A:$C,3,0),0)-G1343</f>
        <v>0</v>
      </c>
    </row>
    <row r="1344" spans="1:18" s="87" customFormat="1">
      <c r="A1344" s="77" t="s">
        <v>395</v>
      </c>
      <c r="B1344" s="77" t="s">
        <v>1049</v>
      </c>
      <c r="C1344" s="793">
        <v>5130111101</v>
      </c>
      <c r="D1344" s="77" t="s">
        <v>433</v>
      </c>
      <c r="E1344" s="794" t="s">
        <v>634</v>
      </c>
      <c r="F1344" s="794" t="str">
        <f t="shared" si="109"/>
        <v>I</v>
      </c>
      <c r="G1344" s="28">
        <f>+IF(F1344="i",IFERROR(VLOOKUP(C1344,'BG 12.2024'!$B:$E,3,FALSE),0),0)-G1345</f>
        <v>2456520949</v>
      </c>
      <c r="H1344" s="21">
        <f>+IF(F1344="i",IFERROR(VLOOKUP(C1344,'BG 12.2024'!$B:$E,4,FALSE),0),0)</f>
        <v>519691.56</v>
      </c>
      <c r="I1344" s="616"/>
      <c r="J1344" s="28">
        <f>IF(F1344="I",IFERROR(VLOOKUP(C1344,'BG 12.2023'!$B$6:$E$746,3,FALSE),0),0)-J1345</f>
        <v>1906557428</v>
      </c>
      <c r="K1344" s="28">
        <f>IF(F1344="I",IFERROR(VLOOKUP(C1344,'BG 12.2023'!$B$6:$E$746,4,FALSE),0),0)</f>
        <v>416204.11</v>
      </c>
      <c r="L1344" s="87">
        <f>+SUMIF('CA FE'!$A$1214:$A$1508,Composición!C1344,'CA FE'!$C$1214:$C$1508)</f>
        <v>3934043262</v>
      </c>
      <c r="M1344" s="15">
        <f>+VLOOKUP(C1344,'BG 2023'!$B:$E,1,0)</f>
        <v>5130111101</v>
      </c>
      <c r="N1344" s="806">
        <f>+VLOOKUP(C1344,'BG 12.2024'!$B:$E,3,0)</f>
        <v>3934043262</v>
      </c>
      <c r="O1344" s="807">
        <f t="shared" ref="O1344:O1355" si="122">+N1344-J1344</f>
        <v>2027485834</v>
      </c>
      <c r="P1344" s="807"/>
      <c r="R1344" s="807">
        <f>+IFERROR(VLOOKUP(C1344,'CA FE'!$A:$C,3,0),0)-G1344</f>
        <v>-978998636</v>
      </c>
    </row>
    <row r="1345" spans="1:19" s="87" customFormat="1">
      <c r="A1345" s="77" t="s">
        <v>395</v>
      </c>
      <c r="B1345" s="77" t="s">
        <v>1049</v>
      </c>
      <c r="C1345" s="793"/>
      <c r="D1345" s="77" t="s">
        <v>1050</v>
      </c>
      <c r="E1345" s="794" t="s">
        <v>634</v>
      </c>
      <c r="F1345" s="794" t="s">
        <v>550</v>
      </c>
      <c r="G1345" s="1363">
        <v>1477522313</v>
      </c>
      <c r="H1345" s="21">
        <f>+IF(F1345="i",IFERROR(VLOOKUP(C1345,'BG 12.2024'!$B:$E,4,FALSE),0),0)</f>
        <v>0</v>
      </c>
      <c r="I1345" s="616"/>
      <c r="J1345" s="1097">
        <v>1125737020</v>
      </c>
      <c r="K1345" s="28">
        <f>IF(F1345="I",IFERROR(VLOOKUP(C1345,'BG 12.2023'!$B$6:$E$746,4,FALSE),0),0)</f>
        <v>0</v>
      </c>
      <c r="L1345" s="87">
        <f>+SUMIF('CA FE'!$A$1214:$A$1508,Composición!C1345,'CA FE'!$C$1214:$C$1508)</f>
        <v>0</v>
      </c>
      <c r="M1345" s="15" t="e">
        <f>+VLOOKUP(C1345,'BG 2023'!$B:$E,1,0)</f>
        <v>#N/A</v>
      </c>
      <c r="N1345" s="806" t="e">
        <f>+VLOOKUP(C1345,'BG 12.2024'!$B:$E,3,0)</f>
        <v>#N/A</v>
      </c>
      <c r="O1345" s="807" t="e">
        <f t="shared" si="122"/>
        <v>#N/A</v>
      </c>
      <c r="P1345" s="807"/>
      <c r="Q1345" s="926"/>
      <c r="R1345" s="807">
        <f>+IFERROR(VLOOKUP(C1345,'CA FE'!$A:$C,3,0),0)-G1345</f>
        <v>-1477522313</v>
      </c>
      <c r="S1345" s="87" t="s">
        <v>1051</v>
      </c>
    </row>
    <row r="1346" spans="1:19" s="87" customFormat="1">
      <c r="A1346" s="77" t="s">
        <v>395</v>
      </c>
      <c r="B1346" s="77" t="s">
        <v>1049</v>
      </c>
      <c r="C1346" s="793">
        <v>5130111102</v>
      </c>
      <c r="D1346" s="77" t="s">
        <v>434</v>
      </c>
      <c r="E1346" s="794" t="s">
        <v>634</v>
      </c>
      <c r="F1346" s="794" t="str">
        <f t="shared" si="109"/>
        <v>I</v>
      </c>
      <c r="G1346" s="1097">
        <f>+IF(F1346="i",IFERROR(VLOOKUP(C1346,'BG 12.2024'!$B:$E,3,FALSE),0),0)</f>
        <v>16479689</v>
      </c>
      <c r="H1346" s="21">
        <f>+IF(F1346="i",IFERROR(VLOOKUP(C1346,'BG 12.2024'!$B:$E,4,FALSE),0),0)</f>
        <v>2154.0300000000002</v>
      </c>
      <c r="I1346" s="616"/>
      <c r="J1346" s="28">
        <f>IF(F1346="I",IFERROR(VLOOKUP(C1346,'BG 12.2023'!$B$6:$E$746,3,FALSE),0),0)</f>
        <v>37365531</v>
      </c>
      <c r="K1346" s="28">
        <f>IF(F1346="I",IFERROR(VLOOKUP(C1346,'BG 12.2023'!$B$6:$E$746,4,FALSE),0),0)</f>
        <v>5165.66</v>
      </c>
      <c r="L1346" s="87">
        <f>+SUMIF('CA FE'!$A$1214:$A$1508,Composición!C1346,'CA FE'!$C$1214:$C$1508)</f>
        <v>16479689</v>
      </c>
      <c r="M1346" s="15">
        <f>+VLOOKUP(C1346,'BG 2023'!$B:$E,1,0)</f>
        <v>5130111102</v>
      </c>
      <c r="N1346" s="819">
        <f>+VLOOKUP(C1346,'BG 12.2024'!$B:$E,3,0)</f>
        <v>16479689</v>
      </c>
      <c r="O1346" s="807">
        <f t="shared" si="122"/>
        <v>-20885842</v>
      </c>
      <c r="P1346" s="807"/>
      <c r="R1346" s="807">
        <f>+IFERROR(VLOOKUP(C1346,'CA FE'!$A:$C,3,0),0)-G1346</f>
        <v>0</v>
      </c>
    </row>
    <row r="1347" spans="1:19" s="87" customFormat="1">
      <c r="A1347" s="77" t="s">
        <v>395</v>
      </c>
      <c r="B1347" s="77"/>
      <c r="C1347" s="793">
        <v>5130111103</v>
      </c>
      <c r="D1347" s="77" t="s">
        <v>1052</v>
      </c>
      <c r="E1347" s="794" t="s">
        <v>634</v>
      </c>
      <c r="F1347" s="794" t="str">
        <f t="shared" si="109"/>
        <v>I</v>
      </c>
      <c r="G1347" s="28">
        <f>+IF(F1347="i",IFERROR(VLOOKUP(C1347,'BG 12.2024'!$B:$E,3,FALSE),0),0)</f>
        <v>0</v>
      </c>
      <c r="H1347" s="21">
        <f>+IF(F1347="i",IFERROR(VLOOKUP(C1347,'BG 12.2024'!$B:$E,4,FALSE),0),0)</f>
        <v>0</v>
      </c>
      <c r="I1347" s="616"/>
      <c r="J1347" s="28">
        <f>IF(F1347="I",IFERROR(VLOOKUP(C1347,'BG 12.2023'!$B$6:$E$746,3,FALSE),0),0)</f>
        <v>0</v>
      </c>
      <c r="K1347" s="28">
        <f>IF(F1347="I",IFERROR(VLOOKUP(C1347,'BG 12.2023'!$B$6:$E$746,4,FALSE),0),0)</f>
        <v>0</v>
      </c>
      <c r="L1347" s="87">
        <f>+SUMIF('CA FE'!$A$1214:$A$1508,Composición!C1347,'CA FE'!$C$1214:$C$1508)</f>
        <v>0</v>
      </c>
      <c r="M1347" s="15" t="e">
        <f>+VLOOKUP(C1347,'BG 2023'!$B:$E,1,0)</f>
        <v>#N/A</v>
      </c>
      <c r="N1347" s="819" t="e">
        <f>+VLOOKUP(C1347,'BG 12.2024'!$B:$E,3,0)</f>
        <v>#N/A</v>
      </c>
      <c r="O1347" s="807" t="e">
        <f t="shared" si="122"/>
        <v>#N/A</v>
      </c>
      <c r="P1347" s="807"/>
      <c r="R1347" s="807">
        <f>+IFERROR(VLOOKUP(C1347,'CA FE'!$A:$C,3,0),0)-G1347</f>
        <v>0</v>
      </c>
    </row>
    <row r="1348" spans="1:19" s="87" customFormat="1">
      <c r="A1348" s="77" t="s">
        <v>395</v>
      </c>
      <c r="B1348" s="77" t="s">
        <v>1049</v>
      </c>
      <c r="C1348" s="793">
        <v>5130111104</v>
      </c>
      <c r="D1348" s="77" t="s">
        <v>435</v>
      </c>
      <c r="E1348" s="794" t="s">
        <v>634</v>
      </c>
      <c r="F1348" s="794" t="str">
        <f t="shared" si="109"/>
        <v>I</v>
      </c>
      <c r="G1348" s="28">
        <f>+IF(F1348="i",IFERROR(VLOOKUP(C1348,'BG 12.2024'!$B:$E,3,FALSE),0),0)-G1349</f>
        <v>265743168.58333331</v>
      </c>
      <c r="H1348" s="21">
        <f>+IF(F1348="i",IFERROR(VLOOKUP(C1348,'BG 12.2024'!$B:$E,4,FALSE),0),0)</f>
        <v>59224.93</v>
      </c>
      <c r="I1348" s="616"/>
      <c r="J1348" s="28">
        <f>IF(F1348="I",IFERROR(VLOOKUP(C1348,'BG 12.2023'!$B$6:$E$746,3,FALSE),0),0)-J1349</f>
        <v>252444054.66666669</v>
      </c>
      <c r="K1348" s="28">
        <f>IF(F1348="I",IFERROR(VLOOKUP(C1348,'BG 12.2023'!$B$6:$E$746,4,FALSE),0),0)</f>
        <v>47530.29</v>
      </c>
      <c r="L1348" s="87">
        <f>+SUMIF('CA FE'!$A$1214:$A$1508,Composición!C1348,'CA FE'!$C$1214:$C$1508)</f>
        <v>446350028</v>
      </c>
      <c r="M1348" s="15">
        <f>+VLOOKUP(C1348,'BG 2023'!$B:$E,1,0)</f>
        <v>5130111104</v>
      </c>
      <c r="N1348" s="806">
        <f>+VLOOKUP(C1348,'BG 12.2024'!$B:$E,3,0)</f>
        <v>446350028</v>
      </c>
      <c r="O1348" s="807">
        <f t="shared" si="122"/>
        <v>193905973.33333331</v>
      </c>
      <c r="P1348" s="807"/>
      <c r="R1348" s="807">
        <f>+IFERROR(VLOOKUP(C1348,'CA FE'!$A:$C,3,0),0)-G1348</f>
        <v>-85136309.166666627</v>
      </c>
    </row>
    <row r="1349" spans="1:19" s="87" customFormat="1">
      <c r="A1349" s="77" t="s">
        <v>395</v>
      </c>
      <c r="B1349" s="77" t="s">
        <v>1049</v>
      </c>
      <c r="C1349" s="793"/>
      <c r="D1349" s="77" t="s">
        <v>1053</v>
      </c>
      <c r="E1349" s="794" t="s">
        <v>634</v>
      </c>
      <c r="F1349" s="794" t="s">
        <v>550</v>
      </c>
      <c r="G1349" s="1362">
        <v>180606859.41666669</v>
      </c>
      <c r="H1349" s="21">
        <v>0</v>
      </c>
      <c r="I1349" s="616"/>
      <c r="J1349" s="1097">
        <v>93811418.333333328</v>
      </c>
      <c r="K1349" s="28">
        <f>IF(F1349="I",IFERROR(VLOOKUP(C1349,'BG 12.2023'!$B$6:$E$746,4,FALSE),0),0)</f>
        <v>0</v>
      </c>
      <c r="L1349" s="87">
        <f>+SUMIF('CA FE'!$A$1214:$A$1508,Composición!C1349,'CA FE'!$C$1214:$C$1508)</f>
        <v>0</v>
      </c>
      <c r="M1349" s="15" t="e">
        <f>+VLOOKUP(C1349,'BG 2023'!$B:$E,1,0)</f>
        <v>#N/A</v>
      </c>
      <c r="N1349" s="806" t="e">
        <f>+VLOOKUP(C1349,'BG 12.2024'!$B:$E,3,0)</f>
        <v>#N/A</v>
      </c>
      <c r="O1349" s="807" t="e">
        <f t="shared" si="122"/>
        <v>#N/A</v>
      </c>
      <c r="P1349" s="807"/>
      <c r="Q1349" s="926"/>
      <c r="R1349" s="807">
        <f>+IFERROR(VLOOKUP(C1349,'CA FE'!$A:$C,3,0),0)-G1349</f>
        <v>-180606859.41666669</v>
      </c>
      <c r="S1349" s="87" t="s">
        <v>1051</v>
      </c>
    </row>
    <row r="1350" spans="1:19" s="87" customFormat="1">
      <c r="A1350" s="77" t="s">
        <v>395</v>
      </c>
      <c r="B1350" s="77" t="s">
        <v>1049</v>
      </c>
      <c r="C1350" s="793">
        <v>5130111105</v>
      </c>
      <c r="D1350" s="77" t="s">
        <v>436</v>
      </c>
      <c r="E1350" s="794" t="s">
        <v>634</v>
      </c>
      <c r="F1350" s="794" t="str">
        <f t="shared" si="109"/>
        <v>I</v>
      </c>
      <c r="G1350" s="28">
        <f>+IF(F1350="i",IFERROR(VLOOKUP(C1350,'BG 12.2024'!$B:$E,3,FALSE),0),0)-G1351</f>
        <v>82068781.295833319</v>
      </c>
      <c r="H1350" s="21">
        <f>+IF(F1350="i",IFERROR(VLOOKUP(C1350,'BG 12.2024'!$B:$E,4,FALSE),0),0)</f>
        <v>23082.03</v>
      </c>
      <c r="I1350" s="616"/>
      <c r="J1350" s="28">
        <f>IF(F1350="I",IFERROR(VLOOKUP(C1350,'BG 12.2023'!$B$6:$E$746,3,FALSE),0),0)-J1351</f>
        <v>119850218</v>
      </c>
      <c r="K1350" s="28">
        <f>IF(F1350="I",IFERROR(VLOOKUP(C1350,'BG 12.2023'!$B$6:$E$746,4,FALSE),0),0)</f>
        <v>22832.42</v>
      </c>
      <c r="L1350" s="87">
        <f>+SUMIF('CA FE'!$A$1214:$A$1508,Composición!C1350,'CA FE'!$C$1214:$C$1508)</f>
        <v>173148034</v>
      </c>
      <c r="M1350" s="15">
        <f>+VLOOKUP(C1350,'BG 2023'!$B:$E,1,0)</f>
        <v>5130111105</v>
      </c>
      <c r="N1350" s="806">
        <f>+VLOOKUP(C1350,'BG 12.2024'!$B:$E,3,0)</f>
        <v>173148034</v>
      </c>
      <c r="O1350" s="807">
        <f t="shared" si="122"/>
        <v>53297816</v>
      </c>
      <c r="P1350" s="807"/>
      <c r="R1350" s="807">
        <f>+IFERROR(VLOOKUP(C1350,'CA FE'!$A:$C,3,0),0)-G1350</f>
        <v>9010471.4083333611</v>
      </c>
    </row>
    <row r="1351" spans="1:19" s="87" customFormat="1">
      <c r="A1351" s="77" t="s">
        <v>395</v>
      </c>
      <c r="B1351" s="77" t="s">
        <v>1049</v>
      </c>
      <c r="C1351" s="793"/>
      <c r="D1351" s="77" t="s">
        <v>1054</v>
      </c>
      <c r="E1351" s="794" t="s">
        <v>634</v>
      </c>
      <c r="F1351" s="794" t="s">
        <v>550</v>
      </c>
      <c r="G1351" s="1362">
        <v>91079252.704166681</v>
      </c>
      <c r="H1351" s="21">
        <v>0</v>
      </c>
      <c r="I1351" s="616"/>
      <c r="J1351" s="1097">
        <v>46641078</v>
      </c>
      <c r="K1351" s="28">
        <f>IF(F1351="I",IFERROR(VLOOKUP(C1351,'BG 12.2023'!$B$6:$E$746,4,FALSE),0),0)</f>
        <v>0</v>
      </c>
      <c r="L1351" s="87">
        <f>+SUMIF('CA FE'!$A$1214:$A$1508,Composición!C1351,'CA FE'!$C$1214:$C$1508)</f>
        <v>0</v>
      </c>
      <c r="M1351" s="15" t="e">
        <f>+VLOOKUP(C1351,'BG 2023'!$B:$E,1,0)</f>
        <v>#N/A</v>
      </c>
      <c r="N1351" s="806" t="e">
        <f>+VLOOKUP(C1351,'BG 12.2024'!$B:$E,3,0)</f>
        <v>#N/A</v>
      </c>
      <c r="O1351" s="807" t="e">
        <f t="shared" si="122"/>
        <v>#N/A</v>
      </c>
      <c r="P1351" s="807"/>
      <c r="Q1351" s="926"/>
      <c r="R1351" s="807">
        <f>+IFERROR(VLOOKUP(C1351,'CA FE'!$A:$C,3,0),0)-G1351</f>
        <v>-91079252.704166681</v>
      </c>
      <c r="S1351" s="87" t="s">
        <v>1051</v>
      </c>
    </row>
    <row r="1352" spans="1:19" s="87" customFormat="1">
      <c r="A1352" s="77" t="s">
        <v>395</v>
      </c>
      <c r="B1352" s="77" t="s">
        <v>1049</v>
      </c>
      <c r="C1352" s="793">
        <v>5130111106</v>
      </c>
      <c r="D1352" s="77" t="s">
        <v>437</v>
      </c>
      <c r="E1352" s="794" t="s">
        <v>634</v>
      </c>
      <c r="F1352" s="794" t="str">
        <f t="shared" si="109"/>
        <v>I</v>
      </c>
      <c r="G1352" s="28">
        <f>+IF(F1352="i",IFERROR(VLOOKUP(C1352,'BG 12.2024'!$B:$E,3,FALSE),0),0)-G1353</f>
        <v>5460991.700000003</v>
      </c>
      <c r="H1352" s="21">
        <f>+IF(F1352="i",IFERROR(VLOOKUP(C1352,'BG 12.2024'!$B:$E,4,FALSE),0),0)</f>
        <v>2104.5300000000002</v>
      </c>
      <c r="I1352" s="616"/>
      <c r="J1352" s="28">
        <f>IF(F1352="I",IFERROR(VLOOKUP(C1352,'BG 12.2023'!$B$6:$E$746,3,FALSE),0),0)</f>
        <v>15329269</v>
      </c>
      <c r="K1352" s="28">
        <f>IF(F1352="I",IFERROR(VLOOKUP(C1352,'BG 12.2023'!$B$6:$E$746,4,FALSE),0),0)</f>
        <v>2100.0700000000002</v>
      </c>
      <c r="L1352" s="87">
        <f>+SUMIF('CA FE'!$A$1214:$A$1508,Composición!C1352,'CA FE'!$C$1214:$C$1508)</f>
        <v>15846897</v>
      </c>
      <c r="M1352" s="15">
        <f>+VLOOKUP(C1352,'BG 2023'!$B:$E,1,0)</f>
        <v>5130111106</v>
      </c>
      <c r="N1352" s="806">
        <f>+VLOOKUP(C1352,'BG 12.2024'!$B:$E,3,0)</f>
        <v>15846897</v>
      </c>
      <c r="O1352" s="807">
        <f t="shared" si="122"/>
        <v>517628</v>
      </c>
      <c r="P1352" s="807"/>
      <c r="R1352" s="807">
        <f>+IFERROR(VLOOKUP(C1352,'CA FE'!$A:$C,3,0),0)-G1352</f>
        <v>4924913.599999994</v>
      </c>
    </row>
    <row r="1353" spans="1:19" s="87" customFormat="1">
      <c r="A1353" s="77" t="s">
        <v>395</v>
      </c>
      <c r="B1353" s="77" t="s">
        <v>1049</v>
      </c>
      <c r="C1353" s="793"/>
      <c r="D1353" s="77" t="s">
        <v>1055</v>
      </c>
      <c r="E1353" s="794" t="s">
        <v>634</v>
      </c>
      <c r="F1353" s="794" t="s">
        <v>550</v>
      </c>
      <c r="G1353" s="1362">
        <v>10385905.299999997</v>
      </c>
      <c r="H1353" s="21">
        <v>0</v>
      </c>
      <c r="I1353" s="616"/>
      <c r="J1353" s="28">
        <f>IF(F1353="I",IFERROR(VLOOKUP(C1353,'BG 12.2023'!$B$6:$E$746,3,FALSE),0),0)</f>
        <v>0</v>
      </c>
      <c r="K1353" s="28">
        <f>IF(F1353="I",IFERROR(VLOOKUP(C1353,'BG 12.2023'!$B$6:$E$746,4,FALSE),0),0)</f>
        <v>0</v>
      </c>
      <c r="L1353" s="87">
        <f>+SUMIF('CA FE'!$A$1214:$A$1508,Composición!C1353,'CA FE'!$C$1214:$C$1508)</f>
        <v>0</v>
      </c>
      <c r="M1353" s="15" t="e">
        <f>+VLOOKUP(C1353,'BG 2023'!$B:$E,1,0)</f>
        <v>#N/A</v>
      </c>
      <c r="N1353" s="806" t="e">
        <f>+VLOOKUP(C1353,'BG 12.2024'!$B:$E,3,0)</f>
        <v>#N/A</v>
      </c>
      <c r="O1353" s="807" t="e">
        <f t="shared" si="122"/>
        <v>#N/A</v>
      </c>
      <c r="P1353" s="807"/>
      <c r="Q1353" s="926"/>
      <c r="R1353" s="807">
        <f>+IFERROR(VLOOKUP(C1353,'CA FE'!$A:$C,3,0),0)-G1353</f>
        <v>-10385905.299999997</v>
      </c>
      <c r="S1353" s="87" t="s">
        <v>1051</v>
      </c>
    </row>
    <row r="1354" spans="1:19" s="87" customFormat="1">
      <c r="A1354" s="77" t="s">
        <v>395</v>
      </c>
      <c r="B1354" s="77" t="s">
        <v>1049</v>
      </c>
      <c r="C1354" s="793">
        <v>5130111107</v>
      </c>
      <c r="D1354" s="77" t="s">
        <v>438</v>
      </c>
      <c r="E1354" s="794" t="s">
        <v>634</v>
      </c>
      <c r="F1354" s="794" t="str">
        <f t="shared" si="109"/>
        <v>I</v>
      </c>
      <c r="G1354" s="28">
        <f>+IF(F1354="i",IFERROR(VLOOKUP(C1354,'BG 12.2024'!$B:$E,3,FALSE),0),0)</f>
        <v>113400314</v>
      </c>
      <c r="H1354" s="21">
        <f>+IF(F1354="i",IFERROR(VLOOKUP(C1354,'BG 12.2024'!$B:$E,4,FALSE),0),0)</f>
        <v>14839.13</v>
      </c>
      <c r="I1354" s="616"/>
      <c r="J1354" s="28">
        <f>IF(F1354="I",IFERROR(VLOOKUP(C1354,'BG 12.2023'!$B$6:$E$819,3,FALSE),0),0)</f>
        <v>44325733</v>
      </c>
      <c r="K1354" s="28">
        <f>IF(F1354="I",IFERROR(VLOOKUP(C1354,'BG 12.2023'!$B$6:$E$819,4,FALSE),0),0)</f>
        <v>6023.83</v>
      </c>
      <c r="L1354" s="87">
        <f>+SUMIF('CA FE'!$A$1214:$A$1508,Composición!C1354,'CA FE'!$C$1214:$C$1508)</f>
        <v>113400314</v>
      </c>
      <c r="M1354" s="15">
        <f>+VLOOKUP(C1354,'BG 2023'!$B:$E,1,0)</f>
        <v>5130111107</v>
      </c>
      <c r="N1354" s="806">
        <f>+VLOOKUP(C1354,'BG 12.2024'!$B:$E,3,0)</f>
        <v>113400314</v>
      </c>
      <c r="O1354" s="807">
        <f t="shared" si="122"/>
        <v>69074581</v>
      </c>
      <c r="P1354" s="807"/>
      <c r="R1354" s="807">
        <f>+IFERROR(VLOOKUP(C1354,'CA FE'!$A:$C,3,0),0)-G1354</f>
        <v>0</v>
      </c>
    </row>
    <row r="1355" spans="1:19" s="87" customFormat="1">
      <c r="A1355" s="77" t="s">
        <v>395</v>
      </c>
      <c r="B1355" s="77" t="s">
        <v>1049</v>
      </c>
      <c r="C1355" s="793">
        <v>5130111108</v>
      </c>
      <c r="D1355" s="77" t="s">
        <v>1056</v>
      </c>
      <c r="E1355" s="794" t="s">
        <v>634</v>
      </c>
      <c r="F1355" s="794" t="str">
        <f t="shared" si="109"/>
        <v>I</v>
      </c>
      <c r="G1355" s="28">
        <f>+IF(F1355="i",IFERROR(VLOOKUP(C1355,'BG 12.2024'!$B:$E,3,FALSE),0),0)</f>
        <v>0</v>
      </c>
      <c r="H1355" s="21">
        <f>+IF(F1355="i",IFERROR(VLOOKUP(C1355,'BG 12.2024'!$B:$E,4,FALSE),0),0)</f>
        <v>0</v>
      </c>
      <c r="I1355" s="616"/>
      <c r="J1355" s="28">
        <f>IF(F1355="I",IFERROR(VLOOKUP(C1355,'BG 12.2023'!$B$6:$E$819,3,FALSE),0),0)</f>
        <v>0</v>
      </c>
      <c r="K1355" s="28">
        <f>IF(F1355="I",IFERROR(VLOOKUP(C1355,'BG 12.2023'!$B$6:$E$819,4,FALSE),0),0)</f>
        <v>0</v>
      </c>
      <c r="L1355" s="87">
        <f>+SUMIF('CA FE'!$A$1214:$A$1508,Composición!C1355,'CA FE'!$C$1214:$C$1508)</f>
        <v>0</v>
      </c>
      <c r="M1355" s="15" t="e">
        <f>+VLOOKUP(C1355,'BG 2023'!$B:$E,1,0)</f>
        <v>#N/A</v>
      </c>
      <c r="N1355" s="806" t="e">
        <f>+VLOOKUP(C1355,'BG 12.2024'!$B:$E,3,0)</f>
        <v>#N/A</v>
      </c>
      <c r="O1355" s="807" t="e">
        <f t="shared" si="122"/>
        <v>#N/A</v>
      </c>
      <c r="P1355" s="807"/>
      <c r="R1355" s="807">
        <f>+IFERROR(VLOOKUP(C1355,'CA FE'!$A:$C,3,0),0)-G1355</f>
        <v>0</v>
      </c>
    </row>
    <row r="1356" spans="1:19" s="87" customFormat="1">
      <c r="A1356" s="77" t="s">
        <v>395</v>
      </c>
      <c r="B1356" s="77"/>
      <c r="C1356" s="793">
        <v>51302</v>
      </c>
      <c r="D1356" s="77" t="s">
        <v>224</v>
      </c>
      <c r="E1356" s="794" t="s">
        <v>634</v>
      </c>
      <c r="F1356" s="794" t="str">
        <f t="shared" si="109"/>
        <v>NI</v>
      </c>
      <c r="G1356" s="28">
        <f>+IF(F1356="i",IFERROR(VLOOKUP(C1356,'BG 12.2024'!$B:$E,3,FALSE),0),0)</f>
        <v>0</v>
      </c>
      <c r="H1356" s="21">
        <f>+IF(F1356="i",IFERROR(VLOOKUP(C1356,'BG 12.2024'!$B:$E,4,FALSE),0),0)</f>
        <v>0</v>
      </c>
      <c r="I1356" s="616"/>
      <c r="J1356" s="28">
        <f>IF(F1356="I",IFERROR(VLOOKUP(C1356,'BG 12.2023'!$B$6:$E$819,3,FALSE),0),0)</f>
        <v>0</v>
      </c>
      <c r="K1356" s="28">
        <f>IF(F1356="I",IFERROR(VLOOKUP(C1356,'BG 12.2023'!$B$6:$E$819,4,FALSE),0),0)</f>
        <v>0</v>
      </c>
      <c r="L1356" s="87">
        <f>+SUMIF('CA FE'!$A$1214:$A$1508,Composición!C1356,'CA FE'!$C$1214:$C$1508)</f>
        <v>0</v>
      </c>
      <c r="M1356" s="15">
        <f>+VLOOKUP(C1356,'BG 2023'!$B:$E,1,0)</f>
        <v>51302</v>
      </c>
      <c r="N1356" s="806">
        <f>+VLOOKUP(C1356,'BG 2023'!$B:$E,3,0)-J1356</f>
        <v>1751034954</v>
      </c>
      <c r="O1356" s="807">
        <f t="shared" ref="O1356:O1419" si="123">+N1356-G1356</f>
        <v>1751034954</v>
      </c>
      <c r="P1356" s="807"/>
      <c r="R1356" s="807">
        <f>+IFERROR(VLOOKUP(C1356,'CA FE'!$A:$C,3,0),0)-G1356</f>
        <v>0</v>
      </c>
    </row>
    <row r="1357" spans="1:19" s="87" customFormat="1">
      <c r="A1357" s="77" t="s">
        <v>395</v>
      </c>
      <c r="B1357" s="77"/>
      <c r="C1357" s="793">
        <v>513021</v>
      </c>
      <c r="D1357" s="77" t="s">
        <v>224</v>
      </c>
      <c r="E1357" s="794" t="s">
        <v>634</v>
      </c>
      <c r="F1357" s="794" t="str">
        <f t="shared" si="109"/>
        <v>NI</v>
      </c>
      <c r="G1357" s="28">
        <f>+IF(F1357="i",IFERROR(VLOOKUP(C1357,'BG 12.2024'!$B:$E,3,FALSE),0),0)</f>
        <v>0</v>
      </c>
      <c r="H1357" s="21">
        <f>+IF(F1357="i",IFERROR(VLOOKUP(C1357,'BG 12.2024'!$B:$E,4,FALSE),0),0)</f>
        <v>0</v>
      </c>
      <c r="I1357" s="616"/>
      <c r="J1357" s="28">
        <f>IF(F1357="I",IFERROR(VLOOKUP(C1357,'BG 12.2023'!$B$6:$E$819,3,FALSE),0),0)</f>
        <v>0</v>
      </c>
      <c r="K1357" s="28">
        <f>IF(F1357="I",IFERROR(VLOOKUP(C1357,'BG 12.2023'!$B$6:$E$819,4,FALSE),0),0)</f>
        <v>0</v>
      </c>
      <c r="L1357" s="87">
        <f>+SUMIF('CA FE'!$A$1214:$A$1508,Composición!C1357,'CA FE'!$C$1214:$C$1508)</f>
        <v>0</v>
      </c>
      <c r="M1357" s="15">
        <f>+VLOOKUP(C1357,'BG 2023'!$B:$E,1,0)</f>
        <v>513021</v>
      </c>
      <c r="N1357" s="806">
        <f>+VLOOKUP(C1357,'BG 2023'!$B:$E,3,0)-J1357</f>
        <v>1751034954</v>
      </c>
      <c r="O1357" s="807">
        <f t="shared" si="123"/>
        <v>1751034954</v>
      </c>
      <c r="P1357" s="807"/>
      <c r="R1357" s="807">
        <f>+IFERROR(VLOOKUP(C1357,'CA FE'!$A:$C,3,0),0)-G1357</f>
        <v>0</v>
      </c>
    </row>
    <row r="1358" spans="1:19" s="87" customFormat="1">
      <c r="A1358" s="77" t="s">
        <v>395</v>
      </c>
      <c r="B1358" s="77"/>
      <c r="C1358" s="793">
        <v>5130211</v>
      </c>
      <c r="D1358" s="77" t="s">
        <v>224</v>
      </c>
      <c r="E1358" s="794" t="s">
        <v>634</v>
      </c>
      <c r="F1358" s="794" t="str">
        <f t="shared" si="109"/>
        <v>NI</v>
      </c>
      <c r="G1358" s="28">
        <f>+IF(F1358="i",IFERROR(VLOOKUP(C1358,'BG 12.2024'!$B:$E,3,FALSE),0),0)</f>
        <v>0</v>
      </c>
      <c r="H1358" s="21">
        <f>+IF(F1358="i",IFERROR(VLOOKUP(C1358,'BG 12.2024'!$B:$E,4,FALSE),0),0)</f>
        <v>0</v>
      </c>
      <c r="I1358" s="616"/>
      <c r="J1358" s="28">
        <f>IF(F1358="I",IFERROR(VLOOKUP(C1358,'BG 12.2023'!$B$6:$E$819,3,FALSE),0),0)</f>
        <v>0</v>
      </c>
      <c r="K1358" s="28">
        <f>IF(F1358="I",IFERROR(VLOOKUP(C1358,'BG 12.2023'!$B$6:$E$819,4,FALSE),0),0)</f>
        <v>0</v>
      </c>
      <c r="L1358" s="87">
        <f>+SUMIF('CA FE'!$A$1214:$A$1508,Composición!C1358,'CA FE'!$C$1214:$C$1508)</f>
        <v>0</v>
      </c>
      <c r="M1358" s="15">
        <f>+VLOOKUP(C1358,'BG 2023'!$B:$E,1,0)</f>
        <v>5130211</v>
      </c>
      <c r="N1358" s="806">
        <f>+VLOOKUP(C1358,'BG 2023'!$B:$E,3,0)-J1358</f>
        <v>1751034954</v>
      </c>
      <c r="O1358" s="807">
        <f t="shared" si="123"/>
        <v>1751034954</v>
      </c>
      <c r="P1358" s="807"/>
      <c r="R1358" s="807">
        <f>+IFERROR(VLOOKUP(C1358,'CA FE'!$A:$C,3,0),0)-G1358</f>
        <v>0</v>
      </c>
    </row>
    <row r="1359" spans="1:19" s="87" customFormat="1">
      <c r="A1359" s="77" t="s">
        <v>395</v>
      </c>
      <c r="B1359" s="77"/>
      <c r="C1359" s="793">
        <v>51302111</v>
      </c>
      <c r="D1359" s="77" t="s">
        <v>224</v>
      </c>
      <c r="E1359" s="794" t="s">
        <v>634</v>
      </c>
      <c r="F1359" s="794" t="str">
        <f t="shared" si="109"/>
        <v>NI</v>
      </c>
      <c r="G1359" s="28">
        <f>+IF(F1359="i",IFERROR(VLOOKUP(C1359,'BG 12.2024'!$B:$E,3,FALSE),0),0)</f>
        <v>0</v>
      </c>
      <c r="H1359" s="21">
        <f>+IF(F1359="i",IFERROR(VLOOKUP(C1359,'BG 12.2024'!$B:$E,4,FALSE),0),0)</f>
        <v>0</v>
      </c>
      <c r="I1359" s="616"/>
      <c r="J1359" s="28">
        <f>IF(F1359="I",IFERROR(VLOOKUP(C1359,'BG 12.2023'!$B$6:$E$819,3,FALSE),0),0)</f>
        <v>0</v>
      </c>
      <c r="K1359" s="28">
        <f>IF(F1359="I",IFERROR(VLOOKUP(C1359,'BG 12.2023'!$B$6:$E$819,4,FALSE),0),0)</f>
        <v>0</v>
      </c>
      <c r="L1359" s="87">
        <f>+SUMIF('CA FE'!$A$1214:$A$1508,Composición!C1359,'CA FE'!$C$1214:$C$1508)</f>
        <v>0</v>
      </c>
      <c r="M1359" s="15">
        <f>+VLOOKUP(C1359,'BG 2023'!$B:$E,1,0)</f>
        <v>51302111</v>
      </c>
      <c r="N1359" s="806">
        <f>+VLOOKUP(C1359,'BG 2023'!$B:$E,3,0)-J1359</f>
        <v>1751034954</v>
      </c>
      <c r="O1359" s="807">
        <f t="shared" si="123"/>
        <v>1751034954</v>
      </c>
      <c r="P1359" s="807"/>
      <c r="R1359" s="807">
        <f>+IFERROR(VLOOKUP(C1359,'CA FE'!$A:$C,3,0),0)-G1359</f>
        <v>0</v>
      </c>
    </row>
    <row r="1360" spans="1:19" s="87" customFormat="1">
      <c r="A1360" s="77" t="s">
        <v>395</v>
      </c>
      <c r="B1360" s="77" t="s">
        <v>1057</v>
      </c>
      <c r="C1360" s="793">
        <v>5130211101</v>
      </c>
      <c r="D1360" s="77" t="s">
        <v>439</v>
      </c>
      <c r="E1360" s="794" t="s">
        <v>634</v>
      </c>
      <c r="F1360" s="794" t="str">
        <f t="shared" si="109"/>
        <v>I</v>
      </c>
      <c r="G1360" s="28">
        <f>+IF(F1360="i",IFERROR(VLOOKUP(C1360,'BG 12.2024'!$B:$E,3,FALSE),0),0)</f>
        <v>834071649</v>
      </c>
      <c r="H1360" s="21">
        <f>+IF(F1360="i",IFERROR(VLOOKUP(C1360,'BG 12.2024'!$B:$E,4,FALSE),0),0)</f>
        <v>110397.43</v>
      </c>
      <c r="I1360" s="616"/>
      <c r="J1360" s="28">
        <f>IF(F1360="I",IFERROR(VLOOKUP(C1360,'BG 12.2023'!$B$6:$E$819,3,FALSE),0),0)</f>
        <v>823325839</v>
      </c>
      <c r="K1360" s="28">
        <f>IF(F1360="I",IFERROR(VLOOKUP(C1360,'BG 12.2023'!$B$6:$E$819,4,FALSE),0),0)</f>
        <v>113137.2</v>
      </c>
      <c r="L1360" s="87">
        <f>+SUMIF('CA FE'!$A$1214:$A$1508,Composición!C1360,'CA FE'!$C$1214:$C$1508)</f>
        <v>834071649</v>
      </c>
      <c r="M1360" s="15">
        <f>+VLOOKUP(C1360,'BG 2023'!$B:$E,1,0)</f>
        <v>5130211101</v>
      </c>
      <c r="N1360" s="806">
        <f>+VLOOKUP(C1360,'BG 12.2024'!$B:$E,3,0)</f>
        <v>834071649</v>
      </c>
      <c r="O1360" s="807">
        <f t="shared" ref="O1360:O1371" si="124">+N1360-J1360</f>
        <v>10745810</v>
      </c>
      <c r="P1360" s="807"/>
      <c r="R1360" s="807">
        <f>+IFERROR(VLOOKUP(C1360,'CA FE'!$A:$C,3,0),0)-G1360</f>
        <v>0</v>
      </c>
    </row>
    <row r="1361" spans="1:19" s="87" customFormat="1" ht="12.75" customHeight="1">
      <c r="A1361" s="77" t="s">
        <v>395</v>
      </c>
      <c r="B1361" s="77" t="s">
        <v>1049</v>
      </c>
      <c r="C1361" s="793">
        <v>5130211102</v>
      </c>
      <c r="D1361" s="77" t="s">
        <v>440</v>
      </c>
      <c r="E1361" s="794" t="s">
        <v>634</v>
      </c>
      <c r="F1361" s="794" t="str">
        <f t="shared" si="109"/>
        <v>I</v>
      </c>
      <c r="G1361" s="28">
        <f>+IF(F1361="i",IFERROR(VLOOKUP(C1361,'BG 12.2024'!$B:$E,3,FALSE),0),0)</f>
        <v>41534116</v>
      </c>
      <c r="H1361" s="21">
        <f>+IF(F1361="i",IFERROR(VLOOKUP(C1361,'BG 12.2024'!$B:$E,4,FALSE),0),0)</f>
        <v>5498.83</v>
      </c>
      <c r="I1361" s="616"/>
      <c r="J1361" s="28">
        <f>IF(F1361="I",IFERROR(VLOOKUP(C1361,'BG 12.2023'!$B$6:$E$819,3,FALSE),0),0)</f>
        <v>40111794</v>
      </c>
      <c r="K1361" s="28">
        <f>IF(F1361="I",IFERROR(VLOOKUP(C1361,'BG 12.2023'!$B$6:$E$819,4,FALSE),0),0)</f>
        <v>5417.9</v>
      </c>
      <c r="L1361" s="87">
        <f>+SUMIF('CA FE'!$A$1214:$A$1508,Composición!C1361,'CA FE'!$C$1214:$C$1508)</f>
        <v>41534116</v>
      </c>
      <c r="M1361" s="15">
        <f>+VLOOKUP(C1361,'BG 2023'!$B:$E,1,0)</f>
        <v>5130211102</v>
      </c>
      <c r="N1361" s="806">
        <f>+VLOOKUP(C1361,'BG 12.2024'!$B:$E,3,0)</f>
        <v>41534116</v>
      </c>
      <c r="O1361" s="807">
        <f t="shared" si="124"/>
        <v>1422322</v>
      </c>
      <c r="P1361" s="807"/>
      <c r="R1361" s="807">
        <f>+IFERROR(VLOOKUP(C1361,'CA FE'!$A:$C,3,0),0)-G1361</f>
        <v>0</v>
      </c>
    </row>
    <row r="1362" spans="1:19" s="87" customFormat="1">
      <c r="A1362" s="77" t="s">
        <v>395</v>
      </c>
      <c r="B1362" s="77" t="s">
        <v>1049</v>
      </c>
      <c r="C1362" s="793">
        <v>5130211103</v>
      </c>
      <c r="D1362" s="77" t="s">
        <v>441</v>
      </c>
      <c r="E1362" s="794" t="s">
        <v>634</v>
      </c>
      <c r="F1362" s="794" t="str">
        <f t="shared" si="109"/>
        <v>I</v>
      </c>
      <c r="G1362" s="28">
        <f>+IF(F1362="i",IFERROR(VLOOKUP(C1362,'BG 12.2024'!$B:$E,3,FALSE),0),0)</f>
        <v>0</v>
      </c>
      <c r="H1362" s="21">
        <f>+IF(F1362="i",IFERROR(VLOOKUP(C1362,'BG 12.2024'!$B:$E,4,FALSE),0),0)</f>
        <v>0</v>
      </c>
      <c r="I1362" s="616"/>
      <c r="J1362" s="28">
        <f>IF(F1362="I",IFERROR(VLOOKUP(C1362,'BG 12.2023'!$B$6:$E$819,3,FALSE),0),0)</f>
        <v>155000000</v>
      </c>
      <c r="K1362" s="28">
        <f>IF(F1362="I",IFERROR(VLOOKUP(C1362,'BG 12.2023'!$B$6:$E$819,4,FALSE),0),0)</f>
        <v>21622.52</v>
      </c>
      <c r="L1362" s="87">
        <f>+SUMIF('CA FE'!$A$1214:$A$1508,Composición!C1362,'CA FE'!$C$1214:$C$1508)</f>
        <v>0</v>
      </c>
      <c r="M1362" s="15">
        <f>+VLOOKUP(C1362,'BG 2023'!$B:$E,1,0)</f>
        <v>5130211103</v>
      </c>
      <c r="N1362" s="806" t="e">
        <f>+VLOOKUP(C1362,'BG 12.2024'!$B:$E,3,0)</f>
        <v>#N/A</v>
      </c>
      <c r="O1362" s="807" t="e">
        <f t="shared" si="124"/>
        <v>#N/A</v>
      </c>
      <c r="P1362" s="807"/>
      <c r="R1362" s="807">
        <f>+IFERROR(VLOOKUP(C1362,'CA FE'!$A:$C,3,0),0)-G1362</f>
        <v>0</v>
      </c>
    </row>
    <row r="1363" spans="1:19" s="87" customFormat="1">
      <c r="A1363" s="77" t="s">
        <v>395</v>
      </c>
      <c r="B1363" s="77" t="s">
        <v>1057</v>
      </c>
      <c r="C1363" s="793">
        <v>5130211104</v>
      </c>
      <c r="D1363" s="77" t="s">
        <v>442</v>
      </c>
      <c r="E1363" s="794" t="s">
        <v>634</v>
      </c>
      <c r="F1363" s="794" t="str">
        <f t="shared" si="109"/>
        <v>I</v>
      </c>
      <c r="G1363" s="28">
        <f>+IF(F1363="i",IFERROR(VLOOKUP(C1363,'BG 12.2024'!$B:$E,3,FALSE),0),0)</f>
        <v>81955683</v>
      </c>
      <c r="H1363" s="21">
        <f>+IF(F1363="i",IFERROR(VLOOKUP(C1363,'BG 12.2024'!$B:$E,4,FALSE),0),0)</f>
        <v>10895.85</v>
      </c>
      <c r="I1363" s="616"/>
      <c r="J1363" s="28">
        <f>IF(F1363="I",IFERROR(VLOOKUP(C1363,'BG 12.2023'!$B$6:$E$819,3,FALSE),0),0)</f>
        <v>65810726</v>
      </c>
      <c r="K1363" s="28">
        <f>IF(F1363="I",IFERROR(VLOOKUP(C1363,'BG 12.2023'!$B$6:$E$819,4,FALSE),0),0)</f>
        <v>9064.8700000000008</v>
      </c>
      <c r="L1363" s="87">
        <f>+SUMIF('CA FE'!$A$1214:$A$1508,Composición!C1363,'CA FE'!$C$1214:$C$1508)</f>
        <v>81955683</v>
      </c>
      <c r="M1363" s="15">
        <f>+VLOOKUP(C1363,'BG 2023'!$B:$E,1,0)</f>
        <v>5130211104</v>
      </c>
      <c r="N1363" s="806">
        <f>+VLOOKUP(C1363,'BG 12.2024'!$B:$E,3,0)</f>
        <v>81955683</v>
      </c>
      <c r="O1363" s="807">
        <f t="shared" si="124"/>
        <v>16144957</v>
      </c>
      <c r="P1363" s="807"/>
      <c r="R1363" s="807">
        <f>+IFERROR(VLOOKUP(C1363,'CA FE'!$A:$C,3,0),0)-G1363</f>
        <v>0</v>
      </c>
    </row>
    <row r="1364" spans="1:19" s="87" customFormat="1">
      <c r="A1364" s="77" t="s">
        <v>395</v>
      </c>
      <c r="B1364" s="77" t="s">
        <v>1057</v>
      </c>
      <c r="C1364" s="793">
        <v>5130211105</v>
      </c>
      <c r="D1364" s="77" t="s">
        <v>443</v>
      </c>
      <c r="E1364" s="794" t="s">
        <v>634</v>
      </c>
      <c r="F1364" s="794" t="str">
        <f t="shared" si="109"/>
        <v>I</v>
      </c>
      <c r="G1364" s="28">
        <f>+IF(F1364="i",IFERROR(VLOOKUP(C1364,'BG 12.2024'!$B:$E,3,FALSE),0),0)</f>
        <v>0</v>
      </c>
      <c r="H1364" s="21">
        <f>+IF(F1364="i",IFERROR(VLOOKUP(C1364,'BG 12.2024'!$B:$E,4,FALSE),0),0)</f>
        <v>0</v>
      </c>
      <c r="I1364" s="616"/>
      <c r="J1364" s="28">
        <f>IF(F1364="I",IFERROR(VLOOKUP(C1364,'BG 12.2023'!$B$6:$E$819,3,FALSE),0),0)</f>
        <v>2763636</v>
      </c>
      <c r="K1364" s="28">
        <f>IF(F1364="I",IFERROR(VLOOKUP(C1364,'BG 12.2023'!$B$6:$E$819,4,FALSE),0),0)</f>
        <v>383.32</v>
      </c>
      <c r="L1364" s="87">
        <f>+SUMIF('CA FE'!$A$1214:$A$1508,Composición!C1364,'CA FE'!$C$1214:$C$1508)</f>
        <v>0</v>
      </c>
      <c r="M1364" s="15">
        <f>+VLOOKUP(C1364,'BG 2023'!$B:$E,1,0)</f>
        <v>5130211105</v>
      </c>
      <c r="N1364" s="819" t="e">
        <f>+VLOOKUP(C1364,'BG 12.2024'!$B:$E,3,0)</f>
        <v>#N/A</v>
      </c>
      <c r="O1364" s="807" t="e">
        <f t="shared" si="124"/>
        <v>#N/A</v>
      </c>
      <c r="P1364" s="807"/>
      <c r="R1364" s="807">
        <f>+IFERROR(VLOOKUP(C1364,'CA FE'!$A:$C,3,0),0)-G1364</f>
        <v>0</v>
      </c>
    </row>
    <row r="1365" spans="1:19" s="87" customFormat="1">
      <c r="A1365" s="77" t="s">
        <v>395</v>
      </c>
      <c r="B1365" s="77" t="s">
        <v>1057</v>
      </c>
      <c r="C1365" s="793">
        <v>5130211106</v>
      </c>
      <c r="D1365" s="77" t="s">
        <v>444</v>
      </c>
      <c r="E1365" s="794" t="s">
        <v>634</v>
      </c>
      <c r="F1365" s="794" t="str">
        <f t="shared" ref="F1365:F1433" si="125">+IF(LEN(C1365)&gt;8,"I","NI")</f>
        <v>I</v>
      </c>
      <c r="G1365" s="28">
        <f>+IF(F1365="i",IFERROR(VLOOKUP(C1365,'BG 12.2024'!$B:$E,3,FALSE),0),0)</f>
        <v>92194574</v>
      </c>
      <c r="H1365" s="21">
        <f>+IF(F1365="i",IFERROR(VLOOKUP(C1365,'BG 12.2024'!$B:$E,4,FALSE),0),0)</f>
        <v>12121.87</v>
      </c>
      <c r="I1365" s="616"/>
      <c r="J1365" s="28">
        <f>IF(F1365="I",IFERROR(VLOOKUP(C1365,'BG 12.2023'!$B$6:$E$819,3,FALSE),0),0)</f>
        <v>74304086</v>
      </c>
      <c r="K1365" s="28">
        <f>IF(F1365="I",IFERROR(VLOOKUP(C1365,'BG 12.2023'!$B$6:$E$819,4,FALSE),0),0)</f>
        <v>10176.4</v>
      </c>
      <c r="L1365" s="87">
        <f>+SUMIF('CA FE'!$A$1214:$A$1508,Composición!C1365,'CA FE'!$C$1214:$C$1508)</f>
        <v>92194574</v>
      </c>
      <c r="M1365" s="15">
        <f>+VLOOKUP(C1365,'BG 2023'!$B:$E,1,0)</f>
        <v>5130211106</v>
      </c>
      <c r="N1365" s="806">
        <f>+VLOOKUP(C1365,'BG 12.2024'!$B:$E,3,0)</f>
        <v>92194574</v>
      </c>
      <c r="O1365" s="807">
        <f t="shared" si="124"/>
        <v>17890488</v>
      </c>
      <c r="P1365" s="807"/>
      <c r="R1365" s="807">
        <f>+IFERROR(VLOOKUP(C1365,'CA FE'!$A:$C,3,0),0)-G1365</f>
        <v>0</v>
      </c>
    </row>
    <row r="1366" spans="1:19" s="87" customFormat="1">
      <c r="A1366" s="77" t="s">
        <v>395</v>
      </c>
      <c r="B1366" s="77" t="s">
        <v>1057</v>
      </c>
      <c r="C1366" s="793">
        <v>5130211107</v>
      </c>
      <c r="D1366" s="77" t="s">
        <v>2798</v>
      </c>
      <c r="E1366" s="794" t="s">
        <v>634</v>
      </c>
      <c r="F1366" s="794" t="str">
        <f t="shared" si="125"/>
        <v>I</v>
      </c>
      <c r="G1366" s="28">
        <f>+IF(F1366="i",IFERROR(VLOOKUP(C1366,'BG 12.2024'!$B:$E,3,FALSE),0),0)-G1367</f>
        <v>189018192</v>
      </c>
      <c r="H1366" s="21">
        <f>+IF(F1366="i",IFERROR(VLOOKUP(C1366,'BG 12.2024'!$B:$E,4,FALSE),0),0)</f>
        <v>31339.230000000007</v>
      </c>
      <c r="I1366" s="616"/>
      <c r="J1366" s="28">
        <f>IF(F1366="I",IFERROR(VLOOKUP(C1366,'BG 12.2023'!$B$6:$E$819,3,FALSE),0),0)</f>
        <v>194945168</v>
      </c>
      <c r="K1366" s="28">
        <f>IF(F1366="I",IFERROR(VLOOKUP(C1366,'BG 12.2023'!$B$6:$E$819,4,FALSE),0),0)</f>
        <v>26707.3</v>
      </c>
      <c r="L1366" s="87">
        <f>+SUMIF('CA FE'!$A$1214:$A$1508,Composición!C1366,'CA FE'!$C$1214:$C$1508)</f>
        <v>236113852</v>
      </c>
      <c r="M1366" s="15">
        <f>+VLOOKUP(C1366,'BG 2023'!$B:$E,1,0)</f>
        <v>5130211107</v>
      </c>
      <c r="N1366" s="806">
        <f>+VLOOKUP(C1366,'BG 12.2024'!$B:$E,3,0)</f>
        <v>236113852</v>
      </c>
      <c r="O1366" s="807">
        <f t="shared" si="124"/>
        <v>41168684</v>
      </c>
      <c r="P1366" s="807"/>
      <c r="R1366" s="807">
        <f>+IFERROR(VLOOKUP(C1366,'CA FE'!$A:$C,3,0),0)-G1366</f>
        <v>0</v>
      </c>
    </row>
    <row r="1367" spans="1:19" s="87" customFormat="1">
      <c r="A1367" s="77" t="s">
        <v>395</v>
      </c>
      <c r="B1367" s="1211" t="s">
        <v>1057</v>
      </c>
      <c r="C1367" s="793"/>
      <c r="D1367" s="77" t="s">
        <v>2798</v>
      </c>
      <c r="E1367" s="794" t="s">
        <v>634</v>
      </c>
      <c r="F1367" s="794" t="s">
        <v>550</v>
      </c>
      <c r="G1367" s="1191">
        <v>47095660</v>
      </c>
      <c r="H1367" s="21">
        <f>+IF(F1367="i",IFERROR(VLOOKUP(C1367,'BG 12.2024'!$B:$E,4,FALSE),0),0)</f>
        <v>0</v>
      </c>
      <c r="I1367" s="616"/>
      <c r="J1367" s="28">
        <f>IF(F1367="I",IFERROR(VLOOKUP(C1367,'BG 12.2023'!$B$6:$E$819,3,FALSE),0),0)</f>
        <v>0</v>
      </c>
      <c r="K1367" s="28">
        <f>IF(F1367="I",IFERROR(VLOOKUP(C1367,'BG 12.2023'!$B$6:$E$819,4,FALSE),0),0)</f>
        <v>0</v>
      </c>
      <c r="L1367" s="87">
        <f>+SUMIF('CA FE'!$A$1214:$A$1508,Composición!C1367,'CA FE'!$C$1214:$C$1508)</f>
        <v>0</v>
      </c>
      <c r="M1367" s="15" t="e">
        <f>+VLOOKUP(C1367,'BG 2023'!$B:$E,1,0)</f>
        <v>#N/A</v>
      </c>
      <c r="N1367" s="806" t="e">
        <f>+VLOOKUP(C1367,'BG 12.2024'!$B:$E,3,0)</f>
        <v>#N/A</v>
      </c>
      <c r="O1367" s="807" t="e">
        <f t="shared" ref="O1367" si="126">+N1367-J1367</f>
        <v>#N/A</v>
      </c>
      <c r="P1367" s="807"/>
      <c r="R1367" s="807">
        <f>+IFERROR(VLOOKUP(C1367,'CA FE'!$A:$C,3,0),0)-G1367</f>
        <v>-47095660</v>
      </c>
    </row>
    <row r="1368" spans="1:19" s="87" customFormat="1">
      <c r="A1368" s="77" t="s">
        <v>395</v>
      </c>
      <c r="B1368" s="77" t="s">
        <v>1057</v>
      </c>
      <c r="C1368" s="793">
        <v>5130211108</v>
      </c>
      <c r="D1368" s="77" t="s">
        <v>446</v>
      </c>
      <c r="E1368" s="794" t="s">
        <v>634</v>
      </c>
      <c r="F1368" s="794" t="str">
        <f t="shared" si="125"/>
        <v>I</v>
      </c>
      <c r="G1368" s="28">
        <f>+IF(F1368="i",IFERROR(VLOOKUP(C1368,'BG 12.2024'!$B:$E,3,FALSE),0),0)</f>
        <v>380342101</v>
      </c>
      <c r="H1368" s="21">
        <f>+IF(F1368="i",IFERROR(VLOOKUP(C1368,'BG 12.2024'!$B:$E,4,FALSE),0),0)</f>
        <v>50230.36</v>
      </c>
      <c r="I1368" s="616"/>
      <c r="J1368" s="28">
        <f>IF(F1368="I",IFERROR(VLOOKUP(C1368,'BG 12.2023'!$B$6:$E$819,3,FALSE),0),0)</f>
        <v>384978312</v>
      </c>
      <c r="K1368" s="28">
        <f>IF(F1368="I",IFERROR(VLOOKUP(C1368,'BG 12.2023'!$B$6:$E$819,4,FALSE),0),0)</f>
        <v>52797.752</v>
      </c>
      <c r="L1368" s="87">
        <f>+SUMIF('CA FE'!$A$1214:$A$1508,Composición!C1368,'CA FE'!$C$1214:$C$1508)</f>
        <v>380342101</v>
      </c>
      <c r="M1368" s="15">
        <f>+VLOOKUP(C1368,'BG 2023'!$B:$E,1,0)</f>
        <v>5130211108</v>
      </c>
      <c r="N1368" s="806">
        <f>+VLOOKUP(C1368,'BG 12.2024'!$B:$E,3,0)</f>
        <v>380342101</v>
      </c>
      <c r="O1368" s="807">
        <f t="shared" si="124"/>
        <v>-4636211</v>
      </c>
      <c r="P1368" s="807"/>
      <c r="R1368" s="807">
        <f>+IFERROR(VLOOKUP(C1368,'CA FE'!$A:$C,3,0),0)-G1368</f>
        <v>0</v>
      </c>
    </row>
    <row r="1369" spans="1:19" s="87" customFormat="1">
      <c r="A1369" s="77" t="s">
        <v>395</v>
      </c>
      <c r="B1369" s="77" t="s">
        <v>1057</v>
      </c>
      <c r="C1369" s="793">
        <v>5130211109</v>
      </c>
      <c r="D1369" s="77" t="s">
        <v>447</v>
      </c>
      <c r="E1369" s="794" t="s">
        <v>634</v>
      </c>
      <c r="F1369" s="794" t="str">
        <f t="shared" si="125"/>
        <v>I</v>
      </c>
      <c r="G1369" s="28">
        <f>+IF(F1369="i",IFERROR(VLOOKUP(C1369,'BG 12.2024'!$B:$E,3,FALSE),0),0)</f>
        <v>818182</v>
      </c>
      <c r="H1369" s="21">
        <f>+IF(F1369="i",IFERROR(VLOOKUP(C1369,'BG 12.2024'!$B:$E,4,FALSE),0),0)</f>
        <v>110.94</v>
      </c>
      <c r="I1369" s="616"/>
      <c r="J1369" s="28">
        <f>IF(F1369="I",IFERROR(VLOOKUP(C1369,'BG 12.2023'!$B$6:$E$819,3,FALSE),0),0)</f>
        <v>445393</v>
      </c>
      <c r="K1369" s="28">
        <f>IF(F1369="I",IFERROR(VLOOKUP(C1369,'BG 12.2023'!$B$6:$E$819,4,FALSE),0),0)</f>
        <v>60.39</v>
      </c>
      <c r="L1369" s="87">
        <f>+SUMIF('CA FE'!$A$1214:$A$1508,Composición!C1369,'CA FE'!$C$1214:$C$1508)</f>
        <v>818182</v>
      </c>
      <c r="M1369" s="15">
        <f>+VLOOKUP(C1369,'BG 2023'!$B:$E,1,0)</f>
        <v>5130211109</v>
      </c>
      <c r="N1369" s="806">
        <f>+VLOOKUP(C1369,'BG 12.2024'!$B:$E,3,0)</f>
        <v>818182</v>
      </c>
      <c r="O1369" s="807">
        <f t="shared" si="124"/>
        <v>372789</v>
      </c>
      <c r="P1369" s="807"/>
      <c r="R1369" s="807">
        <f>+IFERROR(VLOOKUP(C1369,'CA FE'!$A:$C,3,0),0)-G1369</f>
        <v>0</v>
      </c>
    </row>
    <row r="1370" spans="1:19" s="87" customFormat="1">
      <c r="A1370" s="77" t="s">
        <v>395</v>
      </c>
      <c r="B1370" s="77" t="s">
        <v>1057</v>
      </c>
      <c r="C1370" s="793">
        <v>5130211110</v>
      </c>
      <c r="D1370" s="77" t="s">
        <v>1059</v>
      </c>
      <c r="E1370" s="794" t="s">
        <v>634</v>
      </c>
      <c r="F1370" s="794" t="str">
        <f t="shared" si="125"/>
        <v>I</v>
      </c>
      <c r="G1370" s="1191">
        <f>+IF(F1370="i",IFERROR(VLOOKUP(C1370,'BG 12.2024'!$B:$E,3,FALSE),0),0)</f>
        <v>0</v>
      </c>
      <c r="H1370" s="21">
        <f>+IF(F1370="i",IFERROR(VLOOKUP(C1370,'BG 12.2024'!$B:$E,4,FALSE),0),0)</f>
        <v>0</v>
      </c>
      <c r="I1370" s="616"/>
      <c r="J1370" s="28">
        <f>IF(F1370="I",IFERROR(VLOOKUP(C1370,'BG 12.2023'!$B$6:$E$819,3,FALSE),0),0)</f>
        <v>0</v>
      </c>
      <c r="K1370" s="28">
        <f>IF(F1370="I",IFERROR(VLOOKUP(C1370,'BG 12.2023'!$B$6:$E$819,4,FALSE),0),0)</f>
        <v>0</v>
      </c>
      <c r="L1370" s="87">
        <f>+SUMIF('CA FE'!$A$1214:$A$1508,Composición!C1370,'CA FE'!$C$1214:$C$1508)</f>
        <v>0</v>
      </c>
      <c r="M1370" s="15" t="e">
        <f>+VLOOKUP(C1370,'BG 2023'!$B:$E,1,0)</f>
        <v>#N/A</v>
      </c>
      <c r="N1370" s="819" t="e">
        <f>+VLOOKUP(C1370,'BG 12.2024'!$B:$E,3,0)</f>
        <v>#N/A</v>
      </c>
      <c r="O1370" s="807" t="e">
        <f t="shared" si="124"/>
        <v>#N/A</v>
      </c>
      <c r="P1370" s="807"/>
      <c r="R1370" s="807">
        <f>+IFERROR(VLOOKUP(C1370,'CA FE'!$A:$C,3,0),0)-G1370</f>
        <v>0</v>
      </c>
      <c r="S1370" s="87" t="s">
        <v>1060</v>
      </c>
    </row>
    <row r="1371" spans="1:19" s="87" customFormat="1">
      <c r="A1371" s="77" t="s">
        <v>395</v>
      </c>
      <c r="B1371" s="77" t="s">
        <v>1057</v>
      </c>
      <c r="C1371" s="793">
        <v>5130211111</v>
      </c>
      <c r="D1371" s="77" t="s">
        <v>448</v>
      </c>
      <c r="E1371" s="794" t="s">
        <v>634</v>
      </c>
      <c r="F1371" s="794" t="str">
        <f t="shared" si="125"/>
        <v>I</v>
      </c>
      <c r="G1371" s="28">
        <f>+IF(F1371="i",IFERROR(VLOOKUP(C1371,'BG 12.2024'!$B:$E,3,FALSE),0),0)-G1372</f>
        <v>11900000</v>
      </c>
      <c r="H1371" s="21">
        <f>+IF(F1371="i",IFERROR(VLOOKUP(C1371,'BG 12.2024'!$B:$E,4,FALSE),0),0)</f>
        <v>2945.38</v>
      </c>
      <c r="I1371" s="616"/>
      <c r="J1371" s="28">
        <f>IF(F1371="I",IFERROR(VLOOKUP(C1371,'BG 12.2023'!$B$6:$E$819,3,FALSE),0),0)</f>
        <v>9350000</v>
      </c>
      <c r="K1371" s="28">
        <f>IF(F1371="I",IFERROR(VLOOKUP(C1371,'BG 12.2023'!$B$6:$E$819,4,FALSE),0),0)</f>
        <v>1268.78</v>
      </c>
      <c r="L1371" s="87">
        <f>+SUMIF('CA FE'!$A$1214:$A$1508,Composición!C1371,'CA FE'!$C$1214:$C$1508)</f>
        <v>22100000</v>
      </c>
      <c r="M1371" s="15">
        <f>+VLOOKUP(C1371,'BG 2023'!$B:$E,1,0)</f>
        <v>5130211111</v>
      </c>
      <c r="N1371" s="819">
        <f>+VLOOKUP(C1371,'BG 12.2024'!$B:$E,3,0)</f>
        <v>22100000</v>
      </c>
      <c r="O1371" s="807">
        <f t="shared" si="124"/>
        <v>12750000</v>
      </c>
      <c r="P1371" s="807"/>
      <c r="R1371" s="807">
        <f>+IFERROR(VLOOKUP(C1371,'CA FE'!$A:$C,3,0),0)-G1371</f>
        <v>0</v>
      </c>
    </row>
    <row r="1372" spans="1:19" s="87" customFormat="1">
      <c r="A1372" s="77" t="s">
        <v>395</v>
      </c>
      <c r="B1372" s="77" t="s">
        <v>1057</v>
      </c>
      <c r="C1372" s="793"/>
      <c r="D1372" s="77" t="s">
        <v>1061</v>
      </c>
      <c r="E1372" s="794" t="s">
        <v>634</v>
      </c>
      <c r="F1372" s="794" t="s">
        <v>550</v>
      </c>
      <c r="G1372" s="1362">
        <v>10200000</v>
      </c>
      <c r="H1372" s="21"/>
      <c r="I1372" s="616"/>
      <c r="J1372" s="28">
        <f>IF(F1372="I",IFERROR(VLOOKUP(C1372,'BG 12.2023'!$B$6:$E$819,3,FALSE),0),0)</f>
        <v>0</v>
      </c>
      <c r="K1372" s="28">
        <f>IF(F1372="I",IFERROR(VLOOKUP(C1372,'BG 12.2023'!$B$6:$E$819,4,FALSE),0),0)</f>
        <v>0</v>
      </c>
      <c r="M1372" s="15"/>
      <c r="N1372" s="819"/>
      <c r="O1372" s="807"/>
      <c r="P1372" s="807"/>
      <c r="R1372" s="807">
        <f>+IFERROR(VLOOKUP(C1372,'CA FE'!$A:$C,3,0),0)-G1372</f>
        <v>-10200000</v>
      </c>
    </row>
    <row r="1373" spans="1:19" s="87" customFormat="1">
      <c r="A1373" s="77" t="s">
        <v>395</v>
      </c>
      <c r="B1373" s="77"/>
      <c r="C1373" s="793">
        <v>51303</v>
      </c>
      <c r="D1373" s="77" t="s">
        <v>438</v>
      </c>
      <c r="E1373" s="794" t="s">
        <v>634</v>
      </c>
      <c r="F1373" s="794" t="str">
        <f t="shared" si="125"/>
        <v>NI</v>
      </c>
      <c r="G1373" s="28">
        <f>+IF(F1373="i",IFERROR(VLOOKUP(C1373,'BG 12.2024'!$B:$E,3,FALSE),0),0)</f>
        <v>0</v>
      </c>
      <c r="H1373" s="21">
        <f>+IF(F1373="i",IFERROR(VLOOKUP(C1373,'BG 12.2024'!$B:$E,4,FALSE),0),0)</f>
        <v>0</v>
      </c>
      <c r="I1373" s="616"/>
      <c r="J1373" s="28">
        <f>IF(F1373="I",IFERROR(VLOOKUP(C1373,'BG 12.2023'!$B$6:$E$819,3,FALSE),0),0)</f>
        <v>0</v>
      </c>
      <c r="K1373" s="28">
        <f>IF(F1373="I",IFERROR(VLOOKUP(C1373,'BG 12.2023'!$B$6:$E$819,4,FALSE),0),0)</f>
        <v>0</v>
      </c>
      <c r="L1373" s="87">
        <f>+SUMIF('CA FE'!$A$1214:$A$1508,Composición!C1373,'CA FE'!$C$1214:$C$1508)</f>
        <v>0</v>
      </c>
      <c r="M1373" s="15">
        <f>+VLOOKUP(C1373,'BG 2023'!$B:$E,1,0)</f>
        <v>51303</v>
      </c>
      <c r="N1373" s="806">
        <f>+VLOOKUP(C1373,'BG 2023'!$B:$E,3,0)-J1373</f>
        <v>1749740001</v>
      </c>
      <c r="O1373" s="807">
        <f t="shared" si="123"/>
        <v>1749740001</v>
      </c>
      <c r="P1373" s="807"/>
      <c r="R1373" s="807">
        <f>+IFERROR(VLOOKUP(C1373,'CA FE'!$A:$C,3,0),0)-G1373</f>
        <v>0</v>
      </c>
    </row>
    <row r="1374" spans="1:19" s="87" customFormat="1">
      <c r="A1374" s="77" t="s">
        <v>395</v>
      </c>
      <c r="B1374" s="77"/>
      <c r="C1374" s="793">
        <v>513031</v>
      </c>
      <c r="D1374" s="77" t="s">
        <v>438</v>
      </c>
      <c r="E1374" s="794" t="s">
        <v>634</v>
      </c>
      <c r="F1374" s="794" t="str">
        <f t="shared" si="125"/>
        <v>NI</v>
      </c>
      <c r="G1374" s="28">
        <f>+IF(F1374="i",IFERROR(VLOOKUP(C1374,'BG 12.2024'!$B:$E,3,FALSE),0),0)</f>
        <v>0</v>
      </c>
      <c r="H1374" s="21">
        <f>+IF(F1374="i",IFERROR(VLOOKUP(C1374,'BG 12.2024'!$B:$E,4,FALSE),0),0)</f>
        <v>0</v>
      </c>
      <c r="I1374" s="616"/>
      <c r="J1374" s="28">
        <f>IF(F1374="I",IFERROR(VLOOKUP(C1374,'BG 12.2023'!$B$6:$E$819,3,FALSE),0),0)</f>
        <v>0</v>
      </c>
      <c r="K1374" s="28">
        <f>IF(F1374="I",IFERROR(VLOOKUP(C1374,'BG 12.2023'!$B$6:$E$819,4,FALSE),0),0)</f>
        <v>0</v>
      </c>
      <c r="L1374" s="87">
        <f>+SUMIF('CA FE'!$A$1214:$A$1508,Composición!C1374,'CA FE'!$C$1214:$C$1508)</f>
        <v>0</v>
      </c>
      <c r="M1374" s="15">
        <f>+VLOOKUP(C1374,'BG 2023'!$B:$E,1,0)</f>
        <v>513031</v>
      </c>
      <c r="N1374" s="806">
        <f>+VLOOKUP(C1374,'BG 2023'!$B:$E,3,0)-J1374</f>
        <v>1749740001</v>
      </c>
      <c r="O1374" s="807">
        <f t="shared" si="123"/>
        <v>1749740001</v>
      </c>
      <c r="P1374" s="807"/>
      <c r="R1374" s="807">
        <f>+IFERROR(VLOOKUP(C1374,'CA FE'!$A:$C,3,0),0)-G1374</f>
        <v>0</v>
      </c>
    </row>
    <row r="1375" spans="1:19" s="87" customFormat="1">
      <c r="A1375" s="77" t="s">
        <v>395</v>
      </c>
      <c r="B1375" s="77"/>
      <c r="C1375" s="793">
        <v>5130311</v>
      </c>
      <c r="D1375" s="77" t="s">
        <v>438</v>
      </c>
      <c r="E1375" s="794" t="s">
        <v>634</v>
      </c>
      <c r="F1375" s="794" t="str">
        <f t="shared" si="125"/>
        <v>NI</v>
      </c>
      <c r="G1375" s="28">
        <f>+IF(F1375="i",IFERROR(VLOOKUP(C1375,'BG 12.2024'!$B:$E,3,FALSE),0),0)</f>
        <v>0</v>
      </c>
      <c r="H1375" s="21">
        <f>+IF(F1375="i",IFERROR(VLOOKUP(C1375,'BG 12.2024'!$B:$E,4,FALSE),0),0)</f>
        <v>0</v>
      </c>
      <c r="I1375" s="616"/>
      <c r="J1375" s="28">
        <f>IF(F1375="I",IFERROR(VLOOKUP(C1375,'BG 12.2023'!$B$6:$E$819,3,FALSE),0),0)</f>
        <v>0</v>
      </c>
      <c r="K1375" s="28">
        <f>IF(F1375="I",IFERROR(VLOOKUP(C1375,'BG 12.2023'!$B$6:$E$819,4,FALSE),0),0)</f>
        <v>0</v>
      </c>
      <c r="L1375" s="87">
        <f>+SUMIF('CA FE'!$A$1214:$A$1508,Composición!C1375,'CA FE'!$C$1214:$C$1508)</f>
        <v>0</v>
      </c>
      <c r="M1375" s="15">
        <f>+VLOOKUP(C1375,'BG 2023'!$B:$E,1,0)</f>
        <v>5130311</v>
      </c>
      <c r="N1375" s="806">
        <f>+VLOOKUP(C1375,'BG 2023'!$B:$E,3,0)-J1375</f>
        <v>1749740001</v>
      </c>
      <c r="O1375" s="807">
        <f t="shared" si="123"/>
        <v>1749740001</v>
      </c>
      <c r="P1375" s="807"/>
      <c r="R1375" s="807">
        <f>+IFERROR(VLOOKUP(C1375,'CA FE'!$A:$C,3,0),0)-G1375</f>
        <v>0</v>
      </c>
    </row>
    <row r="1376" spans="1:19" s="87" customFormat="1">
      <c r="A1376" s="77" t="s">
        <v>395</v>
      </c>
      <c r="B1376" s="77"/>
      <c r="C1376" s="793">
        <v>51303111</v>
      </c>
      <c r="D1376" s="77" t="s">
        <v>438</v>
      </c>
      <c r="E1376" s="794" t="s">
        <v>634</v>
      </c>
      <c r="F1376" s="794" t="str">
        <f t="shared" si="125"/>
        <v>NI</v>
      </c>
      <c r="G1376" s="28">
        <f>+IF(F1376="i",IFERROR(VLOOKUP(C1376,'BG 12.2024'!$B:$E,3,FALSE),0),0)</f>
        <v>0</v>
      </c>
      <c r="H1376" s="21">
        <f>+IF(F1376="i",IFERROR(VLOOKUP(C1376,'BG 12.2024'!$B:$E,4,FALSE),0),0)</f>
        <v>0</v>
      </c>
      <c r="I1376" s="616"/>
      <c r="J1376" s="28">
        <f>IF(F1376="I",IFERROR(VLOOKUP(C1376,'BG 12.2023'!$B$6:$E$819,3,FALSE),0),0)</f>
        <v>0</v>
      </c>
      <c r="K1376" s="28">
        <f>IF(F1376="I",IFERROR(VLOOKUP(C1376,'BG 12.2023'!$B$6:$E$819,4,FALSE),0),0)</f>
        <v>0</v>
      </c>
      <c r="L1376" s="87">
        <f>+SUMIF('CA FE'!$A$1214:$A$1508,Composición!C1376,'CA FE'!$C$1214:$C$1508)</f>
        <v>0</v>
      </c>
      <c r="M1376" s="15">
        <f>+VLOOKUP(C1376,'BG 2023'!$B:$E,1,0)</f>
        <v>51303111</v>
      </c>
      <c r="N1376" s="806">
        <f>+VLOOKUP(C1376,'BG 2023'!$B:$E,3,0)-J1376</f>
        <v>1749740001</v>
      </c>
      <c r="O1376" s="807">
        <f t="shared" si="123"/>
        <v>1749740001</v>
      </c>
      <c r="P1376" s="807"/>
      <c r="R1376" s="807">
        <f>+IFERROR(VLOOKUP(C1376,'CA FE'!$A:$C,3,0),0)-G1376</f>
        <v>0</v>
      </c>
    </row>
    <row r="1377" spans="1:19" s="87" customFormat="1">
      <c r="A1377" s="77" t="s">
        <v>395</v>
      </c>
      <c r="B1377" s="77"/>
      <c r="C1377" s="793">
        <v>5130311101</v>
      </c>
      <c r="D1377" s="77" t="s">
        <v>1062</v>
      </c>
      <c r="E1377" s="794" t="s">
        <v>634</v>
      </c>
      <c r="F1377" s="794" t="str">
        <f t="shared" si="125"/>
        <v>I</v>
      </c>
      <c r="G1377" s="28">
        <f>+IF(F1377="i",IFERROR(VLOOKUP(C1377,'BG 12.2024'!$B:$E,3,FALSE),0),0)</f>
        <v>0</v>
      </c>
      <c r="H1377" s="21">
        <f>+IF(F1377="i",IFERROR(VLOOKUP(C1377,'BG 12.2024'!$B:$E,4,FALSE),0),0)</f>
        <v>0</v>
      </c>
      <c r="I1377" s="616"/>
      <c r="J1377" s="28">
        <f>IF(F1377="I",IFERROR(VLOOKUP(C1377,'BG 12.2023'!$B$6:$E$819,3,FALSE),0),0)</f>
        <v>0</v>
      </c>
      <c r="K1377" s="28">
        <f>IF(F1377="I",IFERROR(VLOOKUP(C1377,'BG 12.2023'!$B$6:$E$819,4,FALSE),0),0)</f>
        <v>0</v>
      </c>
      <c r="L1377" s="87">
        <f>+SUMIF('CA FE'!$A$1214:$A$1508,Composición!C1377,'CA FE'!$C$1214:$C$1508)</f>
        <v>0</v>
      </c>
      <c r="M1377" s="15" t="e">
        <f>+VLOOKUP(C1377,'BG 2023'!$B:$E,1,0)</f>
        <v>#N/A</v>
      </c>
      <c r="N1377" s="819" t="e">
        <f>+VLOOKUP(C1377,'BG 12.2024'!$B:$E,3,0)</f>
        <v>#N/A</v>
      </c>
      <c r="O1377" s="807" t="e">
        <f t="shared" ref="O1377:O1380" si="127">+N1377-J1377</f>
        <v>#N/A</v>
      </c>
      <c r="P1377" s="807"/>
      <c r="R1377" s="807">
        <f>+IFERROR(VLOOKUP(C1377,'CA FE'!$A:$C,3,0),0)-G1377</f>
        <v>0</v>
      </c>
    </row>
    <row r="1378" spans="1:19" s="87" customFormat="1">
      <c r="A1378" s="77" t="s">
        <v>395</v>
      </c>
      <c r="B1378" s="77" t="s">
        <v>1049</v>
      </c>
      <c r="C1378" s="793">
        <v>5130311102</v>
      </c>
      <c r="D1378" s="77" t="s">
        <v>449</v>
      </c>
      <c r="E1378" s="794" t="s">
        <v>634</v>
      </c>
      <c r="F1378" s="794" t="str">
        <f t="shared" si="125"/>
        <v>I</v>
      </c>
      <c r="G1378" s="28">
        <f>+IF(F1378="i",IFERROR(VLOOKUP(C1378,'BG 12.2024'!$B:$E,3,FALSE),0),0)</f>
        <v>665464000</v>
      </c>
      <c r="H1378" s="21">
        <f>+IF(F1378="i",IFERROR(VLOOKUP(C1378,'BG 12.2024'!$B:$E,4,FALSE),0),0)</f>
        <v>88224.639999999999</v>
      </c>
      <c r="I1378" s="616"/>
      <c r="J1378" s="28">
        <f>IF(F1378="I",IFERROR(VLOOKUP(C1378,'BG 12.2023'!$B$6:$E$819,3,FALSE),0),0)</f>
        <v>720000000</v>
      </c>
      <c r="K1378" s="28">
        <f>IF(F1378="I",IFERROR(VLOOKUP(C1378,'BG 12.2023'!$B$6:$E$819,4,FALSE),0),0)</f>
        <v>98705.79</v>
      </c>
      <c r="L1378" s="87">
        <f>+SUMIF('CA FE'!$A$1214:$A$1508,Composición!C1378,'CA FE'!$C$1214:$C$1508)</f>
        <v>665464000</v>
      </c>
      <c r="M1378" s="15">
        <f>+VLOOKUP(C1378,'BG 2023'!$B:$E,1,0)</f>
        <v>5130311102</v>
      </c>
      <c r="N1378" s="806">
        <f>+VLOOKUP(C1378,'BG 12.2024'!$B:$E,3,0)</f>
        <v>665464000</v>
      </c>
      <c r="O1378" s="807">
        <f t="shared" si="127"/>
        <v>-54536000</v>
      </c>
      <c r="P1378" s="807"/>
      <c r="R1378" s="807">
        <f>+IFERROR(VLOOKUP(C1378,'CA FE'!$A:$C,3,0),0)-G1378</f>
        <v>0</v>
      </c>
      <c r="S1378" s="87" t="s">
        <v>1051</v>
      </c>
    </row>
    <row r="1379" spans="1:19" s="87" customFormat="1">
      <c r="A1379" s="77" t="s">
        <v>395</v>
      </c>
      <c r="B1379" s="77" t="s">
        <v>1049</v>
      </c>
      <c r="C1379" s="793">
        <v>5130311103</v>
      </c>
      <c r="D1379" s="77" t="s">
        <v>450</v>
      </c>
      <c r="E1379" s="794" t="s">
        <v>634</v>
      </c>
      <c r="F1379" s="794" t="str">
        <f t="shared" si="125"/>
        <v>I</v>
      </c>
      <c r="G1379" s="1097">
        <f>+IF(F1379="i",IFERROR(VLOOKUP(C1379,'BG 12.2024'!$B:$E,3,FALSE),0),0)</f>
        <v>60000000</v>
      </c>
      <c r="H1379" s="21">
        <f>+IF(F1379="i",IFERROR(VLOOKUP(C1379,'BG 12.2024'!$B:$E,4,FALSE),0),0)</f>
        <v>7956.08</v>
      </c>
      <c r="I1379" s="616"/>
      <c r="J1379" s="28">
        <f>IF(F1379="I",IFERROR(VLOOKUP(C1379,'BG 12.2023'!$B$6:$E$819,3,FALSE),0),0)</f>
        <v>60000000</v>
      </c>
      <c r="K1379" s="28">
        <f>IF(F1379="I",IFERROR(VLOOKUP(C1379,'BG 12.2023'!$B$6:$E$819,4,FALSE),0),0)</f>
        <v>8244.94</v>
      </c>
      <c r="L1379" s="87">
        <f>+SUMIF('CA FE'!$A$1214:$A$1508,Composición!C1379,'CA FE'!$C$1214:$C$1508)</f>
        <v>60000000</v>
      </c>
      <c r="M1379" s="15">
        <f>+VLOOKUP(C1379,'BG 2023'!$B:$E,1,0)</f>
        <v>5130311103</v>
      </c>
      <c r="N1379" s="806">
        <f>+VLOOKUP(C1379,'BG 12.2024'!$B:$E,3,0)</f>
        <v>60000000</v>
      </c>
      <c r="O1379" s="807">
        <f t="shared" si="127"/>
        <v>0</v>
      </c>
      <c r="P1379" s="807"/>
      <c r="R1379" s="807">
        <f>+IFERROR(VLOOKUP(C1379,'CA FE'!$A:$C,3,0),0)-G1379</f>
        <v>0</v>
      </c>
      <c r="S1379" s="87" t="s">
        <v>1063</v>
      </c>
    </row>
    <row r="1380" spans="1:19" s="87" customFormat="1">
      <c r="A1380" s="77" t="s">
        <v>395</v>
      </c>
      <c r="B1380" s="77" t="s">
        <v>1049</v>
      </c>
      <c r="C1380" s="793">
        <v>5130311104</v>
      </c>
      <c r="D1380" s="77" t="s">
        <v>451</v>
      </c>
      <c r="E1380" s="794" t="s">
        <v>634</v>
      </c>
      <c r="F1380" s="794" t="str">
        <f t="shared" si="125"/>
        <v>I</v>
      </c>
      <c r="G1380" s="28">
        <f>+IF(F1380="i",IFERROR(VLOOKUP(C1380,'BG 12.2024'!$B:$E,3,FALSE),0),0)</f>
        <v>1319754167</v>
      </c>
      <c r="H1380" s="21">
        <f>+IF(F1380="i",IFERROR(VLOOKUP(C1380,'BG 12.2024'!$B:$E,4,FALSE),0),0)</f>
        <v>173637.02000000002</v>
      </c>
      <c r="I1380" s="616"/>
      <c r="J1380" s="28">
        <f>IF(F1380="I",IFERROR(VLOOKUP(C1380,'BG 12.2023'!$B$6:$E$819,3,FALSE),0),0)</f>
        <v>969740001</v>
      </c>
      <c r="K1380" s="28">
        <f>IF(F1380="I",IFERROR(VLOOKUP(C1380,'BG 12.2023'!$B$6:$E$819,4,FALSE),0),0)</f>
        <v>132718.85999999999</v>
      </c>
      <c r="L1380" s="87">
        <f>+SUMIF('CA FE'!$A$1214:$A$1508,Composición!C1380,'CA FE'!$C$1214:$C$1508)</f>
        <v>1319754167</v>
      </c>
      <c r="M1380" s="15">
        <f>+VLOOKUP(C1380,'BG 2023'!$B:$E,1,0)</f>
        <v>5130311104</v>
      </c>
      <c r="N1380" s="806">
        <f>+VLOOKUP(C1380,'BG 12.2024'!$B:$E,3,0)</f>
        <v>1319754167</v>
      </c>
      <c r="O1380" s="807">
        <f t="shared" si="127"/>
        <v>350014166</v>
      </c>
      <c r="P1380" s="807"/>
      <c r="R1380" s="807">
        <f>+IFERROR(VLOOKUP(C1380,'CA FE'!$A:$C,3,0),0)-G1380</f>
        <v>0</v>
      </c>
    </row>
    <row r="1381" spans="1:19" s="87" customFormat="1">
      <c r="A1381" s="77" t="s">
        <v>395</v>
      </c>
      <c r="B1381" s="77" t="s">
        <v>1049</v>
      </c>
      <c r="C1381" s="793">
        <v>5130311105</v>
      </c>
      <c r="D1381" s="77" t="s">
        <v>610</v>
      </c>
      <c r="E1381" s="794" t="s">
        <v>634</v>
      </c>
      <c r="F1381" s="794" t="str">
        <f>+IF(LEN(C1381)&gt;8,"I","NI")</f>
        <v>I</v>
      </c>
      <c r="G1381" s="28">
        <f>+IF(F1381="i",IFERROR(VLOOKUP(C1381,'BG 12.2024'!$B:$E,3,FALSE),0),0)</f>
        <v>95891927</v>
      </c>
      <c r="H1381" s="21">
        <f>+IF(F1381="i",IFERROR(VLOOKUP(C1381,'BG 12.2024'!$B:$E,4,FALSE),0),0)</f>
        <v>12500</v>
      </c>
      <c r="I1381" s="616"/>
      <c r="J1381" s="28">
        <f>IF(F1381="I",IFERROR(VLOOKUP(C1381,'BG 12.2023'!$B$6:$E$819,3,FALSE),0),0)</f>
        <v>0</v>
      </c>
      <c r="K1381" s="28">
        <f>IF(F1381="I",IFERROR(VLOOKUP(C1381,'BG 12.2023'!$B$6:$E$819,4,FALSE),0),0)</f>
        <v>0</v>
      </c>
      <c r="M1381" s="15"/>
      <c r="N1381" s="806"/>
      <c r="O1381" s="807"/>
      <c r="P1381" s="807"/>
      <c r="R1381" s="807">
        <f>+IFERROR(VLOOKUP(C1381,'CA FE'!$A:$C,3,0),0)-G1381</f>
        <v>0</v>
      </c>
    </row>
    <row r="1382" spans="1:19" s="87" customFormat="1">
      <c r="A1382" s="77" t="s">
        <v>395</v>
      </c>
      <c r="B1382" s="77"/>
      <c r="C1382" s="793">
        <v>51304</v>
      </c>
      <c r="D1382" s="77" t="s">
        <v>452</v>
      </c>
      <c r="E1382" s="794" t="s">
        <v>634</v>
      </c>
      <c r="F1382" s="794" t="str">
        <f t="shared" si="125"/>
        <v>NI</v>
      </c>
      <c r="G1382" s="28">
        <f>+IF(F1382="i",IFERROR(VLOOKUP(C1382,'BG 12.2024'!$B:$E,3,FALSE),0),0)</f>
        <v>0</v>
      </c>
      <c r="H1382" s="21">
        <f>+IF(F1382="i",IFERROR(VLOOKUP(C1382,'BG 12.2024'!$B:$E,4,FALSE),0),0)</f>
        <v>0</v>
      </c>
      <c r="I1382" s="616"/>
      <c r="J1382" s="28">
        <f>IF(F1382="I",IFERROR(VLOOKUP(C1382,'BG 12.2023'!$B$6:$E$819,3,FALSE),0),0)</f>
        <v>0</v>
      </c>
      <c r="K1382" s="28">
        <f>IF(F1382="I",IFERROR(VLOOKUP(C1382,'BG 12.2023'!$B$6:$E$819,4,FALSE),0),0)</f>
        <v>0</v>
      </c>
      <c r="L1382" s="87">
        <f>+SUMIF('CA FE'!$A$1214:$A$1508,Composición!C1382,'CA FE'!$C$1214:$C$1508)</f>
        <v>0</v>
      </c>
      <c r="M1382" s="15">
        <f>+VLOOKUP(C1382,'BG 2023'!$B:$E,1,0)</f>
        <v>51304</v>
      </c>
      <c r="N1382" s="806">
        <f>+VLOOKUP(C1382,'BG 2023'!$B:$E,3,0)-J1382</f>
        <v>1768541677</v>
      </c>
      <c r="O1382" s="807">
        <f t="shared" si="123"/>
        <v>1768541677</v>
      </c>
      <c r="P1382" s="807"/>
      <c r="R1382" s="807">
        <f>+IFERROR(VLOOKUP(C1382,'CA FE'!$A:$C,3,0),0)-G1382</f>
        <v>0</v>
      </c>
    </row>
    <row r="1383" spans="1:19" s="87" customFormat="1">
      <c r="A1383" s="77" t="s">
        <v>395</v>
      </c>
      <c r="B1383" s="77"/>
      <c r="C1383" s="793">
        <v>513041</v>
      </c>
      <c r="D1383" s="77" t="s">
        <v>452</v>
      </c>
      <c r="E1383" s="794" t="s">
        <v>634</v>
      </c>
      <c r="F1383" s="794" t="str">
        <f t="shared" si="125"/>
        <v>NI</v>
      </c>
      <c r="G1383" s="28">
        <f>+IF(F1383="i",IFERROR(VLOOKUP(C1383,'BG 12.2024'!$B:$E,3,FALSE),0),0)</f>
        <v>0</v>
      </c>
      <c r="H1383" s="21">
        <f>+IF(F1383="i",IFERROR(VLOOKUP(C1383,'BG 12.2024'!$B:$E,4,FALSE),0),0)</f>
        <v>0</v>
      </c>
      <c r="I1383" s="616"/>
      <c r="J1383" s="28">
        <f>IF(F1383="I",IFERROR(VLOOKUP(C1383,'BG 12.2023'!$B$6:$E$819,3,FALSE),0),0)</f>
        <v>0</v>
      </c>
      <c r="K1383" s="28">
        <f>IF(F1383="I",IFERROR(VLOOKUP(C1383,'BG 12.2023'!$B$6:$E$819,4,FALSE),0),0)</f>
        <v>0</v>
      </c>
      <c r="L1383" s="87">
        <f>+SUMIF('CA FE'!$A$1214:$A$1508,Composición!C1383,'CA FE'!$C$1214:$C$1508)</f>
        <v>0</v>
      </c>
      <c r="M1383" s="15">
        <f>+VLOOKUP(C1383,'BG 2023'!$B:$E,1,0)</f>
        <v>513041</v>
      </c>
      <c r="N1383" s="806">
        <f>+VLOOKUP(C1383,'BG 2023'!$B:$E,3,0)-J1383</f>
        <v>1768541677</v>
      </c>
      <c r="O1383" s="807">
        <f t="shared" si="123"/>
        <v>1768541677</v>
      </c>
      <c r="P1383" s="807"/>
      <c r="R1383" s="807">
        <f>+IFERROR(VLOOKUP(C1383,'CA FE'!$A:$C,3,0),0)-G1383</f>
        <v>0</v>
      </c>
    </row>
    <row r="1384" spans="1:19" s="87" customFormat="1">
      <c r="A1384" s="77" t="s">
        <v>395</v>
      </c>
      <c r="B1384" s="77"/>
      <c r="C1384" s="793">
        <v>5130411</v>
      </c>
      <c r="D1384" s="77" t="s">
        <v>452</v>
      </c>
      <c r="E1384" s="794" t="s">
        <v>634</v>
      </c>
      <c r="F1384" s="794" t="str">
        <f t="shared" si="125"/>
        <v>NI</v>
      </c>
      <c r="G1384" s="28">
        <f>+IF(F1384="i",IFERROR(VLOOKUP(C1384,'BG 12.2024'!$B:$E,3,FALSE),0),0)</f>
        <v>0</v>
      </c>
      <c r="H1384" s="21">
        <f>+IF(F1384="i",IFERROR(VLOOKUP(C1384,'BG 12.2024'!$B:$E,4,FALSE),0),0)</f>
        <v>0</v>
      </c>
      <c r="I1384" s="616"/>
      <c r="J1384" s="28">
        <f>IF(F1384="I",IFERROR(VLOOKUP(C1384,'BG 12.2023'!$B$6:$E$819,3,FALSE),0),0)</f>
        <v>0</v>
      </c>
      <c r="K1384" s="28">
        <f>IF(F1384="I",IFERROR(VLOOKUP(C1384,'BG 12.2023'!$B$6:$E$819,4,FALSE),0),0)</f>
        <v>0</v>
      </c>
      <c r="L1384" s="87">
        <f>+SUMIF('CA FE'!$A$1214:$A$1508,Composición!C1384,'CA FE'!$C$1214:$C$1508)</f>
        <v>0</v>
      </c>
      <c r="M1384" s="15">
        <f>+VLOOKUP(C1384,'BG 2023'!$B:$E,1,0)</f>
        <v>5130411</v>
      </c>
      <c r="N1384" s="806">
        <f>+VLOOKUP(C1384,'BG 2023'!$B:$E,3,0)-J1384</f>
        <v>1768541677</v>
      </c>
      <c r="O1384" s="807">
        <f t="shared" si="123"/>
        <v>1768541677</v>
      </c>
      <c r="P1384" s="807"/>
      <c r="R1384" s="807">
        <f>+IFERROR(VLOOKUP(C1384,'CA FE'!$A:$C,3,0),0)-G1384</f>
        <v>0</v>
      </c>
    </row>
    <row r="1385" spans="1:19" s="87" customFormat="1">
      <c r="A1385" s="77" t="s">
        <v>395</v>
      </c>
      <c r="B1385" s="77"/>
      <c r="C1385" s="793">
        <v>51304111</v>
      </c>
      <c r="D1385" s="77" t="s">
        <v>452</v>
      </c>
      <c r="E1385" s="794" t="s">
        <v>634</v>
      </c>
      <c r="F1385" s="794" t="str">
        <f t="shared" si="125"/>
        <v>NI</v>
      </c>
      <c r="G1385" s="28">
        <f>+IF(F1385="i",IFERROR(VLOOKUP(C1385,'BG 12.2024'!$B:$E,3,FALSE),0),0)</f>
        <v>0</v>
      </c>
      <c r="H1385" s="21">
        <f>+IF(F1385="i",IFERROR(VLOOKUP(C1385,'BG 12.2024'!$B:$E,4,FALSE),0),0)</f>
        <v>0</v>
      </c>
      <c r="I1385" s="616"/>
      <c r="J1385" s="28">
        <f>IF(F1385="I",IFERROR(VLOOKUP(C1385,'BG 12.2023'!$B$6:$E$819,3,FALSE),0),0)</f>
        <v>0</v>
      </c>
      <c r="K1385" s="28">
        <f>IF(F1385="I",IFERROR(VLOOKUP(C1385,'BG 12.2023'!$B$6:$E$819,4,FALSE),0),0)</f>
        <v>0</v>
      </c>
      <c r="L1385" s="87">
        <f>+SUMIF('CA FE'!$A$1214:$A$1508,Composición!C1385,'CA FE'!$C$1214:$C$1508)</f>
        <v>0</v>
      </c>
      <c r="M1385" s="15">
        <f>+VLOOKUP(C1385,'BG 2023'!$B:$E,1,0)</f>
        <v>51304111</v>
      </c>
      <c r="N1385" s="806">
        <f>+VLOOKUP(C1385,'BG 2023'!$B:$E,3,0)-J1385</f>
        <v>1768541677</v>
      </c>
      <c r="O1385" s="807">
        <f t="shared" si="123"/>
        <v>1768541677</v>
      </c>
      <c r="P1385" s="807"/>
      <c r="R1385" s="807">
        <f>+IFERROR(VLOOKUP(C1385,'CA FE'!$A:$C,3,0),0)-G1385</f>
        <v>0</v>
      </c>
    </row>
    <row r="1386" spans="1:19" s="87" customFormat="1">
      <c r="A1386" s="77" t="s">
        <v>395</v>
      </c>
      <c r="B1386" s="77" t="s">
        <v>1057</v>
      </c>
      <c r="C1386" s="793">
        <v>5130411101</v>
      </c>
      <c r="D1386" s="77" t="s">
        <v>453</v>
      </c>
      <c r="E1386" s="794" t="s">
        <v>634</v>
      </c>
      <c r="F1386" s="794" t="str">
        <f t="shared" si="125"/>
        <v>I</v>
      </c>
      <c r="G1386" s="28">
        <f>+IF(F1386="i",IFERROR(VLOOKUP(C1386,'BG 12.2024'!$B:$E,3,FALSE),0),0)</f>
        <v>237432629</v>
      </c>
      <c r="H1386" s="21">
        <f>+IF(F1386="i",IFERROR(VLOOKUP(C1386,'BG 12.2024'!$B:$E,4,FALSE),0),0)</f>
        <v>30708.35</v>
      </c>
      <c r="I1386" s="616"/>
      <c r="J1386" s="28">
        <f>IF(F1386="I",IFERROR(VLOOKUP(C1386,'BG 12.2023'!$B$6:$E$819,3,FALSE),0),0)</f>
        <v>200415731</v>
      </c>
      <c r="K1386" s="28">
        <f>IF(F1386="I",IFERROR(VLOOKUP(C1386,'BG 12.2023'!$B$6:$E$819,4,FALSE),0),0)</f>
        <v>27499.999999999996</v>
      </c>
      <c r="L1386" s="87">
        <f>+SUMIF('CA FE'!$A$1214:$A$1508,Composición!C1386,'CA FE'!$C$1214:$C$1508)</f>
        <v>237432629</v>
      </c>
      <c r="M1386" s="15">
        <f>+VLOOKUP(C1386,'BG 2023'!$B:$E,1,0)</f>
        <v>5130411101</v>
      </c>
      <c r="N1386" s="806">
        <f>+VLOOKUP(C1386,'BG 12.2024'!$B:$E,3,0)</f>
        <v>237432629</v>
      </c>
      <c r="O1386" s="807">
        <f t="shared" ref="O1386:O1395" si="128">+N1386-J1386</f>
        <v>37016898</v>
      </c>
      <c r="P1386" s="807"/>
      <c r="R1386" s="807">
        <f>+IFERROR(VLOOKUP(C1386,'CA FE'!$A:$C,3,0),0)-G1386</f>
        <v>0</v>
      </c>
    </row>
    <row r="1387" spans="1:19" s="87" customFormat="1">
      <c r="A1387" s="77" t="s">
        <v>395</v>
      </c>
      <c r="B1387" s="77"/>
      <c r="C1387" s="793">
        <v>5130411102</v>
      </c>
      <c r="D1387" s="77" t="s">
        <v>909</v>
      </c>
      <c r="E1387" s="794" t="s">
        <v>634</v>
      </c>
      <c r="F1387" s="794" t="str">
        <f t="shared" si="125"/>
        <v>I</v>
      </c>
      <c r="G1387" s="28">
        <f>+IF(F1387="i",IFERROR(VLOOKUP(C1387,'BG 12.2024'!$B:$E,3,FALSE),0),0)</f>
        <v>0</v>
      </c>
      <c r="H1387" s="21">
        <f>+IF(F1387="i",IFERROR(VLOOKUP(C1387,'BG 12.2024'!$B:$E,4,FALSE),0),0)</f>
        <v>0</v>
      </c>
      <c r="I1387" s="616"/>
      <c r="J1387" s="28">
        <f>IF(F1387="I",IFERROR(VLOOKUP(C1387,'BG 12.2023'!$B$6:$E$819,3,FALSE),0),0)</f>
        <v>0</v>
      </c>
      <c r="K1387" s="28">
        <f>IF(F1387="I",IFERROR(VLOOKUP(C1387,'BG 12.2023'!$B$6:$E$819,4,FALSE),0),0)</f>
        <v>0</v>
      </c>
      <c r="L1387" s="87">
        <f>+SUMIF('CA FE'!$A$1214:$A$1508,Composición!C1387,'CA FE'!$C$1214:$C$1508)</f>
        <v>0</v>
      </c>
      <c r="M1387" s="15" t="e">
        <f>+VLOOKUP(C1387,'BG 2023'!$B:$E,1,0)</f>
        <v>#N/A</v>
      </c>
      <c r="N1387" s="819" t="e">
        <f>+VLOOKUP(C1387,'BG 12.2024'!$B:$E,3,0)</f>
        <v>#N/A</v>
      </c>
      <c r="O1387" s="807" t="e">
        <f t="shared" si="128"/>
        <v>#N/A</v>
      </c>
      <c r="P1387" s="807"/>
      <c r="R1387" s="807">
        <f>+IFERROR(VLOOKUP(C1387,'CA FE'!$A:$C,3,0),0)-G1387</f>
        <v>0</v>
      </c>
    </row>
    <row r="1388" spans="1:19" s="87" customFormat="1">
      <c r="A1388" s="77" t="s">
        <v>395</v>
      </c>
      <c r="B1388" s="77" t="s">
        <v>1057</v>
      </c>
      <c r="C1388" s="793">
        <v>5130411103</v>
      </c>
      <c r="D1388" s="77" t="s">
        <v>1064</v>
      </c>
      <c r="E1388" s="794" t="s">
        <v>634</v>
      </c>
      <c r="F1388" s="794" t="str">
        <f t="shared" si="125"/>
        <v>I</v>
      </c>
      <c r="G1388" s="28">
        <f>+IF(F1388="i",IFERROR(VLOOKUP(C1388,'BG 12.2024'!$B:$E,3,FALSE),0),0)</f>
        <v>35525284</v>
      </c>
      <c r="H1388" s="21">
        <f>+IF(F1388="i",IFERROR(VLOOKUP(C1388,'BG 12.2024'!$B:$E,4,FALSE),0),0)</f>
        <v>4825.2</v>
      </c>
      <c r="I1388" s="616"/>
      <c r="J1388" s="28">
        <f>IF(F1388="I",IFERROR(VLOOKUP(C1388,'BG 12.2023'!$B$6:$E$819,3,FALSE),0),0)</f>
        <v>36711026</v>
      </c>
      <c r="K1388" s="28">
        <f>IF(F1388="I",IFERROR(VLOOKUP(C1388,'BG 12.2023'!$B$6:$E$819,4,FALSE),0),0)</f>
        <v>5050.91</v>
      </c>
      <c r="L1388" s="87">
        <f>+SUMIF('CA FE'!$A$1214:$A$1508,Composición!C1388,'CA FE'!$C$1214:$C$1508)</f>
        <v>35525284</v>
      </c>
      <c r="M1388" s="15">
        <f>+VLOOKUP(C1388,'BG 2023'!$B:$E,1,0)</f>
        <v>5130411103</v>
      </c>
      <c r="N1388" s="806">
        <f>+VLOOKUP(C1388,'BG 12.2024'!$B:$E,3,0)</f>
        <v>35525284</v>
      </c>
      <c r="O1388" s="807">
        <f t="shared" si="128"/>
        <v>-1185742</v>
      </c>
      <c r="P1388" s="807"/>
      <c r="R1388" s="807">
        <f>+IFERROR(VLOOKUP(C1388,'CA FE'!$A:$C,3,0),0)-G1388</f>
        <v>0</v>
      </c>
    </row>
    <row r="1389" spans="1:19" s="87" customFormat="1">
      <c r="A1389" s="77" t="s">
        <v>395</v>
      </c>
      <c r="B1389" s="77" t="s">
        <v>1057</v>
      </c>
      <c r="C1389" s="793">
        <v>5130411104</v>
      </c>
      <c r="D1389" s="77" t="s">
        <v>455</v>
      </c>
      <c r="E1389" s="794" t="s">
        <v>634</v>
      </c>
      <c r="F1389" s="794" t="str">
        <f t="shared" si="125"/>
        <v>I</v>
      </c>
      <c r="G1389" s="28">
        <f>+IF(F1389="i",IFERROR(VLOOKUP(C1389,'BG 12.2024'!$B:$E,3,FALSE),0),0)</f>
        <v>9530953</v>
      </c>
      <c r="H1389" s="21">
        <f>+IF(F1389="i",IFERROR(VLOOKUP(C1389,'BG 12.2024'!$B:$E,4,FALSE),0),0)</f>
        <v>1231.8399999999999</v>
      </c>
      <c r="I1389" s="616"/>
      <c r="J1389" s="28">
        <f>IF(F1389="I",IFERROR(VLOOKUP(C1389,'BG 12.2023'!$B$6:$E$819,3,FALSE),0),0)</f>
        <v>19603456</v>
      </c>
      <c r="K1389" s="28">
        <f>IF(F1389="I",IFERROR(VLOOKUP(C1389,'BG 12.2023'!$B$6:$E$819,4,FALSE),0),0)</f>
        <v>2636.88</v>
      </c>
      <c r="L1389" s="87">
        <f>+SUMIF('CA FE'!$A$1214:$A$1508,Composición!C1389,'CA FE'!$C$1214:$C$1508)</f>
        <v>9530953</v>
      </c>
      <c r="M1389" s="15">
        <f>+VLOOKUP(C1389,'BG 2023'!$B:$E,1,0)</f>
        <v>5130411104</v>
      </c>
      <c r="N1389" s="806">
        <f>+VLOOKUP(C1389,'BG 12.2024'!$B:$E,3,0)</f>
        <v>9530953</v>
      </c>
      <c r="O1389" s="807">
        <f t="shared" si="128"/>
        <v>-10072503</v>
      </c>
      <c r="P1389" s="807"/>
      <c r="R1389" s="807">
        <f>+IFERROR(VLOOKUP(C1389,'CA FE'!$A:$C,3,0),0)-G1389</f>
        <v>0</v>
      </c>
    </row>
    <row r="1390" spans="1:19" s="87" customFormat="1">
      <c r="A1390" s="77" t="s">
        <v>395</v>
      </c>
      <c r="B1390" s="77" t="s">
        <v>1057</v>
      </c>
      <c r="C1390" s="793">
        <v>5130411105</v>
      </c>
      <c r="D1390" s="77" t="s">
        <v>456</v>
      </c>
      <c r="E1390" s="794" t="s">
        <v>634</v>
      </c>
      <c r="F1390" s="794" t="str">
        <f t="shared" si="125"/>
        <v>I</v>
      </c>
      <c r="G1390" s="28">
        <f>+IF(F1390="i",IFERROR(VLOOKUP(C1390,'BG 12.2024'!$B:$E,3,FALSE),0),0)</f>
        <v>294499271</v>
      </c>
      <c r="H1390" s="21">
        <f>+IF(F1390="i",IFERROR(VLOOKUP(C1390,'BG 12.2024'!$B:$E,4,FALSE),0),0)</f>
        <v>38818.17</v>
      </c>
      <c r="I1390" s="616"/>
      <c r="J1390" s="28">
        <f>IF(F1390="I",IFERROR(VLOOKUP(C1390,'BG 12.2023'!$B$6:$E$819,3,FALSE),0),0)</f>
        <v>186655252</v>
      </c>
      <c r="K1390" s="28">
        <f>IF(F1390="I",IFERROR(VLOOKUP(C1390,'BG 12.2023'!$B$6:$E$819,4,FALSE),0),0)</f>
        <v>25636.36</v>
      </c>
      <c r="L1390" s="87">
        <f>+SUMIF('CA FE'!$A$1214:$A$1508,Composición!C1390,'CA FE'!$C$1214:$C$1508)</f>
        <v>294499271</v>
      </c>
      <c r="M1390" s="15">
        <f>+VLOOKUP(C1390,'BG 2023'!$B:$E,1,0)</f>
        <v>5130411105</v>
      </c>
      <c r="N1390" s="806">
        <f>+VLOOKUP(C1390,'BG 12.2024'!$B:$E,3,0)</f>
        <v>294499271</v>
      </c>
      <c r="O1390" s="807">
        <f t="shared" si="128"/>
        <v>107844019</v>
      </c>
      <c r="P1390" s="807"/>
      <c r="R1390" s="807">
        <f>+IFERROR(VLOOKUP(C1390,'CA FE'!$A:$C,3,0),0)-G1390</f>
        <v>0</v>
      </c>
    </row>
    <row r="1391" spans="1:19" s="87" customFormat="1">
      <c r="A1391" s="77" t="s">
        <v>395</v>
      </c>
      <c r="B1391" s="77" t="s">
        <v>1057</v>
      </c>
      <c r="C1391" s="793">
        <v>5130411106</v>
      </c>
      <c r="D1391" s="77" t="s">
        <v>457</v>
      </c>
      <c r="E1391" s="794" t="s">
        <v>634</v>
      </c>
      <c r="F1391" s="794" t="str">
        <f t="shared" si="125"/>
        <v>I</v>
      </c>
      <c r="G1391" s="28">
        <f>+IF(F1391="i",IFERROR(VLOOKUP(C1391,'BG 12.2024'!$B:$E,3,FALSE),0),0)</f>
        <v>482961688</v>
      </c>
      <c r="H1391" s="21">
        <f>+IF(F1391="i",IFERROR(VLOOKUP(C1391,'BG 12.2024'!$B:$E,4,FALSE),0),0)</f>
        <v>62670.47</v>
      </c>
      <c r="I1391" s="616"/>
      <c r="J1391" s="28">
        <f>IF(F1391="I",IFERROR(VLOOKUP(C1391,'BG 12.2023'!$B$6:$E$819,3,FALSE),0),0)</f>
        <v>327038116</v>
      </c>
      <c r="K1391" s="28">
        <f>IF(F1391="I",IFERROR(VLOOKUP(C1391,'BG 12.2023'!$B$6:$E$819,4,FALSE),0),0)</f>
        <v>44871.4</v>
      </c>
      <c r="L1391" s="87">
        <f>+SUMIF('CA FE'!$A$1214:$A$1508,Composición!C1391,'CA FE'!$C$1214:$C$1508)</f>
        <v>482961688</v>
      </c>
      <c r="M1391" s="15">
        <f>+VLOOKUP(C1391,'BG 2023'!$B:$E,1,0)</f>
        <v>5130411106</v>
      </c>
      <c r="N1391" s="806">
        <f>+VLOOKUP(C1391,'BG 12.2024'!$B:$E,3,0)</f>
        <v>482961688</v>
      </c>
      <c r="O1391" s="807">
        <f t="shared" si="128"/>
        <v>155923572</v>
      </c>
      <c r="P1391" s="807"/>
      <c r="R1391" s="807">
        <f>+IFERROR(VLOOKUP(C1391,'CA FE'!$A:$C,3,0),0)-G1391</f>
        <v>0</v>
      </c>
    </row>
    <row r="1392" spans="1:19" s="87" customFormat="1">
      <c r="A1392" s="77" t="s">
        <v>395</v>
      </c>
      <c r="B1392" s="77" t="s">
        <v>1057</v>
      </c>
      <c r="C1392" s="793">
        <v>5130411107</v>
      </c>
      <c r="D1392" s="1055" t="s">
        <v>1065</v>
      </c>
      <c r="E1392" s="794" t="s">
        <v>634</v>
      </c>
      <c r="F1392" s="794" t="str">
        <f t="shared" si="125"/>
        <v>I</v>
      </c>
      <c r="G1392" s="1097">
        <f>+IF(F1392="i",IFERROR(VLOOKUP(C1392,'BG 12.2024'!$B:$E,3,FALSE),0),0)</f>
        <v>979190159</v>
      </c>
      <c r="H1392" s="21">
        <f>+IF(F1392="i",IFERROR(VLOOKUP(C1392,'BG 12.2024'!$B:$E,4,FALSE),0),0)</f>
        <v>129032.25000000001</v>
      </c>
      <c r="I1392" s="616"/>
      <c r="J1392" s="28">
        <f>IF(F1392="I",IFERROR(VLOOKUP(C1392,'BG 12.2023'!$B$6:$E$819,3,FALSE),0),0)</f>
        <v>982095870</v>
      </c>
      <c r="K1392" s="28">
        <f>IF(F1392="I",IFERROR(VLOOKUP(C1392,'BG 12.2023'!$B$6:$E$819,4,FALSE),0),0)</f>
        <v>134929.47999999998</v>
      </c>
      <c r="L1392" s="87">
        <f>+SUMIF('CA FE'!$A$1214:$A$1508,Composición!C1392,'CA FE'!$C$1214:$C$1508)</f>
        <v>979190159</v>
      </c>
      <c r="M1392" s="15">
        <f>+VLOOKUP(C1392,'BG 2023'!$B:$E,1,0)</f>
        <v>5130411107</v>
      </c>
      <c r="N1392" s="819">
        <f>+VLOOKUP(C1392,'BG 12.2024'!$B:$E,3,0)</f>
        <v>979190159</v>
      </c>
      <c r="O1392" s="807">
        <f t="shared" si="128"/>
        <v>-2905711</v>
      </c>
      <c r="P1392" s="807"/>
      <c r="R1392" s="807">
        <f>+IFERROR(VLOOKUP(C1392,'CA FE'!$A:$C,3,0),0)-G1392</f>
        <v>0</v>
      </c>
      <c r="S1392" s="87" t="s">
        <v>1060</v>
      </c>
    </row>
    <row r="1393" spans="1:19" s="87" customFormat="1">
      <c r="A1393" s="77" t="s">
        <v>395</v>
      </c>
      <c r="B1393" s="77"/>
      <c r="C1393" s="793">
        <v>5130411108</v>
      </c>
      <c r="D1393" s="77" t="s">
        <v>1066</v>
      </c>
      <c r="E1393" s="794" t="s">
        <v>634</v>
      </c>
      <c r="F1393" s="794" t="str">
        <f t="shared" si="125"/>
        <v>I</v>
      </c>
      <c r="G1393" s="1097">
        <f>+IF(F1393="i",IFERROR(VLOOKUP(C1393,'BG 12.2024'!$B:$E,3,FALSE),0),0)</f>
        <v>0</v>
      </c>
      <c r="H1393" s="21">
        <f>+IF(F1393="i",IFERROR(VLOOKUP(C1393,'BG 12.2024'!$B:$E,4,FALSE),0),0)</f>
        <v>0</v>
      </c>
      <c r="I1393" s="616"/>
      <c r="J1393" s="28">
        <f>IF(F1393="I",IFERROR(VLOOKUP(C1393,'BG 12.2023'!$B$6:$E$819,3,FALSE),0),0)</f>
        <v>0</v>
      </c>
      <c r="K1393" s="28">
        <f>IF(F1393="I",IFERROR(VLOOKUP(C1393,'BG 12.2023'!$B$6:$E$819,4,FALSE),0),0)</f>
        <v>0</v>
      </c>
      <c r="L1393" s="87">
        <f>+SUMIF('CA FE'!$A$1214:$A$1508,Composición!C1393,'CA FE'!$C$1214:$C$1508)</f>
        <v>0</v>
      </c>
      <c r="M1393" s="15" t="e">
        <f>+VLOOKUP(C1393,'BG 2023'!$B:$E,1,0)</f>
        <v>#N/A</v>
      </c>
      <c r="N1393" s="819" t="e">
        <f>+VLOOKUP(C1393,'BG 12.2024'!$B:$E,3,0)</f>
        <v>#N/A</v>
      </c>
      <c r="O1393" s="807" t="e">
        <f t="shared" si="128"/>
        <v>#N/A</v>
      </c>
      <c r="P1393" s="807"/>
      <c r="R1393" s="807">
        <f>+IFERROR(VLOOKUP(C1393,'CA FE'!$A:$C,3,0),0)-G1393</f>
        <v>0</v>
      </c>
    </row>
    <row r="1394" spans="1:19" s="87" customFormat="1">
      <c r="A1394" s="77" t="s">
        <v>395</v>
      </c>
      <c r="B1394" s="77" t="s">
        <v>1057</v>
      </c>
      <c r="C1394" s="793">
        <v>5130411109</v>
      </c>
      <c r="D1394" s="1055" t="s">
        <v>1067</v>
      </c>
      <c r="E1394" s="794" t="s">
        <v>634</v>
      </c>
      <c r="F1394" s="794" t="str">
        <f t="shared" si="125"/>
        <v>I</v>
      </c>
      <c r="G1394" s="1097">
        <f>+IF(F1394="i",IFERROR(VLOOKUP(C1394,'BG 12.2024'!$B:$E,3,FALSE),0),0)</f>
        <v>329433478</v>
      </c>
      <c r="H1394" s="21">
        <f>+IF(F1394="i",IFERROR(VLOOKUP(C1394,'BG 12.2024'!$B:$E,4,FALSE),0),0)</f>
        <v>42606.94</v>
      </c>
      <c r="I1394" s="616"/>
      <c r="J1394" s="28">
        <f>IF(F1394="I",IFERROR(VLOOKUP(C1394,'BG 12.2023'!$B$6:$E$819,3,FALSE),0),0)</f>
        <v>9598830</v>
      </c>
      <c r="K1394" s="28">
        <f>IF(F1394="I",IFERROR(VLOOKUP(C1394,'BG 12.2023'!$B$6:$E$819,4,FALSE),0),0)</f>
        <v>1313.49</v>
      </c>
      <c r="L1394" s="87">
        <f>+SUMIF('CA FE'!$A$1214:$A$1508,Composición!C1394,'CA FE'!$C$1214:$C$1508)</f>
        <v>329433478</v>
      </c>
      <c r="M1394" s="15">
        <f>+VLOOKUP(C1394,'BG 2023'!$B:$E,1,0)</f>
        <v>5130411109</v>
      </c>
      <c r="N1394" s="806">
        <f>+VLOOKUP(C1394,'BG 12.2024'!$B:$E,3,0)</f>
        <v>329433478</v>
      </c>
      <c r="O1394" s="807">
        <f t="shared" si="128"/>
        <v>319834648</v>
      </c>
      <c r="P1394" s="807"/>
      <c r="R1394" s="807">
        <f>+IFERROR(VLOOKUP(C1394,'CA FE'!$A:$C,3,0),0)-G1394</f>
        <v>0</v>
      </c>
      <c r="S1394" s="87" t="s">
        <v>1060</v>
      </c>
    </row>
    <row r="1395" spans="1:19" s="87" customFormat="1">
      <c r="A1395" s="77" t="s">
        <v>395</v>
      </c>
      <c r="B1395" s="77" t="s">
        <v>1057</v>
      </c>
      <c r="C1395" s="793">
        <v>5130411110</v>
      </c>
      <c r="D1395" s="77" t="s">
        <v>1068</v>
      </c>
      <c r="E1395" s="794" t="s">
        <v>634</v>
      </c>
      <c r="F1395" s="794" t="str">
        <f t="shared" ref="F1395" si="129">+IF(LEN(C1395)&gt;8,"I","NI")</f>
        <v>I</v>
      </c>
      <c r="G1395" s="1097">
        <f>+IF(F1395="i",IFERROR(VLOOKUP(C1395,'BG 12.2024'!$B:$E,3,FALSE),0),0)</f>
        <v>0</v>
      </c>
      <c r="H1395" s="21">
        <f>+IF(F1395="i",IFERROR(VLOOKUP(C1395,'BG 12.2024'!$B:$E,4,FALSE),0),0)</f>
        <v>0</v>
      </c>
      <c r="I1395" s="616"/>
      <c r="J1395" s="28">
        <f>IF(F1395="I",IFERROR(VLOOKUP(C1395,'BG 12.2023'!$B$6:$E$819,3,FALSE),0),0)</f>
        <v>6423396</v>
      </c>
      <c r="K1395" s="28">
        <f>IF(F1395="I",IFERROR(VLOOKUP(C1395,'BG 12.2023'!$B$6:$E$819,4,FALSE),0),0)</f>
        <v>885.41</v>
      </c>
      <c r="L1395" s="87">
        <f>+SUMIF('CA FE'!$A$1214:$A$1508,Composición!C1395,'CA FE'!$C$1214:$C$1508)</f>
        <v>0</v>
      </c>
      <c r="M1395" s="15">
        <f>+VLOOKUP(C1395,'BG 2023'!$B:$E,1,0)</f>
        <v>5130411110</v>
      </c>
      <c r="N1395" s="819" t="e">
        <f>+VLOOKUP(C1395,'BG 12.2024'!$B:$E,3,0)</f>
        <v>#N/A</v>
      </c>
      <c r="O1395" s="807" t="e">
        <f t="shared" si="128"/>
        <v>#N/A</v>
      </c>
      <c r="P1395" s="807"/>
      <c r="R1395" s="807">
        <f>+IFERROR(VLOOKUP(C1395,'CA FE'!$A:$C,3,0),0)-G1395</f>
        <v>0</v>
      </c>
      <c r="S1395" s="87" t="s">
        <v>1060</v>
      </c>
    </row>
    <row r="1396" spans="1:19" s="87" customFormat="1">
      <c r="A1396" s="77" t="s">
        <v>395</v>
      </c>
      <c r="B1396" s="77"/>
      <c r="C1396" s="793">
        <v>51305</v>
      </c>
      <c r="D1396" s="77" t="s">
        <v>461</v>
      </c>
      <c r="E1396" s="794" t="s">
        <v>634</v>
      </c>
      <c r="F1396" s="794" t="str">
        <f t="shared" si="125"/>
        <v>NI</v>
      </c>
      <c r="G1396" s="1097">
        <f>+IF(F1396="i",IFERROR(VLOOKUP(C1396,'BG 12.2024'!$B:$E,3,FALSE),0),0)</f>
        <v>0</v>
      </c>
      <c r="H1396" s="21">
        <f>+IF(F1396="i",IFERROR(VLOOKUP(C1396,'BG 12.2024'!$B:$E,4,FALSE),0),0)</f>
        <v>0</v>
      </c>
      <c r="I1396" s="616"/>
      <c r="J1396" s="28">
        <f>IF(F1396="I",IFERROR(VLOOKUP(C1396,'BG 12.2023'!$B$6:$E$819,3,FALSE),0),0)</f>
        <v>0</v>
      </c>
      <c r="K1396" s="28">
        <f>IF(F1396="I",IFERROR(VLOOKUP(C1396,'BG 12.2023'!$B$6:$E$819,4,FALSE),0),0)</f>
        <v>0</v>
      </c>
      <c r="L1396" s="87">
        <f>+SUMIF('CA FE'!$A$1214:$A$1508,Composición!C1396,'CA FE'!$C$1214:$C$1508)</f>
        <v>0</v>
      </c>
      <c r="M1396" s="15">
        <f>+VLOOKUP(C1396,'BG 2023'!$B:$E,1,0)</f>
        <v>51305</v>
      </c>
      <c r="N1396" s="806">
        <f>+VLOOKUP(C1396,'BG 2023'!$B:$E,3,0)-J1396</f>
        <v>1157423177</v>
      </c>
      <c r="O1396" s="807">
        <f t="shared" si="123"/>
        <v>1157423177</v>
      </c>
      <c r="P1396" s="807"/>
      <c r="R1396" s="807">
        <f>+IFERROR(VLOOKUP(C1396,'CA FE'!$A:$C,3,0),0)-G1396</f>
        <v>0</v>
      </c>
    </row>
    <row r="1397" spans="1:19" s="87" customFormat="1">
      <c r="A1397" s="77" t="s">
        <v>395</v>
      </c>
      <c r="B1397" s="77"/>
      <c r="C1397" s="793">
        <v>513051</v>
      </c>
      <c r="D1397" s="77" t="s">
        <v>1069</v>
      </c>
      <c r="E1397" s="794" t="s">
        <v>634</v>
      </c>
      <c r="F1397" s="794" t="str">
        <f t="shared" si="125"/>
        <v>NI</v>
      </c>
      <c r="G1397" s="28">
        <f>+IF(F1397="i",IFERROR(VLOOKUP(C1397,'BG 12.2024'!$B:$E,3,FALSE),0),0)</f>
        <v>0</v>
      </c>
      <c r="H1397" s="21">
        <f>+IF(F1397="i",IFERROR(VLOOKUP(C1397,'BG 12.2024'!$B:$E,4,FALSE),0),0)</f>
        <v>0</v>
      </c>
      <c r="I1397" s="616"/>
      <c r="J1397" s="28">
        <f>IF(F1397="I",IFERROR(VLOOKUP(C1397,'BG 12.2023'!$B$6:$E$819,3,FALSE),0),0)</f>
        <v>0</v>
      </c>
      <c r="K1397" s="28">
        <f>IF(F1397="I",IFERROR(VLOOKUP(C1397,'BG 12.2023'!$B$6:$E$819,4,FALSE),0),0)</f>
        <v>0</v>
      </c>
      <c r="L1397" s="87">
        <f>+SUMIF('CA FE'!$A$1214:$A$1508,Composición!C1397,'CA FE'!$C$1214:$C$1508)</f>
        <v>0</v>
      </c>
      <c r="M1397" s="15" t="e">
        <f>+VLOOKUP(C1397,'BG 2023'!$B:$E,1,0)</f>
        <v>#N/A</v>
      </c>
      <c r="N1397" s="806" t="e">
        <f>+VLOOKUP(C1397,'BG 2023'!$B:$E,3,0)-J1397</f>
        <v>#N/A</v>
      </c>
      <c r="O1397" s="807" t="e">
        <f t="shared" si="123"/>
        <v>#N/A</v>
      </c>
      <c r="P1397" s="807"/>
      <c r="R1397" s="807">
        <f>+IFERROR(VLOOKUP(C1397,'CA FE'!$A:$C,3,0),0)-G1397</f>
        <v>0</v>
      </c>
    </row>
    <row r="1398" spans="1:19" s="87" customFormat="1">
      <c r="A1398" s="77" t="s">
        <v>395</v>
      </c>
      <c r="B1398" s="77"/>
      <c r="C1398" s="793">
        <v>5130511</v>
      </c>
      <c r="D1398" s="77" t="s">
        <v>1069</v>
      </c>
      <c r="E1398" s="794" t="s">
        <v>634</v>
      </c>
      <c r="F1398" s="794" t="str">
        <f t="shared" si="125"/>
        <v>NI</v>
      </c>
      <c r="G1398" s="28">
        <f>+IF(F1398="i",IFERROR(VLOOKUP(C1398,'BG 12.2024'!$B:$E,3,FALSE),0),0)</f>
        <v>0</v>
      </c>
      <c r="H1398" s="21">
        <f>+IF(F1398="i",IFERROR(VLOOKUP(C1398,'BG 12.2024'!$B:$E,4,FALSE),0),0)</f>
        <v>0</v>
      </c>
      <c r="I1398" s="616"/>
      <c r="J1398" s="28">
        <f>IF(F1398="I",IFERROR(VLOOKUP(C1398,'BG 12.2023'!$B$6:$E$819,3,FALSE),0),0)</f>
        <v>0</v>
      </c>
      <c r="K1398" s="28">
        <f>IF(F1398="I",IFERROR(VLOOKUP(C1398,'BG 12.2023'!$B$6:$E$819,4,FALSE),0),0)</f>
        <v>0</v>
      </c>
      <c r="L1398" s="87">
        <f>+SUMIF('CA FE'!$A$1214:$A$1508,Composición!C1398,'CA FE'!$C$1214:$C$1508)</f>
        <v>0</v>
      </c>
      <c r="M1398" s="15" t="e">
        <f>+VLOOKUP(C1398,'BG 2023'!$B:$E,1,0)</f>
        <v>#N/A</v>
      </c>
      <c r="N1398" s="806" t="e">
        <f>+VLOOKUP(C1398,'BG 2023'!$B:$E,3,0)-J1398</f>
        <v>#N/A</v>
      </c>
      <c r="O1398" s="807" t="e">
        <f t="shared" si="123"/>
        <v>#N/A</v>
      </c>
      <c r="P1398" s="807"/>
      <c r="R1398" s="807">
        <f>+IFERROR(VLOOKUP(C1398,'CA FE'!$A:$C,3,0),0)-G1398</f>
        <v>0</v>
      </c>
    </row>
    <row r="1399" spans="1:19" s="87" customFormat="1">
      <c r="A1399" s="77" t="s">
        <v>395</v>
      </c>
      <c r="B1399" s="77"/>
      <c r="C1399" s="793">
        <v>51305111</v>
      </c>
      <c r="D1399" s="77" t="s">
        <v>1069</v>
      </c>
      <c r="E1399" s="794" t="s">
        <v>634</v>
      </c>
      <c r="F1399" s="794" t="str">
        <f t="shared" si="125"/>
        <v>NI</v>
      </c>
      <c r="G1399" s="28">
        <f>+IF(F1399="i",IFERROR(VLOOKUP(C1399,'BG 12.2024'!$B:$E,3,FALSE),0),0)</f>
        <v>0</v>
      </c>
      <c r="H1399" s="21">
        <f>+IF(F1399="i",IFERROR(VLOOKUP(C1399,'BG 12.2024'!$B:$E,4,FALSE),0),0)</f>
        <v>0</v>
      </c>
      <c r="I1399" s="616"/>
      <c r="J1399" s="28">
        <f>IF(F1399="I",IFERROR(VLOOKUP(C1399,'BG 12.2023'!$B$6:$E$819,3,FALSE),0),0)</f>
        <v>0</v>
      </c>
      <c r="K1399" s="28">
        <f>IF(F1399="I",IFERROR(VLOOKUP(C1399,'BG 12.2023'!$B$6:$E$819,4,FALSE),0),0)</f>
        <v>0</v>
      </c>
      <c r="L1399" s="87">
        <f>+SUMIF('CA FE'!$A$1214:$A$1508,Composición!C1399,'CA FE'!$C$1214:$C$1508)</f>
        <v>0</v>
      </c>
      <c r="M1399" s="15" t="e">
        <f>+VLOOKUP(C1399,'BG 2023'!$B:$E,1,0)</f>
        <v>#N/A</v>
      </c>
      <c r="N1399" s="806" t="e">
        <f>+VLOOKUP(C1399,'BG 2023'!$B:$E,3,0)-J1399</f>
        <v>#N/A</v>
      </c>
      <c r="O1399" s="807" t="e">
        <f t="shared" si="123"/>
        <v>#N/A</v>
      </c>
      <c r="P1399" s="807"/>
      <c r="R1399" s="807">
        <f>+IFERROR(VLOOKUP(C1399,'CA FE'!$A:$C,3,0),0)-G1399</f>
        <v>0</v>
      </c>
    </row>
    <row r="1400" spans="1:19" s="87" customFormat="1">
      <c r="A1400" s="77" t="s">
        <v>395</v>
      </c>
      <c r="B1400" s="77"/>
      <c r="C1400" s="793">
        <v>5130511101</v>
      </c>
      <c r="D1400" s="77" t="s">
        <v>1070</v>
      </c>
      <c r="E1400" s="794" t="s">
        <v>634</v>
      </c>
      <c r="F1400" s="794" t="str">
        <f t="shared" si="125"/>
        <v>I</v>
      </c>
      <c r="G1400" s="28">
        <f>+IF(F1400="i",IFERROR(VLOOKUP(C1400,'BG 12.2024'!$B:$E,3,FALSE),0),0)</f>
        <v>0</v>
      </c>
      <c r="H1400" s="21">
        <f>+IF(F1400="i",IFERROR(VLOOKUP(C1400,'BG 12.2024'!$B:$E,4,FALSE),0),0)</f>
        <v>0</v>
      </c>
      <c r="I1400" s="616"/>
      <c r="J1400" s="28">
        <f>IF(F1400="I",IFERROR(VLOOKUP(C1400,'BG 12.2023'!$B$6:$E$819,3,FALSE),0),0)</f>
        <v>0</v>
      </c>
      <c r="K1400" s="28">
        <f>IF(F1400="I",IFERROR(VLOOKUP(C1400,'BG 12.2023'!$B$6:$E$819,4,FALSE),0),0)</f>
        <v>0</v>
      </c>
      <c r="L1400" s="87">
        <f>+SUMIF('CA FE'!$A$1214:$A$1508,Composición!C1400,'CA FE'!$C$1214:$C$1508)</f>
        <v>0</v>
      </c>
      <c r="M1400" s="15" t="e">
        <f>+VLOOKUP(C1400,'BG 2023'!$B:$E,1,0)</f>
        <v>#N/A</v>
      </c>
      <c r="N1400" s="819" t="e">
        <f>+VLOOKUP(C1400,'BG 12.2024'!$B:$E,3,0)</f>
        <v>#N/A</v>
      </c>
      <c r="O1400" s="807" t="e">
        <f t="shared" ref="O1400:O1407" si="130">+N1400-J1400</f>
        <v>#N/A</v>
      </c>
      <c r="P1400" s="807"/>
      <c r="R1400" s="807">
        <f>+IFERROR(VLOOKUP(C1400,'CA FE'!$A:$C,3,0),0)-G1400</f>
        <v>0</v>
      </c>
    </row>
    <row r="1401" spans="1:19" s="87" customFormat="1">
      <c r="A1401" s="77" t="s">
        <v>395</v>
      </c>
      <c r="B1401" s="77"/>
      <c r="C1401" s="793">
        <v>5130511102</v>
      </c>
      <c r="D1401" s="77" t="s">
        <v>1071</v>
      </c>
      <c r="E1401" s="794" t="s">
        <v>634</v>
      </c>
      <c r="F1401" s="794" t="str">
        <f t="shared" si="125"/>
        <v>I</v>
      </c>
      <c r="G1401" s="28">
        <f>+IF(F1401="i",IFERROR(VLOOKUP(C1401,'BG 12.2024'!$B:$E,3,FALSE),0),0)</f>
        <v>0</v>
      </c>
      <c r="H1401" s="21">
        <f>+IF(F1401="i",IFERROR(VLOOKUP(C1401,'BG 12.2024'!$B:$E,4,FALSE),0),0)</f>
        <v>0</v>
      </c>
      <c r="I1401" s="616"/>
      <c r="J1401" s="28">
        <f>IF(F1401="I",IFERROR(VLOOKUP(C1401,'BG 12.2023'!$B$6:$E$819,3,FALSE),0),0)</f>
        <v>0</v>
      </c>
      <c r="K1401" s="28">
        <f>IF(F1401="I",IFERROR(VLOOKUP(C1401,'BG 12.2023'!$B$6:$E$819,4,FALSE),0),0)</f>
        <v>0</v>
      </c>
      <c r="L1401" s="87">
        <f>+SUMIF('CA FE'!$A$1214:$A$1508,Composición!C1401,'CA FE'!$C$1214:$C$1508)</f>
        <v>0</v>
      </c>
      <c r="M1401" s="15" t="e">
        <f>+VLOOKUP(C1401,'BG 2023'!$B:$E,1,0)</f>
        <v>#N/A</v>
      </c>
      <c r="N1401" s="819" t="e">
        <f>+VLOOKUP(C1401,'BG 12.2024'!$B:$E,3,0)</f>
        <v>#N/A</v>
      </c>
      <c r="O1401" s="807" t="e">
        <f t="shared" si="130"/>
        <v>#N/A</v>
      </c>
      <c r="P1401" s="807"/>
      <c r="R1401" s="807">
        <f>+IFERROR(VLOOKUP(C1401,'CA FE'!$A:$C,3,0),0)-G1401</f>
        <v>0</v>
      </c>
    </row>
    <row r="1402" spans="1:19" s="87" customFormat="1">
      <c r="A1402" s="77" t="s">
        <v>395</v>
      </c>
      <c r="B1402" s="77"/>
      <c r="C1402" s="793">
        <v>5130511103</v>
      </c>
      <c r="D1402" s="77" t="s">
        <v>1072</v>
      </c>
      <c r="E1402" s="794" t="s">
        <v>634</v>
      </c>
      <c r="F1402" s="794" t="str">
        <f t="shared" si="125"/>
        <v>I</v>
      </c>
      <c r="G1402" s="28">
        <f>+IF(F1402="i",IFERROR(VLOOKUP(C1402,'BG 12.2024'!$B:$E,3,FALSE),0),0)</f>
        <v>0</v>
      </c>
      <c r="H1402" s="21">
        <f>+IF(F1402="i",IFERROR(VLOOKUP(C1402,'BG 12.2024'!$B:$E,4,FALSE),0),0)</f>
        <v>0</v>
      </c>
      <c r="I1402" s="616"/>
      <c r="J1402" s="28">
        <f>IF(F1402="I",IFERROR(VLOOKUP(C1402,'BG 12.2023'!$B$6:$E$819,3,FALSE),0),0)</f>
        <v>0</v>
      </c>
      <c r="K1402" s="28">
        <f>IF(F1402="I",IFERROR(VLOOKUP(C1402,'BG 12.2023'!$B$6:$E$819,4,FALSE),0),0)</f>
        <v>0</v>
      </c>
      <c r="L1402" s="87">
        <f>+SUMIF('CA FE'!$A$1214:$A$1508,Composición!C1402,'CA FE'!$C$1214:$C$1508)</f>
        <v>0</v>
      </c>
      <c r="M1402" s="15" t="e">
        <f>+VLOOKUP(C1402,'BG 2023'!$B:$E,1,0)</f>
        <v>#N/A</v>
      </c>
      <c r="N1402" s="819" t="e">
        <f>+VLOOKUP(C1402,'BG 12.2024'!$B:$E,3,0)</f>
        <v>#N/A</v>
      </c>
      <c r="O1402" s="807" t="e">
        <f t="shared" si="130"/>
        <v>#N/A</v>
      </c>
      <c r="P1402" s="807"/>
      <c r="R1402" s="807">
        <f>+IFERROR(VLOOKUP(C1402,'CA FE'!$A:$C,3,0),0)-G1402</f>
        <v>0</v>
      </c>
    </row>
    <row r="1403" spans="1:19" s="87" customFormat="1">
      <c r="A1403" s="77" t="s">
        <v>395</v>
      </c>
      <c r="B1403" s="77"/>
      <c r="C1403" s="793">
        <v>5130511104</v>
      </c>
      <c r="D1403" s="77" t="s">
        <v>1073</v>
      </c>
      <c r="E1403" s="794" t="s">
        <v>634</v>
      </c>
      <c r="F1403" s="794" t="str">
        <f t="shared" si="125"/>
        <v>I</v>
      </c>
      <c r="G1403" s="28">
        <f>+IF(F1403="i",IFERROR(VLOOKUP(C1403,'BG 12.2024'!$B:$E,3,FALSE),0),0)</f>
        <v>0</v>
      </c>
      <c r="H1403" s="21">
        <f>+IF(F1403="i",IFERROR(VLOOKUP(C1403,'BG 12.2024'!$B:$E,4,FALSE),0),0)</f>
        <v>0</v>
      </c>
      <c r="I1403" s="616"/>
      <c r="J1403" s="28">
        <f>IF(F1403="I",IFERROR(VLOOKUP(C1403,'BG 12.2023'!$B$6:$E$819,3,FALSE),0),0)</f>
        <v>0</v>
      </c>
      <c r="K1403" s="28">
        <f>IF(F1403="I",IFERROR(VLOOKUP(C1403,'BG 12.2023'!$B$6:$E$819,4,FALSE),0),0)</f>
        <v>0</v>
      </c>
      <c r="L1403" s="87">
        <f>+SUMIF('CA FE'!$A$1214:$A$1508,Composición!C1403,'CA FE'!$C$1214:$C$1508)</f>
        <v>0</v>
      </c>
      <c r="M1403" s="15" t="e">
        <f>+VLOOKUP(C1403,'BG 2023'!$B:$E,1,0)</f>
        <v>#N/A</v>
      </c>
      <c r="N1403" s="819" t="e">
        <f>+VLOOKUP(C1403,'BG 12.2024'!$B:$E,3,0)</f>
        <v>#N/A</v>
      </c>
      <c r="O1403" s="807" t="e">
        <f t="shared" si="130"/>
        <v>#N/A</v>
      </c>
      <c r="P1403" s="807"/>
      <c r="R1403" s="807">
        <f>+IFERROR(VLOOKUP(C1403,'CA FE'!$A:$C,3,0),0)-G1403</f>
        <v>0</v>
      </c>
    </row>
    <row r="1404" spans="1:19" s="87" customFormat="1">
      <c r="A1404" s="77" t="s">
        <v>395</v>
      </c>
      <c r="B1404" s="77"/>
      <c r="C1404" s="793">
        <v>5130511105</v>
      </c>
      <c r="D1404" s="77" t="s">
        <v>1074</v>
      </c>
      <c r="E1404" s="794" t="s">
        <v>634</v>
      </c>
      <c r="F1404" s="794" t="str">
        <f t="shared" si="125"/>
        <v>I</v>
      </c>
      <c r="G1404" s="28">
        <f>+IF(F1404="i",IFERROR(VLOOKUP(C1404,'BG 12.2024'!$B:$E,3,FALSE),0),0)</f>
        <v>0</v>
      </c>
      <c r="H1404" s="21">
        <f>+IF(F1404="i",IFERROR(VLOOKUP(C1404,'BG 12.2024'!$B:$E,4,FALSE),0),0)</f>
        <v>0</v>
      </c>
      <c r="I1404" s="616"/>
      <c r="J1404" s="28">
        <f>IF(F1404="I",IFERROR(VLOOKUP(C1404,'BG 12.2023'!$B$6:$E$819,3,FALSE),0),0)</f>
        <v>0</v>
      </c>
      <c r="K1404" s="28">
        <f>IF(F1404="I",IFERROR(VLOOKUP(C1404,'BG 12.2023'!$B$6:$E$819,4,FALSE),0),0)</f>
        <v>0</v>
      </c>
      <c r="L1404" s="87">
        <f>+SUMIF('CA FE'!$A$1214:$A$1508,Composición!C1404,'CA FE'!$C$1214:$C$1508)</f>
        <v>0</v>
      </c>
      <c r="M1404" s="15" t="e">
        <f>+VLOOKUP(C1404,'BG 2023'!$B:$E,1,0)</f>
        <v>#N/A</v>
      </c>
      <c r="N1404" s="819" t="e">
        <f>+VLOOKUP(C1404,'BG 12.2024'!$B:$E,3,0)</f>
        <v>#N/A</v>
      </c>
      <c r="O1404" s="807" t="e">
        <f t="shared" si="130"/>
        <v>#N/A</v>
      </c>
      <c r="P1404" s="807"/>
      <c r="R1404" s="807">
        <f>+IFERROR(VLOOKUP(C1404,'CA FE'!$A:$C,3,0),0)-G1404</f>
        <v>0</v>
      </c>
    </row>
    <row r="1405" spans="1:19" s="87" customFormat="1">
      <c r="A1405" s="77" t="s">
        <v>395</v>
      </c>
      <c r="B1405" s="77"/>
      <c r="C1405" s="793">
        <v>5130511106</v>
      </c>
      <c r="D1405" s="77" t="s">
        <v>1075</v>
      </c>
      <c r="E1405" s="794" t="s">
        <v>634</v>
      </c>
      <c r="F1405" s="794" t="str">
        <f t="shared" si="125"/>
        <v>I</v>
      </c>
      <c r="G1405" s="28">
        <f>+IF(F1405="i",IFERROR(VLOOKUP(C1405,'BG 12.2024'!$B:$E,3,FALSE),0),0)</f>
        <v>0</v>
      </c>
      <c r="H1405" s="21">
        <f>+IF(F1405="i",IFERROR(VLOOKUP(C1405,'BG 12.2024'!$B:$E,4,FALSE),0),0)</f>
        <v>0</v>
      </c>
      <c r="I1405" s="616"/>
      <c r="J1405" s="28">
        <f>IF(F1405="I",IFERROR(VLOOKUP(C1405,'BG 12.2023'!$B$6:$E$819,3,FALSE),0),0)</f>
        <v>0</v>
      </c>
      <c r="K1405" s="28">
        <f>IF(F1405="I",IFERROR(VLOOKUP(C1405,'BG 12.2023'!$B$6:$E$819,4,FALSE),0),0)</f>
        <v>0</v>
      </c>
      <c r="L1405" s="87">
        <f>+SUMIF('CA FE'!$A$1214:$A$1508,Composición!C1405,'CA FE'!$C$1214:$C$1508)</f>
        <v>0</v>
      </c>
      <c r="M1405" s="15" t="e">
        <f>+VLOOKUP(C1405,'BG 2023'!$B:$E,1,0)</f>
        <v>#N/A</v>
      </c>
      <c r="N1405" s="819" t="e">
        <f>+VLOOKUP(C1405,'BG 12.2024'!$B:$E,3,0)</f>
        <v>#N/A</v>
      </c>
      <c r="O1405" s="807" t="e">
        <f t="shared" si="130"/>
        <v>#N/A</v>
      </c>
      <c r="P1405" s="807"/>
      <c r="R1405" s="807">
        <f>+IFERROR(VLOOKUP(C1405,'CA FE'!$A:$C,3,0),0)-G1405</f>
        <v>0</v>
      </c>
    </row>
    <row r="1406" spans="1:19" s="87" customFormat="1">
      <c r="A1406" s="77" t="s">
        <v>395</v>
      </c>
      <c r="B1406" s="77"/>
      <c r="C1406" s="793">
        <v>5130511107</v>
      </c>
      <c r="D1406" s="77" t="s">
        <v>1076</v>
      </c>
      <c r="E1406" s="794" t="s">
        <v>634</v>
      </c>
      <c r="F1406" s="794" t="str">
        <f t="shared" si="125"/>
        <v>I</v>
      </c>
      <c r="G1406" s="28">
        <f>+IF(F1406="i",IFERROR(VLOOKUP(C1406,'BG 12.2024'!$B:$E,3,FALSE),0),0)</f>
        <v>0</v>
      </c>
      <c r="H1406" s="21">
        <f>+IF(F1406="i",IFERROR(VLOOKUP(C1406,'BG 12.2024'!$B:$E,4,FALSE),0),0)</f>
        <v>0</v>
      </c>
      <c r="I1406" s="616"/>
      <c r="J1406" s="28">
        <f>IF(F1406="I",IFERROR(VLOOKUP(C1406,'BG 12.2023'!$B$6:$E$819,3,FALSE),0),0)</f>
        <v>0</v>
      </c>
      <c r="K1406" s="28">
        <f>IF(F1406="I",IFERROR(VLOOKUP(C1406,'BG 12.2023'!$B$6:$E$819,4,FALSE),0),0)</f>
        <v>0</v>
      </c>
      <c r="L1406" s="87">
        <f>+SUMIF('CA FE'!$A$1214:$A$1508,Composición!C1406,'CA FE'!$C$1214:$C$1508)</f>
        <v>0</v>
      </c>
      <c r="M1406" s="15" t="e">
        <f>+VLOOKUP(C1406,'BG 2023'!$B:$E,1,0)</f>
        <v>#N/A</v>
      </c>
      <c r="N1406" s="819" t="e">
        <f>+VLOOKUP(C1406,'BG 12.2024'!$B:$E,3,0)</f>
        <v>#N/A</v>
      </c>
      <c r="O1406" s="807" t="e">
        <f t="shared" si="130"/>
        <v>#N/A</v>
      </c>
      <c r="P1406" s="807"/>
      <c r="R1406" s="807">
        <f>+IFERROR(VLOOKUP(C1406,'CA FE'!$A:$C,3,0),0)-G1406</f>
        <v>0</v>
      </c>
    </row>
    <row r="1407" spans="1:19" s="87" customFormat="1">
      <c r="A1407" s="77" t="s">
        <v>395</v>
      </c>
      <c r="B1407" s="77"/>
      <c r="C1407" s="793">
        <v>5130511108</v>
      </c>
      <c r="D1407" s="77" t="s">
        <v>1077</v>
      </c>
      <c r="E1407" s="794" t="s">
        <v>634</v>
      </c>
      <c r="F1407" s="794" t="str">
        <f t="shared" si="125"/>
        <v>I</v>
      </c>
      <c r="G1407" s="28">
        <f>+IF(F1407="i",IFERROR(VLOOKUP(C1407,'BG 12.2024'!$B:$E,3,FALSE),0),0)</f>
        <v>0</v>
      </c>
      <c r="H1407" s="21">
        <f>+IF(F1407="i",IFERROR(VLOOKUP(C1407,'BG 12.2024'!$B:$E,4,FALSE),0),0)</f>
        <v>0</v>
      </c>
      <c r="I1407" s="616"/>
      <c r="J1407" s="28">
        <f>IF(F1407="I",IFERROR(VLOOKUP(C1407,'BG 12.2023'!$B$6:$E$819,3,FALSE),0),0)</f>
        <v>0</v>
      </c>
      <c r="K1407" s="28">
        <f>IF(F1407="I",IFERROR(VLOOKUP(C1407,'BG 12.2023'!$B$6:$E$819,4,FALSE),0),0)</f>
        <v>0</v>
      </c>
      <c r="L1407" s="87">
        <f>+SUMIF('CA FE'!$A$1214:$A$1508,Composición!C1407,'CA FE'!$C$1214:$C$1508)</f>
        <v>0</v>
      </c>
      <c r="M1407" s="15" t="e">
        <f>+VLOOKUP(C1407,'BG 2023'!$B:$E,1,0)</f>
        <v>#N/A</v>
      </c>
      <c r="N1407" s="819" t="e">
        <f>+VLOOKUP(C1407,'BG 12.2024'!$B:$E,3,0)</f>
        <v>#N/A</v>
      </c>
      <c r="O1407" s="807" t="e">
        <f t="shared" si="130"/>
        <v>#N/A</v>
      </c>
      <c r="P1407" s="807"/>
      <c r="R1407" s="807">
        <f>+IFERROR(VLOOKUP(C1407,'CA FE'!$A:$C,3,0),0)-G1407</f>
        <v>0</v>
      </c>
    </row>
    <row r="1408" spans="1:19" s="87" customFormat="1">
      <c r="A1408" s="77" t="s">
        <v>395</v>
      </c>
      <c r="B1408" s="77"/>
      <c r="C1408" s="793">
        <v>513052</v>
      </c>
      <c r="D1408" s="77" t="s">
        <v>462</v>
      </c>
      <c r="E1408" s="794" t="s">
        <v>634</v>
      </c>
      <c r="F1408" s="794" t="str">
        <f t="shared" si="125"/>
        <v>NI</v>
      </c>
      <c r="G1408" s="28">
        <f>+IF(F1408="i",IFERROR(VLOOKUP(C1408,'BG 12.2024'!$B:$E,3,FALSE),0),0)</f>
        <v>0</v>
      </c>
      <c r="H1408" s="21">
        <f>+IF(F1408="i",IFERROR(VLOOKUP(C1408,'BG 12.2024'!$B:$E,4,FALSE),0),0)</f>
        <v>0</v>
      </c>
      <c r="I1408" s="616"/>
      <c r="J1408" s="28">
        <f>IF(F1408="I",IFERROR(VLOOKUP(C1408,'BG 12.2023'!$B$6:$E$819,3,FALSE),0),0)</f>
        <v>0</v>
      </c>
      <c r="K1408" s="28">
        <f>IF(F1408="I",IFERROR(VLOOKUP(C1408,'BG 12.2023'!$B$6:$E$819,4,FALSE),0),0)</f>
        <v>0</v>
      </c>
      <c r="L1408" s="87">
        <f>+SUMIF('CA FE'!$A$1214:$A$1508,Composición!C1408,'CA FE'!$C$1214:$C$1508)</f>
        <v>0</v>
      </c>
      <c r="M1408" s="15">
        <f>+VLOOKUP(C1408,'BG 2023'!$B:$E,1,0)</f>
        <v>513052</v>
      </c>
      <c r="N1408" s="806">
        <f>+VLOOKUP(C1408,'BG 2023'!$B:$E,3,0)-J1408</f>
        <v>1157423177</v>
      </c>
      <c r="O1408" s="807">
        <f t="shared" si="123"/>
        <v>1157423177</v>
      </c>
      <c r="P1408" s="807"/>
      <c r="R1408" s="807">
        <f>+IFERROR(VLOOKUP(C1408,'CA FE'!$A:$C,3,0),0)-G1408</f>
        <v>0</v>
      </c>
    </row>
    <row r="1409" spans="1:19" s="87" customFormat="1">
      <c r="A1409" s="77" t="s">
        <v>395</v>
      </c>
      <c r="B1409" s="77"/>
      <c r="C1409" s="793">
        <v>5130521</v>
      </c>
      <c r="D1409" s="77" t="s">
        <v>462</v>
      </c>
      <c r="E1409" s="794" t="s">
        <v>634</v>
      </c>
      <c r="F1409" s="794" t="str">
        <f t="shared" si="125"/>
        <v>NI</v>
      </c>
      <c r="G1409" s="28">
        <f>+IF(F1409="i",IFERROR(VLOOKUP(C1409,'BG 12.2024'!$B:$E,3,FALSE),0),0)</f>
        <v>0</v>
      </c>
      <c r="H1409" s="21">
        <f>+IF(F1409="i",IFERROR(VLOOKUP(C1409,'BG 12.2024'!$B:$E,4,FALSE),0),0)</f>
        <v>0</v>
      </c>
      <c r="I1409" s="616"/>
      <c r="J1409" s="28">
        <f>IF(F1409="I",IFERROR(VLOOKUP(C1409,'BG 12.2023'!$B$6:$E$819,3,FALSE),0),0)</f>
        <v>0</v>
      </c>
      <c r="K1409" s="28">
        <f>IF(F1409="I",IFERROR(VLOOKUP(C1409,'BG 12.2023'!$B$6:$E$819,4,FALSE),0),0)</f>
        <v>0</v>
      </c>
      <c r="L1409" s="87">
        <f>+SUMIF('CA FE'!$A$1214:$A$1508,Composición!C1409,'CA FE'!$C$1214:$C$1508)</f>
        <v>0</v>
      </c>
      <c r="M1409" s="15">
        <f>+VLOOKUP(C1409,'BG 2023'!$B:$E,1,0)</f>
        <v>5130521</v>
      </c>
      <c r="N1409" s="806">
        <f>+VLOOKUP(C1409,'BG 2023'!$B:$E,3,0)-J1409</f>
        <v>1157423177</v>
      </c>
      <c r="O1409" s="807">
        <f t="shared" si="123"/>
        <v>1157423177</v>
      </c>
      <c r="P1409" s="807"/>
      <c r="R1409" s="807">
        <f>+IFERROR(VLOOKUP(C1409,'CA FE'!$A:$C,3,0),0)-G1409</f>
        <v>0</v>
      </c>
    </row>
    <row r="1410" spans="1:19" s="87" customFormat="1">
      <c r="A1410" s="77" t="s">
        <v>395</v>
      </c>
      <c r="B1410" s="77"/>
      <c r="C1410" s="793">
        <v>51305211</v>
      </c>
      <c r="D1410" s="77" t="s">
        <v>462</v>
      </c>
      <c r="E1410" s="794" t="s">
        <v>634</v>
      </c>
      <c r="F1410" s="794" t="str">
        <f t="shared" si="125"/>
        <v>NI</v>
      </c>
      <c r="G1410" s="28">
        <f>+IF(F1410="i",IFERROR(VLOOKUP(C1410,'BG 12.2024'!$B:$E,3,FALSE),0),0)</f>
        <v>0</v>
      </c>
      <c r="H1410" s="21">
        <f>+IF(F1410="i",IFERROR(VLOOKUP(C1410,'BG 12.2024'!$B:$E,4,FALSE),0),0)</f>
        <v>0</v>
      </c>
      <c r="I1410" s="616"/>
      <c r="J1410" s="28">
        <f>IF(F1410="I",IFERROR(VLOOKUP(C1410,'BG 12.2023'!$B$6:$E$819,3,FALSE),0),0)</f>
        <v>0</v>
      </c>
      <c r="K1410" s="28">
        <f>IF(F1410="I",IFERROR(VLOOKUP(C1410,'BG 12.2023'!$B$6:$E$819,4,FALSE),0),0)</f>
        <v>0</v>
      </c>
      <c r="L1410" s="87">
        <f>+SUMIF('CA FE'!$A$1214:$A$1508,Composición!C1410,'CA FE'!$C$1214:$C$1508)</f>
        <v>0</v>
      </c>
      <c r="M1410" s="15">
        <f>+VLOOKUP(C1410,'BG 2023'!$B:$E,1,0)</f>
        <v>51305211</v>
      </c>
      <c r="N1410" s="806">
        <f>+VLOOKUP(C1410,'BG 2023'!$B:$E,3,0)-J1410</f>
        <v>1157423177</v>
      </c>
      <c r="O1410" s="807">
        <f t="shared" si="123"/>
        <v>1157423177</v>
      </c>
      <c r="P1410" s="807"/>
      <c r="R1410" s="807">
        <f>+IFERROR(VLOOKUP(C1410,'CA FE'!$A:$C,3,0),0)-G1410</f>
        <v>0</v>
      </c>
    </row>
    <row r="1411" spans="1:19" s="87" customFormat="1">
      <c r="A1411" s="77" t="s">
        <v>395</v>
      </c>
      <c r="B1411" s="77"/>
      <c r="C1411" s="793">
        <v>5130521101</v>
      </c>
      <c r="D1411" s="77" t="s">
        <v>1078</v>
      </c>
      <c r="E1411" s="794" t="s">
        <v>634</v>
      </c>
      <c r="F1411" s="794" t="str">
        <f t="shared" si="125"/>
        <v>I</v>
      </c>
      <c r="G1411" s="28">
        <f>+IF(F1411="i",IFERROR(VLOOKUP(C1411,'BG 12.2024'!$B:$E,3,FALSE),0),0)</f>
        <v>0</v>
      </c>
      <c r="H1411" s="21">
        <f>+IF(F1411="i",IFERROR(VLOOKUP(C1411,'BG 12.2024'!$B:$E,4,FALSE),0),0)</f>
        <v>0</v>
      </c>
      <c r="I1411" s="616"/>
      <c r="J1411" s="28">
        <f>IF(F1411="I",IFERROR(VLOOKUP(C1411,'BG 12.2023'!$B$6:$E$819,3,FALSE),0),0)</f>
        <v>0</v>
      </c>
      <c r="K1411" s="28">
        <f>IF(F1411="I",IFERROR(VLOOKUP(C1411,'BG 12.2023'!$B$6:$E$819,4,FALSE),0),0)</f>
        <v>0</v>
      </c>
      <c r="L1411" s="87">
        <f>+SUMIF('CA FE'!$A$1214:$A$1508,Composición!C1411,'CA FE'!$C$1214:$C$1508)</f>
        <v>0</v>
      </c>
      <c r="M1411" s="15" t="e">
        <f>+VLOOKUP(C1411,'BG 2023'!$B:$E,1,0)</f>
        <v>#N/A</v>
      </c>
      <c r="N1411" s="819" t="e">
        <f>+VLOOKUP(C1411,'BG 12.2024'!$B:$E,3,0)</f>
        <v>#N/A</v>
      </c>
      <c r="O1411" s="807" t="e">
        <f t="shared" ref="O1411:O1415" si="131">+N1411-J1411</f>
        <v>#N/A</v>
      </c>
      <c r="P1411" s="807"/>
      <c r="R1411" s="807">
        <f>+IFERROR(VLOOKUP(C1411,'CA FE'!$A:$C,3,0),0)-G1411</f>
        <v>0</v>
      </c>
    </row>
    <row r="1412" spans="1:19" s="1367" customFormat="1">
      <c r="A1412" s="1376" t="s">
        <v>395</v>
      </c>
      <c r="B1412" s="1376" t="s">
        <v>461</v>
      </c>
      <c r="C1412" s="1375">
        <v>5130521102</v>
      </c>
      <c r="D1412" s="1376" t="s">
        <v>463</v>
      </c>
      <c r="E1412" s="1374" t="s">
        <v>634</v>
      </c>
      <c r="F1412" s="1374" t="str">
        <f t="shared" si="125"/>
        <v>I</v>
      </c>
      <c r="G1412" s="1373">
        <f>+IF(F1412="i",IFERROR(VLOOKUP(C1412,'BG 12.2024'!$B:$E,3,FALSE),0),0)</f>
        <v>388269778</v>
      </c>
      <c r="H1412" s="1372">
        <f>+IF(F1412="i",IFERROR(VLOOKUP(C1412,'BG 12.2024'!$B:$E,4,FALSE),0),0)</f>
        <v>52850</v>
      </c>
      <c r="I1412" s="1371"/>
      <c r="J1412" s="1373">
        <f>IF(F1412="I",IFERROR(VLOOKUP(C1412,'BG 12.2023'!$B$6:$E$819,3,FALSE),0),0)</f>
        <v>361724754</v>
      </c>
      <c r="K1412" s="1373">
        <f>IF(F1412="I",IFERROR(VLOOKUP(C1412,'BG 12.2023'!$B$6:$E$819,4,FALSE),0),0)</f>
        <v>50000.04</v>
      </c>
      <c r="L1412" s="1367">
        <f>+SUMIF('CA FE'!$A$1214:$A$1508,Composición!C1412,'CA FE'!$C$1214:$C$1508)</f>
        <v>388269778</v>
      </c>
      <c r="M1412" s="1370">
        <f>+VLOOKUP(C1412,'BG 2023'!$B:$E,1,0)</f>
        <v>5130521102</v>
      </c>
      <c r="N1412" s="1369">
        <f>+VLOOKUP(C1412,'BG 12.2024'!$B:$E,3,0)</f>
        <v>388269778</v>
      </c>
      <c r="O1412" s="1368">
        <f t="shared" si="131"/>
        <v>26545024</v>
      </c>
      <c r="P1412" s="1368"/>
      <c r="R1412" s="1368">
        <f>+IFERROR(VLOOKUP(C1412,'CA FE'!$A:$C,3,0),0)-G1412</f>
        <v>0</v>
      </c>
    </row>
    <row r="1413" spans="1:19" s="87" customFormat="1">
      <c r="A1413" s="77" t="s">
        <v>395</v>
      </c>
      <c r="B1413" s="77"/>
      <c r="C1413" s="793">
        <v>5130521103</v>
      </c>
      <c r="D1413" s="77" t="s">
        <v>1079</v>
      </c>
      <c r="E1413" s="794" t="s">
        <v>634</v>
      </c>
      <c r="F1413" s="794" t="str">
        <f t="shared" si="125"/>
        <v>I</v>
      </c>
      <c r="G1413" s="28">
        <f>+IF(F1413="i",IFERROR(VLOOKUP(C1413,'BG 12.2024'!$B:$E,3,FALSE),0),0)</f>
        <v>0</v>
      </c>
      <c r="H1413" s="21">
        <f>+IF(F1413="i",IFERROR(VLOOKUP(C1413,'BG 12.2024'!$B:$E,4,FALSE),0),0)</f>
        <v>0</v>
      </c>
      <c r="I1413" s="616"/>
      <c r="J1413" s="28">
        <f>IF(F1413="I",IFERROR(VLOOKUP(C1413,'BG 12.2023'!$B$6:$E$819,3,FALSE),0),0)</f>
        <v>0</v>
      </c>
      <c r="K1413" s="28">
        <f>IF(F1413="I",IFERROR(VLOOKUP(C1413,'BG 12.2023'!$B$6:$E$819,4,FALSE),0),0)</f>
        <v>0</v>
      </c>
      <c r="L1413" s="87">
        <f>+SUMIF('CA FE'!$A$1214:$A$1508,Composición!C1413,'CA FE'!$C$1214:$C$1508)</f>
        <v>0</v>
      </c>
      <c r="M1413" s="15" t="e">
        <f>+VLOOKUP(C1413,'BG 2023'!$B:$E,1,0)</f>
        <v>#N/A</v>
      </c>
      <c r="N1413" s="819" t="e">
        <f>+VLOOKUP(C1413,'BG 12.2024'!$B:$E,3,0)</f>
        <v>#N/A</v>
      </c>
      <c r="O1413" s="807" t="e">
        <f t="shared" si="131"/>
        <v>#N/A</v>
      </c>
      <c r="P1413" s="807"/>
      <c r="R1413" s="807">
        <f>+IFERROR(VLOOKUP(C1413,'CA FE'!$A:$C,3,0),0)-G1413</f>
        <v>0</v>
      </c>
    </row>
    <row r="1414" spans="1:19" s="87" customFormat="1">
      <c r="A1414" s="77" t="s">
        <v>395</v>
      </c>
      <c r="B1414" s="77" t="s">
        <v>461</v>
      </c>
      <c r="C1414" s="793">
        <v>5130521104</v>
      </c>
      <c r="D1414" s="77" t="s">
        <v>464</v>
      </c>
      <c r="E1414" s="794" t="s">
        <v>634</v>
      </c>
      <c r="F1414" s="794" t="str">
        <f t="shared" si="125"/>
        <v>I</v>
      </c>
      <c r="G1414" s="28">
        <f>+IF(F1414="i",IFERROR(VLOOKUP(C1414,'BG 12.2024'!$B:$E,3,FALSE),0),0)</f>
        <v>596516932</v>
      </c>
      <c r="H1414" s="21">
        <f>+IF(F1414="i",IFERROR(VLOOKUP(C1414,'BG 12.2024'!$B:$E,4,FALSE),0),0)</f>
        <v>82180.97</v>
      </c>
      <c r="I1414" s="616"/>
      <c r="J1414" s="28">
        <f>IF(F1414="I",IFERROR(VLOOKUP(C1414,'BG 12.2023'!$B$6:$E$819,3,FALSE),0),0)</f>
        <v>425583425</v>
      </c>
      <c r="K1414" s="28">
        <f>IF(F1414="I",IFERROR(VLOOKUP(C1414,'BG 12.2023'!$B$6:$E$819,4,FALSE),0),0)</f>
        <v>61112.37</v>
      </c>
      <c r="L1414" s="87">
        <f>+SUMIF('CA FE'!$A$1214:$A$1508,Composición!C1414,'CA FE'!$C$1214:$C$1508)</f>
        <v>596516932</v>
      </c>
      <c r="M1414" s="15">
        <f>+VLOOKUP(C1414,'BG 2023'!$B:$E,1,0)</f>
        <v>5130521104</v>
      </c>
      <c r="N1414" s="806">
        <f>+VLOOKUP(C1414,'BG 12.2024'!$B:$E,3,0)</f>
        <v>596516932</v>
      </c>
      <c r="O1414" s="807">
        <f t="shared" si="131"/>
        <v>170933507</v>
      </c>
      <c r="P1414" s="807"/>
      <c r="R1414" s="807">
        <f>+IFERROR(VLOOKUP(C1414,'CA FE'!$A:$C,3,0),0)-G1414</f>
        <v>0</v>
      </c>
    </row>
    <row r="1415" spans="1:19" s="87" customFormat="1">
      <c r="A1415" s="77" t="s">
        <v>395</v>
      </c>
      <c r="B1415" s="77" t="s">
        <v>461</v>
      </c>
      <c r="C1415" s="793">
        <v>5130521105</v>
      </c>
      <c r="D1415" s="77" t="s">
        <v>465</v>
      </c>
      <c r="E1415" s="794" t="s">
        <v>634</v>
      </c>
      <c r="F1415" s="794" t="str">
        <f t="shared" si="125"/>
        <v>I</v>
      </c>
      <c r="G1415" s="28">
        <f>+IF(F1415="i",IFERROR(VLOOKUP(C1415,'BG 12.2024'!$B:$E,3,FALSE),0),0)</f>
        <v>0</v>
      </c>
      <c r="H1415" s="21">
        <f>+IF(F1415="i",IFERROR(VLOOKUP(C1415,'BG 12.2024'!$B:$E,4,FALSE),0),0)</f>
        <v>0</v>
      </c>
      <c r="I1415" s="616"/>
      <c r="J1415" s="28">
        <f>IF(F1415="I",IFERROR(VLOOKUP(C1415,'BG 12.2023'!$B$6:$E$819,3,FALSE),0),0)</f>
        <v>370114998</v>
      </c>
      <c r="K1415" s="28">
        <f>IF(F1415="I",IFERROR(VLOOKUP(C1415,'BG 12.2023'!$B$6:$E$819,4,FALSE),0),0)</f>
        <v>53737.979999999996</v>
      </c>
      <c r="L1415" s="87">
        <f>+SUMIF('CA FE'!$A$1214:$A$1508,Composición!C1415,'CA FE'!$C$1214:$C$1508)</f>
        <v>0</v>
      </c>
      <c r="M1415" s="15">
        <f>+VLOOKUP(C1415,'BG 2023'!$B:$E,1,0)</f>
        <v>5130521105</v>
      </c>
      <c r="N1415" s="806" t="e">
        <f>+VLOOKUP(C1415,'BG 12.2024'!$B:$E,3,0)</f>
        <v>#N/A</v>
      </c>
      <c r="O1415" s="807" t="e">
        <f t="shared" si="131"/>
        <v>#N/A</v>
      </c>
      <c r="P1415" s="807"/>
      <c r="R1415" s="807">
        <f>+IFERROR(VLOOKUP(C1415,'CA FE'!$A:$C,3,0),0)-G1415</f>
        <v>0</v>
      </c>
    </row>
    <row r="1416" spans="1:19" s="87" customFormat="1">
      <c r="A1416" s="77" t="s">
        <v>395</v>
      </c>
      <c r="B1416" s="77"/>
      <c r="C1416" s="793">
        <v>51306</v>
      </c>
      <c r="D1416" s="77" t="s">
        <v>466</v>
      </c>
      <c r="E1416" s="794" t="s">
        <v>634</v>
      </c>
      <c r="F1416" s="794" t="str">
        <f t="shared" si="125"/>
        <v>NI</v>
      </c>
      <c r="G1416" s="28">
        <f>+IF(F1416="i",IFERROR(VLOOKUP(C1416,'BG 12.2024'!$B:$E,3,FALSE),0),0)</f>
        <v>0</v>
      </c>
      <c r="H1416" s="21">
        <f>+IF(F1416="i",IFERROR(VLOOKUP(C1416,'BG 12.2024'!$B:$E,4,FALSE),0),0)</f>
        <v>0</v>
      </c>
      <c r="I1416" s="616"/>
      <c r="J1416" s="28">
        <f>IF(F1416="I",IFERROR(VLOOKUP(C1416,'BG 12.2023'!$B$6:$E$819,3,FALSE),0),0)</f>
        <v>0</v>
      </c>
      <c r="K1416" s="28">
        <f>IF(F1416="I",IFERROR(VLOOKUP(C1416,'BG 12.2023'!$B$6:$E$819,4,FALSE),0),0)</f>
        <v>0</v>
      </c>
      <c r="L1416" s="87">
        <f>+SUMIF('CA FE'!$A$1214:$A$1508,Composición!C1416,'CA FE'!$C$1214:$C$1508)</f>
        <v>0</v>
      </c>
      <c r="M1416" s="15">
        <f>+VLOOKUP(C1416,'BG 2023'!$B:$E,1,0)</f>
        <v>51306</v>
      </c>
      <c r="N1416" s="806">
        <f>+VLOOKUP(C1416,'BG 2023'!$B:$E,3,0)-J1416</f>
        <v>7655860</v>
      </c>
      <c r="O1416" s="807">
        <f t="shared" si="123"/>
        <v>7655860</v>
      </c>
      <c r="P1416" s="807"/>
      <c r="R1416" s="807">
        <f>+IFERROR(VLOOKUP(C1416,'CA FE'!$A:$C,3,0),0)-G1416</f>
        <v>0</v>
      </c>
    </row>
    <row r="1417" spans="1:19" s="87" customFormat="1">
      <c r="A1417" s="77" t="s">
        <v>395</v>
      </c>
      <c r="B1417" s="77"/>
      <c r="C1417" s="793">
        <v>513061</v>
      </c>
      <c r="D1417" s="77" t="s">
        <v>466</v>
      </c>
      <c r="E1417" s="794" t="s">
        <v>634</v>
      </c>
      <c r="F1417" s="794" t="str">
        <f t="shared" si="125"/>
        <v>NI</v>
      </c>
      <c r="G1417" s="28">
        <f>+IF(F1417="i",IFERROR(VLOOKUP(C1417,'BG 12.2024'!$B:$E,3,FALSE),0),0)</f>
        <v>0</v>
      </c>
      <c r="H1417" s="21">
        <f>+IF(F1417="i",IFERROR(VLOOKUP(C1417,'BG 12.2024'!$B:$E,4,FALSE),0),0)</f>
        <v>0</v>
      </c>
      <c r="I1417" s="616"/>
      <c r="J1417" s="28">
        <f>IF(F1417="I",IFERROR(VLOOKUP(C1417,'BG 12.2023'!$B$6:$E$819,3,FALSE),0),0)</f>
        <v>0</v>
      </c>
      <c r="K1417" s="28">
        <f>IF(F1417="I",IFERROR(VLOOKUP(C1417,'BG 12.2023'!$B$6:$E$819,4,FALSE),0),0)</f>
        <v>0</v>
      </c>
      <c r="L1417" s="87">
        <f>+SUMIF('CA FE'!$A$1214:$A$1508,Composición!C1417,'CA FE'!$C$1214:$C$1508)</f>
        <v>0</v>
      </c>
      <c r="M1417" s="15">
        <f>+VLOOKUP(C1417,'BG 2023'!$B:$E,1,0)</f>
        <v>513061</v>
      </c>
      <c r="N1417" s="806">
        <f>+VLOOKUP(C1417,'BG 2023'!$B:$E,3,0)-J1417</f>
        <v>7655860</v>
      </c>
      <c r="O1417" s="807">
        <f t="shared" si="123"/>
        <v>7655860</v>
      </c>
      <c r="P1417" s="807"/>
      <c r="R1417" s="807">
        <f>+IFERROR(VLOOKUP(C1417,'CA FE'!$A:$C,3,0),0)-G1417</f>
        <v>0</v>
      </c>
    </row>
    <row r="1418" spans="1:19" s="87" customFormat="1">
      <c r="A1418" s="77" t="s">
        <v>395</v>
      </c>
      <c r="B1418" s="77"/>
      <c r="C1418" s="793">
        <v>5130611</v>
      </c>
      <c r="D1418" s="77" t="s">
        <v>466</v>
      </c>
      <c r="E1418" s="794" t="s">
        <v>634</v>
      </c>
      <c r="F1418" s="794" t="str">
        <f t="shared" si="125"/>
        <v>NI</v>
      </c>
      <c r="G1418" s="28">
        <f>+IF(F1418="i",IFERROR(VLOOKUP(C1418,'BG 12.2024'!$B:$E,3,FALSE),0),0)</f>
        <v>0</v>
      </c>
      <c r="H1418" s="21">
        <f>+IF(F1418="i",IFERROR(VLOOKUP(C1418,'BG 12.2024'!$B:$E,4,FALSE),0),0)</f>
        <v>0</v>
      </c>
      <c r="I1418" s="616"/>
      <c r="J1418" s="28">
        <f>IF(F1418="I",IFERROR(VLOOKUP(C1418,'BG 12.2023'!$B$6:$E$819,3,FALSE),0),0)</f>
        <v>0</v>
      </c>
      <c r="K1418" s="28">
        <f>IF(F1418="I",IFERROR(VLOOKUP(C1418,'BG 12.2023'!$B$6:$E$819,4,FALSE),0),0)</f>
        <v>0</v>
      </c>
      <c r="L1418" s="87">
        <f>+SUMIF('CA FE'!$A$1214:$A$1508,Composición!C1418,'CA FE'!$C$1214:$C$1508)</f>
        <v>0</v>
      </c>
      <c r="M1418" s="15">
        <f>+VLOOKUP(C1418,'BG 2023'!$B:$E,1,0)</f>
        <v>5130611</v>
      </c>
      <c r="N1418" s="806">
        <f>+VLOOKUP(C1418,'BG 2023'!$B:$E,3,0)-J1418</f>
        <v>7655860</v>
      </c>
      <c r="O1418" s="807">
        <f t="shared" si="123"/>
        <v>7655860</v>
      </c>
      <c r="P1418" s="807"/>
      <c r="R1418" s="807">
        <f>+IFERROR(VLOOKUP(C1418,'CA FE'!$A:$C,3,0),0)-G1418</f>
        <v>0</v>
      </c>
    </row>
    <row r="1419" spans="1:19" s="87" customFormat="1">
      <c r="A1419" s="77" t="s">
        <v>395</v>
      </c>
      <c r="B1419" s="77"/>
      <c r="C1419" s="793">
        <v>51306111</v>
      </c>
      <c r="D1419" s="77" t="s">
        <v>466</v>
      </c>
      <c r="E1419" s="794" t="s">
        <v>634</v>
      </c>
      <c r="F1419" s="794" t="str">
        <f t="shared" si="125"/>
        <v>NI</v>
      </c>
      <c r="G1419" s="28">
        <f>+IF(F1419="i",IFERROR(VLOOKUP(C1419,'BG 12.2024'!$B:$E,3,FALSE),0),0)</f>
        <v>0</v>
      </c>
      <c r="H1419" s="21">
        <f>+IF(F1419="i",IFERROR(VLOOKUP(C1419,'BG 12.2024'!$B:$E,4,FALSE),0),0)</f>
        <v>0</v>
      </c>
      <c r="I1419" s="616"/>
      <c r="J1419" s="28">
        <f>IF(F1419="I",IFERROR(VLOOKUP(C1419,'BG 12.2023'!$B$6:$E$819,3,FALSE),0),0)</f>
        <v>0</v>
      </c>
      <c r="K1419" s="28">
        <f>IF(F1419="I",IFERROR(VLOOKUP(C1419,'BG 12.2023'!$B$6:$E$819,4,FALSE),0),0)</f>
        <v>0</v>
      </c>
      <c r="L1419" s="87">
        <f>+SUMIF('CA FE'!$A$1214:$A$1508,Composición!C1419,'CA FE'!$C$1214:$C$1508)</f>
        <v>0</v>
      </c>
      <c r="M1419" s="15">
        <f>+VLOOKUP(C1419,'BG 2023'!$B:$E,1,0)</f>
        <v>51306111</v>
      </c>
      <c r="N1419" s="806">
        <f>+VLOOKUP(C1419,'BG 2023'!$B:$E,3,0)-J1419</f>
        <v>7655860</v>
      </c>
      <c r="O1419" s="807">
        <f t="shared" si="123"/>
        <v>7655860</v>
      </c>
      <c r="P1419" s="807"/>
      <c r="R1419" s="807">
        <f>+IFERROR(VLOOKUP(C1419,'CA FE'!$A:$C,3,0),0)-G1419</f>
        <v>0</v>
      </c>
    </row>
    <row r="1420" spans="1:19" s="87" customFormat="1">
      <c r="A1420" s="77" t="s">
        <v>395</v>
      </c>
      <c r="B1420" s="77"/>
      <c r="C1420" s="793">
        <v>5130611101</v>
      </c>
      <c r="D1420" s="77" t="s">
        <v>1080</v>
      </c>
      <c r="E1420" s="794" t="s">
        <v>634</v>
      </c>
      <c r="F1420" s="794" t="str">
        <f t="shared" si="125"/>
        <v>I</v>
      </c>
      <c r="G1420" s="28">
        <f>+IF(F1420="i",IFERROR(VLOOKUP(C1420,'BG 12.2024'!$B:$E,3,FALSE),0),0)</f>
        <v>0</v>
      </c>
      <c r="H1420" s="21">
        <f>+IF(F1420="i",IFERROR(VLOOKUP(C1420,'BG 12.2024'!$B:$E,4,FALSE),0),0)</f>
        <v>0</v>
      </c>
      <c r="I1420" s="616"/>
      <c r="J1420" s="28">
        <f>IF(F1420="I",IFERROR(VLOOKUP(C1420,'BG 12.2023'!$B$6:$E$819,3,FALSE),0),0)</f>
        <v>0</v>
      </c>
      <c r="K1420" s="28">
        <f>IF(F1420="I",IFERROR(VLOOKUP(C1420,'BG 12.2023'!$B$6:$E$819,4,FALSE),0),0)</f>
        <v>0</v>
      </c>
      <c r="L1420" s="87">
        <f>+SUMIF('CA FE'!$A$1214:$A$1508,Composición!C1420,'CA FE'!$C$1214:$C$1508)</f>
        <v>0</v>
      </c>
      <c r="M1420" s="15" t="e">
        <f>+VLOOKUP(C1420,'BG 2023'!$B:$E,1,0)</f>
        <v>#N/A</v>
      </c>
      <c r="N1420" s="819" t="e">
        <f>+VLOOKUP(C1420,'BG 12.2024'!$B:$E,3,0)</f>
        <v>#N/A</v>
      </c>
      <c r="O1420" s="807" t="e">
        <f t="shared" ref="O1420:O1424" si="132">+N1420-J1420</f>
        <v>#N/A</v>
      </c>
      <c r="P1420" s="807"/>
      <c r="R1420" s="807">
        <f>+IFERROR(VLOOKUP(C1420,'CA FE'!$A:$C,3,0),0)-G1420</f>
        <v>0</v>
      </c>
    </row>
    <row r="1421" spans="1:19" s="87" customFormat="1">
      <c r="A1421" s="77" t="s">
        <v>395</v>
      </c>
      <c r="B1421" s="77"/>
      <c r="C1421" s="793">
        <v>5130611102</v>
      </c>
      <c r="D1421" s="77" t="s">
        <v>1081</v>
      </c>
      <c r="E1421" s="794" t="s">
        <v>634</v>
      </c>
      <c r="F1421" s="794" t="str">
        <f t="shared" si="125"/>
        <v>I</v>
      </c>
      <c r="G1421" s="28">
        <f>+IF(F1421="i",IFERROR(VLOOKUP(C1421,'BG 12.2024'!$B:$E,3,FALSE),0),0)</f>
        <v>0</v>
      </c>
      <c r="H1421" s="21">
        <f>+IF(F1421="i",IFERROR(VLOOKUP(C1421,'BG 12.2024'!$B:$E,4,FALSE),0),0)</f>
        <v>0</v>
      </c>
      <c r="I1421" s="616"/>
      <c r="J1421" s="28">
        <f>IF(F1421="I",IFERROR(VLOOKUP(C1421,'BG 12.2023'!$B$6:$E$819,3,FALSE),0),0)</f>
        <v>0</v>
      </c>
      <c r="K1421" s="28">
        <f>IF(F1421="I",IFERROR(VLOOKUP(C1421,'BG 12.2023'!$B$6:$E$819,4,FALSE),0),0)</f>
        <v>0</v>
      </c>
      <c r="L1421" s="87">
        <f>+SUMIF('CA FE'!$A$1214:$A$1508,Composición!C1421,'CA FE'!$C$1214:$C$1508)</f>
        <v>0</v>
      </c>
      <c r="M1421" s="15" t="e">
        <f>+VLOOKUP(C1421,'BG 2023'!$B:$E,1,0)</f>
        <v>#N/A</v>
      </c>
      <c r="N1421" s="819" t="e">
        <f>+VLOOKUP(C1421,'BG 12.2024'!$B:$E,3,0)</f>
        <v>#N/A</v>
      </c>
      <c r="O1421" s="807" t="e">
        <f t="shared" si="132"/>
        <v>#N/A</v>
      </c>
      <c r="P1421" s="807"/>
      <c r="R1421" s="807">
        <f>+IFERROR(VLOOKUP(C1421,'CA FE'!$A:$C,3,0),0)-G1421</f>
        <v>0</v>
      </c>
    </row>
    <row r="1422" spans="1:19" s="87" customFormat="1">
      <c r="A1422" s="77" t="s">
        <v>395</v>
      </c>
      <c r="B1422" s="77"/>
      <c r="C1422" s="793">
        <v>5130611103</v>
      </c>
      <c r="D1422" s="77" t="s">
        <v>843</v>
      </c>
      <c r="E1422" s="794" t="s">
        <v>634</v>
      </c>
      <c r="F1422" s="794" t="str">
        <f t="shared" si="125"/>
        <v>I</v>
      </c>
      <c r="G1422" s="28">
        <f>+IF(F1422="i",IFERROR(VLOOKUP(C1422,'BG 12.2024'!$B:$E,3,FALSE),0),0)</f>
        <v>0</v>
      </c>
      <c r="H1422" s="21">
        <f>+IF(F1422="i",IFERROR(VLOOKUP(C1422,'BG 12.2024'!$B:$E,4,FALSE),0),0)</f>
        <v>0</v>
      </c>
      <c r="I1422" s="616"/>
      <c r="J1422" s="28">
        <f>IF(F1422="I",IFERROR(VLOOKUP(C1422,'BG 12.2023'!$B$6:$E$819,3,FALSE),0),0)</f>
        <v>0</v>
      </c>
      <c r="K1422" s="28">
        <f>IF(F1422="I",IFERROR(VLOOKUP(C1422,'BG 12.2023'!$B$6:$E$819,4,FALSE),0),0)</f>
        <v>0</v>
      </c>
      <c r="L1422" s="87">
        <f>+SUMIF('CA FE'!$A$1214:$A$1508,Composición!C1422,'CA FE'!$C$1214:$C$1508)</f>
        <v>0</v>
      </c>
      <c r="M1422" s="15" t="e">
        <f>+VLOOKUP(C1422,'BG 2023'!$B:$E,1,0)</f>
        <v>#N/A</v>
      </c>
      <c r="N1422" s="819" t="e">
        <f>+VLOOKUP(C1422,'BG 12.2024'!$B:$E,3,0)</f>
        <v>#N/A</v>
      </c>
      <c r="O1422" s="807" t="e">
        <f t="shared" si="132"/>
        <v>#N/A</v>
      </c>
      <c r="P1422" s="807"/>
      <c r="R1422" s="807">
        <f>+IFERROR(VLOOKUP(C1422,'CA FE'!$A:$C,3,0),0)-G1422</f>
        <v>0</v>
      </c>
    </row>
    <row r="1423" spans="1:19" s="87" customFormat="1">
      <c r="A1423" s="77" t="s">
        <v>395</v>
      </c>
      <c r="B1423" s="77"/>
      <c r="C1423" s="793">
        <v>5130611104</v>
      </c>
      <c r="D1423" s="77" t="s">
        <v>844</v>
      </c>
      <c r="E1423" s="794" t="s">
        <v>634</v>
      </c>
      <c r="F1423" s="794" t="str">
        <f t="shared" si="125"/>
        <v>I</v>
      </c>
      <c r="G1423" s="28">
        <f>+IF(F1423="i",IFERROR(VLOOKUP(C1423,'BG 12.2024'!$B:$E,3,FALSE),0),0)</f>
        <v>0</v>
      </c>
      <c r="H1423" s="21">
        <f>+IF(F1423="i",IFERROR(VLOOKUP(C1423,'BG 12.2024'!$B:$E,4,FALSE),0),0)</f>
        <v>0</v>
      </c>
      <c r="I1423" s="616"/>
      <c r="J1423" s="28">
        <f>IF(F1423="I",IFERROR(VLOOKUP(C1423,'BG 12.2023'!$B$6:$E$819,3,FALSE),0),0)</f>
        <v>0</v>
      </c>
      <c r="K1423" s="28">
        <f>IF(F1423="I",IFERROR(VLOOKUP(C1423,'BG 12.2023'!$B$6:$E$819,4,FALSE),0),0)</f>
        <v>0</v>
      </c>
      <c r="L1423" s="87">
        <f>+SUMIF('CA FE'!$A$1214:$A$1508,Composición!C1423,'CA FE'!$C$1214:$C$1508)</f>
        <v>0</v>
      </c>
      <c r="M1423" s="15" t="e">
        <f>+VLOOKUP(C1423,'BG 2023'!$B:$E,1,0)</f>
        <v>#N/A</v>
      </c>
      <c r="N1423" s="819" t="e">
        <f>+VLOOKUP(C1423,'BG 12.2024'!$B:$E,3,0)</f>
        <v>#N/A</v>
      </c>
      <c r="O1423" s="807" t="e">
        <f t="shared" si="132"/>
        <v>#N/A</v>
      </c>
      <c r="P1423" s="807"/>
      <c r="R1423" s="807">
        <f>+IFERROR(VLOOKUP(C1423,'CA FE'!$A:$C,3,0),0)-G1423</f>
        <v>0</v>
      </c>
    </row>
    <row r="1424" spans="1:19" s="87" customFormat="1">
      <c r="A1424" s="77" t="s">
        <v>395</v>
      </c>
      <c r="B1424" s="77" t="s">
        <v>1082</v>
      </c>
      <c r="C1424" s="793">
        <v>5130611105</v>
      </c>
      <c r="D1424" s="77" t="s">
        <v>1083</v>
      </c>
      <c r="E1424" s="794" t="s">
        <v>634</v>
      </c>
      <c r="F1424" s="794" t="str">
        <f t="shared" si="125"/>
        <v>I</v>
      </c>
      <c r="G1424" s="1097">
        <f>+IF(F1424="i",IFERROR(VLOOKUP(C1424,'BG 12.2024'!$B:$E,3,FALSE),0),0)</f>
        <v>7787910</v>
      </c>
      <c r="H1424" s="21">
        <f>+IF(F1424="i",IFERROR(VLOOKUP(C1424,'BG 12.2024'!$B:$E,4,FALSE),0),0)</f>
        <v>1030.2</v>
      </c>
      <c r="I1424" s="616"/>
      <c r="J1424" s="28">
        <f>IF(F1424="I",IFERROR(VLOOKUP(C1424,'BG 12.2023'!$B$6:$E$819,3,FALSE),0),0)</f>
        <v>7655860</v>
      </c>
      <c r="K1424" s="28">
        <f>IF(F1424="I",IFERROR(VLOOKUP(C1424,'BG 12.2023'!$B$6:$E$819,4,FALSE),0),0)</f>
        <v>1046.32</v>
      </c>
      <c r="L1424" s="87">
        <f>+SUMIF('CA FE'!$A$1214:$A$1508,Composición!C1424,'CA FE'!$C$1214:$C$1508)</f>
        <v>7787910</v>
      </c>
      <c r="M1424" s="15">
        <f>+VLOOKUP(C1424,'BG 2023'!$B:$E,1,0)</f>
        <v>5130611105</v>
      </c>
      <c r="N1424" s="806">
        <f>+VLOOKUP(C1424,'BG 12.2024'!$B:$E,3,0)</f>
        <v>7787910</v>
      </c>
      <c r="O1424" s="807">
        <f t="shared" si="132"/>
        <v>132050</v>
      </c>
      <c r="P1424" s="807"/>
      <c r="R1424" s="807">
        <f>+IFERROR(VLOOKUP(C1424,'CA FE'!$A:$C,3,0),0)-G1424</f>
        <v>0</v>
      </c>
      <c r="S1424" s="87" t="s">
        <v>1060</v>
      </c>
    </row>
    <row r="1425" spans="1:19" s="87" customFormat="1">
      <c r="A1425" s="77" t="s">
        <v>395</v>
      </c>
      <c r="B1425" s="77"/>
      <c r="C1425" s="793">
        <v>51307</v>
      </c>
      <c r="D1425" s="77" t="s">
        <v>468</v>
      </c>
      <c r="E1425" s="794" t="s">
        <v>634</v>
      </c>
      <c r="F1425" s="794" t="str">
        <f t="shared" si="125"/>
        <v>NI</v>
      </c>
      <c r="G1425" s="28">
        <f>+IF(F1425="i",IFERROR(VLOOKUP(C1425,'BG 12.2024'!$B:$E,3,FALSE),0),0)</f>
        <v>0</v>
      </c>
      <c r="H1425" s="21">
        <f>+IF(F1425="i",IFERROR(VLOOKUP(C1425,'BG 12.2024'!$B:$E,4,FALSE),0),0)</f>
        <v>0</v>
      </c>
      <c r="I1425" s="616"/>
      <c r="J1425" s="28">
        <f>IF(F1425="I",IFERROR(VLOOKUP(C1425,'BG 12.2023'!$B$6:$E$819,3,FALSE),0),0)</f>
        <v>0</v>
      </c>
      <c r="K1425" s="28">
        <f>IF(F1425="I",IFERROR(VLOOKUP(C1425,'BG 12.2023'!$B$6:$E$819,4,FALSE),0),0)</f>
        <v>0</v>
      </c>
      <c r="L1425" s="87">
        <f>+SUMIF('CA FE'!$A$1214:$A$1508,Composición!C1425,'CA FE'!$C$1214:$C$1508)</f>
        <v>0</v>
      </c>
      <c r="M1425" s="15">
        <f>+VLOOKUP(C1425,'BG 2023'!$B:$E,1,0)</f>
        <v>51307</v>
      </c>
      <c r="N1425" s="806">
        <f>+VLOOKUP(C1425,'BG 2023'!$B:$E,3,0)-J1425</f>
        <v>826940358</v>
      </c>
      <c r="O1425" s="807">
        <f t="shared" ref="O1425:O1481" si="133">+N1425-G1425</f>
        <v>826940358</v>
      </c>
      <c r="P1425" s="807"/>
      <c r="R1425" s="807">
        <f>+IFERROR(VLOOKUP(C1425,'CA FE'!$A:$C,3,0),0)-G1425</f>
        <v>0</v>
      </c>
    </row>
    <row r="1426" spans="1:19" s="87" customFormat="1">
      <c r="A1426" s="77" t="s">
        <v>395</v>
      </c>
      <c r="B1426" s="77"/>
      <c r="C1426" s="793">
        <v>513071</v>
      </c>
      <c r="D1426" s="77" t="s">
        <v>468</v>
      </c>
      <c r="E1426" s="794" t="s">
        <v>634</v>
      </c>
      <c r="F1426" s="794" t="str">
        <f t="shared" si="125"/>
        <v>NI</v>
      </c>
      <c r="G1426" s="28">
        <f>+IF(F1426="i",IFERROR(VLOOKUP(C1426,'BG 12.2024'!$B:$E,3,FALSE),0),0)</f>
        <v>0</v>
      </c>
      <c r="H1426" s="21">
        <f>+IF(F1426="i",IFERROR(VLOOKUP(C1426,'BG 12.2024'!$B:$E,4,FALSE),0),0)</f>
        <v>0</v>
      </c>
      <c r="I1426" s="616"/>
      <c r="J1426" s="28">
        <f>IF(F1426="I",IFERROR(VLOOKUP(C1426,'BG 12.2023'!$B$6:$E$819,3,FALSE),0),0)</f>
        <v>0</v>
      </c>
      <c r="K1426" s="28">
        <f>IF(F1426="I",IFERROR(VLOOKUP(C1426,'BG 12.2023'!$B$6:$E$819,4,FALSE),0),0)</f>
        <v>0</v>
      </c>
      <c r="L1426" s="87">
        <f>+SUMIF('CA FE'!$A$1214:$A$1508,Composición!C1426,'CA FE'!$C$1214:$C$1508)</f>
        <v>0</v>
      </c>
      <c r="M1426" s="15">
        <f>+VLOOKUP(C1426,'BG 2023'!$B:$E,1,0)</f>
        <v>513071</v>
      </c>
      <c r="N1426" s="806">
        <f>+VLOOKUP(C1426,'BG 2023'!$B:$E,3,0)-J1426</f>
        <v>826940358</v>
      </c>
      <c r="O1426" s="807">
        <f t="shared" si="133"/>
        <v>826940358</v>
      </c>
      <c r="P1426" s="807"/>
      <c r="R1426" s="807">
        <f>+IFERROR(VLOOKUP(C1426,'CA FE'!$A:$C,3,0),0)-G1426</f>
        <v>0</v>
      </c>
    </row>
    <row r="1427" spans="1:19" s="87" customFormat="1">
      <c r="A1427" s="77" t="s">
        <v>395</v>
      </c>
      <c r="B1427" s="77"/>
      <c r="C1427" s="793">
        <v>5130711</v>
      </c>
      <c r="D1427" s="77" t="s">
        <v>468</v>
      </c>
      <c r="E1427" s="794" t="s">
        <v>634</v>
      </c>
      <c r="F1427" s="794" t="str">
        <f t="shared" si="125"/>
        <v>NI</v>
      </c>
      <c r="G1427" s="28">
        <f>+IF(F1427="i",IFERROR(VLOOKUP(C1427,'BG 12.2024'!$B:$E,3,FALSE),0),0)</f>
        <v>0</v>
      </c>
      <c r="H1427" s="21">
        <f>+IF(F1427="i",IFERROR(VLOOKUP(C1427,'BG 12.2024'!$B:$E,4,FALSE),0),0)</f>
        <v>0</v>
      </c>
      <c r="I1427" s="616"/>
      <c r="J1427" s="28">
        <f>IF(F1427="I",IFERROR(VLOOKUP(C1427,'BG 12.2023'!$B$6:$E$819,3,FALSE),0),0)</f>
        <v>0</v>
      </c>
      <c r="K1427" s="28">
        <f>IF(F1427="I",IFERROR(VLOOKUP(C1427,'BG 12.2023'!$B$6:$E$819,4,FALSE),0),0)</f>
        <v>0</v>
      </c>
      <c r="L1427" s="87">
        <f>+SUMIF('CA FE'!$A$1214:$A$1508,Composición!C1427,'CA FE'!$C$1214:$C$1508)</f>
        <v>0</v>
      </c>
      <c r="M1427" s="15">
        <f>+VLOOKUP(C1427,'BG 2023'!$B:$E,1,0)</f>
        <v>5130711</v>
      </c>
      <c r="N1427" s="806">
        <f>+VLOOKUP(C1427,'BG 2023'!$B:$E,3,0)-J1427</f>
        <v>826940358</v>
      </c>
      <c r="O1427" s="807">
        <f t="shared" si="133"/>
        <v>826940358</v>
      </c>
      <c r="P1427" s="807"/>
      <c r="R1427" s="807">
        <f>+IFERROR(VLOOKUP(C1427,'CA FE'!$A:$C,3,0),0)-G1427</f>
        <v>0</v>
      </c>
    </row>
    <row r="1428" spans="1:19" s="87" customFormat="1">
      <c r="A1428" s="77" t="s">
        <v>395</v>
      </c>
      <c r="B1428" s="77"/>
      <c r="C1428" s="793">
        <v>51307111</v>
      </c>
      <c r="D1428" s="77" t="s">
        <v>468</v>
      </c>
      <c r="E1428" s="794" t="s">
        <v>634</v>
      </c>
      <c r="F1428" s="794" t="str">
        <f t="shared" si="125"/>
        <v>NI</v>
      </c>
      <c r="G1428" s="28">
        <f>+IF(F1428="i",IFERROR(VLOOKUP(C1428,'BG 12.2024'!$B:$E,3,FALSE),0),0)</f>
        <v>0</v>
      </c>
      <c r="H1428" s="21">
        <f>+IF(F1428="i",IFERROR(VLOOKUP(C1428,'BG 12.2024'!$B:$E,4,FALSE),0),0)</f>
        <v>0</v>
      </c>
      <c r="I1428" s="616"/>
      <c r="J1428" s="28">
        <f>IF(F1428="I",IFERROR(VLOOKUP(C1428,'BG 12.2023'!$B$6:$E$819,3,FALSE),0),0)</f>
        <v>0</v>
      </c>
      <c r="K1428" s="28">
        <f>IF(F1428="I",IFERROR(VLOOKUP(C1428,'BG 12.2023'!$B$6:$E$819,4,FALSE),0),0)</f>
        <v>0</v>
      </c>
      <c r="L1428" s="87">
        <f>+SUMIF('CA FE'!$A$1214:$A$1508,Composición!C1428,'CA FE'!$C$1214:$C$1508)</f>
        <v>0</v>
      </c>
      <c r="M1428" s="15">
        <f>+VLOOKUP(C1428,'BG 2023'!$B:$E,1,0)</f>
        <v>51307111</v>
      </c>
      <c r="N1428" s="806">
        <f>+VLOOKUP(C1428,'BG 2023'!$B:$E,3,0)-J1428</f>
        <v>826940358</v>
      </c>
      <c r="O1428" s="807">
        <f t="shared" si="133"/>
        <v>826940358</v>
      </c>
      <c r="P1428" s="807"/>
      <c r="R1428" s="807">
        <f>+IFERROR(VLOOKUP(C1428,'CA FE'!$A:$C,3,0),0)-G1428</f>
        <v>0</v>
      </c>
    </row>
    <row r="1429" spans="1:19" s="87" customFormat="1">
      <c r="A1429" s="77" t="s">
        <v>395</v>
      </c>
      <c r="B1429" s="77" t="s">
        <v>1084</v>
      </c>
      <c r="C1429" s="793">
        <v>5130711101</v>
      </c>
      <c r="D1429" s="77" t="s">
        <v>1085</v>
      </c>
      <c r="E1429" s="794" t="s">
        <v>634</v>
      </c>
      <c r="F1429" s="794" t="str">
        <f t="shared" si="125"/>
        <v>I</v>
      </c>
      <c r="G1429" s="1097">
        <f>+IF(F1429="i",IFERROR(VLOOKUP(C1429,'BG 12.2024'!$B:$E,3,FALSE),0),0)</f>
        <v>347896370</v>
      </c>
      <c r="H1429" s="21">
        <f>+IF(F1429="i",IFERROR(VLOOKUP(C1429,'BG 12.2024'!$B:$E,4,FALSE),0),0)</f>
        <v>45880.17</v>
      </c>
      <c r="I1429" s="616"/>
      <c r="J1429" s="28">
        <f>IF(F1429="I",IFERROR(VLOOKUP(C1429,'BG 12.2023'!$B$6:$E$819,3,FALSE),0),0)</f>
        <v>349116460</v>
      </c>
      <c r="K1429" s="28">
        <f>IF(F1429="I",IFERROR(VLOOKUP(C1429,'BG 12.2023'!$B$6:$E$819,4,FALSE),0),0)</f>
        <v>47722.73</v>
      </c>
      <c r="L1429" s="87">
        <f>+SUMIF('CA FE'!$A$1214:$A$1508,Composición!C1429,'CA FE'!$C$1214:$C$1508)</f>
        <v>347896370</v>
      </c>
      <c r="M1429" s="15">
        <f>+VLOOKUP(C1429,'BG 2023'!$B:$E,1,0)</f>
        <v>5130711101</v>
      </c>
      <c r="N1429" s="806">
        <f>+VLOOKUP(C1429,'BG 12.2024'!$B:$E,3,0)</f>
        <v>347896370</v>
      </c>
      <c r="O1429" s="807">
        <f t="shared" ref="O1429:O1431" si="134">+N1429-J1429</f>
        <v>-1220090</v>
      </c>
      <c r="P1429" s="807"/>
      <c r="R1429" s="807">
        <f>+IFERROR(VLOOKUP(C1429,'CA FE'!$A:$C,3,0),0)-G1429</f>
        <v>0</v>
      </c>
      <c r="S1429" s="87" t="s">
        <v>1060</v>
      </c>
    </row>
    <row r="1430" spans="1:19" s="87" customFormat="1">
      <c r="A1430" s="77" t="s">
        <v>395</v>
      </c>
      <c r="B1430" s="77" t="s">
        <v>1084</v>
      </c>
      <c r="C1430" s="793">
        <v>5130711102</v>
      </c>
      <c r="D1430" s="77" t="s">
        <v>1086</v>
      </c>
      <c r="E1430" s="794" t="s">
        <v>634</v>
      </c>
      <c r="F1430" s="794" t="str">
        <f t="shared" si="125"/>
        <v>I</v>
      </c>
      <c r="G1430" s="1097">
        <f>+IF(F1430="i",IFERROR(VLOOKUP(C1430,'BG 12.2024'!$B:$E,3,FALSE),0),0)</f>
        <v>75397480</v>
      </c>
      <c r="H1430" s="21">
        <f>+IF(F1430="i",IFERROR(VLOOKUP(C1430,'BG 12.2024'!$B:$E,4,FALSE),0),0)</f>
        <v>10057.14</v>
      </c>
      <c r="I1430" s="616"/>
      <c r="J1430" s="28">
        <f>IF(F1430="I",IFERROR(VLOOKUP(C1430,'BG 12.2023'!$B$6:$E$819,3,FALSE),0),0)</f>
        <v>97080430</v>
      </c>
      <c r="K1430" s="28">
        <f>IF(F1430="I",IFERROR(VLOOKUP(C1430,'BG 12.2023'!$B$6:$E$819,4,FALSE),0),0)</f>
        <v>13257.65</v>
      </c>
      <c r="L1430" s="87">
        <f>+SUMIF('CA FE'!$A$1214:$A$1508,Composición!C1430,'CA FE'!$C$1214:$C$1508)</f>
        <v>75397480</v>
      </c>
      <c r="M1430" s="15">
        <f>+VLOOKUP(C1430,'BG 2023'!$B:$E,1,0)</f>
        <v>5130711102</v>
      </c>
      <c r="N1430" s="806">
        <f>+VLOOKUP(C1430,'BG 12.2024'!$B:$E,3,0)</f>
        <v>75397480</v>
      </c>
      <c r="O1430" s="807">
        <f t="shared" si="134"/>
        <v>-21682950</v>
      </c>
      <c r="P1430" s="807"/>
      <c r="R1430" s="807">
        <f>+IFERROR(VLOOKUP(C1430,'CA FE'!$A:$C,3,0),0)-G1430</f>
        <v>0</v>
      </c>
      <c r="S1430" s="87" t="s">
        <v>1060</v>
      </c>
    </row>
    <row r="1431" spans="1:19" s="87" customFormat="1">
      <c r="A1431" s="77" t="s">
        <v>395</v>
      </c>
      <c r="B1431" s="77" t="s">
        <v>1084</v>
      </c>
      <c r="C1431" s="793">
        <v>5130711103</v>
      </c>
      <c r="D1431" s="77" t="s">
        <v>472</v>
      </c>
      <c r="E1431" s="794" t="s">
        <v>634</v>
      </c>
      <c r="F1431" s="794" t="str">
        <f t="shared" si="125"/>
        <v>I</v>
      </c>
      <c r="G1431" s="1097">
        <f>+IF(F1431="i",IFERROR(VLOOKUP(C1431,'BG 12.2024'!$B:$E,3,FALSE),0),0)</f>
        <v>309453386</v>
      </c>
      <c r="H1431" s="21">
        <f>+IF(F1431="i",IFERROR(VLOOKUP(C1431,'BG 12.2024'!$B:$E,4,FALSE),0),0)</f>
        <v>40799.599999999999</v>
      </c>
      <c r="I1431" s="616"/>
      <c r="J1431" s="28">
        <f>IF(F1431="I",IFERROR(VLOOKUP(C1431,'BG 12.2023'!$B$6:$E$819,3,FALSE),0),0)</f>
        <v>380743468</v>
      </c>
      <c r="K1431" s="28">
        <f>IF(F1431="I",IFERROR(VLOOKUP(C1431,'BG 12.2023'!$B$6:$E$819,4,FALSE),0),0)</f>
        <v>52905.99</v>
      </c>
      <c r="L1431" s="87">
        <f>+SUMIF('CA FE'!$A$1214:$A$1508,Composición!C1431,'CA FE'!$C$1214:$C$1508)</f>
        <v>309453386</v>
      </c>
      <c r="M1431" s="15">
        <f>+VLOOKUP(C1431,'BG 2023'!$B:$E,1,0)</f>
        <v>5130711103</v>
      </c>
      <c r="N1431" s="806">
        <f>+VLOOKUP(C1431,'BG 12.2024'!$B:$E,3,0)</f>
        <v>309453386</v>
      </c>
      <c r="O1431" s="807">
        <f t="shared" si="134"/>
        <v>-71290082</v>
      </c>
      <c r="P1431" s="807"/>
      <c r="R1431" s="807">
        <f>+IFERROR(VLOOKUP(C1431,'CA FE'!$A:$C,3,0),0)-G1431</f>
        <v>0</v>
      </c>
      <c r="S1431" s="87" t="s">
        <v>1060</v>
      </c>
    </row>
    <row r="1432" spans="1:19" s="87" customFormat="1">
      <c r="A1432" s="77" t="s">
        <v>395</v>
      </c>
      <c r="B1432" s="77"/>
      <c r="C1432" s="793">
        <v>51308</v>
      </c>
      <c r="D1432" s="77" t="s">
        <v>1087</v>
      </c>
      <c r="E1432" s="794" t="s">
        <v>634</v>
      </c>
      <c r="F1432" s="794" t="str">
        <f t="shared" si="125"/>
        <v>NI</v>
      </c>
      <c r="G1432" s="28">
        <f>+IF(F1432="i",IFERROR(VLOOKUP(C1432,'BG 12.2024'!$B:$E,3,FALSE),0),0)</f>
        <v>0</v>
      </c>
      <c r="H1432" s="21">
        <f>+IF(F1432="i",IFERROR(VLOOKUP(C1432,'BG 12.2024'!$B:$E,4,FALSE),0),0)</f>
        <v>0</v>
      </c>
      <c r="I1432" s="616"/>
      <c r="J1432" s="28">
        <f>IF(F1432="I",IFERROR(VLOOKUP(C1432,'BG 12.2023'!$B$6:$E$819,3,FALSE),0),0)</f>
        <v>0</v>
      </c>
      <c r="K1432" s="28">
        <f>IF(F1432="I",IFERROR(VLOOKUP(C1432,'BG 12.2023'!$B$6:$E$819,4,FALSE),0),0)</f>
        <v>0</v>
      </c>
      <c r="L1432" s="87">
        <f>+SUMIF('CA FE'!$A$1214:$A$1508,Composición!C1432,'CA FE'!$C$1214:$C$1508)</f>
        <v>0</v>
      </c>
      <c r="M1432" s="15" t="e">
        <f>+VLOOKUP(C1432,'BG 2023'!$B:$E,1,0)</f>
        <v>#N/A</v>
      </c>
      <c r="N1432" s="806" t="e">
        <f>+VLOOKUP(C1432,'BG 2023'!$B:$E,3,0)-J1432</f>
        <v>#N/A</v>
      </c>
      <c r="O1432" s="807" t="e">
        <f t="shared" si="133"/>
        <v>#N/A</v>
      </c>
      <c r="P1432" s="807"/>
      <c r="R1432" s="807">
        <f>+IFERROR(VLOOKUP(C1432,'CA FE'!$A:$C,3,0),0)-G1432</f>
        <v>0</v>
      </c>
    </row>
    <row r="1433" spans="1:19" s="87" customFormat="1">
      <c r="A1433" s="77" t="s">
        <v>395</v>
      </c>
      <c r="B1433" s="77"/>
      <c r="C1433" s="793">
        <v>513081</v>
      </c>
      <c r="D1433" s="77" t="s">
        <v>1087</v>
      </c>
      <c r="E1433" s="794" t="s">
        <v>634</v>
      </c>
      <c r="F1433" s="794" t="str">
        <f t="shared" si="125"/>
        <v>NI</v>
      </c>
      <c r="G1433" s="28">
        <f>+IF(F1433="i",IFERROR(VLOOKUP(C1433,'BG 12.2024'!$B:$E,3,FALSE),0),0)</f>
        <v>0</v>
      </c>
      <c r="H1433" s="21">
        <f>+IF(F1433="i",IFERROR(VLOOKUP(C1433,'BG 12.2024'!$B:$E,4,FALSE),0),0)</f>
        <v>0</v>
      </c>
      <c r="I1433" s="616"/>
      <c r="J1433" s="28">
        <f>IF(F1433="I",IFERROR(VLOOKUP(C1433,'BG 12.2023'!$B$6:$E$819,3,FALSE),0),0)</f>
        <v>0</v>
      </c>
      <c r="K1433" s="28">
        <f>IF(F1433="I",IFERROR(VLOOKUP(C1433,'BG 12.2023'!$B$6:$E$819,4,FALSE),0),0)</f>
        <v>0</v>
      </c>
      <c r="L1433" s="87">
        <f>+SUMIF('CA FE'!$A$1214:$A$1508,Composición!C1433,'CA FE'!$C$1214:$C$1508)</f>
        <v>0</v>
      </c>
      <c r="M1433" s="15" t="e">
        <f>+VLOOKUP(C1433,'BG 2023'!$B:$E,1,0)</f>
        <v>#N/A</v>
      </c>
      <c r="N1433" s="806" t="e">
        <f>+VLOOKUP(C1433,'BG 2023'!$B:$E,3,0)-J1433</f>
        <v>#N/A</v>
      </c>
      <c r="O1433" s="807" t="e">
        <f t="shared" si="133"/>
        <v>#N/A</v>
      </c>
      <c r="P1433" s="807"/>
      <c r="R1433" s="807">
        <f>+IFERROR(VLOOKUP(C1433,'CA FE'!$A:$C,3,0),0)-G1433</f>
        <v>0</v>
      </c>
    </row>
    <row r="1434" spans="1:19" s="87" customFormat="1">
      <c r="A1434" s="77" t="s">
        <v>395</v>
      </c>
      <c r="B1434" s="77"/>
      <c r="C1434" s="793">
        <v>5130811</v>
      </c>
      <c r="D1434" s="77" t="s">
        <v>1087</v>
      </c>
      <c r="E1434" s="794" t="s">
        <v>634</v>
      </c>
      <c r="F1434" s="794" t="str">
        <f t="shared" ref="F1434:F1500" si="135">+IF(LEN(C1434)&gt;8,"I","NI")</f>
        <v>NI</v>
      </c>
      <c r="G1434" s="28">
        <f>+IF(F1434="i",IFERROR(VLOOKUP(C1434,'BG 12.2024'!$B:$E,3,FALSE),0),0)</f>
        <v>0</v>
      </c>
      <c r="H1434" s="21">
        <f>+IF(F1434="i",IFERROR(VLOOKUP(C1434,'BG 12.2024'!$B:$E,4,FALSE),0),0)</f>
        <v>0</v>
      </c>
      <c r="I1434" s="616"/>
      <c r="J1434" s="28">
        <f>IF(F1434="I",IFERROR(VLOOKUP(C1434,'BG 12.2023'!$B$6:$E$819,3,FALSE),0),0)</f>
        <v>0</v>
      </c>
      <c r="K1434" s="28">
        <f>IF(F1434="I",IFERROR(VLOOKUP(C1434,'BG 12.2023'!$B$6:$E$819,4,FALSE),0),0)</f>
        <v>0</v>
      </c>
      <c r="L1434" s="87">
        <f>+SUMIF('CA FE'!$A$1214:$A$1508,Composición!C1434,'CA FE'!$C$1214:$C$1508)</f>
        <v>0</v>
      </c>
      <c r="M1434" s="15" t="e">
        <f>+VLOOKUP(C1434,'BG 2023'!$B:$E,1,0)</f>
        <v>#N/A</v>
      </c>
      <c r="N1434" s="806" t="e">
        <f>+VLOOKUP(C1434,'BG 2023'!$B:$E,3,0)-J1434</f>
        <v>#N/A</v>
      </c>
      <c r="O1434" s="807" t="e">
        <f t="shared" si="133"/>
        <v>#N/A</v>
      </c>
      <c r="P1434" s="807"/>
      <c r="R1434" s="807">
        <f>+IFERROR(VLOOKUP(C1434,'CA FE'!$A:$C,3,0),0)-G1434</f>
        <v>0</v>
      </c>
    </row>
    <row r="1435" spans="1:19" s="87" customFormat="1">
      <c r="A1435" s="77" t="s">
        <v>395</v>
      </c>
      <c r="B1435" s="77"/>
      <c r="C1435" s="793">
        <v>51308111</v>
      </c>
      <c r="D1435" s="77" t="s">
        <v>1087</v>
      </c>
      <c r="E1435" s="794" t="s">
        <v>634</v>
      </c>
      <c r="F1435" s="794" t="str">
        <f t="shared" si="135"/>
        <v>NI</v>
      </c>
      <c r="G1435" s="28">
        <f>+IF(F1435="i",IFERROR(VLOOKUP(C1435,'BG 12.2024'!$B:$E,3,FALSE),0),0)</f>
        <v>0</v>
      </c>
      <c r="H1435" s="21">
        <f>+IF(F1435="i",IFERROR(VLOOKUP(C1435,'BG 12.2024'!$B:$E,4,FALSE),0),0)</f>
        <v>0</v>
      </c>
      <c r="I1435" s="616"/>
      <c r="J1435" s="28">
        <f>IF(F1435="I",IFERROR(VLOOKUP(C1435,'BG 12.2023'!$B$6:$E$819,3,FALSE),0),0)</f>
        <v>0</v>
      </c>
      <c r="K1435" s="28">
        <f>IF(F1435="I",IFERROR(VLOOKUP(C1435,'BG 12.2023'!$B$6:$E$819,4,FALSE),0),0)</f>
        <v>0</v>
      </c>
      <c r="L1435" s="87">
        <f>+SUMIF('CA FE'!$A$1214:$A$1508,Composición!C1435,'CA FE'!$C$1214:$C$1508)</f>
        <v>0</v>
      </c>
      <c r="M1435" s="15" t="e">
        <f>+VLOOKUP(C1435,'BG 2023'!$B:$E,1,0)</f>
        <v>#N/A</v>
      </c>
      <c r="N1435" s="806" t="e">
        <f>+VLOOKUP(C1435,'BG 2023'!$B:$E,3,0)-J1435</f>
        <v>#N/A</v>
      </c>
      <c r="O1435" s="807" t="e">
        <f t="shared" si="133"/>
        <v>#N/A</v>
      </c>
      <c r="P1435" s="807"/>
      <c r="R1435" s="807">
        <f>+IFERROR(VLOOKUP(C1435,'CA FE'!$A:$C,3,0),0)-G1435</f>
        <v>0</v>
      </c>
    </row>
    <row r="1436" spans="1:19" s="87" customFormat="1">
      <c r="A1436" s="77" t="s">
        <v>395</v>
      </c>
      <c r="B1436" s="77" t="s">
        <v>1057</v>
      </c>
      <c r="C1436" s="793">
        <v>5130811101</v>
      </c>
      <c r="D1436" s="77" t="s">
        <v>1088</v>
      </c>
      <c r="E1436" s="794" t="s">
        <v>634</v>
      </c>
      <c r="F1436" s="794" t="str">
        <f t="shared" si="135"/>
        <v>I</v>
      </c>
      <c r="G1436" s="28">
        <f>+IF(F1436="i",IFERROR(VLOOKUP(C1436,'BG 12.2024'!$B:$E,3,FALSE),0),0)</f>
        <v>0</v>
      </c>
      <c r="H1436" s="21">
        <f>+IF(F1436="i",IFERROR(VLOOKUP(C1436,'BG 12.2024'!$B:$E,4,FALSE),0),0)</f>
        <v>0</v>
      </c>
      <c r="I1436" s="616"/>
      <c r="J1436" s="28">
        <f>IF(F1436="I",IFERROR(VLOOKUP(C1436,'BG 12.2023'!$B$6:$E$819,3,FALSE),0),0)</f>
        <v>0</v>
      </c>
      <c r="K1436" s="28">
        <f>IF(F1436="I",IFERROR(VLOOKUP(C1436,'BG 12.2023'!$B$6:$E$819,4,FALSE),0),0)</f>
        <v>0</v>
      </c>
      <c r="L1436" s="87">
        <f>+SUMIF('CA FE'!$A$1214:$A$1508,Composición!C1436,'CA FE'!$C$1214:$C$1508)</f>
        <v>0</v>
      </c>
      <c r="M1436" s="15" t="e">
        <f>+VLOOKUP(C1436,'BG 2023'!$B:$E,1,0)</f>
        <v>#N/A</v>
      </c>
      <c r="N1436" s="819" t="e">
        <f>+VLOOKUP(C1436,'BG 12.2024'!$B:$E,3,0)</f>
        <v>#N/A</v>
      </c>
      <c r="O1436" s="807" t="e">
        <f>+N1436-J1436</f>
        <v>#N/A</v>
      </c>
      <c r="P1436" s="807"/>
      <c r="R1436" s="807">
        <f>+IFERROR(VLOOKUP(C1436,'CA FE'!$A:$C,3,0),0)-G1436</f>
        <v>0</v>
      </c>
    </row>
    <row r="1437" spans="1:19" s="87" customFormat="1">
      <c r="A1437" s="77" t="s">
        <v>395</v>
      </c>
      <c r="B1437" s="77"/>
      <c r="C1437" s="793">
        <v>51309</v>
      </c>
      <c r="D1437" s="77" t="s">
        <v>473</v>
      </c>
      <c r="E1437" s="794" t="s">
        <v>634</v>
      </c>
      <c r="F1437" s="794" t="str">
        <f t="shared" si="135"/>
        <v>NI</v>
      </c>
      <c r="G1437" s="28">
        <f>+IF(F1437="i",IFERROR(VLOOKUP(C1437,'BG 12.2024'!$B:$E,3,FALSE),0),0)</f>
        <v>0</v>
      </c>
      <c r="H1437" s="21">
        <f>+IF(F1437="i",IFERROR(VLOOKUP(C1437,'BG 12.2024'!$B:$E,4,FALSE),0),0)</f>
        <v>0</v>
      </c>
      <c r="I1437" s="616"/>
      <c r="J1437" s="28">
        <f>IF(F1437="I",IFERROR(VLOOKUP(C1437,'BG 12.2023'!$B$6:$E$819,3,FALSE),0),0)</f>
        <v>0</v>
      </c>
      <c r="K1437" s="28">
        <f>IF(F1437="I",IFERROR(VLOOKUP(C1437,'BG 12.2023'!$B$6:$E$819,4,FALSE),0),0)</f>
        <v>0</v>
      </c>
      <c r="L1437" s="87">
        <f>+SUMIF('CA FE'!$A$1214:$A$1508,Composición!C1437,'CA FE'!$C$1214:$C$1508)</f>
        <v>0</v>
      </c>
      <c r="M1437" s="15">
        <f>+VLOOKUP(C1437,'BG 2023'!$B:$E,1,0)</f>
        <v>51309</v>
      </c>
      <c r="N1437" s="806">
        <f>+VLOOKUP(C1437,'BG 2023'!$B:$E,3,0)-J1437</f>
        <v>21304489</v>
      </c>
      <c r="O1437" s="807">
        <f t="shared" si="133"/>
        <v>21304489</v>
      </c>
      <c r="P1437" s="807"/>
      <c r="R1437" s="807">
        <f>+IFERROR(VLOOKUP(C1437,'CA FE'!$A:$C,3,0),0)-G1437</f>
        <v>0</v>
      </c>
    </row>
    <row r="1438" spans="1:19" s="87" customFormat="1">
      <c r="A1438" s="77" t="s">
        <v>395</v>
      </c>
      <c r="B1438" s="77"/>
      <c r="C1438" s="793">
        <v>513091</v>
      </c>
      <c r="D1438" s="77" t="s">
        <v>473</v>
      </c>
      <c r="E1438" s="794" t="s">
        <v>634</v>
      </c>
      <c r="F1438" s="794" t="str">
        <f t="shared" si="135"/>
        <v>NI</v>
      </c>
      <c r="G1438" s="28">
        <f>+IF(F1438="i",IFERROR(VLOOKUP(C1438,'BG 12.2024'!$B:$E,3,FALSE),0),0)</f>
        <v>0</v>
      </c>
      <c r="H1438" s="21">
        <f>+IF(F1438="i",IFERROR(VLOOKUP(C1438,'BG 12.2024'!$B:$E,4,FALSE),0),0)</f>
        <v>0</v>
      </c>
      <c r="I1438" s="616"/>
      <c r="J1438" s="28">
        <f>IF(F1438="I",IFERROR(VLOOKUP(C1438,'BG 12.2023'!$B$6:$E$819,3,FALSE),0),0)</f>
        <v>0</v>
      </c>
      <c r="K1438" s="28">
        <f>IF(F1438="I",IFERROR(VLOOKUP(C1438,'BG 12.2023'!$B$6:$E$819,4,FALSE),0),0)</f>
        <v>0</v>
      </c>
      <c r="L1438" s="87">
        <f>+SUMIF('CA FE'!$A$1214:$A$1508,Composición!C1438,'CA FE'!$C$1214:$C$1508)</f>
        <v>0</v>
      </c>
      <c r="M1438" s="15">
        <f>+VLOOKUP(C1438,'BG 2023'!$B:$E,1,0)</f>
        <v>513091</v>
      </c>
      <c r="N1438" s="806">
        <f>+VLOOKUP(C1438,'BG 2023'!$B:$E,3,0)-J1438</f>
        <v>21304489</v>
      </c>
      <c r="O1438" s="807">
        <f t="shared" si="133"/>
        <v>21304489</v>
      </c>
      <c r="P1438" s="807"/>
      <c r="R1438" s="807">
        <f>+IFERROR(VLOOKUP(C1438,'CA FE'!$A:$C,3,0),0)-G1438</f>
        <v>0</v>
      </c>
    </row>
    <row r="1439" spans="1:19" s="87" customFormat="1">
      <c r="A1439" s="77" t="s">
        <v>395</v>
      </c>
      <c r="B1439" s="77"/>
      <c r="C1439" s="793">
        <v>5130911</v>
      </c>
      <c r="D1439" s="77" t="s">
        <v>473</v>
      </c>
      <c r="E1439" s="794" t="s">
        <v>634</v>
      </c>
      <c r="F1439" s="794" t="str">
        <f t="shared" si="135"/>
        <v>NI</v>
      </c>
      <c r="G1439" s="28">
        <f>+IF(F1439="i",IFERROR(VLOOKUP(C1439,'BG 12.2024'!$B:$E,3,FALSE),0),0)</f>
        <v>0</v>
      </c>
      <c r="H1439" s="21">
        <f>+IF(F1439="i",IFERROR(VLOOKUP(C1439,'BG 12.2024'!$B:$E,4,FALSE),0),0)</f>
        <v>0</v>
      </c>
      <c r="I1439" s="616"/>
      <c r="J1439" s="28">
        <f>IF(F1439="I",IFERROR(VLOOKUP(C1439,'BG 12.2023'!$B$6:$E$819,3,FALSE),0),0)</f>
        <v>0</v>
      </c>
      <c r="K1439" s="28">
        <f>IF(F1439="I",IFERROR(VLOOKUP(C1439,'BG 12.2023'!$B$6:$E$819,4,FALSE),0),0)</f>
        <v>0</v>
      </c>
      <c r="L1439" s="87">
        <f>+SUMIF('CA FE'!$A$1214:$A$1508,Composición!C1439,'CA FE'!$C$1214:$C$1508)</f>
        <v>0</v>
      </c>
      <c r="M1439" s="15">
        <f>+VLOOKUP(C1439,'BG 2023'!$B:$E,1,0)</f>
        <v>5130911</v>
      </c>
      <c r="N1439" s="806">
        <f>+VLOOKUP(C1439,'BG 2023'!$B:$E,3,0)-J1439</f>
        <v>21304489</v>
      </c>
      <c r="O1439" s="807">
        <f t="shared" si="133"/>
        <v>21304489</v>
      </c>
      <c r="P1439" s="807"/>
      <c r="R1439" s="807">
        <f>+IFERROR(VLOOKUP(C1439,'CA FE'!$A:$C,3,0),0)-G1439</f>
        <v>0</v>
      </c>
    </row>
    <row r="1440" spans="1:19" s="87" customFormat="1">
      <c r="A1440" s="77" t="s">
        <v>395</v>
      </c>
      <c r="B1440" s="77"/>
      <c r="C1440" s="793">
        <v>51309111</v>
      </c>
      <c r="D1440" s="77" t="s">
        <v>473</v>
      </c>
      <c r="E1440" s="794" t="s">
        <v>634</v>
      </c>
      <c r="F1440" s="794" t="str">
        <f t="shared" si="135"/>
        <v>NI</v>
      </c>
      <c r="G1440" s="28">
        <f>+IF(F1440="i",IFERROR(VLOOKUP(C1440,'BG 12.2024'!$B:$E,3,FALSE),0),0)</f>
        <v>0</v>
      </c>
      <c r="H1440" s="21">
        <f>+IF(F1440="i",IFERROR(VLOOKUP(C1440,'BG 12.2024'!$B:$E,4,FALSE),0),0)</f>
        <v>0</v>
      </c>
      <c r="I1440" s="616"/>
      <c r="J1440" s="28">
        <f>IF(F1440="I",IFERROR(VLOOKUP(C1440,'BG 12.2023'!$B$6:$E$819,3,FALSE),0),0)</f>
        <v>0</v>
      </c>
      <c r="K1440" s="28">
        <f>IF(F1440="I",IFERROR(VLOOKUP(C1440,'BG 12.2023'!$B$6:$E$819,4,FALSE),0),0)</f>
        <v>0</v>
      </c>
      <c r="L1440" s="87">
        <f>+SUMIF('CA FE'!$A$1214:$A$1508,Composición!C1440,'CA FE'!$C$1214:$C$1508)</f>
        <v>0</v>
      </c>
      <c r="M1440" s="15">
        <f>+VLOOKUP(C1440,'BG 2023'!$B:$E,1,0)</f>
        <v>51309111</v>
      </c>
      <c r="N1440" s="806">
        <f>+VLOOKUP(C1440,'BG 2023'!$B:$E,3,0)-J1440</f>
        <v>21304489</v>
      </c>
      <c r="O1440" s="807">
        <f t="shared" si="133"/>
        <v>21304489</v>
      </c>
      <c r="P1440" s="807"/>
      <c r="R1440" s="807">
        <f>+IFERROR(VLOOKUP(C1440,'CA FE'!$A:$C,3,0),0)-G1440</f>
        <v>0</v>
      </c>
    </row>
    <row r="1441" spans="1:19" s="87" customFormat="1">
      <c r="A1441" s="77" t="s">
        <v>395</v>
      </c>
      <c r="B1441" s="77"/>
      <c r="C1441" s="793">
        <v>5130911101</v>
      </c>
      <c r="D1441" s="77" t="s">
        <v>1089</v>
      </c>
      <c r="E1441" s="794" t="s">
        <v>634</v>
      </c>
      <c r="F1441" s="794" t="str">
        <f t="shared" si="135"/>
        <v>I</v>
      </c>
      <c r="G1441" s="28">
        <f>+IF(F1441="i",IFERROR(VLOOKUP(C1441,'BG 12.2024'!$B:$E,3,FALSE),0),0)</f>
        <v>0</v>
      </c>
      <c r="H1441" s="21">
        <f>+IF(F1441="i",IFERROR(VLOOKUP(C1441,'BG 12.2024'!$B:$E,4,FALSE),0),0)</f>
        <v>0</v>
      </c>
      <c r="I1441" s="616"/>
      <c r="J1441" s="28">
        <f>IF(F1441="I",IFERROR(VLOOKUP(C1441,'BG 12.2023'!$B$6:$E$819,3,FALSE),0),0)</f>
        <v>0</v>
      </c>
      <c r="K1441" s="28">
        <f>IF(F1441="I",IFERROR(VLOOKUP(C1441,'BG 12.2023'!$B$6:$E$819,4,FALSE),0),0)</f>
        <v>0</v>
      </c>
      <c r="L1441" s="87">
        <f>+SUMIF('CA FE'!$A$1214:$A$1508,Composición!C1441,'CA FE'!$C$1214:$C$1508)</f>
        <v>0</v>
      </c>
      <c r="M1441" s="15" t="e">
        <f>+VLOOKUP(C1441,'BG 2023'!$B:$E,1,0)</f>
        <v>#N/A</v>
      </c>
      <c r="N1441" s="819" t="e">
        <f>+VLOOKUP(C1441,'BG 12.2024'!$B:$E,3,0)</f>
        <v>#N/A</v>
      </c>
      <c r="O1441" s="807" t="e">
        <f t="shared" ref="O1441:O1445" si="136">+N1441-J1441</f>
        <v>#N/A</v>
      </c>
      <c r="P1441" s="807"/>
      <c r="R1441" s="807">
        <f>+IFERROR(VLOOKUP(C1441,'CA FE'!$A:$C,3,0),0)-G1441</f>
        <v>0</v>
      </c>
    </row>
    <row r="1442" spans="1:19" s="87" customFormat="1">
      <c r="A1442" s="77" t="s">
        <v>395</v>
      </c>
      <c r="B1442" s="77" t="s">
        <v>473</v>
      </c>
      <c r="C1442" s="793">
        <v>5130911102</v>
      </c>
      <c r="D1442" s="77" t="s">
        <v>474</v>
      </c>
      <c r="E1442" s="794" t="s">
        <v>634</v>
      </c>
      <c r="F1442" s="794" t="str">
        <f t="shared" si="135"/>
        <v>I</v>
      </c>
      <c r="G1442" s="28">
        <f>+IF(F1442="i",IFERROR(VLOOKUP(C1442,'BG 12.2024'!$B:$E,3,FALSE),0),0)</f>
        <v>15266398</v>
      </c>
      <c r="H1442" s="21">
        <f>+IF(F1442="i",IFERROR(VLOOKUP(C1442,'BG 12.2024'!$B:$E,4,FALSE),0),0)</f>
        <v>2056.7399999999998</v>
      </c>
      <c r="I1442" s="616"/>
      <c r="J1442" s="28">
        <f>IF(F1442="I",IFERROR(VLOOKUP(C1442,'BG 12.2023'!$B$6:$E$819,3,FALSE),0),0)</f>
        <v>17367800</v>
      </c>
      <c r="K1442" s="28">
        <f>IF(F1442="I",IFERROR(VLOOKUP(C1442,'BG 12.2023'!$B$6:$E$819,4,FALSE),0),0)</f>
        <v>2383.9299999999998</v>
      </c>
      <c r="L1442" s="87">
        <f>+SUMIF('CA FE'!$A$1214:$A$1508,Composición!C1442,'CA FE'!$C$1214:$C$1508)</f>
        <v>15266398</v>
      </c>
      <c r="M1442" s="15">
        <f>+VLOOKUP(C1442,'BG 2023'!$B:$E,1,0)</f>
        <v>5130911102</v>
      </c>
      <c r="N1442" s="806">
        <f>+VLOOKUP(C1442,'BG 12.2024'!$B:$E,3,0)</f>
        <v>15266398</v>
      </c>
      <c r="O1442" s="807">
        <f t="shared" si="136"/>
        <v>-2101402</v>
      </c>
      <c r="P1442" s="807"/>
      <c r="R1442" s="807">
        <f>+IFERROR(VLOOKUP(C1442,'CA FE'!$A:$C,3,0),0)-G1442</f>
        <v>0</v>
      </c>
    </row>
    <row r="1443" spans="1:19" s="87" customFormat="1">
      <c r="A1443" s="77" t="s">
        <v>395</v>
      </c>
      <c r="B1443" s="77"/>
      <c r="C1443" s="793">
        <v>5130911103</v>
      </c>
      <c r="D1443" s="77" t="s">
        <v>1090</v>
      </c>
      <c r="E1443" s="794" t="s">
        <v>634</v>
      </c>
      <c r="F1443" s="794" t="str">
        <f t="shared" si="135"/>
        <v>I</v>
      </c>
      <c r="G1443" s="28">
        <f>+IF(F1443="i",IFERROR(VLOOKUP(C1443,'BG 12.2024'!$B:$E,3,FALSE),0),0)</f>
        <v>0</v>
      </c>
      <c r="H1443" s="21">
        <f>+IF(F1443="i",IFERROR(VLOOKUP(C1443,'BG 12.2024'!$B:$E,4,FALSE),0),0)</f>
        <v>0</v>
      </c>
      <c r="I1443" s="616"/>
      <c r="J1443" s="28">
        <f>IF(F1443="I",IFERROR(VLOOKUP(C1443,'BG 12.2023'!$B$6:$E$819,3,FALSE),0),0)</f>
        <v>0</v>
      </c>
      <c r="K1443" s="28">
        <f>IF(F1443="I",IFERROR(VLOOKUP(C1443,'BG 12.2023'!$B$6:$E$819,4,FALSE),0),0)</f>
        <v>0</v>
      </c>
      <c r="L1443" s="87">
        <f>+SUMIF('CA FE'!$A$1214:$A$1508,Composición!C1443,'CA FE'!$C$1214:$C$1508)</f>
        <v>0</v>
      </c>
      <c r="M1443" s="15" t="e">
        <f>+VLOOKUP(C1443,'BG 2023'!$B:$E,1,0)</f>
        <v>#N/A</v>
      </c>
      <c r="N1443" s="819" t="e">
        <f>+VLOOKUP(C1443,'BG 12.2024'!$B:$E,3,0)</f>
        <v>#N/A</v>
      </c>
      <c r="O1443" s="807" t="e">
        <f t="shared" si="136"/>
        <v>#N/A</v>
      </c>
      <c r="P1443" s="807"/>
      <c r="R1443" s="807">
        <f>+IFERROR(VLOOKUP(C1443,'CA FE'!$A:$C,3,0),0)-G1443</f>
        <v>0</v>
      </c>
    </row>
    <row r="1444" spans="1:19" s="87" customFormat="1">
      <c r="A1444" s="77" t="s">
        <v>395</v>
      </c>
      <c r="B1444" s="77" t="s">
        <v>473</v>
      </c>
      <c r="C1444" s="793">
        <v>5130911104</v>
      </c>
      <c r="D1444" s="77" t="s">
        <v>611</v>
      </c>
      <c r="E1444" s="794" t="s">
        <v>634</v>
      </c>
      <c r="F1444" s="794" t="str">
        <f t="shared" si="135"/>
        <v>I</v>
      </c>
      <c r="G1444" s="28">
        <f>+IF(F1444="i",IFERROR(VLOOKUP(C1444,'BG 12.2024'!$B:$E,3,FALSE),0),0)</f>
        <v>4731917</v>
      </c>
      <c r="H1444" s="21">
        <f>+IF(F1444="i",IFERROR(VLOOKUP(C1444,'BG 12.2024'!$B:$E,4,FALSE),0),0)</f>
        <v>648.37</v>
      </c>
      <c r="I1444" s="616"/>
      <c r="J1444" s="28">
        <f>IF(F1444="I",IFERROR(VLOOKUP(C1444,'BG 12.2023'!$B$6:$E$819,3,FALSE),0),0)</f>
        <v>0</v>
      </c>
      <c r="K1444" s="28">
        <f>IF(F1444="I",IFERROR(VLOOKUP(C1444,'BG 12.2023'!$B$6:$E$819,4,FALSE),0),0)</f>
        <v>0</v>
      </c>
      <c r="L1444" s="87">
        <f>+SUMIF('CA FE'!$A$1214:$A$1508,Composición!C1444,'CA FE'!$C$1214:$C$1508)</f>
        <v>4731917</v>
      </c>
      <c r="M1444" s="15" t="e">
        <f>+VLOOKUP(C1444,'BG 2023'!$B:$E,1,0)</f>
        <v>#N/A</v>
      </c>
      <c r="N1444" s="806">
        <f>+VLOOKUP(C1444,'BG 12.2024'!$B:$E,3,0)</f>
        <v>4731917</v>
      </c>
      <c r="O1444" s="807">
        <f t="shared" si="136"/>
        <v>4731917</v>
      </c>
      <c r="P1444" s="807"/>
      <c r="R1444" s="807">
        <f>+IFERROR(VLOOKUP(C1444,'CA FE'!$A:$C,3,0),0)-G1444</f>
        <v>0</v>
      </c>
    </row>
    <row r="1445" spans="1:19" s="87" customFormat="1">
      <c r="A1445" s="77" t="s">
        <v>395</v>
      </c>
      <c r="B1445" s="77" t="s">
        <v>473</v>
      </c>
      <c r="C1445" s="793">
        <v>5130911105</v>
      </c>
      <c r="D1445" s="77" t="s">
        <v>475</v>
      </c>
      <c r="E1445" s="794" t="s">
        <v>634</v>
      </c>
      <c r="F1445" s="794" t="str">
        <f t="shared" si="135"/>
        <v>I</v>
      </c>
      <c r="G1445" s="28">
        <f>+IF(F1445="i",IFERROR(VLOOKUP(C1445,'BG 12.2024'!$B:$E,3,FALSE),0),0)</f>
        <v>4082346</v>
      </c>
      <c r="H1445" s="21">
        <f>+IF(F1445="i",IFERROR(VLOOKUP(C1445,'BG 12.2024'!$B:$E,4,FALSE),0),0)</f>
        <v>562.4</v>
      </c>
      <c r="I1445" s="616"/>
      <c r="J1445" s="28">
        <f>IF(F1445="I",IFERROR(VLOOKUP(C1445,'BG 12.2023'!$B$6:$E$819,3,FALSE),0),0)</f>
        <v>3936689</v>
      </c>
      <c r="K1445" s="28">
        <f>IF(F1445="I",IFERROR(VLOOKUP(C1445,'BG 12.2023'!$B$6:$E$819,4,FALSE),0),0)</f>
        <v>547.01</v>
      </c>
      <c r="L1445" s="87">
        <f>+SUMIF('CA FE'!$A$1214:$A$1508,Composición!C1445,'CA FE'!$C$1214:$C$1508)</f>
        <v>4082346</v>
      </c>
      <c r="M1445" s="15">
        <f>+VLOOKUP(C1445,'BG 2023'!$B:$E,1,0)</f>
        <v>5130911105</v>
      </c>
      <c r="N1445" s="806">
        <f>+VLOOKUP(C1445,'BG 12.2024'!$B:$E,3,0)</f>
        <v>4082346</v>
      </c>
      <c r="O1445" s="807">
        <f t="shared" si="136"/>
        <v>145657</v>
      </c>
      <c r="P1445" s="807"/>
      <c r="R1445" s="807">
        <f>+IFERROR(VLOOKUP(C1445,'CA FE'!$A:$C,3,0),0)-G1445</f>
        <v>0</v>
      </c>
    </row>
    <row r="1446" spans="1:19" s="87" customFormat="1">
      <c r="A1446" s="77" t="s">
        <v>395</v>
      </c>
      <c r="B1446" s="77"/>
      <c r="C1446" s="793">
        <v>51310</v>
      </c>
      <c r="D1446" s="77" t="s">
        <v>476</v>
      </c>
      <c r="E1446" s="794" t="s">
        <v>634</v>
      </c>
      <c r="F1446" s="794" t="str">
        <f t="shared" si="135"/>
        <v>NI</v>
      </c>
      <c r="G1446" s="28">
        <f>+IF(F1446="i",IFERROR(VLOOKUP(C1446,'BG 12.2024'!$B:$E,3,FALSE),0),0)</f>
        <v>0</v>
      </c>
      <c r="H1446" s="21">
        <f>+IF(F1446="i",IFERROR(VLOOKUP(C1446,'BG 12.2024'!$B:$E,4,FALSE),0),0)</f>
        <v>0</v>
      </c>
      <c r="I1446" s="616"/>
      <c r="J1446" s="28">
        <f>IF(F1446="I",IFERROR(VLOOKUP(C1446,'BG 12.2023'!$B$6:$E$819,3,FALSE),0),0)</f>
        <v>0</v>
      </c>
      <c r="K1446" s="28">
        <f>IF(F1446="I",IFERROR(VLOOKUP(C1446,'BG 12.2023'!$B$6:$E$819,4,FALSE),0),0)</f>
        <v>0</v>
      </c>
      <c r="L1446" s="87">
        <f>+SUMIF('CA FE'!$A$1214:$A$1508,Composición!C1446,'CA FE'!$C$1214:$C$1508)</f>
        <v>0</v>
      </c>
      <c r="M1446" s="15" t="e">
        <f>+VLOOKUP(C1446,'BG 2023'!$B:$E,1,0)</f>
        <v>#N/A</v>
      </c>
      <c r="N1446" s="806" t="e">
        <f>+VLOOKUP(C1446,'BG 2023'!$B:$E,3,0)-J1446</f>
        <v>#N/A</v>
      </c>
      <c r="O1446" s="807" t="e">
        <f t="shared" si="133"/>
        <v>#N/A</v>
      </c>
      <c r="P1446" s="807"/>
      <c r="R1446" s="807">
        <f>+IFERROR(VLOOKUP(C1446,'CA FE'!$A:$C,3,0),0)-G1446</f>
        <v>0</v>
      </c>
    </row>
    <row r="1447" spans="1:19" s="87" customFormat="1">
      <c r="A1447" s="77" t="s">
        <v>395</v>
      </c>
      <c r="B1447" s="77"/>
      <c r="C1447" s="793">
        <v>513101</v>
      </c>
      <c r="D1447" s="77" t="s">
        <v>476</v>
      </c>
      <c r="E1447" s="794" t="s">
        <v>634</v>
      </c>
      <c r="F1447" s="794" t="str">
        <f t="shared" si="135"/>
        <v>NI</v>
      </c>
      <c r="G1447" s="28">
        <f>+IF(F1447="i",IFERROR(VLOOKUP(C1447,'BG 12.2024'!$B:$E,3,FALSE),0),0)</f>
        <v>0</v>
      </c>
      <c r="H1447" s="21">
        <f>+IF(F1447="i",IFERROR(VLOOKUP(C1447,'BG 12.2024'!$B:$E,4,FALSE),0),0)</f>
        <v>0</v>
      </c>
      <c r="I1447" s="616"/>
      <c r="J1447" s="28">
        <f>IF(F1447="I",IFERROR(VLOOKUP(C1447,'BG 12.2023'!$B$6:$E$819,3,FALSE),0),0)</f>
        <v>0</v>
      </c>
      <c r="K1447" s="28">
        <f>IF(F1447="I",IFERROR(VLOOKUP(C1447,'BG 12.2023'!$B$6:$E$819,4,FALSE),0),0)</f>
        <v>0</v>
      </c>
      <c r="L1447" s="87">
        <f>+SUMIF('CA FE'!$A$1214:$A$1508,Composición!C1447,'CA FE'!$C$1214:$C$1508)</f>
        <v>0</v>
      </c>
      <c r="M1447" s="15">
        <f>+VLOOKUP(C1447,'BG 2023'!$B:$E,1,0)</f>
        <v>513101</v>
      </c>
      <c r="N1447" s="806">
        <f>+VLOOKUP(C1447,'BG 2023'!$B:$E,3,0)-J1447</f>
        <v>762643723</v>
      </c>
      <c r="O1447" s="807">
        <f t="shared" si="133"/>
        <v>762643723</v>
      </c>
      <c r="P1447" s="807"/>
      <c r="R1447" s="807">
        <f>+IFERROR(VLOOKUP(C1447,'CA FE'!$A:$C,3,0),0)-G1447</f>
        <v>0</v>
      </c>
    </row>
    <row r="1448" spans="1:19" s="87" customFormat="1">
      <c r="A1448" s="77" t="s">
        <v>395</v>
      </c>
      <c r="B1448" s="77"/>
      <c r="C1448" s="793">
        <v>5131011</v>
      </c>
      <c r="D1448" s="77" t="s">
        <v>476</v>
      </c>
      <c r="E1448" s="794" t="s">
        <v>634</v>
      </c>
      <c r="F1448" s="794" t="str">
        <f t="shared" si="135"/>
        <v>NI</v>
      </c>
      <c r="G1448" s="28">
        <f>+IF(F1448="i",IFERROR(VLOOKUP(C1448,'BG 12.2024'!$B:$E,3,FALSE),0),0)</f>
        <v>0</v>
      </c>
      <c r="H1448" s="21">
        <f>+IF(F1448="i",IFERROR(VLOOKUP(C1448,'BG 12.2024'!$B:$E,4,FALSE),0),0)</f>
        <v>0</v>
      </c>
      <c r="I1448" s="616"/>
      <c r="J1448" s="28">
        <f>IF(F1448="I",IFERROR(VLOOKUP(C1448,'BG 12.2023'!$B$6:$E$819,3,FALSE),0),0)</f>
        <v>0</v>
      </c>
      <c r="K1448" s="28">
        <f>IF(F1448="I",IFERROR(VLOOKUP(C1448,'BG 12.2023'!$B$6:$E$819,4,FALSE),0),0)</f>
        <v>0</v>
      </c>
      <c r="L1448" s="87">
        <f>+SUMIF('CA FE'!$A$1214:$A$1508,Composición!C1448,'CA FE'!$C$1214:$C$1508)</f>
        <v>0</v>
      </c>
      <c r="M1448" s="15">
        <f>+VLOOKUP(C1448,'BG 2023'!$B:$E,1,0)</f>
        <v>5131011</v>
      </c>
      <c r="N1448" s="806">
        <f>+VLOOKUP(C1448,'BG 2023'!$B:$E,3,0)-J1448</f>
        <v>762643723</v>
      </c>
      <c r="O1448" s="807">
        <f t="shared" si="133"/>
        <v>762643723</v>
      </c>
      <c r="P1448" s="807"/>
      <c r="R1448" s="807">
        <f>+IFERROR(VLOOKUP(C1448,'CA FE'!$A:$C,3,0),0)-G1448</f>
        <v>0</v>
      </c>
    </row>
    <row r="1449" spans="1:19" s="87" customFormat="1">
      <c r="A1449" s="77" t="s">
        <v>395</v>
      </c>
      <c r="B1449" s="77"/>
      <c r="C1449" s="793">
        <v>51310111</v>
      </c>
      <c r="D1449" s="77" t="s">
        <v>476</v>
      </c>
      <c r="E1449" s="794" t="s">
        <v>634</v>
      </c>
      <c r="F1449" s="794" t="str">
        <f t="shared" si="135"/>
        <v>NI</v>
      </c>
      <c r="G1449" s="28">
        <f>+IF(F1449="i",IFERROR(VLOOKUP(C1449,'BG 12.2024'!$B:$E,3,FALSE),0),0)</f>
        <v>0</v>
      </c>
      <c r="H1449" s="21">
        <f>+IF(F1449="i",IFERROR(VLOOKUP(C1449,'BG 12.2024'!$B:$E,4,FALSE),0),0)</f>
        <v>0</v>
      </c>
      <c r="I1449" s="616"/>
      <c r="J1449" s="28">
        <f>IF(F1449="I",IFERROR(VLOOKUP(C1449,'BG 12.2023'!$B$6:$E$819,3,FALSE),0),0)</f>
        <v>0</v>
      </c>
      <c r="K1449" s="28">
        <f>IF(F1449="I",IFERROR(VLOOKUP(C1449,'BG 12.2023'!$B$6:$E$819,4,FALSE),0),0)</f>
        <v>0</v>
      </c>
      <c r="L1449" s="87">
        <f>+SUMIF('CA FE'!$A$1214:$A$1508,Composición!C1449,'CA FE'!$C$1214:$C$1508)</f>
        <v>0</v>
      </c>
      <c r="M1449" s="15">
        <f>+VLOOKUP(C1449,'BG 2023'!$B:$E,1,0)</f>
        <v>51310111</v>
      </c>
      <c r="N1449" s="806">
        <f>+VLOOKUP(C1449,'BG 2023'!$B:$E,3,0)-J1449</f>
        <v>762643723</v>
      </c>
      <c r="O1449" s="807">
        <f t="shared" si="133"/>
        <v>762643723</v>
      </c>
      <c r="P1449" s="807"/>
      <c r="R1449" s="807">
        <f>+IFERROR(VLOOKUP(C1449,'CA FE'!$A:$C,3,0),0)-G1449</f>
        <v>0</v>
      </c>
    </row>
    <row r="1450" spans="1:19" s="87" customFormat="1">
      <c r="A1450" s="77" t="s">
        <v>395</v>
      </c>
      <c r="B1450" s="77" t="s">
        <v>1091</v>
      </c>
      <c r="C1450" s="793">
        <v>5131011101</v>
      </c>
      <c r="D1450" s="77" t="s">
        <v>1092</v>
      </c>
      <c r="E1450" s="794" t="s">
        <v>634</v>
      </c>
      <c r="F1450" s="794" t="str">
        <f t="shared" si="135"/>
        <v>I</v>
      </c>
      <c r="G1450" s="1097">
        <f>+IF(F1450="i",IFERROR(VLOOKUP(C1450,'BG 12.2024'!$B:$E,3,FALSE),0),0)</f>
        <v>13932024</v>
      </c>
      <c r="H1450" s="21">
        <f>+IF(F1450="i",IFERROR(VLOOKUP(C1450,'BG 12.2024'!$B:$E,4,FALSE),0),0)</f>
        <v>1841.49</v>
      </c>
      <c r="I1450" s="616"/>
      <c r="J1450" s="28">
        <f>IF(F1450="I",IFERROR(VLOOKUP(C1450,'BG 12.2023'!$B$6:$E$819,3,FALSE),0),0)</f>
        <v>13985740</v>
      </c>
      <c r="K1450" s="28">
        <f>IF(F1450="I",IFERROR(VLOOKUP(C1450,'BG 12.2023'!$B$6:$E$819,4,FALSE),0),0)</f>
        <v>1914.63</v>
      </c>
      <c r="L1450" s="87">
        <f>+SUMIF('CA FE'!$A$1214:$A$1508,Composición!C1450,'CA FE'!$C$1214:$C$1508)</f>
        <v>13932024</v>
      </c>
      <c r="M1450" s="15">
        <f>+VLOOKUP(C1450,'BG 2023'!$B:$E,1,0)</f>
        <v>5131011101</v>
      </c>
      <c r="N1450" s="806">
        <f>+VLOOKUP(C1450,'BG 12.2024'!$B:$E,3,0)</f>
        <v>13932024</v>
      </c>
      <c r="O1450" s="807">
        <f t="shared" ref="O1450:O1458" si="137">+N1450-J1450</f>
        <v>-53716</v>
      </c>
      <c r="P1450" s="807"/>
      <c r="R1450" s="807">
        <f>+IFERROR(VLOOKUP(C1450,'CA FE'!$A:$C,3,0),0)-G1450</f>
        <v>0</v>
      </c>
      <c r="S1450" s="87" t="s">
        <v>1060</v>
      </c>
    </row>
    <row r="1451" spans="1:19" s="87" customFormat="1">
      <c r="A1451" s="77" t="s">
        <v>395</v>
      </c>
      <c r="B1451" s="77" t="s">
        <v>1091</v>
      </c>
      <c r="C1451" s="793">
        <v>5131011102</v>
      </c>
      <c r="D1451" s="77" t="s">
        <v>478</v>
      </c>
      <c r="E1451" s="794" t="s">
        <v>634</v>
      </c>
      <c r="F1451" s="794" t="str">
        <f t="shared" si="135"/>
        <v>I</v>
      </c>
      <c r="G1451" s="1097">
        <f>+IF(F1451="i",IFERROR(VLOOKUP(C1451,'BG 12.2024'!$B:$E,3,FALSE),0),0)</f>
        <v>26790173</v>
      </c>
      <c r="H1451" s="21">
        <f>+IF(F1451="i",IFERROR(VLOOKUP(C1451,'BG 12.2024'!$B:$E,4,FALSE),0),0)</f>
        <v>3530.09</v>
      </c>
      <c r="I1451" s="616"/>
      <c r="J1451" s="28">
        <f>IF(F1451="I",IFERROR(VLOOKUP(C1451,'BG 12.2023'!$B$6:$E$819,3,FALSE),0),0)</f>
        <v>23372151</v>
      </c>
      <c r="K1451" s="28">
        <f>IF(F1451="I",IFERROR(VLOOKUP(C1451,'BG 12.2023'!$B$6:$E$819,4,FALSE),0),0)</f>
        <v>3173.1699999999992</v>
      </c>
      <c r="L1451" s="87">
        <f>+SUMIF('CA FE'!$A$1214:$A$1508,Composición!C1451,'CA FE'!$C$1214:$C$1508)</f>
        <v>26790173</v>
      </c>
      <c r="M1451" s="15">
        <f>+VLOOKUP(C1451,'BG 2023'!$B:$E,1,0)</f>
        <v>5131011102</v>
      </c>
      <c r="N1451" s="806">
        <f>+VLOOKUP(C1451,'BG 12.2024'!$B:$E,3,0)</f>
        <v>26790173</v>
      </c>
      <c r="O1451" s="807">
        <f t="shared" si="137"/>
        <v>3418022</v>
      </c>
      <c r="P1451" s="807"/>
      <c r="R1451" s="807">
        <f>+IFERROR(VLOOKUP(C1451,'CA FE'!$A:$C,3,0),0)-G1451</f>
        <v>0</v>
      </c>
      <c r="S1451" s="87" t="s">
        <v>1060</v>
      </c>
    </row>
    <row r="1452" spans="1:19" s="87" customFormat="1">
      <c r="A1452" s="77" t="s">
        <v>395</v>
      </c>
      <c r="B1452" s="77"/>
      <c r="C1452" s="793">
        <v>5131011103</v>
      </c>
      <c r="D1452" s="77" t="s">
        <v>1093</v>
      </c>
      <c r="E1452" s="794" t="s">
        <v>634</v>
      </c>
      <c r="F1452" s="794" t="str">
        <f t="shared" si="135"/>
        <v>I</v>
      </c>
      <c r="G1452" s="28">
        <f>+IF(F1452="i",IFERROR(VLOOKUP(C1452,'BG 12.2024'!$B:$E,3,FALSE),0),0)</f>
        <v>0</v>
      </c>
      <c r="H1452" s="21">
        <f>+IF(F1452="i",IFERROR(VLOOKUP(C1452,'BG 12.2024'!$B:$E,4,FALSE),0),0)</f>
        <v>0</v>
      </c>
      <c r="I1452" s="616"/>
      <c r="J1452" s="28">
        <f>IF(F1452="I",IFERROR(VLOOKUP(C1452,'BG 12.2023'!$B$6:$E$819,3,FALSE),0),0)</f>
        <v>0</v>
      </c>
      <c r="K1452" s="28">
        <f>IF(F1452="I",IFERROR(VLOOKUP(C1452,'BG 12.2023'!$B$6:$E$819,4,FALSE),0),0)</f>
        <v>0</v>
      </c>
      <c r="L1452" s="87">
        <f>+SUMIF('CA FE'!$A$1214:$A$1508,Composición!C1452,'CA FE'!$C$1214:$C$1508)</f>
        <v>0</v>
      </c>
      <c r="M1452" s="15" t="e">
        <f>+VLOOKUP(C1452,'BG 2023'!$B:$E,1,0)</f>
        <v>#N/A</v>
      </c>
      <c r="N1452" s="819" t="e">
        <f>+VLOOKUP(C1452,'BG 12.2024'!$B:$E,3,0)</f>
        <v>#N/A</v>
      </c>
      <c r="O1452" s="807" t="e">
        <f t="shared" si="137"/>
        <v>#N/A</v>
      </c>
      <c r="P1452" s="807"/>
      <c r="R1452" s="807">
        <f>+IFERROR(VLOOKUP(C1452,'CA FE'!$A:$C,3,0),0)-G1452</f>
        <v>0</v>
      </c>
    </row>
    <row r="1453" spans="1:19" s="87" customFormat="1">
      <c r="A1453" s="77" t="s">
        <v>395</v>
      </c>
      <c r="B1453" s="77" t="s">
        <v>1091</v>
      </c>
      <c r="C1453" s="793">
        <v>5131011104</v>
      </c>
      <c r="D1453" s="77" t="s">
        <v>479</v>
      </c>
      <c r="E1453" s="794" t="s">
        <v>634</v>
      </c>
      <c r="F1453" s="794" t="str">
        <f t="shared" si="135"/>
        <v>I</v>
      </c>
      <c r="G1453" s="28">
        <f>+IF(F1453="i",IFERROR(VLOOKUP(C1453,'BG 12.2024'!$B:$E,3,FALSE),0),0)</f>
        <v>132307994</v>
      </c>
      <c r="H1453" s="21">
        <f>+IF(F1453="i",IFERROR(VLOOKUP(C1453,'BG 12.2024'!$B:$E,4,FALSE),0),0)</f>
        <v>17556.46</v>
      </c>
      <c r="I1453" s="616"/>
      <c r="J1453" s="28">
        <f>IF(F1453="I",IFERROR(VLOOKUP(C1453,'BG 12.2023'!$B$6:$E$819,3,FALSE),0),0)</f>
        <v>79157362</v>
      </c>
      <c r="K1453" s="28">
        <f>IF(F1453="I",IFERROR(VLOOKUP(C1453,'BG 12.2023'!$B$6:$E$819,4,FALSE),0),0)</f>
        <v>10825.02</v>
      </c>
      <c r="L1453" s="87">
        <f>+SUMIF('CA FE'!$A$1214:$A$1508,Composición!C1453,'CA FE'!$C$1214:$C$1508)</f>
        <v>132307994</v>
      </c>
      <c r="M1453" s="15">
        <f>+VLOOKUP(C1453,'BG 2023'!$B:$E,1,0)</f>
        <v>5131011104</v>
      </c>
      <c r="N1453" s="806">
        <f>+VLOOKUP(C1453,'BG 12.2024'!$B:$E,3,0)</f>
        <v>132307994</v>
      </c>
      <c r="O1453" s="807">
        <f t="shared" si="137"/>
        <v>53150632</v>
      </c>
      <c r="P1453" s="807"/>
      <c r="R1453" s="807">
        <f>+IFERROR(VLOOKUP(C1453,'CA FE'!$A:$C,3,0),0)-G1453</f>
        <v>0</v>
      </c>
    </row>
    <row r="1454" spans="1:19" s="87" customFormat="1">
      <c r="A1454" s="77" t="s">
        <v>395</v>
      </c>
      <c r="B1454" s="77" t="s">
        <v>1091</v>
      </c>
      <c r="C1454" s="793">
        <v>5131011105</v>
      </c>
      <c r="D1454" s="77" t="s">
        <v>480</v>
      </c>
      <c r="E1454" s="794" t="s">
        <v>634</v>
      </c>
      <c r="F1454" s="794" t="str">
        <f t="shared" si="135"/>
        <v>I</v>
      </c>
      <c r="G1454" s="28">
        <f>+IF(F1454="i",IFERROR(VLOOKUP(C1454,'BG 12.2024'!$B:$E,3,FALSE),0),0)</f>
        <v>1872848</v>
      </c>
      <c r="H1454" s="21">
        <f>+IF(F1454="i",IFERROR(VLOOKUP(C1454,'BG 12.2024'!$B:$E,4,FALSE),0),0)</f>
        <v>249.53999999999996</v>
      </c>
      <c r="I1454" s="616"/>
      <c r="J1454" s="28">
        <f>IF(F1454="I",IFERROR(VLOOKUP(C1454,'BG 12.2023'!$B$6:$E$819,3,FALSE),0),0)</f>
        <v>1039894</v>
      </c>
      <c r="K1454" s="28">
        <f>IF(F1454="I",IFERROR(VLOOKUP(C1454,'BG 12.2023'!$B$6:$E$819,4,FALSE),0),0)</f>
        <v>140.44</v>
      </c>
      <c r="L1454" s="87">
        <f>+SUMIF('CA FE'!$A$1214:$A$1508,Composición!C1454,'CA FE'!$C$1214:$C$1508)</f>
        <v>1872848</v>
      </c>
      <c r="M1454" s="15">
        <f>+VLOOKUP(C1454,'BG 2023'!$B:$E,1,0)</f>
        <v>5131011105</v>
      </c>
      <c r="N1454" s="806">
        <f>+VLOOKUP(C1454,'BG 12.2024'!$B:$E,3,0)</f>
        <v>1872848</v>
      </c>
      <c r="O1454" s="807">
        <f t="shared" si="137"/>
        <v>832954</v>
      </c>
      <c r="P1454" s="807"/>
      <c r="R1454" s="807">
        <f>+IFERROR(VLOOKUP(C1454,'CA FE'!$A:$C,3,0),0)-G1454</f>
        <v>0</v>
      </c>
    </row>
    <row r="1455" spans="1:19" s="87" customFormat="1">
      <c r="A1455" s="77" t="s">
        <v>395</v>
      </c>
      <c r="B1455" s="77" t="s">
        <v>1091</v>
      </c>
      <c r="C1455" s="793">
        <v>5131011106</v>
      </c>
      <c r="D1455" s="77" t="s">
        <v>481</v>
      </c>
      <c r="E1455" s="794" t="s">
        <v>634</v>
      </c>
      <c r="F1455" s="794" t="str">
        <f t="shared" si="135"/>
        <v>I</v>
      </c>
      <c r="G1455" s="28">
        <f>+IF(F1455="i",IFERROR(VLOOKUP(C1455,'BG 12.2024'!$B:$E,3,FALSE),0),0)</f>
        <v>7913999</v>
      </c>
      <c r="H1455" s="21">
        <f>+IF(F1455="i",IFERROR(VLOOKUP(C1455,'BG 12.2024'!$B:$E,4,FALSE),0),0)</f>
        <v>1041.69</v>
      </c>
      <c r="I1455" s="616"/>
      <c r="J1455" s="28">
        <f>IF(F1455="I",IFERROR(VLOOKUP(C1455,'BG 12.2023'!$B$6:$E$819,3,FALSE),0),0)</f>
        <v>2989272</v>
      </c>
      <c r="K1455" s="28">
        <f>IF(F1455="I",IFERROR(VLOOKUP(C1455,'BG 12.2023'!$B$6:$E$819,4,FALSE),0),0)</f>
        <v>410.96</v>
      </c>
      <c r="L1455" s="87">
        <f>+SUMIF('CA FE'!$A$1214:$A$1508,Composición!C1455,'CA FE'!$C$1214:$C$1508)</f>
        <v>7913999</v>
      </c>
      <c r="M1455" s="15">
        <f>+VLOOKUP(C1455,'BG 2023'!$B:$E,1,0)</f>
        <v>5131011106</v>
      </c>
      <c r="N1455" s="806">
        <f>+VLOOKUP(C1455,'BG 12.2024'!$B:$E,3,0)</f>
        <v>7913999</v>
      </c>
      <c r="O1455" s="807">
        <f t="shared" si="137"/>
        <v>4924727</v>
      </c>
      <c r="P1455" s="807"/>
      <c r="R1455" s="807">
        <f>+IFERROR(VLOOKUP(C1455,'CA FE'!$A:$C,3,0),0)-G1455</f>
        <v>0</v>
      </c>
    </row>
    <row r="1456" spans="1:19" s="87" customFormat="1">
      <c r="A1456" s="77" t="s">
        <v>395</v>
      </c>
      <c r="B1456" s="77" t="s">
        <v>1091</v>
      </c>
      <c r="C1456" s="793">
        <v>5131011107</v>
      </c>
      <c r="D1456" s="77" t="s">
        <v>482</v>
      </c>
      <c r="E1456" s="794" t="s">
        <v>634</v>
      </c>
      <c r="F1456" s="794" t="str">
        <f t="shared" si="135"/>
        <v>I</v>
      </c>
      <c r="G1456" s="28">
        <f>+IF(F1456="i",IFERROR(VLOOKUP(C1456,'BG 12.2024'!$B:$E,3,FALSE),0),0)</f>
        <v>86364</v>
      </c>
      <c r="H1456" s="21">
        <f>+IF(F1456="i",IFERROR(VLOOKUP(C1456,'BG 12.2024'!$B:$E,4,FALSE),0),0)</f>
        <v>10.91</v>
      </c>
      <c r="I1456" s="616"/>
      <c r="J1456" s="28">
        <f>IF(F1456="I",IFERROR(VLOOKUP(C1456,'BG 12.2023'!$B$6:$E$819,3,FALSE),0),0)</f>
        <v>531034</v>
      </c>
      <c r="K1456" s="28">
        <f>IF(F1456="I",IFERROR(VLOOKUP(C1456,'BG 12.2023'!$B$6:$E$819,4,FALSE),0),0)</f>
        <v>72.73</v>
      </c>
      <c r="L1456" s="87">
        <f>+SUMIF('CA FE'!$A$1214:$A$1508,Composición!C1456,'CA FE'!$C$1214:$C$1508)</f>
        <v>86364</v>
      </c>
      <c r="M1456" s="15">
        <f>+VLOOKUP(C1456,'BG 2023'!$B:$E,1,0)</f>
        <v>5131011107</v>
      </c>
      <c r="N1456" s="806">
        <f>+VLOOKUP(C1456,'BG 12.2024'!$B:$E,3,0)</f>
        <v>86364</v>
      </c>
      <c r="O1456" s="807">
        <f t="shared" si="137"/>
        <v>-444670</v>
      </c>
      <c r="P1456" s="807"/>
      <c r="R1456" s="807">
        <f>+IFERROR(VLOOKUP(C1456,'CA FE'!$A:$C,3,0),0)-G1456</f>
        <v>0</v>
      </c>
    </row>
    <row r="1457" spans="1:19" s="87" customFormat="1">
      <c r="A1457" s="77" t="s">
        <v>395</v>
      </c>
      <c r="B1457" s="77" t="s">
        <v>1091</v>
      </c>
      <c r="C1457" s="793">
        <v>5131011108</v>
      </c>
      <c r="D1457" s="77" t="s">
        <v>1094</v>
      </c>
      <c r="E1457" s="794" t="s">
        <v>634</v>
      </c>
      <c r="F1457" s="794" t="str">
        <f t="shared" si="135"/>
        <v>I</v>
      </c>
      <c r="G1457" s="1097">
        <f>+IF(F1457="i",IFERROR(VLOOKUP(C1457,'BG 12.2024'!$B:$E,3,FALSE),0),0)</f>
        <v>26649600</v>
      </c>
      <c r="H1457" s="21">
        <f>+IF(F1457="i",IFERROR(VLOOKUP(C1457,'BG 12.2024'!$B:$E,4,FALSE),0),0)</f>
        <v>3510.24</v>
      </c>
      <c r="I1457" s="616"/>
      <c r="J1457" s="28">
        <f>IF(F1457="I",IFERROR(VLOOKUP(C1457,'BG 12.2023'!$B$6:$E$819,3,FALSE),0),0)</f>
        <v>23591740</v>
      </c>
      <c r="K1457" s="28">
        <f>IF(F1457="I",IFERROR(VLOOKUP(C1457,'BG 12.2023'!$B$6:$E$819,4,FALSE),0),0)</f>
        <v>3226.95</v>
      </c>
      <c r="L1457" s="87">
        <f>+SUMIF('CA FE'!$A$1214:$A$1508,Composición!C1457,'CA FE'!$C$1214:$C$1508)</f>
        <v>26649600</v>
      </c>
      <c r="M1457" s="15">
        <f>+VLOOKUP(C1457,'BG 2023'!$B:$E,1,0)</f>
        <v>5131011108</v>
      </c>
      <c r="N1457" s="806">
        <f>+VLOOKUP(C1457,'BG 12.2024'!$B:$E,3,0)</f>
        <v>26649600</v>
      </c>
      <c r="O1457" s="807">
        <f t="shared" si="137"/>
        <v>3057860</v>
      </c>
      <c r="P1457" s="807"/>
      <c r="R1457" s="807">
        <f>+IFERROR(VLOOKUP(C1457,'CA FE'!$A:$C,3,0),0)-G1457</f>
        <v>0</v>
      </c>
      <c r="S1457" s="87" t="s">
        <v>1060</v>
      </c>
    </row>
    <row r="1458" spans="1:19" s="87" customFormat="1">
      <c r="A1458" s="77" t="s">
        <v>395</v>
      </c>
      <c r="B1458" s="77"/>
      <c r="C1458" s="793">
        <v>5131011109</v>
      </c>
      <c r="D1458" s="77" t="s">
        <v>1095</v>
      </c>
      <c r="E1458" s="794" t="s">
        <v>634</v>
      </c>
      <c r="F1458" s="794" t="str">
        <f t="shared" si="135"/>
        <v>I</v>
      </c>
      <c r="G1458" s="28">
        <f>+IF(F1458="i",IFERROR(VLOOKUP(C1458,'BG 12.2024'!$B:$E,3,FALSE),0),0)</f>
        <v>0</v>
      </c>
      <c r="H1458" s="21">
        <f>+IF(F1458="i",IFERROR(VLOOKUP(C1458,'BG 12.2024'!$B:$E,4,FALSE),0),0)</f>
        <v>0</v>
      </c>
      <c r="I1458" s="616"/>
      <c r="J1458" s="28">
        <f>IF(F1458="I",IFERROR(VLOOKUP(C1458,'BG 12.2023'!$B$6:$E$819,3,FALSE),0),0)</f>
        <v>0</v>
      </c>
      <c r="K1458" s="28">
        <f>IF(F1458="I",IFERROR(VLOOKUP(C1458,'BG 12.2023'!$B$6:$E$819,4,FALSE),0),0)</f>
        <v>0</v>
      </c>
      <c r="L1458" s="87">
        <f>+SUMIF('CA FE'!$A$1214:$A$1508,Composición!C1458,'CA FE'!$C$1214:$C$1508)</f>
        <v>0</v>
      </c>
      <c r="M1458" s="15" t="e">
        <f>+VLOOKUP(C1458,'BG 2023'!$B:$E,1,0)</f>
        <v>#N/A</v>
      </c>
      <c r="N1458" s="819" t="e">
        <f>+VLOOKUP(C1458,'BG 12.2024'!$B:$E,3,0)</f>
        <v>#N/A</v>
      </c>
      <c r="O1458" s="807" t="e">
        <f t="shared" si="137"/>
        <v>#N/A</v>
      </c>
      <c r="P1458" s="807"/>
      <c r="R1458" s="807">
        <f>+IFERROR(VLOOKUP(C1458,'CA FE'!$A:$C,3,0),0)-G1458</f>
        <v>0</v>
      </c>
    </row>
    <row r="1459" spans="1:19" s="87" customFormat="1">
      <c r="A1459" s="77" t="s">
        <v>395</v>
      </c>
      <c r="B1459" s="77"/>
      <c r="C1459" s="793">
        <v>51310111</v>
      </c>
      <c r="D1459" s="77" t="s">
        <v>476</v>
      </c>
      <c r="E1459" s="794" t="s">
        <v>634</v>
      </c>
      <c r="F1459" s="794" t="str">
        <f t="shared" si="135"/>
        <v>NI</v>
      </c>
      <c r="G1459" s="28">
        <f>+IF(F1459="i",IFERROR(VLOOKUP(C1459,'BG 12.2024'!$B:$E,3,FALSE),0),0)</f>
        <v>0</v>
      </c>
      <c r="H1459" s="21">
        <f>+IF(F1459="i",IFERROR(VLOOKUP(C1459,'BG 12.2024'!$B:$E,4,FALSE),0),0)</f>
        <v>0</v>
      </c>
      <c r="I1459" s="616"/>
      <c r="J1459" s="28">
        <f>IF(F1459="I",IFERROR(VLOOKUP(C1459,'BG 12.2023'!$B$6:$E$819,3,FALSE),0),0)</f>
        <v>0</v>
      </c>
      <c r="K1459" s="28">
        <f>IF(F1459="I",IFERROR(VLOOKUP(C1459,'BG 12.2023'!$B$6:$E$819,4,FALSE),0),0)</f>
        <v>0</v>
      </c>
      <c r="L1459" s="87">
        <f>+SUMIF('CA FE'!$A$1214:$A$1508,Composición!C1459,'CA FE'!$C$1214:$C$1508)</f>
        <v>0</v>
      </c>
      <c r="M1459" s="15">
        <f>+VLOOKUP(C1459,'BG 2023'!$B:$E,1,0)</f>
        <v>51310111</v>
      </c>
      <c r="N1459" s="806">
        <f>+VLOOKUP(C1459,'BG 2023'!$B:$E,3,0)-J1459</f>
        <v>762643723</v>
      </c>
      <c r="O1459" s="807">
        <f t="shared" si="133"/>
        <v>762643723</v>
      </c>
      <c r="P1459" s="807"/>
      <c r="R1459" s="807">
        <f>+IFERROR(VLOOKUP(C1459,'CA FE'!$A:$C,3,0),0)-G1459</f>
        <v>0</v>
      </c>
    </row>
    <row r="1460" spans="1:19" s="87" customFormat="1">
      <c r="A1460" s="77" t="s">
        <v>395</v>
      </c>
      <c r="B1460" s="77" t="s">
        <v>1091</v>
      </c>
      <c r="C1460" s="793">
        <v>5131011110</v>
      </c>
      <c r="D1460" s="77" t="s">
        <v>484</v>
      </c>
      <c r="E1460" s="794" t="s">
        <v>634</v>
      </c>
      <c r="F1460" s="794" t="str">
        <f t="shared" si="135"/>
        <v>I</v>
      </c>
      <c r="G1460" s="28">
        <f>+IF(F1460="i",IFERROR(VLOOKUP(C1460,'BG 12.2024'!$B:$E,3,FALSE),0),0)</f>
        <v>57681507</v>
      </c>
      <c r="H1460" s="21">
        <f>+IF(F1460="i",IFERROR(VLOOKUP(C1460,'BG 12.2024'!$B:$E,4,FALSE),0),0)</f>
        <v>7711.34</v>
      </c>
      <c r="I1460" s="616"/>
      <c r="J1460" s="28">
        <f>IF(F1460="I",IFERROR(VLOOKUP(C1460,'BG 12.2023'!$B$6:$E$819,3,FALSE),0),0)</f>
        <v>106857261</v>
      </c>
      <c r="K1460" s="28">
        <f>IF(F1460="I",IFERROR(VLOOKUP(C1460,'BG 12.2023'!$B$6:$E$819,4,FALSE),0),0)</f>
        <v>14598.45</v>
      </c>
      <c r="L1460" s="87">
        <f>+SUMIF('CA FE'!$A$1214:$A$1508,Composición!C1460,'CA FE'!$C$1214:$C$1508)</f>
        <v>57681507</v>
      </c>
      <c r="M1460" s="15">
        <f>+VLOOKUP(C1460,'BG 2023'!$B:$E,1,0)</f>
        <v>5131011110</v>
      </c>
      <c r="N1460" s="806">
        <f>+VLOOKUP(C1460,'BG 12.2024'!$B:$E,3,0)</f>
        <v>57681507</v>
      </c>
      <c r="O1460" s="807">
        <f t="shared" ref="O1460:O1473" si="138">+N1460-J1460</f>
        <v>-49175754</v>
      </c>
      <c r="P1460" s="807"/>
      <c r="R1460" s="807">
        <f>+IFERROR(VLOOKUP(C1460,'CA FE'!$A:$C,3,0),0)-G1460</f>
        <v>0</v>
      </c>
    </row>
    <row r="1461" spans="1:19" s="87" customFormat="1">
      <c r="A1461" s="77" t="s">
        <v>395</v>
      </c>
      <c r="B1461" s="77"/>
      <c r="C1461" s="793">
        <v>5131011111</v>
      </c>
      <c r="D1461" s="77" t="s">
        <v>1096</v>
      </c>
      <c r="E1461" s="794" t="s">
        <v>634</v>
      </c>
      <c r="F1461" s="794" t="str">
        <f t="shared" si="135"/>
        <v>I</v>
      </c>
      <c r="G1461" s="28">
        <f>+IF(F1461="i",IFERROR(VLOOKUP(C1461,'BG 12.2024'!$B:$E,3,FALSE),0),0)</f>
        <v>0</v>
      </c>
      <c r="H1461" s="21">
        <f>+IF(F1461="i",IFERROR(VLOOKUP(C1461,'BG 12.2024'!$B:$E,4,FALSE),0),0)</f>
        <v>0</v>
      </c>
      <c r="I1461" s="616"/>
      <c r="J1461" s="28">
        <f>IF(F1461="I",IFERROR(VLOOKUP(C1461,'BG 12.2023'!$B$6:$E$819,3,FALSE),0),0)</f>
        <v>0</v>
      </c>
      <c r="K1461" s="28">
        <f>IF(F1461="I",IFERROR(VLOOKUP(C1461,'BG 12.2023'!$B$6:$E$819,4,FALSE),0),0)</f>
        <v>0</v>
      </c>
      <c r="L1461" s="87">
        <f>+SUMIF('CA FE'!$A$1214:$A$1508,Composición!C1461,'CA FE'!$C$1214:$C$1508)</f>
        <v>0</v>
      </c>
      <c r="M1461" s="15" t="e">
        <f>+VLOOKUP(C1461,'BG 2023'!$B:$E,1,0)</f>
        <v>#N/A</v>
      </c>
      <c r="N1461" s="819" t="e">
        <f>+VLOOKUP(C1461,'BG 12.2024'!$B:$E,3,0)</f>
        <v>#N/A</v>
      </c>
      <c r="O1461" s="807" t="e">
        <f t="shared" si="138"/>
        <v>#N/A</v>
      </c>
      <c r="P1461" s="807"/>
      <c r="R1461" s="807">
        <f>+IFERROR(VLOOKUP(C1461,'CA FE'!$A:$C,3,0),0)-G1461</f>
        <v>0</v>
      </c>
    </row>
    <row r="1462" spans="1:19" s="87" customFormat="1">
      <c r="A1462" s="77" t="s">
        <v>395</v>
      </c>
      <c r="B1462" s="77" t="s">
        <v>1091</v>
      </c>
      <c r="C1462" s="793">
        <v>5131011112</v>
      </c>
      <c r="D1462" s="77" t="s">
        <v>485</v>
      </c>
      <c r="E1462" s="794" t="s">
        <v>634</v>
      </c>
      <c r="F1462" s="794" t="str">
        <f t="shared" si="135"/>
        <v>I</v>
      </c>
      <c r="G1462" s="28">
        <f>+IF(F1462="i",IFERROR(VLOOKUP(C1462,'BG 12.2024'!$B:$E,3,FALSE),0),0)</f>
        <v>65979091</v>
      </c>
      <c r="H1462" s="21">
        <f>+IF(F1462="i",IFERROR(VLOOKUP(C1462,'BG 12.2024'!$B:$E,4,FALSE),0),0)</f>
        <v>8468.2200000000012</v>
      </c>
      <c r="I1462" s="616"/>
      <c r="J1462" s="28">
        <f>IF(F1462="I",IFERROR(VLOOKUP(C1462,'BG 12.2023'!$B$6:$E$819,3,FALSE),0),0)</f>
        <v>2590000</v>
      </c>
      <c r="K1462" s="28">
        <f>IF(F1462="I",IFERROR(VLOOKUP(C1462,'BG 12.2023'!$B$6:$E$819,4,FALSE),0),0)</f>
        <v>352.45</v>
      </c>
      <c r="L1462" s="87">
        <f>+SUMIF('CA FE'!$A$1214:$A$1508,Composición!C1462,'CA FE'!$C$1214:$C$1508)</f>
        <v>65979091</v>
      </c>
      <c r="M1462" s="15">
        <f>+VLOOKUP(C1462,'BG 2023'!$B:$E,1,0)</f>
        <v>5131011112</v>
      </c>
      <c r="N1462" s="806">
        <f>+VLOOKUP(C1462,'BG 12.2024'!$B:$E,3,0)</f>
        <v>65979091</v>
      </c>
      <c r="O1462" s="807">
        <f t="shared" si="138"/>
        <v>63389091</v>
      </c>
      <c r="P1462" s="807"/>
      <c r="R1462" s="807">
        <f>+IFERROR(VLOOKUP(C1462,'CA FE'!$A:$C,3,0),0)-G1462</f>
        <v>0</v>
      </c>
    </row>
    <row r="1463" spans="1:19" s="87" customFormat="1">
      <c r="A1463" s="77" t="s">
        <v>395</v>
      </c>
      <c r="B1463" s="77" t="s">
        <v>1091</v>
      </c>
      <c r="C1463" s="793">
        <v>5131011113</v>
      </c>
      <c r="D1463" s="77" t="s">
        <v>486</v>
      </c>
      <c r="E1463" s="794" t="s">
        <v>634</v>
      </c>
      <c r="F1463" s="794" t="str">
        <f t="shared" si="135"/>
        <v>I</v>
      </c>
      <c r="G1463" s="28">
        <f>+IF(F1463="i",IFERROR(VLOOKUP(C1463,'BG 12.2024'!$B:$E,3,FALSE),0),0)</f>
        <v>3308073</v>
      </c>
      <c r="H1463" s="21">
        <f>+IF(F1463="i",IFERROR(VLOOKUP(C1463,'BG 12.2024'!$B:$E,4,FALSE),0),0)</f>
        <v>441.58</v>
      </c>
      <c r="I1463" s="616"/>
      <c r="J1463" s="28">
        <f>IF(F1463="I",IFERROR(VLOOKUP(C1463,'BG 12.2023'!$B$6:$E$819,3,FALSE),0),0)</f>
        <v>7449718</v>
      </c>
      <c r="K1463" s="28">
        <f>IF(F1463="I",IFERROR(VLOOKUP(C1463,'BG 12.2023'!$B$6:$E$819,4,FALSE),0),0)</f>
        <v>1024.01</v>
      </c>
      <c r="L1463" s="87">
        <f>+SUMIF('CA FE'!$A$1214:$A$1508,Composición!C1463,'CA FE'!$C$1214:$C$1508)</f>
        <v>3308073</v>
      </c>
      <c r="M1463" s="15">
        <f>+VLOOKUP(C1463,'BG 2023'!$B:$E,1,0)</f>
        <v>5131011113</v>
      </c>
      <c r="N1463" s="819">
        <f>+VLOOKUP(C1463,'BG 12.2024'!$B:$E,3,0)</f>
        <v>3308073</v>
      </c>
      <c r="O1463" s="807">
        <f t="shared" si="138"/>
        <v>-4141645</v>
      </c>
      <c r="P1463" s="807"/>
      <c r="R1463" s="807">
        <f>+IFERROR(VLOOKUP(C1463,'CA FE'!$A:$C,3,0),0)-G1463</f>
        <v>0</v>
      </c>
    </row>
    <row r="1464" spans="1:19" s="87" customFormat="1">
      <c r="A1464" s="77" t="s">
        <v>395</v>
      </c>
      <c r="B1464" s="77" t="s">
        <v>1091</v>
      </c>
      <c r="C1464" s="793">
        <v>5131011114</v>
      </c>
      <c r="D1464" s="77" t="s">
        <v>487</v>
      </c>
      <c r="E1464" s="794" t="s">
        <v>634</v>
      </c>
      <c r="F1464" s="794" t="str">
        <f t="shared" si="135"/>
        <v>I</v>
      </c>
      <c r="G1464" s="28">
        <f>+IF(F1464="i",IFERROR(VLOOKUP(C1464,'BG 12.2024'!$B:$E,3,FALSE),0),0)</f>
        <v>7104903</v>
      </c>
      <c r="H1464" s="21">
        <f>+IF(F1464="i",IFERROR(VLOOKUP(C1464,'BG 12.2024'!$B:$E,4,FALSE),0),0)</f>
        <v>937.02</v>
      </c>
      <c r="I1464" s="616"/>
      <c r="J1464" s="28">
        <f>IF(F1464="I",IFERROR(VLOOKUP(C1464,'BG 12.2023'!$B$6:$E$819,3,FALSE),0),0)</f>
        <v>7186257</v>
      </c>
      <c r="K1464" s="28">
        <f>IF(F1464="I",IFERROR(VLOOKUP(C1464,'BG 12.2023'!$B$6:$E$819,4,FALSE),0),0)</f>
        <v>989.31</v>
      </c>
      <c r="L1464" s="87">
        <f>+SUMIF('CA FE'!$A$1214:$A$1508,Composición!C1464,'CA FE'!$C$1214:$C$1508)</f>
        <v>7104903</v>
      </c>
      <c r="M1464" s="15">
        <f>+VLOOKUP(C1464,'BG 2023'!$B:$E,1,0)</f>
        <v>5131011114</v>
      </c>
      <c r="N1464" s="806">
        <f>+VLOOKUP(C1464,'BG 12.2024'!$B:$E,3,0)</f>
        <v>7104903</v>
      </c>
      <c r="O1464" s="807">
        <f t="shared" si="138"/>
        <v>-81354</v>
      </c>
      <c r="P1464" s="807"/>
      <c r="R1464" s="807">
        <f>+IFERROR(VLOOKUP(C1464,'CA FE'!$A:$C,3,0),0)-G1464</f>
        <v>0</v>
      </c>
    </row>
    <row r="1465" spans="1:19" s="87" customFormat="1">
      <c r="A1465" s="77" t="s">
        <v>395</v>
      </c>
      <c r="B1465" s="77" t="s">
        <v>1091</v>
      </c>
      <c r="C1465" s="793">
        <v>5131011115</v>
      </c>
      <c r="D1465" s="77" t="s">
        <v>488</v>
      </c>
      <c r="E1465" s="794" t="s">
        <v>634</v>
      </c>
      <c r="F1465" s="794" t="str">
        <f t="shared" si="135"/>
        <v>I</v>
      </c>
      <c r="G1465" s="1097">
        <f>+IF(F1465="i",IFERROR(VLOOKUP(C1465,'BG 12.2024'!$B:$E,3,FALSE),0),0)</f>
        <v>54938090</v>
      </c>
      <c r="H1465" s="21">
        <f>+IF(F1465="i",IFERROR(VLOOKUP(C1465,'BG 12.2024'!$B:$E,4,FALSE),0),0)</f>
        <v>7232.75</v>
      </c>
      <c r="I1465" s="616"/>
      <c r="J1465" s="28">
        <f>IF(F1465="I",IFERROR(VLOOKUP(C1465,'BG 12.2023'!$B$6:$E$819,3,FALSE),0),0)</f>
        <v>53079020</v>
      </c>
      <c r="K1465" s="28">
        <f>IF(F1465="I",IFERROR(VLOOKUP(C1465,'BG 12.2023'!$B$6:$E$819,4,FALSE),0),0)</f>
        <v>7258.71</v>
      </c>
      <c r="L1465" s="87">
        <f>+SUMIF('CA FE'!$A$1214:$A$1508,Composición!C1465,'CA FE'!$C$1214:$C$1508)</f>
        <v>54938090</v>
      </c>
      <c r="M1465" s="15">
        <f>+VLOOKUP(C1465,'BG 2023'!$B:$E,1,0)</f>
        <v>5131011115</v>
      </c>
      <c r="N1465" s="806">
        <f>+VLOOKUP(C1465,'BG 12.2024'!$B:$E,3,0)</f>
        <v>54938090</v>
      </c>
      <c r="O1465" s="807">
        <f t="shared" si="138"/>
        <v>1859070</v>
      </c>
      <c r="P1465" s="807"/>
      <c r="R1465" s="807">
        <f>+IFERROR(VLOOKUP(C1465,'CA FE'!$A:$C,3,0),0)-G1465</f>
        <v>0</v>
      </c>
      <c r="S1465" s="87" t="s">
        <v>1060</v>
      </c>
    </row>
    <row r="1466" spans="1:19" s="87" customFormat="1">
      <c r="A1466" s="77" t="s">
        <v>395</v>
      </c>
      <c r="B1466" s="77" t="s">
        <v>1091</v>
      </c>
      <c r="C1466" s="793">
        <v>5131011116</v>
      </c>
      <c r="D1466" s="77" t="s">
        <v>489</v>
      </c>
      <c r="E1466" s="794" t="s">
        <v>634</v>
      </c>
      <c r="F1466" s="794" t="str">
        <f t="shared" si="135"/>
        <v>I</v>
      </c>
      <c r="G1466" s="1097">
        <f>+IF(F1466="i",IFERROR(VLOOKUP(C1466,'BG 12.2024'!$B:$E,3,FALSE),0),0)</f>
        <v>49882726</v>
      </c>
      <c r="H1466" s="21">
        <f>+IF(F1466="i",IFERROR(VLOOKUP(C1466,'BG 12.2024'!$B:$E,4,FALSE),0),0)</f>
        <v>6566.18</v>
      </c>
      <c r="I1466" s="616"/>
      <c r="J1466" s="28">
        <f>IF(F1466="I",IFERROR(VLOOKUP(C1466,'BG 12.2023'!$B$6:$E$819,3,FALSE),0),0)</f>
        <v>24112030</v>
      </c>
      <c r="K1466" s="28">
        <f>IF(F1466="I",IFERROR(VLOOKUP(C1466,'BG 12.2023'!$B$6:$E$819,4,FALSE),0),0)</f>
        <v>3281.71</v>
      </c>
      <c r="L1466" s="87">
        <f>+SUMIF('CA FE'!$A$1214:$A$1508,Composición!C1466,'CA FE'!$C$1214:$C$1508)</f>
        <v>49882726</v>
      </c>
      <c r="M1466" s="15">
        <f>+VLOOKUP(C1466,'BG 2023'!$B:$E,1,0)</f>
        <v>5131011116</v>
      </c>
      <c r="N1466" s="806">
        <f>+VLOOKUP(C1466,'BG 12.2024'!$B:$E,3,0)</f>
        <v>49882726</v>
      </c>
      <c r="O1466" s="807">
        <f t="shared" si="138"/>
        <v>25770696</v>
      </c>
      <c r="P1466" s="807"/>
      <c r="R1466" s="807">
        <f>+IFERROR(VLOOKUP(C1466,'CA FE'!$A:$C,3,0),0)-G1466</f>
        <v>0</v>
      </c>
      <c r="S1466" s="87" t="s">
        <v>1060</v>
      </c>
    </row>
    <row r="1467" spans="1:19" s="87" customFormat="1">
      <c r="A1467" s="77" t="s">
        <v>395</v>
      </c>
      <c r="B1467" s="77" t="s">
        <v>1082</v>
      </c>
      <c r="C1467" s="793">
        <v>5131011117</v>
      </c>
      <c r="D1467" s="77" t="s">
        <v>612</v>
      </c>
      <c r="E1467" s="794" t="s">
        <v>634</v>
      </c>
      <c r="F1467" s="794" t="str">
        <f t="shared" si="135"/>
        <v>I</v>
      </c>
      <c r="G1467" s="28">
        <f>+IF(F1467="i",IFERROR(VLOOKUP(C1467,'BG 12.2024'!$B:$E,3,FALSE),0),0)</f>
        <v>2180700</v>
      </c>
      <c r="H1467" s="21">
        <f>+IF(F1467="i",IFERROR(VLOOKUP(C1467,'BG 12.2024'!$B:$E,4,FALSE),0),0)</f>
        <v>300</v>
      </c>
      <c r="I1467" s="616"/>
      <c r="J1467" s="28">
        <f>IF(F1467="I",IFERROR(VLOOKUP(C1467,'BG 12.2023'!$B$6:$E$819,3,FALSE),0),0)</f>
        <v>0</v>
      </c>
      <c r="K1467" s="28">
        <f>IF(F1467="I",IFERROR(VLOOKUP(C1467,'BG 12.2023'!$B$6:$E$819,4,FALSE),0),0)</f>
        <v>0</v>
      </c>
      <c r="L1467" s="87">
        <f>+SUMIF('CA FE'!$A$1214:$A$1508,Composición!C1467,'CA FE'!$C$1214:$C$1508)</f>
        <v>2180700</v>
      </c>
      <c r="M1467" s="15" t="e">
        <f>+VLOOKUP(C1467,'BG 2023'!$B:$E,1,0)</f>
        <v>#N/A</v>
      </c>
      <c r="N1467" s="806">
        <f>+VLOOKUP(C1467,'BG 12.2024'!$B:$E,3,0)</f>
        <v>2180700</v>
      </c>
      <c r="O1467" s="807">
        <f t="shared" si="138"/>
        <v>2180700</v>
      </c>
      <c r="P1467" s="807"/>
      <c r="R1467" s="807">
        <f>+IFERROR(VLOOKUP(C1467,'CA FE'!$A:$C,3,0),0)-G1467</f>
        <v>0</v>
      </c>
    </row>
    <row r="1468" spans="1:19" s="87" customFormat="1">
      <c r="A1468" s="77" t="s">
        <v>395</v>
      </c>
      <c r="B1468" s="77" t="s">
        <v>1057</v>
      </c>
      <c r="C1468" s="793">
        <v>5131011119</v>
      </c>
      <c r="D1468" s="77" t="s">
        <v>490</v>
      </c>
      <c r="E1468" s="794" t="s">
        <v>634</v>
      </c>
      <c r="F1468" s="794" t="str">
        <f t="shared" si="135"/>
        <v>I</v>
      </c>
      <c r="G1468" s="28">
        <f>+IF(F1468="i",IFERROR(VLOOKUP(C1468,'BG 12.2024'!$B:$E,3,FALSE),0),0)</f>
        <v>429654525</v>
      </c>
      <c r="H1468" s="21">
        <f>+IF(F1468="i",IFERROR(VLOOKUP(C1468,'BG 12.2024'!$B:$E,4,FALSE),0),0)</f>
        <v>56621</v>
      </c>
      <c r="I1468" s="616"/>
      <c r="J1468" s="28">
        <f>IF(F1468="I",IFERROR(VLOOKUP(C1468,'BG 12.2023'!$B$6:$E$819,3,FALSE),0),0)</f>
        <v>296663805</v>
      </c>
      <c r="K1468" s="28">
        <f>IF(F1468="I",IFERROR(VLOOKUP(C1468,'BG 12.2023'!$B$6:$E$819,4,FALSE),0),0)</f>
        <v>40500</v>
      </c>
      <c r="L1468" s="87">
        <f>+SUMIF('CA FE'!$A$1214:$A$1508,Composición!C1468,'CA FE'!$C$1214:$C$1508)</f>
        <v>429654525</v>
      </c>
      <c r="M1468" s="15">
        <f>+VLOOKUP(C1468,'BG 2023'!$B:$E,1,0)</f>
        <v>5131011119</v>
      </c>
      <c r="N1468" s="806">
        <f>+VLOOKUP(C1468,'BG 12.2024'!$B:$E,3,0)</f>
        <v>429654525</v>
      </c>
      <c r="O1468" s="807">
        <f t="shared" si="138"/>
        <v>132990720</v>
      </c>
      <c r="P1468" s="807"/>
      <c r="R1468" s="807">
        <f>+IFERROR(VLOOKUP(C1468,'CA FE'!$A:$C,3,0),0)-G1468</f>
        <v>0</v>
      </c>
    </row>
    <row r="1469" spans="1:19" s="87" customFormat="1">
      <c r="A1469" s="77" t="s">
        <v>395</v>
      </c>
      <c r="B1469" s="77" t="s">
        <v>1057</v>
      </c>
      <c r="C1469" s="793">
        <v>5131011121</v>
      </c>
      <c r="D1469" s="77" t="s">
        <v>1097</v>
      </c>
      <c r="E1469" s="794" t="s">
        <v>634</v>
      </c>
      <c r="F1469" s="794" t="str">
        <f t="shared" si="135"/>
        <v>I</v>
      </c>
      <c r="G1469" s="1097">
        <f>+IF(F1469="i",IFERROR(VLOOKUP(C1469,'BG 12.2024'!$B:$E,3,FALSE),0),0)</f>
        <v>0</v>
      </c>
      <c r="H1469" s="21">
        <f>+IF(F1469="i",IFERROR(VLOOKUP(C1469,'BG 12.2024'!$B:$E,4,FALSE),0),0)</f>
        <v>0</v>
      </c>
      <c r="I1469" s="616"/>
      <c r="J1469" s="28">
        <f>IF(F1469="I",IFERROR(VLOOKUP(C1469,'BG 12.2023'!$B$6:$E$819,3,FALSE),0),0)</f>
        <v>0</v>
      </c>
      <c r="K1469" s="28">
        <f>IF(F1469="I",IFERROR(VLOOKUP(C1469,'BG 12.2023'!$B$6:$E$819,4,FALSE),0),0)</f>
        <v>0</v>
      </c>
      <c r="L1469" s="87">
        <f>+SUMIF('CA FE'!$A$1214:$A$1508,Composición!C1469,'CA FE'!$C$1214:$C$1508)</f>
        <v>0</v>
      </c>
      <c r="M1469" s="15" t="e">
        <f>+VLOOKUP(C1469,'BG 2023'!$B:$E,1,0)</f>
        <v>#N/A</v>
      </c>
      <c r="N1469" s="806" t="e">
        <f>+VLOOKUP(C1469,'BG 12.2024'!$B:$E,3,0)</f>
        <v>#N/A</v>
      </c>
      <c r="O1469" s="807" t="e">
        <f t="shared" si="138"/>
        <v>#N/A</v>
      </c>
      <c r="P1469" s="807"/>
      <c r="R1469" s="807">
        <f>+IFERROR(VLOOKUP(C1469,'CA FE'!$A:$C,3,0),0)-G1469</f>
        <v>0</v>
      </c>
      <c r="S1469" s="87" t="s">
        <v>1060</v>
      </c>
    </row>
    <row r="1470" spans="1:19" s="87" customFormat="1">
      <c r="A1470" s="77" t="s">
        <v>395</v>
      </c>
      <c r="B1470" s="77" t="s">
        <v>1057</v>
      </c>
      <c r="C1470" s="793">
        <v>5131011122</v>
      </c>
      <c r="D1470" s="77" t="s">
        <v>169</v>
      </c>
      <c r="E1470" s="794" t="s">
        <v>640</v>
      </c>
      <c r="F1470" s="794" t="str">
        <f t="shared" si="135"/>
        <v>I</v>
      </c>
      <c r="G1470" s="28">
        <f>+IF(F1470="i",IFERROR(VLOOKUP(C1470,'BG 12.2024'!$B:$E,3,FALSE),0),0)</f>
        <v>97336181</v>
      </c>
      <c r="H1470" s="21">
        <f>+IF(F1470="i",IFERROR(VLOOKUP(C1470,'BG 12.2024'!$B:$E,4,FALSE),0),0)</f>
        <v>13230.44</v>
      </c>
      <c r="I1470" s="616"/>
      <c r="J1470" s="28">
        <f>IF(F1470="I",IFERROR(VLOOKUP(C1470,'BG 12.2023'!$B$6:$E$819,3,FALSE),0),0)</f>
        <v>47077754</v>
      </c>
      <c r="K1470" s="28">
        <f>IF(F1470="I",IFERROR(VLOOKUP(C1470,'BG 12.2023'!$B$6:$E$819,4,FALSE),0),0)</f>
        <v>6540.5550000000003</v>
      </c>
      <c r="L1470" s="87">
        <f>+SUMIF('CA FE'!$A$1214:$A$1508,Composición!C1470,'CA FE'!$C$1214:$C$1508)</f>
        <v>97336181</v>
      </c>
      <c r="M1470" s="15">
        <f>+VLOOKUP(C1470,'BG 2023'!$B:$E,1,0)</f>
        <v>5131011122</v>
      </c>
      <c r="N1470" s="806">
        <f>+VLOOKUP(C1470,'BG 12.2024'!$B:$E,3,0)</f>
        <v>97336181</v>
      </c>
      <c r="O1470" s="807">
        <f t="shared" si="138"/>
        <v>50258427</v>
      </c>
      <c r="P1470" s="807"/>
      <c r="R1470" s="807">
        <f>+IFERROR(VLOOKUP(C1470,'CA FE'!$A:$C,3,0),0)-G1470</f>
        <v>0</v>
      </c>
    </row>
    <row r="1471" spans="1:19" s="87" customFormat="1">
      <c r="A1471" s="77" t="s">
        <v>395</v>
      </c>
      <c r="B1471" s="77" t="s">
        <v>1057</v>
      </c>
      <c r="C1471" s="793">
        <v>5131011123</v>
      </c>
      <c r="D1471" s="77" t="s">
        <v>170</v>
      </c>
      <c r="E1471" s="794" t="s">
        <v>640</v>
      </c>
      <c r="F1471" s="794" t="str">
        <f t="shared" ref="F1471" si="139">+IF(LEN(C1471)&gt;8,"I","NI")</f>
        <v>I</v>
      </c>
      <c r="G1471" s="28">
        <f>+IF(F1471="i",IFERROR(VLOOKUP(C1471,'BG 12.2024'!$B:$E,3,FALSE),0),0)</f>
        <v>11068644</v>
      </c>
      <c r="H1471" s="21">
        <f>+IF(F1471="i",IFERROR(VLOOKUP(C1471,'BG 12.2024'!$B:$E,4,FALSE),0),0)</f>
        <v>1498.63</v>
      </c>
      <c r="I1471" s="616"/>
      <c r="J1471" s="28">
        <f>IF(F1471="I",IFERROR(VLOOKUP(C1471,'BG 12.2023'!$B$6:$E$819,3,FALSE),0),0)</f>
        <v>10445205</v>
      </c>
      <c r="K1471" s="28">
        <f>IF(F1471="I",IFERROR(VLOOKUP(C1471,'BG 12.2023'!$B$6:$E$819,4,FALSE),0),0)</f>
        <v>1445.82</v>
      </c>
      <c r="L1471" s="87">
        <f>+SUMIF('CA FE'!$A$1214:$A$1508,Composición!C1471,'CA FE'!$C$1214:$C$1508)</f>
        <v>11068644</v>
      </c>
      <c r="M1471" s="15">
        <f>+VLOOKUP(C1471,'BG 2023'!$B:$E,1,0)</f>
        <v>5131011123</v>
      </c>
      <c r="N1471" s="806">
        <f>+VLOOKUP(C1471,'BG 12.2024'!$B:$E,3,0)</f>
        <v>11068644</v>
      </c>
      <c r="O1471" s="807">
        <f t="shared" si="138"/>
        <v>623439</v>
      </c>
      <c r="P1471" s="807"/>
      <c r="R1471" s="807">
        <f>+IFERROR(VLOOKUP(C1471,'CA FE'!$A:$C,3,0),0)-G1471</f>
        <v>0</v>
      </c>
    </row>
    <row r="1472" spans="1:19" s="87" customFormat="1">
      <c r="A1472" s="77" t="s">
        <v>395</v>
      </c>
      <c r="B1472" s="77" t="s">
        <v>1057</v>
      </c>
      <c r="C1472" s="793">
        <v>5131011124</v>
      </c>
      <c r="D1472" s="77" t="s">
        <v>1098</v>
      </c>
      <c r="E1472" s="794" t="s">
        <v>640</v>
      </c>
      <c r="F1472" s="794" t="str">
        <f t="shared" si="135"/>
        <v>I</v>
      </c>
      <c r="G1472" s="1097">
        <f>+IF(F1472="i",IFERROR(VLOOKUP(C1472,'BG 12.2024'!$B:$E,3,FALSE),0),0)</f>
        <v>0</v>
      </c>
      <c r="H1472" s="21">
        <f>+IF(F1472="i",IFERROR(VLOOKUP(C1472,'BG 12.2024'!$B:$E,4,FALSE),0),0)</f>
        <v>0</v>
      </c>
      <c r="I1472" s="616"/>
      <c r="J1472" s="28">
        <f>IF(F1472="I",IFERROR(VLOOKUP(C1472,'BG 12.2023'!$B$6:$E$819,3,FALSE),0),0)</f>
        <v>45854541</v>
      </c>
      <c r="K1472" s="28">
        <f>IF(F1472="I",IFERROR(VLOOKUP(C1472,'BG 12.2023'!$B$6:$E$819,4,FALSE),0),0)</f>
        <v>6160.05</v>
      </c>
      <c r="L1472" s="87">
        <f>+SUMIF('CA FE'!$A$1214:$A$1508,Composición!C1472,'CA FE'!$C$1214:$C$1508)</f>
        <v>0</v>
      </c>
      <c r="M1472" s="15">
        <f>+VLOOKUP(C1472,'BG 2023'!$B:$E,1,0)</f>
        <v>5131011124</v>
      </c>
      <c r="N1472" s="819" t="e">
        <f>+VLOOKUP(C1472,'BG 12.2024'!$B:$E,3,0)</f>
        <v>#N/A</v>
      </c>
      <c r="O1472" s="807" t="e">
        <f t="shared" si="138"/>
        <v>#N/A</v>
      </c>
      <c r="P1472" s="807"/>
      <c r="R1472" s="807">
        <f>+IFERROR(VLOOKUP(C1472,'CA FE'!$A:$C,3,0),0)-G1472</f>
        <v>0</v>
      </c>
      <c r="S1472" s="87" t="s">
        <v>1060</v>
      </c>
    </row>
    <row r="1473" spans="1:19" s="87" customFormat="1">
      <c r="A1473" s="77" t="s">
        <v>395</v>
      </c>
      <c r="B1473" s="77" t="s">
        <v>1057</v>
      </c>
      <c r="C1473" s="793">
        <v>5131011199</v>
      </c>
      <c r="D1473" s="77" t="s">
        <v>492</v>
      </c>
      <c r="E1473" s="794" t="s">
        <v>634</v>
      </c>
      <c r="F1473" s="794" t="str">
        <f t="shared" si="135"/>
        <v>I</v>
      </c>
      <c r="G1473" s="28">
        <f>+IF(F1473="i",IFERROR(VLOOKUP(C1473,'BG 12.2024'!$B:$E,3,FALSE),0),0)</f>
        <v>17766499</v>
      </c>
      <c r="H1473" s="21">
        <f>+IF(F1473="i",IFERROR(VLOOKUP(C1473,'BG 12.2024'!$B:$E,4,FALSE),0),0)</f>
        <v>2349.4699999999998</v>
      </c>
      <c r="I1473" s="616"/>
      <c r="J1473" s="28">
        <f>IF(F1473="I",IFERROR(VLOOKUP(C1473,'BG 12.2023'!$B$6:$E$819,3,FALSE),0),0)</f>
        <v>16660939</v>
      </c>
      <c r="K1473" s="28">
        <f>IF(F1473="I",IFERROR(VLOOKUP(C1473,'BG 12.2023'!$B$6:$E$819,4,FALSE),0),0)</f>
        <v>2294.5699999999997</v>
      </c>
      <c r="L1473" s="87">
        <f>+SUMIF('CA FE'!$A$1214:$A$1508,Composición!C1473,'CA FE'!$C$1214:$C$1508)</f>
        <v>17766499</v>
      </c>
      <c r="M1473" s="15">
        <f>+VLOOKUP(C1473,'BG 2023'!$B:$E,1,0)</f>
        <v>5131011199</v>
      </c>
      <c r="N1473" s="806">
        <f>+VLOOKUP(C1473,'BG 12.2024'!$B:$E,3,0)</f>
        <v>17766499</v>
      </c>
      <c r="O1473" s="807">
        <f t="shared" si="138"/>
        <v>1105560</v>
      </c>
      <c r="P1473" s="807"/>
      <c r="R1473" s="807">
        <f>+IFERROR(VLOOKUP(C1473,'CA FE'!$A:$C,3,0),0)-G1473</f>
        <v>0</v>
      </c>
    </row>
    <row r="1474" spans="1:19" s="87" customFormat="1">
      <c r="A1474" s="77" t="s">
        <v>395</v>
      </c>
      <c r="B1474" s="77"/>
      <c r="C1474" s="793">
        <v>514</v>
      </c>
      <c r="D1474" s="77" t="s">
        <v>493</v>
      </c>
      <c r="E1474" s="794" t="s">
        <v>634</v>
      </c>
      <c r="F1474" s="794" t="str">
        <f t="shared" si="135"/>
        <v>NI</v>
      </c>
      <c r="G1474" s="28">
        <f>+IF(F1474="i",IFERROR(VLOOKUP(C1474,'BG 12.2024'!$B:$E,3,FALSE),0),0)</f>
        <v>0</v>
      </c>
      <c r="H1474" s="21">
        <f>+IF(F1474="i",IFERROR(VLOOKUP(C1474,'BG 12.2024'!$B:$E,4,FALSE),0),0)</f>
        <v>0</v>
      </c>
      <c r="I1474" s="616"/>
      <c r="J1474" s="28">
        <f>IF(F1474="I",IFERROR(VLOOKUP(C1474,'BG 12.2023'!$B$6:$E$819,3,FALSE),0),0)</f>
        <v>0</v>
      </c>
      <c r="K1474" s="28">
        <f>IF(F1474="I",IFERROR(VLOOKUP(C1474,'BG 12.2023'!$B$6:$E$819,4,FALSE),0),0)</f>
        <v>0</v>
      </c>
      <c r="L1474" s="87">
        <f>+SUMIF('CA FE'!$A$1214:$A$1508,Composición!C1474,'CA FE'!$C$1214:$C$1508)</f>
        <v>0</v>
      </c>
      <c r="M1474" s="15">
        <f>+VLOOKUP(C1474,'BG 2023'!$B:$E,1,0)</f>
        <v>514</v>
      </c>
      <c r="N1474" s="806">
        <f>+VLOOKUP(C1474,'BG 2023'!$B:$E,3,0)-J1474</f>
        <v>10053844466</v>
      </c>
      <c r="O1474" s="807">
        <f t="shared" si="133"/>
        <v>10053844466</v>
      </c>
      <c r="P1474" s="807"/>
      <c r="R1474" s="807">
        <f>+IFERROR(VLOOKUP(C1474,'CA FE'!$A:$C,3,0),0)-G1474</f>
        <v>0</v>
      </c>
    </row>
    <row r="1475" spans="1:19" s="87" customFormat="1">
      <c r="A1475" s="77" t="s">
        <v>395</v>
      </c>
      <c r="B1475" s="77"/>
      <c r="C1475" s="793">
        <v>51401</v>
      </c>
      <c r="D1475" s="77" t="s">
        <v>494</v>
      </c>
      <c r="E1475" s="794" t="s">
        <v>634</v>
      </c>
      <c r="F1475" s="794" t="str">
        <f t="shared" si="135"/>
        <v>NI</v>
      </c>
      <c r="G1475" s="28">
        <f>+IF(F1475="i",IFERROR(VLOOKUP(C1475,'BG 12.2024'!$B:$E,3,FALSE),0),0)</f>
        <v>0</v>
      </c>
      <c r="H1475" s="21">
        <f>+IF(F1475="i",IFERROR(VLOOKUP(C1475,'BG 12.2024'!$B:$E,4,FALSE),0),0)</f>
        <v>0</v>
      </c>
      <c r="I1475" s="616"/>
      <c r="J1475" s="28">
        <f>IF(F1475="I",IFERROR(VLOOKUP(C1475,'BG 12.2023'!$B$6:$E$819,3,FALSE),0),0)</f>
        <v>0</v>
      </c>
      <c r="K1475" s="28">
        <f>IF(F1475="I",IFERROR(VLOOKUP(C1475,'BG 12.2023'!$B$6:$E$819,4,FALSE),0),0)</f>
        <v>0</v>
      </c>
      <c r="L1475" s="87">
        <f>+SUMIF('CA FE'!$A$1214:$A$1508,Composición!C1475,'CA FE'!$C$1214:$C$1508)</f>
        <v>0</v>
      </c>
      <c r="M1475" s="15">
        <f>+VLOOKUP(C1475,'BG 2023'!$B:$E,1,0)</f>
        <v>51401</v>
      </c>
      <c r="N1475" s="806">
        <f>+VLOOKUP(C1475,'BG 2023'!$B:$E,3,0)-J1475</f>
        <v>10053844466</v>
      </c>
      <c r="O1475" s="807">
        <f t="shared" si="133"/>
        <v>10053844466</v>
      </c>
      <c r="P1475" s="807"/>
      <c r="R1475" s="807">
        <f>+IFERROR(VLOOKUP(C1475,'CA FE'!$A:$C,3,0),0)-G1475</f>
        <v>0</v>
      </c>
    </row>
    <row r="1476" spans="1:19" s="87" customFormat="1">
      <c r="A1476" s="77" t="s">
        <v>395</v>
      </c>
      <c r="B1476" s="77"/>
      <c r="C1476" s="793">
        <v>514011</v>
      </c>
      <c r="D1476" s="77" t="s">
        <v>494</v>
      </c>
      <c r="E1476" s="794" t="s">
        <v>634</v>
      </c>
      <c r="F1476" s="794" t="str">
        <f t="shared" si="135"/>
        <v>NI</v>
      </c>
      <c r="G1476" s="28">
        <f>+IF(F1476="i",IFERROR(VLOOKUP(C1476,'BG 12.2024'!$B:$E,3,FALSE),0),0)</f>
        <v>0</v>
      </c>
      <c r="H1476" s="21">
        <f>+IF(F1476="i",IFERROR(VLOOKUP(C1476,'BG 12.2024'!$B:$E,4,FALSE),0),0)</f>
        <v>0</v>
      </c>
      <c r="I1476" s="616"/>
      <c r="J1476" s="28">
        <f>IF(F1476="I",IFERROR(VLOOKUP(C1476,'BG 12.2023'!$B$6:$E$819,3,FALSE),0),0)</f>
        <v>0</v>
      </c>
      <c r="K1476" s="28">
        <f>IF(F1476="I",IFERROR(VLOOKUP(C1476,'BG 12.2023'!$B$6:$E$819,4,FALSE),0),0)</f>
        <v>0</v>
      </c>
      <c r="L1476" s="87">
        <f>+SUMIF('CA FE'!$A$1214:$A$1508,Composición!C1476,'CA FE'!$C$1214:$C$1508)</f>
        <v>0</v>
      </c>
      <c r="M1476" s="15">
        <f>+VLOOKUP(C1476,'BG 2023'!$B:$E,1,0)</f>
        <v>514011</v>
      </c>
      <c r="N1476" s="806">
        <f>+VLOOKUP(C1476,'BG 2023'!$B:$E,3,0)-J1476</f>
        <v>10053844466</v>
      </c>
      <c r="O1476" s="807">
        <f t="shared" si="133"/>
        <v>10053844466</v>
      </c>
      <c r="P1476" s="807"/>
      <c r="R1476" s="807">
        <f>+IFERROR(VLOOKUP(C1476,'CA FE'!$A:$C,3,0),0)-G1476</f>
        <v>0</v>
      </c>
    </row>
    <row r="1477" spans="1:19" s="87" customFormat="1">
      <c r="A1477" s="77" t="s">
        <v>395</v>
      </c>
      <c r="B1477" s="77"/>
      <c r="C1477" s="793">
        <v>5140111</v>
      </c>
      <c r="D1477" s="77" t="s">
        <v>494</v>
      </c>
      <c r="E1477" s="794" t="s">
        <v>634</v>
      </c>
      <c r="F1477" s="794" t="str">
        <f t="shared" si="135"/>
        <v>NI</v>
      </c>
      <c r="G1477" s="28">
        <f>+IF(F1477="i",IFERROR(VLOOKUP(C1477,'BG 12.2024'!$B:$E,3,FALSE),0),0)</f>
        <v>0</v>
      </c>
      <c r="H1477" s="21">
        <f>+IF(F1477="i",IFERROR(VLOOKUP(C1477,'BG 12.2024'!$B:$E,4,FALSE),0),0)</f>
        <v>0</v>
      </c>
      <c r="I1477" s="616"/>
      <c r="J1477" s="28">
        <f>IF(F1477="I",IFERROR(VLOOKUP(C1477,'BG 12.2023'!$B$6:$E$819,3,FALSE),0),0)</f>
        <v>0</v>
      </c>
      <c r="K1477" s="28">
        <f>IF(F1477="I",IFERROR(VLOOKUP(C1477,'BG 12.2023'!$B$6:$E$819,4,FALSE),0),0)</f>
        <v>0</v>
      </c>
      <c r="L1477" s="87">
        <f>+SUMIF('CA FE'!$A$1214:$A$1508,Composición!C1477,'CA FE'!$C$1214:$C$1508)</f>
        <v>0</v>
      </c>
      <c r="M1477" s="15">
        <f>+VLOOKUP(C1477,'BG 2023'!$B:$E,1,0)</f>
        <v>5140111</v>
      </c>
      <c r="N1477" s="806">
        <f>+VLOOKUP(C1477,'BG 2023'!$B:$E,3,0)-J1477</f>
        <v>10053844466</v>
      </c>
      <c r="O1477" s="807">
        <f t="shared" si="133"/>
        <v>10053844466</v>
      </c>
      <c r="P1477" s="807"/>
      <c r="R1477" s="807">
        <f>+IFERROR(VLOOKUP(C1477,'CA FE'!$A:$C,3,0),0)-G1477</f>
        <v>0</v>
      </c>
    </row>
    <row r="1478" spans="1:19" s="87" customFormat="1">
      <c r="A1478" s="77" t="s">
        <v>395</v>
      </c>
      <c r="B1478" s="77"/>
      <c r="C1478" s="793">
        <v>51401111</v>
      </c>
      <c r="D1478" s="77" t="s">
        <v>495</v>
      </c>
      <c r="E1478" s="794" t="s">
        <v>634</v>
      </c>
      <c r="F1478" s="794" t="str">
        <f t="shared" si="135"/>
        <v>NI</v>
      </c>
      <c r="G1478" s="28">
        <f>+IF(F1478="i",IFERROR(VLOOKUP(C1478,'BG 12.2024'!$B:$E,3,FALSE),0),0)</f>
        <v>0</v>
      </c>
      <c r="H1478" s="21">
        <f>+IF(F1478="i",IFERROR(VLOOKUP(C1478,'BG 12.2024'!$B:$E,4,FALSE),0),0)</f>
        <v>0</v>
      </c>
      <c r="I1478" s="616"/>
      <c r="J1478" s="28">
        <f>IF(F1478="I",IFERROR(VLOOKUP(C1478,'BG 12.2023'!$B$6:$E$819,3,FALSE),0),0)</f>
        <v>0</v>
      </c>
      <c r="K1478" s="28">
        <f>IF(F1478="I",IFERROR(VLOOKUP(C1478,'BG 12.2023'!$B$6:$E$819,4,FALSE),0),0)</f>
        <v>0</v>
      </c>
      <c r="L1478" s="87">
        <f>+SUMIF('CA FE'!$A$1214:$A$1508,Composición!C1478,'CA FE'!$C$1214:$C$1508)</f>
        <v>0</v>
      </c>
      <c r="M1478" s="15">
        <f>+VLOOKUP(C1478,'BG 2023'!$B:$E,1,0)</f>
        <v>51401111</v>
      </c>
      <c r="N1478" s="806">
        <f>+VLOOKUP(C1478,'BG 2023'!$B:$E,3,0)-J1478</f>
        <v>493269424</v>
      </c>
      <c r="O1478" s="807">
        <f t="shared" si="133"/>
        <v>493269424</v>
      </c>
      <c r="P1478" s="807"/>
      <c r="R1478" s="807">
        <f>+IFERROR(VLOOKUP(C1478,'CA FE'!$A:$C,3,0),0)-G1478</f>
        <v>0</v>
      </c>
    </row>
    <row r="1479" spans="1:19" s="87" customFormat="1">
      <c r="A1479" s="77" t="s">
        <v>395</v>
      </c>
      <c r="B1479" s="77" t="s">
        <v>1099</v>
      </c>
      <c r="C1479" s="793">
        <v>5140111101</v>
      </c>
      <c r="D1479" s="77" t="s">
        <v>495</v>
      </c>
      <c r="E1479" s="794" t="s">
        <v>634</v>
      </c>
      <c r="F1479" s="794" t="str">
        <f t="shared" si="135"/>
        <v>I</v>
      </c>
      <c r="G1479" s="28">
        <f>+IF(F1479="i",IFERROR(VLOOKUP(C1479,'BG 12.2024'!$B:$E,3,FALSE),0),0)</f>
        <v>93953719</v>
      </c>
      <c r="H1479" s="21">
        <f>+IF(F1479="i",IFERROR(VLOOKUP(C1479,'BG 12.2024'!$B:$E,4,FALSE),0),0)</f>
        <v>12492.519999999997</v>
      </c>
      <c r="I1479" s="616"/>
      <c r="J1479" s="28">
        <f>IF(F1479="I",IFERROR(VLOOKUP(C1479,'BG 12.2023'!$B$6:$E$819,3,FALSE),0),0)</f>
        <v>2194521</v>
      </c>
      <c r="K1479" s="28">
        <f>IF(F1479="I",IFERROR(VLOOKUP(C1479,'BG 12.2023'!$B$6:$E$819,4,FALSE),0),0)</f>
        <v>301.3</v>
      </c>
      <c r="L1479" s="87">
        <f>+SUMIF('CA FE'!$A$1214:$A$1508,Composición!C1479,'CA FE'!$C$1214:$C$1508)</f>
        <v>93953719</v>
      </c>
      <c r="M1479" s="15">
        <f>+VLOOKUP(C1479,'BG 2023'!$B:$E,1,0)</f>
        <v>5140111101</v>
      </c>
      <c r="N1479" s="819">
        <f>+VLOOKUP(C1479,'BG 12.2024'!$B:$E,3,0)</f>
        <v>93953719</v>
      </c>
      <c r="O1479" s="807">
        <f t="shared" ref="O1479:O1480" si="140">+N1479-J1479</f>
        <v>91759198</v>
      </c>
      <c r="P1479" s="807"/>
      <c r="R1479" s="807">
        <f>+IFERROR(VLOOKUP(C1479,'CA FE'!$A:$C,3,0),0)-G1479</f>
        <v>0</v>
      </c>
    </row>
    <row r="1480" spans="1:19" s="87" customFormat="1">
      <c r="A1480" s="77" t="s">
        <v>395</v>
      </c>
      <c r="B1480" s="77" t="s">
        <v>1099</v>
      </c>
      <c r="C1480" s="793">
        <v>5140111102</v>
      </c>
      <c r="D1480" s="77" t="s">
        <v>1100</v>
      </c>
      <c r="E1480" s="794" t="s">
        <v>634</v>
      </c>
      <c r="F1480" s="794" t="str">
        <f t="shared" si="135"/>
        <v>I</v>
      </c>
      <c r="G1480" s="1097">
        <f>+IF(F1480="i",IFERROR(VLOOKUP(C1480,'BG 12.2024'!$B:$E,3,FALSE),0),0)</f>
        <v>1763637804</v>
      </c>
      <c r="H1480" s="21">
        <f>+IF(F1480="i",IFERROR(VLOOKUP(C1480,'BG 12.2024'!$B:$E,4,FALSE),0),0)</f>
        <v>230801.34</v>
      </c>
      <c r="I1480" s="616"/>
      <c r="J1480" s="28">
        <f>IF(F1480="I",IFERROR(VLOOKUP(C1480,'BG 12.2023'!$B$6:$E$819,3,FALSE),0),0)</f>
        <v>491074903</v>
      </c>
      <c r="K1480" s="28">
        <f>IF(F1480="I",IFERROR(VLOOKUP(C1480,'BG 12.2023'!$B$6:$E$819,4,FALSE),0),0)</f>
        <v>67396.740000000005</v>
      </c>
      <c r="L1480" s="87">
        <f>+SUMIF('CA FE'!$A$1214:$A$1508,Composición!C1480,'CA FE'!$C$1214:$C$1508)</f>
        <v>1763637804</v>
      </c>
      <c r="M1480" s="15">
        <f>+VLOOKUP(C1480,'BG 2023'!$B:$E,1,0)</f>
        <v>5140111102</v>
      </c>
      <c r="N1480" s="806">
        <f>+VLOOKUP(C1480,'BG 12.2024'!$B:$E,3,0)</f>
        <v>1763637804</v>
      </c>
      <c r="O1480" s="807">
        <f t="shared" si="140"/>
        <v>1272562901</v>
      </c>
      <c r="P1480" s="807"/>
      <c r="R1480" s="807">
        <f>+IFERROR(VLOOKUP(C1480,'CA FE'!$A:$C,3,0),0)-G1480</f>
        <v>0</v>
      </c>
      <c r="S1480" s="87" t="s">
        <v>1101</v>
      </c>
    </row>
    <row r="1481" spans="1:19" s="87" customFormat="1">
      <c r="A1481" s="77" t="s">
        <v>395</v>
      </c>
      <c r="B1481" s="77"/>
      <c r="C1481" s="793">
        <v>51401112</v>
      </c>
      <c r="D1481" s="77" t="s">
        <v>497</v>
      </c>
      <c r="E1481" s="794" t="s">
        <v>634</v>
      </c>
      <c r="F1481" s="794" t="str">
        <f t="shared" si="135"/>
        <v>NI</v>
      </c>
      <c r="G1481" s="28">
        <f>+IF(F1481="i",IFERROR(VLOOKUP(C1481,'BG 12.2024'!$B:$E,3,FALSE),0),0)</f>
        <v>0</v>
      </c>
      <c r="H1481" s="21">
        <f>+IF(F1481="i",IFERROR(VLOOKUP(C1481,'BG 12.2024'!$B:$E,4,FALSE),0),0)</f>
        <v>0</v>
      </c>
      <c r="I1481" s="616"/>
      <c r="J1481" s="28">
        <f>IF(F1481="I",IFERROR(VLOOKUP(C1481,'BG 12.2023'!$B$6:$E$819,3,FALSE),0),0)</f>
        <v>0</v>
      </c>
      <c r="K1481" s="28">
        <f>IF(F1481="I",IFERROR(VLOOKUP(C1481,'BG 12.2023'!$B$6:$E$819,4,FALSE),0),0)</f>
        <v>0</v>
      </c>
      <c r="L1481" s="87">
        <f>+SUMIF('CA FE'!$A$1214:$A$1508,Composición!C1481,'CA FE'!$C$1214:$C$1508)</f>
        <v>0</v>
      </c>
      <c r="M1481" s="15">
        <f>+VLOOKUP(C1481,'BG 2023'!$B:$E,1,0)</f>
        <v>51401112</v>
      </c>
      <c r="N1481" s="806">
        <f>+VLOOKUP(C1481,'BG 2023'!$B:$E,3,0)-J1481</f>
        <v>43830271</v>
      </c>
      <c r="O1481" s="807">
        <f t="shared" si="133"/>
        <v>43830271</v>
      </c>
      <c r="P1481" s="807"/>
      <c r="R1481" s="807">
        <f>+IFERROR(VLOOKUP(C1481,'CA FE'!$A:$C,3,0),0)-G1481</f>
        <v>0</v>
      </c>
    </row>
    <row r="1482" spans="1:19" s="87" customFormat="1">
      <c r="A1482" s="77" t="s">
        <v>395</v>
      </c>
      <c r="B1482" s="77" t="s">
        <v>1057</v>
      </c>
      <c r="C1482" s="793">
        <v>5140111201</v>
      </c>
      <c r="D1482" s="77" t="s">
        <v>1102</v>
      </c>
      <c r="E1482" s="794" t="s">
        <v>634</v>
      </c>
      <c r="F1482" s="794" t="str">
        <f t="shared" si="135"/>
        <v>I</v>
      </c>
      <c r="G1482" s="1097">
        <f>+IF(F1482="i",IFERROR(VLOOKUP(C1482,'BG 12.2024'!$B:$E,3,FALSE),0),0)</f>
        <v>60889923</v>
      </c>
      <c r="H1482" s="21">
        <f>+IF(F1482="i",IFERROR(VLOOKUP(C1482,'BG 12.2024'!$B:$E,4,FALSE),0),0)</f>
        <v>8073.18</v>
      </c>
      <c r="I1482" s="616"/>
      <c r="J1482" s="28">
        <f>IF(F1482="I",IFERROR(VLOOKUP(C1482,'BG 12.2023'!$B$6:$E$819,3,FALSE),0),0)</f>
        <v>25064159</v>
      </c>
      <c r="K1482" s="28">
        <f>IF(F1482="I",IFERROR(VLOOKUP(C1482,'BG 12.2023'!$B$6:$E$819,4,FALSE),0),0)</f>
        <v>3464.66</v>
      </c>
      <c r="L1482" s="87">
        <f>+SUMIF('CA FE'!$A$1214:$A$1508,Composición!C1482,'CA FE'!$C$1214:$C$1508)</f>
        <v>60889923</v>
      </c>
      <c r="M1482" s="15">
        <f>+VLOOKUP(C1482,'BG 2023'!$B:$E,1,0)</f>
        <v>5140111201</v>
      </c>
      <c r="N1482" s="806">
        <f>+VLOOKUP(C1482,'BG 12.2024'!$B:$E,3,0)</f>
        <v>60889923</v>
      </c>
      <c r="O1482" s="807">
        <f t="shared" ref="O1482:O1485" si="141">+N1482-J1482</f>
        <v>35825764</v>
      </c>
      <c r="P1482" s="807"/>
      <c r="R1482" s="807">
        <f>+IFERROR(VLOOKUP(C1482,'CA FE'!$A:$C,3,0),0)-G1482</f>
        <v>0</v>
      </c>
      <c r="S1482" s="87" t="s">
        <v>497</v>
      </c>
    </row>
    <row r="1483" spans="1:19" s="87" customFormat="1">
      <c r="A1483" s="77" t="s">
        <v>395</v>
      </c>
      <c r="B1483" s="77" t="s">
        <v>1057</v>
      </c>
      <c r="C1483" s="793">
        <v>5140111202</v>
      </c>
      <c r="D1483" s="77" t="s">
        <v>1103</v>
      </c>
      <c r="E1483" s="794" t="s">
        <v>640</v>
      </c>
      <c r="F1483" s="794" t="str">
        <f t="shared" si="135"/>
        <v>I</v>
      </c>
      <c r="G1483" s="1097">
        <f>+IF(F1483="i",IFERROR(VLOOKUP(C1483,'BG 12.2024'!$B:$E,3,FALSE),0),0)</f>
        <v>0</v>
      </c>
      <c r="H1483" s="21">
        <f>+IF(F1483="i",IFERROR(VLOOKUP(C1483,'BG 12.2024'!$B:$E,4,FALSE),0),0)</f>
        <v>0</v>
      </c>
      <c r="I1483" s="616"/>
      <c r="J1483" s="28">
        <f>IF(F1483="I",IFERROR(VLOOKUP(C1483,'BG 12.2023'!$B$6:$E$819,3,FALSE),0),0)</f>
        <v>0</v>
      </c>
      <c r="K1483" s="28">
        <f>IF(F1483="I",IFERROR(VLOOKUP(C1483,'BG 12.2023'!$B$6:$E$819,4,FALSE),0),0)</f>
        <v>0</v>
      </c>
      <c r="L1483" s="87">
        <f>+SUMIF('CA FE'!$A$1214:$A$1508,Composición!C1483,'CA FE'!$C$1214:$C$1508)</f>
        <v>0</v>
      </c>
      <c r="M1483" s="15" t="e">
        <f>+VLOOKUP(C1483,'BG 2023'!$B:$E,1,0)</f>
        <v>#N/A</v>
      </c>
      <c r="N1483" s="806" t="e">
        <f>+VLOOKUP(C1483,'BG 12.2024'!$B:$E,3,0)</f>
        <v>#N/A</v>
      </c>
      <c r="O1483" s="807" t="e">
        <f t="shared" si="141"/>
        <v>#N/A</v>
      </c>
      <c r="P1483" s="807"/>
      <c r="R1483" s="807">
        <f>+IFERROR(VLOOKUP(C1483,'CA FE'!$A:$C,3,0),0)-G1483</f>
        <v>0</v>
      </c>
      <c r="S1483" s="87" t="s">
        <v>497</v>
      </c>
    </row>
    <row r="1484" spans="1:19" s="87" customFormat="1">
      <c r="A1484" s="77" t="s">
        <v>395</v>
      </c>
      <c r="B1484" s="77" t="s">
        <v>1057</v>
      </c>
      <c r="C1484" s="793">
        <v>5140111203</v>
      </c>
      <c r="D1484" s="77" t="s">
        <v>1104</v>
      </c>
      <c r="E1484" s="794" t="s">
        <v>634</v>
      </c>
      <c r="F1484" s="794" t="str">
        <f t="shared" si="135"/>
        <v>I</v>
      </c>
      <c r="G1484" s="28">
        <f>+IF(F1484="i",IFERROR(VLOOKUP(C1484,'BG 12.2024'!$B:$E,3,FALSE),0),0)</f>
        <v>21839152</v>
      </c>
      <c r="H1484" s="21">
        <f>+IF(F1484="i",IFERROR(VLOOKUP(C1484,'BG 12.2024'!$B:$E,4,FALSE),0),0)</f>
        <v>2859.85</v>
      </c>
      <c r="I1484" s="616"/>
      <c r="J1484" s="28">
        <f>IF(F1484="I",IFERROR(VLOOKUP(C1484,'BG 12.2023'!$B$6:$E$819,3,FALSE),0),0)</f>
        <v>6074427</v>
      </c>
      <c r="K1484" s="28">
        <f>IF(F1484="I",IFERROR(VLOOKUP(C1484,'BG 12.2023'!$B$6:$E$819,4,FALSE),0),0)</f>
        <v>827.52</v>
      </c>
      <c r="L1484" s="87">
        <f>+SUMIF('CA FE'!$A$1214:$A$1508,Composición!C1484,'CA FE'!$C$1214:$C$1508)</f>
        <v>21839152</v>
      </c>
      <c r="M1484" s="15">
        <f>+VLOOKUP(C1484,'BG 2023'!$B:$E,1,0)</f>
        <v>5140111203</v>
      </c>
      <c r="N1484" s="806">
        <f>+VLOOKUP(C1484,'BG 12.2024'!$B:$E,3,0)</f>
        <v>21839152</v>
      </c>
      <c r="O1484" s="807">
        <f t="shared" si="141"/>
        <v>15764725</v>
      </c>
      <c r="P1484" s="807"/>
      <c r="R1484" s="807">
        <f>+IFERROR(VLOOKUP(C1484,'CA FE'!$A:$C,3,0),0)-G1484</f>
        <v>0</v>
      </c>
    </row>
    <row r="1485" spans="1:19" s="87" customFormat="1">
      <c r="A1485" s="77" t="s">
        <v>395</v>
      </c>
      <c r="B1485" s="77" t="s">
        <v>1057</v>
      </c>
      <c r="C1485" s="793">
        <v>5140111204</v>
      </c>
      <c r="D1485" s="77" t="s">
        <v>500</v>
      </c>
      <c r="E1485" s="794" t="s">
        <v>634</v>
      </c>
      <c r="F1485" s="794" t="str">
        <f t="shared" si="135"/>
        <v>I</v>
      </c>
      <c r="G1485" s="28">
        <f>+IF(F1485="i",IFERROR(VLOOKUP(C1485,'BG 12.2024'!$B:$E,3,FALSE),0),0)</f>
        <v>16662375</v>
      </c>
      <c r="H1485" s="21">
        <f>+IF(F1485="i",IFERROR(VLOOKUP(C1485,'BG 12.2024'!$B:$E,4,FALSE),0),0)</f>
        <v>2215.04</v>
      </c>
      <c r="I1485" s="616"/>
      <c r="J1485" s="28">
        <f>IF(F1485="I",IFERROR(VLOOKUP(C1485,'BG 12.2023'!$B$6:$E$819,3,FALSE),0),0)</f>
        <v>12691685</v>
      </c>
      <c r="K1485" s="28">
        <f>IF(F1485="I",IFERROR(VLOOKUP(C1485,'BG 12.2023'!$B$6:$E$819,4,FALSE),0),0)</f>
        <v>1746.88</v>
      </c>
      <c r="L1485" s="87">
        <f>+SUMIF('CA FE'!$A$1214:$A$1508,Composición!C1485,'CA FE'!$C$1214:$C$1508)</f>
        <v>16662375</v>
      </c>
      <c r="M1485" s="15">
        <f>+VLOOKUP(C1485,'BG 2023'!$B:$E,1,0)</f>
        <v>5140111204</v>
      </c>
      <c r="N1485" s="806">
        <f>+VLOOKUP(C1485,'BG 12.2024'!$B:$E,3,0)</f>
        <v>16662375</v>
      </c>
      <c r="O1485" s="807">
        <f t="shared" si="141"/>
        <v>3970690</v>
      </c>
      <c r="P1485" s="807"/>
      <c r="R1485" s="807">
        <f>+IFERROR(VLOOKUP(C1485,'CA FE'!$A:$C,3,0),0)-G1485</f>
        <v>0</v>
      </c>
    </row>
    <row r="1486" spans="1:19" s="87" customFormat="1">
      <c r="A1486" s="77" t="s">
        <v>395</v>
      </c>
      <c r="B1486" s="77"/>
      <c r="C1486" s="793">
        <v>51401113</v>
      </c>
      <c r="D1486" s="77" t="s">
        <v>501</v>
      </c>
      <c r="E1486" s="794" t="s">
        <v>634</v>
      </c>
      <c r="F1486" s="794" t="str">
        <f t="shared" si="135"/>
        <v>NI</v>
      </c>
      <c r="G1486" s="28">
        <f>+IF(F1486="i",IFERROR(VLOOKUP(C1486,'BG 12.2024'!$B:$E,3,FALSE),0),0)</f>
        <v>0</v>
      </c>
      <c r="H1486" s="21">
        <f>+IF(F1486="i",IFERROR(VLOOKUP(C1486,'BG 12.2024'!$B:$E,4,FALSE),0),0)</f>
        <v>0</v>
      </c>
      <c r="I1486" s="616"/>
      <c r="J1486" s="28">
        <f>IF(F1486="I",IFERROR(VLOOKUP(C1486,'BG 12.2023'!$B$6:$E$819,3,FALSE),0),0)</f>
        <v>0</v>
      </c>
      <c r="K1486" s="28">
        <f>IF(F1486="I",IFERROR(VLOOKUP(C1486,'BG 12.2023'!$B$6:$E$819,4,FALSE),0),0)</f>
        <v>0</v>
      </c>
      <c r="L1486" s="87">
        <f>+SUMIF('CA FE'!$A$1214:$A$1508,Composición!C1486,'CA FE'!$C$1214:$C$1508)</f>
        <v>0</v>
      </c>
      <c r="M1486" s="15">
        <f>+VLOOKUP(C1486,'BG 2023'!$B:$E,1,0)</f>
        <v>51401113</v>
      </c>
      <c r="N1486" s="806">
        <f>+VLOOKUP(C1486,'BG 2023'!$B:$E,3,0)-J1486</f>
        <v>9225344771</v>
      </c>
      <c r="O1486" s="807">
        <f t="shared" ref="O1486:O1552" si="142">+N1486-G1486</f>
        <v>9225344771</v>
      </c>
      <c r="P1486" s="807"/>
      <c r="R1486" s="807">
        <f>+IFERROR(VLOOKUP(C1486,'CA FE'!$A:$C,3,0),0)-G1486</f>
        <v>0</v>
      </c>
    </row>
    <row r="1487" spans="1:19" s="87" customFormat="1">
      <c r="A1487" s="77" t="s">
        <v>395</v>
      </c>
      <c r="B1487" s="77" t="s">
        <v>1027</v>
      </c>
      <c r="C1487" s="793">
        <v>5140111301</v>
      </c>
      <c r="D1487" s="77" t="s">
        <v>385</v>
      </c>
      <c r="E1487" s="794" t="s">
        <v>634</v>
      </c>
      <c r="F1487" s="794" t="str">
        <f t="shared" si="135"/>
        <v>I</v>
      </c>
      <c r="G1487" s="28">
        <f>+IF(F1487="i",IFERROR(VLOOKUP(C1487,'BG 12.2024'!$B:$E,3,FALSE),0),0)</f>
        <v>8825477002</v>
      </c>
      <c r="H1487" s="21">
        <f>+IF(F1487="i",IFERROR(VLOOKUP(C1487,'BG 12.2024'!$B:$E,4,FALSE),0),0)</f>
        <v>19966290.620000001</v>
      </c>
      <c r="I1487" s="616"/>
      <c r="J1487" s="28">
        <f>IF(F1487="I",IFERROR(VLOOKUP(C1487,'BG 12.2023'!$B$6:$E$819,3,FALSE),0),0)</f>
        <v>5865971373</v>
      </c>
      <c r="K1487" s="28">
        <f>IF(F1487="I",IFERROR(VLOOKUP(C1487,'BG 12.2023'!$B$6:$E$819,4,FALSE),0),0)</f>
        <v>1562057.7163</v>
      </c>
      <c r="L1487" s="87">
        <f>+SUMIF('CA FE'!$A$1214:$A$1508,Composición!C1487,'CA FE'!$C$1214:$C$1508)</f>
        <v>8825477002</v>
      </c>
      <c r="M1487" s="15">
        <f>+VLOOKUP(C1487,'BG 2023'!$B:$E,1,0)</f>
        <v>5140111301</v>
      </c>
      <c r="N1487" s="806">
        <f>+VLOOKUP(C1487,'BG 12.2024'!$B:$E,3,0)</f>
        <v>8825477002</v>
      </c>
      <c r="O1487" s="807">
        <f t="shared" ref="O1487:O1488" si="143">+N1487-J1487</f>
        <v>2959505629</v>
      </c>
      <c r="P1487" s="807"/>
      <c r="R1487" s="807">
        <f>+IFERROR(VLOOKUP(C1487,'CA FE'!$A:$C,3,0),0)-G1487</f>
        <v>0</v>
      </c>
    </row>
    <row r="1488" spans="1:19" s="87" customFormat="1">
      <c r="A1488" s="77" t="s">
        <v>395</v>
      </c>
      <c r="B1488" s="77" t="s">
        <v>1027</v>
      </c>
      <c r="C1488" s="793">
        <v>5140111302</v>
      </c>
      <c r="D1488" s="77" t="s">
        <v>386</v>
      </c>
      <c r="E1488" s="794" t="s">
        <v>634</v>
      </c>
      <c r="F1488" s="794" t="str">
        <f t="shared" si="135"/>
        <v>I</v>
      </c>
      <c r="G1488" s="28">
        <f>+IF(F1488="i",IFERROR(VLOOKUP(C1488,'BG 12.2024'!$B:$E,3,FALSE),0),0)</f>
        <v>7342337354</v>
      </c>
      <c r="H1488" s="21">
        <f>+IF(F1488="i",IFERROR(VLOOKUP(C1488,'BG 12.2024'!$B:$E,4,FALSE),0),0)</f>
        <v>11272425.789999999</v>
      </c>
      <c r="I1488" s="616"/>
      <c r="J1488" s="28">
        <f>IF(F1488="I",IFERROR(VLOOKUP(C1488,'BG 12.2023'!$B$6:$E$819,3,FALSE),0),0)</f>
        <v>3359373398</v>
      </c>
      <c r="K1488" s="28">
        <f>IF(F1488="I",IFERROR(VLOOKUP(C1488,'BG 12.2023'!$B$6:$E$819,4,FALSE),0),0)</f>
        <v>716540.55059999996</v>
      </c>
      <c r="L1488" s="87">
        <f>+SUMIF('CA FE'!$A$1214:$A$1508,Composición!C1488,'CA FE'!$C$1214:$C$1508)</f>
        <v>7342337354</v>
      </c>
      <c r="M1488" s="15">
        <f>+VLOOKUP(C1488,'BG 2023'!$B:$E,1,0)</f>
        <v>5140111302</v>
      </c>
      <c r="N1488" s="806">
        <f>+VLOOKUP(C1488,'BG 12.2024'!$B:$E,3,0)</f>
        <v>7342337354</v>
      </c>
      <c r="O1488" s="807">
        <f t="shared" si="143"/>
        <v>3982963956</v>
      </c>
      <c r="P1488" s="807"/>
      <c r="R1488" s="807">
        <f>+IFERROR(VLOOKUP(C1488,'CA FE'!$A:$C,3,0),0)-G1488</f>
        <v>0</v>
      </c>
    </row>
    <row r="1489" spans="1:18" s="87" customFormat="1">
      <c r="A1489" s="77" t="s">
        <v>395</v>
      </c>
      <c r="B1489" s="77"/>
      <c r="C1489" s="793">
        <v>51401114</v>
      </c>
      <c r="D1489" s="77" t="s">
        <v>502</v>
      </c>
      <c r="E1489" s="794" t="s">
        <v>634</v>
      </c>
      <c r="F1489" s="794" t="str">
        <f t="shared" ref="F1489" si="144">+IF(LEN(C1489)&gt;8,"I","NI")</f>
        <v>NI</v>
      </c>
      <c r="G1489" s="28">
        <f>+IF(F1489="i",IFERROR(VLOOKUP(C1489,'BG 12.2024'!$B:$E,3,FALSE),0),0)</f>
        <v>0</v>
      </c>
      <c r="H1489" s="21">
        <f>+IF(F1489="i",IFERROR(VLOOKUP(C1489,'BG 12.2024'!$B:$E,4,FALSE),0),0)</f>
        <v>0</v>
      </c>
      <c r="I1489" s="616"/>
      <c r="J1489" s="28">
        <f>IF(F1489="I",IFERROR(VLOOKUP(C1489,'BG 12.2023'!$B$6:$E$819,3,FALSE),0),0)</f>
        <v>0</v>
      </c>
      <c r="K1489" s="28">
        <f>IF(F1489="I",IFERROR(VLOOKUP(C1489,'BG 12.2023'!$B$6:$E$819,4,FALSE),0),0)</f>
        <v>0</v>
      </c>
      <c r="L1489" s="87">
        <f>+SUMIF('CA FE'!$A$1214:$A$1508,Composición!C1489,'CA FE'!$C$1214:$C$1508)</f>
        <v>0</v>
      </c>
      <c r="M1489" s="15">
        <f>+VLOOKUP(C1489,'BG 2023'!$B:$E,1,0)</f>
        <v>51401114</v>
      </c>
      <c r="N1489" s="806">
        <f>+VLOOKUP(C1489,'BG 2023'!$B:$E,3,0)-J1489</f>
        <v>291400000</v>
      </c>
      <c r="O1489" s="807">
        <f t="shared" si="142"/>
        <v>291400000</v>
      </c>
      <c r="P1489" s="807"/>
      <c r="R1489" s="807">
        <f>+IFERROR(VLOOKUP(C1489,'CA FE'!$A:$C,3,0),0)-G1489</f>
        <v>0</v>
      </c>
    </row>
    <row r="1490" spans="1:18" s="87" customFormat="1">
      <c r="A1490" s="77" t="s">
        <v>395</v>
      </c>
      <c r="B1490" s="77" t="s">
        <v>1057</v>
      </c>
      <c r="C1490" s="793">
        <v>5140111401</v>
      </c>
      <c r="D1490" s="77" t="s">
        <v>502</v>
      </c>
      <c r="E1490" s="794" t="s">
        <v>634</v>
      </c>
      <c r="F1490" s="794" t="str">
        <f t="shared" si="135"/>
        <v>I</v>
      </c>
      <c r="G1490" s="28">
        <f>+IF(F1490="i",IFERROR(VLOOKUP(C1490,'BG 12.2024'!$B:$E,3,FALSE),0),0)</f>
        <v>0</v>
      </c>
      <c r="H1490" s="21">
        <f>+IF(F1490="i",IFERROR(VLOOKUP(C1490,'BG 12.2024'!$B:$E,4,FALSE),0),0)</f>
        <v>0</v>
      </c>
      <c r="I1490" s="616"/>
      <c r="J1490" s="28">
        <f>IF(F1490="I",IFERROR(VLOOKUP(C1490,'BG 12.2023'!$B$6:$E$819,3,FALSE),0),0)</f>
        <v>291400000</v>
      </c>
      <c r="K1490" s="28">
        <f>IF(F1490="I",IFERROR(VLOOKUP(C1490,'BG 12.2023'!$B$6:$E$819,4,FALSE),0),0)</f>
        <v>40014.39</v>
      </c>
      <c r="L1490" s="87">
        <f>+SUMIF('CA FE'!$A$1214:$A$1508,Composición!C1490,'CA FE'!$C$1214:$C$1508)</f>
        <v>0</v>
      </c>
      <c r="M1490" s="15">
        <f>+VLOOKUP(C1490,'BG 2023'!$B:$E,1,0)</f>
        <v>5140111401</v>
      </c>
      <c r="N1490" s="819" t="e">
        <f>+VLOOKUP(C1490,'BG 12.2024'!$B:$E,3,0)</f>
        <v>#N/A</v>
      </c>
      <c r="O1490" s="807" t="e">
        <f>+N1490-J1490</f>
        <v>#N/A</v>
      </c>
      <c r="P1490" s="807"/>
      <c r="R1490" s="807">
        <f>+IFERROR(VLOOKUP(C1490,'CA FE'!$A:$C,3,0),0)-G1490</f>
        <v>0</v>
      </c>
    </row>
    <row r="1491" spans="1:18" s="87" customFormat="1">
      <c r="A1491" s="77" t="s">
        <v>395</v>
      </c>
      <c r="B1491" s="77"/>
      <c r="C1491" s="793">
        <v>515</v>
      </c>
      <c r="D1491" s="77" t="s">
        <v>503</v>
      </c>
      <c r="E1491" s="794" t="s">
        <v>634</v>
      </c>
      <c r="F1491" s="794" t="str">
        <f t="shared" si="135"/>
        <v>NI</v>
      </c>
      <c r="G1491" s="28">
        <f>+IF(F1491="i",IFERROR(VLOOKUP(C1491,'BG 12.2024'!$B:$E,3,FALSE),0),0)</f>
        <v>0</v>
      </c>
      <c r="H1491" s="21">
        <f>+IF(F1491="i",IFERROR(VLOOKUP(C1491,'BG 12.2024'!$B:$E,4,FALSE),0),0)</f>
        <v>0</v>
      </c>
      <c r="I1491" s="616"/>
      <c r="J1491" s="28">
        <f>IF(F1491="I",IFERROR(VLOOKUP(C1491,'BG 12.2023'!$B$6:$E$819,3,FALSE),0),0)</f>
        <v>0</v>
      </c>
      <c r="K1491" s="28">
        <f>IF(F1491="I",IFERROR(VLOOKUP(C1491,'BG 12.2023'!$B$6:$E$819,4,FALSE),0),0)</f>
        <v>0</v>
      </c>
      <c r="L1491" s="87">
        <f>+SUMIF('CA FE'!$A$1214:$A$1508,Composición!C1491,'CA FE'!$C$1214:$C$1508)</f>
        <v>0</v>
      </c>
      <c r="M1491" s="15">
        <f>+VLOOKUP(C1491,'BG 2023'!$B:$E,1,0)</f>
        <v>515</v>
      </c>
      <c r="N1491" s="806">
        <f>+VLOOKUP(C1491,'BG 2023'!$B:$E,3,0)-J1491</f>
        <v>863359746</v>
      </c>
      <c r="O1491" s="807">
        <f t="shared" si="142"/>
        <v>863359746</v>
      </c>
      <c r="P1491" s="807"/>
      <c r="R1491" s="807">
        <f>+IFERROR(VLOOKUP(C1491,'CA FE'!$A:$C,3,0),0)-G1491</f>
        <v>0</v>
      </c>
    </row>
    <row r="1492" spans="1:18" s="87" customFormat="1">
      <c r="A1492" s="77" t="s">
        <v>395</v>
      </c>
      <c r="B1492" s="77"/>
      <c r="C1492" s="793">
        <v>51501</v>
      </c>
      <c r="D1492" s="77" t="s">
        <v>504</v>
      </c>
      <c r="E1492" s="794" t="s">
        <v>634</v>
      </c>
      <c r="F1492" s="794" t="str">
        <f t="shared" si="135"/>
        <v>NI</v>
      </c>
      <c r="G1492" s="28">
        <f>+IF(F1492="i",IFERROR(VLOOKUP(C1492,'BG 12.2024'!$B:$E,3,FALSE),0),0)</f>
        <v>0</v>
      </c>
      <c r="H1492" s="21">
        <f>+IF(F1492="i",IFERROR(VLOOKUP(C1492,'BG 12.2024'!$B:$E,4,FALSE),0),0)</f>
        <v>0</v>
      </c>
      <c r="I1492" s="616"/>
      <c r="J1492" s="28">
        <f>IF(F1492="I",IFERROR(VLOOKUP(C1492,'BG 12.2023'!$B$6:$E$819,3,FALSE),0),0)</f>
        <v>0</v>
      </c>
      <c r="K1492" s="28">
        <f>IF(F1492="I",IFERROR(VLOOKUP(C1492,'BG 12.2023'!$B$6:$E$819,4,FALSE),0),0)</f>
        <v>0</v>
      </c>
      <c r="L1492" s="87">
        <f>+SUMIF('CA FE'!$A$1214:$A$1508,Composición!C1492,'CA FE'!$C$1214:$C$1508)</f>
        <v>0</v>
      </c>
      <c r="M1492" s="15">
        <f>+VLOOKUP(C1492,'BG 2023'!$B:$E,1,0)</f>
        <v>51501</v>
      </c>
      <c r="N1492" s="806">
        <f>+VLOOKUP(C1492,'BG 2023'!$B:$E,3,0)-J1492</f>
        <v>863359746</v>
      </c>
      <c r="O1492" s="807">
        <f t="shared" si="142"/>
        <v>863359746</v>
      </c>
      <c r="P1492" s="807"/>
      <c r="R1492" s="807">
        <f>+IFERROR(VLOOKUP(C1492,'CA FE'!$A:$C,3,0),0)-G1492</f>
        <v>0</v>
      </c>
    </row>
    <row r="1493" spans="1:18" s="87" customFormat="1">
      <c r="A1493" s="77" t="s">
        <v>395</v>
      </c>
      <c r="B1493" s="77"/>
      <c r="C1493" s="793">
        <v>515011</v>
      </c>
      <c r="D1493" s="77" t="s">
        <v>504</v>
      </c>
      <c r="E1493" s="794" t="s">
        <v>634</v>
      </c>
      <c r="F1493" s="794" t="str">
        <f t="shared" si="135"/>
        <v>NI</v>
      </c>
      <c r="G1493" s="28">
        <f>+IF(F1493="i",IFERROR(VLOOKUP(C1493,'BG 12.2024'!$B:$E,3,FALSE),0),0)</f>
        <v>0</v>
      </c>
      <c r="H1493" s="21">
        <f>+IF(F1493="i",IFERROR(VLOOKUP(C1493,'BG 12.2024'!$B:$E,4,FALSE),0),0)</f>
        <v>0</v>
      </c>
      <c r="I1493" s="616"/>
      <c r="J1493" s="28">
        <f>IF(F1493="I",IFERROR(VLOOKUP(C1493,'BG 12.2023'!$B$6:$E$819,3,FALSE),0),0)</f>
        <v>0</v>
      </c>
      <c r="K1493" s="28">
        <f>IF(F1493="I",IFERROR(VLOOKUP(C1493,'BG 12.2023'!$B$6:$E$819,4,FALSE),0),0)</f>
        <v>0</v>
      </c>
      <c r="L1493" s="87">
        <f>+SUMIF('CA FE'!$A$1214:$A$1508,Composición!C1493,'CA FE'!$C$1214:$C$1508)</f>
        <v>0</v>
      </c>
      <c r="M1493" s="15">
        <f>+VLOOKUP(C1493,'BG 2023'!$B:$E,1,0)</f>
        <v>515011</v>
      </c>
      <c r="N1493" s="806">
        <f>+VLOOKUP(C1493,'BG 2023'!$B:$E,3,0)-J1493</f>
        <v>863359746</v>
      </c>
      <c r="O1493" s="807">
        <f t="shared" si="142"/>
        <v>863359746</v>
      </c>
      <c r="P1493" s="807"/>
      <c r="R1493" s="807">
        <f>+IFERROR(VLOOKUP(C1493,'CA FE'!$A:$C,3,0),0)-G1493</f>
        <v>0</v>
      </c>
    </row>
    <row r="1494" spans="1:18" s="87" customFormat="1">
      <c r="A1494" s="77" t="s">
        <v>395</v>
      </c>
      <c r="B1494" s="77"/>
      <c r="C1494" s="793">
        <v>5150111</v>
      </c>
      <c r="D1494" s="77" t="s">
        <v>504</v>
      </c>
      <c r="E1494" s="794" t="s">
        <v>634</v>
      </c>
      <c r="F1494" s="794" t="str">
        <f t="shared" si="135"/>
        <v>NI</v>
      </c>
      <c r="G1494" s="28">
        <f>+IF(F1494="i",IFERROR(VLOOKUP(C1494,'BG 12.2024'!$B:$E,3,FALSE),0),0)</f>
        <v>0</v>
      </c>
      <c r="H1494" s="21">
        <f>+IF(F1494="i",IFERROR(VLOOKUP(C1494,'BG 12.2024'!$B:$E,4,FALSE),0),0)</f>
        <v>0</v>
      </c>
      <c r="I1494" s="616"/>
      <c r="J1494" s="28">
        <f>IF(F1494="I",IFERROR(VLOOKUP(C1494,'BG 12.2023'!$B$6:$E$819,3,FALSE),0),0)</f>
        <v>0</v>
      </c>
      <c r="K1494" s="28">
        <f>IF(F1494="I",IFERROR(VLOOKUP(C1494,'BG 12.2023'!$B$6:$E$819,4,FALSE),0),0)</f>
        <v>0</v>
      </c>
      <c r="L1494" s="87">
        <f>+SUMIF('CA FE'!$A$1214:$A$1508,Composición!C1494,'CA FE'!$C$1214:$C$1508)</f>
        <v>0</v>
      </c>
      <c r="M1494" s="15">
        <f>+VLOOKUP(C1494,'BG 2023'!$B:$E,1,0)</f>
        <v>5150111</v>
      </c>
      <c r="N1494" s="806">
        <f>+VLOOKUP(C1494,'BG 2023'!$B:$E,3,0)-J1494</f>
        <v>863359746</v>
      </c>
      <c r="O1494" s="807">
        <f t="shared" si="142"/>
        <v>863359746</v>
      </c>
      <c r="P1494" s="807"/>
      <c r="R1494" s="807">
        <f>+IFERROR(VLOOKUP(C1494,'CA FE'!$A:$C,3,0),0)-G1494</f>
        <v>0</v>
      </c>
    </row>
    <row r="1495" spans="1:18" s="87" customFormat="1">
      <c r="A1495" s="77" t="s">
        <v>395</v>
      </c>
      <c r="B1495" s="77"/>
      <c r="C1495" s="793">
        <v>51501111</v>
      </c>
      <c r="D1495" s="77" t="s">
        <v>505</v>
      </c>
      <c r="E1495" s="794" t="s">
        <v>634</v>
      </c>
      <c r="F1495" s="794" t="str">
        <f t="shared" si="135"/>
        <v>NI</v>
      </c>
      <c r="G1495" s="28">
        <f>+IF(F1495="i",IFERROR(VLOOKUP(C1495,'BG 12.2024'!$B:$E,3,FALSE),0),0)</f>
        <v>0</v>
      </c>
      <c r="H1495" s="21">
        <f>+IF(F1495="i",IFERROR(VLOOKUP(C1495,'BG 12.2024'!$B:$E,4,FALSE),0),0)</f>
        <v>0</v>
      </c>
      <c r="I1495" s="616"/>
      <c r="J1495" s="28">
        <f>IF(F1495="I",IFERROR(VLOOKUP(C1495,'BG 12.2023'!$B$6:$E$819,3,FALSE),0),0)</f>
        <v>0</v>
      </c>
      <c r="K1495" s="28">
        <f>IF(F1495="I",IFERROR(VLOOKUP(C1495,'BG 12.2023'!$B$6:$E$819,4,FALSE),0),0)</f>
        <v>0</v>
      </c>
      <c r="L1495" s="87">
        <f>+SUMIF('CA FE'!$A$1214:$A$1508,Composición!C1495,'CA FE'!$C$1214:$C$1508)</f>
        <v>0</v>
      </c>
      <c r="M1495" s="15">
        <f>+VLOOKUP(C1495,'BG 2023'!$B:$E,1,0)</f>
        <v>51501111</v>
      </c>
      <c r="N1495" s="806">
        <f>+VLOOKUP(C1495,'BG 2023'!$B:$E,3,0)-J1495</f>
        <v>829100550</v>
      </c>
      <c r="O1495" s="807">
        <f t="shared" si="142"/>
        <v>829100550</v>
      </c>
      <c r="P1495" s="807"/>
      <c r="R1495" s="807">
        <f>+IFERROR(VLOOKUP(C1495,'CA FE'!$A:$C,3,0),0)-G1495</f>
        <v>0</v>
      </c>
    </row>
    <row r="1496" spans="1:18" s="87" customFormat="1">
      <c r="A1496" s="77" t="s">
        <v>395</v>
      </c>
      <c r="B1496" s="77" t="s">
        <v>1105</v>
      </c>
      <c r="C1496" s="793">
        <v>5150111101</v>
      </c>
      <c r="D1496" s="77" t="s">
        <v>506</v>
      </c>
      <c r="E1496" s="794" t="s">
        <v>634</v>
      </c>
      <c r="F1496" s="794" t="str">
        <f t="shared" si="135"/>
        <v>I</v>
      </c>
      <c r="G1496" s="28">
        <f>+IF(F1496="i",IFERROR(VLOOKUP(C1496,'BG 12.2024'!$B:$E,3,FALSE),0),0)</f>
        <v>1666191338</v>
      </c>
      <c r="H1496" s="21">
        <f>+IF(F1496="i",IFERROR(VLOOKUP(C1496,'BG 12.2024'!$B:$E,4,FALSE),0),0)</f>
        <v>218748.82</v>
      </c>
      <c r="I1496" s="616"/>
      <c r="J1496" s="28">
        <f>IF(F1496="I",IFERROR(VLOOKUP(C1496,'BG 12.2023'!$B$6:$E$819,3,FALSE),0),0)</f>
        <v>426755525</v>
      </c>
      <c r="K1496" s="28">
        <f>IF(F1496="I",IFERROR(VLOOKUP(C1496,'BG 12.2023'!$B$6:$E$819,4,FALSE),0),0)</f>
        <v>58198.1</v>
      </c>
      <c r="L1496" s="87">
        <f>+SUMIF('CA FE'!$A$1214:$A$1508,Composición!C1496,'CA FE'!$C$1214:$C$1508)</f>
        <v>1666191338</v>
      </c>
      <c r="M1496" s="15">
        <f>+VLOOKUP(C1496,'BG 2023'!$B:$E,1,0)</f>
        <v>5150111101</v>
      </c>
      <c r="N1496" s="806">
        <f>+VLOOKUP(C1496,'BG 12.2024'!$B:$E,3,0)</f>
        <v>1666191338</v>
      </c>
      <c r="O1496" s="807">
        <f t="shared" ref="O1496:O1498" si="145">+N1496-J1496</f>
        <v>1239435813</v>
      </c>
      <c r="P1496" s="807"/>
      <c r="R1496" s="807">
        <f>+IFERROR(VLOOKUP(C1496,'CA FE'!$A:$C,3,0),0)-G1496</f>
        <v>0</v>
      </c>
    </row>
    <row r="1497" spans="1:18" s="87" customFormat="1">
      <c r="A1497" s="77" t="s">
        <v>395</v>
      </c>
      <c r="B1497" s="77" t="s">
        <v>473</v>
      </c>
      <c r="C1497" s="793">
        <v>5150111102</v>
      </c>
      <c r="D1497" s="77" t="s">
        <v>507</v>
      </c>
      <c r="E1497" s="794" t="s">
        <v>634</v>
      </c>
      <c r="F1497" s="794" t="str">
        <f t="shared" si="135"/>
        <v>I</v>
      </c>
      <c r="G1497" s="28">
        <f>+IF(F1497="i",IFERROR(VLOOKUP(C1497,'BG 12.2024'!$B:$E,3,FALSE),0),0)</f>
        <v>35751827</v>
      </c>
      <c r="H1497" s="21">
        <f>+IF(F1497="i",IFERROR(VLOOKUP(C1497,'BG 12.2024'!$B:$E,4,FALSE),0),0)</f>
        <v>5679.3100000000013</v>
      </c>
      <c r="I1497" s="616"/>
      <c r="J1497" s="28">
        <f>IF(F1497="I",IFERROR(VLOOKUP(C1497,'BG 12.2023'!$B$6:$E$819,3,FALSE),0),0)</f>
        <v>199512474</v>
      </c>
      <c r="K1497" s="28">
        <f>IF(F1497="I",IFERROR(VLOOKUP(C1497,'BG 12.2023'!$B$6:$E$819,4,FALSE),0),0)</f>
        <v>27461.48</v>
      </c>
      <c r="L1497" s="87">
        <f>+SUMIF('CA FE'!$A$1214:$A$1508,Composición!C1497,'CA FE'!$C$1214:$C$1508)</f>
        <v>35751827</v>
      </c>
      <c r="M1497" s="15">
        <f>+VLOOKUP(C1497,'BG 2023'!$B:$E,1,0)</f>
        <v>5150111102</v>
      </c>
      <c r="N1497" s="806">
        <f>+VLOOKUP(C1497,'BG 12.2024'!$B:$E,3,0)</f>
        <v>35751827</v>
      </c>
      <c r="O1497" s="807">
        <f t="shared" si="145"/>
        <v>-163760647</v>
      </c>
      <c r="P1497" s="807"/>
      <c r="R1497" s="807">
        <f>+IFERROR(VLOOKUP(C1497,'CA FE'!$A:$C,3,0),0)-G1497</f>
        <v>0</v>
      </c>
    </row>
    <row r="1498" spans="1:18" s="87" customFormat="1">
      <c r="A1498" s="77" t="s">
        <v>395</v>
      </c>
      <c r="B1498" s="77" t="s">
        <v>1057</v>
      </c>
      <c r="C1498" s="793">
        <v>5150111103</v>
      </c>
      <c r="D1498" s="77" t="s">
        <v>508</v>
      </c>
      <c r="E1498" s="794" t="s">
        <v>634</v>
      </c>
      <c r="F1498" s="794" t="str">
        <f t="shared" si="135"/>
        <v>I</v>
      </c>
      <c r="G1498" s="28">
        <f>+IF(F1498="i",IFERROR(VLOOKUP(C1498,'BG 12.2024'!$B:$E,3,FALSE),0),0)</f>
        <v>352222938</v>
      </c>
      <c r="H1498" s="21">
        <f>+IF(F1498="i",IFERROR(VLOOKUP(C1498,'BG 12.2024'!$B:$E,4,FALSE),0),0)</f>
        <v>46462.83</v>
      </c>
      <c r="I1498" s="616"/>
      <c r="J1498" s="28">
        <f>IF(F1498="I",IFERROR(VLOOKUP(C1498,'BG 12.2023'!$B$6:$E$819,3,FALSE),0),0)</f>
        <v>202832551</v>
      </c>
      <c r="K1498" s="28">
        <f>IF(F1498="I",IFERROR(VLOOKUP(C1498,'BG 12.2023'!$B$6:$E$819,4,FALSE),0),0)</f>
        <v>27824.579999999998</v>
      </c>
      <c r="L1498" s="87">
        <f>+SUMIF('CA FE'!$A$1214:$A$1508,Composición!C1498,'CA FE'!$C$1214:$C$1508)</f>
        <v>352222938</v>
      </c>
      <c r="M1498" s="15">
        <f>+VLOOKUP(C1498,'BG 2023'!$B:$E,1,0)</f>
        <v>5150111103</v>
      </c>
      <c r="N1498" s="806">
        <f>+VLOOKUP(C1498,'BG 12.2024'!$B:$E,3,0)</f>
        <v>352222938</v>
      </c>
      <c r="O1498" s="807">
        <f t="shared" si="145"/>
        <v>149390387</v>
      </c>
      <c r="P1498" s="807"/>
      <c r="R1498" s="807">
        <f>+IFERROR(VLOOKUP(C1498,'CA FE'!$A:$C,3,0),0)-G1498</f>
        <v>0</v>
      </c>
    </row>
    <row r="1499" spans="1:18" s="87" customFormat="1">
      <c r="A1499" s="77" t="s">
        <v>395</v>
      </c>
      <c r="B1499" s="77"/>
      <c r="C1499" s="793">
        <v>51501112</v>
      </c>
      <c r="D1499" s="77" t="s">
        <v>509</v>
      </c>
      <c r="E1499" s="794" t="s">
        <v>634</v>
      </c>
      <c r="F1499" s="794" t="str">
        <f t="shared" si="135"/>
        <v>NI</v>
      </c>
      <c r="G1499" s="28">
        <f>+IF(F1499="i",IFERROR(VLOOKUP(C1499,'BG 12.2024'!$B:$E,3,FALSE),0),0)</f>
        <v>0</v>
      </c>
      <c r="H1499" s="21">
        <f>+IF(F1499="i",IFERROR(VLOOKUP(C1499,'BG 12.2024'!$B:$E,4,FALSE),0),0)</f>
        <v>0</v>
      </c>
      <c r="I1499" s="616"/>
      <c r="J1499" s="28">
        <f>IF(F1499="I",IFERROR(VLOOKUP(C1499,'BG 12.2023'!$B$6:$E$819,3,FALSE),0),0)</f>
        <v>0</v>
      </c>
      <c r="K1499" s="28">
        <f>IF(F1499="I",IFERROR(VLOOKUP(C1499,'BG 12.2023'!$B$6:$E$819,4,FALSE),0),0)</f>
        <v>0</v>
      </c>
      <c r="L1499" s="87">
        <f>+SUMIF('CA FE'!$A$1214:$A$1508,Composición!C1499,'CA FE'!$C$1214:$C$1508)</f>
        <v>0</v>
      </c>
      <c r="M1499" s="15">
        <f>+VLOOKUP(C1499,'BG 2023'!$B:$E,1,0)</f>
        <v>51501112</v>
      </c>
      <c r="N1499" s="806">
        <f>+VLOOKUP(C1499,'BG 2023'!$B:$E,3,0)-J1499</f>
        <v>27233386</v>
      </c>
      <c r="O1499" s="807">
        <f t="shared" si="142"/>
        <v>27233386</v>
      </c>
      <c r="P1499" s="807"/>
      <c r="R1499" s="807">
        <f>+IFERROR(VLOOKUP(C1499,'CA FE'!$A:$C,3,0),0)-G1499</f>
        <v>0</v>
      </c>
    </row>
    <row r="1500" spans="1:18" s="87" customFormat="1">
      <c r="A1500" s="77" t="s">
        <v>395</v>
      </c>
      <c r="B1500" s="77" t="s">
        <v>1057</v>
      </c>
      <c r="C1500" s="793">
        <v>5150111201</v>
      </c>
      <c r="D1500" s="77" t="s">
        <v>510</v>
      </c>
      <c r="E1500" s="794" t="s">
        <v>634</v>
      </c>
      <c r="F1500" s="794" t="str">
        <f t="shared" si="135"/>
        <v>I</v>
      </c>
      <c r="G1500" s="28">
        <f>+IF(F1500="i",IFERROR(VLOOKUP(C1500,'BG 12.2024'!$B:$E,3,FALSE),0),0)</f>
        <v>58704317</v>
      </c>
      <c r="H1500" s="21">
        <f>+IF(F1500="i",IFERROR(VLOOKUP(C1500,'BG 12.2024'!$B:$E,4,FALSE),0),0)</f>
        <v>7606.49</v>
      </c>
      <c r="I1500" s="616"/>
      <c r="J1500" s="28">
        <f>IF(F1500="I",IFERROR(VLOOKUP(C1500,'BG 12.2023'!$B$6:$E$819,3,FALSE),0),0)</f>
        <v>364000</v>
      </c>
      <c r="K1500" s="28">
        <f>IF(F1500="I",IFERROR(VLOOKUP(C1500,'BG 12.2023'!$B$6:$E$819,4,FALSE),0),0)</f>
        <v>50.420000000000073</v>
      </c>
      <c r="L1500" s="87">
        <f>+SUMIF('CA FE'!$A$1214:$A$1508,Composición!C1500,'CA FE'!$C$1214:$C$1508)</f>
        <v>58704317</v>
      </c>
      <c r="M1500" s="15">
        <f>+VLOOKUP(C1500,'BG 2023'!$B:$E,1,0)</f>
        <v>5150111201</v>
      </c>
      <c r="N1500" s="806">
        <f>+VLOOKUP(C1500,'BG 12.2024'!$B:$E,3,0)</f>
        <v>58704317</v>
      </c>
      <c r="O1500" s="807">
        <f t="shared" ref="O1500:O1503" si="146">+N1500-J1500</f>
        <v>58340317</v>
      </c>
      <c r="P1500" s="807"/>
      <c r="R1500" s="807">
        <f>+IFERROR(VLOOKUP(C1500,'CA FE'!$A:$C,3,0),0)-G1500</f>
        <v>0</v>
      </c>
    </row>
    <row r="1501" spans="1:18" s="87" customFormat="1">
      <c r="A1501" s="77" t="s">
        <v>395</v>
      </c>
      <c r="B1501" s="77" t="s">
        <v>1057</v>
      </c>
      <c r="C1501" s="793">
        <v>5150111202</v>
      </c>
      <c r="D1501" s="77" t="s">
        <v>1106</v>
      </c>
      <c r="E1501" s="794" t="s">
        <v>640</v>
      </c>
      <c r="F1501" s="794" t="str">
        <f t="shared" ref="F1501:F1567" si="147">+IF(LEN(C1501)&gt;8,"I","NI")</f>
        <v>I</v>
      </c>
      <c r="G1501" s="28">
        <f>+IF(F1501="i",IFERROR(VLOOKUP(C1501,'BG 12.2024'!$B:$E,3,FALSE),0),0)</f>
        <v>22646</v>
      </c>
      <c r="H1501" s="21">
        <f>+IF(F1501="i",IFERROR(VLOOKUP(C1501,'BG 12.2024'!$B:$E,4,FALSE),0),0)</f>
        <v>2.99</v>
      </c>
      <c r="I1501" s="616"/>
      <c r="J1501" s="28">
        <f>IF(F1501="I",IFERROR(VLOOKUP(C1501,'BG 12.2023'!$B$6:$E$819,3,FALSE),0),0)</f>
        <v>0</v>
      </c>
      <c r="K1501" s="28">
        <f>IF(F1501="I",IFERROR(VLOOKUP(C1501,'BG 12.2023'!$B$6:$E$819,4,FALSE),0),0)</f>
        <v>0</v>
      </c>
      <c r="L1501" s="87">
        <f>+SUMIF('CA FE'!$A$1214:$A$1508,Composición!C1501,'CA FE'!$C$1214:$C$1508)</f>
        <v>22646</v>
      </c>
      <c r="M1501" s="15" t="e">
        <f>+VLOOKUP(C1501,'BG 2023'!$B:$E,1,0)</f>
        <v>#N/A</v>
      </c>
      <c r="N1501" s="806">
        <f>+VLOOKUP(C1501,'BG 12.2024'!$B:$E,3,0)</f>
        <v>22646</v>
      </c>
      <c r="O1501" s="807">
        <f t="shared" si="146"/>
        <v>22646</v>
      </c>
      <c r="P1501" s="807"/>
      <c r="R1501" s="807">
        <f>+IFERROR(VLOOKUP(C1501,'CA FE'!$A:$C,3,0),0)-G1501</f>
        <v>0</v>
      </c>
    </row>
    <row r="1502" spans="1:18" s="87" customFormat="1">
      <c r="A1502" s="77" t="s">
        <v>395</v>
      </c>
      <c r="B1502" s="77" t="s">
        <v>1057</v>
      </c>
      <c r="C1502" s="793">
        <v>5150111203</v>
      </c>
      <c r="D1502" s="77" t="s">
        <v>1107</v>
      </c>
      <c r="E1502" s="794" t="s">
        <v>634</v>
      </c>
      <c r="F1502" s="794" t="str">
        <f t="shared" si="147"/>
        <v>I</v>
      </c>
      <c r="G1502" s="28">
        <f>+IF(F1502="i",IFERROR(VLOOKUP(C1502,'BG 12.2024'!$B:$E,3,FALSE),0),0)</f>
        <v>39576503</v>
      </c>
      <c r="H1502" s="21">
        <f>+IF(F1502="i",IFERROR(VLOOKUP(C1502,'BG 12.2024'!$B:$E,4,FALSE),0),0)</f>
        <v>5125.79</v>
      </c>
      <c r="I1502" s="616"/>
      <c r="J1502" s="28">
        <f>IF(F1502="I",IFERROR(VLOOKUP(C1502,'BG 12.2023'!$B$6:$E$819,3,FALSE),0),0)</f>
        <v>26707386</v>
      </c>
      <c r="K1502" s="28">
        <f>IF(F1502="I",IFERROR(VLOOKUP(C1502,'BG 12.2023'!$B$6:$E$819,4,FALSE),0),0)</f>
        <v>3664.43</v>
      </c>
      <c r="L1502" s="87">
        <f>+SUMIF('CA FE'!$A$1214:$A$1508,Composición!C1502,'CA FE'!$C$1214:$C$1508)</f>
        <v>39576503</v>
      </c>
      <c r="M1502" s="15">
        <f>+VLOOKUP(C1502,'BG 2023'!$B:$E,1,0)</f>
        <v>5150111203</v>
      </c>
      <c r="N1502" s="806">
        <f>+VLOOKUP(C1502,'BG 12.2024'!$B:$E,3,0)</f>
        <v>39576503</v>
      </c>
      <c r="O1502" s="807">
        <f t="shared" si="146"/>
        <v>12869117</v>
      </c>
      <c r="P1502" s="807"/>
      <c r="R1502" s="807">
        <f>+IFERROR(VLOOKUP(C1502,'CA FE'!$A:$C,3,0),0)-G1502</f>
        <v>0</v>
      </c>
    </row>
    <row r="1503" spans="1:18" s="87" customFormat="1">
      <c r="A1503" s="77" t="s">
        <v>395</v>
      </c>
      <c r="B1503" s="77" t="s">
        <v>1057</v>
      </c>
      <c r="C1503" s="793">
        <v>5150111204</v>
      </c>
      <c r="D1503" s="77" t="s">
        <v>1108</v>
      </c>
      <c r="E1503" s="794" t="s">
        <v>634</v>
      </c>
      <c r="F1503" s="794" t="str">
        <f t="shared" si="147"/>
        <v>I</v>
      </c>
      <c r="G1503" s="28">
        <f>+IF(F1503="i",IFERROR(VLOOKUP(C1503,'BG 12.2024'!$B:$E,3,FALSE),0),0)</f>
        <v>8466646</v>
      </c>
      <c r="H1503" s="21">
        <f>+IF(F1503="i",IFERROR(VLOOKUP(C1503,'BG 12.2024'!$B:$E,4,FALSE),0),0)</f>
        <v>1103.9000000000001</v>
      </c>
      <c r="I1503" s="616"/>
      <c r="J1503" s="28">
        <f>IF(F1503="I",IFERROR(VLOOKUP(C1503,'BG 12.2023'!$B$6:$E$819,3,FALSE),0),0)</f>
        <v>162000</v>
      </c>
      <c r="K1503" s="28">
        <f>IF(F1503="I",IFERROR(VLOOKUP(C1503,'BG 12.2023'!$B$6:$E$819,4,FALSE),0),0)</f>
        <v>21.88</v>
      </c>
      <c r="L1503" s="87">
        <f>+SUMIF('CA FE'!$A$1214:$A$1508,Composición!C1503,'CA FE'!$C$1214:$C$1508)</f>
        <v>8466646</v>
      </c>
      <c r="M1503" s="15">
        <f>+VLOOKUP(C1503,'BG 2023'!$B:$E,1,0)</f>
        <v>5150111204</v>
      </c>
      <c r="N1503" s="806">
        <f>+VLOOKUP(C1503,'BG 12.2024'!$B:$E,3,0)</f>
        <v>8466646</v>
      </c>
      <c r="O1503" s="807">
        <f t="shared" si="146"/>
        <v>8304646</v>
      </c>
      <c r="P1503" s="807"/>
      <c r="R1503" s="807">
        <f>+IFERROR(VLOOKUP(C1503,'CA FE'!$A:$C,3,0),0)-G1503</f>
        <v>0</v>
      </c>
    </row>
    <row r="1504" spans="1:18" s="87" customFormat="1">
      <c r="A1504" s="77" t="s">
        <v>395</v>
      </c>
      <c r="B1504" s="77"/>
      <c r="C1504" s="793">
        <v>51501113</v>
      </c>
      <c r="D1504" s="77" t="s">
        <v>513</v>
      </c>
      <c r="E1504" s="794" t="s">
        <v>634</v>
      </c>
      <c r="F1504" s="794" t="str">
        <f t="shared" si="147"/>
        <v>NI</v>
      </c>
      <c r="G1504" s="28">
        <f>+IF(F1504="i",IFERROR(VLOOKUP(C1504,'BG 12.2024'!$B:$E,3,FALSE),0),0)</f>
        <v>0</v>
      </c>
      <c r="H1504" s="21">
        <f>+IF(F1504="i",IFERROR(VLOOKUP(C1504,'BG 12.2024'!$B:$E,4,FALSE),0),0)</f>
        <v>0</v>
      </c>
      <c r="I1504" s="616"/>
      <c r="J1504" s="28">
        <f>IF(F1504="I",IFERROR(VLOOKUP(C1504,'BG 12.2023'!$B$6:$E$819,3,FALSE),0),0)</f>
        <v>0</v>
      </c>
      <c r="K1504" s="28">
        <f>IF(F1504="I",IFERROR(VLOOKUP(C1504,'BG 12.2023'!$B$6:$E$819,4,FALSE),0),0)</f>
        <v>0</v>
      </c>
      <c r="L1504" s="87">
        <f>+SUMIF('CA FE'!$A$1214:$A$1508,Composición!C1504,'CA FE'!$C$1214:$C$1508)</f>
        <v>0</v>
      </c>
      <c r="M1504" s="15">
        <f>+VLOOKUP(C1504,'BG 2023'!$B:$E,1,0)</f>
        <v>51501113</v>
      </c>
      <c r="N1504" s="806">
        <f>+VLOOKUP(C1504,'BG 2023'!$B:$E,3,0)-J1504</f>
        <v>7025810</v>
      </c>
      <c r="O1504" s="807">
        <f t="shared" si="142"/>
        <v>7025810</v>
      </c>
      <c r="P1504" s="807"/>
      <c r="R1504" s="807">
        <f>+IFERROR(VLOOKUP(C1504,'CA FE'!$A:$C,3,0),0)-G1504</f>
        <v>0</v>
      </c>
    </row>
    <row r="1505" spans="1:18" s="87" customFormat="1">
      <c r="A1505" s="77" t="s">
        <v>395</v>
      </c>
      <c r="B1505" s="77" t="s">
        <v>1109</v>
      </c>
      <c r="C1505" s="793">
        <v>5150411101</v>
      </c>
      <c r="D1505" s="77" t="s">
        <v>1110</v>
      </c>
      <c r="E1505" s="794" t="s">
        <v>634</v>
      </c>
      <c r="F1505" s="794" t="str">
        <f t="shared" si="147"/>
        <v>I</v>
      </c>
      <c r="G1505" s="28">
        <f>+IF(F1505="i",IFERROR(VLOOKUP(C1505,'BG 12.2024'!$B:$E,3,FALSE),0),0)</f>
        <v>0</v>
      </c>
      <c r="H1505" s="21">
        <f>+IF(F1505="i",IFERROR(VLOOKUP(C1505,'BG 12.2024'!$B:$E,4,FALSE),0),0)</f>
        <v>0</v>
      </c>
      <c r="I1505" s="616"/>
      <c r="J1505" s="28">
        <f>IF(F1505="I",IFERROR(VLOOKUP(C1505,'BG 12.2023'!$B$6:$E$819,3,FALSE),0),0)</f>
        <v>0</v>
      </c>
      <c r="K1505" s="28">
        <f>IF(F1505="I",IFERROR(VLOOKUP(C1505,'BG 12.2023'!$B$6:$E$819,4,FALSE),0),0)</f>
        <v>0</v>
      </c>
      <c r="L1505" s="87">
        <f>+SUMIF('CA FE'!$A$1214:$A$1508,Composición!C1505,'CA FE'!$C$1214:$C$1508)</f>
        <v>0</v>
      </c>
      <c r="M1505" s="15" t="e">
        <f>+VLOOKUP(C1505,'BG 2023'!$B:$E,1,0)</f>
        <v>#N/A</v>
      </c>
      <c r="N1505" s="806" t="e">
        <f>+VLOOKUP(C1505,'BG 12.2024'!$B:$E,3,0)</f>
        <v>#N/A</v>
      </c>
      <c r="O1505" s="807" t="e">
        <f t="shared" ref="O1505:O1507" si="148">+N1505-J1505</f>
        <v>#N/A</v>
      </c>
      <c r="P1505" s="807"/>
      <c r="R1505" s="807">
        <f>+IFERROR(VLOOKUP(C1505,'CA FE'!$A:$C,3,0),0)-G1505</f>
        <v>0</v>
      </c>
    </row>
    <row r="1506" spans="1:18" s="87" customFormat="1">
      <c r="A1506" s="77" t="s">
        <v>395</v>
      </c>
      <c r="B1506" s="77" t="s">
        <v>1109</v>
      </c>
      <c r="C1506" s="793">
        <v>5150411102</v>
      </c>
      <c r="D1506" s="77" t="s">
        <v>514</v>
      </c>
      <c r="E1506" s="794" t="s">
        <v>634</v>
      </c>
      <c r="F1506" s="794" t="str">
        <f t="shared" si="147"/>
        <v>I</v>
      </c>
      <c r="G1506" s="28">
        <f>+IF(F1506="i",IFERROR(VLOOKUP(C1506,'BG 12.2024'!$B:$E,3,FALSE),0),0)</f>
        <v>0</v>
      </c>
      <c r="H1506" s="21">
        <f>+IF(F1506="i",IFERROR(VLOOKUP(C1506,'BG 12.2024'!$B:$E,4,FALSE),0),0)</f>
        <v>0</v>
      </c>
      <c r="I1506" s="616"/>
      <c r="J1506" s="28">
        <f>IF(F1506="I",IFERROR(VLOOKUP(C1506,'BG 12.2023'!$B$6:$E$819,3,FALSE),0),0)</f>
        <v>285940</v>
      </c>
      <c r="K1506" s="28">
        <f>IF(F1506="I",IFERROR(VLOOKUP(C1506,'BG 12.2023'!$B$6:$E$819,4,FALSE),0),0)</f>
        <v>39.340000000000003</v>
      </c>
      <c r="L1506" s="87">
        <f>+SUMIF('CA FE'!$A$1214:$A$1508,Composición!C1506,'CA FE'!$C$1214:$C$1508)</f>
        <v>0</v>
      </c>
      <c r="M1506" s="15">
        <f>+VLOOKUP(C1506,'BG 2023'!$B:$E,1,0)</f>
        <v>5150411102</v>
      </c>
      <c r="N1506" s="819" t="e">
        <f>+VLOOKUP(C1506,'BG 12.2024'!$B:$E,3,0)</f>
        <v>#N/A</v>
      </c>
      <c r="O1506" s="807" t="e">
        <f t="shared" si="148"/>
        <v>#N/A</v>
      </c>
      <c r="P1506" s="807"/>
      <c r="R1506" s="807">
        <f>+IFERROR(VLOOKUP(C1506,'CA FE'!$A:$C,3,0),0)-G1506</f>
        <v>0</v>
      </c>
    </row>
    <row r="1507" spans="1:18" s="87" customFormat="1">
      <c r="A1507" s="77" t="s">
        <v>395</v>
      </c>
      <c r="B1507" s="77" t="s">
        <v>1109</v>
      </c>
      <c r="C1507" s="793">
        <v>5150411103</v>
      </c>
      <c r="D1507" s="77" t="s">
        <v>515</v>
      </c>
      <c r="E1507" s="794" t="s">
        <v>634</v>
      </c>
      <c r="F1507" s="794" t="str">
        <f t="shared" si="147"/>
        <v>I</v>
      </c>
      <c r="G1507" s="28">
        <f>+IF(F1507="i",IFERROR(VLOOKUP(C1507,'BG 12.2024'!$B:$E,3,FALSE),0),0)</f>
        <v>365545</v>
      </c>
      <c r="H1507" s="21">
        <f>+IF(F1507="i",IFERROR(VLOOKUP(C1507,'BG 12.2024'!$B:$E,4,FALSE),0),0)</f>
        <v>48.04</v>
      </c>
      <c r="I1507" s="616"/>
      <c r="J1507" s="28">
        <f>IF(F1507="I",IFERROR(VLOOKUP(C1507,'BG 12.2023'!$B$6:$E$819,3,FALSE),0),0)</f>
        <v>6739870</v>
      </c>
      <c r="K1507" s="28">
        <f>IF(F1507="I",IFERROR(VLOOKUP(C1507,'BG 12.2023'!$B$6:$E$819,4,FALSE),0),0)</f>
        <v>929.21</v>
      </c>
      <c r="L1507" s="87">
        <f>+SUMIF('CA FE'!$A$1214:$A$1508,Composición!C1507,'CA FE'!$C$1214:$C$1508)</f>
        <v>365545</v>
      </c>
      <c r="M1507" s="15">
        <f>+VLOOKUP(C1507,'BG 2023'!$B:$E,1,0)</f>
        <v>5150411103</v>
      </c>
      <c r="N1507" s="806">
        <f>+VLOOKUP(C1507,'BG 12.2024'!$B:$E,3,0)</f>
        <v>365545</v>
      </c>
      <c r="O1507" s="807">
        <f t="shared" si="148"/>
        <v>-6374325</v>
      </c>
      <c r="P1507" s="807"/>
      <c r="R1507" s="807">
        <f>+IFERROR(VLOOKUP(C1507,'CA FE'!$A:$C,3,0),0)-G1507</f>
        <v>0</v>
      </c>
    </row>
    <row r="1508" spans="1:18" s="87" customFormat="1">
      <c r="A1508" s="77" t="s">
        <v>395</v>
      </c>
      <c r="B1508" s="77"/>
      <c r="C1508" s="793">
        <v>52</v>
      </c>
      <c r="D1508" s="77" t="s">
        <v>516</v>
      </c>
      <c r="E1508" s="794" t="s">
        <v>634</v>
      </c>
      <c r="F1508" s="794" t="str">
        <f t="shared" si="147"/>
        <v>NI</v>
      </c>
      <c r="G1508" s="28">
        <f>+IF(F1508="i",IFERROR(VLOOKUP(C1508,'BG 12.2024'!$B:$E,3,FALSE),0),0)</f>
        <v>0</v>
      </c>
      <c r="H1508" s="21">
        <f>+IF(F1508="i",IFERROR(VLOOKUP(C1508,'BG 12.2024'!$B:$E,4,FALSE),0),0)</f>
        <v>0</v>
      </c>
      <c r="I1508" s="616"/>
      <c r="J1508" s="28">
        <f>IF(F1508="I",IFERROR(VLOOKUP(C1508,'BG 12.2023'!$B$6:$E$819,3,FALSE),0),0)</f>
        <v>0</v>
      </c>
      <c r="K1508" s="28">
        <f>IF(F1508="I",IFERROR(VLOOKUP(C1508,'BG 12.2023'!$B$6:$E$819,4,FALSE),0),0)</f>
        <v>0</v>
      </c>
      <c r="L1508" s="87">
        <f>+SUMIF('CA FE'!$A$1214:$A$1508,Composición!C1508,'CA FE'!$C$1214:$C$1508)</f>
        <v>0</v>
      </c>
      <c r="M1508" s="15">
        <f>+VLOOKUP(C1508,'BG 2023'!$B:$E,1,0)</f>
        <v>52</v>
      </c>
      <c r="N1508" s="806">
        <f>+VLOOKUP(C1508,'BG 2023'!$B:$E,3,0)-J1508</f>
        <v>76048336</v>
      </c>
      <c r="O1508" s="807">
        <f t="shared" si="142"/>
        <v>76048336</v>
      </c>
      <c r="P1508" s="807"/>
      <c r="R1508" s="807">
        <f>+IFERROR(VLOOKUP(C1508,'CA FE'!$A:$C,3,0),0)-G1508</f>
        <v>0</v>
      </c>
    </row>
    <row r="1509" spans="1:18" s="87" customFormat="1">
      <c r="A1509" s="77" t="s">
        <v>395</v>
      </c>
      <c r="B1509" s="77"/>
      <c r="C1509" s="793">
        <v>521</v>
      </c>
      <c r="D1509" s="77" t="s">
        <v>516</v>
      </c>
      <c r="E1509" s="794" t="s">
        <v>634</v>
      </c>
      <c r="F1509" s="794" t="str">
        <f t="shared" si="147"/>
        <v>NI</v>
      </c>
      <c r="G1509" s="28">
        <f>+IF(F1509="i",IFERROR(VLOOKUP(C1509,'BG 12.2024'!$B:$E,3,FALSE),0),0)</f>
        <v>0</v>
      </c>
      <c r="H1509" s="21">
        <f>+IF(F1509="i",IFERROR(VLOOKUP(C1509,'BG 12.2024'!$B:$E,4,FALSE),0),0)</f>
        <v>0</v>
      </c>
      <c r="I1509" s="616"/>
      <c r="J1509" s="28">
        <f>IF(F1509="I",IFERROR(VLOOKUP(C1509,'BG 12.2023'!$B$6:$E$819,3,FALSE),0),0)</f>
        <v>0</v>
      </c>
      <c r="K1509" s="28">
        <f>IF(F1509="I",IFERROR(VLOOKUP(C1509,'BG 12.2023'!$B$6:$E$819,4,FALSE),0),0)</f>
        <v>0</v>
      </c>
      <c r="L1509" s="87">
        <f>+SUMIF('CA FE'!$A$1214:$A$1508,Composición!C1509,'CA FE'!$C$1214:$C$1508)</f>
        <v>0</v>
      </c>
      <c r="M1509" s="15">
        <f>+VLOOKUP(C1509,'BG 2023'!$B:$E,1,0)</f>
        <v>521</v>
      </c>
      <c r="N1509" s="806">
        <f>+VLOOKUP(C1509,'BG 2023'!$B:$E,3,0)-J1509</f>
        <v>76048336</v>
      </c>
      <c r="O1509" s="807">
        <f t="shared" si="142"/>
        <v>76048336</v>
      </c>
      <c r="P1509" s="807"/>
      <c r="R1509" s="807">
        <f>+IFERROR(VLOOKUP(C1509,'CA FE'!$A:$C,3,0),0)-G1509</f>
        <v>0</v>
      </c>
    </row>
    <row r="1510" spans="1:18" s="87" customFormat="1">
      <c r="A1510" s="77" t="s">
        <v>395</v>
      </c>
      <c r="B1510" s="77"/>
      <c r="C1510" s="793">
        <v>52101</v>
      </c>
      <c r="D1510" s="77" t="s">
        <v>516</v>
      </c>
      <c r="E1510" s="794" t="s">
        <v>634</v>
      </c>
      <c r="F1510" s="794" t="str">
        <f t="shared" si="147"/>
        <v>NI</v>
      </c>
      <c r="G1510" s="28">
        <f>+IF(F1510="i",IFERROR(VLOOKUP(C1510,'BG 12.2024'!$B:$E,3,FALSE),0),0)</f>
        <v>0</v>
      </c>
      <c r="H1510" s="21">
        <f>+IF(F1510="i",IFERROR(VLOOKUP(C1510,'BG 12.2024'!$B:$E,4,FALSE),0),0)</f>
        <v>0</v>
      </c>
      <c r="I1510" s="616"/>
      <c r="J1510" s="28">
        <f>IF(F1510="I",IFERROR(VLOOKUP(C1510,'BG 12.2023'!$B$6:$E$819,3,FALSE),0),0)</f>
        <v>0</v>
      </c>
      <c r="K1510" s="28">
        <f>IF(F1510="I",IFERROR(VLOOKUP(C1510,'BG 12.2023'!$B$6:$E$819,4,FALSE),0),0)</f>
        <v>0</v>
      </c>
      <c r="L1510" s="87">
        <f>+SUMIF('CA FE'!$A$1214:$A$1508,Composición!C1510,'CA FE'!$C$1214:$C$1508)</f>
        <v>0</v>
      </c>
      <c r="M1510" s="15">
        <f>+VLOOKUP(C1510,'BG 2023'!$B:$E,1,0)</f>
        <v>52101</v>
      </c>
      <c r="N1510" s="806">
        <f>+VLOOKUP(C1510,'BG 2023'!$B:$E,3,0)-J1510</f>
        <v>76048336</v>
      </c>
      <c r="O1510" s="807">
        <f t="shared" si="142"/>
        <v>76048336</v>
      </c>
      <c r="P1510" s="807"/>
      <c r="R1510" s="807">
        <f>+IFERROR(VLOOKUP(C1510,'CA FE'!$A:$C,3,0),0)-G1510</f>
        <v>0</v>
      </c>
    </row>
    <row r="1511" spans="1:18" s="87" customFormat="1">
      <c r="A1511" s="77" t="s">
        <v>395</v>
      </c>
      <c r="B1511" s="77"/>
      <c r="C1511" s="793">
        <v>521011</v>
      </c>
      <c r="D1511" s="77" t="s">
        <v>516</v>
      </c>
      <c r="E1511" s="794" t="s">
        <v>634</v>
      </c>
      <c r="F1511" s="794" t="str">
        <f t="shared" si="147"/>
        <v>NI</v>
      </c>
      <c r="G1511" s="28">
        <f>+IF(F1511="i",IFERROR(VLOOKUP(C1511,'BG 12.2024'!$B:$E,3,FALSE),0),0)</f>
        <v>0</v>
      </c>
      <c r="H1511" s="21">
        <f>+IF(F1511="i",IFERROR(VLOOKUP(C1511,'BG 12.2024'!$B:$E,4,FALSE),0),0)</f>
        <v>0</v>
      </c>
      <c r="I1511" s="616"/>
      <c r="J1511" s="28">
        <f>IF(F1511="I",IFERROR(VLOOKUP(C1511,'BG 12.2023'!$B$6:$E$819,3,FALSE),0),0)</f>
        <v>0</v>
      </c>
      <c r="K1511" s="28">
        <f>IF(F1511="I",IFERROR(VLOOKUP(C1511,'BG 12.2023'!$B$6:$E$819,4,FALSE),0),0)</f>
        <v>0</v>
      </c>
      <c r="L1511" s="87">
        <f>+SUMIF('CA FE'!$A$1214:$A$1508,Composición!C1511,'CA FE'!$C$1214:$C$1508)</f>
        <v>0</v>
      </c>
      <c r="M1511" s="15">
        <f>+VLOOKUP(C1511,'BG 2023'!$B:$E,1,0)</f>
        <v>521011</v>
      </c>
      <c r="N1511" s="806">
        <f>+VLOOKUP(C1511,'BG 2023'!$B:$E,3,0)-J1511</f>
        <v>76048336</v>
      </c>
      <c r="O1511" s="807">
        <f t="shared" si="142"/>
        <v>76048336</v>
      </c>
      <c r="P1511" s="807"/>
      <c r="R1511" s="807">
        <f>+IFERROR(VLOOKUP(C1511,'CA FE'!$A:$C,3,0),0)-G1511</f>
        <v>0</v>
      </c>
    </row>
    <row r="1512" spans="1:18" s="87" customFormat="1">
      <c r="A1512" s="77" t="s">
        <v>395</v>
      </c>
      <c r="B1512" s="77"/>
      <c r="C1512" s="793">
        <v>5210111</v>
      </c>
      <c r="D1512" s="77" t="s">
        <v>516</v>
      </c>
      <c r="E1512" s="794" t="s">
        <v>634</v>
      </c>
      <c r="F1512" s="794" t="str">
        <f t="shared" si="147"/>
        <v>NI</v>
      </c>
      <c r="G1512" s="28">
        <f>+IF(F1512="i",IFERROR(VLOOKUP(C1512,'BG 12.2024'!$B:$E,3,FALSE),0),0)</f>
        <v>0</v>
      </c>
      <c r="H1512" s="21">
        <f>+IF(F1512="i",IFERROR(VLOOKUP(C1512,'BG 12.2024'!$B:$E,4,FALSE),0),0)</f>
        <v>0</v>
      </c>
      <c r="I1512" s="616"/>
      <c r="J1512" s="28">
        <f>IF(F1512="I",IFERROR(VLOOKUP(C1512,'BG 12.2023'!$B$6:$E$819,3,FALSE),0),0)</f>
        <v>0</v>
      </c>
      <c r="K1512" s="28">
        <f>IF(F1512="I",IFERROR(VLOOKUP(C1512,'BG 12.2023'!$B$6:$E$819,4,FALSE),0),0)</f>
        <v>0</v>
      </c>
      <c r="L1512" s="87">
        <f>+SUMIF('CA FE'!$A$1214:$A$1508,Composición!C1512,'CA FE'!$C$1214:$C$1508)</f>
        <v>0</v>
      </c>
      <c r="M1512" s="15">
        <f>+VLOOKUP(C1512,'BG 2023'!$B:$E,1,0)</f>
        <v>5210111</v>
      </c>
      <c r="N1512" s="806">
        <f>+VLOOKUP(C1512,'BG 2023'!$B:$E,3,0)-J1512</f>
        <v>76048336</v>
      </c>
      <c r="O1512" s="807">
        <f t="shared" si="142"/>
        <v>76048336</v>
      </c>
      <c r="P1512" s="807"/>
      <c r="R1512" s="807">
        <f>+IFERROR(VLOOKUP(C1512,'CA FE'!$A:$C,3,0),0)-G1512</f>
        <v>0</v>
      </c>
    </row>
    <row r="1513" spans="1:18" s="87" customFormat="1">
      <c r="A1513" s="77" t="s">
        <v>395</v>
      </c>
      <c r="B1513" s="77"/>
      <c r="C1513" s="793">
        <v>52101111</v>
      </c>
      <c r="D1513" s="77" t="s">
        <v>516</v>
      </c>
      <c r="E1513" s="794" t="s">
        <v>634</v>
      </c>
      <c r="F1513" s="794" t="str">
        <f t="shared" si="147"/>
        <v>NI</v>
      </c>
      <c r="G1513" s="28">
        <f>+IF(F1513="i",IFERROR(VLOOKUP(C1513,'BG 12.2024'!$B:$E,3,FALSE),0),0)</f>
        <v>0</v>
      </c>
      <c r="H1513" s="21">
        <f>+IF(F1513="i",IFERROR(VLOOKUP(C1513,'BG 12.2024'!$B:$E,4,FALSE),0),0)</f>
        <v>0</v>
      </c>
      <c r="I1513" s="616"/>
      <c r="J1513" s="28">
        <f>IF(F1513="I",IFERROR(VLOOKUP(C1513,'BG 12.2023'!$B$6:$E$819,3,FALSE),0),0)</f>
        <v>0</v>
      </c>
      <c r="K1513" s="28">
        <f>IF(F1513="I",IFERROR(VLOOKUP(C1513,'BG 12.2023'!$B$6:$E$819,4,FALSE),0),0)</f>
        <v>0</v>
      </c>
      <c r="L1513" s="87">
        <f>+SUMIF('CA FE'!$A$1214:$A$1508,Composición!C1513,'CA FE'!$C$1214:$C$1508)</f>
        <v>0</v>
      </c>
      <c r="M1513" s="15">
        <f>+VLOOKUP(C1513,'BG 2023'!$B:$E,1,0)</f>
        <v>52101111</v>
      </c>
      <c r="N1513" s="806">
        <f>+VLOOKUP(C1513,'BG 2023'!$B:$E,3,0)-J1513</f>
        <v>76048336</v>
      </c>
      <c r="O1513" s="807">
        <f t="shared" si="142"/>
        <v>76048336</v>
      </c>
      <c r="P1513" s="807"/>
      <c r="R1513" s="807">
        <f>+IFERROR(VLOOKUP(C1513,'CA FE'!$A:$C,3,0),0)-G1513</f>
        <v>0</v>
      </c>
    </row>
    <row r="1514" spans="1:18" s="87" customFormat="1">
      <c r="A1514" s="77" t="s">
        <v>395</v>
      </c>
      <c r="B1514" s="77" t="s">
        <v>1111</v>
      </c>
      <c r="C1514" s="793">
        <v>5210111101</v>
      </c>
      <c r="D1514" s="77" t="s">
        <v>517</v>
      </c>
      <c r="E1514" s="794" t="s">
        <v>634</v>
      </c>
      <c r="F1514" s="794" t="str">
        <f t="shared" si="147"/>
        <v>I</v>
      </c>
      <c r="G1514" s="28">
        <f>+IF(F1514="i",IFERROR(VLOOKUP(C1514,'BG 12.2024'!$B:$E,3,FALSE),0),0)</f>
        <v>804356</v>
      </c>
      <c r="H1514" s="21">
        <f>+IF(F1514="i",IFERROR(VLOOKUP(C1514,'BG 12.2024'!$B:$E,4,FALSE),0),0)</f>
        <v>22.07</v>
      </c>
      <c r="I1514" s="616"/>
      <c r="J1514" s="28">
        <f>IF(F1514="I",IFERROR(VLOOKUP(C1514,'BG 12.2023'!$B$6:$E$819,3,FALSE),0),0)</f>
        <v>7589</v>
      </c>
      <c r="K1514" s="28">
        <f>IF(F1514="I",IFERROR(VLOOKUP(C1514,'BG 12.2023'!$B$6:$E$819,4,FALSE),0),0)</f>
        <v>7.2800000000000011</v>
      </c>
      <c r="L1514" s="87">
        <f>+SUMIF('CA FE'!$A$1214:$A$1508,Composición!C1514,'CA FE'!$C$1214:$C$1508)</f>
        <v>804356</v>
      </c>
      <c r="M1514" s="15">
        <f>+VLOOKUP(C1514,'BG 2023'!$B:$E,1,0)</f>
        <v>5210111101</v>
      </c>
      <c r="N1514" s="806">
        <f>+VLOOKUP(C1514,'BG 12.2024'!$B:$E,3,0)</f>
        <v>804356</v>
      </c>
      <c r="O1514" s="807">
        <f t="shared" ref="O1514:O1515" si="149">+N1514-J1514</f>
        <v>796767</v>
      </c>
      <c r="P1514" s="807"/>
      <c r="R1514" s="807">
        <f>+IFERROR(VLOOKUP(C1514,'CA FE'!$A:$C,3,0),0)-G1514</f>
        <v>0</v>
      </c>
    </row>
    <row r="1515" spans="1:18" s="87" customFormat="1">
      <c r="A1515" s="77" t="s">
        <v>395</v>
      </c>
      <c r="B1515" s="77" t="s">
        <v>1111</v>
      </c>
      <c r="C1515" s="793">
        <v>5210111102</v>
      </c>
      <c r="D1515" s="77" t="s">
        <v>1112</v>
      </c>
      <c r="E1515" s="794" t="s">
        <v>634</v>
      </c>
      <c r="F1515" s="794" t="str">
        <f t="shared" si="147"/>
        <v>I</v>
      </c>
      <c r="G1515" s="28">
        <f>+IF(F1515="i",IFERROR(VLOOKUP(C1515,'BG 12.2024'!$B:$E,3,FALSE),0),0)</f>
        <v>20341178</v>
      </c>
      <c r="H1515" s="21">
        <f>+IF(F1515="i",IFERROR(VLOOKUP(C1515,'BG 12.2024'!$B:$E,4,FALSE),0),0)</f>
        <v>2757.29</v>
      </c>
      <c r="I1515" s="616"/>
      <c r="J1515" s="28">
        <f>IF(F1515="I",IFERROR(VLOOKUP(C1515,'BG 12.2023'!$B$6:$E$819,3,FALSE),0),0)</f>
        <v>76040747</v>
      </c>
      <c r="K1515" s="28">
        <f>IF(F1515="I",IFERROR(VLOOKUP(C1515,'BG 12.2023'!$B$6:$E$819,4,FALSE),0),0)</f>
        <v>10435.01</v>
      </c>
      <c r="L1515" s="87">
        <f>+SUMIF('CA FE'!$A$1214:$A$1508,Composición!C1515,'CA FE'!$C$1214:$C$1508)</f>
        <v>20341178</v>
      </c>
      <c r="M1515" s="15">
        <f>+VLOOKUP(C1515,'BG 2023'!$B:$E,1,0)</f>
        <v>5210111102</v>
      </c>
      <c r="N1515" s="806">
        <f>+VLOOKUP(C1515,'BG 12.2024'!$B:$E,3,0)</f>
        <v>20341178</v>
      </c>
      <c r="O1515" s="807">
        <f t="shared" si="149"/>
        <v>-55699569</v>
      </c>
      <c r="P1515" s="807"/>
      <c r="R1515" s="807">
        <f>+IFERROR(VLOOKUP(C1515,'CA FE'!$A:$C,3,0),0)-G1515</f>
        <v>0</v>
      </c>
    </row>
    <row r="1516" spans="1:18" s="87" customFormat="1">
      <c r="A1516" s="77" t="s">
        <v>395</v>
      </c>
      <c r="B1516" s="1211" t="s">
        <v>1111</v>
      </c>
      <c r="C1516" s="793">
        <v>5210111103</v>
      </c>
      <c r="D1516" s="77" t="s">
        <v>2716</v>
      </c>
      <c r="E1516" s="794" t="s">
        <v>634</v>
      </c>
      <c r="F1516" s="794" t="str">
        <f t="shared" ref="F1516:F1518" si="150">+IF(LEN(C1516)&gt;8,"I","NI")</f>
        <v>I</v>
      </c>
      <c r="G1516" s="28">
        <f>+IF(F1516="i",IFERROR(VLOOKUP(C1516,'BG 12.2024'!$B:$E,3,FALSE),0),0)</f>
        <v>9253594</v>
      </c>
      <c r="H1516" s="21">
        <f>+IF(F1516="i",IFERROR(VLOOKUP(C1516,'BG 12.2024'!$B:$E,4,FALSE),0),0)</f>
        <v>1227.81</v>
      </c>
      <c r="I1516" s="616"/>
      <c r="J1516" s="28">
        <f>IF(F1516="I",IFERROR(VLOOKUP(C1516,'BG 12.2023'!$B$6:$E$819,3,FALSE),0),0)</f>
        <v>0</v>
      </c>
      <c r="K1516" s="28">
        <f>IF(F1516="I",IFERROR(VLOOKUP(C1516,'BG 12.2023'!$B$6:$E$819,4,FALSE),0),0)</f>
        <v>0</v>
      </c>
      <c r="L1516" s="87">
        <f>+SUMIF('CA FE'!$A$1214:$A$1508,Composición!C1516,'CA FE'!$C$1214:$C$1508)</f>
        <v>9253594</v>
      </c>
      <c r="M1516" s="15" t="e">
        <f>+VLOOKUP(C1516,'BG 2023'!$B:$E,1,0)</f>
        <v>#N/A</v>
      </c>
      <c r="N1516" s="806">
        <f>+VLOOKUP(C1516,'BG 12.2024'!$B:$E,3,0)</f>
        <v>9253594</v>
      </c>
      <c r="O1516" s="807">
        <f t="shared" ref="O1516:O1518" si="151">+N1516-J1516</f>
        <v>9253594</v>
      </c>
      <c r="P1516" s="807"/>
      <c r="R1516" s="807">
        <f>+IFERROR(VLOOKUP(C1516,'CA FE'!$A:$C,3,0),0)-G1516</f>
        <v>0</v>
      </c>
    </row>
    <row r="1517" spans="1:18" s="87" customFormat="1">
      <c r="A1517" s="77" t="s">
        <v>395</v>
      </c>
      <c r="B1517" s="1211" t="s">
        <v>1111</v>
      </c>
      <c r="C1517" s="793">
        <v>5210111104</v>
      </c>
      <c r="D1517" s="77" t="s">
        <v>2717</v>
      </c>
      <c r="E1517" s="794" t="s">
        <v>634</v>
      </c>
      <c r="F1517" s="794" t="str">
        <f t="shared" ref="F1517" si="152">+IF(LEN(C1517)&gt;8,"I","NI")</f>
        <v>I</v>
      </c>
      <c r="G1517" s="28">
        <f>+IF(F1517="i",IFERROR(VLOOKUP(C1517,'BG 12.2024'!$B:$E,3,FALSE),0),0)</f>
        <v>1541807</v>
      </c>
      <c r="H1517" s="21">
        <f>+IF(F1517="i",IFERROR(VLOOKUP(C1517,'BG 12.2024'!$B:$E,4,FALSE),0),0)</f>
        <v>197.94</v>
      </c>
      <c r="I1517" s="616"/>
      <c r="J1517" s="28">
        <f>IF(F1517="I",IFERROR(VLOOKUP(C1517,'BG 12.2023'!$B$6:$E$819,3,FALSE),0),0)</f>
        <v>0</v>
      </c>
      <c r="K1517" s="28">
        <f>IF(F1517="I",IFERROR(VLOOKUP(C1517,'BG 12.2023'!$B$6:$E$819,4,FALSE),0),0)</f>
        <v>0</v>
      </c>
      <c r="L1517" s="87">
        <f>+SUMIF('CA FE'!$A$1214:$A$1508,Composición!C1517,'CA FE'!$C$1214:$C$1508)</f>
        <v>1541807</v>
      </c>
      <c r="M1517" s="15" t="e">
        <f>+VLOOKUP(C1517,'BG 2023'!$B:$E,1,0)</f>
        <v>#N/A</v>
      </c>
      <c r="N1517" s="806">
        <f>+VLOOKUP(C1517,'BG 12.2024'!$B:$E,3,0)</f>
        <v>1541807</v>
      </c>
      <c r="O1517" s="807">
        <f t="shared" ref="O1517" si="153">+N1517-J1517</f>
        <v>1541807</v>
      </c>
      <c r="P1517" s="807"/>
      <c r="R1517" s="807">
        <f>+IFERROR(VLOOKUP(C1517,'CA FE'!$A:$C,3,0),0)-G1517</f>
        <v>0</v>
      </c>
    </row>
    <row r="1518" spans="1:18" s="87" customFormat="1">
      <c r="A1518" s="77" t="s">
        <v>395</v>
      </c>
      <c r="B1518" s="1211" t="s">
        <v>1111</v>
      </c>
      <c r="C1518" s="1350">
        <v>5210111106</v>
      </c>
      <c r="D1518" s="1349" t="s">
        <v>2970</v>
      </c>
      <c r="E1518" s="794" t="s">
        <v>634</v>
      </c>
      <c r="F1518" s="794" t="str">
        <f t="shared" si="150"/>
        <v>I</v>
      </c>
      <c r="G1518" s="28">
        <f>+IF(F1518="i",IFERROR(VLOOKUP(C1518,'BG 12.2024'!$B:$E,3,FALSE),0),0)</f>
        <v>393830</v>
      </c>
      <c r="H1518" s="21">
        <f>+IF(F1518="i",IFERROR(VLOOKUP(C1518,'BG 12.2024'!$B:$E,4,FALSE),0),0)</f>
        <v>50.36</v>
      </c>
      <c r="I1518" s="616"/>
      <c r="J1518" s="28">
        <f>IF(F1518="I",IFERROR(VLOOKUP(C1518,'BG 12.2023'!$B$6:$E$819,3,FALSE),0),0)</f>
        <v>0</v>
      </c>
      <c r="K1518" s="28">
        <f>IF(F1518="I",IFERROR(VLOOKUP(C1518,'BG 12.2023'!$B$6:$E$819,4,FALSE),0),0)</f>
        <v>0</v>
      </c>
      <c r="L1518" s="87">
        <f>+SUMIF('CA FE'!$A$1214:$A$1508,Composición!C1518,'CA FE'!$C$1214:$C$1508)</f>
        <v>393830</v>
      </c>
      <c r="M1518" s="15" t="e">
        <f>+VLOOKUP(C1518,'BG 2023'!$B:$E,1,0)</f>
        <v>#N/A</v>
      </c>
      <c r="N1518" s="806">
        <f>+VLOOKUP(C1518,'BG 12.2024'!$B:$E,3,0)</f>
        <v>393830</v>
      </c>
      <c r="O1518" s="807">
        <f t="shared" si="151"/>
        <v>393830</v>
      </c>
      <c r="P1518" s="807"/>
      <c r="R1518" s="807">
        <f>+IFERROR(VLOOKUP(C1518,'CA FE'!$A:$C,3,0),0)-G1518</f>
        <v>0</v>
      </c>
    </row>
    <row r="1519" spans="1:18" s="87" customFormat="1">
      <c r="A1519" s="921"/>
      <c r="B1519" s="921"/>
      <c r="C1519" s="922"/>
      <c r="D1519" s="921"/>
      <c r="E1519" s="795"/>
      <c r="F1519" s="795"/>
      <c r="G1519" s="796"/>
      <c r="H1519" s="797"/>
      <c r="I1519" s="797"/>
      <c r="J1519" s="797"/>
      <c r="K1519" s="797"/>
      <c r="M1519" s="15" t="e">
        <f>+VLOOKUP(C1519,'BG 2023'!$B:$E,1,0)</f>
        <v>#N/A</v>
      </c>
      <c r="N1519" s="806" t="e">
        <f>+VLOOKUP(C1519,'BG 2023'!$B:$E,3,0)</f>
        <v>#N/A</v>
      </c>
      <c r="O1519" s="807" t="e">
        <f t="shared" si="142"/>
        <v>#N/A</v>
      </c>
      <c r="P1519" s="807"/>
      <c r="R1519" s="807">
        <f>+IFERROR(VLOOKUP(C1519,'CA FE'!$A$5:$C$155,3,G1564),0)-G1519</f>
        <v>0</v>
      </c>
    </row>
    <row r="1520" spans="1:18" s="87" customFormat="1">
      <c r="A1520" s="77" t="s">
        <v>1113</v>
      </c>
      <c r="B1520" s="77"/>
      <c r="C1520" s="793">
        <v>6</v>
      </c>
      <c r="D1520" s="77" t="s">
        <v>249</v>
      </c>
      <c r="E1520" s="794" t="s">
        <v>634</v>
      </c>
      <c r="F1520" s="794" t="str">
        <f t="shared" si="147"/>
        <v>NI</v>
      </c>
      <c r="G1520" s="615">
        <f>+IF(F1520="i",IFERROR(VLOOKUP(C1520,'BG 2023'!B:E,3,FALSE),0),0)</f>
        <v>0</v>
      </c>
      <c r="H1520" s="616">
        <f>+IF(F1520="i",IFERROR(VLOOKUP(C1520,'BG 2023'!B:E,4,FALSE),0),0)</f>
        <v>0</v>
      </c>
      <c r="I1520" s="616"/>
      <c r="J1520" s="28">
        <f>IF(F1520="I",IFERROR(VLOOKUP(C1520,'BG 12.2023'!$B$6:$E$819,3,FALSE),0),0)</f>
        <v>0</v>
      </c>
      <c r="K1520" s="28">
        <f>IF(F1520="I",IFERROR(VLOOKUP(C1520,'BG 12.2023'!$B$6:$E$819,4,FALSE),0),0)</f>
        <v>0</v>
      </c>
      <c r="M1520" s="15">
        <f>+VLOOKUP(C1520,'BG 2023'!$B:$E,1,0)</f>
        <v>6</v>
      </c>
      <c r="N1520" s="806">
        <f>+VLOOKUP(C1520,'BG 2023'!$B:$E,3,0)</f>
        <v>1854581611119</v>
      </c>
      <c r="O1520" s="807">
        <f t="shared" si="142"/>
        <v>1854581611119</v>
      </c>
      <c r="P1520" s="807"/>
      <c r="R1520" s="807"/>
    </row>
    <row r="1521" spans="1:18" s="87" customFormat="1">
      <c r="A1521" s="77" t="s">
        <v>1113</v>
      </c>
      <c r="B1521" s="77"/>
      <c r="C1521" s="793">
        <v>61</v>
      </c>
      <c r="D1521" s="77" t="s">
        <v>250</v>
      </c>
      <c r="E1521" s="794" t="s">
        <v>634</v>
      </c>
      <c r="F1521" s="794" t="str">
        <f t="shared" si="147"/>
        <v>NI</v>
      </c>
      <c r="G1521" s="615">
        <f>+IF(F1521="i",IFERROR(VLOOKUP(C1521,'BG 2023'!B:E,3,FALSE),0),0)</f>
        <v>0</v>
      </c>
      <c r="H1521" s="616">
        <f>+IF(F1521="i",IFERROR(VLOOKUP(C1521,'BG 2023'!B:E,4,FALSE),0),0)</f>
        <v>0</v>
      </c>
      <c r="I1521" s="616"/>
      <c r="J1521" s="28">
        <f>IF(F1521="I",IFERROR(VLOOKUP(C1521,'BG 12.2023'!$B$6:$E$819,3,FALSE),0),0)</f>
        <v>0</v>
      </c>
      <c r="K1521" s="28">
        <f>IF(F1521="I",IFERROR(VLOOKUP(C1521,'BG 12.2023'!$B$6:$E$819,4,FALSE),0),0)</f>
        <v>0</v>
      </c>
      <c r="M1521" s="15">
        <f>+VLOOKUP(C1521,'BG 2023'!$B:$E,1,0)</f>
        <v>61</v>
      </c>
      <c r="N1521" s="806">
        <f>+VLOOKUP(C1521,'BG 2023'!$B:$E,3,0)</f>
        <v>1854581611119</v>
      </c>
      <c r="O1521" s="807">
        <f t="shared" si="142"/>
        <v>1854581611119</v>
      </c>
      <c r="P1521" s="807"/>
      <c r="R1521" s="807"/>
    </row>
    <row r="1522" spans="1:18" s="87" customFormat="1">
      <c r="A1522" s="77" t="s">
        <v>1113</v>
      </c>
      <c r="B1522" s="77"/>
      <c r="C1522" s="793">
        <v>611</v>
      </c>
      <c r="D1522" s="77" t="s">
        <v>251</v>
      </c>
      <c r="E1522" s="794" t="s">
        <v>634</v>
      </c>
      <c r="F1522" s="794" t="str">
        <f t="shared" si="147"/>
        <v>NI</v>
      </c>
      <c r="G1522" s="615">
        <f>+IF(F1522="i",IFERROR(VLOOKUP(C1522,'BG 2023'!B:E,3,FALSE),0),0)</f>
        <v>0</v>
      </c>
      <c r="H1522" s="616">
        <f>+IF(F1522="i",IFERROR(VLOOKUP(C1522,'BG 2023'!B:E,4,FALSE),0),0)</f>
        <v>0</v>
      </c>
      <c r="I1522" s="616"/>
      <c r="J1522" s="28">
        <f>IF(F1522="I",IFERROR(VLOOKUP(C1522,'BG 12.2023'!$B$6:$E$819,3,FALSE),0),0)</f>
        <v>0</v>
      </c>
      <c r="K1522" s="28">
        <f>IF(F1522="I",IFERROR(VLOOKUP(C1522,'BG 12.2023'!$B$6:$E$819,4,FALSE),0),0)</f>
        <v>0</v>
      </c>
      <c r="M1522" s="15">
        <f>+VLOOKUP(C1522,'BG 2023'!$B:$E,1,0)</f>
        <v>611</v>
      </c>
      <c r="N1522" s="806">
        <f>+VLOOKUP(C1522,'BG 2023'!$B:$E,3,0)</f>
        <v>1854581611119</v>
      </c>
      <c r="O1522" s="807">
        <f t="shared" si="142"/>
        <v>1854581611119</v>
      </c>
      <c r="P1522" s="807"/>
      <c r="R1522" s="807"/>
    </row>
    <row r="1523" spans="1:18" s="87" customFormat="1">
      <c r="A1523" s="77" t="s">
        <v>1113</v>
      </c>
      <c r="B1523" s="77"/>
      <c r="C1523" s="793">
        <v>61101</v>
      </c>
      <c r="D1523" s="77" t="s">
        <v>251</v>
      </c>
      <c r="E1523" s="794" t="s">
        <v>634</v>
      </c>
      <c r="F1523" s="794" t="str">
        <f t="shared" si="147"/>
        <v>NI</v>
      </c>
      <c r="G1523" s="615">
        <f>+IF(F1523="i",IFERROR(VLOOKUP(C1523,'BG 2023'!B:E,3,FALSE),0),0)</f>
        <v>0</v>
      </c>
      <c r="H1523" s="616">
        <f>+IF(F1523="i",IFERROR(VLOOKUP(C1523,'BG 2023'!B:E,4,FALSE),0),0)</f>
        <v>0</v>
      </c>
      <c r="I1523" s="616"/>
      <c r="J1523" s="28">
        <f>IF(F1523="I",IFERROR(VLOOKUP(C1523,'BG 12.2023'!$B$6:$E$819,3,FALSE),0),0)</f>
        <v>0</v>
      </c>
      <c r="K1523" s="28">
        <f>IF(F1523="I",IFERROR(VLOOKUP(C1523,'BG 12.2023'!$B$6:$E$819,4,FALSE),0),0)</f>
        <v>0</v>
      </c>
      <c r="M1523" s="15">
        <f>+VLOOKUP(C1523,'BG 2023'!$B:$E,1,0)</f>
        <v>61101</v>
      </c>
      <c r="N1523" s="806">
        <f>+VLOOKUP(C1523,'BG 2023'!$B:$E,3,0)</f>
        <v>1854581611119</v>
      </c>
      <c r="O1523" s="807">
        <f t="shared" si="142"/>
        <v>1854581611119</v>
      </c>
      <c r="P1523" s="807"/>
      <c r="R1523" s="807"/>
    </row>
    <row r="1524" spans="1:18" s="87" customFormat="1">
      <c r="A1524" s="77" t="s">
        <v>1113</v>
      </c>
      <c r="B1524" s="77"/>
      <c r="C1524" s="793">
        <v>611011</v>
      </c>
      <c r="D1524" s="77" t="s">
        <v>251</v>
      </c>
      <c r="E1524" s="794" t="s">
        <v>634</v>
      </c>
      <c r="F1524" s="794" t="str">
        <f t="shared" si="147"/>
        <v>NI</v>
      </c>
      <c r="G1524" s="615">
        <f>+IF(F1524="i",IFERROR(VLOOKUP(C1524,'BG 2023'!B:E,3,FALSE),0),0)</f>
        <v>0</v>
      </c>
      <c r="H1524" s="616">
        <f>+IF(F1524="i",IFERROR(VLOOKUP(C1524,'BG 2023'!B:E,4,FALSE),0),0)</f>
        <v>0</v>
      </c>
      <c r="I1524" s="616"/>
      <c r="J1524" s="28">
        <f>IF(F1524="I",IFERROR(VLOOKUP(C1524,'BG 12.2023'!$B$6:$E$819,3,FALSE),0),0)</f>
        <v>0</v>
      </c>
      <c r="K1524" s="28">
        <f>IF(F1524="I",IFERROR(VLOOKUP(C1524,'BG 12.2023'!$B$6:$E$819,4,FALSE),0),0)</f>
        <v>0</v>
      </c>
      <c r="M1524" s="15">
        <f>+VLOOKUP(C1524,'BG 2023'!$B:$E,1,0)</f>
        <v>611011</v>
      </c>
      <c r="N1524" s="806">
        <f>+VLOOKUP(C1524,'BG 2023'!$B:$E,3,0)</f>
        <v>1854581611119</v>
      </c>
      <c r="O1524" s="807">
        <f t="shared" si="142"/>
        <v>1854581611119</v>
      </c>
      <c r="P1524" s="807"/>
      <c r="R1524" s="807"/>
    </row>
    <row r="1525" spans="1:18" s="87" customFormat="1">
      <c r="A1525" s="77" t="s">
        <v>1113</v>
      </c>
      <c r="B1525" s="77"/>
      <c r="C1525" s="793">
        <v>6110110</v>
      </c>
      <c r="D1525" s="77" t="s">
        <v>252</v>
      </c>
      <c r="E1525" s="794" t="s">
        <v>634</v>
      </c>
      <c r="F1525" s="794" t="str">
        <f t="shared" si="147"/>
        <v>NI</v>
      </c>
      <c r="G1525" s="615">
        <f>+IF(F1525="i",IFERROR(VLOOKUP(C1525,'BG 2023'!B:E,3,FALSE),0),0)</f>
        <v>0</v>
      </c>
      <c r="H1525" s="616">
        <f>+IF(F1525="i",IFERROR(VLOOKUP(C1525,'BG 2023'!B:E,4,FALSE),0),0)</f>
        <v>0</v>
      </c>
      <c r="I1525" s="616"/>
      <c r="J1525" s="28">
        <f>IF(F1525="I",IFERROR(VLOOKUP(C1525,'BG 12.2023'!$B$6:$E$819,3,FALSE),0),0)</f>
        <v>0</v>
      </c>
      <c r="K1525" s="28">
        <f>IF(F1525="I",IFERROR(VLOOKUP(C1525,'BG 12.2023'!$B$6:$E$819,4,FALSE),0),0)</f>
        <v>0</v>
      </c>
      <c r="M1525" s="15">
        <f>+VLOOKUP(C1525,'BG 2023'!$B:$E,1,0)</f>
        <v>6110110</v>
      </c>
      <c r="N1525" s="806">
        <f>+VLOOKUP(C1525,'BG 2023'!$B:$E,3,0)</f>
        <v>1485738850318</v>
      </c>
      <c r="O1525" s="807">
        <f t="shared" si="142"/>
        <v>1485738850318</v>
      </c>
      <c r="P1525" s="807"/>
      <c r="R1525" s="807"/>
    </row>
    <row r="1526" spans="1:18" s="87" customFormat="1">
      <c r="A1526" s="77" t="s">
        <v>1113</v>
      </c>
      <c r="B1526" s="77"/>
      <c r="C1526" s="793">
        <v>61101101</v>
      </c>
      <c r="D1526" s="77" t="s">
        <v>57</v>
      </c>
      <c r="E1526" s="794" t="s">
        <v>640</v>
      </c>
      <c r="F1526" s="794" t="str">
        <f t="shared" si="147"/>
        <v>NI</v>
      </c>
      <c r="G1526" s="615">
        <f>+IF(F1526="i",IFERROR(VLOOKUP(C1526,'BG 2023'!B:E,3,FALSE),0),0)</f>
        <v>0</v>
      </c>
      <c r="H1526" s="616">
        <f>+IF(F1526="i",IFERROR(VLOOKUP(C1526,'BG 2023'!B:E,4,FALSE),0),0)</f>
        <v>0</v>
      </c>
      <c r="I1526" s="616"/>
      <c r="J1526" s="28">
        <f>IF(F1526="I",IFERROR(VLOOKUP(C1526,'BG 12.2023'!$B$6:$E$819,3,FALSE),0),0)</f>
        <v>0</v>
      </c>
      <c r="K1526" s="28">
        <f>IF(F1526="I",IFERROR(VLOOKUP(C1526,'BG 12.2023'!$B$6:$E$819,4,FALSE),0),0)</f>
        <v>0</v>
      </c>
      <c r="M1526" s="15">
        <f>+VLOOKUP(C1526,'BG 2023'!$B:$E,1,0)</f>
        <v>61101101</v>
      </c>
      <c r="N1526" s="806">
        <f>+VLOOKUP(C1526,'BG 2023'!$B:$E,3,0)</f>
        <v>13801001925</v>
      </c>
      <c r="O1526" s="807">
        <f t="shared" si="142"/>
        <v>13801001925</v>
      </c>
      <c r="P1526" s="807"/>
      <c r="R1526" s="807"/>
    </row>
    <row r="1527" spans="1:18" s="87" customFormat="1">
      <c r="A1527" s="77" t="s">
        <v>1113</v>
      </c>
      <c r="B1527" s="77" t="s">
        <v>1114</v>
      </c>
      <c r="C1527" s="793">
        <v>6110110101</v>
      </c>
      <c r="D1527" s="77" t="s">
        <v>253</v>
      </c>
      <c r="E1527" s="794" t="s">
        <v>640</v>
      </c>
      <c r="F1527" s="794" t="str">
        <f t="shared" si="147"/>
        <v>I</v>
      </c>
      <c r="G1527" s="615">
        <f>+IF(F1527="i",IFERROR(VLOOKUP(C1527,'BG 2023'!B:E,3,FALSE),0),0)</f>
        <v>13801001925</v>
      </c>
      <c r="H1527" s="616">
        <f>+IF(F1527="i",IFERROR(VLOOKUP(C1527,'BG 2023'!B:E,4,FALSE),0),0)</f>
        <v>1894799.83</v>
      </c>
      <c r="I1527" s="616"/>
      <c r="J1527" s="28">
        <f>IF(F1527="I",IFERROR(VLOOKUP(C1527,'BG 12.2023'!$B$6:$E$819,3,FALSE),0),0)</f>
        <v>13801001925</v>
      </c>
      <c r="K1527" s="28">
        <f>IF(F1527="I",IFERROR(VLOOKUP(C1527,'BG 12.2023'!$B$6:$E$819,4,FALSE),0),0)</f>
        <v>1894799.83</v>
      </c>
      <c r="M1527" s="15">
        <f>+VLOOKUP(C1527,'BG 2023'!$B:$E,1,0)</f>
        <v>6110110101</v>
      </c>
      <c r="N1527" s="806">
        <f>+VLOOKUP(C1527,'BG 2023'!$B:$E,3,0)</f>
        <v>13801001925</v>
      </c>
      <c r="O1527" s="807">
        <f t="shared" si="142"/>
        <v>0</v>
      </c>
      <c r="P1527" s="807"/>
      <c r="R1527" s="807"/>
    </row>
    <row r="1528" spans="1:18" s="87" customFormat="1">
      <c r="A1528" s="77" t="s">
        <v>1113</v>
      </c>
      <c r="B1528" s="77"/>
      <c r="C1528" s="793">
        <v>6110110102</v>
      </c>
      <c r="D1528" s="77" t="s">
        <v>1115</v>
      </c>
      <c r="E1528" s="794" t="s">
        <v>640</v>
      </c>
      <c r="F1528" s="794" t="str">
        <f t="shared" si="147"/>
        <v>I</v>
      </c>
      <c r="G1528" s="615">
        <f>+IF(F1528="i",IFERROR(VLOOKUP(C1528,'BG 2023'!B:E,3,FALSE),0),0)</f>
        <v>0</v>
      </c>
      <c r="H1528" s="616">
        <f>+IF(F1528="i",IFERROR(VLOOKUP(C1528,'BG 2023'!B:E,4,FALSE),0),0)</f>
        <v>0</v>
      </c>
      <c r="I1528" s="616"/>
      <c r="J1528" s="28">
        <f>IF(F1528="I",IFERROR(VLOOKUP(C1528,'BG 12.2023'!$B$6:$E$819,3,FALSE),0),0)</f>
        <v>0</v>
      </c>
      <c r="K1528" s="28">
        <f>IF(F1528="I",IFERROR(VLOOKUP(C1528,'BG 12.2023'!$B$6:$E$819,4,FALSE),0),0)</f>
        <v>0</v>
      </c>
      <c r="M1528" s="15" t="e">
        <f>+VLOOKUP(C1528,'BG 2023'!$B:$E,1,0)</f>
        <v>#N/A</v>
      </c>
      <c r="N1528" s="806" t="e">
        <f>+VLOOKUP(C1528,'BG 2023'!$B:$E,3,0)</f>
        <v>#N/A</v>
      </c>
      <c r="O1528" s="807" t="e">
        <f t="shared" si="142"/>
        <v>#N/A</v>
      </c>
      <c r="P1528" s="807"/>
      <c r="R1528" s="807"/>
    </row>
    <row r="1529" spans="1:18" s="87" customFormat="1">
      <c r="A1529" s="77" t="s">
        <v>1113</v>
      </c>
      <c r="B1529" s="77"/>
      <c r="C1529" s="793">
        <v>61101102</v>
      </c>
      <c r="D1529" s="77" t="s">
        <v>254</v>
      </c>
      <c r="E1529" s="794" t="s">
        <v>640</v>
      </c>
      <c r="F1529" s="794" t="str">
        <f t="shared" si="147"/>
        <v>NI</v>
      </c>
      <c r="G1529" s="615">
        <f>+IF(F1529="i",IFERROR(VLOOKUP(C1529,'BG 2023'!B:E,3,FALSE),0),0)</f>
        <v>0</v>
      </c>
      <c r="H1529" s="616">
        <f>+IF(F1529="i",IFERROR(VLOOKUP(C1529,'BG 2023'!B:E,4,FALSE),0),0)</f>
        <v>0</v>
      </c>
      <c r="I1529" s="616"/>
      <c r="J1529" s="28">
        <f>IF(F1529="I",IFERROR(VLOOKUP(C1529,'BG 12.2023'!$B$6:$E$819,3,FALSE),0),0)</f>
        <v>0</v>
      </c>
      <c r="K1529" s="28">
        <f>IF(F1529="I",IFERROR(VLOOKUP(C1529,'BG 12.2023'!$B$6:$E$819,4,FALSE),0),0)</f>
        <v>0</v>
      </c>
      <c r="M1529" s="15">
        <f>+VLOOKUP(C1529,'BG 2023'!$B:$E,1,0)</f>
        <v>61101102</v>
      </c>
      <c r="N1529" s="806">
        <f>+VLOOKUP(C1529,'BG 2023'!$B:$E,3,0)</f>
        <v>15131873288</v>
      </c>
      <c r="O1529" s="807">
        <f t="shared" si="142"/>
        <v>15131873288</v>
      </c>
      <c r="P1529" s="807"/>
      <c r="R1529" s="807"/>
    </row>
    <row r="1530" spans="1:18" s="87" customFormat="1">
      <c r="A1530" s="77" t="s">
        <v>1113</v>
      </c>
      <c r="B1530" s="77" t="s">
        <v>1114</v>
      </c>
      <c r="C1530" s="793">
        <v>6110110201</v>
      </c>
      <c r="D1530" s="77" t="s">
        <v>255</v>
      </c>
      <c r="E1530" s="794" t="s">
        <v>640</v>
      </c>
      <c r="F1530" s="794" t="str">
        <f t="shared" si="147"/>
        <v>I</v>
      </c>
      <c r="G1530" s="615">
        <f>+IF(F1530="i",IFERROR(VLOOKUP(C1530,'BG 2023'!B:E,3,FALSE),0),0)</f>
        <v>15131873288</v>
      </c>
      <c r="H1530" s="616">
        <f>+IF(F1530="i",IFERROR(VLOOKUP(C1530,'BG 2023'!B:E,4,FALSE),0),0)</f>
        <v>2077520.9699999997</v>
      </c>
      <c r="I1530" s="616"/>
      <c r="J1530" s="28">
        <f>IF(F1530="I",IFERROR(VLOOKUP(C1530,'BG 12.2023'!$B$6:$E$819,3,FALSE),0),0)</f>
        <v>15131873288</v>
      </c>
      <c r="K1530" s="28">
        <f>IF(F1530="I",IFERROR(VLOOKUP(C1530,'BG 12.2023'!$B$6:$E$819,4,FALSE),0),0)</f>
        <v>2077520.9699999997</v>
      </c>
      <c r="M1530" s="15">
        <f>+VLOOKUP(C1530,'BG 2023'!$B:$E,1,0)</f>
        <v>6110110201</v>
      </c>
      <c r="N1530" s="806">
        <f>+VLOOKUP(C1530,'BG 2023'!$B:$E,3,0)</f>
        <v>15131873288</v>
      </c>
      <c r="O1530" s="807">
        <f t="shared" si="142"/>
        <v>0</v>
      </c>
      <c r="P1530" s="807"/>
      <c r="R1530" s="807"/>
    </row>
    <row r="1531" spans="1:18" s="87" customFormat="1">
      <c r="A1531" s="77" t="s">
        <v>1113</v>
      </c>
      <c r="B1531" s="77"/>
      <c r="C1531" s="793">
        <v>6110110202</v>
      </c>
      <c r="D1531" s="77" t="s">
        <v>1116</v>
      </c>
      <c r="E1531" s="794" t="s">
        <v>640</v>
      </c>
      <c r="F1531" s="794" t="str">
        <f t="shared" si="147"/>
        <v>I</v>
      </c>
      <c r="G1531" s="615">
        <f>+IF(F1531="i",IFERROR(VLOOKUP(C1531,'BG 2023'!B:E,3,FALSE),0),0)</f>
        <v>0</v>
      </c>
      <c r="H1531" s="616">
        <f>+IF(F1531="i",IFERROR(VLOOKUP(C1531,'BG 2023'!B:E,4,FALSE),0),0)</f>
        <v>0</v>
      </c>
      <c r="I1531" s="616"/>
      <c r="J1531" s="28">
        <f>IF(F1531="I",IFERROR(VLOOKUP(C1531,'BG 12.2023'!$B$6:$E$819,3,FALSE),0),0)</f>
        <v>0</v>
      </c>
      <c r="K1531" s="28">
        <f>IF(F1531="I",IFERROR(VLOOKUP(C1531,'BG 12.2023'!$B$6:$E$819,4,FALSE),0),0)</f>
        <v>0</v>
      </c>
      <c r="M1531" s="15" t="e">
        <f>+VLOOKUP(C1531,'BG 2023'!$B:$E,1,0)</f>
        <v>#N/A</v>
      </c>
      <c r="N1531" s="806" t="e">
        <f>+VLOOKUP(C1531,'BG 2023'!$B:$E,3,0)</f>
        <v>#N/A</v>
      </c>
      <c r="O1531" s="807" t="e">
        <f t="shared" si="142"/>
        <v>#N/A</v>
      </c>
      <c r="P1531" s="807"/>
      <c r="R1531" s="807"/>
    </row>
    <row r="1532" spans="1:18" s="87" customFormat="1">
      <c r="A1532" s="77" t="s">
        <v>1113</v>
      </c>
      <c r="B1532" s="77"/>
      <c r="C1532" s="793">
        <v>61101103</v>
      </c>
      <c r="D1532" s="77" t="s">
        <v>256</v>
      </c>
      <c r="E1532" s="794" t="s">
        <v>640</v>
      </c>
      <c r="F1532" s="794" t="str">
        <f t="shared" si="147"/>
        <v>NI</v>
      </c>
      <c r="G1532" s="615">
        <f>+IF(F1532="i",IFERROR(VLOOKUP(C1532,'BG 2023'!B:E,3,FALSE),0),0)</f>
        <v>0</v>
      </c>
      <c r="H1532" s="616">
        <f>+IF(F1532="i",IFERROR(VLOOKUP(C1532,'BG 2023'!B:E,4,FALSE),0),0)</f>
        <v>0</v>
      </c>
      <c r="I1532" s="616"/>
      <c r="J1532" s="28">
        <f>IF(F1532="I",IFERROR(VLOOKUP(C1532,'BG 12.2023'!$B$6:$E$819,3,FALSE),0),0)</f>
        <v>0</v>
      </c>
      <c r="K1532" s="28">
        <f>IF(F1532="I",IFERROR(VLOOKUP(C1532,'BG 12.2023'!$B$6:$E$819,4,FALSE),0),0)</f>
        <v>0</v>
      </c>
      <c r="M1532" s="15">
        <f>+VLOOKUP(C1532,'BG 2023'!$B:$E,1,0)</f>
        <v>61101103</v>
      </c>
      <c r="N1532" s="806">
        <f>+VLOOKUP(C1532,'BG 2023'!$B:$E,3,0)</f>
        <v>53744915</v>
      </c>
      <c r="O1532" s="807">
        <f t="shared" si="142"/>
        <v>53744915</v>
      </c>
      <c r="P1532" s="807"/>
      <c r="R1532" s="807"/>
    </row>
    <row r="1533" spans="1:18" s="87" customFormat="1">
      <c r="A1533" s="77" t="s">
        <v>1113</v>
      </c>
      <c r="B1533" s="77" t="s">
        <v>1114</v>
      </c>
      <c r="C1533" s="793">
        <v>6110110301</v>
      </c>
      <c r="D1533" s="77" t="s">
        <v>257</v>
      </c>
      <c r="E1533" s="794" t="s">
        <v>640</v>
      </c>
      <c r="F1533" s="794" t="str">
        <f t="shared" si="147"/>
        <v>I</v>
      </c>
      <c r="G1533" s="615">
        <f>+IF(F1533="i",IFERROR(VLOOKUP(C1533,'BG 2023'!B:E,3,FALSE),0),0)</f>
        <v>53744915</v>
      </c>
      <c r="H1533" s="616">
        <f>+IF(F1533="i",IFERROR(VLOOKUP(C1533,'BG 2023'!B:E,4,FALSE),0),0)</f>
        <v>7378.8699999999944</v>
      </c>
      <c r="I1533" s="616"/>
      <c r="J1533" s="28">
        <f>IF(F1533="I",IFERROR(VLOOKUP(C1533,'BG 12.2023'!$B$6:$E$819,3,FALSE),0),0)</f>
        <v>53744915</v>
      </c>
      <c r="K1533" s="28">
        <f>IF(F1533="I",IFERROR(VLOOKUP(C1533,'BG 12.2023'!$B$6:$E$819,4,FALSE),0),0)</f>
        <v>7378.8699999999944</v>
      </c>
      <c r="M1533" s="15">
        <f>+VLOOKUP(C1533,'BG 2023'!$B:$E,1,0)</f>
        <v>6110110301</v>
      </c>
      <c r="N1533" s="806">
        <f>+VLOOKUP(C1533,'BG 2023'!$B:$E,3,0)</f>
        <v>53744915</v>
      </c>
      <c r="O1533" s="807">
        <f t="shared" si="142"/>
        <v>0</v>
      </c>
      <c r="P1533" s="807"/>
      <c r="R1533" s="807"/>
    </row>
    <row r="1534" spans="1:18" s="87" customFormat="1">
      <c r="A1534" s="77" t="s">
        <v>1113</v>
      </c>
      <c r="B1534" s="77"/>
      <c r="C1534" s="793">
        <v>6110110302</v>
      </c>
      <c r="D1534" s="77" t="s">
        <v>1117</v>
      </c>
      <c r="E1534" s="794" t="s">
        <v>640</v>
      </c>
      <c r="F1534" s="794" t="str">
        <f t="shared" si="147"/>
        <v>I</v>
      </c>
      <c r="G1534" s="615">
        <f>+IF(F1534="i",IFERROR(VLOOKUP(C1534,'BG 2023'!B:E,3,FALSE),0),0)</f>
        <v>0</v>
      </c>
      <c r="H1534" s="616">
        <f>+IF(F1534="i",IFERROR(VLOOKUP(C1534,'BG 2023'!B:E,4,FALSE),0),0)</f>
        <v>0</v>
      </c>
      <c r="I1534" s="616"/>
      <c r="J1534" s="28">
        <f>IF(F1534="I",IFERROR(VLOOKUP(C1534,'BG 12.2023'!$B$6:$E$819,3,FALSE),0),0)</f>
        <v>0</v>
      </c>
      <c r="K1534" s="28">
        <f>IF(F1534="I",IFERROR(VLOOKUP(C1534,'BG 12.2023'!$B$6:$E$819,4,FALSE),0),0)</f>
        <v>0</v>
      </c>
      <c r="M1534" s="15" t="e">
        <f>+VLOOKUP(C1534,'BG 2023'!$B:$E,1,0)</f>
        <v>#N/A</v>
      </c>
      <c r="N1534" s="806" t="e">
        <f>+VLOOKUP(C1534,'BG 2023'!$B:$E,3,0)</f>
        <v>#N/A</v>
      </c>
      <c r="O1534" s="807" t="e">
        <f t="shared" si="142"/>
        <v>#N/A</v>
      </c>
      <c r="P1534" s="807"/>
      <c r="R1534" s="807"/>
    </row>
    <row r="1535" spans="1:18" s="87" customFormat="1">
      <c r="A1535" s="77" t="s">
        <v>1113</v>
      </c>
      <c r="B1535" s="77"/>
      <c r="C1535" s="793">
        <v>61101104</v>
      </c>
      <c r="D1535" s="77" t="s">
        <v>258</v>
      </c>
      <c r="E1535" s="794" t="s">
        <v>640</v>
      </c>
      <c r="F1535" s="794" t="str">
        <f t="shared" si="147"/>
        <v>NI</v>
      </c>
      <c r="G1535" s="615">
        <f>+IF(F1535="i",IFERROR(VLOOKUP(C1535,'BG 2023'!B:E,3,FALSE),0),0)</f>
        <v>0</v>
      </c>
      <c r="H1535" s="616">
        <f>+IF(F1535="i",IFERROR(VLOOKUP(C1535,'BG 2023'!B:E,4,FALSE),0),0)</f>
        <v>0</v>
      </c>
      <c r="I1535" s="616"/>
      <c r="J1535" s="28">
        <f>IF(F1535="I",IFERROR(VLOOKUP(C1535,'BG 12.2023'!$B$6:$E$819,3,FALSE),0),0)</f>
        <v>0</v>
      </c>
      <c r="K1535" s="28">
        <f>IF(F1535="I",IFERROR(VLOOKUP(C1535,'BG 12.2023'!$B$6:$E$819,4,FALSE),0),0)</f>
        <v>0</v>
      </c>
      <c r="M1535" s="15">
        <f>+VLOOKUP(C1535,'BG 2023'!$B:$E,1,0)</f>
        <v>61101104</v>
      </c>
      <c r="N1535" s="806">
        <f>+VLOOKUP(C1535,'BG 2023'!$B:$E,3,0)</f>
        <v>43517650832</v>
      </c>
      <c r="O1535" s="807">
        <f t="shared" si="142"/>
        <v>43517650832</v>
      </c>
      <c r="P1535" s="807"/>
      <c r="R1535" s="807"/>
    </row>
    <row r="1536" spans="1:18" s="87" customFormat="1">
      <c r="A1536" s="77" t="s">
        <v>1113</v>
      </c>
      <c r="B1536" s="77" t="s">
        <v>1114</v>
      </c>
      <c r="C1536" s="793">
        <v>6110110401</v>
      </c>
      <c r="D1536" s="77" t="s">
        <v>259</v>
      </c>
      <c r="E1536" s="794" t="s">
        <v>640</v>
      </c>
      <c r="F1536" s="794" t="str">
        <f t="shared" si="147"/>
        <v>I</v>
      </c>
      <c r="G1536" s="615">
        <f>+IF(F1536="i",IFERROR(VLOOKUP(C1536,'BG 2023'!B:E,3,FALSE),0),0)</f>
        <v>43517650832</v>
      </c>
      <c r="H1536" s="616">
        <f>+IF(F1536="i",IFERROR(VLOOKUP(C1536,'BG 2023'!B:E,4,FALSE),0),0)</f>
        <v>5974728.3399999999</v>
      </c>
      <c r="I1536" s="616"/>
      <c r="J1536" s="28">
        <f>IF(F1536="I",IFERROR(VLOOKUP(C1536,'BG 12.2023'!$B$6:$E$819,3,FALSE),0),0)</f>
        <v>43517650832</v>
      </c>
      <c r="K1536" s="28">
        <f>IF(F1536="I",IFERROR(VLOOKUP(C1536,'BG 12.2023'!$B$6:$E$819,4,FALSE),0),0)</f>
        <v>5974728.3399999999</v>
      </c>
      <c r="M1536" s="15">
        <f>+VLOOKUP(C1536,'BG 2023'!$B:$E,1,0)</f>
        <v>6110110401</v>
      </c>
      <c r="N1536" s="806">
        <f>+VLOOKUP(C1536,'BG 2023'!$B:$E,3,0)</f>
        <v>43517650832</v>
      </c>
      <c r="O1536" s="807">
        <f t="shared" si="142"/>
        <v>0</v>
      </c>
      <c r="P1536" s="807"/>
      <c r="R1536" s="807"/>
    </row>
    <row r="1537" spans="1:18" s="87" customFormat="1">
      <c r="A1537" s="77" t="s">
        <v>1113</v>
      </c>
      <c r="B1537" s="77"/>
      <c r="C1537" s="793">
        <v>6110110402</v>
      </c>
      <c r="D1537" s="77" t="s">
        <v>1118</v>
      </c>
      <c r="E1537" s="794" t="s">
        <v>640</v>
      </c>
      <c r="F1537" s="794" t="str">
        <f t="shared" si="147"/>
        <v>I</v>
      </c>
      <c r="G1537" s="615">
        <f>+IF(F1537="i",IFERROR(VLOOKUP(C1537,'BG 2023'!B:E,3,FALSE),0),0)</f>
        <v>0</v>
      </c>
      <c r="H1537" s="616">
        <f>+IF(F1537="i",IFERROR(VLOOKUP(C1537,'BG 2023'!B:E,4,FALSE),0),0)</f>
        <v>0</v>
      </c>
      <c r="I1537" s="616"/>
      <c r="J1537" s="28">
        <f>IF(F1537="I",IFERROR(VLOOKUP(C1537,'BG 12.2023'!$B$6:$E$819,3,FALSE),0),0)</f>
        <v>0</v>
      </c>
      <c r="K1537" s="28">
        <f>IF(F1537="I",IFERROR(VLOOKUP(C1537,'BG 12.2023'!$B$6:$E$819,4,FALSE),0),0)</f>
        <v>0</v>
      </c>
      <c r="M1537" s="15" t="e">
        <f>+VLOOKUP(C1537,'BG 2023'!$B:$E,1,0)</f>
        <v>#N/A</v>
      </c>
      <c r="N1537" s="806" t="e">
        <f>+VLOOKUP(C1537,'BG 2023'!$B:$E,3,0)</f>
        <v>#N/A</v>
      </c>
      <c r="O1537" s="807" t="e">
        <f t="shared" si="142"/>
        <v>#N/A</v>
      </c>
      <c r="P1537" s="807"/>
      <c r="R1537" s="807"/>
    </row>
    <row r="1538" spans="1:18" s="87" customFormat="1">
      <c r="A1538" s="77" t="s">
        <v>1113</v>
      </c>
      <c r="B1538" s="77"/>
      <c r="C1538" s="793">
        <v>61101105</v>
      </c>
      <c r="D1538" s="77" t="s">
        <v>59</v>
      </c>
      <c r="E1538" s="794" t="s">
        <v>640</v>
      </c>
      <c r="F1538" s="794" t="str">
        <f t="shared" si="147"/>
        <v>NI</v>
      </c>
      <c r="G1538" s="615">
        <f>+IF(F1538="i",IFERROR(VLOOKUP(C1538,'BG 2023'!B:E,3,FALSE),0),0)</f>
        <v>0</v>
      </c>
      <c r="H1538" s="616">
        <f>+IF(F1538="i",IFERROR(VLOOKUP(C1538,'BG 2023'!B:E,4,FALSE),0),0)</f>
        <v>0</v>
      </c>
      <c r="I1538" s="616"/>
      <c r="J1538" s="28">
        <f>IF(F1538="I",IFERROR(VLOOKUP(C1538,'BG 12.2023'!$B$6:$E$819,3,FALSE),0),0)</f>
        <v>0</v>
      </c>
      <c r="K1538" s="28">
        <f>IF(F1538="I",IFERROR(VLOOKUP(C1538,'BG 12.2023'!$B$6:$E$819,4,FALSE),0),0)</f>
        <v>0</v>
      </c>
      <c r="M1538" s="15">
        <f>+VLOOKUP(C1538,'BG 2023'!$B:$E,1,0)</f>
        <v>61101105</v>
      </c>
      <c r="N1538" s="806">
        <f>+VLOOKUP(C1538,'BG 2023'!$B:$E,3,0)</f>
        <v>107283831246</v>
      </c>
      <c r="O1538" s="807">
        <f t="shared" si="142"/>
        <v>107283831246</v>
      </c>
      <c r="P1538" s="807"/>
      <c r="R1538" s="807"/>
    </row>
    <row r="1539" spans="1:18" s="87" customFormat="1">
      <c r="A1539" s="77" t="s">
        <v>1113</v>
      </c>
      <c r="B1539" s="77" t="s">
        <v>1114</v>
      </c>
      <c r="C1539" s="793">
        <v>6110110501</v>
      </c>
      <c r="D1539" s="77" t="s">
        <v>260</v>
      </c>
      <c r="E1539" s="794" t="s">
        <v>640</v>
      </c>
      <c r="F1539" s="794" t="str">
        <f t="shared" si="147"/>
        <v>I</v>
      </c>
      <c r="G1539" s="615">
        <f>+IF(F1539="i",IFERROR(VLOOKUP(C1539,'BG 2023'!B:E,3,FALSE),0),0)</f>
        <v>93840000000</v>
      </c>
      <c r="H1539" s="616">
        <f>+IF(F1539="i",IFERROR(VLOOKUP(C1539,'BG 2023'!B:E,4,FALSE),0),0)</f>
        <v>12883703.43</v>
      </c>
      <c r="I1539" s="616"/>
      <c r="J1539" s="28">
        <f>IF(F1539="I",IFERROR(VLOOKUP(C1539,'BG 12.2023'!$B$6:$E$819,3,FALSE),0),0)</f>
        <v>93840000000</v>
      </c>
      <c r="K1539" s="28">
        <f>IF(F1539="I",IFERROR(VLOOKUP(C1539,'BG 12.2023'!$B$6:$E$819,4,FALSE),0),0)</f>
        <v>12883703.43</v>
      </c>
      <c r="M1539" s="15">
        <f>+VLOOKUP(C1539,'BG 2023'!$B:$E,1,0)</f>
        <v>6110110501</v>
      </c>
      <c r="N1539" s="806">
        <f>+VLOOKUP(C1539,'BG 2023'!$B:$E,3,0)</f>
        <v>93840000000</v>
      </c>
      <c r="O1539" s="807">
        <f t="shared" si="142"/>
        <v>0</v>
      </c>
      <c r="P1539" s="807"/>
      <c r="R1539" s="807"/>
    </row>
    <row r="1540" spans="1:18" s="87" customFormat="1">
      <c r="A1540" s="77" t="s">
        <v>1113</v>
      </c>
      <c r="B1540" s="77" t="s">
        <v>1114</v>
      </c>
      <c r="C1540" s="793">
        <v>6110110502</v>
      </c>
      <c r="D1540" s="77" t="s">
        <v>261</v>
      </c>
      <c r="E1540" s="794" t="s">
        <v>640</v>
      </c>
      <c r="F1540" s="794" t="str">
        <f t="shared" si="147"/>
        <v>I</v>
      </c>
      <c r="G1540" s="615">
        <f>+IF(F1540="i",IFERROR(VLOOKUP(C1540,'BG 2023'!B:E,3,FALSE),0),0)</f>
        <v>13443831246</v>
      </c>
      <c r="H1540" s="616">
        <f>+IF(F1540="i",IFERROR(VLOOKUP(C1540,'BG 2023'!B:E,4,FALSE),0),0)</f>
        <v>1845762.3000000003</v>
      </c>
      <c r="I1540" s="616"/>
      <c r="J1540" s="28">
        <f>IF(F1540="I",IFERROR(VLOOKUP(C1540,'BG 12.2023'!$B$6:$E$819,3,FALSE),0),0)</f>
        <v>13443831246</v>
      </c>
      <c r="K1540" s="28">
        <f>IF(F1540="I",IFERROR(VLOOKUP(C1540,'BG 12.2023'!$B$6:$E$819,4,FALSE),0),0)</f>
        <v>1845762.3000000003</v>
      </c>
      <c r="M1540" s="15">
        <f>+VLOOKUP(C1540,'BG 2023'!$B:$E,1,0)</f>
        <v>6110110502</v>
      </c>
      <c r="N1540" s="806">
        <f>+VLOOKUP(C1540,'BG 2023'!$B:$E,3,0)</f>
        <v>13443831246</v>
      </c>
      <c r="O1540" s="807">
        <f t="shared" si="142"/>
        <v>0</v>
      </c>
      <c r="P1540" s="807"/>
      <c r="R1540" s="807"/>
    </row>
    <row r="1541" spans="1:18" s="87" customFormat="1">
      <c r="A1541" s="77" t="s">
        <v>1113</v>
      </c>
      <c r="B1541" s="77"/>
      <c r="C1541" s="793">
        <v>61101106</v>
      </c>
      <c r="D1541" s="77" t="s">
        <v>60</v>
      </c>
      <c r="E1541" s="794" t="s">
        <v>640</v>
      </c>
      <c r="F1541" s="794" t="str">
        <f t="shared" si="147"/>
        <v>NI</v>
      </c>
      <c r="G1541" s="615">
        <f>+IF(F1541="i",IFERROR(VLOOKUP(C1541,'BG 2023'!B:E,3,FALSE),0),0)</f>
        <v>0</v>
      </c>
      <c r="H1541" s="616">
        <f>+IF(F1541="i",IFERROR(VLOOKUP(C1541,'BG 2023'!B:E,4,FALSE),0),0)</f>
        <v>0</v>
      </c>
      <c r="I1541" s="616"/>
      <c r="J1541" s="28">
        <f>IF(F1541="I",IFERROR(VLOOKUP(C1541,'BG 12.2023'!$B$6:$E$819,3,FALSE),0),0)</f>
        <v>0</v>
      </c>
      <c r="K1541" s="28">
        <f>IF(F1541="I",IFERROR(VLOOKUP(C1541,'BG 12.2023'!$B$6:$E$819,4,FALSE),0),0)</f>
        <v>0</v>
      </c>
      <c r="M1541" s="15">
        <f>+VLOOKUP(C1541,'BG 2023'!$B:$E,1,0)</f>
        <v>61101106</v>
      </c>
      <c r="N1541" s="806">
        <f>+VLOOKUP(C1541,'BG 2023'!$B:$E,3,0)</f>
        <v>47775986197</v>
      </c>
      <c r="O1541" s="807">
        <f t="shared" si="142"/>
        <v>47775986197</v>
      </c>
      <c r="P1541" s="807"/>
      <c r="R1541" s="807"/>
    </row>
    <row r="1542" spans="1:18" s="87" customFormat="1">
      <c r="A1542" s="77" t="s">
        <v>1113</v>
      </c>
      <c r="B1542" s="77" t="s">
        <v>1114</v>
      </c>
      <c r="C1542" s="793">
        <v>6110110601</v>
      </c>
      <c r="D1542" s="77" t="s">
        <v>262</v>
      </c>
      <c r="E1542" s="794" t="s">
        <v>640</v>
      </c>
      <c r="F1542" s="794" t="str">
        <f t="shared" si="147"/>
        <v>I</v>
      </c>
      <c r="G1542" s="615">
        <f>+IF(F1542="i",IFERROR(VLOOKUP(C1542,'BG 2023'!B:E,3,FALSE),0),0)</f>
        <v>43687152760</v>
      </c>
      <c r="H1542" s="616">
        <f>+IF(F1542="i",IFERROR(VLOOKUP(C1542,'BG 2023'!B:E,4,FALSE),0),0)</f>
        <v>5998000</v>
      </c>
      <c r="I1542" s="616"/>
      <c r="J1542" s="28">
        <f>IF(F1542="I",IFERROR(VLOOKUP(C1542,'BG 12.2023'!$B$6:$E$819,3,FALSE),0),0)</f>
        <v>43687152760</v>
      </c>
      <c r="K1542" s="28">
        <f>IF(F1542="I",IFERROR(VLOOKUP(C1542,'BG 12.2023'!$B$6:$E$819,4,FALSE),0),0)</f>
        <v>5998000</v>
      </c>
      <c r="M1542" s="15">
        <f>+VLOOKUP(C1542,'BG 2023'!$B:$E,1,0)</f>
        <v>6110110601</v>
      </c>
      <c r="N1542" s="806">
        <f>+VLOOKUP(C1542,'BG 2023'!$B:$E,3,0)</f>
        <v>43687152760</v>
      </c>
      <c r="O1542" s="807">
        <f t="shared" si="142"/>
        <v>0</v>
      </c>
      <c r="P1542" s="807"/>
      <c r="R1542" s="807"/>
    </row>
    <row r="1543" spans="1:18" s="87" customFormat="1">
      <c r="A1543" s="77" t="s">
        <v>1113</v>
      </c>
      <c r="B1543" s="77" t="s">
        <v>1114</v>
      </c>
      <c r="C1543" s="793">
        <v>6110110602</v>
      </c>
      <c r="D1543" s="77" t="s">
        <v>263</v>
      </c>
      <c r="E1543" s="794" t="s">
        <v>640</v>
      </c>
      <c r="F1543" s="794" t="str">
        <f t="shared" si="147"/>
        <v>I</v>
      </c>
      <c r="G1543" s="615">
        <f>+IF(F1543="i",IFERROR(VLOOKUP(C1543,'BG 2023'!B:E,3,FALSE),0),0)</f>
        <v>4088833437</v>
      </c>
      <c r="H1543" s="616">
        <f>+IF(F1543="i",IFERROR(VLOOKUP(C1543,'BG 2023'!B:E,4,FALSE),0),0)</f>
        <v>561373.80000000005</v>
      </c>
      <c r="I1543" s="616"/>
      <c r="J1543" s="28">
        <f>IF(F1543="I",IFERROR(VLOOKUP(C1543,'BG 12.2023'!$B$6:$E$819,3,FALSE),0),0)</f>
        <v>4088833437</v>
      </c>
      <c r="K1543" s="28">
        <f>IF(F1543="I",IFERROR(VLOOKUP(C1543,'BG 12.2023'!$B$6:$E$819,4,FALSE),0),0)</f>
        <v>561373.80000000005</v>
      </c>
      <c r="M1543" s="15">
        <f>+VLOOKUP(C1543,'BG 2023'!$B:$E,1,0)</f>
        <v>6110110602</v>
      </c>
      <c r="N1543" s="806">
        <f>+VLOOKUP(C1543,'BG 2023'!$B:$E,3,0)</f>
        <v>4088833437</v>
      </c>
      <c r="O1543" s="807">
        <f t="shared" si="142"/>
        <v>0</v>
      </c>
      <c r="P1543" s="807"/>
      <c r="R1543" s="807"/>
    </row>
    <row r="1544" spans="1:18" s="87" customFormat="1">
      <c r="A1544" s="77" t="s">
        <v>1113</v>
      </c>
      <c r="B1544" s="77"/>
      <c r="C1544" s="793">
        <v>61101107</v>
      </c>
      <c r="D1544" s="77" t="s">
        <v>63</v>
      </c>
      <c r="E1544" s="794" t="s">
        <v>640</v>
      </c>
      <c r="F1544" s="794" t="str">
        <f t="shared" si="147"/>
        <v>NI</v>
      </c>
      <c r="G1544" s="615">
        <f>+IF(F1544="i",IFERROR(VLOOKUP(C1544,'BG 2023'!B:E,3,FALSE),0),0)</f>
        <v>0</v>
      </c>
      <c r="H1544" s="616">
        <f>+IF(F1544="i",IFERROR(VLOOKUP(C1544,'BG 2023'!B:E,4,FALSE),0),0)</f>
        <v>0</v>
      </c>
      <c r="I1544" s="616"/>
      <c r="J1544" s="28">
        <f>IF(F1544="I",IFERROR(VLOOKUP(C1544,'BG 12.2023'!$B$6:$E$819,3,FALSE),0),0)</f>
        <v>0</v>
      </c>
      <c r="K1544" s="28">
        <f>IF(F1544="I",IFERROR(VLOOKUP(C1544,'BG 12.2023'!$B$6:$E$819,4,FALSE),0),0)</f>
        <v>0</v>
      </c>
      <c r="M1544" s="15">
        <f>+VLOOKUP(C1544,'BG 2023'!$B:$E,1,0)</f>
        <v>61101107</v>
      </c>
      <c r="N1544" s="806">
        <f>+VLOOKUP(C1544,'BG 2023'!$B:$E,3,0)</f>
        <v>114842946000</v>
      </c>
      <c r="O1544" s="807">
        <f t="shared" si="142"/>
        <v>114842946000</v>
      </c>
      <c r="P1544" s="807"/>
      <c r="R1544" s="807"/>
    </row>
    <row r="1545" spans="1:18" s="87" customFormat="1">
      <c r="A1545" s="77" t="s">
        <v>1113</v>
      </c>
      <c r="B1545" s="77" t="s">
        <v>1114</v>
      </c>
      <c r="C1545" s="793">
        <v>6110110701</v>
      </c>
      <c r="D1545" s="77" t="s">
        <v>264</v>
      </c>
      <c r="E1545" s="794" t="s">
        <v>640</v>
      </c>
      <c r="F1545" s="794" t="str">
        <f t="shared" si="147"/>
        <v>I</v>
      </c>
      <c r="G1545" s="615">
        <f>+IF(F1545="i",IFERROR(VLOOKUP(C1545,'BG 2023'!B:E,3,FALSE),0),0)</f>
        <v>114842946000</v>
      </c>
      <c r="H1545" s="616">
        <f>+IF(F1545="i",IFERROR(VLOOKUP(C1545,'BG 2023'!B:E,4,FALSE),0),0)</f>
        <v>15767289.619999999</v>
      </c>
      <c r="I1545" s="616"/>
      <c r="J1545" s="28">
        <f>IF(F1545="I",IFERROR(VLOOKUP(C1545,'BG 12.2023'!$B$6:$E$819,3,FALSE),0),0)</f>
        <v>114842946000</v>
      </c>
      <c r="K1545" s="28">
        <f>IF(F1545="I",IFERROR(VLOOKUP(C1545,'BG 12.2023'!$B$6:$E$819,4,FALSE),0),0)</f>
        <v>15767289.619999999</v>
      </c>
      <c r="M1545" s="15">
        <f>+VLOOKUP(C1545,'BG 2023'!$B:$E,1,0)</f>
        <v>6110110701</v>
      </c>
      <c r="N1545" s="806">
        <f>+VLOOKUP(C1545,'BG 2023'!$B:$E,3,0)</f>
        <v>114842946000</v>
      </c>
      <c r="O1545" s="807">
        <f t="shared" si="142"/>
        <v>0</v>
      </c>
      <c r="P1545" s="807"/>
      <c r="R1545" s="807"/>
    </row>
    <row r="1546" spans="1:18" s="87" customFormat="1">
      <c r="A1546" s="77" t="s">
        <v>1113</v>
      </c>
      <c r="B1546" s="77"/>
      <c r="C1546" s="793">
        <v>6110110702</v>
      </c>
      <c r="D1546" s="77" t="s">
        <v>1119</v>
      </c>
      <c r="E1546" s="794" t="s">
        <v>640</v>
      </c>
      <c r="F1546" s="794" t="str">
        <f t="shared" si="147"/>
        <v>I</v>
      </c>
      <c r="G1546" s="615">
        <f>+IF(F1546="i",IFERROR(VLOOKUP(C1546,'BG 2023'!B:E,3,FALSE),0),0)</f>
        <v>0</v>
      </c>
      <c r="H1546" s="616">
        <f>+IF(F1546="i",IFERROR(VLOOKUP(C1546,'BG 2023'!B:E,4,FALSE),0),0)</f>
        <v>0</v>
      </c>
      <c r="I1546" s="616"/>
      <c r="J1546" s="28">
        <f>IF(F1546="I",IFERROR(VLOOKUP(C1546,'BG 12.2023'!$B$6:$E$819,3,FALSE),0),0)</f>
        <v>0</v>
      </c>
      <c r="K1546" s="28">
        <f>IF(F1546="I",IFERROR(VLOOKUP(C1546,'BG 12.2023'!$B$6:$E$819,4,FALSE),0),0)</f>
        <v>0</v>
      </c>
      <c r="M1546" s="15" t="e">
        <f>+VLOOKUP(C1546,'BG 2023'!$B:$E,1,0)</f>
        <v>#N/A</v>
      </c>
      <c r="N1546" s="806" t="e">
        <f>+VLOOKUP(C1546,'BG 2023'!$B:$E,3,0)</f>
        <v>#N/A</v>
      </c>
      <c r="O1546" s="807" t="e">
        <f t="shared" si="142"/>
        <v>#N/A</v>
      </c>
      <c r="P1546" s="807"/>
      <c r="R1546" s="807"/>
    </row>
    <row r="1547" spans="1:18" s="87" customFormat="1">
      <c r="A1547" s="77" t="s">
        <v>1113</v>
      </c>
      <c r="B1547" s="77"/>
      <c r="C1547" s="793">
        <v>61101108</v>
      </c>
      <c r="D1547" s="77" t="s">
        <v>64</v>
      </c>
      <c r="E1547" s="794" t="s">
        <v>640</v>
      </c>
      <c r="F1547" s="794" t="str">
        <f t="shared" si="147"/>
        <v>NI</v>
      </c>
      <c r="G1547" s="615">
        <f>+IF(F1547="i",IFERROR(VLOOKUP(C1547,'BG 2023'!B:E,3,FALSE),0),0)</f>
        <v>0</v>
      </c>
      <c r="H1547" s="616">
        <f>+IF(F1547="i",IFERROR(VLOOKUP(C1547,'BG 2023'!B:E,4,FALSE),0),0)</f>
        <v>0</v>
      </c>
      <c r="I1547" s="616"/>
      <c r="J1547" s="28">
        <f>IF(F1547="I",IFERROR(VLOOKUP(C1547,'BG 12.2023'!$B$6:$E$819,3,FALSE),0),0)</f>
        <v>0</v>
      </c>
      <c r="K1547" s="28">
        <f>IF(F1547="I",IFERROR(VLOOKUP(C1547,'BG 12.2023'!$B$6:$E$819,4,FALSE),0),0)</f>
        <v>0</v>
      </c>
      <c r="M1547" s="15">
        <f>+VLOOKUP(C1547,'BG 2023'!$B:$E,1,0)</f>
        <v>61101108</v>
      </c>
      <c r="N1547" s="806">
        <f>+VLOOKUP(C1547,'BG 2023'!$B:$E,3,0)</f>
        <v>69154292725</v>
      </c>
      <c r="O1547" s="807">
        <f t="shared" si="142"/>
        <v>69154292725</v>
      </c>
      <c r="P1547" s="807"/>
      <c r="R1547" s="807"/>
    </row>
    <row r="1548" spans="1:18" s="87" customFormat="1">
      <c r="A1548" s="77" t="s">
        <v>1113</v>
      </c>
      <c r="B1548" s="77" t="s">
        <v>1114</v>
      </c>
      <c r="C1548" s="793">
        <v>6110110801</v>
      </c>
      <c r="D1548" s="77" t="s">
        <v>265</v>
      </c>
      <c r="E1548" s="794" t="s">
        <v>640</v>
      </c>
      <c r="F1548" s="794" t="str">
        <f t="shared" si="147"/>
        <v>I</v>
      </c>
      <c r="G1548" s="615">
        <f>+IF(F1548="i",IFERROR(VLOOKUP(C1548,'BG 2023'!B:E,3,FALSE),0),0)</f>
        <v>69154292725</v>
      </c>
      <c r="H1548" s="616">
        <f>+IF(F1548="i",IFERROR(VLOOKUP(C1548,'BG 2023'!B:E,4,FALSE),0),0)</f>
        <v>9494494.870000001</v>
      </c>
      <c r="I1548" s="616"/>
      <c r="J1548" s="28">
        <f>IF(F1548="I",IFERROR(VLOOKUP(C1548,'BG 12.2023'!$B$6:$E$819,3,FALSE),0),0)</f>
        <v>69154292725</v>
      </c>
      <c r="K1548" s="28">
        <f>IF(F1548="I",IFERROR(VLOOKUP(C1548,'BG 12.2023'!$B$6:$E$819,4,FALSE),0),0)</f>
        <v>9494494.870000001</v>
      </c>
      <c r="M1548" s="15">
        <f>+VLOOKUP(C1548,'BG 2023'!$B:$E,1,0)</f>
        <v>6110110801</v>
      </c>
      <c r="N1548" s="806">
        <f>+VLOOKUP(C1548,'BG 2023'!$B:$E,3,0)</f>
        <v>69154292725</v>
      </c>
      <c r="O1548" s="807">
        <f t="shared" si="142"/>
        <v>0</v>
      </c>
      <c r="P1548" s="807"/>
      <c r="R1548" s="807"/>
    </row>
    <row r="1549" spans="1:18" s="87" customFormat="1">
      <c r="A1549" s="77" t="s">
        <v>1113</v>
      </c>
      <c r="B1549" s="77"/>
      <c r="C1549" s="793">
        <v>6110110802</v>
      </c>
      <c r="D1549" s="77" t="s">
        <v>1120</v>
      </c>
      <c r="E1549" s="794" t="s">
        <v>640</v>
      </c>
      <c r="F1549" s="794" t="str">
        <f t="shared" si="147"/>
        <v>I</v>
      </c>
      <c r="G1549" s="615">
        <f>+IF(F1549="i",IFERROR(VLOOKUP(C1549,'BG 2023'!B:E,3,FALSE),0),0)</f>
        <v>0</v>
      </c>
      <c r="H1549" s="616">
        <f>+IF(F1549="i",IFERROR(VLOOKUP(C1549,'BG 2023'!B:E,4,FALSE),0),0)</f>
        <v>0</v>
      </c>
      <c r="I1549" s="616"/>
      <c r="J1549" s="28">
        <f>IF(F1549="I",IFERROR(VLOOKUP(C1549,'BG 12.2023'!$B$6:$E$819,3,FALSE),0),0)</f>
        <v>0</v>
      </c>
      <c r="K1549" s="28">
        <f>IF(F1549="I",IFERROR(VLOOKUP(C1549,'BG 12.2023'!$B$6:$E$819,4,FALSE),0),0)</f>
        <v>0</v>
      </c>
      <c r="M1549" s="15" t="e">
        <f>+VLOOKUP(C1549,'BG 2023'!$B:$E,1,0)</f>
        <v>#N/A</v>
      </c>
      <c r="N1549" s="806" t="e">
        <f>+VLOOKUP(C1549,'BG 2023'!$B:$E,3,0)</f>
        <v>#N/A</v>
      </c>
      <c r="O1549" s="807" t="e">
        <f t="shared" si="142"/>
        <v>#N/A</v>
      </c>
      <c r="P1549" s="807"/>
      <c r="R1549" s="807"/>
    </row>
    <row r="1550" spans="1:18" s="87" customFormat="1">
      <c r="A1550" s="77" t="s">
        <v>1113</v>
      </c>
      <c r="B1550" s="77"/>
      <c r="C1550" s="793">
        <v>61101109</v>
      </c>
      <c r="D1550" s="77" t="s">
        <v>66</v>
      </c>
      <c r="E1550" s="794" t="s">
        <v>640</v>
      </c>
      <c r="F1550" s="794" t="str">
        <f t="shared" si="147"/>
        <v>NI</v>
      </c>
      <c r="G1550" s="615">
        <f>+IF(F1550="i",IFERROR(VLOOKUP(C1550,'BG 2023'!B:E,3,FALSE),0),0)</f>
        <v>0</v>
      </c>
      <c r="H1550" s="616">
        <f>+IF(F1550="i",IFERROR(VLOOKUP(C1550,'BG 2023'!B:E,4,FALSE),0),0)</f>
        <v>0</v>
      </c>
      <c r="I1550" s="616"/>
      <c r="J1550" s="28">
        <f>IF(F1550="I",IFERROR(VLOOKUP(C1550,'BG 12.2023'!$B$6:$E$819,3,FALSE),0),0)</f>
        <v>0</v>
      </c>
      <c r="K1550" s="28">
        <f>IF(F1550="I",IFERROR(VLOOKUP(C1550,'BG 12.2023'!$B$6:$E$819,4,FALSE),0),0)</f>
        <v>0</v>
      </c>
      <c r="M1550" s="15">
        <f>+VLOOKUP(C1550,'BG 2023'!$B:$E,1,0)</f>
        <v>61101109</v>
      </c>
      <c r="N1550" s="806">
        <f>+VLOOKUP(C1550,'BG 2023'!$B:$E,3,0)</f>
        <v>2429762500</v>
      </c>
      <c r="O1550" s="807">
        <f t="shared" si="142"/>
        <v>2429762500</v>
      </c>
      <c r="P1550" s="807"/>
      <c r="R1550" s="807"/>
    </row>
    <row r="1551" spans="1:18" s="87" customFormat="1">
      <c r="A1551" s="77" t="s">
        <v>1113</v>
      </c>
      <c r="B1551" s="77" t="s">
        <v>1114</v>
      </c>
      <c r="C1551" s="793">
        <v>6110110901</v>
      </c>
      <c r="D1551" s="77" t="s">
        <v>266</v>
      </c>
      <c r="E1551" s="794" t="s">
        <v>640</v>
      </c>
      <c r="F1551" s="794" t="str">
        <f t="shared" si="147"/>
        <v>I</v>
      </c>
      <c r="G1551" s="615">
        <f>+IF(F1551="i",IFERROR(VLOOKUP(C1551,'BG 2023'!B:E,3,FALSE),0),0)</f>
        <v>2429762500</v>
      </c>
      <c r="H1551" s="616">
        <f>+IF(F1551="i",IFERROR(VLOOKUP(C1551,'BG 2023'!B:E,4,FALSE),0),0)</f>
        <v>333592.70999999996</v>
      </c>
      <c r="I1551" s="616"/>
      <c r="J1551" s="28">
        <f>IF(F1551="I",IFERROR(VLOOKUP(C1551,'BG 12.2023'!$B$6:$E$819,3,FALSE),0),0)</f>
        <v>2429762500</v>
      </c>
      <c r="K1551" s="28">
        <f>IF(F1551="I",IFERROR(VLOOKUP(C1551,'BG 12.2023'!$B$6:$E$819,4,FALSE),0),0)</f>
        <v>333592.70999999996</v>
      </c>
      <c r="M1551" s="15">
        <f>+VLOOKUP(C1551,'BG 2023'!$B:$E,1,0)</f>
        <v>6110110901</v>
      </c>
      <c r="N1551" s="806">
        <f>+VLOOKUP(C1551,'BG 2023'!$B:$E,3,0)</f>
        <v>2429762500</v>
      </c>
      <c r="O1551" s="807">
        <f t="shared" si="142"/>
        <v>0</v>
      </c>
      <c r="P1551" s="807"/>
      <c r="R1551" s="807"/>
    </row>
    <row r="1552" spans="1:18" s="87" customFormat="1">
      <c r="A1552" s="77" t="s">
        <v>1113</v>
      </c>
      <c r="B1552" s="77"/>
      <c r="C1552" s="793">
        <v>6110110902</v>
      </c>
      <c r="D1552" s="77" t="s">
        <v>1121</v>
      </c>
      <c r="E1552" s="794" t="s">
        <v>640</v>
      </c>
      <c r="F1552" s="794" t="str">
        <f t="shared" si="147"/>
        <v>I</v>
      </c>
      <c r="G1552" s="615">
        <f>+IF(F1552="i",IFERROR(VLOOKUP(C1552,'BG 2023'!B:E,3,FALSE),0),0)</f>
        <v>0</v>
      </c>
      <c r="H1552" s="616">
        <f>+IF(F1552="i",IFERROR(VLOOKUP(C1552,'BG 2023'!B:E,4,FALSE),0),0)</f>
        <v>0</v>
      </c>
      <c r="I1552" s="616"/>
      <c r="J1552" s="28">
        <f>IF(F1552="I",IFERROR(VLOOKUP(C1552,'BG 12.2023'!$B$6:$E$819,3,FALSE),0),0)</f>
        <v>0</v>
      </c>
      <c r="K1552" s="28">
        <f>IF(F1552="I",IFERROR(VLOOKUP(C1552,'BG 12.2023'!$B$6:$E$819,4,FALSE),0),0)</f>
        <v>0</v>
      </c>
      <c r="M1552" s="15" t="e">
        <f>+VLOOKUP(C1552,'BG 2023'!$B:$E,1,0)</f>
        <v>#N/A</v>
      </c>
      <c r="N1552" s="806" t="e">
        <f>+VLOOKUP(C1552,'BG 2023'!$B:$E,3,0)</f>
        <v>#N/A</v>
      </c>
      <c r="O1552" s="807" t="e">
        <f t="shared" si="142"/>
        <v>#N/A</v>
      </c>
      <c r="P1552" s="807"/>
      <c r="R1552" s="807"/>
    </row>
    <row r="1553" spans="1:18" s="87" customFormat="1">
      <c r="A1553" s="77" t="s">
        <v>1113</v>
      </c>
      <c r="B1553" s="77"/>
      <c r="C1553" s="793">
        <v>61101110</v>
      </c>
      <c r="D1553" s="77" t="s">
        <v>690</v>
      </c>
      <c r="E1553" s="794" t="s">
        <v>640</v>
      </c>
      <c r="F1553" s="794" t="str">
        <f t="shared" si="147"/>
        <v>NI</v>
      </c>
      <c r="G1553" s="615">
        <f>+IF(F1553="i",IFERROR(VLOOKUP(C1553,'BG 2023'!B:E,3,FALSE),0),0)</f>
        <v>0</v>
      </c>
      <c r="H1553" s="616">
        <f>+IF(F1553="i",IFERROR(VLOOKUP(C1553,'BG 2023'!B:E,4,FALSE),0),0)</f>
        <v>0</v>
      </c>
      <c r="I1553" s="616"/>
      <c r="J1553" s="28">
        <f>IF(F1553="I",IFERROR(VLOOKUP(C1553,'BG 12.2023'!$B$6:$E$819,3,FALSE),0),0)</f>
        <v>0</v>
      </c>
      <c r="K1553" s="28">
        <f>IF(F1553="I",IFERROR(VLOOKUP(C1553,'BG 12.2023'!$B$6:$E$819,4,FALSE),0),0)</f>
        <v>0</v>
      </c>
      <c r="M1553" s="15" t="e">
        <f>+VLOOKUP(C1553,'BG 2023'!$B:$E,1,0)</f>
        <v>#N/A</v>
      </c>
      <c r="N1553" s="806" t="e">
        <f>+VLOOKUP(C1553,'BG 2023'!$B:$E,3,0)</f>
        <v>#N/A</v>
      </c>
      <c r="O1553" s="807" t="e">
        <f t="shared" ref="O1553:O1616" si="154">+N1553-G1553</f>
        <v>#N/A</v>
      </c>
      <c r="P1553" s="807"/>
      <c r="R1553" s="807"/>
    </row>
    <row r="1554" spans="1:18" s="87" customFormat="1">
      <c r="A1554" s="77" t="s">
        <v>1113</v>
      </c>
      <c r="B1554" s="77"/>
      <c r="C1554" s="793">
        <v>6110111001</v>
      </c>
      <c r="D1554" s="77" t="s">
        <v>1122</v>
      </c>
      <c r="E1554" s="794" t="s">
        <v>640</v>
      </c>
      <c r="F1554" s="794" t="str">
        <f t="shared" si="147"/>
        <v>I</v>
      </c>
      <c r="G1554" s="615">
        <f>+IF(F1554="i",IFERROR(VLOOKUP(C1554,'BG 2023'!B:E,3,FALSE),0),0)</f>
        <v>0</v>
      </c>
      <c r="H1554" s="616">
        <f>+IF(F1554="i",IFERROR(VLOOKUP(C1554,'BG 2023'!B:E,4,FALSE),0),0)</f>
        <v>0</v>
      </c>
      <c r="I1554" s="616"/>
      <c r="J1554" s="28">
        <f>IF(F1554="I",IFERROR(VLOOKUP(C1554,'BG 12.2023'!$B$6:$E$819,3,FALSE),0),0)</f>
        <v>0</v>
      </c>
      <c r="K1554" s="28">
        <f>IF(F1554="I",IFERROR(VLOOKUP(C1554,'BG 12.2023'!$B$6:$E$819,4,FALSE),0),0)</f>
        <v>0</v>
      </c>
      <c r="M1554" s="15" t="e">
        <f>+VLOOKUP(C1554,'BG 2023'!$B:$E,1,0)</f>
        <v>#N/A</v>
      </c>
      <c r="N1554" s="806" t="e">
        <f>+VLOOKUP(C1554,'BG 2023'!$B:$E,3,0)</f>
        <v>#N/A</v>
      </c>
      <c r="O1554" s="807" t="e">
        <f t="shared" si="154"/>
        <v>#N/A</v>
      </c>
      <c r="P1554" s="807"/>
      <c r="R1554" s="807"/>
    </row>
    <row r="1555" spans="1:18" s="87" customFormat="1">
      <c r="A1555" s="77" t="s">
        <v>1113</v>
      </c>
      <c r="B1555" s="77"/>
      <c r="C1555" s="793">
        <v>6110111002</v>
      </c>
      <c r="D1555" s="77" t="s">
        <v>1123</v>
      </c>
      <c r="E1555" s="794" t="s">
        <v>640</v>
      </c>
      <c r="F1555" s="794" t="str">
        <f t="shared" si="147"/>
        <v>I</v>
      </c>
      <c r="G1555" s="615">
        <f>+IF(F1555="i",IFERROR(VLOOKUP(C1555,'BG 2023'!B:E,3,FALSE),0),0)</f>
        <v>0</v>
      </c>
      <c r="H1555" s="616">
        <f>+IF(F1555="i",IFERROR(VLOOKUP(C1555,'BG 2023'!B:E,4,FALSE),0),0)</f>
        <v>0</v>
      </c>
      <c r="I1555" s="616"/>
      <c r="J1555" s="28">
        <f>IF(F1555="I",IFERROR(VLOOKUP(C1555,'BG 12.2023'!$B$6:$E$819,3,FALSE),0),0)</f>
        <v>0</v>
      </c>
      <c r="K1555" s="28">
        <f>IF(F1555="I",IFERROR(VLOOKUP(C1555,'BG 12.2023'!$B$6:$E$819,4,FALSE),0),0)</f>
        <v>0</v>
      </c>
      <c r="M1555" s="15" t="e">
        <f>+VLOOKUP(C1555,'BG 2023'!$B:$E,1,0)</f>
        <v>#N/A</v>
      </c>
      <c r="N1555" s="806" t="e">
        <f>+VLOOKUP(C1555,'BG 2023'!$B:$E,3,0)</f>
        <v>#N/A</v>
      </c>
      <c r="O1555" s="807" t="e">
        <f t="shared" si="154"/>
        <v>#N/A</v>
      </c>
      <c r="P1555" s="807"/>
      <c r="R1555" s="807"/>
    </row>
    <row r="1556" spans="1:18" s="87" customFormat="1">
      <c r="A1556" s="77" t="s">
        <v>1113</v>
      </c>
      <c r="B1556" s="77"/>
      <c r="C1556" s="793">
        <v>61101111</v>
      </c>
      <c r="D1556" s="77" t="s">
        <v>692</v>
      </c>
      <c r="E1556" s="794" t="s">
        <v>640</v>
      </c>
      <c r="F1556" s="794" t="str">
        <f t="shared" si="147"/>
        <v>NI</v>
      </c>
      <c r="G1556" s="615">
        <f>+IF(F1556="i",IFERROR(VLOOKUP(C1556,'BG 2023'!B:E,3,FALSE),0),0)</f>
        <v>0</v>
      </c>
      <c r="H1556" s="616">
        <f>+IF(F1556="i",IFERROR(VLOOKUP(C1556,'BG 2023'!B:E,4,FALSE),0),0)</f>
        <v>0</v>
      </c>
      <c r="I1556" s="616"/>
      <c r="J1556" s="28">
        <f>IF(F1556="I",IFERROR(VLOOKUP(C1556,'BG 12.2023'!$B$6:$E$819,3,FALSE),0),0)</f>
        <v>0</v>
      </c>
      <c r="K1556" s="28">
        <f>IF(F1556="I",IFERROR(VLOOKUP(C1556,'BG 12.2023'!$B$6:$E$819,4,FALSE),0),0)</f>
        <v>0</v>
      </c>
      <c r="M1556" s="15" t="e">
        <f>+VLOOKUP(C1556,'BG 2023'!$B:$E,1,0)</f>
        <v>#N/A</v>
      </c>
      <c r="N1556" s="806" t="e">
        <f>+VLOOKUP(C1556,'BG 2023'!$B:$E,3,0)</f>
        <v>#N/A</v>
      </c>
      <c r="O1556" s="807" t="e">
        <f t="shared" si="154"/>
        <v>#N/A</v>
      </c>
      <c r="P1556" s="807"/>
      <c r="R1556" s="807"/>
    </row>
    <row r="1557" spans="1:18" s="87" customFormat="1">
      <c r="A1557" s="77" t="s">
        <v>1113</v>
      </c>
      <c r="B1557" s="77"/>
      <c r="C1557" s="793">
        <v>6110111101</v>
      </c>
      <c r="D1557" s="77" t="s">
        <v>1124</v>
      </c>
      <c r="E1557" s="794" t="s">
        <v>640</v>
      </c>
      <c r="F1557" s="794" t="str">
        <f t="shared" si="147"/>
        <v>I</v>
      </c>
      <c r="G1557" s="615">
        <f>+IF(F1557="i",IFERROR(VLOOKUP(C1557,'BG 2023'!B:E,3,FALSE),0),0)</f>
        <v>0</v>
      </c>
      <c r="H1557" s="616">
        <f>+IF(F1557="i",IFERROR(VLOOKUP(C1557,'BG 2023'!B:E,4,FALSE),0),0)</f>
        <v>0</v>
      </c>
      <c r="I1557" s="616"/>
      <c r="J1557" s="28">
        <f>IF(F1557="I",IFERROR(VLOOKUP(C1557,'BG 12.2023'!$B$6:$E$819,3,FALSE),0),0)</f>
        <v>0</v>
      </c>
      <c r="K1557" s="28">
        <f>IF(F1557="I",IFERROR(VLOOKUP(C1557,'BG 12.2023'!$B$6:$E$819,4,FALSE),0),0)</f>
        <v>0</v>
      </c>
      <c r="M1557" s="15" t="e">
        <f>+VLOOKUP(C1557,'BG 2023'!$B:$E,1,0)</f>
        <v>#N/A</v>
      </c>
      <c r="N1557" s="806" t="e">
        <f>+VLOOKUP(C1557,'BG 2023'!$B:$E,3,0)</f>
        <v>#N/A</v>
      </c>
      <c r="O1557" s="807" t="e">
        <f t="shared" si="154"/>
        <v>#N/A</v>
      </c>
      <c r="P1557" s="807"/>
      <c r="R1557" s="807"/>
    </row>
    <row r="1558" spans="1:18" s="87" customFormat="1">
      <c r="A1558" s="77" t="s">
        <v>1113</v>
      </c>
      <c r="B1558" s="77"/>
      <c r="C1558" s="793">
        <v>6110111102</v>
      </c>
      <c r="D1558" s="77" t="s">
        <v>692</v>
      </c>
      <c r="E1558" s="794" t="s">
        <v>640</v>
      </c>
      <c r="F1558" s="794" t="str">
        <f t="shared" si="147"/>
        <v>I</v>
      </c>
      <c r="G1558" s="615">
        <f>+IF(F1558="i",IFERROR(VLOOKUP(C1558,'BG 2023'!B:E,3,FALSE),0),0)</f>
        <v>0</v>
      </c>
      <c r="H1558" s="616">
        <f>+IF(F1558="i",IFERROR(VLOOKUP(C1558,'BG 2023'!B:E,4,FALSE),0),0)</f>
        <v>0</v>
      </c>
      <c r="I1558" s="616"/>
      <c r="J1558" s="28">
        <f>IF(F1558="I",IFERROR(VLOOKUP(C1558,'BG 12.2023'!$B$6:$E$819,3,FALSE),0),0)</f>
        <v>0</v>
      </c>
      <c r="K1558" s="28">
        <f>IF(F1558="I",IFERROR(VLOOKUP(C1558,'BG 12.2023'!$B$6:$E$819,4,FALSE),0),0)</f>
        <v>0</v>
      </c>
      <c r="M1558" s="15" t="e">
        <f>+VLOOKUP(C1558,'BG 2023'!$B:$E,1,0)</f>
        <v>#N/A</v>
      </c>
      <c r="N1558" s="806" t="e">
        <f>+VLOOKUP(C1558,'BG 2023'!$B:$E,3,0)</f>
        <v>#N/A</v>
      </c>
      <c r="O1558" s="807" t="e">
        <f t="shared" si="154"/>
        <v>#N/A</v>
      </c>
      <c r="P1558" s="807"/>
      <c r="R1558" s="807"/>
    </row>
    <row r="1559" spans="1:18" s="87" customFormat="1">
      <c r="A1559" s="77" t="s">
        <v>1113</v>
      </c>
      <c r="B1559" s="77"/>
      <c r="C1559" s="793">
        <v>61101112</v>
      </c>
      <c r="D1559" s="77" t="s">
        <v>693</v>
      </c>
      <c r="E1559" s="794" t="s">
        <v>640</v>
      </c>
      <c r="F1559" s="794" t="str">
        <f t="shared" si="147"/>
        <v>NI</v>
      </c>
      <c r="G1559" s="615">
        <f>+IF(F1559="i",IFERROR(VLOOKUP(C1559,'BG 2023'!B:E,3,FALSE),0),0)</f>
        <v>0</v>
      </c>
      <c r="H1559" s="616">
        <f>+IF(F1559="i",IFERROR(VLOOKUP(C1559,'BG 2023'!B:E,4,FALSE),0),0)</f>
        <v>0</v>
      </c>
      <c r="I1559" s="616"/>
      <c r="J1559" s="28">
        <f>IF(F1559="I",IFERROR(VLOOKUP(C1559,'BG 12.2023'!$B$6:$E$819,3,FALSE),0),0)</f>
        <v>0</v>
      </c>
      <c r="K1559" s="28">
        <f>IF(F1559="I",IFERROR(VLOOKUP(C1559,'BG 12.2023'!$B$6:$E$819,4,FALSE),0),0)</f>
        <v>0</v>
      </c>
      <c r="M1559" s="15" t="e">
        <f>+VLOOKUP(C1559,'BG 2023'!$B:$E,1,0)</f>
        <v>#N/A</v>
      </c>
      <c r="N1559" s="806" t="e">
        <f>+VLOOKUP(C1559,'BG 2023'!$B:$E,3,0)</f>
        <v>#N/A</v>
      </c>
      <c r="O1559" s="807" t="e">
        <f t="shared" si="154"/>
        <v>#N/A</v>
      </c>
      <c r="P1559" s="807"/>
      <c r="R1559" s="807"/>
    </row>
    <row r="1560" spans="1:18" s="87" customFormat="1">
      <c r="A1560" s="77" t="s">
        <v>1113</v>
      </c>
      <c r="B1560" s="77"/>
      <c r="C1560" s="793">
        <v>6110111201</v>
      </c>
      <c r="D1560" s="77" t="s">
        <v>1125</v>
      </c>
      <c r="E1560" s="794" t="s">
        <v>640</v>
      </c>
      <c r="F1560" s="794" t="str">
        <f t="shared" si="147"/>
        <v>I</v>
      </c>
      <c r="G1560" s="615">
        <f>+IF(F1560="i",IFERROR(VLOOKUP(C1560,'BG 2023'!B:E,3,FALSE),0),0)</f>
        <v>0</v>
      </c>
      <c r="H1560" s="616">
        <f>+IF(F1560="i",IFERROR(VLOOKUP(C1560,'BG 2023'!B:E,4,FALSE),0),0)</f>
        <v>0</v>
      </c>
      <c r="I1560" s="616"/>
      <c r="J1560" s="28">
        <f>IF(F1560="I",IFERROR(VLOOKUP(C1560,'BG 12.2023'!$B$6:$E$819,3,FALSE),0),0)</f>
        <v>0</v>
      </c>
      <c r="K1560" s="28">
        <f>IF(F1560="I",IFERROR(VLOOKUP(C1560,'BG 12.2023'!$B$6:$E$819,4,FALSE),0),0)</f>
        <v>0</v>
      </c>
      <c r="M1560" s="15" t="e">
        <f>+VLOOKUP(C1560,'BG 2023'!$B:$E,1,0)</f>
        <v>#N/A</v>
      </c>
      <c r="N1560" s="806" t="e">
        <f>+VLOOKUP(C1560,'BG 2023'!$B:$E,3,0)</f>
        <v>#N/A</v>
      </c>
      <c r="O1560" s="807" t="e">
        <f t="shared" si="154"/>
        <v>#N/A</v>
      </c>
      <c r="P1560" s="807"/>
      <c r="R1560" s="807"/>
    </row>
    <row r="1561" spans="1:18" s="87" customFormat="1">
      <c r="A1561" s="77" t="s">
        <v>1113</v>
      </c>
      <c r="B1561" s="77"/>
      <c r="C1561" s="793">
        <v>6110111202</v>
      </c>
      <c r="D1561" s="77" t="s">
        <v>1126</v>
      </c>
      <c r="E1561" s="794" t="s">
        <v>640</v>
      </c>
      <c r="F1561" s="794" t="str">
        <f t="shared" si="147"/>
        <v>I</v>
      </c>
      <c r="G1561" s="615">
        <f>+IF(F1561="i",IFERROR(VLOOKUP(C1561,'BG 2023'!B:E,3,FALSE),0),0)</f>
        <v>0</v>
      </c>
      <c r="H1561" s="616">
        <f>+IF(F1561="i",IFERROR(VLOOKUP(C1561,'BG 2023'!B:E,4,FALSE),0),0)</f>
        <v>0</v>
      </c>
      <c r="I1561" s="616"/>
      <c r="J1561" s="28">
        <f>IF(F1561="I",IFERROR(VLOOKUP(C1561,'BG 12.2023'!$B$6:$E$819,3,FALSE),0),0)</f>
        <v>0</v>
      </c>
      <c r="K1561" s="28">
        <f>IF(F1561="I",IFERROR(VLOOKUP(C1561,'BG 12.2023'!$B$6:$E$819,4,FALSE),0),0)</f>
        <v>0</v>
      </c>
      <c r="M1561" s="15" t="e">
        <f>+VLOOKUP(C1561,'BG 2023'!$B:$E,1,0)</f>
        <v>#N/A</v>
      </c>
      <c r="N1561" s="806" t="e">
        <f>+VLOOKUP(C1561,'BG 2023'!$B:$E,3,0)</f>
        <v>#N/A</v>
      </c>
      <c r="O1561" s="807" t="e">
        <f t="shared" si="154"/>
        <v>#N/A</v>
      </c>
      <c r="P1561" s="807"/>
      <c r="R1561" s="807"/>
    </row>
    <row r="1562" spans="1:18" s="87" customFormat="1">
      <c r="A1562" s="77" t="s">
        <v>1113</v>
      </c>
      <c r="B1562" s="77"/>
      <c r="C1562" s="793">
        <v>61101113</v>
      </c>
      <c r="D1562" s="77" t="s">
        <v>267</v>
      </c>
      <c r="E1562" s="794" t="s">
        <v>640</v>
      </c>
      <c r="F1562" s="794" t="str">
        <f t="shared" si="147"/>
        <v>NI</v>
      </c>
      <c r="G1562" s="615">
        <f>+IF(F1562="i",IFERROR(VLOOKUP(C1562,'BG 2023'!B:E,3,FALSE),0),0)</f>
        <v>0</v>
      </c>
      <c r="H1562" s="616">
        <f>+IF(F1562="i",IFERROR(VLOOKUP(C1562,'BG 2023'!B:E,4,FALSE),0),0)</f>
        <v>0</v>
      </c>
      <c r="I1562" s="616"/>
      <c r="J1562" s="28">
        <f>IF(F1562="I",IFERROR(VLOOKUP(C1562,'BG 12.2023'!$B$6:$E$819,3,FALSE),0),0)</f>
        <v>0</v>
      </c>
      <c r="K1562" s="28">
        <f>IF(F1562="I",IFERROR(VLOOKUP(C1562,'BG 12.2023'!$B$6:$E$819,4,FALSE),0),0)</f>
        <v>0</v>
      </c>
      <c r="M1562" s="15">
        <f>+VLOOKUP(C1562,'BG 2023'!$B:$E,1,0)</f>
        <v>61101113</v>
      </c>
      <c r="N1562" s="806">
        <f>+VLOOKUP(C1562,'BG 2023'!$B:$E,3,0)</f>
        <v>767167686046</v>
      </c>
      <c r="O1562" s="807">
        <f t="shared" si="154"/>
        <v>767167686046</v>
      </c>
      <c r="P1562" s="807"/>
      <c r="R1562" s="807"/>
    </row>
    <row r="1563" spans="1:18" s="87" customFormat="1">
      <c r="A1563" s="77" t="s">
        <v>1113</v>
      </c>
      <c r="B1563" s="77" t="s">
        <v>1114</v>
      </c>
      <c r="C1563" s="793">
        <v>6110111301</v>
      </c>
      <c r="D1563" s="77" t="s">
        <v>268</v>
      </c>
      <c r="E1563" s="794" t="s">
        <v>640</v>
      </c>
      <c r="F1563" s="794" t="str">
        <f t="shared" si="147"/>
        <v>I</v>
      </c>
      <c r="G1563" s="615">
        <f>+IF(F1563="i",IFERROR(VLOOKUP(C1563,'BG 2023'!B:E,3,FALSE),0),0)</f>
        <v>767167686046</v>
      </c>
      <c r="H1563" s="616">
        <f>+IF(F1563="i",IFERROR(VLOOKUP(C1563,'BG 2023'!B:E,4,FALSE),0),0)</f>
        <v>105327802.11999999</v>
      </c>
      <c r="I1563" s="616"/>
      <c r="J1563" s="28">
        <f>IF(F1563="I",IFERROR(VLOOKUP(C1563,'BG 12.2023'!$B$6:$E$819,3,FALSE),0),0)</f>
        <v>767167686046</v>
      </c>
      <c r="K1563" s="28">
        <f>IF(F1563="I",IFERROR(VLOOKUP(C1563,'BG 12.2023'!$B$6:$E$819,4,FALSE),0),0)</f>
        <v>105327802.11999999</v>
      </c>
      <c r="M1563" s="15">
        <f>+VLOOKUP(C1563,'BG 2023'!$B:$E,1,0)</f>
        <v>6110111301</v>
      </c>
      <c r="N1563" s="806">
        <f>+VLOOKUP(C1563,'BG 2023'!$B:$E,3,0)</f>
        <v>767167686046</v>
      </c>
      <c r="O1563" s="807">
        <f t="shared" si="154"/>
        <v>0</v>
      </c>
      <c r="P1563" s="807"/>
      <c r="R1563" s="807"/>
    </row>
    <row r="1564" spans="1:18" s="87" customFormat="1">
      <c r="A1564" s="77" t="s">
        <v>1113</v>
      </c>
      <c r="B1564" s="77"/>
      <c r="C1564" s="793">
        <v>6110111302</v>
      </c>
      <c r="D1564" s="77" t="s">
        <v>1127</v>
      </c>
      <c r="E1564" s="794" t="s">
        <v>640</v>
      </c>
      <c r="F1564" s="794" t="str">
        <f t="shared" si="147"/>
        <v>I</v>
      </c>
      <c r="G1564" s="615">
        <f>+IF(F1564="i",IFERROR(VLOOKUP(C1564,'BG 2023'!B:E,3,FALSE),0),0)</f>
        <v>0</v>
      </c>
      <c r="H1564" s="616">
        <f>+IF(F1564="i",IFERROR(VLOOKUP(C1564,'BG 2023'!B:E,4,FALSE),0),0)</f>
        <v>0</v>
      </c>
      <c r="I1564" s="616"/>
      <c r="J1564" s="28">
        <f>IF(F1564="I",IFERROR(VLOOKUP(C1564,'BG 12.2023'!$B$6:$E$819,3,FALSE),0),0)</f>
        <v>0</v>
      </c>
      <c r="K1564" s="28">
        <f>IF(F1564="I",IFERROR(VLOOKUP(C1564,'BG 12.2023'!$B$6:$E$819,4,FALSE),0),0)</f>
        <v>0</v>
      </c>
      <c r="M1564" s="15" t="e">
        <f>+VLOOKUP(C1564,'BG 2023'!$B:$E,1,0)</f>
        <v>#N/A</v>
      </c>
      <c r="N1564" s="806" t="e">
        <f>+VLOOKUP(C1564,'BG 2023'!$B:$E,3,0)</f>
        <v>#N/A</v>
      </c>
      <c r="O1564" s="807" t="e">
        <f t="shared" si="154"/>
        <v>#N/A</v>
      </c>
      <c r="P1564" s="807"/>
      <c r="R1564" s="807"/>
    </row>
    <row r="1565" spans="1:18" s="87" customFormat="1">
      <c r="A1565" s="77" t="s">
        <v>1113</v>
      </c>
      <c r="B1565" s="77"/>
      <c r="C1565" s="793">
        <v>61101114</v>
      </c>
      <c r="D1565" s="77" t="s">
        <v>269</v>
      </c>
      <c r="E1565" s="794" t="s">
        <v>640</v>
      </c>
      <c r="F1565" s="794" t="str">
        <f t="shared" si="147"/>
        <v>NI</v>
      </c>
      <c r="G1565" s="615">
        <f>+IF(F1565="i",IFERROR(VLOOKUP(C1565,'BG 2023'!B:E,3,FALSE),0),0)</f>
        <v>0</v>
      </c>
      <c r="H1565" s="616">
        <f>+IF(F1565="i",IFERROR(VLOOKUP(C1565,'BG 2023'!B:E,4,FALSE),0),0)</f>
        <v>0</v>
      </c>
      <c r="I1565" s="616"/>
      <c r="J1565" s="28">
        <f>IF(F1565="I",IFERROR(VLOOKUP(C1565,'BG 12.2023'!$B$6:$E$819,3,FALSE),0),0)</f>
        <v>0</v>
      </c>
      <c r="K1565" s="28">
        <f>IF(F1565="I",IFERROR(VLOOKUP(C1565,'BG 12.2023'!$B$6:$E$819,4,FALSE),0),0)</f>
        <v>0</v>
      </c>
      <c r="M1565" s="15">
        <f>+VLOOKUP(C1565,'BG 2023'!$B:$E,1,0)</f>
        <v>61101114</v>
      </c>
      <c r="N1565" s="806">
        <f>+VLOOKUP(C1565,'BG 2023'!$B:$E,3,0)</f>
        <v>138433955852</v>
      </c>
      <c r="O1565" s="807">
        <f t="shared" si="154"/>
        <v>138433955852</v>
      </c>
      <c r="P1565" s="807"/>
      <c r="R1565" s="807"/>
    </row>
    <row r="1566" spans="1:18" s="87" customFormat="1">
      <c r="A1566" s="77" t="s">
        <v>1113</v>
      </c>
      <c r="B1566" s="77" t="s">
        <v>1114</v>
      </c>
      <c r="C1566" s="793">
        <v>6110111401</v>
      </c>
      <c r="D1566" s="77" t="s">
        <v>270</v>
      </c>
      <c r="E1566" s="794" t="s">
        <v>640</v>
      </c>
      <c r="F1566" s="794" t="str">
        <f t="shared" si="147"/>
        <v>I</v>
      </c>
      <c r="G1566" s="615">
        <f>+IF(F1566="i",IFERROR(VLOOKUP(C1566,'BG 2023'!B:E,3,FALSE),0),0)</f>
        <v>138433955852</v>
      </c>
      <c r="H1566" s="616">
        <f>+IF(F1566="i",IFERROR(VLOOKUP(C1566,'BG 2023'!B:E,4,FALSE),0),0)</f>
        <v>19006202.390000001</v>
      </c>
      <c r="I1566" s="616"/>
      <c r="J1566" s="28">
        <f>IF(F1566="I",IFERROR(VLOOKUP(C1566,'BG 12.2023'!$B$6:$E$819,3,FALSE),0),0)</f>
        <v>138433955852</v>
      </c>
      <c r="K1566" s="28">
        <f>IF(F1566="I",IFERROR(VLOOKUP(C1566,'BG 12.2023'!$B$6:$E$819,4,FALSE),0),0)</f>
        <v>19006202.390000001</v>
      </c>
      <c r="M1566" s="15">
        <f>+VLOOKUP(C1566,'BG 2023'!$B:$E,1,0)</f>
        <v>6110111401</v>
      </c>
      <c r="N1566" s="806">
        <f>+VLOOKUP(C1566,'BG 2023'!$B:$E,3,0)</f>
        <v>138433955852</v>
      </c>
      <c r="O1566" s="807">
        <f t="shared" si="154"/>
        <v>0</v>
      </c>
      <c r="P1566" s="807"/>
      <c r="R1566" s="807"/>
    </row>
    <row r="1567" spans="1:18" s="87" customFormat="1">
      <c r="A1567" s="77" t="s">
        <v>1113</v>
      </c>
      <c r="B1567" s="77"/>
      <c r="C1567" s="793">
        <v>6110111402</v>
      </c>
      <c r="D1567" s="77" t="s">
        <v>1128</v>
      </c>
      <c r="E1567" s="794" t="s">
        <v>640</v>
      </c>
      <c r="F1567" s="794" t="str">
        <f t="shared" si="147"/>
        <v>I</v>
      </c>
      <c r="G1567" s="615">
        <f>+IF(F1567="i",IFERROR(VLOOKUP(C1567,'BG 2023'!B:E,3,FALSE),0),0)</f>
        <v>0</v>
      </c>
      <c r="H1567" s="616">
        <f>+IF(F1567="i",IFERROR(VLOOKUP(C1567,'BG 2023'!B:E,4,FALSE),0),0)</f>
        <v>0</v>
      </c>
      <c r="I1567" s="616"/>
      <c r="J1567" s="28">
        <f>IF(F1567="I",IFERROR(VLOOKUP(C1567,'BG 12.2023'!$B$6:$E$819,3,FALSE),0),0)</f>
        <v>0</v>
      </c>
      <c r="K1567" s="28">
        <f>IF(F1567="I",IFERROR(VLOOKUP(C1567,'BG 12.2023'!$B$6:$E$819,4,FALSE),0),0)</f>
        <v>0</v>
      </c>
      <c r="M1567" s="15" t="e">
        <f>+VLOOKUP(C1567,'BG 2023'!$B:$E,1,0)</f>
        <v>#N/A</v>
      </c>
      <c r="N1567" s="806" t="e">
        <f>+VLOOKUP(C1567,'BG 2023'!$B:$E,3,0)</f>
        <v>#N/A</v>
      </c>
      <c r="O1567" s="807" t="e">
        <f t="shared" si="154"/>
        <v>#N/A</v>
      </c>
      <c r="P1567" s="807"/>
      <c r="R1567" s="807"/>
    </row>
    <row r="1568" spans="1:18" s="87" customFormat="1">
      <c r="A1568" s="77" t="s">
        <v>1113</v>
      </c>
      <c r="B1568" s="77"/>
      <c r="C1568" s="793">
        <v>61101115</v>
      </c>
      <c r="D1568" s="77" t="s">
        <v>978</v>
      </c>
      <c r="E1568" s="794" t="s">
        <v>640</v>
      </c>
      <c r="F1568" s="794" t="str">
        <f t="shared" ref="F1568:F1618" si="155">+IF(LEN(C1568)&gt;8,"I","NI")</f>
        <v>NI</v>
      </c>
      <c r="G1568" s="615">
        <f>+IF(F1568="i",IFERROR(VLOOKUP(C1568,'BG 2023'!B:E,3,FALSE),0),0)</f>
        <v>0</v>
      </c>
      <c r="H1568" s="616">
        <f>+IF(F1568="i",IFERROR(VLOOKUP(C1568,'BG 2023'!B:E,4,FALSE),0),0)</f>
        <v>0</v>
      </c>
      <c r="I1568" s="616"/>
      <c r="J1568" s="28">
        <f>IF(F1568="I",IFERROR(VLOOKUP(C1568,'BG 12.2023'!$B$6:$E$819,3,FALSE),0),0)</f>
        <v>0</v>
      </c>
      <c r="K1568" s="28">
        <f>IF(F1568="I",IFERROR(VLOOKUP(C1568,'BG 12.2023'!$B$6:$E$819,4,FALSE),0),0)</f>
        <v>0</v>
      </c>
      <c r="M1568" s="15" t="e">
        <f>+VLOOKUP(C1568,'BG 2023'!$B:$E,1,0)</f>
        <v>#N/A</v>
      </c>
      <c r="N1568" s="806" t="e">
        <f>+VLOOKUP(C1568,'BG 2023'!$B:$E,3,0)</f>
        <v>#N/A</v>
      </c>
      <c r="O1568" s="807" t="e">
        <f t="shared" si="154"/>
        <v>#N/A</v>
      </c>
      <c r="P1568" s="807"/>
      <c r="R1568" s="807"/>
    </row>
    <row r="1569" spans="1:18" s="87" customFormat="1">
      <c r="A1569" s="77" t="s">
        <v>1113</v>
      </c>
      <c r="B1569" s="77"/>
      <c r="C1569" s="793">
        <v>6110111501</v>
      </c>
      <c r="D1569" s="77" t="s">
        <v>1129</v>
      </c>
      <c r="E1569" s="794" t="s">
        <v>640</v>
      </c>
      <c r="F1569" s="794" t="str">
        <f t="shared" si="155"/>
        <v>I</v>
      </c>
      <c r="G1569" s="615">
        <f>+IF(F1569="i",IFERROR(VLOOKUP(C1569,'BG 2023'!B:E,3,FALSE),0),0)</f>
        <v>0</v>
      </c>
      <c r="H1569" s="616">
        <f>+IF(F1569="i",IFERROR(VLOOKUP(C1569,'BG 2023'!B:E,4,FALSE),0),0)</f>
        <v>0</v>
      </c>
      <c r="I1569" s="616"/>
      <c r="J1569" s="28">
        <f>IF(F1569="I",IFERROR(VLOOKUP(C1569,'BG 12.2023'!$B$6:$E$819,3,FALSE),0),0)</f>
        <v>0</v>
      </c>
      <c r="K1569" s="28">
        <f>IF(F1569="I",IFERROR(VLOOKUP(C1569,'BG 12.2023'!$B$6:$E$819,4,FALSE),0),0)</f>
        <v>0</v>
      </c>
      <c r="M1569" s="15" t="e">
        <f>+VLOOKUP(C1569,'BG 2023'!$B:$E,1,0)</f>
        <v>#N/A</v>
      </c>
      <c r="N1569" s="806" t="e">
        <f>+VLOOKUP(C1569,'BG 2023'!$B:$E,3,0)</f>
        <v>#N/A</v>
      </c>
      <c r="O1569" s="807" t="e">
        <f t="shared" si="154"/>
        <v>#N/A</v>
      </c>
      <c r="P1569" s="807"/>
      <c r="R1569" s="807"/>
    </row>
    <row r="1570" spans="1:18" s="87" customFormat="1">
      <c r="A1570" s="77" t="s">
        <v>1113</v>
      </c>
      <c r="B1570" s="77"/>
      <c r="C1570" s="793">
        <v>6110111502</v>
      </c>
      <c r="D1570" s="77" t="s">
        <v>1130</v>
      </c>
      <c r="E1570" s="794" t="s">
        <v>640</v>
      </c>
      <c r="F1570" s="794" t="str">
        <f t="shared" si="155"/>
        <v>I</v>
      </c>
      <c r="G1570" s="615">
        <f>+IF(F1570="i",IFERROR(VLOOKUP(C1570,'BG 2023'!B:E,3,FALSE),0),0)</f>
        <v>0</v>
      </c>
      <c r="H1570" s="616">
        <f>+IF(F1570="i",IFERROR(VLOOKUP(C1570,'BG 2023'!B:E,4,FALSE),0),0)</f>
        <v>0</v>
      </c>
      <c r="I1570" s="616"/>
      <c r="J1570" s="28">
        <f>IF(F1570="I",IFERROR(VLOOKUP(C1570,'BG 12.2023'!$B$6:$E$819,3,FALSE),0),0)</f>
        <v>0</v>
      </c>
      <c r="K1570" s="28">
        <f>IF(F1570="I",IFERROR(VLOOKUP(C1570,'BG 12.2023'!$B$6:$E$819,4,FALSE),0),0)</f>
        <v>0</v>
      </c>
      <c r="M1570" s="15" t="e">
        <f>+VLOOKUP(C1570,'BG 2023'!$B:$E,1,0)</f>
        <v>#N/A</v>
      </c>
      <c r="N1570" s="806" t="e">
        <f>+VLOOKUP(C1570,'BG 2023'!$B:$E,3,0)</f>
        <v>#N/A</v>
      </c>
      <c r="O1570" s="807" t="e">
        <f t="shared" si="154"/>
        <v>#N/A</v>
      </c>
      <c r="P1570" s="807"/>
      <c r="R1570" s="807"/>
    </row>
    <row r="1571" spans="1:18" s="87" customFormat="1">
      <c r="A1571" s="77" t="s">
        <v>1113</v>
      </c>
      <c r="B1571" s="77"/>
      <c r="C1571" s="793">
        <v>61101116</v>
      </c>
      <c r="D1571" s="77" t="s">
        <v>979</v>
      </c>
      <c r="E1571" s="794" t="s">
        <v>640</v>
      </c>
      <c r="F1571" s="794" t="str">
        <f t="shared" si="155"/>
        <v>NI</v>
      </c>
      <c r="G1571" s="615">
        <f>+IF(F1571="i",IFERROR(VLOOKUP(C1571,'BG 2023'!B:E,3,FALSE),0),0)</f>
        <v>0</v>
      </c>
      <c r="H1571" s="616">
        <f>+IF(F1571="i",IFERROR(VLOOKUP(C1571,'BG 2023'!B:E,4,FALSE),0),0)</f>
        <v>0</v>
      </c>
      <c r="I1571" s="616"/>
      <c r="J1571" s="28">
        <f>IF(F1571="I",IFERROR(VLOOKUP(C1571,'BG 12.2023'!$B$6:$E$819,3,FALSE),0),0)</f>
        <v>0</v>
      </c>
      <c r="K1571" s="28">
        <f>IF(F1571="I",IFERROR(VLOOKUP(C1571,'BG 12.2023'!$B$6:$E$819,4,FALSE),0),0)</f>
        <v>0</v>
      </c>
      <c r="M1571" s="15" t="e">
        <f>+VLOOKUP(C1571,'BG 2023'!$B:$E,1,0)</f>
        <v>#N/A</v>
      </c>
      <c r="N1571" s="806" t="e">
        <f>+VLOOKUP(C1571,'BG 2023'!$B:$E,3,0)</f>
        <v>#N/A</v>
      </c>
      <c r="O1571" s="807" t="e">
        <f t="shared" si="154"/>
        <v>#N/A</v>
      </c>
      <c r="P1571" s="807"/>
      <c r="R1571" s="807"/>
    </row>
    <row r="1572" spans="1:18" s="87" customFormat="1">
      <c r="A1572" s="77" t="s">
        <v>1113</v>
      </c>
      <c r="B1572" s="77"/>
      <c r="C1572" s="793">
        <v>6110111601</v>
      </c>
      <c r="D1572" s="77" t="s">
        <v>1131</v>
      </c>
      <c r="E1572" s="794" t="s">
        <v>640</v>
      </c>
      <c r="F1572" s="794" t="str">
        <f t="shared" si="155"/>
        <v>I</v>
      </c>
      <c r="G1572" s="615">
        <f>+IF(F1572="i",IFERROR(VLOOKUP(C1572,'BG 2023'!B:E,3,FALSE),0),0)</f>
        <v>0</v>
      </c>
      <c r="H1572" s="616">
        <f>+IF(F1572="i",IFERROR(VLOOKUP(C1572,'BG 2023'!B:E,4,FALSE),0),0)</f>
        <v>0</v>
      </c>
      <c r="I1572" s="616"/>
      <c r="J1572" s="28">
        <f>IF(F1572="I",IFERROR(VLOOKUP(C1572,'BG 12.2023'!$B$6:$E$819,3,FALSE),0),0)</f>
        <v>0</v>
      </c>
      <c r="K1572" s="28">
        <f>IF(F1572="I",IFERROR(VLOOKUP(C1572,'BG 12.2023'!$B$6:$E$819,4,FALSE),0),0)</f>
        <v>0</v>
      </c>
      <c r="M1572" s="15" t="e">
        <f>+VLOOKUP(C1572,'BG 2023'!$B:$E,1,0)</f>
        <v>#N/A</v>
      </c>
      <c r="N1572" s="806" t="e">
        <f>+VLOOKUP(C1572,'BG 2023'!$B:$E,3,0)</f>
        <v>#N/A</v>
      </c>
      <c r="O1572" s="807" t="e">
        <f t="shared" si="154"/>
        <v>#N/A</v>
      </c>
      <c r="P1572" s="807"/>
      <c r="R1572" s="807"/>
    </row>
    <row r="1573" spans="1:18" s="87" customFormat="1">
      <c r="A1573" s="77" t="s">
        <v>1113</v>
      </c>
      <c r="B1573" s="77"/>
      <c r="C1573" s="793">
        <v>6110111602</v>
      </c>
      <c r="D1573" s="77" t="s">
        <v>1132</v>
      </c>
      <c r="E1573" s="794" t="s">
        <v>640</v>
      </c>
      <c r="F1573" s="794" t="str">
        <f t="shared" si="155"/>
        <v>I</v>
      </c>
      <c r="G1573" s="615">
        <f>+IF(F1573="i",IFERROR(VLOOKUP(C1573,'BG 2023'!B:E,3,FALSE),0),0)</f>
        <v>0</v>
      </c>
      <c r="H1573" s="616">
        <f>+IF(F1573="i",IFERROR(VLOOKUP(C1573,'BG 2023'!B:E,4,FALSE),0),0)</f>
        <v>0</v>
      </c>
      <c r="I1573" s="616"/>
      <c r="J1573" s="28">
        <f>IF(F1573="I",IFERROR(VLOOKUP(C1573,'BG 12.2023'!$B$6:$E$819,3,FALSE),0),0)</f>
        <v>0</v>
      </c>
      <c r="K1573" s="28">
        <f>IF(F1573="I",IFERROR(VLOOKUP(C1573,'BG 12.2023'!$B$6:$E$819,4,FALSE),0),0)</f>
        <v>0</v>
      </c>
      <c r="M1573" s="15" t="e">
        <f>+VLOOKUP(C1573,'BG 2023'!$B:$E,1,0)</f>
        <v>#N/A</v>
      </c>
      <c r="N1573" s="806" t="e">
        <f>+VLOOKUP(C1573,'BG 2023'!$B:$E,3,0)</f>
        <v>#N/A</v>
      </c>
      <c r="O1573" s="807" t="e">
        <f t="shared" si="154"/>
        <v>#N/A</v>
      </c>
      <c r="P1573" s="807"/>
      <c r="R1573" s="807"/>
    </row>
    <row r="1574" spans="1:18" s="87" customFormat="1">
      <c r="A1574" s="77" t="s">
        <v>1113</v>
      </c>
      <c r="B1574" s="77"/>
      <c r="C1574" s="793">
        <v>61101117</v>
      </c>
      <c r="D1574" s="77" t="s">
        <v>271</v>
      </c>
      <c r="E1574" s="794" t="s">
        <v>640</v>
      </c>
      <c r="F1574" s="794" t="str">
        <f t="shared" si="155"/>
        <v>NI</v>
      </c>
      <c r="G1574" s="615">
        <f>+IF(F1574="i",IFERROR(VLOOKUP(C1574,'BG 2023'!B:E,3,FALSE),0),0)</f>
        <v>0</v>
      </c>
      <c r="H1574" s="616">
        <f>+IF(F1574="i",IFERROR(VLOOKUP(C1574,'BG 2023'!B:E,4,FALSE),0),0)</f>
        <v>0</v>
      </c>
      <c r="I1574" s="616"/>
      <c r="J1574" s="28">
        <f>IF(F1574="I",IFERROR(VLOOKUP(C1574,'BG 12.2023'!$B$6:$E$819,3,FALSE),0),0)</f>
        <v>0</v>
      </c>
      <c r="K1574" s="28">
        <f>IF(F1574="I",IFERROR(VLOOKUP(C1574,'BG 12.2023'!$B$6:$E$819,4,FALSE),0),0)</f>
        <v>0</v>
      </c>
      <c r="M1574" s="15">
        <f>+VLOOKUP(C1574,'BG 2023'!$B:$E,1,0)</f>
        <v>61101117</v>
      </c>
      <c r="N1574" s="806">
        <f>+VLOOKUP(C1574,'BG 2023'!$B:$E,3,0)</f>
        <v>1246735668</v>
      </c>
      <c r="O1574" s="807">
        <f t="shared" si="154"/>
        <v>1246735668</v>
      </c>
      <c r="P1574" s="807"/>
      <c r="R1574" s="807"/>
    </row>
    <row r="1575" spans="1:18" s="87" customFormat="1">
      <c r="A1575" s="77" t="s">
        <v>1113</v>
      </c>
      <c r="B1575" s="77" t="s">
        <v>1114</v>
      </c>
      <c r="C1575" s="793">
        <v>6110111701</v>
      </c>
      <c r="D1575" s="77" t="s">
        <v>272</v>
      </c>
      <c r="E1575" s="794" t="s">
        <v>640</v>
      </c>
      <c r="F1575" s="794" t="str">
        <f t="shared" si="155"/>
        <v>I</v>
      </c>
      <c r="G1575" s="615">
        <f>+IF(F1575="i",IFERROR(VLOOKUP(C1575,'BG 2023'!B:E,3,FALSE),0),0)</f>
        <v>950000000</v>
      </c>
      <c r="H1575" s="616">
        <f>+IF(F1575="i",IFERROR(VLOOKUP(C1575,'BG 2023'!B:E,4,FALSE),0),0)</f>
        <v>130429.65000000001</v>
      </c>
      <c r="I1575" s="616"/>
      <c r="J1575" s="28">
        <f>IF(F1575="I",IFERROR(VLOOKUP(C1575,'BG 12.2023'!$B$6:$E$819,3,FALSE),0),0)</f>
        <v>950000000</v>
      </c>
      <c r="K1575" s="28">
        <f>IF(F1575="I",IFERROR(VLOOKUP(C1575,'BG 12.2023'!$B$6:$E$819,4,FALSE),0),0)</f>
        <v>130429.65000000001</v>
      </c>
      <c r="M1575" s="15">
        <f>+VLOOKUP(C1575,'BG 2023'!$B:$E,1,0)</f>
        <v>6110111701</v>
      </c>
      <c r="N1575" s="806">
        <f>+VLOOKUP(C1575,'BG 2023'!$B:$E,3,0)</f>
        <v>950000000</v>
      </c>
      <c r="O1575" s="807">
        <f t="shared" si="154"/>
        <v>0</v>
      </c>
      <c r="P1575" s="807"/>
      <c r="R1575" s="807"/>
    </row>
    <row r="1576" spans="1:18" s="87" customFormat="1">
      <c r="A1576" s="77" t="s">
        <v>1113</v>
      </c>
      <c r="B1576" s="77" t="s">
        <v>1114</v>
      </c>
      <c r="C1576" s="793">
        <v>6110111702</v>
      </c>
      <c r="D1576" s="77" t="s">
        <v>273</v>
      </c>
      <c r="E1576" s="794" t="s">
        <v>640</v>
      </c>
      <c r="F1576" s="794" t="str">
        <f t="shared" si="155"/>
        <v>I</v>
      </c>
      <c r="G1576" s="615">
        <f>+IF(F1576="i",IFERROR(VLOOKUP(C1576,'BG 2023'!B:E,3,FALSE),0),0)</f>
        <v>296735668</v>
      </c>
      <c r="H1576" s="616">
        <f>+IF(F1576="i",IFERROR(VLOOKUP(C1576,'BG 2023'!B:E,4,FALSE),0),0)</f>
        <v>40740.14</v>
      </c>
      <c r="I1576" s="616"/>
      <c r="J1576" s="28">
        <f>IF(F1576="I",IFERROR(VLOOKUP(C1576,'BG 12.2023'!$B$6:$E$819,3,FALSE),0),0)</f>
        <v>296735668</v>
      </c>
      <c r="K1576" s="28">
        <f>IF(F1576="I",IFERROR(VLOOKUP(C1576,'BG 12.2023'!$B$6:$E$819,4,FALSE),0),0)</f>
        <v>40740.14</v>
      </c>
      <c r="M1576" s="15">
        <f>+VLOOKUP(C1576,'BG 2023'!$B:$E,1,0)</f>
        <v>6110111702</v>
      </c>
      <c r="N1576" s="806">
        <f>+VLOOKUP(C1576,'BG 2023'!$B:$E,3,0)</f>
        <v>296735668</v>
      </c>
      <c r="O1576" s="807">
        <f t="shared" si="154"/>
        <v>0</v>
      </c>
      <c r="P1576" s="807"/>
      <c r="R1576" s="807"/>
    </row>
    <row r="1577" spans="1:18" s="87" customFormat="1">
      <c r="A1577" s="77" t="s">
        <v>1113</v>
      </c>
      <c r="B1577" s="77"/>
      <c r="C1577" s="793">
        <v>61101118</v>
      </c>
      <c r="D1577" s="77" t="s">
        <v>274</v>
      </c>
      <c r="E1577" s="794" t="s">
        <v>640</v>
      </c>
      <c r="F1577" s="794" t="str">
        <f t="shared" si="155"/>
        <v>NI</v>
      </c>
      <c r="G1577" s="615">
        <f>+IF(F1577="i",IFERROR(VLOOKUP(C1577,'BG 2023'!B:E,3,FALSE),0),0)</f>
        <v>0</v>
      </c>
      <c r="H1577" s="616">
        <f>+IF(F1577="i",IFERROR(VLOOKUP(C1577,'BG 2023'!B:E,4,FALSE),0),0)</f>
        <v>0</v>
      </c>
      <c r="I1577" s="616"/>
      <c r="J1577" s="28">
        <f>IF(F1577="I",IFERROR(VLOOKUP(C1577,'BG 12.2023'!$B$6:$E$819,3,FALSE),0),0)</f>
        <v>0</v>
      </c>
      <c r="K1577" s="28">
        <f>IF(F1577="I",IFERROR(VLOOKUP(C1577,'BG 12.2023'!$B$6:$E$819,4,FALSE),0),0)</f>
        <v>0</v>
      </c>
      <c r="M1577" s="15">
        <f>+VLOOKUP(C1577,'BG 2023'!$B:$E,1,0)</f>
        <v>61101118</v>
      </c>
      <c r="N1577" s="806">
        <f>+VLOOKUP(C1577,'BG 2023'!$B:$E,3,0)</f>
        <v>41017361588</v>
      </c>
      <c r="O1577" s="807">
        <f t="shared" si="154"/>
        <v>41017361588</v>
      </c>
      <c r="P1577" s="807"/>
      <c r="R1577" s="807"/>
    </row>
    <row r="1578" spans="1:18" s="87" customFormat="1">
      <c r="A1578" s="77" t="s">
        <v>1113</v>
      </c>
      <c r="B1578" s="77" t="s">
        <v>1114</v>
      </c>
      <c r="C1578" s="793">
        <v>6110111801</v>
      </c>
      <c r="D1578" s="77" t="s">
        <v>275</v>
      </c>
      <c r="E1578" s="794" t="s">
        <v>640</v>
      </c>
      <c r="F1578" s="794" t="str">
        <f t="shared" si="155"/>
        <v>I</v>
      </c>
      <c r="G1578" s="615">
        <f>+IF(F1578="i",IFERROR(VLOOKUP(C1578,'BG 2023'!B:E,3,FALSE),0),0)</f>
        <v>40737439616</v>
      </c>
      <c r="H1578" s="616">
        <f>+IF(F1578="i",IFERROR(VLOOKUP(C1578,'BG 2023'!B:E,4,FALSE),0),0)</f>
        <v>5593021</v>
      </c>
      <c r="I1578" s="616"/>
      <c r="J1578" s="28">
        <f>IF(F1578="I",IFERROR(VLOOKUP(C1578,'BG 12.2023'!$B$6:$E$819,3,FALSE),0),0)</f>
        <v>40737439616</v>
      </c>
      <c r="K1578" s="28">
        <f>IF(F1578="I",IFERROR(VLOOKUP(C1578,'BG 12.2023'!$B$6:$E$819,4,FALSE),0),0)</f>
        <v>5593021</v>
      </c>
      <c r="M1578" s="15">
        <f>+VLOOKUP(C1578,'BG 2023'!$B:$E,1,0)</f>
        <v>6110111801</v>
      </c>
      <c r="N1578" s="806">
        <f>+VLOOKUP(C1578,'BG 2023'!$B:$E,3,0)</f>
        <v>40737439616</v>
      </c>
      <c r="O1578" s="807">
        <f t="shared" si="154"/>
        <v>0</v>
      </c>
      <c r="P1578" s="807"/>
      <c r="R1578" s="807"/>
    </row>
    <row r="1579" spans="1:18" s="87" customFormat="1">
      <c r="A1579" s="77" t="s">
        <v>1113</v>
      </c>
      <c r="B1579" s="77" t="s">
        <v>1114</v>
      </c>
      <c r="C1579" s="793">
        <v>6110111802</v>
      </c>
      <c r="D1579" s="77" t="s">
        <v>276</v>
      </c>
      <c r="E1579" s="794" t="s">
        <v>640</v>
      </c>
      <c r="F1579" s="794" t="str">
        <f t="shared" si="155"/>
        <v>I</v>
      </c>
      <c r="G1579" s="615">
        <f>+IF(F1579="i",IFERROR(VLOOKUP(C1579,'BG 2023'!B:E,3,FALSE),0),0)</f>
        <v>279921972</v>
      </c>
      <c r="H1579" s="616">
        <f>+IF(F1579="i",IFERROR(VLOOKUP(C1579,'BG 2023'!B:E,4,FALSE),0),0)</f>
        <v>38431.709999999992</v>
      </c>
      <c r="I1579" s="616"/>
      <c r="J1579" s="28">
        <f>IF(F1579="I",IFERROR(VLOOKUP(C1579,'BG 12.2023'!$B$6:$E$819,3,FALSE),0),0)</f>
        <v>279921972</v>
      </c>
      <c r="K1579" s="28">
        <f>IF(F1579="I",IFERROR(VLOOKUP(C1579,'BG 12.2023'!$B$6:$E$819,4,FALSE),0),0)</f>
        <v>38431.709999999992</v>
      </c>
      <c r="M1579" s="15">
        <f>+VLOOKUP(C1579,'BG 2023'!$B:$E,1,0)</f>
        <v>6110111802</v>
      </c>
      <c r="N1579" s="806">
        <f>+VLOOKUP(C1579,'BG 2023'!$B:$E,3,0)</f>
        <v>279921972</v>
      </c>
      <c r="O1579" s="807">
        <f t="shared" si="154"/>
        <v>0</v>
      </c>
      <c r="P1579" s="807"/>
      <c r="R1579" s="807"/>
    </row>
    <row r="1580" spans="1:18" s="87" customFormat="1">
      <c r="A1580" s="77" t="s">
        <v>1113</v>
      </c>
      <c r="B1580" s="77"/>
      <c r="C1580" s="793">
        <v>61101119</v>
      </c>
      <c r="D1580" s="77" t="s">
        <v>413</v>
      </c>
      <c r="E1580" s="794" t="s">
        <v>640</v>
      </c>
      <c r="F1580" s="794" t="str">
        <f t="shared" si="155"/>
        <v>NI</v>
      </c>
      <c r="G1580" s="615">
        <f>+IF(F1580="i",IFERROR(VLOOKUP(C1580,'BG 2023'!B:E,3,FALSE),0),0)</f>
        <v>0</v>
      </c>
      <c r="H1580" s="616">
        <f>+IF(F1580="i",IFERROR(VLOOKUP(C1580,'BG 2023'!B:E,4,FALSE),0),0)</f>
        <v>0</v>
      </c>
      <c r="I1580" s="616"/>
      <c r="J1580" s="28">
        <f>IF(F1580="I",IFERROR(VLOOKUP(C1580,'BG 12.2023'!$B$6:$E$819,3,FALSE),0),0)</f>
        <v>0</v>
      </c>
      <c r="K1580" s="28">
        <f>IF(F1580="I",IFERROR(VLOOKUP(C1580,'BG 12.2023'!$B$6:$E$819,4,FALSE),0),0)</f>
        <v>0</v>
      </c>
      <c r="M1580" s="15" t="e">
        <f>+VLOOKUP(C1580,'BG 2023'!$B:$E,1,0)</f>
        <v>#N/A</v>
      </c>
      <c r="N1580" s="806" t="e">
        <f>+VLOOKUP(C1580,'BG 2023'!$B:$E,3,0)</f>
        <v>#N/A</v>
      </c>
      <c r="O1580" s="807" t="e">
        <f t="shared" si="154"/>
        <v>#N/A</v>
      </c>
      <c r="P1580" s="807"/>
      <c r="R1580" s="807"/>
    </row>
    <row r="1581" spans="1:18" s="87" customFormat="1">
      <c r="A1581" s="77" t="s">
        <v>1113</v>
      </c>
      <c r="B1581" s="77"/>
      <c r="C1581" s="793">
        <v>6110111901</v>
      </c>
      <c r="D1581" s="77" t="s">
        <v>1133</v>
      </c>
      <c r="E1581" s="794" t="s">
        <v>640</v>
      </c>
      <c r="F1581" s="794" t="str">
        <f t="shared" si="155"/>
        <v>I</v>
      </c>
      <c r="G1581" s="615">
        <f>+IF(F1581="i",IFERROR(VLOOKUP(C1581,'BG 2023'!B:E,3,FALSE),0),0)</f>
        <v>0</v>
      </c>
      <c r="H1581" s="616">
        <f>+IF(F1581="i",IFERROR(VLOOKUP(C1581,'BG 2023'!B:E,4,FALSE),0),0)</f>
        <v>0</v>
      </c>
      <c r="I1581" s="616"/>
      <c r="J1581" s="28">
        <f>IF(F1581="I",IFERROR(VLOOKUP(C1581,'BG 12.2023'!$B$6:$E$819,3,FALSE),0),0)</f>
        <v>0</v>
      </c>
      <c r="K1581" s="28">
        <f>IF(F1581="I",IFERROR(VLOOKUP(C1581,'BG 12.2023'!$B$6:$E$819,4,FALSE),0),0)</f>
        <v>0</v>
      </c>
      <c r="M1581" s="15" t="e">
        <f>+VLOOKUP(C1581,'BG 2023'!$B:$E,1,0)</f>
        <v>#N/A</v>
      </c>
      <c r="N1581" s="806" t="e">
        <f>+VLOOKUP(C1581,'BG 2023'!$B:$E,3,0)</f>
        <v>#N/A</v>
      </c>
      <c r="O1581" s="807" t="e">
        <f t="shared" si="154"/>
        <v>#N/A</v>
      </c>
      <c r="P1581" s="807"/>
      <c r="R1581" s="807"/>
    </row>
    <row r="1582" spans="1:18" s="87" customFormat="1">
      <c r="A1582" s="77" t="s">
        <v>1113</v>
      </c>
      <c r="B1582" s="77"/>
      <c r="C1582" s="793">
        <v>6110111902</v>
      </c>
      <c r="D1582" s="77" t="s">
        <v>1134</v>
      </c>
      <c r="E1582" s="794" t="s">
        <v>640</v>
      </c>
      <c r="F1582" s="794" t="str">
        <f t="shared" si="155"/>
        <v>I</v>
      </c>
      <c r="G1582" s="615">
        <f>+IF(F1582="i",IFERROR(VLOOKUP(C1582,'BG 2023'!B:E,3,FALSE),0),0)</f>
        <v>0</v>
      </c>
      <c r="H1582" s="616">
        <f>+IF(F1582="i",IFERROR(VLOOKUP(C1582,'BG 2023'!B:E,4,FALSE),0),0)</f>
        <v>0</v>
      </c>
      <c r="I1582" s="616"/>
      <c r="J1582" s="28">
        <f>IF(F1582="I",IFERROR(VLOOKUP(C1582,'BG 12.2023'!$B$6:$E$819,3,FALSE),0),0)</f>
        <v>0</v>
      </c>
      <c r="K1582" s="28">
        <f>IF(F1582="I",IFERROR(VLOOKUP(C1582,'BG 12.2023'!$B$6:$E$819,4,FALSE),0),0)</f>
        <v>0</v>
      </c>
      <c r="M1582" s="15" t="e">
        <f>+VLOOKUP(C1582,'BG 2023'!$B:$E,1,0)</f>
        <v>#N/A</v>
      </c>
      <c r="N1582" s="806" t="e">
        <f>+VLOOKUP(C1582,'BG 2023'!$B:$E,3,0)</f>
        <v>#N/A</v>
      </c>
      <c r="O1582" s="807" t="e">
        <f t="shared" si="154"/>
        <v>#N/A</v>
      </c>
      <c r="P1582" s="807"/>
      <c r="R1582" s="807"/>
    </row>
    <row r="1583" spans="1:18" s="87" customFormat="1">
      <c r="A1583" s="77" t="s">
        <v>1113</v>
      </c>
      <c r="B1583" s="77"/>
      <c r="C1583" s="793">
        <v>61101120</v>
      </c>
      <c r="D1583" s="77" t="s">
        <v>980</v>
      </c>
      <c r="E1583" s="794" t="s">
        <v>640</v>
      </c>
      <c r="F1583" s="794" t="str">
        <f t="shared" si="155"/>
        <v>NI</v>
      </c>
      <c r="G1583" s="615">
        <f>+IF(F1583="i",IFERROR(VLOOKUP(C1583,'BG 2023'!B:E,3,FALSE),0),0)</f>
        <v>0</v>
      </c>
      <c r="H1583" s="616">
        <f>+IF(F1583="i",IFERROR(VLOOKUP(C1583,'BG 2023'!B:E,4,FALSE),0),0)</f>
        <v>0</v>
      </c>
      <c r="I1583" s="616"/>
      <c r="J1583" s="28">
        <f>IF(F1583="I",IFERROR(VLOOKUP(C1583,'BG 12.2023'!$B$6:$E$819,3,FALSE),0),0)</f>
        <v>0</v>
      </c>
      <c r="K1583" s="28">
        <f>IF(F1583="I",IFERROR(VLOOKUP(C1583,'BG 12.2023'!$B$6:$E$819,4,FALSE),0),0)</f>
        <v>0</v>
      </c>
      <c r="M1583" s="15" t="e">
        <f>+VLOOKUP(C1583,'BG 2023'!$B:$E,1,0)</f>
        <v>#N/A</v>
      </c>
      <c r="N1583" s="806" t="e">
        <f>+VLOOKUP(C1583,'BG 2023'!$B:$E,3,0)</f>
        <v>#N/A</v>
      </c>
      <c r="O1583" s="807" t="e">
        <f t="shared" si="154"/>
        <v>#N/A</v>
      </c>
      <c r="P1583" s="807"/>
      <c r="R1583" s="807"/>
    </row>
    <row r="1584" spans="1:18" s="87" customFormat="1">
      <c r="A1584" s="77" t="s">
        <v>1113</v>
      </c>
      <c r="B1584" s="77"/>
      <c r="C1584" s="793">
        <v>6110112001</v>
      </c>
      <c r="D1584" s="77" t="s">
        <v>1135</v>
      </c>
      <c r="E1584" s="794" t="s">
        <v>640</v>
      </c>
      <c r="F1584" s="794" t="str">
        <f t="shared" si="155"/>
        <v>I</v>
      </c>
      <c r="G1584" s="615">
        <f>+IF(F1584="i",IFERROR(VLOOKUP(C1584,'BG 2023'!B:E,3,FALSE),0),0)</f>
        <v>0</v>
      </c>
      <c r="H1584" s="616">
        <f>+IF(F1584="i",IFERROR(VLOOKUP(C1584,'BG 2023'!B:E,4,FALSE),0),0)</f>
        <v>0</v>
      </c>
      <c r="I1584" s="616"/>
      <c r="J1584" s="28">
        <f>IF(F1584="I",IFERROR(VLOOKUP(C1584,'BG 12.2023'!$B$6:$E$819,3,FALSE),0),0)</f>
        <v>0</v>
      </c>
      <c r="K1584" s="28">
        <f>IF(F1584="I",IFERROR(VLOOKUP(C1584,'BG 12.2023'!$B$6:$E$819,4,FALSE),0),0)</f>
        <v>0</v>
      </c>
      <c r="M1584" s="15" t="e">
        <f>+VLOOKUP(C1584,'BG 2023'!$B:$E,1,0)</f>
        <v>#N/A</v>
      </c>
      <c r="N1584" s="806" t="e">
        <f>+VLOOKUP(C1584,'BG 2023'!$B:$E,3,0)</f>
        <v>#N/A</v>
      </c>
      <c r="O1584" s="807" t="e">
        <f t="shared" si="154"/>
        <v>#N/A</v>
      </c>
      <c r="P1584" s="807"/>
      <c r="R1584" s="807"/>
    </row>
    <row r="1585" spans="1:18" s="87" customFormat="1">
      <c r="A1585" s="77" t="s">
        <v>1113</v>
      </c>
      <c r="B1585" s="77"/>
      <c r="C1585" s="793">
        <v>6110112002</v>
      </c>
      <c r="D1585" s="77" t="s">
        <v>1135</v>
      </c>
      <c r="E1585" s="794" t="s">
        <v>640</v>
      </c>
      <c r="F1585" s="794" t="str">
        <f t="shared" si="155"/>
        <v>I</v>
      </c>
      <c r="G1585" s="615">
        <f>+IF(F1585="i",IFERROR(VLOOKUP(C1585,'BG 2023'!B:E,3,FALSE),0),0)</f>
        <v>0</v>
      </c>
      <c r="H1585" s="616">
        <f>+IF(F1585="i",IFERROR(VLOOKUP(C1585,'BG 2023'!B:E,4,FALSE),0),0)</f>
        <v>0</v>
      </c>
      <c r="I1585" s="616"/>
      <c r="J1585" s="28">
        <f>IF(F1585="I",IFERROR(VLOOKUP(C1585,'BG 12.2023'!$B$6:$E$819,3,FALSE),0),0)</f>
        <v>0</v>
      </c>
      <c r="K1585" s="28">
        <f>IF(F1585="I",IFERROR(VLOOKUP(C1585,'BG 12.2023'!$B$6:$E$819,4,FALSE),0),0)</f>
        <v>0</v>
      </c>
      <c r="M1585" s="15" t="e">
        <f>+VLOOKUP(C1585,'BG 2023'!$B:$E,1,0)</f>
        <v>#N/A</v>
      </c>
      <c r="N1585" s="806" t="e">
        <f>+VLOOKUP(C1585,'BG 2023'!$B:$E,3,0)</f>
        <v>#N/A</v>
      </c>
      <c r="O1585" s="807" t="e">
        <f t="shared" si="154"/>
        <v>#N/A</v>
      </c>
      <c r="P1585" s="807"/>
      <c r="R1585" s="807"/>
    </row>
    <row r="1586" spans="1:18" s="87" customFormat="1">
      <c r="A1586" s="77" t="s">
        <v>1113</v>
      </c>
      <c r="B1586" s="77"/>
      <c r="C1586" s="793">
        <v>61101121</v>
      </c>
      <c r="D1586" s="77" t="s">
        <v>804</v>
      </c>
      <c r="E1586" s="794" t="s">
        <v>640</v>
      </c>
      <c r="F1586" s="794" t="str">
        <f t="shared" si="155"/>
        <v>NI</v>
      </c>
      <c r="G1586" s="615">
        <f>+IF(F1586="i",IFERROR(VLOOKUP(C1586,'BG 2023'!B:E,3,FALSE),0),0)</f>
        <v>0</v>
      </c>
      <c r="H1586" s="616">
        <f>+IF(F1586="i",IFERROR(VLOOKUP(C1586,'BG 2023'!B:E,4,FALSE),0),0)</f>
        <v>0</v>
      </c>
      <c r="I1586" s="616"/>
      <c r="J1586" s="28">
        <f>IF(F1586="I",IFERROR(VLOOKUP(C1586,'BG 12.2023'!$B$6:$E$819,3,FALSE),0),0)</f>
        <v>0</v>
      </c>
      <c r="K1586" s="28">
        <f>IF(F1586="I",IFERROR(VLOOKUP(C1586,'BG 12.2023'!$B$6:$E$819,4,FALSE),0),0)</f>
        <v>0</v>
      </c>
      <c r="M1586" s="15" t="e">
        <f>+VLOOKUP(C1586,'BG 2023'!$B:$E,1,0)</f>
        <v>#N/A</v>
      </c>
      <c r="N1586" s="806" t="e">
        <f>+VLOOKUP(C1586,'BG 2023'!$B:$E,3,0)</f>
        <v>#N/A</v>
      </c>
      <c r="O1586" s="807" t="e">
        <f t="shared" si="154"/>
        <v>#N/A</v>
      </c>
      <c r="P1586" s="807"/>
      <c r="R1586" s="807"/>
    </row>
    <row r="1587" spans="1:18" s="87" customFormat="1">
      <c r="A1587" s="77" t="s">
        <v>1113</v>
      </c>
      <c r="B1587" s="77"/>
      <c r="C1587" s="793">
        <v>6110112101</v>
      </c>
      <c r="D1587" s="77" t="s">
        <v>1136</v>
      </c>
      <c r="E1587" s="794" t="s">
        <v>640</v>
      </c>
      <c r="F1587" s="794" t="str">
        <f t="shared" si="155"/>
        <v>I</v>
      </c>
      <c r="G1587" s="615">
        <f>+IF(F1587="i",IFERROR(VLOOKUP(C1587,'BG 2023'!B:E,3,FALSE),0),0)</f>
        <v>0</v>
      </c>
      <c r="H1587" s="616">
        <f>+IF(F1587="i",IFERROR(VLOOKUP(C1587,'BG 2023'!B:E,4,FALSE),0),0)</f>
        <v>0</v>
      </c>
      <c r="I1587" s="616"/>
      <c r="J1587" s="28">
        <f>IF(F1587="I",IFERROR(VLOOKUP(C1587,'BG 12.2023'!$B$6:$E$819,3,FALSE),0),0)</f>
        <v>0</v>
      </c>
      <c r="K1587" s="28">
        <f>IF(F1587="I",IFERROR(VLOOKUP(C1587,'BG 12.2023'!$B$6:$E$819,4,FALSE),0),0)</f>
        <v>0</v>
      </c>
      <c r="M1587" s="15" t="e">
        <f>+VLOOKUP(C1587,'BG 2023'!$B:$E,1,0)</f>
        <v>#N/A</v>
      </c>
      <c r="N1587" s="806" t="e">
        <f>+VLOOKUP(C1587,'BG 2023'!$B:$E,3,0)</f>
        <v>#N/A</v>
      </c>
      <c r="O1587" s="807" t="e">
        <f t="shared" si="154"/>
        <v>#N/A</v>
      </c>
      <c r="P1587" s="807"/>
      <c r="R1587" s="807"/>
    </row>
    <row r="1588" spans="1:18" s="87" customFormat="1">
      <c r="A1588" s="77" t="s">
        <v>1113</v>
      </c>
      <c r="B1588" s="77"/>
      <c r="C1588" s="793">
        <v>6110112102</v>
      </c>
      <c r="D1588" s="77" t="s">
        <v>1137</v>
      </c>
      <c r="E1588" s="794" t="s">
        <v>640</v>
      </c>
      <c r="F1588" s="794" t="str">
        <f t="shared" si="155"/>
        <v>I</v>
      </c>
      <c r="G1588" s="615">
        <f>+IF(F1588="i",IFERROR(VLOOKUP(C1588,'BG 2023'!B:E,3,FALSE),0),0)</f>
        <v>0</v>
      </c>
      <c r="H1588" s="616">
        <f>+IF(F1588="i",IFERROR(VLOOKUP(C1588,'BG 2023'!B:E,4,FALSE),0),0)</f>
        <v>0</v>
      </c>
      <c r="I1588" s="616"/>
      <c r="J1588" s="28">
        <f>IF(F1588="I",IFERROR(VLOOKUP(C1588,'BG 12.2023'!$B$6:$E$819,3,FALSE),0),0)</f>
        <v>0</v>
      </c>
      <c r="K1588" s="28">
        <f>IF(F1588="I",IFERROR(VLOOKUP(C1588,'BG 12.2023'!$B$6:$E$819,4,FALSE),0),0)</f>
        <v>0</v>
      </c>
      <c r="M1588" s="15" t="e">
        <f>+VLOOKUP(C1588,'BG 2023'!$B:$E,1,0)</f>
        <v>#N/A</v>
      </c>
      <c r="N1588" s="806" t="e">
        <f>+VLOOKUP(C1588,'BG 2023'!$B:$E,3,0)</f>
        <v>#N/A</v>
      </c>
      <c r="O1588" s="807" t="e">
        <f t="shared" si="154"/>
        <v>#N/A</v>
      </c>
      <c r="P1588" s="807"/>
      <c r="R1588" s="807"/>
    </row>
    <row r="1589" spans="1:18" s="87" customFormat="1">
      <c r="A1589" s="77" t="s">
        <v>1113</v>
      </c>
      <c r="B1589" s="77"/>
      <c r="C1589" s="793">
        <v>61101122</v>
      </c>
      <c r="D1589" s="77" t="s">
        <v>805</v>
      </c>
      <c r="E1589" s="794" t="s">
        <v>640</v>
      </c>
      <c r="F1589" s="794" t="str">
        <f t="shared" si="155"/>
        <v>NI</v>
      </c>
      <c r="G1589" s="615">
        <f>+IF(F1589="i",IFERROR(VLOOKUP(C1589,'BG 2023'!B:E,3,FALSE),0),0)</f>
        <v>0</v>
      </c>
      <c r="H1589" s="616">
        <f>+IF(F1589="i",IFERROR(VLOOKUP(C1589,'BG 2023'!B:E,4,FALSE),0),0)</f>
        <v>0</v>
      </c>
      <c r="I1589" s="616"/>
      <c r="J1589" s="28">
        <f>IF(F1589="I",IFERROR(VLOOKUP(C1589,'BG 12.2023'!$B$6:$E$819,3,FALSE),0),0)</f>
        <v>0</v>
      </c>
      <c r="K1589" s="28">
        <f>IF(F1589="I",IFERROR(VLOOKUP(C1589,'BG 12.2023'!$B$6:$E$819,4,FALSE),0),0)</f>
        <v>0</v>
      </c>
      <c r="M1589" s="15" t="e">
        <f>+VLOOKUP(C1589,'BG 2023'!$B:$E,1,0)</f>
        <v>#N/A</v>
      </c>
      <c r="N1589" s="806" t="e">
        <f>+VLOOKUP(C1589,'BG 2023'!$B:$E,3,0)</f>
        <v>#N/A</v>
      </c>
      <c r="O1589" s="807" t="e">
        <f t="shared" si="154"/>
        <v>#N/A</v>
      </c>
      <c r="P1589" s="807"/>
      <c r="R1589" s="807"/>
    </row>
    <row r="1590" spans="1:18" s="87" customFormat="1">
      <c r="A1590" s="77" t="s">
        <v>1113</v>
      </c>
      <c r="B1590" s="77"/>
      <c r="C1590" s="793">
        <v>6110112201</v>
      </c>
      <c r="D1590" s="77" t="s">
        <v>1138</v>
      </c>
      <c r="E1590" s="794" t="s">
        <v>640</v>
      </c>
      <c r="F1590" s="794" t="str">
        <f t="shared" si="155"/>
        <v>I</v>
      </c>
      <c r="G1590" s="615">
        <f>+IF(F1590="i",IFERROR(VLOOKUP(C1590,'BG 2023'!B:E,3,FALSE),0),0)</f>
        <v>0</v>
      </c>
      <c r="H1590" s="616">
        <f>+IF(F1590="i",IFERROR(VLOOKUP(C1590,'BG 2023'!B:E,4,FALSE),0),0)</f>
        <v>0</v>
      </c>
      <c r="I1590" s="616"/>
      <c r="J1590" s="28">
        <f>IF(F1590="I",IFERROR(VLOOKUP(C1590,'BG 12.2023'!$B$6:$E$819,3,FALSE),0),0)</f>
        <v>0</v>
      </c>
      <c r="K1590" s="28">
        <f>IF(F1590="I",IFERROR(VLOOKUP(C1590,'BG 12.2023'!$B$6:$E$819,4,FALSE),0),0)</f>
        <v>0</v>
      </c>
      <c r="M1590" s="15" t="e">
        <f>+VLOOKUP(C1590,'BG 2023'!$B:$E,1,0)</f>
        <v>#N/A</v>
      </c>
      <c r="N1590" s="806" t="e">
        <f>+VLOOKUP(C1590,'BG 2023'!$B:$E,3,0)</f>
        <v>#N/A</v>
      </c>
      <c r="O1590" s="807" t="e">
        <f t="shared" si="154"/>
        <v>#N/A</v>
      </c>
      <c r="P1590" s="807"/>
      <c r="R1590" s="807"/>
    </row>
    <row r="1591" spans="1:18" s="87" customFormat="1">
      <c r="A1591" s="77" t="s">
        <v>1113</v>
      </c>
      <c r="B1591" s="77"/>
      <c r="C1591" s="793">
        <v>6110112202</v>
      </c>
      <c r="D1591" s="77" t="s">
        <v>1138</v>
      </c>
      <c r="E1591" s="794" t="s">
        <v>640</v>
      </c>
      <c r="F1591" s="794" t="str">
        <f t="shared" si="155"/>
        <v>I</v>
      </c>
      <c r="G1591" s="615">
        <f>+IF(F1591="i",IFERROR(VLOOKUP(C1591,'BG 2023'!B:E,3,FALSE),0),0)</f>
        <v>0</v>
      </c>
      <c r="H1591" s="616">
        <f>+IF(F1591="i",IFERROR(VLOOKUP(C1591,'BG 2023'!B:E,4,FALSE),0),0)</f>
        <v>0</v>
      </c>
      <c r="I1591" s="616"/>
      <c r="J1591" s="28">
        <f>IF(F1591="I",IFERROR(VLOOKUP(C1591,'BG 12.2023'!$B$6:$E$819,3,FALSE),0),0)</f>
        <v>0</v>
      </c>
      <c r="K1591" s="28">
        <f>IF(F1591="I",IFERROR(VLOOKUP(C1591,'BG 12.2023'!$B$6:$E$819,4,FALSE),0),0)</f>
        <v>0</v>
      </c>
      <c r="M1591" s="15" t="e">
        <f>+VLOOKUP(C1591,'BG 2023'!$B:$E,1,0)</f>
        <v>#N/A</v>
      </c>
      <c r="N1591" s="806" t="e">
        <f>+VLOOKUP(C1591,'BG 2023'!$B:$E,3,0)</f>
        <v>#N/A</v>
      </c>
      <c r="O1591" s="807" t="e">
        <f t="shared" si="154"/>
        <v>#N/A</v>
      </c>
      <c r="P1591" s="807"/>
      <c r="R1591" s="807"/>
    </row>
    <row r="1592" spans="1:18" s="87" customFormat="1">
      <c r="A1592" s="77" t="s">
        <v>1113</v>
      </c>
      <c r="B1592" s="77"/>
      <c r="C1592" s="793">
        <v>61101123</v>
      </c>
      <c r="D1592" s="77" t="s">
        <v>981</v>
      </c>
      <c r="E1592" s="794" t="s">
        <v>640</v>
      </c>
      <c r="F1592" s="794" t="str">
        <f t="shared" si="155"/>
        <v>NI</v>
      </c>
      <c r="G1592" s="615">
        <f>+IF(F1592="i",IFERROR(VLOOKUP(C1592,'BG 2023'!B:E,3,FALSE),0),0)</f>
        <v>0</v>
      </c>
      <c r="H1592" s="616">
        <f>+IF(F1592="i",IFERROR(VLOOKUP(C1592,'BG 2023'!B:E,4,FALSE),0),0)</f>
        <v>0</v>
      </c>
      <c r="I1592" s="616"/>
      <c r="J1592" s="28">
        <f>IF(F1592="I",IFERROR(VLOOKUP(C1592,'BG 12.2023'!$B$6:$E$819,3,FALSE),0),0)</f>
        <v>0</v>
      </c>
      <c r="K1592" s="28">
        <f>IF(F1592="I",IFERROR(VLOOKUP(C1592,'BG 12.2023'!$B$6:$E$819,4,FALSE),0),0)</f>
        <v>0</v>
      </c>
      <c r="M1592" s="15" t="e">
        <f>+VLOOKUP(C1592,'BG 2023'!$B:$E,1,0)</f>
        <v>#N/A</v>
      </c>
      <c r="N1592" s="806" t="e">
        <f>+VLOOKUP(C1592,'BG 2023'!$B:$E,3,0)</f>
        <v>#N/A</v>
      </c>
      <c r="O1592" s="807" t="e">
        <f t="shared" si="154"/>
        <v>#N/A</v>
      </c>
      <c r="P1592" s="807"/>
      <c r="R1592" s="807"/>
    </row>
    <row r="1593" spans="1:18" s="87" customFormat="1">
      <c r="A1593" s="77" t="s">
        <v>1113</v>
      </c>
      <c r="B1593" s="77"/>
      <c r="C1593" s="793">
        <v>6110112301</v>
      </c>
      <c r="D1593" s="77" t="s">
        <v>1139</v>
      </c>
      <c r="E1593" s="794" t="s">
        <v>640</v>
      </c>
      <c r="F1593" s="794" t="str">
        <f t="shared" si="155"/>
        <v>I</v>
      </c>
      <c r="G1593" s="615">
        <f>+IF(F1593="i",IFERROR(VLOOKUP(C1593,'BG 2023'!B:E,3,FALSE),0),0)</f>
        <v>0</v>
      </c>
      <c r="H1593" s="616">
        <f>+IF(F1593="i",IFERROR(VLOOKUP(C1593,'BG 2023'!B:E,4,FALSE),0),0)</f>
        <v>0</v>
      </c>
      <c r="I1593" s="616"/>
      <c r="J1593" s="28">
        <f>IF(F1593="I",IFERROR(VLOOKUP(C1593,'BG 12.2023'!$B$6:$E$819,3,FALSE),0),0)</f>
        <v>0</v>
      </c>
      <c r="K1593" s="28">
        <f>IF(F1593="I",IFERROR(VLOOKUP(C1593,'BG 12.2023'!$B$6:$E$819,4,FALSE),0),0)</f>
        <v>0</v>
      </c>
      <c r="M1593" s="15" t="e">
        <f>+VLOOKUP(C1593,'BG 2023'!$B:$E,1,0)</f>
        <v>#N/A</v>
      </c>
      <c r="N1593" s="806" t="e">
        <f>+VLOOKUP(C1593,'BG 2023'!$B:$E,3,0)</f>
        <v>#N/A</v>
      </c>
      <c r="O1593" s="807" t="e">
        <f t="shared" si="154"/>
        <v>#N/A</v>
      </c>
      <c r="P1593" s="807"/>
      <c r="R1593" s="807"/>
    </row>
    <row r="1594" spans="1:18" s="87" customFormat="1">
      <c r="A1594" s="77" t="s">
        <v>1113</v>
      </c>
      <c r="B1594" s="77"/>
      <c r="C1594" s="793">
        <v>6110112302</v>
      </c>
      <c r="D1594" s="77" t="s">
        <v>1140</v>
      </c>
      <c r="E1594" s="794" t="s">
        <v>640</v>
      </c>
      <c r="F1594" s="794" t="str">
        <f t="shared" si="155"/>
        <v>I</v>
      </c>
      <c r="G1594" s="615">
        <f>+IF(F1594="i",IFERROR(VLOOKUP(C1594,'BG 2023'!B:E,3,FALSE),0),0)</f>
        <v>0</v>
      </c>
      <c r="H1594" s="616">
        <f>+IF(F1594="i",IFERROR(VLOOKUP(C1594,'BG 2023'!B:E,4,FALSE),0),0)</f>
        <v>0</v>
      </c>
      <c r="I1594" s="616"/>
      <c r="J1594" s="28">
        <f>IF(F1594="I",IFERROR(VLOOKUP(C1594,'BG 12.2023'!$B$6:$E$819,3,FALSE),0),0)</f>
        <v>0</v>
      </c>
      <c r="K1594" s="28">
        <f>IF(F1594="I",IFERROR(VLOOKUP(C1594,'BG 12.2023'!$B$6:$E$819,4,FALSE),0),0)</f>
        <v>0</v>
      </c>
      <c r="M1594" s="15" t="e">
        <f>+VLOOKUP(C1594,'BG 2023'!$B:$E,1,0)</f>
        <v>#N/A</v>
      </c>
      <c r="N1594" s="806" t="e">
        <f>+VLOOKUP(C1594,'BG 2023'!$B:$E,3,0)</f>
        <v>#N/A</v>
      </c>
      <c r="O1594" s="807" t="e">
        <f t="shared" si="154"/>
        <v>#N/A</v>
      </c>
      <c r="P1594" s="807"/>
      <c r="R1594" s="807"/>
    </row>
    <row r="1595" spans="1:18" s="87" customFormat="1">
      <c r="A1595" s="77" t="s">
        <v>1113</v>
      </c>
      <c r="B1595" s="77"/>
      <c r="C1595" s="793">
        <v>61101124</v>
      </c>
      <c r="D1595" s="77" t="s">
        <v>982</v>
      </c>
      <c r="E1595" s="794" t="s">
        <v>640</v>
      </c>
      <c r="F1595" s="794" t="str">
        <f t="shared" si="155"/>
        <v>NI</v>
      </c>
      <c r="G1595" s="615">
        <f>+IF(F1595="i",IFERROR(VLOOKUP(C1595,'BG 2023'!B:E,3,FALSE),0),0)</f>
        <v>0</v>
      </c>
      <c r="H1595" s="616">
        <f>+IF(F1595="i",IFERROR(VLOOKUP(C1595,'BG 2023'!B:E,4,FALSE),0),0)</f>
        <v>0</v>
      </c>
      <c r="I1595" s="616"/>
      <c r="J1595" s="28">
        <f>IF(F1595="I",IFERROR(VLOOKUP(C1595,'BG 12.2023'!$B$6:$E$819,3,FALSE),0),0)</f>
        <v>0</v>
      </c>
      <c r="K1595" s="28">
        <f>IF(F1595="I",IFERROR(VLOOKUP(C1595,'BG 12.2023'!$B$6:$E$819,4,FALSE),0),0)</f>
        <v>0</v>
      </c>
      <c r="M1595" s="15" t="e">
        <f>+VLOOKUP(C1595,'BG 2023'!$B:$E,1,0)</f>
        <v>#N/A</v>
      </c>
      <c r="N1595" s="806" t="e">
        <f>+VLOOKUP(C1595,'BG 2023'!$B:$E,3,0)</f>
        <v>#N/A</v>
      </c>
      <c r="O1595" s="807" t="e">
        <f t="shared" si="154"/>
        <v>#N/A</v>
      </c>
      <c r="P1595" s="807"/>
      <c r="R1595" s="807"/>
    </row>
    <row r="1596" spans="1:18" s="87" customFormat="1">
      <c r="A1596" s="77" t="s">
        <v>1113</v>
      </c>
      <c r="B1596" s="77"/>
      <c r="C1596" s="793">
        <v>6110112401</v>
      </c>
      <c r="D1596" s="77" t="s">
        <v>1141</v>
      </c>
      <c r="E1596" s="794" t="s">
        <v>640</v>
      </c>
      <c r="F1596" s="794" t="str">
        <f t="shared" si="155"/>
        <v>I</v>
      </c>
      <c r="G1596" s="615">
        <f>+IF(F1596="i",IFERROR(VLOOKUP(C1596,'BG 2023'!B:E,3,FALSE),0),0)</f>
        <v>0</v>
      </c>
      <c r="H1596" s="616">
        <f>+IF(F1596="i",IFERROR(VLOOKUP(C1596,'BG 2023'!B:E,4,FALSE),0),0)</f>
        <v>0</v>
      </c>
      <c r="I1596" s="616"/>
      <c r="J1596" s="28">
        <f>IF(F1596="I",IFERROR(VLOOKUP(C1596,'BG 12.2023'!$B$6:$E$819,3,FALSE),0),0)</f>
        <v>0</v>
      </c>
      <c r="K1596" s="28">
        <f>IF(F1596="I",IFERROR(VLOOKUP(C1596,'BG 12.2023'!$B$6:$E$819,4,FALSE),0),0)</f>
        <v>0</v>
      </c>
      <c r="M1596" s="15" t="e">
        <f>+VLOOKUP(C1596,'BG 2023'!$B:$E,1,0)</f>
        <v>#N/A</v>
      </c>
      <c r="N1596" s="806" t="e">
        <f>+VLOOKUP(C1596,'BG 2023'!$B:$E,3,0)</f>
        <v>#N/A</v>
      </c>
      <c r="O1596" s="807" t="e">
        <f t="shared" si="154"/>
        <v>#N/A</v>
      </c>
      <c r="P1596" s="807"/>
      <c r="R1596" s="807"/>
    </row>
    <row r="1597" spans="1:18" s="87" customFormat="1">
      <c r="A1597" s="77" t="s">
        <v>1113</v>
      </c>
      <c r="B1597" s="77"/>
      <c r="C1597" s="793">
        <v>6110112402</v>
      </c>
      <c r="D1597" s="77" t="s">
        <v>1142</v>
      </c>
      <c r="E1597" s="794" t="s">
        <v>640</v>
      </c>
      <c r="F1597" s="794" t="str">
        <f t="shared" si="155"/>
        <v>I</v>
      </c>
      <c r="G1597" s="615">
        <f>+IF(F1597="i",IFERROR(VLOOKUP(C1597,'BG 2023'!B:E,3,FALSE),0),0)</f>
        <v>0</v>
      </c>
      <c r="H1597" s="616">
        <f>+IF(F1597="i",IFERROR(VLOOKUP(C1597,'BG 2023'!B:E,4,FALSE),0),0)</f>
        <v>0</v>
      </c>
      <c r="I1597" s="616"/>
      <c r="J1597" s="28">
        <f>IF(F1597="I",IFERROR(VLOOKUP(C1597,'BG 12.2023'!$B$6:$E$819,3,FALSE),0),0)</f>
        <v>0</v>
      </c>
      <c r="K1597" s="28">
        <f>IF(F1597="I",IFERROR(VLOOKUP(C1597,'BG 12.2023'!$B$6:$E$819,4,FALSE),0),0)</f>
        <v>0</v>
      </c>
      <c r="M1597" s="15" t="e">
        <f>+VLOOKUP(C1597,'BG 2023'!$B:$E,1,0)</f>
        <v>#N/A</v>
      </c>
      <c r="N1597" s="806" t="e">
        <f>+VLOOKUP(C1597,'BG 2023'!$B:$E,3,0)</f>
        <v>#N/A</v>
      </c>
      <c r="O1597" s="807" t="e">
        <f t="shared" si="154"/>
        <v>#N/A</v>
      </c>
      <c r="P1597" s="807"/>
      <c r="R1597" s="807"/>
    </row>
    <row r="1598" spans="1:18" s="87" customFormat="1">
      <c r="A1598" s="77" t="s">
        <v>1113</v>
      </c>
      <c r="B1598" s="77"/>
      <c r="C1598" s="793">
        <v>61101125</v>
      </c>
      <c r="D1598" s="77" t="s">
        <v>983</v>
      </c>
      <c r="E1598" s="794" t="s">
        <v>640</v>
      </c>
      <c r="F1598" s="794" t="str">
        <f t="shared" si="155"/>
        <v>NI</v>
      </c>
      <c r="G1598" s="615">
        <f>+IF(F1598="i",IFERROR(VLOOKUP(C1598,'BG 2023'!B:E,3,FALSE),0),0)</f>
        <v>0</v>
      </c>
      <c r="H1598" s="616">
        <f>+IF(F1598="i",IFERROR(VLOOKUP(C1598,'BG 2023'!B:E,4,FALSE),0),0)</f>
        <v>0</v>
      </c>
      <c r="I1598" s="616"/>
      <c r="J1598" s="28">
        <f>IF(F1598="I",IFERROR(VLOOKUP(C1598,'BG 12.2023'!$B$6:$E$819,3,FALSE),0),0)</f>
        <v>0</v>
      </c>
      <c r="K1598" s="28">
        <f>IF(F1598="I",IFERROR(VLOOKUP(C1598,'BG 12.2023'!$B$6:$E$819,4,FALSE),0),0)</f>
        <v>0</v>
      </c>
      <c r="M1598" s="15" t="e">
        <f>+VLOOKUP(C1598,'BG 2023'!$B:$E,1,0)</f>
        <v>#N/A</v>
      </c>
      <c r="N1598" s="806" t="e">
        <f>+VLOOKUP(C1598,'BG 2023'!$B:$E,3,0)</f>
        <v>#N/A</v>
      </c>
      <c r="O1598" s="807" t="e">
        <f t="shared" si="154"/>
        <v>#N/A</v>
      </c>
      <c r="P1598" s="807"/>
      <c r="R1598" s="807"/>
    </row>
    <row r="1599" spans="1:18" s="87" customFormat="1">
      <c r="A1599" s="77" t="s">
        <v>1113</v>
      </c>
      <c r="B1599" s="77"/>
      <c r="C1599" s="793">
        <v>6110112501</v>
      </c>
      <c r="D1599" s="77" t="s">
        <v>1143</v>
      </c>
      <c r="E1599" s="794" t="s">
        <v>640</v>
      </c>
      <c r="F1599" s="794" t="str">
        <f t="shared" si="155"/>
        <v>I</v>
      </c>
      <c r="G1599" s="615">
        <f>+IF(F1599="i",IFERROR(VLOOKUP(C1599,'BG 2023'!B:E,3,FALSE),0),0)</f>
        <v>0</v>
      </c>
      <c r="H1599" s="616">
        <f>+IF(F1599="i",IFERROR(VLOOKUP(C1599,'BG 2023'!B:E,4,FALSE),0),0)</f>
        <v>0</v>
      </c>
      <c r="I1599" s="616"/>
      <c r="J1599" s="28">
        <f>IF(F1599="I",IFERROR(VLOOKUP(C1599,'BG 12.2023'!$B$6:$E$819,3,FALSE),0),0)</f>
        <v>0</v>
      </c>
      <c r="K1599" s="28">
        <f>IF(F1599="I",IFERROR(VLOOKUP(C1599,'BG 12.2023'!$B$6:$E$819,4,FALSE),0),0)</f>
        <v>0</v>
      </c>
      <c r="M1599" s="15" t="e">
        <f>+VLOOKUP(C1599,'BG 2023'!$B:$E,1,0)</f>
        <v>#N/A</v>
      </c>
      <c r="N1599" s="806" t="e">
        <f>+VLOOKUP(C1599,'BG 2023'!$B:$E,3,0)</f>
        <v>#N/A</v>
      </c>
      <c r="O1599" s="807" t="e">
        <f t="shared" si="154"/>
        <v>#N/A</v>
      </c>
      <c r="P1599" s="807"/>
      <c r="R1599" s="807"/>
    </row>
    <row r="1600" spans="1:18" s="87" customFormat="1">
      <c r="A1600" s="77" t="s">
        <v>1113</v>
      </c>
      <c r="B1600" s="77"/>
      <c r="C1600" s="793">
        <v>6110112502</v>
      </c>
      <c r="D1600" s="77" t="s">
        <v>1144</v>
      </c>
      <c r="E1600" s="794" t="s">
        <v>640</v>
      </c>
      <c r="F1600" s="794" t="str">
        <f t="shared" si="155"/>
        <v>I</v>
      </c>
      <c r="G1600" s="615">
        <f>+IF(F1600="i",IFERROR(VLOOKUP(C1600,'BG 2023'!B:E,3,FALSE),0),0)</f>
        <v>0</v>
      </c>
      <c r="H1600" s="616">
        <f>+IF(F1600="i",IFERROR(VLOOKUP(C1600,'BG 2023'!B:E,4,FALSE),0),0)</f>
        <v>0</v>
      </c>
      <c r="I1600" s="616"/>
      <c r="J1600" s="28">
        <f>IF(F1600="I",IFERROR(VLOOKUP(C1600,'BG 12.2023'!$B$6:$E$819,3,FALSE),0),0)</f>
        <v>0</v>
      </c>
      <c r="K1600" s="28">
        <f>IF(F1600="I",IFERROR(VLOOKUP(C1600,'BG 12.2023'!$B$6:$E$819,4,FALSE),0),0)</f>
        <v>0</v>
      </c>
      <c r="M1600" s="15" t="e">
        <f>+VLOOKUP(C1600,'BG 2023'!$B:$E,1,0)</f>
        <v>#N/A</v>
      </c>
      <c r="N1600" s="806" t="e">
        <f>+VLOOKUP(C1600,'BG 2023'!$B:$E,3,0)</f>
        <v>#N/A</v>
      </c>
      <c r="O1600" s="807" t="e">
        <f t="shared" si="154"/>
        <v>#N/A</v>
      </c>
      <c r="P1600" s="807"/>
      <c r="R1600" s="807"/>
    </row>
    <row r="1601" spans="1:18" s="87" customFormat="1">
      <c r="A1601" s="77" t="s">
        <v>1113</v>
      </c>
      <c r="B1601" s="77"/>
      <c r="C1601" s="793">
        <v>61101126</v>
      </c>
      <c r="D1601" s="77" t="s">
        <v>984</v>
      </c>
      <c r="E1601" s="794" t="s">
        <v>640</v>
      </c>
      <c r="F1601" s="794" t="str">
        <f t="shared" si="155"/>
        <v>NI</v>
      </c>
      <c r="G1601" s="615">
        <f>+IF(F1601="i",IFERROR(VLOOKUP(C1601,'BG 2023'!B:E,3,FALSE),0),0)</f>
        <v>0</v>
      </c>
      <c r="H1601" s="616">
        <f>+IF(F1601="i",IFERROR(VLOOKUP(C1601,'BG 2023'!B:E,4,FALSE),0),0)</f>
        <v>0</v>
      </c>
      <c r="I1601" s="616"/>
      <c r="J1601" s="28">
        <f>IF(F1601="I",IFERROR(VLOOKUP(C1601,'BG 12.2023'!$B$6:$E$819,3,FALSE),0),0)</f>
        <v>0</v>
      </c>
      <c r="K1601" s="28">
        <f>IF(F1601="I",IFERROR(VLOOKUP(C1601,'BG 12.2023'!$B$6:$E$819,4,FALSE),0),0)</f>
        <v>0</v>
      </c>
      <c r="M1601" s="15" t="e">
        <f>+VLOOKUP(C1601,'BG 2023'!$B:$E,1,0)</f>
        <v>#N/A</v>
      </c>
      <c r="N1601" s="806" t="e">
        <f>+VLOOKUP(C1601,'BG 2023'!$B:$E,3,0)</f>
        <v>#N/A</v>
      </c>
      <c r="O1601" s="807" t="e">
        <f t="shared" si="154"/>
        <v>#N/A</v>
      </c>
      <c r="P1601" s="807"/>
      <c r="R1601" s="807"/>
    </row>
    <row r="1602" spans="1:18" s="87" customFormat="1">
      <c r="A1602" s="77" t="s">
        <v>1113</v>
      </c>
      <c r="B1602" s="77"/>
      <c r="C1602" s="793">
        <v>6110112601</v>
      </c>
      <c r="D1602" s="77" t="s">
        <v>1145</v>
      </c>
      <c r="E1602" s="794" t="s">
        <v>640</v>
      </c>
      <c r="F1602" s="794" t="str">
        <f t="shared" si="155"/>
        <v>I</v>
      </c>
      <c r="G1602" s="615">
        <f>+IF(F1602="i",IFERROR(VLOOKUP(C1602,'BG 2023'!B:E,3,FALSE),0),0)</f>
        <v>0</v>
      </c>
      <c r="H1602" s="616">
        <f>+IF(F1602="i",IFERROR(VLOOKUP(C1602,'BG 2023'!B:E,4,FALSE),0),0)</f>
        <v>0</v>
      </c>
      <c r="I1602" s="616"/>
      <c r="J1602" s="28">
        <f>IF(F1602="I",IFERROR(VLOOKUP(C1602,'BG 12.2023'!$B$6:$E$819,3,FALSE),0),0)</f>
        <v>0</v>
      </c>
      <c r="K1602" s="28">
        <f>IF(F1602="I",IFERROR(VLOOKUP(C1602,'BG 12.2023'!$B$6:$E$819,4,FALSE),0),0)</f>
        <v>0</v>
      </c>
      <c r="M1602" s="15" t="e">
        <f>+VLOOKUP(C1602,'BG 2023'!$B:$E,1,0)</f>
        <v>#N/A</v>
      </c>
      <c r="N1602" s="806" t="e">
        <f>+VLOOKUP(C1602,'BG 2023'!$B:$E,3,0)</f>
        <v>#N/A</v>
      </c>
      <c r="O1602" s="807" t="e">
        <f t="shared" si="154"/>
        <v>#N/A</v>
      </c>
      <c r="P1602" s="807"/>
      <c r="R1602" s="807"/>
    </row>
    <row r="1603" spans="1:18" s="87" customFormat="1">
      <c r="A1603" s="77" t="s">
        <v>1113</v>
      </c>
      <c r="B1603" s="77"/>
      <c r="C1603" s="793">
        <v>6110112602</v>
      </c>
      <c r="D1603" s="77" t="s">
        <v>1146</v>
      </c>
      <c r="E1603" s="794" t="s">
        <v>640</v>
      </c>
      <c r="F1603" s="794" t="str">
        <f t="shared" si="155"/>
        <v>I</v>
      </c>
      <c r="G1603" s="615">
        <f>+IF(F1603="i",IFERROR(VLOOKUP(C1603,'BG 2023'!B:E,3,FALSE),0),0)</f>
        <v>0</v>
      </c>
      <c r="H1603" s="616">
        <f>+IF(F1603="i",IFERROR(VLOOKUP(C1603,'BG 2023'!B:E,4,FALSE),0),0)</f>
        <v>0</v>
      </c>
      <c r="I1603" s="616"/>
      <c r="J1603" s="28">
        <f>IF(F1603="I",IFERROR(VLOOKUP(C1603,'BG 12.2023'!$B$6:$E$819,3,FALSE),0),0)</f>
        <v>0</v>
      </c>
      <c r="K1603" s="28">
        <f>IF(F1603="I",IFERROR(VLOOKUP(C1603,'BG 12.2023'!$B$6:$E$819,4,FALSE),0),0)</f>
        <v>0</v>
      </c>
      <c r="M1603" s="15" t="e">
        <f>+VLOOKUP(C1603,'BG 2023'!$B:$E,1,0)</f>
        <v>#N/A</v>
      </c>
      <c r="N1603" s="806" t="e">
        <f>+VLOOKUP(C1603,'BG 2023'!$B:$E,3,0)</f>
        <v>#N/A</v>
      </c>
      <c r="O1603" s="807" t="e">
        <f t="shared" si="154"/>
        <v>#N/A</v>
      </c>
      <c r="P1603" s="807"/>
      <c r="R1603" s="807"/>
    </row>
    <row r="1604" spans="1:18" s="87" customFormat="1">
      <c r="A1604" s="77" t="s">
        <v>1113</v>
      </c>
      <c r="B1604" s="77"/>
      <c r="C1604" s="793">
        <v>61101127</v>
      </c>
      <c r="D1604" s="77" t="s">
        <v>985</v>
      </c>
      <c r="E1604" s="794" t="s">
        <v>640</v>
      </c>
      <c r="F1604" s="794" t="str">
        <f t="shared" si="155"/>
        <v>NI</v>
      </c>
      <c r="G1604" s="615">
        <f>+IF(F1604="i",IFERROR(VLOOKUP(C1604,'BG 2023'!B:E,3,FALSE),0),0)</f>
        <v>0</v>
      </c>
      <c r="H1604" s="616">
        <f>+IF(F1604="i",IFERROR(VLOOKUP(C1604,'BG 2023'!B:E,4,FALSE),0),0)</f>
        <v>0</v>
      </c>
      <c r="I1604" s="616"/>
      <c r="J1604" s="28">
        <f>IF(F1604="I",IFERROR(VLOOKUP(C1604,'BG 12.2023'!$B$6:$E$819,3,FALSE),0),0)</f>
        <v>0</v>
      </c>
      <c r="K1604" s="28">
        <f>IF(F1604="I",IFERROR(VLOOKUP(C1604,'BG 12.2023'!$B$6:$E$819,4,FALSE),0),0)</f>
        <v>0</v>
      </c>
      <c r="M1604" s="15" t="e">
        <f>+VLOOKUP(C1604,'BG 2023'!$B:$E,1,0)</f>
        <v>#N/A</v>
      </c>
      <c r="N1604" s="806" t="e">
        <f>+VLOOKUP(C1604,'BG 2023'!$B:$E,3,0)</f>
        <v>#N/A</v>
      </c>
      <c r="O1604" s="807" t="e">
        <f t="shared" si="154"/>
        <v>#N/A</v>
      </c>
      <c r="P1604" s="807"/>
      <c r="R1604" s="807"/>
    </row>
    <row r="1605" spans="1:18" s="87" customFormat="1">
      <c r="A1605" s="77" t="s">
        <v>1113</v>
      </c>
      <c r="B1605" s="77"/>
      <c r="C1605" s="793">
        <v>6110112701</v>
      </c>
      <c r="D1605" s="77" t="s">
        <v>1147</v>
      </c>
      <c r="E1605" s="794" t="s">
        <v>640</v>
      </c>
      <c r="F1605" s="794" t="str">
        <f t="shared" si="155"/>
        <v>I</v>
      </c>
      <c r="G1605" s="615">
        <f>+IF(F1605="i",IFERROR(VLOOKUP(C1605,'BG 2023'!B:E,3,FALSE),0),0)</f>
        <v>0</v>
      </c>
      <c r="H1605" s="616">
        <f>+IF(F1605="i",IFERROR(VLOOKUP(C1605,'BG 2023'!B:E,4,FALSE),0),0)</f>
        <v>0</v>
      </c>
      <c r="I1605" s="616"/>
      <c r="J1605" s="28">
        <f>IF(F1605="I",IFERROR(VLOOKUP(C1605,'BG 12.2023'!$B$6:$E$819,3,FALSE),0),0)</f>
        <v>0</v>
      </c>
      <c r="K1605" s="28">
        <f>IF(F1605="I",IFERROR(VLOOKUP(C1605,'BG 12.2023'!$B$6:$E$819,4,FALSE),0),0)</f>
        <v>0</v>
      </c>
      <c r="M1605" s="15" t="e">
        <f>+VLOOKUP(C1605,'BG 2023'!$B:$E,1,0)</f>
        <v>#N/A</v>
      </c>
      <c r="N1605" s="806" t="e">
        <f>+VLOOKUP(C1605,'BG 2023'!$B:$E,3,0)</f>
        <v>#N/A</v>
      </c>
      <c r="O1605" s="807" t="e">
        <f t="shared" si="154"/>
        <v>#N/A</v>
      </c>
      <c r="P1605" s="807"/>
      <c r="R1605" s="807"/>
    </row>
    <row r="1606" spans="1:18" s="87" customFormat="1">
      <c r="A1606" s="77" t="s">
        <v>1113</v>
      </c>
      <c r="B1606" s="77"/>
      <c r="C1606" s="793">
        <v>6110112702</v>
      </c>
      <c r="D1606" s="77" t="s">
        <v>1148</v>
      </c>
      <c r="E1606" s="794" t="s">
        <v>640</v>
      </c>
      <c r="F1606" s="794" t="str">
        <f t="shared" si="155"/>
        <v>I</v>
      </c>
      <c r="G1606" s="615">
        <f>+IF(F1606="i",IFERROR(VLOOKUP(C1606,'BG 2023'!B:E,3,FALSE),0),0)</f>
        <v>0</v>
      </c>
      <c r="H1606" s="616">
        <f>+IF(F1606="i",IFERROR(VLOOKUP(C1606,'BG 2023'!B:E,4,FALSE),0),0)</f>
        <v>0</v>
      </c>
      <c r="I1606" s="616"/>
      <c r="J1606" s="28">
        <f>IF(F1606="I",IFERROR(VLOOKUP(C1606,'BG 12.2023'!$B$6:$E$819,3,FALSE),0),0)</f>
        <v>0</v>
      </c>
      <c r="K1606" s="28">
        <f>IF(F1606="I",IFERROR(VLOOKUP(C1606,'BG 12.2023'!$B$6:$E$819,4,FALSE),0),0)</f>
        <v>0</v>
      </c>
      <c r="M1606" s="15" t="e">
        <f>+VLOOKUP(C1606,'BG 2023'!$B:$E,1,0)</f>
        <v>#N/A</v>
      </c>
      <c r="N1606" s="806" t="e">
        <f>+VLOOKUP(C1606,'BG 2023'!$B:$E,3,0)</f>
        <v>#N/A</v>
      </c>
      <c r="O1606" s="807" t="e">
        <f t="shared" si="154"/>
        <v>#N/A</v>
      </c>
      <c r="P1606" s="807"/>
      <c r="R1606" s="807"/>
    </row>
    <row r="1607" spans="1:18" s="87" customFormat="1">
      <c r="A1607" s="77" t="s">
        <v>1113</v>
      </c>
      <c r="B1607" s="77"/>
      <c r="C1607" s="793">
        <v>61101128</v>
      </c>
      <c r="D1607" s="77" t="s">
        <v>986</v>
      </c>
      <c r="E1607" s="794" t="s">
        <v>640</v>
      </c>
      <c r="F1607" s="794" t="str">
        <f t="shared" si="155"/>
        <v>NI</v>
      </c>
      <c r="G1607" s="615">
        <f>+IF(F1607="i",IFERROR(VLOOKUP(C1607,'BG 2023'!B:E,3,FALSE),0),0)</f>
        <v>0</v>
      </c>
      <c r="H1607" s="616">
        <f>+IF(F1607="i",IFERROR(VLOOKUP(C1607,'BG 2023'!B:E,4,FALSE),0),0)</f>
        <v>0</v>
      </c>
      <c r="I1607" s="616"/>
      <c r="J1607" s="28">
        <f>IF(F1607="I",IFERROR(VLOOKUP(C1607,'BG 12.2023'!$B$6:$E$819,3,FALSE),0),0)</f>
        <v>0</v>
      </c>
      <c r="K1607" s="28">
        <f>IF(F1607="I",IFERROR(VLOOKUP(C1607,'BG 12.2023'!$B$6:$E$819,4,FALSE),0),0)</f>
        <v>0</v>
      </c>
      <c r="M1607" s="15" t="e">
        <f>+VLOOKUP(C1607,'BG 2023'!$B:$E,1,0)</f>
        <v>#N/A</v>
      </c>
      <c r="N1607" s="806" t="e">
        <f>+VLOOKUP(C1607,'BG 2023'!$B:$E,3,0)</f>
        <v>#N/A</v>
      </c>
      <c r="O1607" s="807" t="e">
        <f t="shared" si="154"/>
        <v>#N/A</v>
      </c>
      <c r="P1607" s="807"/>
      <c r="R1607" s="807"/>
    </row>
    <row r="1608" spans="1:18" s="87" customFormat="1">
      <c r="A1608" s="77" t="s">
        <v>1113</v>
      </c>
      <c r="B1608" s="77"/>
      <c r="C1608" s="793">
        <v>6110112801</v>
      </c>
      <c r="D1608" s="77" t="s">
        <v>1149</v>
      </c>
      <c r="E1608" s="794" t="s">
        <v>640</v>
      </c>
      <c r="F1608" s="794" t="str">
        <f t="shared" si="155"/>
        <v>I</v>
      </c>
      <c r="G1608" s="615">
        <f>+IF(F1608="i",IFERROR(VLOOKUP(C1608,'BG 2023'!B:E,3,FALSE),0),0)</f>
        <v>0</v>
      </c>
      <c r="H1608" s="616">
        <f>+IF(F1608="i",IFERROR(VLOOKUP(C1608,'BG 2023'!B:E,4,FALSE),0),0)</f>
        <v>0</v>
      </c>
      <c r="I1608" s="616"/>
      <c r="J1608" s="28">
        <f>IF(F1608="I",IFERROR(VLOOKUP(C1608,'BG 12.2023'!$B$6:$E$819,3,FALSE),0),0)</f>
        <v>0</v>
      </c>
      <c r="K1608" s="28">
        <f>IF(F1608="I",IFERROR(VLOOKUP(C1608,'BG 12.2023'!$B$6:$E$819,4,FALSE),0),0)</f>
        <v>0</v>
      </c>
      <c r="M1608" s="15" t="e">
        <f>+VLOOKUP(C1608,'BG 2023'!$B:$E,1,0)</f>
        <v>#N/A</v>
      </c>
      <c r="N1608" s="806" t="e">
        <f>+VLOOKUP(C1608,'BG 2023'!$B:$E,3,0)</f>
        <v>#N/A</v>
      </c>
      <c r="O1608" s="807" t="e">
        <f t="shared" si="154"/>
        <v>#N/A</v>
      </c>
      <c r="P1608" s="807"/>
      <c r="R1608" s="807"/>
    </row>
    <row r="1609" spans="1:18" s="87" customFormat="1">
      <c r="A1609" s="77" t="s">
        <v>1113</v>
      </c>
      <c r="B1609" s="77"/>
      <c r="C1609" s="793">
        <v>6110112802</v>
      </c>
      <c r="D1609" s="77" t="s">
        <v>1150</v>
      </c>
      <c r="E1609" s="794" t="s">
        <v>640</v>
      </c>
      <c r="F1609" s="794" t="str">
        <f t="shared" si="155"/>
        <v>I</v>
      </c>
      <c r="G1609" s="615">
        <f>+IF(F1609="i",IFERROR(VLOOKUP(C1609,'BG 2023'!B:E,3,FALSE),0),0)</f>
        <v>0</v>
      </c>
      <c r="H1609" s="616">
        <f>+IF(F1609="i",IFERROR(VLOOKUP(C1609,'BG 2023'!B:E,4,FALSE),0),0)</f>
        <v>0</v>
      </c>
      <c r="I1609" s="616"/>
      <c r="J1609" s="28">
        <f>IF(F1609="I",IFERROR(VLOOKUP(C1609,'BG 12.2023'!$B$6:$E$819,3,FALSE),0),0)</f>
        <v>0</v>
      </c>
      <c r="K1609" s="28">
        <f>IF(F1609="I",IFERROR(VLOOKUP(C1609,'BG 12.2023'!$B$6:$E$819,4,FALSE),0),0)</f>
        <v>0</v>
      </c>
      <c r="M1609" s="15" t="e">
        <f>+VLOOKUP(C1609,'BG 2023'!$B:$E,1,0)</f>
        <v>#N/A</v>
      </c>
      <c r="N1609" s="806" t="e">
        <f>+VLOOKUP(C1609,'BG 2023'!$B:$E,3,0)</f>
        <v>#N/A</v>
      </c>
      <c r="O1609" s="807" t="e">
        <f t="shared" si="154"/>
        <v>#N/A</v>
      </c>
      <c r="P1609" s="807"/>
      <c r="R1609" s="807"/>
    </row>
    <row r="1610" spans="1:18" s="87" customFormat="1">
      <c r="A1610" s="77" t="s">
        <v>1113</v>
      </c>
      <c r="B1610" s="77"/>
      <c r="C1610" s="793">
        <v>61101129</v>
      </c>
      <c r="D1610" s="77" t="s">
        <v>277</v>
      </c>
      <c r="E1610" s="794" t="s">
        <v>640</v>
      </c>
      <c r="F1610" s="794" t="str">
        <f t="shared" si="155"/>
        <v>NI</v>
      </c>
      <c r="G1610" s="615">
        <f>+IF(F1610="i",IFERROR(VLOOKUP(C1610,'BG 2023'!B:E,3,FALSE),0),0)</f>
        <v>0</v>
      </c>
      <c r="H1610" s="616">
        <f>+IF(F1610="i",IFERROR(VLOOKUP(C1610,'BG 2023'!B:E,4,FALSE),0),0)</f>
        <v>0</v>
      </c>
      <c r="I1610" s="616"/>
      <c r="J1610" s="28">
        <f>IF(F1610="I",IFERROR(VLOOKUP(C1610,'BG 12.2023'!$B$6:$E$819,3,FALSE),0),0)</f>
        <v>0</v>
      </c>
      <c r="K1610" s="28">
        <f>IF(F1610="I",IFERROR(VLOOKUP(C1610,'BG 12.2023'!$B$6:$E$819,4,FALSE),0),0)</f>
        <v>0</v>
      </c>
      <c r="M1610" s="15">
        <f>+VLOOKUP(C1610,'BG 2023'!$B:$E,1,0)</f>
        <v>61101129</v>
      </c>
      <c r="N1610" s="806">
        <f>+VLOOKUP(C1610,'BG 2023'!$B:$E,3,0)</f>
        <v>26589769792</v>
      </c>
      <c r="O1610" s="807">
        <f t="shared" si="154"/>
        <v>26589769792</v>
      </c>
      <c r="P1610" s="807"/>
      <c r="R1610" s="807"/>
    </row>
    <row r="1611" spans="1:18" s="87" customFormat="1">
      <c r="A1611" s="77" t="s">
        <v>1113</v>
      </c>
      <c r="B1611" s="77" t="s">
        <v>1114</v>
      </c>
      <c r="C1611" s="793">
        <v>6110112901</v>
      </c>
      <c r="D1611" s="77" t="s">
        <v>278</v>
      </c>
      <c r="E1611" s="794" t="s">
        <v>640</v>
      </c>
      <c r="F1611" s="794" t="str">
        <f t="shared" si="155"/>
        <v>I</v>
      </c>
      <c r="G1611" s="615">
        <f>+IF(F1611="i",IFERROR(VLOOKUP(C1611,'BG 2023'!B:E,3,FALSE),0),0)</f>
        <v>26589769792</v>
      </c>
      <c r="H1611" s="616">
        <f>+IF(F1611="i",IFERROR(VLOOKUP(C1611,'BG 2023'!B:E,4,FALSE),0),0)</f>
        <v>3650625.62</v>
      </c>
      <c r="I1611" s="616"/>
      <c r="J1611" s="28">
        <f>IF(F1611="I",IFERROR(VLOOKUP(C1611,'BG 12.2023'!$B$6:$E$819,3,FALSE),0),0)</f>
        <v>26589769792</v>
      </c>
      <c r="K1611" s="28">
        <f>IF(F1611="I",IFERROR(VLOOKUP(C1611,'BG 12.2023'!$B$6:$E$819,4,FALSE),0),0)</f>
        <v>3650625.62</v>
      </c>
      <c r="M1611" s="15">
        <f>+VLOOKUP(C1611,'BG 2023'!$B:$E,1,0)</f>
        <v>6110112901</v>
      </c>
      <c r="N1611" s="806">
        <f>+VLOOKUP(C1611,'BG 2023'!$B:$E,3,0)</f>
        <v>26589769792</v>
      </c>
      <c r="O1611" s="807">
        <f t="shared" si="154"/>
        <v>0</v>
      </c>
      <c r="P1611" s="807"/>
      <c r="R1611" s="807"/>
    </row>
    <row r="1612" spans="1:18" s="87" customFormat="1">
      <c r="A1612" s="77" t="s">
        <v>1113</v>
      </c>
      <c r="B1612" s="77" t="s">
        <v>1151</v>
      </c>
      <c r="C1612" s="793">
        <v>6110112902</v>
      </c>
      <c r="D1612" s="77" t="s">
        <v>1152</v>
      </c>
      <c r="E1612" s="794" t="s">
        <v>640</v>
      </c>
      <c r="F1612" s="794" t="str">
        <f t="shared" si="155"/>
        <v>I</v>
      </c>
      <c r="G1612" s="615">
        <f>+IF(F1612="i",IFERROR(VLOOKUP(C1612,'BG 2023'!B:E,3,FALSE),0),0)</f>
        <v>0</v>
      </c>
      <c r="H1612" s="616">
        <f>+IF(F1612="i",IFERROR(VLOOKUP(C1612,'BG 2023'!B:E,4,FALSE),0),0)</f>
        <v>0</v>
      </c>
      <c r="I1612" s="616"/>
      <c r="J1612" s="28">
        <f>IF(F1612="I",IFERROR(VLOOKUP(C1612,'BG 12.2023'!$B$6:$E$819,3,FALSE),0),0)</f>
        <v>0</v>
      </c>
      <c r="K1612" s="28">
        <f>IF(F1612="I",IFERROR(VLOOKUP(C1612,'BG 12.2023'!$B$6:$E$819,4,FALSE),0),0)</f>
        <v>0</v>
      </c>
      <c r="M1612" s="15" t="e">
        <f>+VLOOKUP(C1612,'BG 2023'!$B:$E,1,0)</f>
        <v>#N/A</v>
      </c>
      <c r="N1612" s="806" t="e">
        <f>+VLOOKUP(C1612,'BG 2023'!$B:$E,3,0)</f>
        <v>#N/A</v>
      </c>
      <c r="O1612" s="807" t="e">
        <f t="shared" si="154"/>
        <v>#N/A</v>
      </c>
      <c r="P1612" s="807"/>
      <c r="R1612" s="807"/>
    </row>
    <row r="1613" spans="1:18" s="87" customFormat="1">
      <c r="A1613" s="77" t="s">
        <v>1113</v>
      </c>
      <c r="B1613" s="77"/>
      <c r="C1613" s="793">
        <v>61101130</v>
      </c>
      <c r="D1613" s="77" t="s">
        <v>1153</v>
      </c>
      <c r="E1613" s="794" t="s">
        <v>640</v>
      </c>
      <c r="F1613" s="794" t="str">
        <f t="shared" si="155"/>
        <v>NI</v>
      </c>
      <c r="G1613" s="615">
        <f>+IF(F1613="i",IFERROR(VLOOKUP(C1613,'BG 2023'!B:E,3,FALSE),0),0)</f>
        <v>0</v>
      </c>
      <c r="H1613" s="616">
        <f>+IF(F1613="i",IFERROR(VLOOKUP(C1613,'BG 2023'!B:E,4,FALSE),0),0)</f>
        <v>0</v>
      </c>
      <c r="I1613" s="616"/>
      <c r="J1613" s="28">
        <f>IF(F1613="I",IFERROR(VLOOKUP(C1613,'BG 12.2023'!$B$6:$E$819,3,FALSE),0),0)</f>
        <v>0</v>
      </c>
      <c r="K1613" s="28">
        <f>IF(F1613="I",IFERROR(VLOOKUP(C1613,'BG 12.2023'!$B$6:$E$819,4,FALSE),0),0)</f>
        <v>0</v>
      </c>
      <c r="M1613" s="15" t="e">
        <f>+VLOOKUP(C1613,'BG 2023'!$B:$E,1,0)</f>
        <v>#N/A</v>
      </c>
      <c r="N1613" s="806" t="e">
        <f>+VLOOKUP(C1613,'BG 2023'!$B:$E,3,0)</f>
        <v>#N/A</v>
      </c>
      <c r="O1613" s="807" t="e">
        <f t="shared" si="154"/>
        <v>#N/A</v>
      </c>
      <c r="P1613" s="807"/>
      <c r="R1613" s="807"/>
    </row>
    <row r="1614" spans="1:18" s="87" customFormat="1">
      <c r="A1614" s="77" t="s">
        <v>1113</v>
      </c>
      <c r="B1614" s="77"/>
      <c r="C1614" s="793">
        <v>6110113001</v>
      </c>
      <c r="D1614" s="77" t="s">
        <v>1154</v>
      </c>
      <c r="E1614" s="794" t="s">
        <v>640</v>
      </c>
      <c r="F1614" s="794" t="str">
        <f t="shared" si="155"/>
        <v>I</v>
      </c>
      <c r="G1614" s="615">
        <f>+IF(F1614="i",IFERROR(VLOOKUP(C1614,'BG 2023'!B:E,3,FALSE),0),0)</f>
        <v>0</v>
      </c>
      <c r="H1614" s="616">
        <f>+IF(F1614="i",IFERROR(VLOOKUP(C1614,'BG 2023'!B:E,4,FALSE),0),0)</f>
        <v>0</v>
      </c>
      <c r="I1614" s="616"/>
      <c r="J1614" s="28">
        <f>IF(F1614="I",IFERROR(VLOOKUP(C1614,'BG 12.2023'!$B$6:$E$819,3,FALSE),0),0)</f>
        <v>0</v>
      </c>
      <c r="K1614" s="28">
        <f>IF(F1614="I",IFERROR(VLOOKUP(C1614,'BG 12.2023'!$B$6:$E$819,4,FALSE),0),0)</f>
        <v>0</v>
      </c>
      <c r="M1614" s="15" t="e">
        <f>+VLOOKUP(C1614,'BG 2023'!$B:$E,1,0)</f>
        <v>#N/A</v>
      </c>
      <c r="N1614" s="806" t="e">
        <f>+VLOOKUP(C1614,'BG 2023'!$B:$E,3,0)</f>
        <v>#N/A</v>
      </c>
      <c r="O1614" s="807" t="e">
        <f t="shared" si="154"/>
        <v>#N/A</v>
      </c>
      <c r="P1614" s="807"/>
      <c r="R1614" s="807"/>
    </row>
    <row r="1615" spans="1:18" s="87" customFormat="1">
      <c r="A1615" s="77" t="s">
        <v>1113</v>
      </c>
      <c r="B1615" s="77"/>
      <c r="C1615" s="793">
        <v>6110113002</v>
      </c>
      <c r="D1615" s="77" t="s">
        <v>1155</v>
      </c>
      <c r="E1615" s="794" t="s">
        <v>640</v>
      </c>
      <c r="F1615" s="794" t="str">
        <f t="shared" si="155"/>
        <v>I</v>
      </c>
      <c r="G1615" s="615">
        <f>+IF(F1615="i",IFERROR(VLOOKUP(C1615,'BG 2023'!B:E,3,FALSE),0),0)</f>
        <v>0</v>
      </c>
      <c r="H1615" s="616">
        <f>+IF(F1615="i",IFERROR(VLOOKUP(C1615,'BG 2023'!B:E,4,FALSE),0),0)</f>
        <v>0</v>
      </c>
      <c r="I1615" s="616"/>
      <c r="J1615" s="28">
        <f>IF(F1615="I",IFERROR(VLOOKUP(C1615,'BG 12.2023'!$B$6:$E$819,3,FALSE),0),0)</f>
        <v>0</v>
      </c>
      <c r="K1615" s="28">
        <f>IF(F1615="I",IFERROR(VLOOKUP(C1615,'BG 12.2023'!$B$6:$E$819,4,FALSE),0),0)</f>
        <v>0</v>
      </c>
      <c r="M1615" s="15" t="e">
        <f>+VLOOKUP(C1615,'BG 2023'!$B:$E,1,0)</f>
        <v>#N/A</v>
      </c>
      <c r="N1615" s="806" t="e">
        <f>+VLOOKUP(C1615,'BG 2023'!$B:$E,3,0)</f>
        <v>#N/A</v>
      </c>
      <c r="O1615" s="807" t="e">
        <f t="shared" si="154"/>
        <v>#N/A</v>
      </c>
      <c r="P1615" s="807"/>
      <c r="R1615" s="807"/>
    </row>
    <row r="1616" spans="1:18" s="87" customFormat="1">
      <c r="A1616" s="77" t="s">
        <v>1113</v>
      </c>
      <c r="B1616" s="77"/>
      <c r="C1616" s="793">
        <v>61101131</v>
      </c>
      <c r="D1616" s="77" t="s">
        <v>279</v>
      </c>
      <c r="E1616" s="794" t="s">
        <v>640</v>
      </c>
      <c r="F1616" s="794" t="str">
        <f t="shared" si="155"/>
        <v>NI</v>
      </c>
      <c r="G1616" s="615">
        <f>+IF(F1616="i",IFERROR(VLOOKUP(C1616,'BG 2023'!B:E,3,FALSE),0),0)</f>
        <v>0</v>
      </c>
      <c r="H1616" s="616">
        <f>+IF(F1616="i",IFERROR(VLOOKUP(C1616,'BG 2023'!B:E,4,FALSE),0),0)</f>
        <v>0</v>
      </c>
      <c r="I1616" s="616"/>
      <c r="J1616" s="28">
        <f>IF(F1616="I",IFERROR(VLOOKUP(C1616,'BG 12.2023'!$B$6:$E$819,3,FALSE),0),0)</f>
        <v>0</v>
      </c>
      <c r="K1616" s="28">
        <f>IF(F1616="I",IFERROR(VLOOKUP(C1616,'BG 12.2023'!$B$6:$E$819,4,FALSE),0),0)</f>
        <v>0</v>
      </c>
      <c r="M1616" s="15">
        <f>+VLOOKUP(C1616,'BG 2023'!$B:$E,1,0)</f>
        <v>61101131</v>
      </c>
      <c r="N1616" s="806">
        <f>+VLOOKUP(C1616,'BG 2023'!$B:$E,3,0)</f>
        <v>87792251744</v>
      </c>
      <c r="O1616" s="807">
        <f t="shared" si="154"/>
        <v>87792251744</v>
      </c>
      <c r="P1616" s="807"/>
      <c r="R1616" s="807"/>
    </row>
    <row r="1617" spans="1:18" s="87" customFormat="1">
      <c r="A1617" s="77" t="s">
        <v>1113</v>
      </c>
      <c r="B1617" s="77" t="s">
        <v>1114</v>
      </c>
      <c r="C1617" s="793">
        <v>6110113101</v>
      </c>
      <c r="D1617" s="77" t="s">
        <v>280</v>
      </c>
      <c r="E1617" s="794" t="s">
        <v>640</v>
      </c>
      <c r="F1617" s="794" t="str">
        <f t="shared" si="155"/>
        <v>I</v>
      </c>
      <c r="G1617" s="615">
        <f>+IF(F1617="i",IFERROR(VLOOKUP(C1617,'BG 2023'!B:E,3,FALSE),0),0)</f>
        <v>87792251744</v>
      </c>
      <c r="H1617" s="616">
        <f>+IF(F1617="i",IFERROR(VLOOKUP(C1617,'BG 2023'!B:E,4,FALSE),0),0)</f>
        <v>12053381.66</v>
      </c>
      <c r="I1617" s="616"/>
      <c r="J1617" s="28">
        <f>IF(F1617="I",IFERROR(VLOOKUP(C1617,'BG 12.2023'!$B$6:$E$819,3,FALSE),0),0)</f>
        <v>87792251744</v>
      </c>
      <c r="K1617" s="28">
        <f>IF(F1617="I",IFERROR(VLOOKUP(C1617,'BG 12.2023'!$B$6:$E$819,4,FALSE),0),0)</f>
        <v>12053381.66</v>
      </c>
      <c r="M1617" s="15">
        <f>+VLOOKUP(C1617,'BG 2023'!$B:$E,1,0)</f>
        <v>6110113101</v>
      </c>
      <c r="N1617" s="806">
        <f>+VLOOKUP(C1617,'BG 2023'!$B:$E,3,0)</f>
        <v>87792251744</v>
      </c>
      <c r="O1617" s="807">
        <f t="shared" ref="O1617:O1690" si="156">+N1617-G1617</f>
        <v>0</v>
      </c>
      <c r="P1617" s="807"/>
      <c r="R1617" s="807"/>
    </row>
    <row r="1618" spans="1:18" s="87" customFormat="1">
      <c r="A1618" s="77" t="s">
        <v>1113</v>
      </c>
      <c r="B1618" s="77"/>
      <c r="C1618" s="793">
        <v>6110113102</v>
      </c>
      <c r="D1618" s="77" t="s">
        <v>1156</v>
      </c>
      <c r="E1618" s="794" t="s">
        <v>640</v>
      </c>
      <c r="F1618" s="794" t="str">
        <f t="shared" si="155"/>
        <v>I</v>
      </c>
      <c r="G1618" s="615">
        <f>+IF(F1618="i",IFERROR(VLOOKUP(C1618,'BG 2023'!B:E,3,FALSE),0),0)</f>
        <v>0</v>
      </c>
      <c r="H1618" s="616">
        <f>+IF(F1618="i",IFERROR(VLOOKUP(C1618,'BG 2023'!B:E,4,FALSE),0),0)</f>
        <v>0</v>
      </c>
      <c r="I1618" s="616"/>
      <c r="J1618" s="28">
        <f>IF(F1618="I",IFERROR(VLOOKUP(C1618,'BG 12.2023'!$B$6:$E$819,3,FALSE),0),0)</f>
        <v>0</v>
      </c>
      <c r="K1618" s="28">
        <f>IF(F1618="I",IFERROR(VLOOKUP(C1618,'BG 12.2023'!$B$6:$E$819,4,FALSE),0),0)</f>
        <v>0</v>
      </c>
      <c r="M1618" s="15" t="e">
        <f>+VLOOKUP(C1618,'BG 2023'!$B:$E,1,0)</f>
        <v>#N/A</v>
      </c>
      <c r="N1618" s="806" t="e">
        <f>+VLOOKUP(C1618,'BG 2023'!$B:$E,3,0)</f>
        <v>#N/A</v>
      </c>
      <c r="O1618" s="807" t="e">
        <f t="shared" si="156"/>
        <v>#N/A</v>
      </c>
      <c r="P1618" s="807"/>
      <c r="R1618" s="807"/>
    </row>
    <row r="1619" spans="1:18" s="87" customFormat="1">
      <c r="A1619" s="77" t="s">
        <v>1113</v>
      </c>
      <c r="B1619" s="77"/>
      <c r="C1619" s="793">
        <v>61101133</v>
      </c>
      <c r="D1619" s="77" t="s">
        <v>132</v>
      </c>
      <c r="E1619" s="794" t="s">
        <v>634</v>
      </c>
      <c r="F1619" s="794" t="str">
        <f t="shared" ref="F1619:F1620" si="157">+IF(LEN(C1619)&gt;8,"I","NI")</f>
        <v>NI</v>
      </c>
      <c r="G1619" s="615">
        <f>+IF(F1619="i",IFERROR(VLOOKUP(C1619,'BG 2023'!B:E,3,FALSE),0),0)</f>
        <v>0</v>
      </c>
      <c r="H1619" s="616">
        <f>+IF(F1619="i",IFERROR(VLOOKUP(C1619,'BG 2023'!B:E,4,FALSE),0),0)</f>
        <v>0</v>
      </c>
      <c r="I1619" s="616"/>
      <c r="J1619" s="28">
        <f>IF(F1619="I",IFERROR(VLOOKUP(C1619,'BG 12.2023'!$B$6:$E$819,3,FALSE),0),0)</f>
        <v>0</v>
      </c>
      <c r="K1619" s="28">
        <f>IF(F1619="I",IFERROR(VLOOKUP(C1619,'BG 12.2023'!$B$6:$E$819,4,FALSE),0),0)</f>
        <v>0</v>
      </c>
      <c r="M1619" s="15"/>
      <c r="N1619" s="806"/>
      <c r="O1619" s="807"/>
      <c r="P1619" s="807"/>
      <c r="R1619" s="807"/>
    </row>
    <row r="1620" spans="1:18" s="87" customFormat="1">
      <c r="A1620" s="77" t="s">
        <v>1113</v>
      </c>
      <c r="B1620" s="77" t="s">
        <v>1114</v>
      </c>
      <c r="C1620" s="793">
        <v>6110113301</v>
      </c>
      <c r="D1620" s="77" t="s">
        <v>132</v>
      </c>
      <c r="E1620" s="794" t="s">
        <v>634</v>
      </c>
      <c r="F1620" s="794" t="str">
        <f t="shared" si="157"/>
        <v>I</v>
      </c>
      <c r="G1620" s="615">
        <f>+IF(F1620="i",IFERROR(VLOOKUP(C1620,'BG 2023'!B:E,3,FALSE),0),0)</f>
        <v>9500000000</v>
      </c>
      <c r="H1620" s="616">
        <f>+IF(F1620="i",IFERROR(VLOOKUP(C1620,'BG 2023'!B:E,4,FALSE),0),0)</f>
        <v>1304296.4900000002</v>
      </c>
      <c r="I1620" s="616"/>
      <c r="J1620" s="28">
        <f>IF(F1620="I",IFERROR(VLOOKUP(C1620,'BG 12.2023'!$B$6:$E$819,3,FALSE),0),0)</f>
        <v>9500000000</v>
      </c>
      <c r="K1620" s="28">
        <f>IF(F1620="I",IFERROR(VLOOKUP(C1620,'BG 12.2023'!$B$6:$E$819,4,FALSE),0),0)</f>
        <v>1304296.4900000002</v>
      </c>
      <c r="M1620" s="15"/>
      <c r="N1620" s="806"/>
      <c r="O1620" s="807"/>
      <c r="P1620" s="807"/>
      <c r="R1620" s="807"/>
    </row>
    <row r="1621" spans="1:18" s="87" customFormat="1">
      <c r="A1621" s="77" t="s">
        <v>1113</v>
      </c>
      <c r="B1621" s="77"/>
      <c r="C1621" s="793">
        <v>61101132</v>
      </c>
      <c r="D1621" s="77" t="s">
        <v>689</v>
      </c>
      <c r="E1621" s="794" t="s">
        <v>640</v>
      </c>
      <c r="F1621" s="794" t="str">
        <f t="shared" ref="F1621:F1660" si="158">+IF(LEN(C1621)&gt;8,"I","NI")</f>
        <v>NI</v>
      </c>
      <c r="G1621" s="615">
        <f>+IF(F1621="i",IFERROR(VLOOKUP(C1621,'BG 2023'!B:E,3,FALSE),0),0)</f>
        <v>0</v>
      </c>
      <c r="H1621" s="616">
        <f>+IF(F1621="i",IFERROR(VLOOKUP(C1621,'BG 2023'!B:E,4,FALSE),0),0)</f>
        <v>0</v>
      </c>
      <c r="I1621" s="616"/>
      <c r="J1621" s="28">
        <f>IF(F1621="I",IFERROR(VLOOKUP(C1621,'BG 12.2023'!$B$6:$E$819,3,FALSE),0),0)</f>
        <v>0</v>
      </c>
      <c r="K1621" s="28">
        <f>IF(F1621="I",IFERROR(VLOOKUP(C1621,'BG 12.2023'!$B$6:$E$819,4,FALSE),0),0)</f>
        <v>0</v>
      </c>
      <c r="M1621" s="15" t="e">
        <f>+VLOOKUP(C1621,'BG 2023'!$B:$E,1,0)</f>
        <v>#N/A</v>
      </c>
      <c r="N1621" s="806" t="e">
        <f>+VLOOKUP(C1621,'BG 2023'!$B:$E,3,0)</f>
        <v>#N/A</v>
      </c>
      <c r="O1621" s="807" t="e">
        <f t="shared" si="156"/>
        <v>#N/A</v>
      </c>
      <c r="P1621" s="807"/>
      <c r="R1621" s="807"/>
    </row>
    <row r="1622" spans="1:18" s="87" customFormat="1">
      <c r="A1622" s="77" t="s">
        <v>1113</v>
      </c>
      <c r="B1622" s="77"/>
      <c r="C1622" s="793">
        <v>6110113201</v>
      </c>
      <c r="D1622" s="77" t="s">
        <v>1157</v>
      </c>
      <c r="E1622" s="794" t="s">
        <v>640</v>
      </c>
      <c r="F1622" s="794" t="str">
        <f t="shared" si="158"/>
        <v>I</v>
      </c>
      <c r="G1622" s="615">
        <f>+IF(F1622="i",IFERROR(VLOOKUP(C1622,'BG 2023'!B:E,3,FALSE),0),0)</f>
        <v>0</v>
      </c>
      <c r="H1622" s="616">
        <f>+IF(F1622="i",IFERROR(VLOOKUP(C1622,'BG 2023'!B:E,4,FALSE),0),0)</f>
        <v>0</v>
      </c>
      <c r="I1622" s="616"/>
      <c r="J1622" s="28">
        <f>IF(F1622="I",IFERROR(VLOOKUP(C1622,'BG 12.2023'!$B$6:$E$819,3,FALSE),0),0)</f>
        <v>0</v>
      </c>
      <c r="K1622" s="28">
        <f>IF(F1622="I",IFERROR(VLOOKUP(C1622,'BG 12.2023'!$B$6:$E$819,4,FALSE),0),0)</f>
        <v>0</v>
      </c>
      <c r="M1622" s="15" t="e">
        <f>+VLOOKUP(C1622,'BG 2023'!$B:$E,1,0)</f>
        <v>#N/A</v>
      </c>
      <c r="N1622" s="806" t="e">
        <f>+VLOOKUP(C1622,'BG 2023'!$B:$E,3,0)</f>
        <v>#N/A</v>
      </c>
      <c r="O1622" s="807" t="e">
        <f t="shared" si="156"/>
        <v>#N/A</v>
      </c>
      <c r="P1622" s="807"/>
      <c r="R1622" s="807"/>
    </row>
    <row r="1623" spans="1:18" s="87" customFormat="1">
      <c r="A1623" s="77" t="s">
        <v>1113</v>
      </c>
      <c r="B1623" s="77"/>
      <c r="C1623" s="793">
        <v>6110113202</v>
      </c>
      <c r="D1623" s="77" t="s">
        <v>1158</v>
      </c>
      <c r="E1623" s="794" t="s">
        <v>640</v>
      </c>
      <c r="F1623" s="794" t="str">
        <f t="shared" si="158"/>
        <v>I</v>
      </c>
      <c r="G1623" s="615">
        <f>+IF(F1623="i",IFERROR(VLOOKUP(C1623,'BG 2023'!B:E,3,FALSE),0),0)</f>
        <v>0</v>
      </c>
      <c r="H1623" s="616">
        <f>+IF(F1623="i",IFERROR(VLOOKUP(C1623,'BG 2023'!B:E,4,FALSE),0),0)</f>
        <v>0</v>
      </c>
      <c r="I1623" s="616"/>
      <c r="J1623" s="28">
        <f>IF(F1623="I",IFERROR(VLOOKUP(C1623,'BG 12.2023'!$B$6:$E$819,3,FALSE),0),0)</f>
        <v>0</v>
      </c>
      <c r="K1623" s="28">
        <f>IF(F1623="I",IFERROR(VLOOKUP(C1623,'BG 12.2023'!$B$6:$E$819,4,FALSE),0),0)</f>
        <v>0</v>
      </c>
      <c r="M1623" s="15" t="e">
        <f>+VLOOKUP(C1623,'BG 2023'!$B:$E,1,0)</f>
        <v>#N/A</v>
      </c>
      <c r="N1623" s="806" t="e">
        <f>+VLOOKUP(C1623,'BG 2023'!$B:$E,3,0)</f>
        <v>#N/A</v>
      </c>
      <c r="O1623" s="807" t="e">
        <f t="shared" si="156"/>
        <v>#N/A</v>
      </c>
      <c r="P1623" s="807"/>
      <c r="R1623" s="807"/>
    </row>
    <row r="1624" spans="1:18" s="87" customFormat="1">
      <c r="A1624" s="77" t="s">
        <v>1113</v>
      </c>
      <c r="B1624" s="77"/>
      <c r="C1624" s="793">
        <v>6110120</v>
      </c>
      <c r="D1624" s="77" t="s">
        <v>281</v>
      </c>
      <c r="E1624" s="794" t="s">
        <v>634</v>
      </c>
      <c r="F1624" s="794" t="str">
        <f t="shared" si="158"/>
        <v>NI</v>
      </c>
      <c r="G1624" s="615">
        <f>+IF(F1624="i",IFERROR(VLOOKUP(C1624,'BG 2023'!B:E,3,FALSE),0),0)</f>
        <v>0</v>
      </c>
      <c r="H1624" s="616">
        <f>+IF(F1624="i",IFERROR(VLOOKUP(C1624,'BG 2023'!B:E,4,FALSE),0),0)</f>
        <v>0</v>
      </c>
      <c r="I1624" s="616"/>
      <c r="J1624" s="28">
        <f>IF(F1624="I",IFERROR(VLOOKUP(C1624,'BG 12.2023'!$B$6:$E$819,3,FALSE),0),0)</f>
        <v>0</v>
      </c>
      <c r="K1624" s="28">
        <f>IF(F1624="I",IFERROR(VLOOKUP(C1624,'BG 12.2023'!$B$6:$E$819,4,FALSE),0),0)</f>
        <v>0</v>
      </c>
      <c r="M1624" s="15">
        <f>+VLOOKUP(C1624,'BG 2023'!$B:$E,1,0)</f>
        <v>6110120</v>
      </c>
      <c r="N1624" s="806">
        <f>+VLOOKUP(C1624,'BG 2023'!$B:$E,3,0)</f>
        <v>368842760801</v>
      </c>
      <c r="O1624" s="807">
        <f t="shared" si="156"/>
        <v>368842760801</v>
      </c>
      <c r="P1624" s="807"/>
      <c r="R1624" s="807"/>
    </row>
    <row r="1625" spans="1:18" s="87" customFormat="1">
      <c r="A1625" s="77" t="s">
        <v>1113</v>
      </c>
      <c r="B1625" s="77"/>
      <c r="C1625" s="793">
        <v>61101201</v>
      </c>
      <c r="D1625" s="77" t="s">
        <v>282</v>
      </c>
      <c r="E1625" s="794" t="s">
        <v>634</v>
      </c>
      <c r="F1625" s="794" t="str">
        <f t="shared" si="158"/>
        <v>NI</v>
      </c>
      <c r="G1625" s="615">
        <f>+IF(F1625="i",IFERROR(VLOOKUP(C1625,'BG 2023'!B:E,3,FALSE),0),0)</f>
        <v>0</v>
      </c>
      <c r="H1625" s="616">
        <f>+IF(F1625="i",IFERROR(VLOOKUP(C1625,'BG 2023'!B:E,4,FALSE),0),0)</f>
        <v>0</v>
      </c>
      <c r="I1625" s="616"/>
      <c r="J1625" s="28">
        <f>IF(F1625="I",IFERROR(VLOOKUP(C1625,'BG 12.2023'!$B$6:$E$819,3,FALSE),0),0)</f>
        <v>0</v>
      </c>
      <c r="K1625" s="28">
        <f>IF(F1625="I",IFERROR(VLOOKUP(C1625,'BG 12.2023'!$B$6:$E$819,4,FALSE),0),0)</f>
        <v>0</v>
      </c>
      <c r="M1625" s="15">
        <f>+VLOOKUP(C1625,'BG 2023'!$B:$E,1,0)</f>
        <v>61101201</v>
      </c>
      <c r="N1625" s="806">
        <f>+VLOOKUP(C1625,'BG 2023'!$B:$E,3,0)</f>
        <v>368842760801</v>
      </c>
      <c r="O1625" s="807">
        <f t="shared" si="156"/>
        <v>368842760801</v>
      </c>
      <c r="P1625" s="807"/>
      <c r="R1625" s="807"/>
    </row>
    <row r="1626" spans="1:18" s="87" customFormat="1">
      <c r="A1626" s="77" t="s">
        <v>1113</v>
      </c>
      <c r="B1626" s="77" t="s">
        <v>1114</v>
      </c>
      <c r="C1626" s="793">
        <v>6110120101</v>
      </c>
      <c r="D1626" s="77" t="s">
        <v>283</v>
      </c>
      <c r="E1626" s="794" t="s">
        <v>640</v>
      </c>
      <c r="F1626" s="794" t="str">
        <f t="shared" si="158"/>
        <v>I</v>
      </c>
      <c r="G1626" s="615">
        <f>+IF(F1626="i",IFERROR(VLOOKUP(C1626,'BG 2023'!B:E,3,FALSE),0),0)</f>
        <v>368842760801</v>
      </c>
      <c r="H1626" s="616">
        <f>+IF(F1626="i",IFERROR(VLOOKUP(C1626,'BG 2023'!B:E,4,FALSE),0),0)</f>
        <v>50640033.5</v>
      </c>
      <c r="I1626" s="616"/>
      <c r="J1626" s="28">
        <f>IF(F1626="I",IFERROR(VLOOKUP(C1626,'BG 12.2023'!$B$6:$E$819,3,FALSE),0),0)</f>
        <v>368842760801</v>
      </c>
      <c r="K1626" s="28">
        <f>IF(F1626="I",IFERROR(VLOOKUP(C1626,'BG 12.2023'!$B$6:$E$819,4,FALSE),0),0)</f>
        <v>50640033.5</v>
      </c>
      <c r="M1626" s="15">
        <f>+VLOOKUP(C1626,'BG 2023'!$B:$E,1,0)</f>
        <v>6110120101</v>
      </c>
      <c r="N1626" s="806">
        <f>+VLOOKUP(C1626,'BG 2023'!$B:$E,3,0)</f>
        <v>368842760801</v>
      </c>
      <c r="O1626" s="807">
        <f t="shared" si="156"/>
        <v>0</v>
      </c>
      <c r="P1626" s="807"/>
      <c r="R1626" s="807"/>
    </row>
    <row r="1627" spans="1:18" s="87" customFormat="1">
      <c r="A1627" s="77" t="s">
        <v>1113</v>
      </c>
      <c r="B1627" s="77"/>
      <c r="C1627" s="793">
        <v>614</v>
      </c>
      <c r="D1627" s="77" t="s">
        <v>1159</v>
      </c>
      <c r="E1627" s="794" t="s">
        <v>634</v>
      </c>
      <c r="F1627" s="794" t="str">
        <f t="shared" si="158"/>
        <v>NI</v>
      </c>
      <c r="G1627" s="615">
        <f>+IF(F1627="i",IFERROR(VLOOKUP(C1627,'BG 2023'!B:E,3,FALSE),0),0)</f>
        <v>0</v>
      </c>
      <c r="H1627" s="616">
        <f>+IF(F1627="i",IFERROR(VLOOKUP(C1627,'BG 2023'!B:E,4,FALSE),0),0)</f>
        <v>0</v>
      </c>
      <c r="I1627" s="616"/>
      <c r="J1627" s="28">
        <f>IF(F1627="I",IFERROR(VLOOKUP(C1627,'BG 12.2023'!$B$6:$E$819,3,FALSE),0),0)</f>
        <v>0</v>
      </c>
      <c r="K1627" s="28">
        <f>IF(F1627="I",IFERROR(VLOOKUP(C1627,'BG 12.2023'!$B$6:$E$819,4,FALSE),0),0)</f>
        <v>0</v>
      </c>
      <c r="M1627" s="15" t="e">
        <f>+VLOOKUP(C1627,'BG 2023'!$B:$E,1,0)</f>
        <v>#N/A</v>
      </c>
      <c r="N1627" s="806" t="e">
        <f>+VLOOKUP(C1627,'BG 2023'!$B:$E,3,0)</f>
        <v>#N/A</v>
      </c>
      <c r="O1627" s="807" t="e">
        <f t="shared" si="156"/>
        <v>#N/A</v>
      </c>
      <c r="P1627" s="807"/>
      <c r="R1627" s="807"/>
    </row>
    <row r="1628" spans="1:18" s="87" customFormat="1">
      <c r="A1628" s="77" t="s">
        <v>1113</v>
      </c>
      <c r="B1628" s="77"/>
      <c r="C1628" s="793">
        <v>61401</v>
      </c>
      <c r="D1628" s="77" t="s">
        <v>1159</v>
      </c>
      <c r="E1628" s="794" t="s">
        <v>634</v>
      </c>
      <c r="F1628" s="794" t="str">
        <f t="shared" si="158"/>
        <v>NI</v>
      </c>
      <c r="G1628" s="615">
        <f>+IF(F1628="i",IFERROR(VLOOKUP(C1628,'BG 2023'!B:E,3,FALSE),0),0)</f>
        <v>0</v>
      </c>
      <c r="H1628" s="616">
        <f>+IF(F1628="i",IFERROR(VLOOKUP(C1628,'BG 2023'!B:E,4,FALSE),0),0)</f>
        <v>0</v>
      </c>
      <c r="I1628" s="616"/>
      <c r="J1628" s="28">
        <f>IF(F1628="I",IFERROR(VLOOKUP(C1628,'BG 12.2023'!$B$6:$E$819,3,FALSE),0),0)</f>
        <v>0</v>
      </c>
      <c r="K1628" s="28">
        <f>IF(F1628="I",IFERROR(VLOOKUP(C1628,'BG 12.2023'!$B$6:$E$819,4,FALSE),0),0)</f>
        <v>0</v>
      </c>
      <c r="M1628" s="15" t="e">
        <f>+VLOOKUP(C1628,'BG 2023'!$B:$E,1,0)</f>
        <v>#N/A</v>
      </c>
      <c r="N1628" s="806" t="e">
        <f>+VLOOKUP(C1628,'BG 2023'!$B:$E,3,0)</f>
        <v>#N/A</v>
      </c>
      <c r="O1628" s="807" t="e">
        <f t="shared" si="156"/>
        <v>#N/A</v>
      </c>
      <c r="P1628" s="807"/>
      <c r="R1628" s="807"/>
    </row>
    <row r="1629" spans="1:18" s="87" customFormat="1">
      <c r="A1629" s="77" t="s">
        <v>1113</v>
      </c>
      <c r="B1629" s="77"/>
      <c r="C1629" s="793">
        <v>614011</v>
      </c>
      <c r="D1629" s="77" t="s">
        <v>1159</v>
      </c>
      <c r="E1629" s="794" t="s">
        <v>634</v>
      </c>
      <c r="F1629" s="794" t="str">
        <f t="shared" si="158"/>
        <v>NI</v>
      </c>
      <c r="G1629" s="615">
        <f>+IF(F1629="i",IFERROR(VLOOKUP(C1629,'BG 2023'!B:E,3,FALSE),0),0)</f>
        <v>0</v>
      </c>
      <c r="H1629" s="616">
        <f>+IF(F1629="i",IFERROR(VLOOKUP(C1629,'BG 2023'!B:E,4,FALSE),0),0)</f>
        <v>0</v>
      </c>
      <c r="I1629" s="616"/>
      <c r="J1629" s="28">
        <f>IF(F1629="I",IFERROR(VLOOKUP(C1629,'BG 12.2023'!$B$6:$E$819,3,FALSE),0),0)</f>
        <v>0</v>
      </c>
      <c r="K1629" s="28">
        <f>IF(F1629="I",IFERROR(VLOOKUP(C1629,'BG 12.2023'!$B$6:$E$819,4,FALSE),0),0)</f>
        <v>0</v>
      </c>
      <c r="M1629" s="15" t="e">
        <f>+VLOOKUP(C1629,'BG 2023'!$B:$E,1,0)</f>
        <v>#N/A</v>
      </c>
      <c r="N1629" s="806" t="e">
        <f>+VLOOKUP(C1629,'BG 2023'!$B:$E,3,0)</f>
        <v>#N/A</v>
      </c>
      <c r="O1629" s="807" t="e">
        <f t="shared" si="156"/>
        <v>#N/A</v>
      </c>
      <c r="P1629" s="807"/>
      <c r="R1629" s="807"/>
    </row>
    <row r="1630" spans="1:18" s="87" customFormat="1">
      <c r="A1630" s="77" t="s">
        <v>1113</v>
      </c>
      <c r="B1630" s="77"/>
      <c r="C1630" s="793">
        <v>6140110</v>
      </c>
      <c r="D1630" s="77" t="s">
        <v>1159</v>
      </c>
      <c r="E1630" s="794" t="s">
        <v>634</v>
      </c>
      <c r="F1630" s="794" t="str">
        <f t="shared" si="158"/>
        <v>NI</v>
      </c>
      <c r="G1630" s="615">
        <f>+IF(F1630="i",IFERROR(VLOOKUP(C1630,'BG 2023'!B:E,3,FALSE),0),0)</f>
        <v>0</v>
      </c>
      <c r="H1630" s="616">
        <f>+IF(F1630="i",IFERROR(VLOOKUP(C1630,'BG 2023'!B:E,4,FALSE),0),0)</f>
        <v>0</v>
      </c>
      <c r="I1630" s="616"/>
      <c r="J1630" s="28">
        <f>IF(F1630="I",IFERROR(VLOOKUP(C1630,'BG 12.2023'!$B$6:$E$819,3,FALSE),0),0)</f>
        <v>0</v>
      </c>
      <c r="K1630" s="28">
        <f>IF(F1630="I",IFERROR(VLOOKUP(C1630,'BG 12.2023'!$B$6:$E$819,4,FALSE),0),0)</f>
        <v>0</v>
      </c>
      <c r="M1630" s="15" t="e">
        <f>+VLOOKUP(C1630,'BG 2023'!$B:$E,1,0)</f>
        <v>#N/A</v>
      </c>
      <c r="N1630" s="806" t="e">
        <f>+VLOOKUP(C1630,'BG 2023'!$B:$E,3,0)</f>
        <v>#N/A</v>
      </c>
      <c r="O1630" s="807" t="e">
        <f t="shared" si="156"/>
        <v>#N/A</v>
      </c>
      <c r="P1630" s="807"/>
      <c r="R1630" s="807"/>
    </row>
    <row r="1631" spans="1:18" s="87" customFormat="1">
      <c r="A1631" s="77" t="s">
        <v>1113</v>
      </c>
      <c r="B1631" s="77"/>
      <c r="C1631" s="793">
        <v>61401101</v>
      </c>
      <c r="D1631" s="77" t="s">
        <v>1159</v>
      </c>
      <c r="E1631" s="794" t="s">
        <v>634</v>
      </c>
      <c r="F1631" s="794" t="str">
        <f t="shared" si="158"/>
        <v>NI</v>
      </c>
      <c r="G1631" s="615">
        <f>+IF(F1631="i",IFERROR(VLOOKUP(C1631,'BG 2023'!B:E,3,FALSE),0),0)</f>
        <v>0</v>
      </c>
      <c r="H1631" s="616">
        <f>+IF(F1631="i",IFERROR(VLOOKUP(C1631,'BG 2023'!B:E,4,FALSE),0),0)</f>
        <v>0</v>
      </c>
      <c r="I1631" s="616"/>
      <c r="J1631" s="28">
        <f>IF(F1631="I",IFERROR(VLOOKUP(C1631,'BG 12.2023'!$B$6:$E$819,3,FALSE),0),0)</f>
        <v>0</v>
      </c>
      <c r="K1631" s="28">
        <f>IF(F1631="I",IFERROR(VLOOKUP(C1631,'BG 12.2023'!$B$6:$E$819,4,FALSE),0),0)</f>
        <v>0</v>
      </c>
      <c r="M1631" s="15" t="e">
        <f>+VLOOKUP(C1631,'BG 2023'!$B:$E,1,0)</f>
        <v>#N/A</v>
      </c>
      <c r="N1631" s="806" t="e">
        <f>+VLOOKUP(C1631,'BG 2023'!$B:$E,3,0)</f>
        <v>#N/A</v>
      </c>
      <c r="O1631" s="807" t="e">
        <f t="shared" si="156"/>
        <v>#N/A</v>
      </c>
      <c r="P1631" s="807"/>
      <c r="R1631" s="807"/>
    </row>
    <row r="1632" spans="1:18" s="87" customFormat="1">
      <c r="A1632" s="77" t="s">
        <v>1113</v>
      </c>
      <c r="B1632" s="77" t="s">
        <v>1114</v>
      </c>
      <c r="C1632" s="793">
        <v>6140110101</v>
      </c>
      <c r="D1632" s="77" t="s">
        <v>1159</v>
      </c>
      <c r="E1632" s="794" t="s">
        <v>634</v>
      </c>
      <c r="F1632" s="794" t="str">
        <f t="shared" si="158"/>
        <v>I</v>
      </c>
      <c r="G1632" s="615">
        <f>+IF(F1632="i",IFERROR(VLOOKUP(C1632,'BG 2023'!B:E,3,FALSE),0),0)</f>
        <v>0</v>
      </c>
      <c r="H1632" s="616">
        <f>+IF(F1632="i",IFERROR(VLOOKUP(C1632,'BG 2023'!B:E,4,FALSE),0),0)</f>
        <v>0</v>
      </c>
      <c r="I1632" s="616"/>
      <c r="J1632" s="28">
        <f>IF(F1632="I",IFERROR(VLOOKUP(C1632,'BG 12.2023'!$B$6:$E$819,3,FALSE),0),0)</f>
        <v>0</v>
      </c>
      <c r="K1632" s="28">
        <f>IF(F1632="I",IFERROR(VLOOKUP(C1632,'BG 12.2023'!$B$6:$E$819,4,FALSE),0),0)</f>
        <v>0</v>
      </c>
      <c r="M1632" s="15" t="e">
        <f>+VLOOKUP(C1632,'BG 2023'!$B:$E,1,0)</f>
        <v>#N/A</v>
      </c>
      <c r="N1632" s="806" t="e">
        <f>+VLOOKUP(C1632,'BG 2023'!$B:$E,3,0)</f>
        <v>#N/A</v>
      </c>
      <c r="O1632" s="807" t="e">
        <f t="shared" si="156"/>
        <v>#N/A</v>
      </c>
      <c r="P1632" s="807"/>
      <c r="R1632" s="807"/>
    </row>
    <row r="1633" spans="1:18" s="87" customFormat="1">
      <c r="A1633" s="77" t="s">
        <v>1113</v>
      </c>
      <c r="B1633" s="77"/>
      <c r="C1633" s="1350">
        <v>615</v>
      </c>
      <c r="D1633" s="1349" t="s">
        <v>2958</v>
      </c>
      <c r="E1633" s="794" t="s">
        <v>634</v>
      </c>
      <c r="F1633" s="794" t="str">
        <f t="shared" ref="F1633:F1640" si="159">+IF(LEN(C1633)&gt;8,"I","NI")</f>
        <v>NI</v>
      </c>
      <c r="G1633" s="615">
        <f>+IF(F1633="i",IFERROR(VLOOKUP(C1633,'BG 2023'!B:E,3,FALSE),0),0)</f>
        <v>0</v>
      </c>
      <c r="H1633" s="616">
        <f>+IF(F1633="i",IFERROR(VLOOKUP(C1633,'BG 2023'!B:E,4,FALSE),0),0)</f>
        <v>0</v>
      </c>
      <c r="I1633" s="616"/>
      <c r="J1633" s="28">
        <f>IF(F1633="I",IFERROR(VLOOKUP(C1633,'BG 12.2023'!$B$6:$E$819,3,FALSE),0),0)</f>
        <v>0</v>
      </c>
      <c r="K1633" s="28">
        <f>IF(F1633="I",IFERROR(VLOOKUP(C1633,'BG 12.2023'!$B$6:$E$819,4,FALSE),0),0)</f>
        <v>0</v>
      </c>
      <c r="M1633" s="15" t="e">
        <f>+VLOOKUP(C1633,'BG 2023'!$B:$E,1,0)</f>
        <v>#N/A</v>
      </c>
      <c r="N1633" s="806" t="e">
        <f>+VLOOKUP(C1633,'BG 2023'!$B:$E,3,0)</f>
        <v>#N/A</v>
      </c>
      <c r="O1633" s="807" t="e">
        <f t="shared" ref="O1633:O1640" si="160">+N1633-G1633</f>
        <v>#N/A</v>
      </c>
      <c r="P1633" s="807"/>
      <c r="R1633" s="807"/>
    </row>
    <row r="1634" spans="1:18" s="87" customFormat="1">
      <c r="A1634" s="77" t="s">
        <v>1113</v>
      </c>
      <c r="B1634" s="77"/>
      <c r="C1634" s="1350">
        <v>61501</v>
      </c>
      <c r="D1634" s="1349" t="s">
        <v>2958</v>
      </c>
      <c r="E1634" s="794" t="s">
        <v>634</v>
      </c>
      <c r="F1634" s="794" t="str">
        <f t="shared" si="159"/>
        <v>NI</v>
      </c>
      <c r="G1634" s="615">
        <f>+IF(F1634="i",IFERROR(VLOOKUP(C1634,'BG 2023'!B:E,3,FALSE),0),0)</f>
        <v>0</v>
      </c>
      <c r="H1634" s="616">
        <f>+IF(F1634="i",IFERROR(VLOOKUP(C1634,'BG 2023'!B:E,4,FALSE),0),0)</f>
        <v>0</v>
      </c>
      <c r="I1634" s="616"/>
      <c r="J1634" s="28">
        <f>IF(F1634="I",IFERROR(VLOOKUP(C1634,'BG 12.2023'!$B$6:$E$819,3,FALSE),0),0)</f>
        <v>0</v>
      </c>
      <c r="K1634" s="28">
        <f>IF(F1634="I",IFERROR(VLOOKUP(C1634,'BG 12.2023'!$B$6:$E$819,4,FALSE),0),0)</f>
        <v>0</v>
      </c>
      <c r="M1634" s="15" t="e">
        <f>+VLOOKUP(C1634,'BG 2023'!$B:$E,1,0)</f>
        <v>#N/A</v>
      </c>
      <c r="N1634" s="806" t="e">
        <f>+VLOOKUP(C1634,'BG 2023'!$B:$E,3,0)</f>
        <v>#N/A</v>
      </c>
      <c r="O1634" s="807" t="e">
        <f t="shared" si="160"/>
        <v>#N/A</v>
      </c>
      <c r="P1634" s="807"/>
      <c r="R1634" s="807"/>
    </row>
    <row r="1635" spans="1:18" s="87" customFormat="1">
      <c r="A1635" s="77" t="s">
        <v>1113</v>
      </c>
      <c r="B1635" s="77"/>
      <c r="C1635" s="1350">
        <v>615011</v>
      </c>
      <c r="D1635" s="1349" t="s">
        <v>2958</v>
      </c>
      <c r="E1635" s="794" t="s">
        <v>634</v>
      </c>
      <c r="F1635" s="794" t="str">
        <f t="shared" si="159"/>
        <v>NI</v>
      </c>
      <c r="G1635" s="615">
        <f>+IF(F1635="i",IFERROR(VLOOKUP(C1635,'BG 2023'!B:E,3,FALSE),0),0)</f>
        <v>0</v>
      </c>
      <c r="H1635" s="616">
        <f>+IF(F1635="i",IFERROR(VLOOKUP(C1635,'BG 2023'!B:E,4,FALSE),0),0)</f>
        <v>0</v>
      </c>
      <c r="I1635" s="616"/>
      <c r="J1635" s="28">
        <f>IF(F1635="I",IFERROR(VLOOKUP(C1635,'BG 12.2023'!$B$6:$E$819,3,FALSE),0),0)</f>
        <v>0</v>
      </c>
      <c r="K1635" s="28">
        <f>IF(F1635="I",IFERROR(VLOOKUP(C1635,'BG 12.2023'!$B$6:$E$819,4,FALSE),0),0)</f>
        <v>0</v>
      </c>
      <c r="M1635" s="15" t="e">
        <f>+VLOOKUP(C1635,'BG 2023'!$B:$E,1,0)</f>
        <v>#N/A</v>
      </c>
      <c r="N1635" s="806" t="e">
        <f>+VLOOKUP(C1635,'BG 2023'!$B:$E,3,0)</f>
        <v>#N/A</v>
      </c>
      <c r="O1635" s="807" t="e">
        <f t="shared" si="160"/>
        <v>#N/A</v>
      </c>
      <c r="P1635" s="807"/>
      <c r="R1635" s="807"/>
    </row>
    <row r="1636" spans="1:18" s="87" customFormat="1">
      <c r="A1636" s="77" t="s">
        <v>1113</v>
      </c>
      <c r="B1636" s="77"/>
      <c r="C1636" s="1350">
        <v>6150110</v>
      </c>
      <c r="D1636" s="1349" t="s">
        <v>2958</v>
      </c>
      <c r="E1636" s="794" t="s">
        <v>634</v>
      </c>
      <c r="F1636" s="794" t="str">
        <f t="shared" si="159"/>
        <v>NI</v>
      </c>
      <c r="G1636" s="615">
        <f>+IF(F1636="i",IFERROR(VLOOKUP(C1636,'BG 2023'!B:E,3,FALSE),0),0)</f>
        <v>0</v>
      </c>
      <c r="H1636" s="616">
        <f>+IF(F1636="i",IFERROR(VLOOKUP(C1636,'BG 2023'!B:E,4,FALSE),0),0)</f>
        <v>0</v>
      </c>
      <c r="I1636" s="616"/>
      <c r="J1636" s="28">
        <f>IF(F1636="I",IFERROR(VLOOKUP(C1636,'BG 12.2023'!$B$6:$E$819,3,FALSE),0),0)</f>
        <v>0</v>
      </c>
      <c r="K1636" s="28">
        <f>IF(F1636="I",IFERROR(VLOOKUP(C1636,'BG 12.2023'!$B$6:$E$819,4,FALSE),0),0)</f>
        <v>0</v>
      </c>
      <c r="M1636" s="15" t="e">
        <f>+VLOOKUP(C1636,'BG 2023'!$B:$E,1,0)</f>
        <v>#N/A</v>
      </c>
      <c r="N1636" s="806" t="e">
        <f>+VLOOKUP(C1636,'BG 2023'!$B:$E,3,0)</f>
        <v>#N/A</v>
      </c>
      <c r="O1636" s="807" t="e">
        <f t="shared" si="160"/>
        <v>#N/A</v>
      </c>
      <c r="P1636" s="807"/>
      <c r="R1636" s="807"/>
    </row>
    <row r="1637" spans="1:18" s="87" customFormat="1">
      <c r="A1637" s="77" t="s">
        <v>1113</v>
      </c>
      <c r="B1637" s="77"/>
      <c r="C1637" s="1350">
        <v>61501101</v>
      </c>
      <c r="D1637" s="1349" t="s">
        <v>2959</v>
      </c>
      <c r="E1637" s="794" t="s">
        <v>634</v>
      </c>
      <c r="F1637" s="794" t="str">
        <f t="shared" si="159"/>
        <v>NI</v>
      </c>
      <c r="G1637" s="615">
        <f>+IF(F1637="i",IFERROR(VLOOKUP(C1637,'BG 2023'!B:E,3,FALSE),0),0)</f>
        <v>0</v>
      </c>
      <c r="H1637" s="616">
        <f>+IF(F1637="i",IFERROR(VLOOKUP(C1637,'BG 2023'!B:E,4,FALSE),0),0)</f>
        <v>0</v>
      </c>
      <c r="I1637" s="616"/>
      <c r="J1637" s="28">
        <f>IF(F1637="I",IFERROR(VLOOKUP(C1637,'BG 12.2023'!$B$6:$E$819,3,FALSE),0),0)</f>
        <v>0</v>
      </c>
      <c r="K1637" s="28">
        <f>IF(F1637="I",IFERROR(VLOOKUP(C1637,'BG 12.2023'!$B$6:$E$819,4,FALSE),0),0)</f>
        <v>0</v>
      </c>
      <c r="M1637" s="15" t="e">
        <f>+VLOOKUP(C1637,'BG 2023'!$B:$E,1,0)</f>
        <v>#N/A</v>
      </c>
      <c r="N1637" s="806" t="e">
        <f>+VLOOKUP(C1637,'BG 2023'!$B:$E,3,0)</f>
        <v>#N/A</v>
      </c>
      <c r="O1637" s="807" t="e">
        <f t="shared" si="160"/>
        <v>#N/A</v>
      </c>
      <c r="P1637" s="807"/>
      <c r="R1637" s="807"/>
    </row>
    <row r="1638" spans="1:18" s="87" customFormat="1">
      <c r="A1638" s="77" t="s">
        <v>1113</v>
      </c>
      <c r="B1638" s="77" t="s">
        <v>1114</v>
      </c>
      <c r="C1638" s="1350">
        <v>6150110101</v>
      </c>
      <c r="D1638" s="1349" t="s">
        <v>2960</v>
      </c>
      <c r="E1638" s="794" t="s">
        <v>634</v>
      </c>
      <c r="F1638" s="794" t="str">
        <f t="shared" ref="F1638:F1639" si="161">+IF(LEN(C1638)&gt;8,"I","NI")</f>
        <v>I</v>
      </c>
      <c r="G1638" s="615">
        <f>+IF(F1638="i",IFERROR(VLOOKUP(C1638,'BG 2023'!B:E,3,FALSE),0),0)</f>
        <v>0</v>
      </c>
      <c r="H1638" s="616">
        <f>+IF(F1638="i",IFERROR(VLOOKUP(C1638,'BG 2023'!B:E,4,FALSE),0),0)</f>
        <v>0</v>
      </c>
      <c r="I1638" s="616"/>
      <c r="J1638" s="28">
        <f>IF(F1638="I",IFERROR(VLOOKUP(C1638,'BG 12.2023'!$B$6:$E$819,3,FALSE),0),0)</f>
        <v>0</v>
      </c>
      <c r="K1638" s="28">
        <f>IF(F1638="I",IFERROR(VLOOKUP(C1638,'BG 12.2023'!$B$6:$E$819,4,FALSE),0),0)</f>
        <v>0</v>
      </c>
      <c r="M1638" s="15" t="e">
        <f>+VLOOKUP(C1638,'BG 2023'!$B:$E,1,0)</f>
        <v>#N/A</v>
      </c>
      <c r="N1638" s="806" t="e">
        <f>+VLOOKUP(C1638,'BG 2023'!$B:$E,3,0)</f>
        <v>#N/A</v>
      </c>
      <c r="O1638" s="807" t="e">
        <f t="shared" ref="O1638:O1639" si="162">+N1638-G1638</f>
        <v>#N/A</v>
      </c>
      <c r="P1638" s="807"/>
      <c r="R1638" s="807"/>
    </row>
    <row r="1639" spans="1:18" s="87" customFormat="1">
      <c r="A1639" s="77" t="s">
        <v>1113</v>
      </c>
      <c r="B1639" s="77"/>
      <c r="C1639" s="1350">
        <v>61501102</v>
      </c>
      <c r="D1639" s="1349" t="s">
        <v>2962</v>
      </c>
      <c r="E1639" s="794" t="s">
        <v>640</v>
      </c>
      <c r="F1639" s="794" t="str">
        <f t="shared" si="161"/>
        <v>NI</v>
      </c>
      <c r="G1639" s="615">
        <f>+IF(F1639="i",IFERROR(VLOOKUP(C1639,'BG 2023'!B:E,3,FALSE),0),0)</f>
        <v>0</v>
      </c>
      <c r="H1639" s="616">
        <f>+IF(F1639="i",IFERROR(VLOOKUP(C1639,'BG 2023'!B:E,4,FALSE),0),0)</f>
        <v>0</v>
      </c>
      <c r="I1639" s="616"/>
      <c r="J1639" s="28">
        <f>IF(F1639="I",IFERROR(VLOOKUP(C1639,'BG 12.2023'!$B$6:$E$819,3,FALSE),0),0)</f>
        <v>0</v>
      </c>
      <c r="K1639" s="28">
        <f>IF(F1639="I",IFERROR(VLOOKUP(C1639,'BG 12.2023'!$B$6:$E$819,4,FALSE),0),0)</f>
        <v>0</v>
      </c>
      <c r="M1639" s="15" t="e">
        <f>+VLOOKUP(C1639,'BG 2023'!$B:$E,1,0)</f>
        <v>#N/A</v>
      </c>
      <c r="N1639" s="806" t="e">
        <f>+VLOOKUP(C1639,'BG 2023'!$B:$E,3,0)</f>
        <v>#N/A</v>
      </c>
      <c r="O1639" s="807" t="e">
        <f t="shared" si="162"/>
        <v>#N/A</v>
      </c>
      <c r="P1639" s="807"/>
      <c r="R1639" s="807"/>
    </row>
    <row r="1640" spans="1:18" s="87" customFormat="1">
      <c r="A1640" s="77" t="s">
        <v>1113</v>
      </c>
      <c r="B1640" s="77" t="s">
        <v>1114</v>
      </c>
      <c r="C1640" s="1350">
        <v>6150110202</v>
      </c>
      <c r="D1640" s="1349" t="s">
        <v>2961</v>
      </c>
      <c r="E1640" s="794" t="s">
        <v>640</v>
      </c>
      <c r="F1640" s="794" t="str">
        <f t="shared" si="159"/>
        <v>I</v>
      </c>
      <c r="G1640" s="615">
        <f>+IF(F1640="i",IFERROR(VLOOKUP(C1640,'BG 2023'!B:E,3,FALSE),0),0)</f>
        <v>0</v>
      </c>
      <c r="H1640" s="616">
        <f>+IF(F1640="i",IFERROR(VLOOKUP(C1640,'BG 2023'!B:E,4,FALSE),0),0)</f>
        <v>0</v>
      </c>
      <c r="I1640" s="616"/>
      <c r="J1640" s="28">
        <f>IF(F1640="I",IFERROR(VLOOKUP(C1640,'BG 12.2023'!$B$6:$E$819,3,FALSE),0),0)</f>
        <v>0</v>
      </c>
      <c r="K1640" s="28">
        <f>IF(F1640="I",IFERROR(VLOOKUP(C1640,'BG 12.2023'!$B$6:$E$819,4,FALSE),0),0)</f>
        <v>0</v>
      </c>
      <c r="M1640" s="15" t="e">
        <f>+VLOOKUP(C1640,'BG 2023'!$B:$E,1,0)</f>
        <v>#N/A</v>
      </c>
      <c r="N1640" s="806" t="e">
        <f>+VLOOKUP(C1640,'BG 2023'!$B:$E,3,0)</f>
        <v>#N/A</v>
      </c>
      <c r="O1640" s="807" t="e">
        <f t="shared" si="160"/>
        <v>#N/A</v>
      </c>
      <c r="P1640" s="807"/>
      <c r="R1640" s="807"/>
    </row>
    <row r="1641" spans="1:18" s="87" customFormat="1">
      <c r="A1641" s="77" t="s">
        <v>1113</v>
      </c>
      <c r="B1641" s="77"/>
      <c r="C1641" s="793">
        <v>62</v>
      </c>
      <c r="D1641" s="77" t="s">
        <v>284</v>
      </c>
      <c r="E1641" s="794" t="s">
        <v>634</v>
      </c>
      <c r="F1641" s="794" t="str">
        <f t="shared" si="158"/>
        <v>NI</v>
      </c>
      <c r="G1641" s="615">
        <f>+IF(F1641="i",IFERROR(VLOOKUP(C1641,'BG 2023'!B:E,3,FALSE),0),0)</f>
        <v>0</v>
      </c>
      <c r="H1641" s="616">
        <f>+IF(F1641="i",IFERROR(VLOOKUP(C1641,'BG 2023'!B:E,4,FALSE),0),0)</f>
        <v>0</v>
      </c>
      <c r="I1641" s="616"/>
      <c r="J1641" s="28">
        <f>IF(F1641="I",IFERROR(VLOOKUP(C1641,'BG 12.2023'!$B$6:$E$819,3,FALSE),0),0)</f>
        <v>0</v>
      </c>
      <c r="K1641" s="28">
        <f>IF(F1641="I",IFERROR(VLOOKUP(C1641,'BG 12.2023'!$B$6:$E$819,4,FALSE),0),0)</f>
        <v>0</v>
      </c>
      <c r="M1641" s="15">
        <f>+VLOOKUP(C1641,'BG 2023'!$B:$E,1,0)</f>
        <v>62</v>
      </c>
      <c r="N1641" s="806">
        <f>+VLOOKUP(C1641,'BG 2023'!$B:$E,3,0)</f>
        <v>1854581611119</v>
      </c>
      <c r="O1641" s="807">
        <f t="shared" si="156"/>
        <v>1854581611119</v>
      </c>
      <c r="P1641" s="807"/>
      <c r="R1641" s="807"/>
    </row>
    <row r="1642" spans="1:18" s="87" customFormat="1">
      <c r="A1642" s="77" t="s">
        <v>1113</v>
      </c>
      <c r="B1642" s="77"/>
      <c r="C1642" s="793">
        <v>621</v>
      </c>
      <c r="D1642" s="77" t="s">
        <v>251</v>
      </c>
      <c r="E1642" s="794" t="s">
        <v>634</v>
      </c>
      <c r="F1642" s="794" t="str">
        <f t="shared" si="158"/>
        <v>NI</v>
      </c>
      <c r="G1642" s="615">
        <f>+IF(F1642="i",IFERROR(VLOOKUP(C1642,'BG 2023'!B:E,3,FALSE),0),0)</f>
        <v>0</v>
      </c>
      <c r="H1642" s="616">
        <f>+IF(F1642="i",IFERROR(VLOOKUP(C1642,'BG 2023'!B:E,4,FALSE),0),0)</f>
        <v>0</v>
      </c>
      <c r="I1642" s="616"/>
      <c r="J1642" s="28">
        <f>IF(F1642="I",IFERROR(VLOOKUP(C1642,'BG 12.2023'!$B$6:$E$819,3,FALSE),0),0)</f>
        <v>0</v>
      </c>
      <c r="K1642" s="28">
        <f>IF(F1642="I",IFERROR(VLOOKUP(C1642,'BG 12.2023'!$B$6:$E$819,4,FALSE),0),0)</f>
        <v>0</v>
      </c>
      <c r="M1642" s="15">
        <f>+VLOOKUP(C1642,'BG 2023'!$B:$E,1,0)</f>
        <v>621</v>
      </c>
      <c r="N1642" s="806">
        <f>+VLOOKUP(C1642,'BG 2023'!$B:$E,3,0)</f>
        <v>1854581611119</v>
      </c>
      <c r="O1642" s="807">
        <f t="shared" si="156"/>
        <v>1854581611119</v>
      </c>
      <c r="P1642" s="807"/>
      <c r="R1642" s="807"/>
    </row>
    <row r="1643" spans="1:18" s="87" customFormat="1">
      <c r="A1643" s="77" t="s">
        <v>1113</v>
      </c>
      <c r="B1643" s="77"/>
      <c r="C1643" s="793">
        <v>62101</v>
      </c>
      <c r="D1643" s="77" t="s">
        <v>251</v>
      </c>
      <c r="E1643" s="794" t="s">
        <v>634</v>
      </c>
      <c r="F1643" s="794" t="str">
        <f t="shared" si="158"/>
        <v>NI</v>
      </c>
      <c r="G1643" s="615">
        <f>+IF(F1643="i",IFERROR(VLOOKUP(C1643,'BG 2023'!B:E,3,FALSE),0),0)</f>
        <v>0</v>
      </c>
      <c r="H1643" s="616">
        <f>+IF(F1643="i",IFERROR(VLOOKUP(C1643,'BG 2023'!B:E,4,FALSE),0),0)</f>
        <v>0</v>
      </c>
      <c r="I1643" s="616"/>
      <c r="J1643" s="28">
        <f>IF(F1643="I",IFERROR(VLOOKUP(C1643,'BG 12.2023'!$B$6:$E$819,3,FALSE),0),0)</f>
        <v>0</v>
      </c>
      <c r="K1643" s="28">
        <f>IF(F1643="I",IFERROR(VLOOKUP(C1643,'BG 12.2023'!$B$6:$E$819,4,FALSE),0),0)</f>
        <v>0</v>
      </c>
      <c r="M1643" s="15">
        <f>+VLOOKUP(C1643,'BG 2023'!$B:$E,1,0)</f>
        <v>62101</v>
      </c>
      <c r="N1643" s="806">
        <f>+VLOOKUP(C1643,'BG 2023'!$B:$E,3,0)</f>
        <v>1854581611119</v>
      </c>
      <c r="O1643" s="807">
        <f t="shared" si="156"/>
        <v>1854581611119</v>
      </c>
      <c r="P1643" s="807"/>
      <c r="R1643" s="807"/>
    </row>
    <row r="1644" spans="1:18" s="87" customFormat="1">
      <c r="A1644" s="77" t="s">
        <v>1113</v>
      </c>
      <c r="B1644" s="77"/>
      <c r="C1644" s="793">
        <v>621011</v>
      </c>
      <c r="D1644" s="77" t="s">
        <v>251</v>
      </c>
      <c r="E1644" s="794" t="s">
        <v>634</v>
      </c>
      <c r="F1644" s="794" t="str">
        <f t="shared" si="158"/>
        <v>NI</v>
      </c>
      <c r="G1644" s="615">
        <f>+IF(F1644="i",IFERROR(VLOOKUP(C1644,'BG 2023'!B:E,3,FALSE),0),0)</f>
        <v>0</v>
      </c>
      <c r="H1644" s="616">
        <f>+IF(F1644="i",IFERROR(VLOOKUP(C1644,'BG 2023'!B:E,4,FALSE),0),0)</f>
        <v>0</v>
      </c>
      <c r="I1644" s="616"/>
      <c r="J1644" s="28">
        <f>IF(F1644="I",IFERROR(VLOOKUP(C1644,'BG 12.2023'!$B$6:$E$819,3,FALSE),0),0)</f>
        <v>0</v>
      </c>
      <c r="K1644" s="28">
        <f>IF(F1644="I",IFERROR(VLOOKUP(C1644,'BG 12.2023'!$B$6:$E$819,4,FALSE),0),0)</f>
        <v>0</v>
      </c>
      <c r="M1644" s="15">
        <f>+VLOOKUP(C1644,'BG 2023'!$B:$E,1,0)</f>
        <v>621011</v>
      </c>
      <c r="N1644" s="806">
        <f>+VLOOKUP(C1644,'BG 2023'!$B:$E,3,0)</f>
        <v>1854581611119</v>
      </c>
      <c r="O1644" s="807">
        <f t="shared" si="156"/>
        <v>1854581611119</v>
      </c>
      <c r="P1644" s="807"/>
      <c r="R1644" s="807"/>
    </row>
    <row r="1645" spans="1:18" s="87" customFormat="1">
      <c r="A1645" s="77" t="s">
        <v>1113</v>
      </c>
      <c r="B1645" s="77"/>
      <c r="C1645" s="793">
        <v>6210110</v>
      </c>
      <c r="D1645" s="77" t="s">
        <v>252</v>
      </c>
      <c r="E1645" s="794" t="s">
        <v>634</v>
      </c>
      <c r="F1645" s="794" t="str">
        <f t="shared" si="158"/>
        <v>NI</v>
      </c>
      <c r="G1645" s="615">
        <f>+IF(F1645="i",IFERROR(VLOOKUP(C1645,'BG 2023'!B:E,3,FALSE),0),0)</f>
        <v>0</v>
      </c>
      <c r="H1645" s="616">
        <f>+IF(F1645="i",IFERROR(VLOOKUP(C1645,'BG 2023'!B:E,4,FALSE),0),0)</f>
        <v>0</v>
      </c>
      <c r="I1645" s="616"/>
      <c r="J1645" s="28">
        <f>IF(F1645="I",IFERROR(VLOOKUP(C1645,'BG 12.2023'!$B$6:$E$819,3,FALSE),0),0)</f>
        <v>0</v>
      </c>
      <c r="K1645" s="28">
        <f>IF(F1645="I",IFERROR(VLOOKUP(C1645,'BG 12.2023'!$B$6:$E$819,4,FALSE),0),0)</f>
        <v>0</v>
      </c>
      <c r="M1645" s="15">
        <f>+VLOOKUP(C1645,'BG 2023'!$B:$E,1,0)</f>
        <v>6210110</v>
      </c>
      <c r="N1645" s="806">
        <f>+VLOOKUP(C1645,'BG 2023'!$B:$E,3,0)</f>
        <v>1485738850318</v>
      </c>
      <c r="O1645" s="807">
        <f t="shared" si="156"/>
        <v>1485738850318</v>
      </c>
      <c r="P1645" s="807"/>
      <c r="R1645" s="807"/>
    </row>
    <row r="1646" spans="1:18" s="87" customFormat="1">
      <c r="A1646" s="77" t="s">
        <v>1113</v>
      </c>
      <c r="B1646" s="77"/>
      <c r="C1646" s="793">
        <v>62101101</v>
      </c>
      <c r="D1646" s="77" t="s">
        <v>57</v>
      </c>
      <c r="E1646" s="794" t="s">
        <v>640</v>
      </c>
      <c r="F1646" s="794" t="str">
        <f t="shared" si="158"/>
        <v>NI</v>
      </c>
      <c r="G1646" s="615">
        <f>+IF(F1646="i",IFERROR(VLOOKUP(C1646,'BG 2023'!B:E,3,FALSE),0),0)</f>
        <v>0</v>
      </c>
      <c r="H1646" s="616">
        <f>+IF(F1646="i",IFERROR(VLOOKUP(C1646,'BG 2023'!B:E,4,FALSE),0),0)</f>
        <v>0</v>
      </c>
      <c r="I1646" s="616"/>
      <c r="J1646" s="28">
        <f>IF(F1646="I",IFERROR(VLOOKUP(C1646,'BG 12.2023'!$B$6:$E$819,3,FALSE),0),0)</f>
        <v>0</v>
      </c>
      <c r="K1646" s="28">
        <f>IF(F1646="I",IFERROR(VLOOKUP(C1646,'BG 12.2023'!$B$6:$E$819,4,FALSE),0),0)</f>
        <v>0</v>
      </c>
      <c r="M1646" s="15">
        <f>+VLOOKUP(C1646,'BG 2023'!$B:$E,1,0)</f>
        <v>62101101</v>
      </c>
      <c r="N1646" s="806">
        <f>+VLOOKUP(C1646,'BG 2023'!$B:$E,3,0)</f>
        <v>13801001925</v>
      </c>
      <c r="O1646" s="807">
        <f t="shared" si="156"/>
        <v>13801001925</v>
      </c>
      <c r="P1646" s="807"/>
      <c r="R1646" s="807"/>
    </row>
    <row r="1647" spans="1:18" s="87" customFormat="1">
      <c r="A1647" s="77" t="s">
        <v>1113</v>
      </c>
      <c r="B1647" s="77" t="s">
        <v>1151</v>
      </c>
      <c r="C1647" s="793">
        <v>6210110101</v>
      </c>
      <c r="D1647" s="77" t="s">
        <v>253</v>
      </c>
      <c r="E1647" s="794" t="s">
        <v>640</v>
      </c>
      <c r="F1647" s="794" t="str">
        <f t="shared" si="158"/>
        <v>I</v>
      </c>
      <c r="G1647" s="615">
        <f>+IF(F1647="i",IFERROR(VLOOKUP(C1647,'BG 2023'!B:E,3,FALSE),0),0)</f>
        <v>13801001925</v>
      </c>
      <c r="H1647" s="616">
        <f>+IF(F1647="i",IFERROR(VLOOKUP(C1647,'BG 2023'!B:E,4,FALSE),0),0)</f>
        <v>1894799.83</v>
      </c>
      <c r="I1647" s="616"/>
      <c r="J1647" s="28">
        <f>IF(F1647="I",IFERROR(VLOOKUP(C1647,'BG 12.2023'!$B$6:$E$819,3,FALSE),0),0)</f>
        <v>13801001925</v>
      </c>
      <c r="K1647" s="28">
        <f>IF(F1647="I",IFERROR(VLOOKUP(C1647,'BG 12.2023'!$B$6:$E$819,4,FALSE),0),0)</f>
        <v>1894799.83</v>
      </c>
      <c r="M1647" s="15">
        <f>+VLOOKUP(C1647,'BG 2023'!$B:$E,1,0)</f>
        <v>6210110101</v>
      </c>
      <c r="N1647" s="806">
        <f>+VLOOKUP(C1647,'BG 2023'!$B:$E,3,0)</f>
        <v>13801001925</v>
      </c>
      <c r="O1647" s="807">
        <f t="shared" si="156"/>
        <v>0</v>
      </c>
      <c r="P1647" s="807"/>
      <c r="R1647" s="807"/>
    </row>
    <row r="1648" spans="1:18" s="87" customFormat="1">
      <c r="A1648" s="77" t="s">
        <v>1113</v>
      </c>
      <c r="B1648" s="77"/>
      <c r="C1648" s="793">
        <v>6210110102</v>
      </c>
      <c r="D1648" s="77" t="s">
        <v>1115</v>
      </c>
      <c r="E1648" s="794" t="s">
        <v>640</v>
      </c>
      <c r="F1648" s="794" t="str">
        <f t="shared" si="158"/>
        <v>I</v>
      </c>
      <c r="G1648" s="615">
        <f>+IF(F1648="i",IFERROR(VLOOKUP(C1648,'BG 2023'!B:E,3,FALSE),0),0)</f>
        <v>0</v>
      </c>
      <c r="H1648" s="616">
        <f>+IF(F1648="i",IFERROR(VLOOKUP(C1648,'BG 2023'!B:E,4,FALSE),0),0)</f>
        <v>0</v>
      </c>
      <c r="I1648" s="616"/>
      <c r="J1648" s="28">
        <f>IF(F1648="I",IFERROR(VLOOKUP(C1648,'BG 12.2023'!$B$6:$E$819,3,FALSE),0),0)</f>
        <v>0</v>
      </c>
      <c r="K1648" s="28">
        <f>IF(F1648="I",IFERROR(VLOOKUP(C1648,'BG 12.2023'!$B$6:$E$819,4,FALSE),0),0)</f>
        <v>0</v>
      </c>
      <c r="M1648" s="15" t="e">
        <f>+VLOOKUP(C1648,'BG 2023'!$B:$E,1,0)</f>
        <v>#N/A</v>
      </c>
      <c r="N1648" s="806" t="e">
        <f>+VLOOKUP(C1648,'BG 2023'!$B:$E,3,0)</f>
        <v>#N/A</v>
      </c>
      <c r="O1648" s="807" t="e">
        <f t="shared" si="156"/>
        <v>#N/A</v>
      </c>
      <c r="P1648" s="807"/>
      <c r="R1648" s="807"/>
    </row>
    <row r="1649" spans="1:18" s="87" customFormat="1">
      <c r="A1649" s="77" t="s">
        <v>1113</v>
      </c>
      <c r="B1649" s="77"/>
      <c r="C1649" s="793">
        <v>62101102</v>
      </c>
      <c r="D1649" s="77" t="s">
        <v>254</v>
      </c>
      <c r="E1649" s="794" t="s">
        <v>640</v>
      </c>
      <c r="F1649" s="794" t="str">
        <f t="shared" si="158"/>
        <v>NI</v>
      </c>
      <c r="G1649" s="615">
        <f>+IF(F1649="i",IFERROR(VLOOKUP(C1649,'BG 2023'!B:E,3,FALSE),0),0)</f>
        <v>0</v>
      </c>
      <c r="H1649" s="616">
        <f>+IF(F1649="i",IFERROR(VLOOKUP(C1649,'BG 2023'!B:E,4,FALSE),0),0)</f>
        <v>0</v>
      </c>
      <c r="I1649" s="616"/>
      <c r="J1649" s="28">
        <f>IF(F1649="I",IFERROR(VLOOKUP(C1649,'BG 12.2023'!$B$6:$E$819,3,FALSE),0),0)</f>
        <v>0</v>
      </c>
      <c r="K1649" s="28">
        <f>IF(F1649="I",IFERROR(VLOOKUP(C1649,'BG 12.2023'!$B$6:$E$819,4,FALSE),0),0)</f>
        <v>0</v>
      </c>
      <c r="M1649" s="15">
        <f>+VLOOKUP(C1649,'BG 2023'!$B:$E,1,0)</f>
        <v>62101102</v>
      </c>
      <c r="N1649" s="806">
        <f>+VLOOKUP(C1649,'BG 2023'!$B:$E,3,0)</f>
        <v>15131873288</v>
      </c>
      <c r="O1649" s="807">
        <f t="shared" si="156"/>
        <v>15131873288</v>
      </c>
      <c r="P1649" s="807"/>
      <c r="R1649" s="807"/>
    </row>
    <row r="1650" spans="1:18" s="87" customFormat="1">
      <c r="A1650" s="77" t="s">
        <v>1113</v>
      </c>
      <c r="B1650" s="77" t="s">
        <v>1151</v>
      </c>
      <c r="C1650" s="793">
        <v>6210110201</v>
      </c>
      <c r="D1650" s="77" t="s">
        <v>255</v>
      </c>
      <c r="E1650" s="794" t="s">
        <v>640</v>
      </c>
      <c r="F1650" s="794" t="str">
        <f t="shared" si="158"/>
        <v>I</v>
      </c>
      <c r="G1650" s="615">
        <f>+IF(F1650="i",IFERROR(VLOOKUP(C1650,'BG 2023'!B:E,3,FALSE),0),0)</f>
        <v>15131873288</v>
      </c>
      <c r="H1650" s="616">
        <f>+IF(F1650="i",IFERROR(VLOOKUP(C1650,'BG 2023'!B:E,4,FALSE),0),0)</f>
        <v>2077520.9699999997</v>
      </c>
      <c r="I1650" s="616"/>
      <c r="J1650" s="28">
        <f>IF(F1650="I",IFERROR(VLOOKUP(C1650,'BG 12.2023'!$B$6:$E$819,3,FALSE),0),0)</f>
        <v>15131873288</v>
      </c>
      <c r="K1650" s="28">
        <f>IF(F1650="I",IFERROR(VLOOKUP(C1650,'BG 12.2023'!$B$6:$E$819,4,FALSE),0),0)</f>
        <v>2077520.9699999997</v>
      </c>
      <c r="M1650" s="15">
        <f>+VLOOKUP(C1650,'BG 2023'!$B:$E,1,0)</f>
        <v>6210110201</v>
      </c>
      <c r="N1650" s="806">
        <f>+VLOOKUP(C1650,'BG 2023'!$B:$E,3,0)</f>
        <v>15131873288</v>
      </c>
      <c r="O1650" s="807">
        <f t="shared" si="156"/>
        <v>0</v>
      </c>
      <c r="P1650" s="807"/>
      <c r="R1650" s="807"/>
    </row>
    <row r="1651" spans="1:18" s="87" customFormat="1">
      <c r="A1651" s="77" t="s">
        <v>1113</v>
      </c>
      <c r="B1651" s="77"/>
      <c r="C1651" s="793">
        <v>6210110202</v>
      </c>
      <c r="D1651" s="77" t="s">
        <v>1116</v>
      </c>
      <c r="E1651" s="794" t="s">
        <v>640</v>
      </c>
      <c r="F1651" s="794" t="str">
        <f t="shared" si="158"/>
        <v>I</v>
      </c>
      <c r="G1651" s="615">
        <f>+IF(F1651="i",IFERROR(VLOOKUP(C1651,'BG 2023'!B:E,3,FALSE),0),0)</f>
        <v>0</v>
      </c>
      <c r="H1651" s="616">
        <f>+IF(F1651="i",IFERROR(VLOOKUP(C1651,'BG 2023'!B:E,4,FALSE),0),0)</f>
        <v>0</v>
      </c>
      <c r="I1651" s="616"/>
      <c r="J1651" s="28">
        <f>IF(F1651="I",IFERROR(VLOOKUP(C1651,'BG 12.2023'!$B$6:$E$819,3,FALSE),0),0)</f>
        <v>0</v>
      </c>
      <c r="K1651" s="28">
        <f>IF(F1651="I",IFERROR(VLOOKUP(C1651,'BG 12.2023'!$B$6:$E$819,4,FALSE),0),0)</f>
        <v>0</v>
      </c>
      <c r="M1651" s="15" t="e">
        <f>+VLOOKUP(C1651,'BG 2023'!$B:$E,1,0)</f>
        <v>#N/A</v>
      </c>
      <c r="N1651" s="806" t="e">
        <f>+VLOOKUP(C1651,'BG 2023'!$B:$E,3,0)</f>
        <v>#N/A</v>
      </c>
      <c r="O1651" s="807" t="e">
        <f t="shared" si="156"/>
        <v>#N/A</v>
      </c>
      <c r="P1651" s="807"/>
      <c r="R1651" s="807"/>
    </row>
    <row r="1652" spans="1:18" s="87" customFormat="1">
      <c r="A1652" s="77" t="s">
        <v>1113</v>
      </c>
      <c r="B1652" s="77"/>
      <c r="C1652" s="793">
        <v>62101103</v>
      </c>
      <c r="D1652" s="77" t="s">
        <v>256</v>
      </c>
      <c r="E1652" s="794" t="s">
        <v>640</v>
      </c>
      <c r="F1652" s="794" t="str">
        <f t="shared" si="158"/>
        <v>NI</v>
      </c>
      <c r="G1652" s="615">
        <f>+IF(F1652="i",IFERROR(VLOOKUP(C1652,'BG 2023'!B:E,3,FALSE),0),0)</f>
        <v>0</v>
      </c>
      <c r="H1652" s="616">
        <f>+IF(F1652="i",IFERROR(VLOOKUP(C1652,'BG 2023'!B:E,4,FALSE),0),0)</f>
        <v>0</v>
      </c>
      <c r="I1652" s="616"/>
      <c r="J1652" s="28">
        <f>IF(F1652="I",IFERROR(VLOOKUP(C1652,'BG 12.2023'!$B$6:$E$819,3,FALSE),0),0)</f>
        <v>0</v>
      </c>
      <c r="K1652" s="28">
        <f>IF(F1652="I",IFERROR(VLOOKUP(C1652,'BG 12.2023'!$B$6:$E$819,4,FALSE),0),0)</f>
        <v>0</v>
      </c>
      <c r="M1652" s="15">
        <f>+VLOOKUP(C1652,'BG 2023'!$B:$E,1,0)</f>
        <v>62101103</v>
      </c>
      <c r="N1652" s="806">
        <f>+VLOOKUP(C1652,'BG 2023'!$B:$E,3,0)</f>
        <v>53744915</v>
      </c>
      <c r="O1652" s="807">
        <f t="shared" si="156"/>
        <v>53744915</v>
      </c>
      <c r="P1652" s="807"/>
      <c r="R1652" s="807"/>
    </row>
    <row r="1653" spans="1:18" s="87" customFormat="1">
      <c r="A1653" s="77" t="s">
        <v>1113</v>
      </c>
      <c r="B1653" s="77" t="s">
        <v>1151</v>
      </c>
      <c r="C1653" s="793">
        <v>6210110301</v>
      </c>
      <c r="D1653" s="77" t="s">
        <v>257</v>
      </c>
      <c r="E1653" s="794" t="s">
        <v>640</v>
      </c>
      <c r="F1653" s="794" t="str">
        <f t="shared" si="158"/>
        <v>I</v>
      </c>
      <c r="G1653" s="615">
        <f>+IF(F1653="i",IFERROR(VLOOKUP(C1653,'BG 2023'!B:E,3,FALSE),0),0)</f>
        <v>53744915</v>
      </c>
      <c r="H1653" s="616">
        <f>+IF(F1653="i",IFERROR(VLOOKUP(C1653,'BG 2023'!B:E,4,FALSE),0),0)</f>
        <v>7378.8699999999944</v>
      </c>
      <c r="I1653" s="616"/>
      <c r="J1653" s="28">
        <f>IF(F1653="I",IFERROR(VLOOKUP(C1653,'BG 12.2023'!$B$6:$E$819,3,FALSE),0),0)</f>
        <v>53744915</v>
      </c>
      <c r="K1653" s="28">
        <f>IF(F1653="I",IFERROR(VLOOKUP(C1653,'BG 12.2023'!$B$6:$E$819,4,FALSE),0),0)</f>
        <v>7378.8699999999944</v>
      </c>
      <c r="M1653" s="15">
        <f>+VLOOKUP(C1653,'BG 2023'!$B:$E,1,0)</f>
        <v>6210110301</v>
      </c>
      <c r="N1653" s="806">
        <f>+VLOOKUP(C1653,'BG 2023'!$B:$E,3,0)</f>
        <v>53744915</v>
      </c>
      <c r="O1653" s="807">
        <f t="shared" si="156"/>
        <v>0</v>
      </c>
      <c r="P1653" s="807"/>
      <c r="R1653" s="807"/>
    </row>
    <row r="1654" spans="1:18" s="87" customFormat="1">
      <c r="A1654" s="77" t="s">
        <v>1113</v>
      </c>
      <c r="B1654" s="77"/>
      <c r="C1654" s="793">
        <v>6210110302</v>
      </c>
      <c r="D1654" s="77" t="s">
        <v>1117</v>
      </c>
      <c r="E1654" s="794" t="s">
        <v>640</v>
      </c>
      <c r="F1654" s="794" t="str">
        <f t="shared" si="158"/>
        <v>I</v>
      </c>
      <c r="G1654" s="615">
        <f>+IF(F1654="i",IFERROR(VLOOKUP(C1654,'BG 2023'!B:E,3,FALSE),0),0)</f>
        <v>0</v>
      </c>
      <c r="H1654" s="616">
        <f>+IF(F1654="i",IFERROR(VLOOKUP(C1654,'BG 2023'!B:E,4,FALSE),0),0)</f>
        <v>0</v>
      </c>
      <c r="I1654" s="616"/>
      <c r="J1654" s="28">
        <f>IF(F1654="I",IFERROR(VLOOKUP(C1654,'BG 12.2023'!$B$6:$E$819,3,FALSE),0),0)</f>
        <v>0</v>
      </c>
      <c r="K1654" s="28">
        <f>IF(F1654="I",IFERROR(VLOOKUP(C1654,'BG 12.2023'!$B$6:$E$819,4,FALSE),0),0)</f>
        <v>0</v>
      </c>
      <c r="M1654" s="15" t="e">
        <f>+VLOOKUP(C1654,'BG 2023'!$B:$E,1,0)</f>
        <v>#N/A</v>
      </c>
      <c r="N1654" s="806" t="e">
        <f>+VLOOKUP(C1654,'BG 2023'!$B:$E,3,0)</f>
        <v>#N/A</v>
      </c>
      <c r="O1654" s="807" t="e">
        <f t="shared" si="156"/>
        <v>#N/A</v>
      </c>
      <c r="P1654" s="807"/>
      <c r="R1654" s="807"/>
    </row>
    <row r="1655" spans="1:18" s="87" customFormat="1">
      <c r="A1655" s="77" t="s">
        <v>1113</v>
      </c>
      <c r="B1655" s="77"/>
      <c r="C1655" s="793">
        <v>62101104</v>
      </c>
      <c r="D1655" s="77" t="s">
        <v>258</v>
      </c>
      <c r="E1655" s="794" t="s">
        <v>640</v>
      </c>
      <c r="F1655" s="794" t="str">
        <f t="shared" si="158"/>
        <v>NI</v>
      </c>
      <c r="G1655" s="615">
        <f>+IF(F1655="i",IFERROR(VLOOKUP(C1655,'BG 2023'!B:E,3,FALSE),0),0)</f>
        <v>0</v>
      </c>
      <c r="H1655" s="616">
        <f>+IF(F1655="i",IFERROR(VLOOKUP(C1655,'BG 2023'!B:E,4,FALSE),0),0)</f>
        <v>0</v>
      </c>
      <c r="I1655" s="616"/>
      <c r="J1655" s="28">
        <f>IF(F1655="I",IFERROR(VLOOKUP(C1655,'BG 12.2023'!$B$6:$E$819,3,FALSE),0),0)</f>
        <v>0</v>
      </c>
      <c r="K1655" s="28">
        <f>IF(F1655="I",IFERROR(VLOOKUP(C1655,'BG 12.2023'!$B$6:$E$819,4,FALSE),0),0)</f>
        <v>0</v>
      </c>
      <c r="M1655" s="15">
        <f>+VLOOKUP(C1655,'BG 2023'!$B:$E,1,0)</f>
        <v>62101104</v>
      </c>
      <c r="N1655" s="806">
        <f>+VLOOKUP(C1655,'BG 2023'!$B:$E,3,0)</f>
        <v>43517650832</v>
      </c>
      <c r="O1655" s="807">
        <f t="shared" si="156"/>
        <v>43517650832</v>
      </c>
      <c r="P1655" s="807"/>
      <c r="R1655" s="807"/>
    </row>
    <row r="1656" spans="1:18" s="87" customFormat="1">
      <c r="A1656" s="77" t="s">
        <v>1113</v>
      </c>
      <c r="B1656" s="77" t="s">
        <v>1151</v>
      </c>
      <c r="C1656" s="793">
        <v>6210110401</v>
      </c>
      <c r="D1656" s="77" t="s">
        <v>259</v>
      </c>
      <c r="E1656" s="794" t="s">
        <v>640</v>
      </c>
      <c r="F1656" s="794" t="str">
        <f t="shared" si="158"/>
        <v>I</v>
      </c>
      <c r="G1656" s="615">
        <f>+IF(F1656="i",IFERROR(VLOOKUP(C1656,'BG 2023'!B:E,3,FALSE),0),0)</f>
        <v>43517650832</v>
      </c>
      <c r="H1656" s="616">
        <f>+IF(F1656="i",IFERROR(VLOOKUP(C1656,'BG 2023'!B:E,4,FALSE),0),0)</f>
        <v>5974728.3380000005</v>
      </c>
      <c r="I1656" s="616"/>
      <c r="J1656" s="28">
        <f>IF(F1656="I",IFERROR(VLOOKUP(C1656,'BG 12.2023'!$B$6:$E$819,3,FALSE),0),0)</f>
        <v>43517650832</v>
      </c>
      <c r="K1656" s="28">
        <f>IF(F1656="I",IFERROR(VLOOKUP(C1656,'BG 12.2023'!$B$6:$E$819,4,FALSE),0),0)</f>
        <v>5974728.3380000005</v>
      </c>
      <c r="M1656" s="15">
        <f>+VLOOKUP(C1656,'BG 2023'!$B:$E,1,0)</f>
        <v>6210110401</v>
      </c>
      <c r="N1656" s="806">
        <f>+VLOOKUP(C1656,'BG 2023'!$B:$E,3,0)</f>
        <v>43517650832</v>
      </c>
      <c r="O1656" s="807">
        <f t="shared" si="156"/>
        <v>0</v>
      </c>
      <c r="P1656" s="807"/>
      <c r="R1656" s="807"/>
    </row>
    <row r="1657" spans="1:18" s="87" customFormat="1">
      <c r="A1657" s="77" t="s">
        <v>1113</v>
      </c>
      <c r="B1657" s="77"/>
      <c r="C1657" s="793">
        <v>6210110402</v>
      </c>
      <c r="D1657" s="77" t="s">
        <v>1118</v>
      </c>
      <c r="E1657" s="794" t="s">
        <v>640</v>
      </c>
      <c r="F1657" s="794" t="str">
        <f t="shared" si="158"/>
        <v>I</v>
      </c>
      <c r="G1657" s="615">
        <f>+IF(F1657="i",IFERROR(VLOOKUP(C1657,'BG 2023'!B:E,3,FALSE),0),0)</f>
        <v>0</v>
      </c>
      <c r="H1657" s="616">
        <f>+IF(F1657="i",IFERROR(VLOOKUP(C1657,'BG 2023'!B:E,4,FALSE),0),0)</f>
        <v>0</v>
      </c>
      <c r="I1657" s="616"/>
      <c r="J1657" s="28">
        <f>IF(F1657="I",IFERROR(VLOOKUP(C1657,'BG 12.2023'!$B$6:$E$819,3,FALSE),0),0)</f>
        <v>0</v>
      </c>
      <c r="K1657" s="28">
        <f>IF(F1657="I",IFERROR(VLOOKUP(C1657,'BG 12.2023'!$B$6:$E$819,4,FALSE),0),0)</f>
        <v>0</v>
      </c>
      <c r="M1657" s="15" t="e">
        <f>+VLOOKUP(C1657,'BG 2023'!$B:$E,1,0)</f>
        <v>#N/A</v>
      </c>
      <c r="N1657" s="806" t="e">
        <f>+VLOOKUP(C1657,'BG 2023'!$B:$E,3,0)</f>
        <v>#N/A</v>
      </c>
      <c r="O1657" s="807" t="e">
        <f t="shared" si="156"/>
        <v>#N/A</v>
      </c>
      <c r="P1657" s="807"/>
      <c r="R1657" s="807"/>
    </row>
    <row r="1658" spans="1:18" s="87" customFormat="1">
      <c r="A1658" s="77" t="s">
        <v>1113</v>
      </c>
      <c r="B1658" s="77"/>
      <c r="C1658" s="793">
        <v>62101105</v>
      </c>
      <c r="D1658" s="77" t="s">
        <v>59</v>
      </c>
      <c r="E1658" s="794" t="s">
        <v>640</v>
      </c>
      <c r="F1658" s="794" t="str">
        <f t="shared" si="158"/>
        <v>NI</v>
      </c>
      <c r="G1658" s="615">
        <f>+IF(F1658="i",IFERROR(VLOOKUP(C1658,'BG 2023'!B:E,3,FALSE),0),0)</f>
        <v>0</v>
      </c>
      <c r="H1658" s="616">
        <f>+IF(F1658="i",IFERROR(VLOOKUP(C1658,'BG 2023'!B:E,4,FALSE),0),0)</f>
        <v>0</v>
      </c>
      <c r="I1658" s="616"/>
      <c r="J1658" s="28">
        <f>IF(F1658="I",IFERROR(VLOOKUP(C1658,'BG 12.2023'!$B$6:$E$819,3,FALSE),0),0)</f>
        <v>0</v>
      </c>
      <c r="K1658" s="28">
        <f>IF(F1658="I",IFERROR(VLOOKUP(C1658,'BG 12.2023'!$B$6:$E$819,4,FALSE),0),0)</f>
        <v>0</v>
      </c>
      <c r="M1658" s="15">
        <f>+VLOOKUP(C1658,'BG 2023'!$B:$E,1,0)</f>
        <v>62101105</v>
      </c>
      <c r="N1658" s="806">
        <f>+VLOOKUP(C1658,'BG 2023'!$B:$E,3,0)</f>
        <v>107283831246</v>
      </c>
      <c r="O1658" s="807">
        <f t="shared" si="156"/>
        <v>107283831246</v>
      </c>
      <c r="P1658" s="807"/>
      <c r="R1658" s="807"/>
    </row>
    <row r="1659" spans="1:18" s="87" customFormat="1">
      <c r="A1659" s="77" t="s">
        <v>1113</v>
      </c>
      <c r="B1659" s="77" t="s">
        <v>1151</v>
      </c>
      <c r="C1659" s="793">
        <v>6210110501</v>
      </c>
      <c r="D1659" s="77" t="s">
        <v>260</v>
      </c>
      <c r="E1659" s="794" t="s">
        <v>640</v>
      </c>
      <c r="F1659" s="794" t="str">
        <f t="shared" si="158"/>
        <v>I</v>
      </c>
      <c r="G1659" s="615">
        <f>+IF(F1659="i",IFERROR(VLOOKUP(C1659,'BG 2023'!B:E,3,FALSE),0),0)</f>
        <v>93840000000</v>
      </c>
      <c r="H1659" s="616">
        <f>+IF(F1659="i",IFERROR(VLOOKUP(C1659,'BG 2023'!B:E,4,FALSE),0),0)</f>
        <v>12883703.43</v>
      </c>
      <c r="I1659" s="616"/>
      <c r="J1659" s="28">
        <f>IF(F1659="I",IFERROR(VLOOKUP(C1659,'BG 12.2023'!$B$6:$E$819,3,FALSE),0),0)</f>
        <v>93840000000</v>
      </c>
      <c r="K1659" s="28">
        <f>IF(F1659="I",IFERROR(VLOOKUP(C1659,'BG 12.2023'!$B$6:$E$819,4,FALSE),0),0)</f>
        <v>12883703.43</v>
      </c>
      <c r="M1659" s="15">
        <f>+VLOOKUP(C1659,'BG 2023'!$B:$E,1,0)</f>
        <v>6210110501</v>
      </c>
      <c r="N1659" s="806">
        <f>+VLOOKUP(C1659,'BG 2023'!$B:$E,3,0)</f>
        <v>93840000000</v>
      </c>
      <c r="O1659" s="807">
        <f t="shared" si="156"/>
        <v>0</v>
      </c>
      <c r="P1659" s="807"/>
      <c r="R1659" s="807"/>
    </row>
    <row r="1660" spans="1:18" s="87" customFormat="1">
      <c r="A1660" s="77" t="s">
        <v>1113</v>
      </c>
      <c r="B1660" s="77" t="s">
        <v>1151</v>
      </c>
      <c r="C1660" s="793">
        <v>6210110502</v>
      </c>
      <c r="D1660" s="77" t="s">
        <v>261</v>
      </c>
      <c r="E1660" s="794" t="s">
        <v>640</v>
      </c>
      <c r="F1660" s="794" t="str">
        <f t="shared" si="158"/>
        <v>I</v>
      </c>
      <c r="G1660" s="615">
        <f>+IF(F1660="i",IFERROR(VLOOKUP(C1660,'BG 2023'!B:E,3,FALSE),0),0)</f>
        <v>13443831246</v>
      </c>
      <c r="H1660" s="616">
        <f>+IF(F1660="i",IFERROR(VLOOKUP(C1660,'BG 2023'!B:E,4,FALSE),0),0)</f>
        <v>1845762.3000000003</v>
      </c>
      <c r="I1660" s="616"/>
      <c r="J1660" s="28">
        <f>IF(F1660="I",IFERROR(VLOOKUP(C1660,'BG 12.2023'!$B$6:$E$819,3,FALSE),0),0)</f>
        <v>13443831246</v>
      </c>
      <c r="K1660" s="28">
        <f>IF(F1660="I",IFERROR(VLOOKUP(C1660,'BG 12.2023'!$B$6:$E$819,4,FALSE),0),0)</f>
        <v>1845762.3000000003</v>
      </c>
      <c r="M1660" s="15">
        <f>+VLOOKUP(C1660,'BG 2023'!$B:$E,1,0)</f>
        <v>6210110502</v>
      </c>
      <c r="N1660" s="806">
        <f>+VLOOKUP(C1660,'BG 2023'!$B:$E,3,0)</f>
        <v>13443831246</v>
      </c>
      <c r="O1660" s="807">
        <f t="shared" si="156"/>
        <v>0</v>
      </c>
      <c r="P1660" s="807"/>
      <c r="R1660" s="807"/>
    </row>
    <row r="1661" spans="1:18" s="87" customFormat="1">
      <c r="A1661" s="77" t="s">
        <v>1113</v>
      </c>
      <c r="B1661" s="77"/>
      <c r="C1661" s="793">
        <v>62101106</v>
      </c>
      <c r="D1661" s="77" t="s">
        <v>60</v>
      </c>
      <c r="E1661" s="794" t="s">
        <v>640</v>
      </c>
      <c r="F1661" s="794" t="str">
        <f t="shared" ref="F1661:F1692" si="163">+IF(LEN(C1661)&gt;8,"I","NI")</f>
        <v>NI</v>
      </c>
      <c r="G1661" s="615">
        <f>+IF(F1661="i",IFERROR(VLOOKUP(C1661,'BG 2023'!B:E,3,FALSE),0),0)</f>
        <v>0</v>
      </c>
      <c r="H1661" s="616">
        <f>+IF(F1661="i",IFERROR(VLOOKUP(C1661,'BG 2023'!B:E,4,FALSE),0),0)</f>
        <v>0</v>
      </c>
      <c r="I1661" s="616"/>
      <c r="J1661" s="28">
        <f>IF(F1661="I",IFERROR(VLOOKUP(C1661,'BG 12.2023'!$B$6:$E$819,3,FALSE),0),0)</f>
        <v>0</v>
      </c>
      <c r="K1661" s="28">
        <f>IF(F1661="I",IFERROR(VLOOKUP(C1661,'BG 12.2023'!$B$6:$E$819,4,FALSE),0),0)</f>
        <v>0</v>
      </c>
      <c r="M1661" s="15">
        <f>+VLOOKUP(C1661,'BG 2023'!$B:$E,1,0)</f>
        <v>62101106</v>
      </c>
      <c r="N1661" s="806">
        <f>+VLOOKUP(C1661,'BG 2023'!$B:$E,3,0)</f>
        <v>47775986197</v>
      </c>
      <c r="O1661" s="807">
        <f t="shared" si="156"/>
        <v>47775986197</v>
      </c>
      <c r="P1661" s="807"/>
      <c r="R1661" s="807"/>
    </row>
    <row r="1662" spans="1:18" s="87" customFormat="1">
      <c r="A1662" s="77" t="s">
        <v>1113</v>
      </c>
      <c r="B1662" s="77" t="s">
        <v>1151</v>
      </c>
      <c r="C1662" s="793">
        <v>6210110601</v>
      </c>
      <c r="D1662" s="77" t="s">
        <v>262</v>
      </c>
      <c r="E1662" s="794" t="s">
        <v>640</v>
      </c>
      <c r="F1662" s="794" t="str">
        <f t="shared" si="163"/>
        <v>I</v>
      </c>
      <c r="G1662" s="615">
        <f>+IF(F1662="i",IFERROR(VLOOKUP(C1662,'BG 2023'!B:E,3,FALSE),0),0)</f>
        <v>43687152760</v>
      </c>
      <c r="H1662" s="616">
        <f>+IF(F1662="i",IFERROR(VLOOKUP(C1662,'BG 2023'!B:E,4,FALSE),0),0)</f>
        <v>5998000</v>
      </c>
      <c r="I1662" s="616"/>
      <c r="J1662" s="28">
        <f>IF(F1662="I",IFERROR(VLOOKUP(C1662,'BG 12.2023'!$B$6:$E$819,3,FALSE),0),0)</f>
        <v>43687152760</v>
      </c>
      <c r="K1662" s="28">
        <f>IF(F1662="I",IFERROR(VLOOKUP(C1662,'BG 12.2023'!$B$6:$E$819,4,FALSE),0),0)</f>
        <v>5998000</v>
      </c>
      <c r="M1662" s="15">
        <f>+VLOOKUP(C1662,'BG 2023'!$B:$E,1,0)</f>
        <v>6210110601</v>
      </c>
      <c r="N1662" s="806">
        <f>+VLOOKUP(C1662,'BG 2023'!$B:$E,3,0)</f>
        <v>43687152760</v>
      </c>
      <c r="O1662" s="807">
        <f t="shared" si="156"/>
        <v>0</v>
      </c>
      <c r="P1662" s="807"/>
      <c r="R1662" s="807"/>
    </row>
    <row r="1663" spans="1:18" s="87" customFormat="1">
      <c r="A1663" s="77" t="s">
        <v>1113</v>
      </c>
      <c r="B1663" s="77" t="s">
        <v>1151</v>
      </c>
      <c r="C1663" s="793">
        <v>6210110602</v>
      </c>
      <c r="D1663" s="77" t="s">
        <v>263</v>
      </c>
      <c r="E1663" s="794" t="s">
        <v>640</v>
      </c>
      <c r="F1663" s="794" t="str">
        <f t="shared" si="163"/>
        <v>I</v>
      </c>
      <c r="G1663" s="615">
        <f>+IF(F1663="i",IFERROR(VLOOKUP(C1663,'BG 2023'!B:E,3,FALSE),0),0)</f>
        <v>4088833437</v>
      </c>
      <c r="H1663" s="616">
        <f>+IF(F1663="i",IFERROR(VLOOKUP(C1663,'BG 2023'!B:E,4,FALSE),0),0)</f>
        <v>561373.79999999993</v>
      </c>
      <c r="I1663" s="616"/>
      <c r="J1663" s="28">
        <f>IF(F1663="I",IFERROR(VLOOKUP(C1663,'BG 12.2023'!$B$6:$E$819,3,FALSE),0),0)</f>
        <v>4088833437</v>
      </c>
      <c r="K1663" s="28">
        <f>IF(F1663="I",IFERROR(VLOOKUP(C1663,'BG 12.2023'!$B$6:$E$819,4,FALSE),0),0)</f>
        <v>561373.79999999993</v>
      </c>
      <c r="M1663" s="15">
        <f>+VLOOKUP(C1663,'BG 2023'!$B:$E,1,0)</f>
        <v>6210110602</v>
      </c>
      <c r="N1663" s="806">
        <f>+VLOOKUP(C1663,'BG 2023'!$B:$E,3,0)</f>
        <v>4088833437</v>
      </c>
      <c r="O1663" s="807">
        <f t="shared" si="156"/>
        <v>0</v>
      </c>
      <c r="P1663" s="807"/>
      <c r="R1663" s="807"/>
    </row>
    <row r="1664" spans="1:18" s="87" customFormat="1">
      <c r="A1664" s="77" t="s">
        <v>1113</v>
      </c>
      <c r="B1664" s="77"/>
      <c r="C1664" s="793">
        <v>62101107</v>
      </c>
      <c r="D1664" s="77" t="s">
        <v>63</v>
      </c>
      <c r="E1664" s="794" t="s">
        <v>640</v>
      </c>
      <c r="F1664" s="794" t="str">
        <f t="shared" si="163"/>
        <v>NI</v>
      </c>
      <c r="G1664" s="615">
        <f>+IF(F1664="i",IFERROR(VLOOKUP(C1664,'BG 2023'!B:E,3,FALSE),0),0)</f>
        <v>0</v>
      </c>
      <c r="H1664" s="616">
        <f>+IF(F1664="i",IFERROR(VLOOKUP(C1664,'BG 2023'!B:E,4,FALSE),0),0)</f>
        <v>0</v>
      </c>
      <c r="I1664" s="616"/>
      <c r="J1664" s="28">
        <f>IF(F1664="I",IFERROR(VLOOKUP(C1664,'BG 12.2023'!$B$6:$E$819,3,FALSE),0),0)</f>
        <v>0</v>
      </c>
      <c r="K1664" s="28">
        <f>IF(F1664="I",IFERROR(VLOOKUP(C1664,'BG 12.2023'!$B$6:$E$819,4,FALSE),0),0)</f>
        <v>0</v>
      </c>
      <c r="M1664" s="15">
        <f>+VLOOKUP(C1664,'BG 2023'!$B:$E,1,0)</f>
        <v>62101107</v>
      </c>
      <c r="N1664" s="806">
        <f>+VLOOKUP(C1664,'BG 2023'!$B:$E,3,0)</f>
        <v>114842946000</v>
      </c>
      <c r="O1664" s="807">
        <f t="shared" si="156"/>
        <v>114842946000</v>
      </c>
      <c r="P1664" s="807"/>
      <c r="R1664" s="807"/>
    </row>
    <row r="1665" spans="1:18" s="87" customFormat="1">
      <c r="A1665" s="77" t="s">
        <v>1113</v>
      </c>
      <c r="B1665" s="77" t="s">
        <v>1151</v>
      </c>
      <c r="C1665" s="793">
        <v>6210110701</v>
      </c>
      <c r="D1665" s="77" t="s">
        <v>264</v>
      </c>
      <c r="E1665" s="794" t="s">
        <v>640</v>
      </c>
      <c r="F1665" s="794" t="str">
        <f t="shared" si="163"/>
        <v>I</v>
      </c>
      <c r="G1665" s="615">
        <f>+IF(F1665="i",IFERROR(VLOOKUP(C1665,'BG 2023'!B:E,3,FALSE),0),0)</f>
        <v>114842946000</v>
      </c>
      <c r="H1665" s="616">
        <f>+IF(F1665="i",IFERROR(VLOOKUP(C1665,'BG 2023'!B:E,4,FALSE),0),0)</f>
        <v>15767289.619999999</v>
      </c>
      <c r="I1665" s="616"/>
      <c r="J1665" s="28">
        <f>IF(F1665="I",IFERROR(VLOOKUP(C1665,'BG 12.2023'!$B$6:$E$819,3,FALSE),0),0)</f>
        <v>114842946000</v>
      </c>
      <c r="K1665" s="28">
        <f>IF(F1665="I",IFERROR(VLOOKUP(C1665,'BG 12.2023'!$B$6:$E$819,4,FALSE),0),0)</f>
        <v>15767289.619999999</v>
      </c>
      <c r="M1665" s="15">
        <f>+VLOOKUP(C1665,'BG 2023'!$B:$E,1,0)</f>
        <v>6210110701</v>
      </c>
      <c r="N1665" s="806">
        <f>+VLOOKUP(C1665,'BG 2023'!$B:$E,3,0)</f>
        <v>114842946000</v>
      </c>
      <c r="O1665" s="807">
        <f t="shared" si="156"/>
        <v>0</v>
      </c>
      <c r="P1665" s="807"/>
      <c r="R1665" s="807"/>
    </row>
    <row r="1666" spans="1:18" s="87" customFormat="1">
      <c r="A1666" s="77" t="s">
        <v>1113</v>
      </c>
      <c r="B1666" s="77"/>
      <c r="C1666" s="793">
        <v>6210110702</v>
      </c>
      <c r="D1666" s="77" t="s">
        <v>1119</v>
      </c>
      <c r="E1666" s="794" t="s">
        <v>640</v>
      </c>
      <c r="F1666" s="794" t="str">
        <f t="shared" si="163"/>
        <v>I</v>
      </c>
      <c r="G1666" s="615">
        <f>+IF(F1666="i",IFERROR(VLOOKUP(C1666,'BG 2023'!B:E,3,FALSE),0),0)</f>
        <v>0</v>
      </c>
      <c r="H1666" s="616">
        <f>+IF(F1666="i",IFERROR(VLOOKUP(C1666,'BG 2023'!B:E,4,FALSE),0),0)</f>
        <v>0</v>
      </c>
      <c r="I1666" s="616"/>
      <c r="J1666" s="28">
        <f>IF(F1666="I",IFERROR(VLOOKUP(C1666,'BG 12.2023'!$B$6:$E$819,3,FALSE),0),0)</f>
        <v>0</v>
      </c>
      <c r="K1666" s="28">
        <f>IF(F1666="I",IFERROR(VLOOKUP(C1666,'BG 12.2023'!$B$6:$E$819,4,FALSE),0),0)</f>
        <v>0</v>
      </c>
      <c r="M1666" s="15" t="e">
        <f>+VLOOKUP(C1666,'BG 2023'!$B:$E,1,0)</f>
        <v>#N/A</v>
      </c>
      <c r="N1666" s="806" t="e">
        <f>+VLOOKUP(C1666,'BG 2023'!$B:$E,3,0)</f>
        <v>#N/A</v>
      </c>
      <c r="O1666" s="807" t="e">
        <f t="shared" si="156"/>
        <v>#N/A</v>
      </c>
      <c r="P1666" s="807"/>
      <c r="R1666" s="807"/>
    </row>
    <row r="1667" spans="1:18" s="87" customFormat="1">
      <c r="A1667" s="77" t="s">
        <v>1113</v>
      </c>
      <c r="B1667" s="77"/>
      <c r="C1667" s="793">
        <v>62101108</v>
      </c>
      <c r="D1667" s="77" t="s">
        <v>64</v>
      </c>
      <c r="E1667" s="794" t="s">
        <v>640</v>
      </c>
      <c r="F1667" s="794" t="str">
        <f t="shared" si="163"/>
        <v>NI</v>
      </c>
      <c r="G1667" s="615">
        <f>+IF(F1667="i",IFERROR(VLOOKUP(C1667,'BG 2023'!B:E,3,FALSE),0),0)</f>
        <v>0</v>
      </c>
      <c r="H1667" s="616">
        <f>+IF(F1667="i",IFERROR(VLOOKUP(C1667,'BG 2023'!B:E,4,FALSE),0),0)</f>
        <v>0</v>
      </c>
      <c r="I1667" s="616"/>
      <c r="J1667" s="28">
        <f>IF(F1667="I",IFERROR(VLOOKUP(C1667,'BG 12.2023'!$B$6:$E$819,3,FALSE),0),0)</f>
        <v>0</v>
      </c>
      <c r="K1667" s="28">
        <f>IF(F1667="I",IFERROR(VLOOKUP(C1667,'BG 12.2023'!$B$6:$E$819,4,FALSE),0),0)</f>
        <v>0</v>
      </c>
      <c r="M1667" s="15">
        <f>+VLOOKUP(C1667,'BG 2023'!$B:$E,1,0)</f>
        <v>62101108</v>
      </c>
      <c r="N1667" s="806">
        <f>+VLOOKUP(C1667,'BG 2023'!$B:$E,3,0)</f>
        <v>69154292725</v>
      </c>
      <c r="O1667" s="807">
        <f t="shared" si="156"/>
        <v>69154292725</v>
      </c>
      <c r="P1667" s="807"/>
      <c r="R1667" s="807"/>
    </row>
    <row r="1668" spans="1:18" s="87" customFormat="1">
      <c r="A1668" s="77" t="s">
        <v>1113</v>
      </c>
      <c r="B1668" s="77" t="s">
        <v>1151</v>
      </c>
      <c r="C1668" s="793">
        <v>6210110801</v>
      </c>
      <c r="D1668" s="77" t="s">
        <v>265</v>
      </c>
      <c r="E1668" s="794" t="s">
        <v>640</v>
      </c>
      <c r="F1668" s="794" t="str">
        <f t="shared" si="163"/>
        <v>I</v>
      </c>
      <c r="G1668" s="615">
        <f>+IF(F1668="i",IFERROR(VLOOKUP(C1668,'BG 2023'!B:E,3,FALSE),0),0)</f>
        <v>69154292725</v>
      </c>
      <c r="H1668" s="616">
        <f>+IF(F1668="i",IFERROR(VLOOKUP(C1668,'BG 2023'!B:E,4,FALSE),0),0)</f>
        <v>9494494.870000001</v>
      </c>
      <c r="I1668" s="616"/>
      <c r="J1668" s="28">
        <f>IF(F1668="I",IFERROR(VLOOKUP(C1668,'BG 12.2023'!$B$6:$E$819,3,FALSE),0),0)</f>
        <v>69154292725</v>
      </c>
      <c r="K1668" s="28">
        <f>IF(F1668="I",IFERROR(VLOOKUP(C1668,'BG 12.2023'!$B$6:$E$819,4,FALSE),0),0)</f>
        <v>9494494.870000001</v>
      </c>
      <c r="M1668" s="15">
        <f>+VLOOKUP(C1668,'BG 2023'!$B:$E,1,0)</f>
        <v>6210110801</v>
      </c>
      <c r="N1668" s="806">
        <f>+VLOOKUP(C1668,'BG 2023'!$B:$E,3,0)</f>
        <v>69154292725</v>
      </c>
      <c r="O1668" s="807">
        <f t="shared" si="156"/>
        <v>0</v>
      </c>
      <c r="P1668" s="807"/>
      <c r="R1668" s="807"/>
    </row>
    <row r="1669" spans="1:18" s="87" customFormat="1">
      <c r="A1669" s="77" t="s">
        <v>1113</v>
      </c>
      <c r="B1669" s="77"/>
      <c r="C1669" s="793">
        <v>6210110802</v>
      </c>
      <c r="D1669" s="77" t="s">
        <v>1120</v>
      </c>
      <c r="E1669" s="794" t="s">
        <v>640</v>
      </c>
      <c r="F1669" s="794" t="str">
        <f t="shared" si="163"/>
        <v>I</v>
      </c>
      <c r="G1669" s="615">
        <f>+IF(F1669="i",IFERROR(VLOOKUP(C1669,'BG 2023'!B:E,3,FALSE),0),0)</f>
        <v>0</v>
      </c>
      <c r="H1669" s="616">
        <f>+IF(F1669="i",IFERROR(VLOOKUP(C1669,'BG 2023'!B:E,4,FALSE),0),0)</f>
        <v>0</v>
      </c>
      <c r="I1669" s="616"/>
      <c r="J1669" s="28">
        <f>IF(F1669="I",IFERROR(VLOOKUP(C1669,'BG 12.2023'!$B$6:$E$819,3,FALSE),0),0)</f>
        <v>0</v>
      </c>
      <c r="K1669" s="28">
        <f>IF(F1669="I",IFERROR(VLOOKUP(C1669,'BG 12.2023'!$B$6:$E$819,4,FALSE),0),0)</f>
        <v>0</v>
      </c>
      <c r="M1669" s="15" t="e">
        <f>+VLOOKUP(C1669,'BG 2023'!$B:$E,1,0)</f>
        <v>#N/A</v>
      </c>
      <c r="N1669" s="806" t="e">
        <f>+VLOOKUP(C1669,'BG 2023'!$B:$E,3,0)</f>
        <v>#N/A</v>
      </c>
      <c r="O1669" s="807" t="e">
        <f t="shared" si="156"/>
        <v>#N/A</v>
      </c>
      <c r="P1669" s="807"/>
      <c r="R1669" s="807"/>
    </row>
    <row r="1670" spans="1:18" s="87" customFormat="1">
      <c r="A1670" s="77" t="s">
        <v>1113</v>
      </c>
      <c r="B1670" s="77"/>
      <c r="C1670" s="793">
        <v>62101109</v>
      </c>
      <c r="D1670" s="77" t="s">
        <v>66</v>
      </c>
      <c r="E1670" s="794" t="s">
        <v>640</v>
      </c>
      <c r="F1670" s="794" t="str">
        <f t="shared" si="163"/>
        <v>NI</v>
      </c>
      <c r="G1670" s="615">
        <f>+IF(F1670="i",IFERROR(VLOOKUP(C1670,'BG 2023'!B:E,3,FALSE),0),0)</f>
        <v>0</v>
      </c>
      <c r="H1670" s="616">
        <f>+IF(F1670="i",IFERROR(VLOOKUP(C1670,'BG 2023'!B:E,4,FALSE),0),0)</f>
        <v>0</v>
      </c>
      <c r="I1670" s="616"/>
      <c r="J1670" s="28">
        <f>IF(F1670="I",IFERROR(VLOOKUP(C1670,'BG 12.2023'!$B$6:$E$819,3,FALSE),0),0)</f>
        <v>0</v>
      </c>
      <c r="K1670" s="28">
        <f>IF(F1670="I",IFERROR(VLOOKUP(C1670,'BG 12.2023'!$B$6:$E$819,4,FALSE),0),0)</f>
        <v>0</v>
      </c>
      <c r="M1670" s="15">
        <f>+VLOOKUP(C1670,'BG 2023'!$B:$E,1,0)</f>
        <v>62101109</v>
      </c>
      <c r="N1670" s="806">
        <f>+VLOOKUP(C1670,'BG 2023'!$B:$E,3,0)</f>
        <v>2429762500</v>
      </c>
      <c r="O1670" s="807">
        <f t="shared" si="156"/>
        <v>2429762500</v>
      </c>
      <c r="P1670" s="807"/>
      <c r="R1670" s="807"/>
    </row>
    <row r="1671" spans="1:18" s="87" customFormat="1">
      <c r="A1671" s="77" t="s">
        <v>1113</v>
      </c>
      <c r="B1671" s="77" t="s">
        <v>1151</v>
      </c>
      <c r="C1671" s="793">
        <v>6210110901</v>
      </c>
      <c r="D1671" s="77" t="s">
        <v>266</v>
      </c>
      <c r="E1671" s="794" t="s">
        <v>640</v>
      </c>
      <c r="F1671" s="794" t="str">
        <f t="shared" si="163"/>
        <v>I</v>
      </c>
      <c r="G1671" s="615">
        <f>+IF(F1671="i",IFERROR(VLOOKUP(C1671,'BG 2023'!B:E,3,FALSE),0),0)</f>
        <v>2429762500</v>
      </c>
      <c r="H1671" s="616">
        <f>+IF(F1671="i",IFERROR(VLOOKUP(C1671,'BG 2023'!B:E,4,FALSE),0),0)</f>
        <v>333592.70999999996</v>
      </c>
      <c r="I1671" s="616"/>
      <c r="J1671" s="28">
        <f>IF(F1671="I",IFERROR(VLOOKUP(C1671,'BG 12.2023'!$B$6:$E$819,3,FALSE),0),0)</f>
        <v>2429762500</v>
      </c>
      <c r="K1671" s="28">
        <f>IF(F1671="I",IFERROR(VLOOKUP(C1671,'BG 12.2023'!$B$6:$E$819,4,FALSE),0),0)</f>
        <v>333592.70999999996</v>
      </c>
      <c r="M1671" s="15">
        <f>+VLOOKUP(C1671,'BG 2023'!$B:$E,1,0)</f>
        <v>6210110901</v>
      </c>
      <c r="N1671" s="806">
        <f>+VLOOKUP(C1671,'BG 2023'!$B:$E,3,0)</f>
        <v>2429762500</v>
      </c>
      <c r="O1671" s="807">
        <f t="shared" si="156"/>
        <v>0</v>
      </c>
      <c r="P1671" s="807"/>
      <c r="R1671" s="807"/>
    </row>
    <row r="1672" spans="1:18" s="87" customFormat="1">
      <c r="A1672" s="77" t="s">
        <v>1113</v>
      </c>
      <c r="B1672" s="77"/>
      <c r="C1672" s="793">
        <v>6210110902</v>
      </c>
      <c r="D1672" s="77" t="s">
        <v>1121</v>
      </c>
      <c r="E1672" s="794" t="s">
        <v>640</v>
      </c>
      <c r="F1672" s="794" t="str">
        <f t="shared" si="163"/>
        <v>I</v>
      </c>
      <c r="G1672" s="615">
        <f>+IF(F1672="i",IFERROR(VLOOKUP(C1672,'BG 2023'!B:E,3,FALSE),0),0)</f>
        <v>0</v>
      </c>
      <c r="H1672" s="616">
        <f>+IF(F1672="i",IFERROR(VLOOKUP(C1672,'BG 2023'!B:E,4,FALSE),0),0)</f>
        <v>0</v>
      </c>
      <c r="I1672" s="616"/>
      <c r="J1672" s="28">
        <f>IF(F1672="I",IFERROR(VLOOKUP(C1672,'BG 12.2023'!$B$6:$E$819,3,FALSE),0),0)</f>
        <v>0</v>
      </c>
      <c r="K1672" s="28">
        <f>IF(F1672="I",IFERROR(VLOOKUP(C1672,'BG 12.2023'!$B$6:$E$819,4,FALSE),0),0)</f>
        <v>0</v>
      </c>
      <c r="M1672" s="15" t="e">
        <f>+VLOOKUP(C1672,'BG 2023'!$B:$E,1,0)</f>
        <v>#N/A</v>
      </c>
      <c r="N1672" s="806" t="e">
        <f>+VLOOKUP(C1672,'BG 2023'!$B:$E,3,0)</f>
        <v>#N/A</v>
      </c>
      <c r="O1672" s="807" t="e">
        <f t="shared" si="156"/>
        <v>#N/A</v>
      </c>
      <c r="P1672" s="807"/>
      <c r="R1672" s="807"/>
    </row>
    <row r="1673" spans="1:18" s="87" customFormat="1">
      <c r="A1673" s="77" t="s">
        <v>1113</v>
      </c>
      <c r="B1673" s="77"/>
      <c r="C1673" s="793">
        <v>62101110</v>
      </c>
      <c r="D1673" s="77" t="s">
        <v>690</v>
      </c>
      <c r="E1673" s="794" t="s">
        <v>640</v>
      </c>
      <c r="F1673" s="794" t="str">
        <f t="shared" si="163"/>
        <v>NI</v>
      </c>
      <c r="G1673" s="615">
        <f>+IF(F1673="i",IFERROR(VLOOKUP(C1673,'BG 2023'!B:E,3,FALSE),0),0)</f>
        <v>0</v>
      </c>
      <c r="H1673" s="616">
        <f>+IF(F1673="i",IFERROR(VLOOKUP(C1673,'BG 2023'!B:E,4,FALSE),0),0)</f>
        <v>0</v>
      </c>
      <c r="I1673" s="616"/>
      <c r="J1673" s="28">
        <f>IF(F1673="I",IFERROR(VLOOKUP(C1673,'BG 12.2023'!$B$6:$E$819,3,FALSE),0),0)</f>
        <v>0</v>
      </c>
      <c r="K1673" s="28">
        <f>IF(F1673="I",IFERROR(VLOOKUP(C1673,'BG 12.2023'!$B$6:$E$819,4,FALSE),0),0)</f>
        <v>0</v>
      </c>
      <c r="M1673" s="15" t="e">
        <f>+VLOOKUP(C1673,'BG 2023'!$B:$E,1,0)</f>
        <v>#N/A</v>
      </c>
      <c r="N1673" s="806" t="e">
        <f>+VLOOKUP(C1673,'BG 2023'!$B:$E,3,0)</f>
        <v>#N/A</v>
      </c>
      <c r="O1673" s="807" t="e">
        <f t="shared" si="156"/>
        <v>#N/A</v>
      </c>
      <c r="P1673" s="807"/>
      <c r="R1673" s="807"/>
    </row>
    <row r="1674" spans="1:18" s="87" customFormat="1">
      <c r="A1674" s="77" t="s">
        <v>1113</v>
      </c>
      <c r="B1674" s="77"/>
      <c r="C1674" s="793">
        <v>6210111001</v>
      </c>
      <c r="D1674" s="77" t="s">
        <v>1122</v>
      </c>
      <c r="E1674" s="794" t="s">
        <v>640</v>
      </c>
      <c r="F1674" s="794" t="str">
        <f t="shared" si="163"/>
        <v>I</v>
      </c>
      <c r="G1674" s="615">
        <f>+IF(F1674="i",IFERROR(VLOOKUP(C1674,'BG 2023'!B:E,3,FALSE),0),0)</f>
        <v>0</v>
      </c>
      <c r="H1674" s="616">
        <f>+IF(F1674="i",IFERROR(VLOOKUP(C1674,'BG 2023'!B:E,4,FALSE),0),0)</f>
        <v>0</v>
      </c>
      <c r="I1674" s="616"/>
      <c r="J1674" s="28">
        <f>IF(F1674="I",IFERROR(VLOOKUP(C1674,'BG 12.2023'!$B$6:$E$819,3,FALSE),0),0)</f>
        <v>0</v>
      </c>
      <c r="K1674" s="28">
        <f>IF(F1674="I",IFERROR(VLOOKUP(C1674,'BG 12.2023'!$B$6:$E$819,4,FALSE),0),0)</f>
        <v>0</v>
      </c>
      <c r="M1674" s="15" t="e">
        <f>+VLOOKUP(C1674,'BG 2023'!$B:$E,1,0)</f>
        <v>#N/A</v>
      </c>
      <c r="N1674" s="806" t="e">
        <f>+VLOOKUP(C1674,'BG 2023'!$B:$E,3,0)</f>
        <v>#N/A</v>
      </c>
      <c r="O1674" s="807" t="e">
        <f t="shared" si="156"/>
        <v>#N/A</v>
      </c>
      <c r="P1674" s="807"/>
      <c r="R1674" s="807"/>
    </row>
    <row r="1675" spans="1:18" s="87" customFormat="1">
      <c r="A1675" s="77" t="s">
        <v>1113</v>
      </c>
      <c r="B1675" s="77"/>
      <c r="C1675" s="793">
        <v>6210111002</v>
      </c>
      <c r="D1675" s="77" t="s">
        <v>1123</v>
      </c>
      <c r="E1675" s="794" t="s">
        <v>640</v>
      </c>
      <c r="F1675" s="794" t="str">
        <f t="shared" si="163"/>
        <v>I</v>
      </c>
      <c r="G1675" s="615">
        <f>+IF(F1675="i",IFERROR(VLOOKUP(C1675,'BG 2023'!B:E,3,FALSE),0),0)</f>
        <v>0</v>
      </c>
      <c r="H1675" s="616">
        <f>+IF(F1675="i",IFERROR(VLOOKUP(C1675,'BG 2023'!B:E,4,FALSE),0),0)</f>
        <v>0</v>
      </c>
      <c r="I1675" s="616"/>
      <c r="J1675" s="28">
        <f>IF(F1675="I",IFERROR(VLOOKUP(C1675,'BG 12.2023'!$B$6:$E$819,3,FALSE),0),0)</f>
        <v>0</v>
      </c>
      <c r="K1675" s="28">
        <f>IF(F1675="I",IFERROR(VLOOKUP(C1675,'BG 12.2023'!$B$6:$E$819,4,FALSE),0),0)</f>
        <v>0</v>
      </c>
      <c r="M1675" s="15" t="e">
        <f>+VLOOKUP(C1675,'BG 2023'!$B:$E,1,0)</f>
        <v>#N/A</v>
      </c>
      <c r="N1675" s="806" t="e">
        <f>+VLOOKUP(C1675,'BG 2023'!$B:$E,3,0)</f>
        <v>#N/A</v>
      </c>
      <c r="O1675" s="807" t="e">
        <f t="shared" si="156"/>
        <v>#N/A</v>
      </c>
      <c r="P1675" s="807"/>
      <c r="R1675" s="807"/>
    </row>
    <row r="1676" spans="1:18" s="87" customFormat="1">
      <c r="A1676" s="77" t="s">
        <v>1113</v>
      </c>
      <c r="B1676" s="77"/>
      <c r="C1676" s="793">
        <v>62101111</v>
      </c>
      <c r="D1676" s="77" t="s">
        <v>692</v>
      </c>
      <c r="E1676" s="794" t="s">
        <v>640</v>
      </c>
      <c r="F1676" s="794" t="str">
        <f t="shared" si="163"/>
        <v>NI</v>
      </c>
      <c r="G1676" s="615">
        <f>+IF(F1676="i",IFERROR(VLOOKUP(C1676,'BG 2023'!B:E,3,FALSE),0),0)</f>
        <v>0</v>
      </c>
      <c r="H1676" s="616">
        <f>+IF(F1676="i",IFERROR(VLOOKUP(C1676,'BG 2023'!B:E,4,FALSE),0),0)</f>
        <v>0</v>
      </c>
      <c r="I1676" s="616"/>
      <c r="J1676" s="28">
        <f>IF(F1676="I",IFERROR(VLOOKUP(C1676,'BG 12.2023'!$B$6:$E$819,3,FALSE),0),0)</f>
        <v>0</v>
      </c>
      <c r="K1676" s="28">
        <f>IF(F1676="I",IFERROR(VLOOKUP(C1676,'BG 12.2023'!$B$6:$E$819,4,FALSE),0),0)</f>
        <v>0</v>
      </c>
      <c r="M1676" s="15" t="e">
        <f>+VLOOKUP(C1676,'BG 2023'!$B:$E,1,0)</f>
        <v>#N/A</v>
      </c>
      <c r="N1676" s="806" t="e">
        <f>+VLOOKUP(C1676,'BG 2023'!$B:$E,3,0)</f>
        <v>#N/A</v>
      </c>
      <c r="O1676" s="807" t="e">
        <f t="shared" si="156"/>
        <v>#N/A</v>
      </c>
      <c r="P1676" s="807"/>
      <c r="R1676" s="807"/>
    </row>
    <row r="1677" spans="1:18" s="87" customFormat="1">
      <c r="A1677" s="77" t="s">
        <v>1113</v>
      </c>
      <c r="B1677" s="77"/>
      <c r="C1677" s="793">
        <v>6210111101</v>
      </c>
      <c r="D1677" s="77" t="s">
        <v>1124</v>
      </c>
      <c r="E1677" s="794" t="s">
        <v>640</v>
      </c>
      <c r="F1677" s="794" t="str">
        <f t="shared" si="163"/>
        <v>I</v>
      </c>
      <c r="G1677" s="615">
        <f>+IF(F1677="i",IFERROR(VLOOKUP(C1677,'BG 2023'!B:E,3,FALSE),0),0)</f>
        <v>0</v>
      </c>
      <c r="H1677" s="616">
        <f>+IF(F1677="i",IFERROR(VLOOKUP(C1677,'BG 2023'!B:E,4,FALSE),0),0)</f>
        <v>0</v>
      </c>
      <c r="I1677" s="616"/>
      <c r="J1677" s="28">
        <f>IF(F1677="I",IFERROR(VLOOKUP(C1677,'BG 12.2023'!$B$6:$E$819,3,FALSE),0),0)</f>
        <v>0</v>
      </c>
      <c r="K1677" s="28">
        <f>IF(F1677="I",IFERROR(VLOOKUP(C1677,'BG 12.2023'!$B$6:$E$819,4,FALSE),0),0)</f>
        <v>0</v>
      </c>
      <c r="M1677" s="15" t="e">
        <f>+VLOOKUP(C1677,'BG 2023'!$B:$E,1,0)</f>
        <v>#N/A</v>
      </c>
      <c r="N1677" s="806" t="e">
        <f>+VLOOKUP(C1677,'BG 2023'!$B:$E,3,0)</f>
        <v>#N/A</v>
      </c>
      <c r="O1677" s="807" t="e">
        <f t="shared" si="156"/>
        <v>#N/A</v>
      </c>
      <c r="P1677" s="807"/>
      <c r="R1677" s="807"/>
    </row>
    <row r="1678" spans="1:18" s="87" customFormat="1">
      <c r="A1678" s="77" t="s">
        <v>1113</v>
      </c>
      <c r="B1678" s="77"/>
      <c r="C1678" s="793">
        <v>6210111102</v>
      </c>
      <c r="D1678" s="77" t="s">
        <v>692</v>
      </c>
      <c r="E1678" s="794" t="s">
        <v>640</v>
      </c>
      <c r="F1678" s="794" t="str">
        <f t="shared" si="163"/>
        <v>I</v>
      </c>
      <c r="G1678" s="615">
        <f>+IF(F1678="i",IFERROR(VLOOKUP(C1678,'BG 2023'!B:E,3,FALSE),0),0)</f>
        <v>0</v>
      </c>
      <c r="H1678" s="616">
        <f>+IF(F1678="i",IFERROR(VLOOKUP(C1678,'BG 2023'!B:E,4,FALSE),0),0)</f>
        <v>0</v>
      </c>
      <c r="I1678" s="616"/>
      <c r="J1678" s="28">
        <f>IF(F1678="I",IFERROR(VLOOKUP(C1678,'BG 12.2023'!$B$6:$E$819,3,FALSE),0),0)</f>
        <v>0</v>
      </c>
      <c r="K1678" s="28">
        <f>IF(F1678="I",IFERROR(VLOOKUP(C1678,'BG 12.2023'!$B$6:$E$819,4,FALSE),0),0)</f>
        <v>0</v>
      </c>
      <c r="M1678" s="15" t="e">
        <f>+VLOOKUP(C1678,'BG 2023'!$B:$E,1,0)</f>
        <v>#N/A</v>
      </c>
      <c r="N1678" s="806" t="e">
        <f>+VLOOKUP(C1678,'BG 2023'!$B:$E,3,0)</f>
        <v>#N/A</v>
      </c>
      <c r="O1678" s="807" t="e">
        <f t="shared" si="156"/>
        <v>#N/A</v>
      </c>
      <c r="P1678" s="807"/>
      <c r="R1678" s="807"/>
    </row>
    <row r="1679" spans="1:18" s="87" customFormat="1">
      <c r="A1679" s="77" t="s">
        <v>1113</v>
      </c>
      <c r="B1679" s="77"/>
      <c r="C1679" s="793">
        <v>62101112</v>
      </c>
      <c r="D1679" s="77" t="s">
        <v>693</v>
      </c>
      <c r="E1679" s="794" t="s">
        <v>640</v>
      </c>
      <c r="F1679" s="794" t="str">
        <f t="shared" si="163"/>
        <v>NI</v>
      </c>
      <c r="G1679" s="615">
        <f>+IF(F1679="i",IFERROR(VLOOKUP(C1679,'BG 2023'!B:E,3,FALSE),0),0)</f>
        <v>0</v>
      </c>
      <c r="H1679" s="616">
        <f>+IF(F1679="i",IFERROR(VLOOKUP(C1679,'BG 2023'!B:E,4,FALSE),0),0)</f>
        <v>0</v>
      </c>
      <c r="I1679" s="616"/>
      <c r="J1679" s="28">
        <f>IF(F1679="I",IFERROR(VLOOKUP(C1679,'BG 12.2023'!$B$6:$E$819,3,FALSE),0),0)</f>
        <v>0</v>
      </c>
      <c r="K1679" s="28">
        <f>IF(F1679="I",IFERROR(VLOOKUP(C1679,'BG 12.2023'!$B$6:$E$819,4,FALSE),0),0)</f>
        <v>0</v>
      </c>
      <c r="M1679" s="15" t="e">
        <f>+VLOOKUP(C1679,'BG 2023'!$B:$E,1,0)</f>
        <v>#N/A</v>
      </c>
      <c r="N1679" s="806" t="e">
        <f>+VLOOKUP(C1679,'BG 2023'!$B:$E,3,0)</f>
        <v>#N/A</v>
      </c>
      <c r="O1679" s="807" t="e">
        <f t="shared" si="156"/>
        <v>#N/A</v>
      </c>
      <c r="P1679" s="807"/>
      <c r="R1679" s="807"/>
    </row>
    <row r="1680" spans="1:18" s="87" customFormat="1">
      <c r="A1680" s="77" t="s">
        <v>1113</v>
      </c>
      <c r="B1680" s="77"/>
      <c r="C1680" s="793">
        <v>6210111201</v>
      </c>
      <c r="D1680" s="77" t="s">
        <v>1125</v>
      </c>
      <c r="E1680" s="794" t="s">
        <v>640</v>
      </c>
      <c r="F1680" s="794" t="str">
        <f t="shared" si="163"/>
        <v>I</v>
      </c>
      <c r="G1680" s="615">
        <f>+IF(F1680="i",IFERROR(VLOOKUP(C1680,'BG 2023'!B:E,3,FALSE),0),0)</f>
        <v>0</v>
      </c>
      <c r="H1680" s="616">
        <f>+IF(F1680="i",IFERROR(VLOOKUP(C1680,'BG 2023'!B:E,4,FALSE),0),0)</f>
        <v>0</v>
      </c>
      <c r="I1680" s="616"/>
      <c r="J1680" s="28">
        <f>IF(F1680="I",IFERROR(VLOOKUP(C1680,'BG 12.2023'!$B$6:$E$819,3,FALSE),0),0)</f>
        <v>0</v>
      </c>
      <c r="K1680" s="28">
        <f>IF(F1680="I",IFERROR(VLOOKUP(C1680,'BG 12.2023'!$B$6:$E$819,4,FALSE),0),0)</f>
        <v>0</v>
      </c>
      <c r="M1680" s="15" t="e">
        <f>+VLOOKUP(C1680,'BG 2023'!$B:$E,1,0)</f>
        <v>#N/A</v>
      </c>
      <c r="N1680" s="806" t="e">
        <f>+VLOOKUP(C1680,'BG 2023'!$B:$E,3,0)</f>
        <v>#N/A</v>
      </c>
      <c r="O1680" s="807" t="e">
        <f t="shared" si="156"/>
        <v>#N/A</v>
      </c>
      <c r="P1680" s="807"/>
      <c r="R1680" s="807"/>
    </row>
    <row r="1681" spans="1:18" s="87" customFormat="1">
      <c r="A1681" s="77" t="s">
        <v>1113</v>
      </c>
      <c r="B1681" s="77"/>
      <c r="C1681" s="793">
        <v>6210111202</v>
      </c>
      <c r="D1681" s="77" t="s">
        <v>1126</v>
      </c>
      <c r="E1681" s="794" t="s">
        <v>640</v>
      </c>
      <c r="F1681" s="794" t="str">
        <f t="shared" si="163"/>
        <v>I</v>
      </c>
      <c r="G1681" s="615">
        <f>+IF(F1681="i",IFERROR(VLOOKUP(C1681,'BG 2023'!B:E,3,FALSE),0),0)</f>
        <v>0</v>
      </c>
      <c r="H1681" s="616">
        <f>+IF(F1681="i",IFERROR(VLOOKUP(C1681,'BG 2023'!B:E,4,FALSE),0),0)</f>
        <v>0</v>
      </c>
      <c r="I1681" s="616"/>
      <c r="J1681" s="28">
        <f>IF(F1681="I",IFERROR(VLOOKUP(C1681,'BG 12.2023'!$B$6:$E$819,3,FALSE),0),0)</f>
        <v>0</v>
      </c>
      <c r="K1681" s="28">
        <f>IF(F1681="I",IFERROR(VLOOKUP(C1681,'BG 12.2023'!$B$6:$E$819,4,FALSE),0),0)</f>
        <v>0</v>
      </c>
      <c r="M1681" s="15" t="e">
        <f>+VLOOKUP(C1681,'BG 2023'!$B:$E,1,0)</f>
        <v>#N/A</v>
      </c>
      <c r="N1681" s="806" t="e">
        <f>+VLOOKUP(C1681,'BG 2023'!$B:$E,3,0)</f>
        <v>#N/A</v>
      </c>
      <c r="O1681" s="807" t="e">
        <f t="shared" si="156"/>
        <v>#N/A</v>
      </c>
      <c r="P1681" s="807"/>
      <c r="R1681" s="807"/>
    </row>
    <row r="1682" spans="1:18" s="87" customFormat="1">
      <c r="A1682" s="77" t="s">
        <v>1113</v>
      </c>
      <c r="B1682" s="77"/>
      <c r="C1682" s="793">
        <v>62101113</v>
      </c>
      <c r="D1682" s="77" t="s">
        <v>267</v>
      </c>
      <c r="E1682" s="794" t="s">
        <v>640</v>
      </c>
      <c r="F1682" s="794" t="str">
        <f t="shared" si="163"/>
        <v>NI</v>
      </c>
      <c r="G1682" s="615">
        <f>+IF(F1682="i",IFERROR(VLOOKUP(C1682,'BG 2023'!B:E,3,FALSE),0),0)</f>
        <v>0</v>
      </c>
      <c r="H1682" s="616">
        <f>+IF(F1682="i",IFERROR(VLOOKUP(C1682,'BG 2023'!B:E,4,FALSE),0),0)</f>
        <v>0</v>
      </c>
      <c r="I1682" s="616"/>
      <c r="J1682" s="28">
        <f>IF(F1682="I",IFERROR(VLOOKUP(C1682,'BG 12.2023'!$B$6:$E$819,3,FALSE),0),0)</f>
        <v>0</v>
      </c>
      <c r="K1682" s="28">
        <f>IF(F1682="I",IFERROR(VLOOKUP(C1682,'BG 12.2023'!$B$6:$E$819,4,FALSE),0),0)</f>
        <v>0</v>
      </c>
      <c r="M1682" s="15">
        <f>+VLOOKUP(C1682,'BG 2023'!$B:$E,1,0)</f>
        <v>62101113</v>
      </c>
      <c r="N1682" s="806">
        <f>+VLOOKUP(C1682,'BG 2023'!$B:$E,3,0)</f>
        <v>767167686046</v>
      </c>
      <c r="O1682" s="807">
        <f t="shared" si="156"/>
        <v>767167686046</v>
      </c>
      <c r="P1682" s="807"/>
      <c r="R1682" s="807"/>
    </row>
    <row r="1683" spans="1:18" s="87" customFormat="1">
      <c r="A1683" s="77" t="s">
        <v>1113</v>
      </c>
      <c r="B1683" s="77" t="s">
        <v>1151</v>
      </c>
      <c r="C1683" s="793">
        <v>6210111301</v>
      </c>
      <c r="D1683" s="77" t="s">
        <v>268</v>
      </c>
      <c r="E1683" s="794" t="s">
        <v>640</v>
      </c>
      <c r="F1683" s="794" t="str">
        <f t="shared" si="163"/>
        <v>I</v>
      </c>
      <c r="G1683" s="615">
        <f>+IF(F1683="i",IFERROR(VLOOKUP(C1683,'BG 2023'!B:E,3,FALSE),0),0)</f>
        <v>767167686046</v>
      </c>
      <c r="H1683" s="616">
        <f>+IF(F1683="i",IFERROR(VLOOKUP(C1683,'BG 2023'!B:E,4,FALSE),0),0)</f>
        <v>105327802.11999999</v>
      </c>
      <c r="I1683" s="616"/>
      <c r="J1683" s="28">
        <f>IF(F1683="I",IFERROR(VLOOKUP(C1683,'BG 12.2023'!$B$6:$E$819,3,FALSE),0),0)</f>
        <v>767167686046</v>
      </c>
      <c r="K1683" s="28">
        <f>IF(F1683="I",IFERROR(VLOOKUP(C1683,'BG 12.2023'!$B$6:$E$819,4,FALSE),0),0)</f>
        <v>105327802.11999999</v>
      </c>
      <c r="M1683" s="15">
        <f>+VLOOKUP(C1683,'BG 2023'!$B:$E,1,0)</f>
        <v>6210111301</v>
      </c>
      <c r="N1683" s="806">
        <f>+VLOOKUP(C1683,'BG 2023'!$B:$E,3,0)</f>
        <v>767167686046</v>
      </c>
      <c r="O1683" s="807">
        <f t="shared" si="156"/>
        <v>0</v>
      </c>
      <c r="P1683" s="807"/>
      <c r="R1683" s="807"/>
    </row>
    <row r="1684" spans="1:18" s="87" customFormat="1">
      <c r="A1684" s="77" t="s">
        <v>1113</v>
      </c>
      <c r="B1684" s="77"/>
      <c r="C1684" s="793">
        <v>6210111302</v>
      </c>
      <c r="D1684" s="77" t="s">
        <v>1127</v>
      </c>
      <c r="E1684" s="794" t="s">
        <v>640</v>
      </c>
      <c r="F1684" s="794" t="str">
        <f t="shared" si="163"/>
        <v>I</v>
      </c>
      <c r="G1684" s="615">
        <f>+IF(F1684="i",IFERROR(VLOOKUP(C1684,'BG 2023'!B:E,3,FALSE),0),0)</f>
        <v>0</v>
      </c>
      <c r="H1684" s="616">
        <f>+IF(F1684="i",IFERROR(VLOOKUP(C1684,'BG 2023'!B:E,4,FALSE),0),0)</f>
        <v>0</v>
      </c>
      <c r="I1684" s="616"/>
      <c r="J1684" s="28">
        <f>IF(F1684="I",IFERROR(VLOOKUP(C1684,'BG 12.2023'!$B$6:$E$819,3,FALSE),0),0)</f>
        <v>0</v>
      </c>
      <c r="K1684" s="28">
        <f>IF(F1684="I",IFERROR(VLOOKUP(C1684,'BG 12.2023'!$B$6:$E$819,4,FALSE),0),0)</f>
        <v>0</v>
      </c>
      <c r="M1684" s="15" t="e">
        <f>+VLOOKUP(C1684,'BG 2023'!$B:$E,1,0)</f>
        <v>#N/A</v>
      </c>
      <c r="N1684" s="806" t="e">
        <f>+VLOOKUP(C1684,'BG 2023'!$B:$E,3,0)</f>
        <v>#N/A</v>
      </c>
      <c r="O1684" s="807" t="e">
        <f t="shared" si="156"/>
        <v>#N/A</v>
      </c>
      <c r="P1684" s="807"/>
      <c r="R1684" s="807"/>
    </row>
    <row r="1685" spans="1:18" s="87" customFormat="1">
      <c r="A1685" s="77" t="s">
        <v>1113</v>
      </c>
      <c r="B1685" s="77"/>
      <c r="C1685" s="793">
        <v>62101114</v>
      </c>
      <c r="D1685" s="77" t="s">
        <v>269</v>
      </c>
      <c r="E1685" s="794" t="s">
        <v>640</v>
      </c>
      <c r="F1685" s="794" t="str">
        <f t="shared" si="163"/>
        <v>NI</v>
      </c>
      <c r="G1685" s="615">
        <f>+IF(F1685="i",IFERROR(VLOOKUP(C1685,'BG 2023'!B:E,3,FALSE),0),0)</f>
        <v>0</v>
      </c>
      <c r="H1685" s="616">
        <f>+IF(F1685="i",IFERROR(VLOOKUP(C1685,'BG 2023'!B:E,4,FALSE),0),0)</f>
        <v>0</v>
      </c>
      <c r="I1685" s="616"/>
      <c r="J1685" s="28">
        <f>IF(F1685="I",IFERROR(VLOOKUP(C1685,'BG 12.2023'!$B$6:$E$819,3,FALSE),0),0)</f>
        <v>0</v>
      </c>
      <c r="K1685" s="28">
        <f>IF(F1685="I",IFERROR(VLOOKUP(C1685,'BG 12.2023'!$B$6:$E$819,4,FALSE),0),0)</f>
        <v>0</v>
      </c>
      <c r="M1685" s="15">
        <f>+VLOOKUP(C1685,'BG 2023'!$B:$E,1,0)</f>
        <v>62101114</v>
      </c>
      <c r="N1685" s="806">
        <f>+VLOOKUP(C1685,'BG 2023'!$B:$E,3,0)</f>
        <v>138433955852</v>
      </c>
      <c r="O1685" s="807">
        <f t="shared" si="156"/>
        <v>138433955852</v>
      </c>
      <c r="P1685" s="807"/>
      <c r="R1685" s="807"/>
    </row>
    <row r="1686" spans="1:18" s="87" customFormat="1">
      <c r="A1686" s="77" t="s">
        <v>1113</v>
      </c>
      <c r="B1686" s="77" t="s">
        <v>1151</v>
      </c>
      <c r="C1686" s="793">
        <v>6210111401</v>
      </c>
      <c r="D1686" s="77" t="s">
        <v>270</v>
      </c>
      <c r="E1686" s="794" t="s">
        <v>640</v>
      </c>
      <c r="F1686" s="794" t="str">
        <f t="shared" si="163"/>
        <v>I</v>
      </c>
      <c r="G1686" s="615">
        <f>+IF(F1686="i",IFERROR(VLOOKUP(C1686,'BG 2023'!B:E,3,FALSE),0),0)</f>
        <v>138433955852</v>
      </c>
      <c r="H1686" s="616">
        <f>+IF(F1686="i",IFERROR(VLOOKUP(C1686,'BG 2023'!B:E,4,FALSE),0),0)</f>
        <v>19006202.386</v>
      </c>
      <c r="I1686" s="616"/>
      <c r="J1686" s="28">
        <f>IF(F1686="I",IFERROR(VLOOKUP(C1686,'BG 12.2023'!$B$6:$E$819,3,FALSE),0),0)</f>
        <v>138433955852</v>
      </c>
      <c r="K1686" s="28">
        <f>IF(F1686="I",IFERROR(VLOOKUP(C1686,'BG 12.2023'!$B$6:$E$819,4,FALSE),0),0)</f>
        <v>19006202.386</v>
      </c>
      <c r="M1686" s="15">
        <f>+VLOOKUP(C1686,'BG 2023'!$B:$E,1,0)</f>
        <v>6210111401</v>
      </c>
      <c r="N1686" s="806">
        <f>+VLOOKUP(C1686,'BG 2023'!$B:$E,3,0)</f>
        <v>138433955852</v>
      </c>
      <c r="O1686" s="807">
        <f t="shared" si="156"/>
        <v>0</v>
      </c>
      <c r="P1686" s="807"/>
      <c r="R1686" s="807"/>
    </row>
    <row r="1687" spans="1:18" s="87" customFormat="1">
      <c r="A1687" s="77" t="s">
        <v>1113</v>
      </c>
      <c r="B1687" s="77"/>
      <c r="C1687" s="793">
        <v>6210111402</v>
      </c>
      <c r="D1687" s="77" t="s">
        <v>1128</v>
      </c>
      <c r="E1687" s="794" t="s">
        <v>640</v>
      </c>
      <c r="F1687" s="794" t="str">
        <f t="shared" si="163"/>
        <v>I</v>
      </c>
      <c r="G1687" s="615">
        <f>+IF(F1687="i",IFERROR(VLOOKUP(C1687,'BG 2023'!B:E,3,FALSE),0),0)</f>
        <v>0</v>
      </c>
      <c r="H1687" s="616">
        <f>+IF(F1687="i",IFERROR(VLOOKUP(C1687,'BG 2023'!B:E,4,FALSE),0),0)</f>
        <v>0</v>
      </c>
      <c r="I1687" s="616"/>
      <c r="J1687" s="28">
        <f>IF(F1687="I",IFERROR(VLOOKUP(C1687,'BG 12.2023'!$B$6:$E$819,3,FALSE),0),0)</f>
        <v>0</v>
      </c>
      <c r="K1687" s="28">
        <f>IF(F1687="I",IFERROR(VLOOKUP(C1687,'BG 12.2023'!$B$6:$E$819,4,FALSE),0),0)</f>
        <v>0</v>
      </c>
      <c r="M1687" s="15" t="e">
        <f>+VLOOKUP(C1687,'BG 2023'!$B:$E,1,0)</f>
        <v>#N/A</v>
      </c>
      <c r="N1687" s="806" t="e">
        <f>+VLOOKUP(C1687,'BG 2023'!$B:$E,3,0)</f>
        <v>#N/A</v>
      </c>
      <c r="O1687" s="807" t="e">
        <f t="shared" si="156"/>
        <v>#N/A</v>
      </c>
      <c r="P1687" s="807"/>
      <c r="R1687" s="807"/>
    </row>
    <row r="1688" spans="1:18" s="87" customFormat="1">
      <c r="A1688" s="77" t="s">
        <v>1113</v>
      </c>
      <c r="B1688" s="77"/>
      <c r="C1688" s="793">
        <v>62101115</v>
      </c>
      <c r="D1688" s="77" t="s">
        <v>978</v>
      </c>
      <c r="E1688" s="794" t="s">
        <v>640</v>
      </c>
      <c r="F1688" s="794" t="str">
        <f t="shared" si="163"/>
        <v>NI</v>
      </c>
      <c r="G1688" s="615">
        <f>+IF(F1688="i",IFERROR(VLOOKUP(C1688,'BG 2023'!B:E,3,FALSE),0),0)</f>
        <v>0</v>
      </c>
      <c r="H1688" s="616">
        <f>+IF(F1688="i",IFERROR(VLOOKUP(C1688,'BG 2023'!B:E,4,FALSE),0),0)</f>
        <v>0</v>
      </c>
      <c r="I1688" s="616"/>
      <c r="J1688" s="28">
        <f>IF(F1688="I",IFERROR(VLOOKUP(C1688,'BG 12.2023'!$B$6:$E$819,3,FALSE),0),0)</f>
        <v>0</v>
      </c>
      <c r="K1688" s="28">
        <f>IF(F1688="I",IFERROR(VLOOKUP(C1688,'BG 12.2023'!$B$6:$E$819,4,FALSE),0),0)</f>
        <v>0</v>
      </c>
      <c r="M1688" s="15" t="e">
        <f>+VLOOKUP(C1688,'BG 2023'!$B:$E,1,0)</f>
        <v>#N/A</v>
      </c>
      <c r="N1688" s="806" t="e">
        <f>+VLOOKUP(C1688,'BG 2023'!$B:$E,3,0)</f>
        <v>#N/A</v>
      </c>
      <c r="O1688" s="807" t="e">
        <f t="shared" si="156"/>
        <v>#N/A</v>
      </c>
      <c r="P1688" s="807"/>
      <c r="R1688" s="807"/>
    </row>
    <row r="1689" spans="1:18" s="87" customFormat="1">
      <c r="A1689" s="77" t="s">
        <v>1113</v>
      </c>
      <c r="B1689" s="77"/>
      <c r="C1689" s="793">
        <v>6210111501</v>
      </c>
      <c r="D1689" s="77" t="s">
        <v>1129</v>
      </c>
      <c r="E1689" s="794" t="s">
        <v>640</v>
      </c>
      <c r="F1689" s="794" t="str">
        <f t="shared" si="163"/>
        <v>I</v>
      </c>
      <c r="G1689" s="615">
        <f>+IF(F1689="i",IFERROR(VLOOKUP(C1689,'BG 2023'!B:E,3,FALSE),0),0)</f>
        <v>0</v>
      </c>
      <c r="H1689" s="616">
        <f>+IF(F1689="i",IFERROR(VLOOKUP(C1689,'BG 2023'!B:E,4,FALSE),0),0)</f>
        <v>0</v>
      </c>
      <c r="I1689" s="616"/>
      <c r="J1689" s="28">
        <f>IF(F1689="I",IFERROR(VLOOKUP(C1689,'BG 12.2023'!$B$6:$E$819,3,FALSE),0),0)</f>
        <v>0</v>
      </c>
      <c r="K1689" s="28">
        <f>IF(F1689="I",IFERROR(VLOOKUP(C1689,'BG 12.2023'!$B$6:$E$819,4,FALSE),0),0)</f>
        <v>0</v>
      </c>
      <c r="M1689" s="15" t="e">
        <f>+VLOOKUP(C1689,'BG 2023'!$B:$E,1,0)</f>
        <v>#N/A</v>
      </c>
      <c r="N1689" s="806" t="e">
        <f>+VLOOKUP(C1689,'BG 2023'!$B:$E,3,0)</f>
        <v>#N/A</v>
      </c>
      <c r="O1689" s="807" t="e">
        <f t="shared" si="156"/>
        <v>#N/A</v>
      </c>
      <c r="P1689" s="807"/>
      <c r="R1689" s="807"/>
    </row>
    <row r="1690" spans="1:18" s="87" customFormat="1">
      <c r="A1690" s="77" t="s">
        <v>1113</v>
      </c>
      <c r="B1690" s="77"/>
      <c r="C1690" s="793">
        <v>6210111502</v>
      </c>
      <c r="D1690" s="77" t="s">
        <v>1130</v>
      </c>
      <c r="E1690" s="794" t="s">
        <v>640</v>
      </c>
      <c r="F1690" s="794" t="str">
        <f t="shared" si="163"/>
        <v>I</v>
      </c>
      <c r="G1690" s="615">
        <f>+IF(F1690="i",IFERROR(VLOOKUP(C1690,'BG 2023'!B:E,3,FALSE),0),0)</f>
        <v>0</v>
      </c>
      <c r="H1690" s="616">
        <f>+IF(F1690="i",IFERROR(VLOOKUP(C1690,'BG 2023'!B:E,4,FALSE),0),0)</f>
        <v>0</v>
      </c>
      <c r="I1690" s="616"/>
      <c r="J1690" s="28">
        <f>IF(F1690="I",IFERROR(VLOOKUP(C1690,'BG 12.2023'!$B$6:$E$819,3,FALSE),0),0)</f>
        <v>0</v>
      </c>
      <c r="K1690" s="28">
        <f>IF(F1690="I",IFERROR(VLOOKUP(C1690,'BG 12.2023'!$B$6:$E$819,4,FALSE),0),0)</f>
        <v>0</v>
      </c>
      <c r="M1690" s="15" t="e">
        <f>+VLOOKUP(C1690,'BG 2023'!$B:$E,1,0)</f>
        <v>#N/A</v>
      </c>
      <c r="N1690" s="806" t="e">
        <f>+VLOOKUP(C1690,'BG 2023'!$B:$E,3,0)</f>
        <v>#N/A</v>
      </c>
      <c r="O1690" s="807" t="e">
        <f t="shared" si="156"/>
        <v>#N/A</v>
      </c>
      <c r="P1690" s="807"/>
      <c r="R1690" s="807"/>
    </row>
    <row r="1691" spans="1:18" s="87" customFormat="1">
      <c r="A1691" s="77" t="s">
        <v>1113</v>
      </c>
      <c r="B1691" s="77"/>
      <c r="C1691" s="793">
        <v>62101116</v>
      </c>
      <c r="D1691" s="77" t="s">
        <v>979</v>
      </c>
      <c r="E1691" s="794" t="s">
        <v>640</v>
      </c>
      <c r="F1691" s="794" t="str">
        <f t="shared" si="163"/>
        <v>NI</v>
      </c>
      <c r="G1691" s="615">
        <f>+IF(F1691="i",IFERROR(VLOOKUP(C1691,'BG 2023'!B:E,3,FALSE),0),0)</f>
        <v>0</v>
      </c>
      <c r="H1691" s="616">
        <f>+IF(F1691="i",IFERROR(VLOOKUP(C1691,'BG 2023'!B:E,4,FALSE),0),0)</f>
        <v>0</v>
      </c>
      <c r="I1691" s="616"/>
      <c r="J1691" s="28">
        <f>IF(F1691="I",IFERROR(VLOOKUP(C1691,'BG 12.2023'!$B$6:$E$819,3,FALSE),0),0)</f>
        <v>0</v>
      </c>
      <c r="K1691" s="28">
        <f>IF(F1691="I",IFERROR(VLOOKUP(C1691,'BG 12.2023'!$B$6:$E$819,4,FALSE),0),0)</f>
        <v>0</v>
      </c>
      <c r="M1691" s="15" t="e">
        <f>+VLOOKUP(C1691,'BG 2023'!$B:$E,1,0)</f>
        <v>#N/A</v>
      </c>
      <c r="N1691" s="806" t="e">
        <f>+VLOOKUP(C1691,'BG 2023'!$B:$E,3,0)</f>
        <v>#N/A</v>
      </c>
      <c r="O1691" s="807" t="e">
        <f t="shared" ref="O1691:O1764" si="164">+N1691-G1691</f>
        <v>#N/A</v>
      </c>
      <c r="P1691" s="807"/>
      <c r="R1691" s="807"/>
    </row>
    <row r="1692" spans="1:18" s="87" customFormat="1">
      <c r="A1692" s="77" t="s">
        <v>1113</v>
      </c>
      <c r="B1692" s="77"/>
      <c r="C1692" s="793">
        <v>6210111601</v>
      </c>
      <c r="D1692" s="77" t="s">
        <v>1131</v>
      </c>
      <c r="E1692" s="794" t="s">
        <v>640</v>
      </c>
      <c r="F1692" s="794" t="str">
        <f t="shared" si="163"/>
        <v>I</v>
      </c>
      <c r="G1692" s="615">
        <f>+IF(F1692="i",IFERROR(VLOOKUP(C1692,'BG 2023'!B:E,3,FALSE),0),0)</f>
        <v>0</v>
      </c>
      <c r="H1692" s="616">
        <f>+IF(F1692="i",IFERROR(VLOOKUP(C1692,'BG 2023'!B:E,4,FALSE),0),0)</f>
        <v>0</v>
      </c>
      <c r="I1692" s="616"/>
      <c r="J1692" s="28">
        <f>IF(F1692="I",IFERROR(VLOOKUP(C1692,'BG 12.2023'!$B$6:$E$819,3,FALSE),0),0)</f>
        <v>0</v>
      </c>
      <c r="K1692" s="28">
        <f>IF(F1692="I",IFERROR(VLOOKUP(C1692,'BG 12.2023'!$B$6:$E$819,4,FALSE),0),0)</f>
        <v>0</v>
      </c>
      <c r="M1692" s="15" t="e">
        <f>+VLOOKUP(C1692,'BG 2023'!$B:$E,1,0)</f>
        <v>#N/A</v>
      </c>
      <c r="N1692" s="806" t="e">
        <f>+VLOOKUP(C1692,'BG 2023'!$B:$E,3,0)</f>
        <v>#N/A</v>
      </c>
      <c r="O1692" s="807" t="e">
        <f t="shared" si="164"/>
        <v>#N/A</v>
      </c>
      <c r="P1692" s="807"/>
      <c r="R1692" s="807"/>
    </row>
    <row r="1693" spans="1:18" s="87" customFormat="1">
      <c r="A1693" s="77" t="s">
        <v>1113</v>
      </c>
      <c r="B1693" s="77"/>
      <c r="C1693" s="793">
        <v>6210111602</v>
      </c>
      <c r="D1693" s="77" t="s">
        <v>1132</v>
      </c>
      <c r="E1693" s="794" t="s">
        <v>640</v>
      </c>
      <c r="F1693" s="794" t="str">
        <f t="shared" ref="F1693:F1724" si="165">+IF(LEN(C1693)&gt;8,"I","NI")</f>
        <v>I</v>
      </c>
      <c r="G1693" s="615">
        <f>+IF(F1693="i",IFERROR(VLOOKUP(C1693,'BG 2023'!B:E,3,FALSE),0),0)</f>
        <v>0</v>
      </c>
      <c r="H1693" s="616">
        <f>+IF(F1693="i",IFERROR(VLOOKUP(C1693,'BG 2023'!B:E,4,FALSE),0),0)</f>
        <v>0</v>
      </c>
      <c r="I1693" s="616"/>
      <c r="J1693" s="28">
        <f>IF(F1693="I",IFERROR(VLOOKUP(C1693,'BG 12.2023'!$B$6:$E$819,3,FALSE),0),0)</f>
        <v>0</v>
      </c>
      <c r="K1693" s="28">
        <f>IF(F1693="I",IFERROR(VLOOKUP(C1693,'BG 12.2023'!$B$6:$E$819,4,FALSE),0),0)</f>
        <v>0</v>
      </c>
      <c r="M1693" s="15" t="e">
        <f>+VLOOKUP(C1693,'BG 2023'!$B:$E,1,0)</f>
        <v>#N/A</v>
      </c>
      <c r="N1693" s="806" t="e">
        <f>+VLOOKUP(C1693,'BG 2023'!$B:$E,3,0)</f>
        <v>#N/A</v>
      </c>
      <c r="O1693" s="807" t="e">
        <f t="shared" si="164"/>
        <v>#N/A</v>
      </c>
      <c r="P1693" s="807"/>
      <c r="R1693" s="807"/>
    </row>
    <row r="1694" spans="1:18" s="87" customFormat="1">
      <c r="A1694" s="77" t="s">
        <v>1113</v>
      </c>
      <c r="B1694" s="77"/>
      <c r="C1694" s="793">
        <v>62101117</v>
      </c>
      <c r="D1694" s="77" t="s">
        <v>271</v>
      </c>
      <c r="E1694" s="794" t="s">
        <v>640</v>
      </c>
      <c r="F1694" s="794" t="str">
        <f t="shared" si="165"/>
        <v>NI</v>
      </c>
      <c r="G1694" s="615">
        <f>+IF(F1694="i",IFERROR(VLOOKUP(C1694,'BG 2023'!B:E,3,FALSE),0),0)</f>
        <v>0</v>
      </c>
      <c r="H1694" s="616">
        <f>+IF(F1694="i",IFERROR(VLOOKUP(C1694,'BG 2023'!B:E,4,FALSE),0),0)</f>
        <v>0</v>
      </c>
      <c r="I1694" s="616"/>
      <c r="J1694" s="28">
        <f>IF(F1694="I",IFERROR(VLOOKUP(C1694,'BG 12.2023'!$B$6:$E$819,3,FALSE),0),0)</f>
        <v>0</v>
      </c>
      <c r="K1694" s="28">
        <f>IF(F1694="I",IFERROR(VLOOKUP(C1694,'BG 12.2023'!$B$6:$E$819,4,FALSE),0),0)</f>
        <v>0</v>
      </c>
      <c r="M1694" s="15">
        <f>+VLOOKUP(C1694,'BG 2023'!$B:$E,1,0)</f>
        <v>62101117</v>
      </c>
      <c r="N1694" s="806">
        <f>+VLOOKUP(C1694,'BG 2023'!$B:$E,3,0)</f>
        <v>1246735668</v>
      </c>
      <c r="O1694" s="807">
        <f t="shared" si="164"/>
        <v>1246735668</v>
      </c>
      <c r="P1694" s="807"/>
      <c r="R1694" s="807"/>
    </row>
    <row r="1695" spans="1:18" s="87" customFormat="1">
      <c r="A1695" s="77" t="s">
        <v>1113</v>
      </c>
      <c r="B1695" s="77" t="s">
        <v>1151</v>
      </c>
      <c r="C1695" s="793">
        <v>6210111701</v>
      </c>
      <c r="D1695" s="77" t="s">
        <v>272</v>
      </c>
      <c r="E1695" s="794" t="s">
        <v>640</v>
      </c>
      <c r="F1695" s="794" t="str">
        <f t="shared" si="165"/>
        <v>I</v>
      </c>
      <c r="G1695" s="615">
        <f>+IF(F1695="i",IFERROR(VLOOKUP(C1695,'BG 2023'!B:E,3,FALSE),0),0)</f>
        <v>950000000</v>
      </c>
      <c r="H1695" s="616">
        <f>+IF(F1695="i",IFERROR(VLOOKUP(C1695,'BG 2023'!B:E,4,FALSE),0),0)</f>
        <v>130429.65000000001</v>
      </c>
      <c r="I1695" s="616"/>
      <c r="J1695" s="28">
        <f>IF(F1695="I",IFERROR(VLOOKUP(C1695,'BG 12.2023'!$B$6:$E$819,3,FALSE),0),0)</f>
        <v>950000000</v>
      </c>
      <c r="K1695" s="28">
        <f>IF(F1695="I",IFERROR(VLOOKUP(C1695,'BG 12.2023'!$B$6:$E$819,4,FALSE),0),0)</f>
        <v>130429.65000000001</v>
      </c>
      <c r="M1695" s="15">
        <f>+VLOOKUP(C1695,'BG 2023'!$B:$E,1,0)</f>
        <v>6210111701</v>
      </c>
      <c r="N1695" s="806">
        <f>+VLOOKUP(C1695,'BG 2023'!$B:$E,3,0)</f>
        <v>950000000</v>
      </c>
      <c r="O1695" s="807">
        <f t="shared" si="164"/>
        <v>0</v>
      </c>
      <c r="P1695" s="807"/>
      <c r="R1695" s="807"/>
    </row>
    <row r="1696" spans="1:18" s="87" customFormat="1">
      <c r="A1696" s="77" t="s">
        <v>1113</v>
      </c>
      <c r="B1696" s="77" t="s">
        <v>1151</v>
      </c>
      <c r="C1696" s="793">
        <v>6210111702</v>
      </c>
      <c r="D1696" s="77" t="s">
        <v>273</v>
      </c>
      <c r="E1696" s="794" t="s">
        <v>640</v>
      </c>
      <c r="F1696" s="794" t="str">
        <f t="shared" si="165"/>
        <v>I</v>
      </c>
      <c r="G1696" s="615">
        <f>+IF(F1696="i",IFERROR(VLOOKUP(C1696,'BG 2023'!B:E,3,FALSE),0),0)</f>
        <v>296735668</v>
      </c>
      <c r="H1696" s="616">
        <f>+IF(F1696="i",IFERROR(VLOOKUP(C1696,'BG 2023'!B:E,4,FALSE),0),0)</f>
        <v>40740.14</v>
      </c>
      <c r="I1696" s="616"/>
      <c r="J1696" s="28">
        <f>IF(F1696="I",IFERROR(VLOOKUP(C1696,'BG 12.2023'!$B$6:$E$819,3,FALSE),0),0)</f>
        <v>296735668</v>
      </c>
      <c r="K1696" s="28">
        <f>IF(F1696="I",IFERROR(VLOOKUP(C1696,'BG 12.2023'!$B$6:$E$819,4,FALSE),0),0)</f>
        <v>40740.14</v>
      </c>
      <c r="M1696" s="15">
        <f>+VLOOKUP(C1696,'BG 2023'!$B:$E,1,0)</f>
        <v>6210111702</v>
      </c>
      <c r="N1696" s="806">
        <f>+VLOOKUP(C1696,'BG 2023'!$B:$E,3,0)</f>
        <v>296735668</v>
      </c>
      <c r="O1696" s="807">
        <f t="shared" si="164"/>
        <v>0</v>
      </c>
      <c r="P1696" s="807"/>
      <c r="R1696" s="807"/>
    </row>
    <row r="1697" spans="1:18" s="87" customFormat="1">
      <c r="A1697" s="77" t="s">
        <v>1113</v>
      </c>
      <c r="B1697" s="77"/>
      <c r="C1697" s="793">
        <v>62101118</v>
      </c>
      <c r="D1697" s="77" t="s">
        <v>274</v>
      </c>
      <c r="E1697" s="794" t="s">
        <v>640</v>
      </c>
      <c r="F1697" s="794" t="str">
        <f t="shared" si="165"/>
        <v>NI</v>
      </c>
      <c r="G1697" s="615">
        <f>+IF(F1697="i",IFERROR(VLOOKUP(C1697,'BG 2023'!B:E,3,FALSE),0),0)</f>
        <v>0</v>
      </c>
      <c r="H1697" s="616">
        <f>+IF(F1697="i",IFERROR(VLOOKUP(C1697,'BG 2023'!B:E,4,FALSE),0),0)</f>
        <v>0</v>
      </c>
      <c r="I1697" s="616"/>
      <c r="J1697" s="28">
        <f>IF(F1697="I",IFERROR(VLOOKUP(C1697,'BG 12.2023'!$B$6:$E$819,3,FALSE),0),0)</f>
        <v>0</v>
      </c>
      <c r="K1697" s="28">
        <f>IF(F1697="I",IFERROR(VLOOKUP(C1697,'BG 12.2023'!$B$6:$E$819,4,FALSE),0),0)</f>
        <v>0</v>
      </c>
      <c r="M1697" s="15">
        <f>+VLOOKUP(C1697,'BG 2023'!$B:$E,1,0)</f>
        <v>62101118</v>
      </c>
      <c r="N1697" s="806">
        <f>+VLOOKUP(C1697,'BG 2023'!$B:$E,3,0)</f>
        <v>41017361588</v>
      </c>
      <c r="O1697" s="807">
        <f t="shared" si="164"/>
        <v>41017361588</v>
      </c>
      <c r="P1697" s="807"/>
      <c r="R1697" s="807"/>
    </row>
    <row r="1698" spans="1:18" s="87" customFormat="1">
      <c r="A1698" s="77" t="s">
        <v>1113</v>
      </c>
      <c r="B1698" s="77" t="s">
        <v>1151</v>
      </c>
      <c r="C1698" s="793">
        <v>6210111801</v>
      </c>
      <c r="D1698" s="77" t="s">
        <v>275</v>
      </c>
      <c r="E1698" s="794" t="s">
        <v>640</v>
      </c>
      <c r="F1698" s="794" t="str">
        <f t="shared" si="165"/>
        <v>I</v>
      </c>
      <c r="G1698" s="615">
        <f>+IF(F1698="i",IFERROR(VLOOKUP(C1698,'BG 2023'!B:E,3,FALSE),0),0)</f>
        <v>40737439616</v>
      </c>
      <c r="H1698" s="616">
        <f>+IF(F1698="i",IFERROR(VLOOKUP(C1698,'BG 2023'!B:E,4,FALSE),0),0)</f>
        <v>5593021</v>
      </c>
      <c r="I1698" s="616"/>
      <c r="J1698" s="28">
        <f>IF(F1698="I",IFERROR(VLOOKUP(C1698,'BG 12.2023'!$B$6:$E$819,3,FALSE),0),0)</f>
        <v>40737439616</v>
      </c>
      <c r="K1698" s="28">
        <f>IF(F1698="I",IFERROR(VLOOKUP(C1698,'BG 12.2023'!$B$6:$E$819,4,FALSE),0),0)</f>
        <v>5593021</v>
      </c>
      <c r="M1698" s="15">
        <f>+VLOOKUP(C1698,'BG 2023'!$B:$E,1,0)</f>
        <v>6210111801</v>
      </c>
      <c r="N1698" s="806">
        <f>+VLOOKUP(C1698,'BG 2023'!$B:$E,3,0)</f>
        <v>40737439616</v>
      </c>
      <c r="O1698" s="807">
        <f t="shared" si="164"/>
        <v>0</v>
      </c>
      <c r="P1698" s="807"/>
      <c r="R1698" s="807"/>
    </row>
    <row r="1699" spans="1:18" s="87" customFormat="1">
      <c r="A1699" s="77" t="s">
        <v>1113</v>
      </c>
      <c r="B1699" s="77" t="s">
        <v>1151</v>
      </c>
      <c r="C1699" s="793">
        <v>6210111802</v>
      </c>
      <c r="D1699" s="77" t="s">
        <v>276</v>
      </c>
      <c r="E1699" s="794" t="s">
        <v>640</v>
      </c>
      <c r="F1699" s="794" t="str">
        <f t="shared" si="165"/>
        <v>I</v>
      </c>
      <c r="G1699" s="615">
        <f>+IF(F1699="i",IFERROR(VLOOKUP(C1699,'BG 2023'!B:E,3,FALSE),0),0)</f>
        <v>279921972</v>
      </c>
      <c r="H1699" s="616">
        <f>+IF(F1699="i",IFERROR(VLOOKUP(C1699,'BG 2023'!B:E,4,FALSE),0),0)</f>
        <v>38431.709999999992</v>
      </c>
      <c r="I1699" s="616"/>
      <c r="J1699" s="28">
        <f>IF(F1699="I",IFERROR(VLOOKUP(C1699,'BG 12.2023'!$B$6:$E$819,3,FALSE),0),0)</f>
        <v>279921972</v>
      </c>
      <c r="K1699" s="28">
        <f>IF(F1699="I",IFERROR(VLOOKUP(C1699,'BG 12.2023'!$B$6:$E$819,4,FALSE),0),0)</f>
        <v>38431.709999999992</v>
      </c>
      <c r="M1699" s="15">
        <f>+VLOOKUP(C1699,'BG 2023'!$B:$E,1,0)</f>
        <v>6210111802</v>
      </c>
      <c r="N1699" s="806">
        <f>+VLOOKUP(C1699,'BG 2023'!$B:$E,3,0)</f>
        <v>279921972</v>
      </c>
      <c r="O1699" s="807">
        <f t="shared" si="164"/>
        <v>0</v>
      </c>
      <c r="P1699" s="807"/>
      <c r="R1699" s="807"/>
    </row>
    <row r="1700" spans="1:18" s="87" customFormat="1">
      <c r="A1700" s="77" t="s">
        <v>1113</v>
      </c>
      <c r="B1700" s="77"/>
      <c r="C1700" s="793">
        <v>62101119</v>
      </c>
      <c r="D1700" s="77" t="s">
        <v>413</v>
      </c>
      <c r="E1700" s="794" t="s">
        <v>640</v>
      </c>
      <c r="F1700" s="794" t="str">
        <f t="shared" si="165"/>
        <v>NI</v>
      </c>
      <c r="G1700" s="615">
        <f>+IF(F1700="i",IFERROR(VLOOKUP(C1700,'BG 2023'!B:E,3,FALSE),0),0)</f>
        <v>0</v>
      </c>
      <c r="H1700" s="616">
        <f>+IF(F1700="i",IFERROR(VLOOKUP(C1700,'BG 2023'!B:E,4,FALSE),0),0)</f>
        <v>0</v>
      </c>
      <c r="I1700" s="616"/>
      <c r="J1700" s="28">
        <f>IF(F1700="I",IFERROR(VLOOKUP(C1700,'BG 12.2023'!$B$6:$E$819,3,FALSE),0),0)</f>
        <v>0</v>
      </c>
      <c r="K1700" s="28">
        <f>IF(F1700="I",IFERROR(VLOOKUP(C1700,'BG 12.2023'!$B$6:$E$819,4,FALSE),0),0)</f>
        <v>0</v>
      </c>
      <c r="M1700" s="15" t="e">
        <f>+VLOOKUP(C1700,'BG 2023'!$B:$E,1,0)</f>
        <v>#N/A</v>
      </c>
      <c r="N1700" s="806" t="e">
        <f>+VLOOKUP(C1700,'BG 2023'!$B:$E,3,0)</f>
        <v>#N/A</v>
      </c>
      <c r="O1700" s="807" t="e">
        <f t="shared" si="164"/>
        <v>#N/A</v>
      </c>
      <c r="P1700" s="807"/>
      <c r="R1700" s="807"/>
    </row>
    <row r="1701" spans="1:18" s="87" customFormat="1">
      <c r="A1701" s="77" t="s">
        <v>1113</v>
      </c>
      <c r="B1701" s="77"/>
      <c r="C1701" s="793">
        <v>6210111901</v>
      </c>
      <c r="D1701" s="77" t="s">
        <v>1133</v>
      </c>
      <c r="E1701" s="794" t="s">
        <v>640</v>
      </c>
      <c r="F1701" s="794" t="str">
        <f t="shared" si="165"/>
        <v>I</v>
      </c>
      <c r="G1701" s="615">
        <f>+IF(F1701="i",IFERROR(VLOOKUP(C1701,'BG 2023'!B:E,3,FALSE),0),0)</f>
        <v>0</v>
      </c>
      <c r="H1701" s="616">
        <f>+IF(F1701="i",IFERROR(VLOOKUP(C1701,'BG 2023'!B:E,4,FALSE),0),0)</f>
        <v>0</v>
      </c>
      <c r="I1701" s="616"/>
      <c r="J1701" s="28">
        <f>IF(F1701="I",IFERROR(VLOOKUP(C1701,'BG 12.2023'!$B$6:$E$819,3,FALSE),0),0)</f>
        <v>0</v>
      </c>
      <c r="K1701" s="28">
        <f>IF(F1701="I",IFERROR(VLOOKUP(C1701,'BG 12.2023'!$B$6:$E$819,4,FALSE),0),0)</f>
        <v>0</v>
      </c>
      <c r="M1701" s="15" t="e">
        <f>+VLOOKUP(C1701,'BG 2023'!$B:$E,1,0)</f>
        <v>#N/A</v>
      </c>
      <c r="N1701" s="806" t="e">
        <f>+VLOOKUP(C1701,'BG 2023'!$B:$E,3,0)</f>
        <v>#N/A</v>
      </c>
      <c r="O1701" s="807" t="e">
        <f t="shared" si="164"/>
        <v>#N/A</v>
      </c>
      <c r="P1701" s="807"/>
      <c r="R1701" s="807"/>
    </row>
    <row r="1702" spans="1:18" s="87" customFormat="1">
      <c r="A1702" s="77" t="s">
        <v>1113</v>
      </c>
      <c r="B1702" s="77"/>
      <c r="C1702" s="793">
        <v>6210111902</v>
      </c>
      <c r="D1702" s="77" t="s">
        <v>1134</v>
      </c>
      <c r="E1702" s="794" t="s">
        <v>640</v>
      </c>
      <c r="F1702" s="794" t="str">
        <f t="shared" si="165"/>
        <v>I</v>
      </c>
      <c r="G1702" s="615">
        <f>+IF(F1702="i",IFERROR(VLOOKUP(C1702,'BG 2023'!B:E,3,FALSE),0),0)</f>
        <v>0</v>
      </c>
      <c r="H1702" s="616">
        <f>+IF(F1702="i",IFERROR(VLOOKUP(C1702,'BG 2023'!B:E,4,FALSE),0),0)</f>
        <v>0</v>
      </c>
      <c r="I1702" s="616"/>
      <c r="J1702" s="28">
        <f>IF(F1702="I",IFERROR(VLOOKUP(C1702,'BG 12.2023'!$B$6:$E$819,3,FALSE),0),0)</f>
        <v>0</v>
      </c>
      <c r="K1702" s="28">
        <f>IF(F1702="I",IFERROR(VLOOKUP(C1702,'BG 12.2023'!$B$6:$E$819,4,FALSE),0),0)</f>
        <v>0</v>
      </c>
      <c r="M1702" s="15" t="e">
        <f>+VLOOKUP(C1702,'BG 2023'!$B:$E,1,0)</f>
        <v>#N/A</v>
      </c>
      <c r="N1702" s="806" t="e">
        <f>+VLOOKUP(C1702,'BG 2023'!$B:$E,3,0)</f>
        <v>#N/A</v>
      </c>
      <c r="O1702" s="807" t="e">
        <f t="shared" si="164"/>
        <v>#N/A</v>
      </c>
      <c r="P1702" s="807"/>
      <c r="R1702" s="807"/>
    </row>
    <row r="1703" spans="1:18" s="87" customFormat="1">
      <c r="A1703" s="77" t="s">
        <v>1113</v>
      </c>
      <c r="B1703" s="77"/>
      <c r="C1703" s="793">
        <v>62101120</v>
      </c>
      <c r="D1703" s="77" t="s">
        <v>980</v>
      </c>
      <c r="E1703" s="794" t="s">
        <v>640</v>
      </c>
      <c r="F1703" s="794" t="str">
        <f t="shared" si="165"/>
        <v>NI</v>
      </c>
      <c r="G1703" s="615">
        <f>+IF(F1703="i",IFERROR(VLOOKUP(C1703,'BG 2023'!B:E,3,FALSE),0),0)</f>
        <v>0</v>
      </c>
      <c r="H1703" s="616">
        <f>+IF(F1703="i",IFERROR(VLOOKUP(C1703,'BG 2023'!B:E,4,FALSE),0),0)</f>
        <v>0</v>
      </c>
      <c r="I1703" s="616"/>
      <c r="J1703" s="28">
        <f>IF(F1703="I",IFERROR(VLOOKUP(C1703,'BG 12.2023'!$B$6:$E$819,3,FALSE),0),0)</f>
        <v>0</v>
      </c>
      <c r="K1703" s="28">
        <f>IF(F1703="I",IFERROR(VLOOKUP(C1703,'BG 12.2023'!$B$6:$E$819,4,FALSE),0),0)</f>
        <v>0</v>
      </c>
      <c r="M1703" s="15" t="e">
        <f>+VLOOKUP(C1703,'BG 2023'!$B:$E,1,0)</f>
        <v>#N/A</v>
      </c>
      <c r="N1703" s="806" t="e">
        <f>+VLOOKUP(C1703,'BG 2023'!$B:$E,3,0)</f>
        <v>#N/A</v>
      </c>
      <c r="O1703" s="807" t="e">
        <f t="shared" si="164"/>
        <v>#N/A</v>
      </c>
      <c r="P1703" s="807"/>
      <c r="R1703" s="807"/>
    </row>
    <row r="1704" spans="1:18" s="87" customFormat="1">
      <c r="A1704" s="77" t="s">
        <v>1113</v>
      </c>
      <c r="B1704" s="77"/>
      <c r="C1704" s="793">
        <v>6210112001</v>
      </c>
      <c r="D1704" s="77" t="s">
        <v>1135</v>
      </c>
      <c r="E1704" s="794" t="s">
        <v>640</v>
      </c>
      <c r="F1704" s="794" t="str">
        <f t="shared" si="165"/>
        <v>I</v>
      </c>
      <c r="G1704" s="615">
        <f>+IF(F1704="i",IFERROR(VLOOKUP(C1704,'BG 2023'!B:E,3,FALSE),0),0)</f>
        <v>0</v>
      </c>
      <c r="H1704" s="616">
        <f>+IF(F1704="i",IFERROR(VLOOKUP(C1704,'BG 2023'!B:E,4,FALSE),0),0)</f>
        <v>0</v>
      </c>
      <c r="I1704" s="616"/>
      <c r="J1704" s="28">
        <f>IF(F1704="I",IFERROR(VLOOKUP(C1704,'BG 12.2023'!$B$6:$E$819,3,FALSE),0),0)</f>
        <v>0</v>
      </c>
      <c r="K1704" s="28">
        <f>IF(F1704="I",IFERROR(VLOOKUP(C1704,'BG 12.2023'!$B$6:$E$819,4,FALSE),0),0)</f>
        <v>0</v>
      </c>
      <c r="M1704" s="15" t="e">
        <f>+VLOOKUP(C1704,'BG 2023'!$B:$E,1,0)</f>
        <v>#N/A</v>
      </c>
      <c r="N1704" s="806" t="e">
        <f>+VLOOKUP(C1704,'BG 2023'!$B:$E,3,0)</f>
        <v>#N/A</v>
      </c>
      <c r="O1704" s="807" t="e">
        <f t="shared" si="164"/>
        <v>#N/A</v>
      </c>
      <c r="P1704" s="807"/>
      <c r="R1704" s="807"/>
    </row>
    <row r="1705" spans="1:18" s="87" customFormat="1">
      <c r="A1705" s="77" t="s">
        <v>1113</v>
      </c>
      <c r="B1705" s="77"/>
      <c r="C1705" s="793">
        <v>6210112002</v>
      </c>
      <c r="D1705" s="77" t="s">
        <v>1135</v>
      </c>
      <c r="E1705" s="794" t="s">
        <v>640</v>
      </c>
      <c r="F1705" s="794" t="str">
        <f t="shared" si="165"/>
        <v>I</v>
      </c>
      <c r="G1705" s="615">
        <f>+IF(F1705="i",IFERROR(VLOOKUP(C1705,'BG 2023'!B:E,3,FALSE),0),0)</f>
        <v>0</v>
      </c>
      <c r="H1705" s="616">
        <f>+IF(F1705="i",IFERROR(VLOOKUP(C1705,'BG 2023'!B:E,4,FALSE),0),0)</f>
        <v>0</v>
      </c>
      <c r="I1705" s="616"/>
      <c r="J1705" s="28">
        <f>IF(F1705="I",IFERROR(VLOOKUP(C1705,'BG 12.2023'!$B$6:$E$819,3,FALSE),0),0)</f>
        <v>0</v>
      </c>
      <c r="K1705" s="28">
        <f>IF(F1705="I",IFERROR(VLOOKUP(C1705,'BG 12.2023'!$B$6:$E$819,4,FALSE),0),0)</f>
        <v>0</v>
      </c>
      <c r="M1705" s="15" t="e">
        <f>+VLOOKUP(C1705,'BG 2023'!$B:$E,1,0)</f>
        <v>#N/A</v>
      </c>
      <c r="N1705" s="806" t="e">
        <f>+VLOOKUP(C1705,'BG 2023'!$B:$E,3,0)</f>
        <v>#N/A</v>
      </c>
      <c r="O1705" s="807" t="e">
        <f t="shared" si="164"/>
        <v>#N/A</v>
      </c>
      <c r="P1705" s="807"/>
      <c r="R1705" s="807"/>
    </row>
    <row r="1706" spans="1:18" s="87" customFormat="1">
      <c r="A1706" s="77" t="s">
        <v>1113</v>
      </c>
      <c r="B1706" s="77"/>
      <c r="C1706" s="793">
        <v>62101121</v>
      </c>
      <c r="D1706" s="77" t="s">
        <v>804</v>
      </c>
      <c r="E1706" s="794" t="s">
        <v>640</v>
      </c>
      <c r="F1706" s="794" t="str">
        <f t="shared" si="165"/>
        <v>NI</v>
      </c>
      <c r="G1706" s="615">
        <f>+IF(F1706="i",IFERROR(VLOOKUP(C1706,'BG 2023'!B:E,3,FALSE),0),0)</f>
        <v>0</v>
      </c>
      <c r="H1706" s="616">
        <f>+IF(F1706="i",IFERROR(VLOOKUP(C1706,'BG 2023'!B:E,4,FALSE),0),0)</f>
        <v>0</v>
      </c>
      <c r="I1706" s="616"/>
      <c r="J1706" s="28">
        <f>IF(F1706="I",IFERROR(VLOOKUP(C1706,'BG 12.2023'!$B$6:$E$819,3,FALSE),0),0)</f>
        <v>0</v>
      </c>
      <c r="K1706" s="28">
        <f>IF(F1706="I",IFERROR(VLOOKUP(C1706,'BG 12.2023'!$B$6:$E$819,4,FALSE),0),0)</f>
        <v>0</v>
      </c>
      <c r="M1706" s="15" t="e">
        <f>+VLOOKUP(C1706,'BG 2023'!$B:$E,1,0)</f>
        <v>#N/A</v>
      </c>
      <c r="N1706" s="806" t="e">
        <f>+VLOOKUP(C1706,'BG 2023'!$B:$E,3,0)</f>
        <v>#N/A</v>
      </c>
      <c r="O1706" s="807" t="e">
        <f t="shared" si="164"/>
        <v>#N/A</v>
      </c>
      <c r="P1706" s="807"/>
      <c r="R1706" s="807"/>
    </row>
    <row r="1707" spans="1:18" s="87" customFormat="1">
      <c r="A1707" s="77" t="s">
        <v>1113</v>
      </c>
      <c r="B1707" s="77"/>
      <c r="C1707" s="793">
        <v>6210112101</v>
      </c>
      <c r="D1707" s="77" t="s">
        <v>1136</v>
      </c>
      <c r="E1707" s="794" t="s">
        <v>640</v>
      </c>
      <c r="F1707" s="794" t="str">
        <f t="shared" si="165"/>
        <v>I</v>
      </c>
      <c r="G1707" s="615">
        <f>+IF(F1707="i",IFERROR(VLOOKUP(C1707,'BG 2023'!B:E,3,FALSE),0),0)</f>
        <v>0</v>
      </c>
      <c r="H1707" s="616">
        <f>+IF(F1707="i",IFERROR(VLOOKUP(C1707,'BG 2023'!B:E,4,FALSE),0),0)</f>
        <v>0</v>
      </c>
      <c r="I1707" s="616"/>
      <c r="J1707" s="28">
        <f>IF(F1707="I",IFERROR(VLOOKUP(C1707,'BG 12.2023'!$B$6:$E$819,3,FALSE),0),0)</f>
        <v>0</v>
      </c>
      <c r="K1707" s="28">
        <f>IF(F1707="I",IFERROR(VLOOKUP(C1707,'BG 12.2023'!$B$6:$E$819,4,FALSE),0),0)</f>
        <v>0</v>
      </c>
      <c r="M1707" s="15" t="e">
        <f>+VLOOKUP(C1707,'BG 2023'!$B:$E,1,0)</f>
        <v>#N/A</v>
      </c>
      <c r="N1707" s="806" t="e">
        <f>+VLOOKUP(C1707,'BG 2023'!$B:$E,3,0)</f>
        <v>#N/A</v>
      </c>
      <c r="O1707" s="807" t="e">
        <f t="shared" si="164"/>
        <v>#N/A</v>
      </c>
      <c r="P1707" s="807"/>
      <c r="R1707" s="807"/>
    </row>
    <row r="1708" spans="1:18" s="87" customFormat="1">
      <c r="A1708" s="77" t="s">
        <v>1113</v>
      </c>
      <c r="B1708" s="77"/>
      <c r="C1708" s="793">
        <v>6210112102</v>
      </c>
      <c r="D1708" s="77" t="s">
        <v>1137</v>
      </c>
      <c r="E1708" s="794" t="s">
        <v>640</v>
      </c>
      <c r="F1708" s="794" t="str">
        <f t="shared" si="165"/>
        <v>I</v>
      </c>
      <c r="G1708" s="615">
        <f>+IF(F1708="i",IFERROR(VLOOKUP(C1708,'BG 2023'!B:E,3,FALSE),0),0)</f>
        <v>0</v>
      </c>
      <c r="H1708" s="616">
        <f>+IF(F1708="i",IFERROR(VLOOKUP(C1708,'BG 2023'!B:E,4,FALSE),0),0)</f>
        <v>0</v>
      </c>
      <c r="I1708" s="616"/>
      <c r="J1708" s="28">
        <f>IF(F1708="I",IFERROR(VLOOKUP(C1708,'BG 12.2023'!$B$6:$E$819,3,FALSE),0),0)</f>
        <v>0</v>
      </c>
      <c r="K1708" s="28">
        <f>IF(F1708="I",IFERROR(VLOOKUP(C1708,'BG 12.2023'!$B$6:$E$819,4,FALSE),0),0)</f>
        <v>0</v>
      </c>
      <c r="M1708" s="15" t="e">
        <f>+VLOOKUP(C1708,'BG 2023'!$B:$E,1,0)</f>
        <v>#N/A</v>
      </c>
      <c r="N1708" s="806" t="e">
        <f>+VLOOKUP(C1708,'BG 2023'!$B:$E,3,0)</f>
        <v>#N/A</v>
      </c>
      <c r="O1708" s="807" t="e">
        <f t="shared" si="164"/>
        <v>#N/A</v>
      </c>
      <c r="P1708" s="807"/>
      <c r="R1708" s="807"/>
    </row>
    <row r="1709" spans="1:18" s="87" customFormat="1">
      <c r="A1709" s="77" t="s">
        <v>1113</v>
      </c>
      <c r="B1709" s="77"/>
      <c r="C1709" s="793">
        <v>62101122</v>
      </c>
      <c r="D1709" s="77" t="s">
        <v>805</v>
      </c>
      <c r="E1709" s="794" t="s">
        <v>640</v>
      </c>
      <c r="F1709" s="794" t="str">
        <f t="shared" si="165"/>
        <v>NI</v>
      </c>
      <c r="G1709" s="615">
        <f>+IF(F1709="i",IFERROR(VLOOKUP(C1709,'BG 2023'!B:E,3,FALSE),0),0)</f>
        <v>0</v>
      </c>
      <c r="H1709" s="616">
        <f>+IF(F1709="i",IFERROR(VLOOKUP(C1709,'BG 2023'!B:E,4,FALSE),0),0)</f>
        <v>0</v>
      </c>
      <c r="I1709" s="616"/>
      <c r="J1709" s="28">
        <f>IF(F1709="I",IFERROR(VLOOKUP(C1709,'BG 12.2023'!$B$6:$E$819,3,FALSE),0),0)</f>
        <v>0</v>
      </c>
      <c r="K1709" s="28">
        <f>IF(F1709="I",IFERROR(VLOOKUP(C1709,'BG 12.2023'!$B$6:$E$819,4,FALSE),0),0)</f>
        <v>0</v>
      </c>
      <c r="M1709" s="15" t="e">
        <f>+VLOOKUP(C1709,'BG 2023'!$B:$E,1,0)</f>
        <v>#N/A</v>
      </c>
      <c r="N1709" s="806" t="e">
        <f>+VLOOKUP(C1709,'BG 2023'!$B:$E,3,0)</f>
        <v>#N/A</v>
      </c>
      <c r="O1709" s="807" t="e">
        <f t="shared" si="164"/>
        <v>#N/A</v>
      </c>
      <c r="P1709" s="807"/>
      <c r="R1709" s="807"/>
    </row>
    <row r="1710" spans="1:18" s="87" customFormat="1">
      <c r="A1710" s="77" t="s">
        <v>1113</v>
      </c>
      <c r="B1710" s="77"/>
      <c r="C1710" s="793">
        <v>6210112201</v>
      </c>
      <c r="D1710" s="77" t="s">
        <v>1138</v>
      </c>
      <c r="E1710" s="794" t="s">
        <v>640</v>
      </c>
      <c r="F1710" s="794" t="str">
        <f t="shared" si="165"/>
        <v>I</v>
      </c>
      <c r="G1710" s="615">
        <f>+IF(F1710="i",IFERROR(VLOOKUP(C1710,'BG 2023'!B:E,3,FALSE),0),0)</f>
        <v>0</v>
      </c>
      <c r="H1710" s="616">
        <f>+IF(F1710="i",IFERROR(VLOOKUP(C1710,'BG 2023'!B:E,4,FALSE),0),0)</f>
        <v>0</v>
      </c>
      <c r="I1710" s="616"/>
      <c r="J1710" s="28">
        <f>IF(F1710="I",IFERROR(VLOOKUP(C1710,'BG 12.2023'!$B$6:$E$819,3,FALSE),0),0)</f>
        <v>0</v>
      </c>
      <c r="K1710" s="28">
        <f>IF(F1710="I",IFERROR(VLOOKUP(C1710,'BG 12.2023'!$B$6:$E$819,4,FALSE),0),0)</f>
        <v>0</v>
      </c>
      <c r="M1710" s="15" t="e">
        <f>+VLOOKUP(C1710,'BG 2023'!$B:$E,1,0)</f>
        <v>#N/A</v>
      </c>
      <c r="N1710" s="806" t="e">
        <f>+VLOOKUP(C1710,'BG 2023'!$B:$E,3,0)</f>
        <v>#N/A</v>
      </c>
      <c r="O1710" s="807" t="e">
        <f t="shared" si="164"/>
        <v>#N/A</v>
      </c>
      <c r="P1710" s="807"/>
      <c r="R1710" s="807"/>
    </row>
    <row r="1711" spans="1:18" s="87" customFormat="1">
      <c r="A1711" s="77" t="s">
        <v>1113</v>
      </c>
      <c r="B1711" s="77"/>
      <c r="C1711" s="793">
        <v>6210112202</v>
      </c>
      <c r="D1711" s="77" t="s">
        <v>1138</v>
      </c>
      <c r="E1711" s="794" t="s">
        <v>640</v>
      </c>
      <c r="F1711" s="794" t="str">
        <f t="shared" si="165"/>
        <v>I</v>
      </c>
      <c r="G1711" s="615">
        <f>+IF(F1711="i",IFERROR(VLOOKUP(C1711,'BG 2023'!B:E,3,FALSE),0),0)</f>
        <v>0</v>
      </c>
      <c r="H1711" s="616">
        <f>+IF(F1711="i",IFERROR(VLOOKUP(C1711,'BG 2023'!B:E,4,FALSE),0),0)</f>
        <v>0</v>
      </c>
      <c r="I1711" s="616"/>
      <c r="J1711" s="28">
        <f>IF(F1711="I",IFERROR(VLOOKUP(C1711,'BG 12.2023'!$B$6:$E$819,3,FALSE),0),0)</f>
        <v>0</v>
      </c>
      <c r="K1711" s="28">
        <f>IF(F1711="I",IFERROR(VLOOKUP(C1711,'BG 12.2023'!$B$6:$E$819,4,FALSE),0),0)</f>
        <v>0</v>
      </c>
      <c r="M1711" s="15" t="e">
        <f>+VLOOKUP(C1711,'BG 2023'!$B:$E,1,0)</f>
        <v>#N/A</v>
      </c>
      <c r="N1711" s="806" t="e">
        <f>+VLOOKUP(C1711,'BG 2023'!$B:$E,3,0)</f>
        <v>#N/A</v>
      </c>
      <c r="O1711" s="807" t="e">
        <f t="shared" si="164"/>
        <v>#N/A</v>
      </c>
      <c r="P1711" s="807"/>
      <c r="R1711" s="807"/>
    </row>
    <row r="1712" spans="1:18" s="87" customFormat="1">
      <c r="A1712" s="77" t="s">
        <v>1113</v>
      </c>
      <c r="B1712" s="77"/>
      <c r="C1712" s="793">
        <v>62101123</v>
      </c>
      <c r="D1712" s="77" t="s">
        <v>981</v>
      </c>
      <c r="E1712" s="794" t="s">
        <v>640</v>
      </c>
      <c r="F1712" s="794" t="str">
        <f t="shared" si="165"/>
        <v>NI</v>
      </c>
      <c r="G1712" s="615">
        <f>+IF(F1712="i",IFERROR(VLOOKUP(C1712,'BG 2023'!B:E,3,FALSE),0),0)</f>
        <v>0</v>
      </c>
      <c r="H1712" s="616">
        <f>+IF(F1712="i",IFERROR(VLOOKUP(C1712,'BG 2023'!B:E,4,FALSE),0),0)</f>
        <v>0</v>
      </c>
      <c r="I1712" s="616"/>
      <c r="J1712" s="28">
        <f>IF(F1712="I",IFERROR(VLOOKUP(C1712,'BG 12.2023'!$B$6:$E$819,3,FALSE),0),0)</f>
        <v>0</v>
      </c>
      <c r="K1712" s="28">
        <f>IF(F1712="I",IFERROR(VLOOKUP(C1712,'BG 12.2023'!$B$6:$E$819,4,FALSE),0),0)</f>
        <v>0</v>
      </c>
      <c r="M1712" s="15" t="e">
        <f>+VLOOKUP(C1712,'BG 2023'!$B:$E,1,0)</f>
        <v>#N/A</v>
      </c>
      <c r="N1712" s="806" t="e">
        <f>+VLOOKUP(C1712,'BG 2023'!$B:$E,3,0)</f>
        <v>#N/A</v>
      </c>
      <c r="O1712" s="807" t="e">
        <f t="shared" si="164"/>
        <v>#N/A</v>
      </c>
      <c r="P1712" s="807"/>
      <c r="R1712" s="807"/>
    </row>
    <row r="1713" spans="1:18" s="87" customFormat="1">
      <c r="A1713" s="77" t="s">
        <v>1113</v>
      </c>
      <c r="B1713" s="77"/>
      <c r="C1713" s="793">
        <v>6210112301</v>
      </c>
      <c r="D1713" s="77" t="s">
        <v>1139</v>
      </c>
      <c r="E1713" s="794" t="s">
        <v>640</v>
      </c>
      <c r="F1713" s="794" t="str">
        <f t="shared" si="165"/>
        <v>I</v>
      </c>
      <c r="G1713" s="615">
        <f>+IF(F1713="i",IFERROR(VLOOKUP(C1713,'BG 2023'!B:E,3,FALSE),0),0)</f>
        <v>0</v>
      </c>
      <c r="H1713" s="616">
        <f>+IF(F1713="i",IFERROR(VLOOKUP(C1713,'BG 2023'!B:E,4,FALSE),0),0)</f>
        <v>0</v>
      </c>
      <c r="I1713" s="616"/>
      <c r="J1713" s="28">
        <f>IF(F1713="I",IFERROR(VLOOKUP(C1713,'BG 12.2023'!$B$6:$E$819,3,FALSE),0),0)</f>
        <v>0</v>
      </c>
      <c r="K1713" s="28">
        <f>IF(F1713="I",IFERROR(VLOOKUP(C1713,'BG 12.2023'!$B$6:$E$819,4,FALSE),0),0)</f>
        <v>0</v>
      </c>
      <c r="M1713" s="15" t="e">
        <f>+VLOOKUP(C1713,'BG 2023'!$B:$E,1,0)</f>
        <v>#N/A</v>
      </c>
      <c r="N1713" s="806" t="e">
        <f>+VLOOKUP(C1713,'BG 2023'!$B:$E,3,0)</f>
        <v>#N/A</v>
      </c>
      <c r="O1713" s="807" t="e">
        <f t="shared" si="164"/>
        <v>#N/A</v>
      </c>
      <c r="P1713" s="807"/>
      <c r="R1713" s="807"/>
    </row>
    <row r="1714" spans="1:18" s="87" customFormat="1">
      <c r="A1714" s="77" t="s">
        <v>1113</v>
      </c>
      <c r="B1714" s="77"/>
      <c r="C1714" s="793">
        <v>6210112302</v>
      </c>
      <c r="D1714" s="77" t="s">
        <v>1140</v>
      </c>
      <c r="E1714" s="794" t="s">
        <v>640</v>
      </c>
      <c r="F1714" s="794" t="str">
        <f t="shared" si="165"/>
        <v>I</v>
      </c>
      <c r="G1714" s="615">
        <f>+IF(F1714="i",IFERROR(VLOOKUP(C1714,'BG 2023'!B:E,3,FALSE),0),0)</f>
        <v>0</v>
      </c>
      <c r="H1714" s="616">
        <f>+IF(F1714="i",IFERROR(VLOOKUP(C1714,'BG 2023'!B:E,4,FALSE),0),0)</f>
        <v>0</v>
      </c>
      <c r="I1714" s="616"/>
      <c r="J1714" s="28">
        <f>IF(F1714="I",IFERROR(VLOOKUP(C1714,'BG 12.2023'!$B$6:$E$819,3,FALSE),0),0)</f>
        <v>0</v>
      </c>
      <c r="K1714" s="28">
        <f>IF(F1714="I",IFERROR(VLOOKUP(C1714,'BG 12.2023'!$B$6:$E$819,4,FALSE),0),0)</f>
        <v>0</v>
      </c>
      <c r="M1714" s="15" t="e">
        <f>+VLOOKUP(C1714,'BG 2023'!$B:$E,1,0)</f>
        <v>#N/A</v>
      </c>
      <c r="N1714" s="806" t="e">
        <f>+VLOOKUP(C1714,'BG 2023'!$B:$E,3,0)</f>
        <v>#N/A</v>
      </c>
      <c r="O1714" s="807" t="e">
        <f t="shared" si="164"/>
        <v>#N/A</v>
      </c>
      <c r="P1714" s="807"/>
      <c r="R1714" s="807"/>
    </row>
    <row r="1715" spans="1:18" s="87" customFormat="1">
      <c r="A1715" s="77" t="s">
        <v>1113</v>
      </c>
      <c r="B1715" s="77"/>
      <c r="C1715" s="793">
        <v>62101124</v>
      </c>
      <c r="D1715" s="77" t="s">
        <v>982</v>
      </c>
      <c r="E1715" s="794" t="s">
        <v>640</v>
      </c>
      <c r="F1715" s="794" t="str">
        <f t="shared" si="165"/>
        <v>NI</v>
      </c>
      <c r="G1715" s="615">
        <f>+IF(F1715="i",IFERROR(VLOOKUP(C1715,'BG 2023'!B:E,3,FALSE),0),0)</f>
        <v>0</v>
      </c>
      <c r="H1715" s="616">
        <f>+IF(F1715="i",IFERROR(VLOOKUP(C1715,'BG 2023'!B:E,4,FALSE),0),0)</f>
        <v>0</v>
      </c>
      <c r="I1715" s="616"/>
      <c r="J1715" s="28">
        <f>IF(F1715="I",IFERROR(VLOOKUP(C1715,'BG 12.2023'!$B$6:$E$819,3,FALSE),0),0)</f>
        <v>0</v>
      </c>
      <c r="K1715" s="28">
        <f>IF(F1715="I",IFERROR(VLOOKUP(C1715,'BG 12.2023'!$B$6:$E$819,4,FALSE),0),0)</f>
        <v>0</v>
      </c>
      <c r="M1715" s="15" t="e">
        <f>+VLOOKUP(C1715,'BG 2023'!$B:$E,1,0)</f>
        <v>#N/A</v>
      </c>
      <c r="N1715" s="806" t="e">
        <f>+VLOOKUP(C1715,'BG 2023'!$B:$E,3,0)</f>
        <v>#N/A</v>
      </c>
      <c r="O1715" s="807" t="e">
        <f t="shared" si="164"/>
        <v>#N/A</v>
      </c>
      <c r="P1715" s="807"/>
      <c r="R1715" s="807"/>
    </row>
    <row r="1716" spans="1:18" s="87" customFormat="1">
      <c r="A1716" s="77" t="s">
        <v>1113</v>
      </c>
      <c r="B1716" s="77"/>
      <c r="C1716" s="793">
        <v>6210112401</v>
      </c>
      <c r="D1716" s="77" t="s">
        <v>1141</v>
      </c>
      <c r="E1716" s="794" t="s">
        <v>640</v>
      </c>
      <c r="F1716" s="794" t="str">
        <f t="shared" si="165"/>
        <v>I</v>
      </c>
      <c r="G1716" s="615">
        <f>+IF(F1716="i",IFERROR(VLOOKUP(C1716,'BG 2023'!B:E,3,FALSE),0),0)</f>
        <v>0</v>
      </c>
      <c r="H1716" s="616">
        <f>+IF(F1716="i",IFERROR(VLOOKUP(C1716,'BG 2023'!B:E,4,FALSE),0),0)</f>
        <v>0</v>
      </c>
      <c r="I1716" s="616"/>
      <c r="J1716" s="28">
        <f>IF(F1716="I",IFERROR(VLOOKUP(C1716,'BG 12.2023'!$B$6:$E$819,3,FALSE),0),0)</f>
        <v>0</v>
      </c>
      <c r="K1716" s="28">
        <f>IF(F1716="I",IFERROR(VLOOKUP(C1716,'BG 12.2023'!$B$6:$E$819,4,FALSE),0),0)</f>
        <v>0</v>
      </c>
      <c r="M1716" s="15" t="e">
        <f>+VLOOKUP(C1716,'BG 2023'!$B:$E,1,0)</f>
        <v>#N/A</v>
      </c>
      <c r="N1716" s="806" t="e">
        <f>+VLOOKUP(C1716,'BG 2023'!$B:$E,3,0)</f>
        <v>#N/A</v>
      </c>
      <c r="O1716" s="807" t="e">
        <f t="shared" si="164"/>
        <v>#N/A</v>
      </c>
      <c r="P1716" s="807"/>
      <c r="R1716" s="807"/>
    </row>
    <row r="1717" spans="1:18" s="87" customFormat="1">
      <c r="A1717" s="77" t="s">
        <v>1113</v>
      </c>
      <c r="B1717" s="77"/>
      <c r="C1717" s="793">
        <v>6210112402</v>
      </c>
      <c r="D1717" s="77" t="s">
        <v>1142</v>
      </c>
      <c r="E1717" s="794" t="s">
        <v>640</v>
      </c>
      <c r="F1717" s="794" t="str">
        <f t="shared" si="165"/>
        <v>I</v>
      </c>
      <c r="G1717" s="615">
        <f>+IF(F1717="i",IFERROR(VLOOKUP(C1717,'BG 2023'!B:E,3,FALSE),0),0)</f>
        <v>0</v>
      </c>
      <c r="H1717" s="616">
        <f>+IF(F1717="i",IFERROR(VLOOKUP(C1717,'BG 2023'!B:E,4,FALSE),0),0)</f>
        <v>0</v>
      </c>
      <c r="I1717" s="616"/>
      <c r="J1717" s="28">
        <f>IF(F1717="I",IFERROR(VLOOKUP(C1717,'BG 12.2023'!$B$6:$E$819,3,FALSE),0),0)</f>
        <v>0</v>
      </c>
      <c r="K1717" s="28">
        <f>IF(F1717="I",IFERROR(VLOOKUP(C1717,'BG 12.2023'!$B$6:$E$819,4,FALSE),0),0)</f>
        <v>0</v>
      </c>
      <c r="M1717" s="15" t="e">
        <f>+VLOOKUP(C1717,'BG 2023'!$B:$E,1,0)</f>
        <v>#N/A</v>
      </c>
      <c r="N1717" s="806" t="e">
        <f>+VLOOKUP(C1717,'BG 2023'!$B:$E,3,0)</f>
        <v>#N/A</v>
      </c>
      <c r="O1717" s="807" t="e">
        <f t="shared" si="164"/>
        <v>#N/A</v>
      </c>
      <c r="P1717" s="807"/>
      <c r="R1717" s="807"/>
    </row>
    <row r="1718" spans="1:18" s="87" customFormat="1">
      <c r="A1718" s="77" t="s">
        <v>1113</v>
      </c>
      <c r="B1718" s="77"/>
      <c r="C1718" s="793">
        <v>62101125</v>
      </c>
      <c r="D1718" s="77" t="s">
        <v>983</v>
      </c>
      <c r="E1718" s="794" t="s">
        <v>640</v>
      </c>
      <c r="F1718" s="794" t="str">
        <f t="shared" si="165"/>
        <v>NI</v>
      </c>
      <c r="G1718" s="615">
        <f>+IF(F1718="i",IFERROR(VLOOKUP(C1718,'BG 2023'!B:E,3,FALSE),0),0)</f>
        <v>0</v>
      </c>
      <c r="H1718" s="616">
        <f>+IF(F1718="i",IFERROR(VLOOKUP(C1718,'BG 2023'!B:E,4,FALSE),0),0)</f>
        <v>0</v>
      </c>
      <c r="I1718" s="616"/>
      <c r="J1718" s="28">
        <f>IF(F1718="I",IFERROR(VLOOKUP(C1718,'BG 12.2023'!$B$6:$E$819,3,FALSE),0),0)</f>
        <v>0</v>
      </c>
      <c r="K1718" s="28">
        <f>IF(F1718="I",IFERROR(VLOOKUP(C1718,'BG 12.2023'!$B$6:$E$819,4,FALSE),0),0)</f>
        <v>0</v>
      </c>
      <c r="M1718" s="15" t="e">
        <f>+VLOOKUP(C1718,'BG 2023'!$B:$E,1,0)</f>
        <v>#N/A</v>
      </c>
      <c r="N1718" s="806" t="e">
        <f>+VLOOKUP(C1718,'BG 2023'!$B:$E,3,0)</f>
        <v>#N/A</v>
      </c>
      <c r="O1718" s="807" t="e">
        <f t="shared" si="164"/>
        <v>#N/A</v>
      </c>
      <c r="P1718" s="807"/>
      <c r="R1718" s="807"/>
    </row>
    <row r="1719" spans="1:18" s="87" customFormat="1">
      <c r="A1719" s="77" t="s">
        <v>1113</v>
      </c>
      <c r="B1719" s="77"/>
      <c r="C1719" s="793">
        <v>6210112501</v>
      </c>
      <c r="D1719" s="77" t="s">
        <v>1143</v>
      </c>
      <c r="E1719" s="794" t="s">
        <v>640</v>
      </c>
      <c r="F1719" s="794" t="str">
        <f t="shared" si="165"/>
        <v>I</v>
      </c>
      <c r="G1719" s="615">
        <f>+IF(F1719="i",IFERROR(VLOOKUP(C1719,'BG 2023'!B:E,3,FALSE),0),0)</f>
        <v>0</v>
      </c>
      <c r="H1719" s="616">
        <f>+IF(F1719="i",IFERROR(VLOOKUP(C1719,'BG 2023'!B:E,4,FALSE),0),0)</f>
        <v>0</v>
      </c>
      <c r="I1719" s="616"/>
      <c r="J1719" s="28">
        <f>IF(F1719="I",IFERROR(VLOOKUP(C1719,'BG 12.2023'!$B$6:$E$819,3,FALSE),0),0)</f>
        <v>0</v>
      </c>
      <c r="K1719" s="28">
        <f>IF(F1719="I",IFERROR(VLOOKUP(C1719,'BG 12.2023'!$B$6:$E$819,4,FALSE),0),0)</f>
        <v>0</v>
      </c>
      <c r="M1719" s="15" t="e">
        <f>+VLOOKUP(C1719,'BG 2023'!$B:$E,1,0)</f>
        <v>#N/A</v>
      </c>
      <c r="N1719" s="806" t="e">
        <f>+VLOOKUP(C1719,'BG 2023'!$B:$E,3,0)</f>
        <v>#N/A</v>
      </c>
      <c r="O1719" s="807" t="e">
        <f t="shared" si="164"/>
        <v>#N/A</v>
      </c>
      <c r="P1719" s="807"/>
      <c r="R1719" s="807"/>
    </row>
    <row r="1720" spans="1:18" s="87" customFormat="1">
      <c r="A1720" s="77" t="s">
        <v>1113</v>
      </c>
      <c r="B1720" s="77"/>
      <c r="C1720" s="793">
        <v>6210112502</v>
      </c>
      <c r="D1720" s="77" t="s">
        <v>1144</v>
      </c>
      <c r="E1720" s="794" t="s">
        <v>640</v>
      </c>
      <c r="F1720" s="794" t="str">
        <f t="shared" si="165"/>
        <v>I</v>
      </c>
      <c r="G1720" s="615">
        <f>+IF(F1720="i",IFERROR(VLOOKUP(C1720,'BG 2023'!B:E,3,FALSE),0),0)</f>
        <v>0</v>
      </c>
      <c r="H1720" s="616">
        <f>+IF(F1720="i",IFERROR(VLOOKUP(C1720,'BG 2023'!B:E,4,FALSE),0),0)</f>
        <v>0</v>
      </c>
      <c r="I1720" s="616"/>
      <c r="J1720" s="28">
        <f>IF(F1720="I",IFERROR(VLOOKUP(C1720,'BG 12.2023'!$B$6:$E$819,3,FALSE),0),0)</f>
        <v>0</v>
      </c>
      <c r="K1720" s="28">
        <f>IF(F1720="I",IFERROR(VLOOKUP(C1720,'BG 12.2023'!$B$6:$E$819,4,FALSE),0),0)</f>
        <v>0</v>
      </c>
      <c r="M1720" s="15" t="e">
        <f>+VLOOKUP(C1720,'BG 2023'!$B:$E,1,0)</f>
        <v>#N/A</v>
      </c>
      <c r="N1720" s="806" t="e">
        <f>+VLOOKUP(C1720,'BG 2023'!$B:$E,3,0)</f>
        <v>#N/A</v>
      </c>
      <c r="O1720" s="807" t="e">
        <f t="shared" si="164"/>
        <v>#N/A</v>
      </c>
      <c r="P1720" s="807"/>
      <c r="R1720" s="807"/>
    </row>
    <row r="1721" spans="1:18" s="87" customFormat="1">
      <c r="A1721" s="77" t="s">
        <v>1113</v>
      </c>
      <c r="B1721" s="77"/>
      <c r="C1721" s="793">
        <v>62101126</v>
      </c>
      <c r="D1721" s="77" t="s">
        <v>984</v>
      </c>
      <c r="E1721" s="794" t="s">
        <v>640</v>
      </c>
      <c r="F1721" s="794" t="str">
        <f t="shared" si="165"/>
        <v>NI</v>
      </c>
      <c r="G1721" s="615">
        <f>+IF(F1721="i",IFERROR(VLOOKUP(C1721,'BG 2023'!B:E,3,FALSE),0),0)</f>
        <v>0</v>
      </c>
      <c r="H1721" s="616">
        <f>+IF(F1721="i",IFERROR(VLOOKUP(C1721,'BG 2023'!B:E,4,FALSE),0),0)</f>
        <v>0</v>
      </c>
      <c r="I1721" s="616"/>
      <c r="J1721" s="28">
        <f>IF(F1721="I",IFERROR(VLOOKUP(C1721,'BG 12.2023'!$B$6:$E$819,3,FALSE),0),0)</f>
        <v>0</v>
      </c>
      <c r="K1721" s="28">
        <f>IF(F1721="I",IFERROR(VLOOKUP(C1721,'BG 12.2023'!$B$6:$E$819,4,FALSE),0),0)</f>
        <v>0</v>
      </c>
      <c r="M1721" s="15" t="e">
        <f>+VLOOKUP(C1721,'BG 2023'!$B:$E,1,0)</f>
        <v>#N/A</v>
      </c>
      <c r="N1721" s="806" t="e">
        <f>+VLOOKUP(C1721,'BG 2023'!$B:$E,3,0)</f>
        <v>#N/A</v>
      </c>
      <c r="O1721" s="807" t="e">
        <f t="shared" si="164"/>
        <v>#N/A</v>
      </c>
      <c r="P1721" s="807"/>
      <c r="R1721" s="807"/>
    </row>
    <row r="1722" spans="1:18" s="87" customFormat="1">
      <c r="A1722" s="77" t="s">
        <v>1113</v>
      </c>
      <c r="B1722" s="77"/>
      <c r="C1722" s="793">
        <v>6210112601</v>
      </c>
      <c r="D1722" s="77" t="s">
        <v>1145</v>
      </c>
      <c r="E1722" s="794" t="s">
        <v>640</v>
      </c>
      <c r="F1722" s="794" t="str">
        <f t="shared" si="165"/>
        <v>I</v>
      </c>
      <c r="G1722" s="615">
        <f>+IF(F1722="i",IFERROR(VLOOKUP(C1722,'BG 2023'!B:E,3,FALSE),0),0)</f>
        <v>0</v>
      </c>
      <c r="H1722" s="616">
        <f>+IF(F1722="i",IFERROR(VLOOKUP(C1722,'BG 2023'!B:E,4,FALSE),0),0)</f>
        <v>0</v>
      </c>
      <c r="I1722" s="616"/>
      <c r="J1722" s="28">
        <f>IF(F1722="I",IFERROR(VLOOKUP(C1722,'BG 12.2023'!$B$6:$E$819,3,FALSE),0),0)</f>
        <v>0</v>
      </c>
      <c r="K1722" s="28">
        <f>IF(F1722="I",IFERROR(VLOOKUP(C1722,'BG 12.2023'!$B$6:$E$819,4,FALSE),0),0)</f>
        <v>0</v>
      </c>
      <c r="M1722" s="15" t="e">
        <f>+VLOOKUP(C1722,'BG 2023'!$B:$E,1,0)</f>
        <v>#N/A</v>
      </c>
      <c r="N1722" s="806" t="e">
        <f>+VLOOKUP(C1722,'BG 2023'!$B:$E,3,0)</f>
        <v>#N/A</v>
      </c>
      <c r="O1722" s="807" t="e">
        <f t="shared" si="164"/>
        <v>#N/A</v>
      </c>
      <c r="P1722" s="807"/>
      <c r="R1722" s="807"/>
    </row>
    <row r="1723" spans="1:18" s="87" customFormat="1">
      <c r="A1723" s="77" t="s">
        <v>1113</v>
      </c>
      <c r="B1723" s="77"/>
      <c r="C1723" s="793">
        <v>6210112602</v>
      </c>
      <c r="D1723" s="77" t="s">
        <v>1146</v>
      </c>
      <c r="E1723" s="794" t="s">
        <v>640</v>
      </c>
      <c r="F1723" s="794" t="str">
        <f t="shared" si="165"/>
        <v>I</v>
      </c>
      <c r="G1723" s="615">
        <f>+IF(F1723="i",IFERROR(VLOOKUP(C1723,'BG 2023'!B:E,3,FALSE),0),0)</f>
        <v>0</v>
      </c>
      <c r="H1723" s="616">
        <f>+IF(F1723="i",IFERROR(VLOOKUP(C1723,'BG 2023'!B:E,4,FALSE),0),0)</f>
        <v>0</v>
      </c>
      <c r="I1723" s="616"/>
      <c r="J1723" s="28">
        <f>IF(F1723="I",IFERROR(VLOOKUP(C1723,'BG 12.2023'!$B$6:$E$819,3,FALSE),0),0)</f>
        <v>0</v>
      </c>
      <c r="K1723" s="28">
        <f>IF(F1723="I",IFERROR(VLOOKUP(C1723,'BG 12.2023'!$B$6:$E$819,4,FALSE),0),0)</f>
        <v>0</v>
      </c>
      <c r="M1723" s="15" t="e">
        <f>+VLOOKUP(C1723,'BG 2023'!$B:$E,1,0)</f>
        <v>#N/A</v>
      </c>
      <c r="N1723" s="806" t="e">
        <f>+VLOOKUP(C1723,'BG 2023'!$B:$E,3,0)</f>
        <v>#N/A</v>
      </c>
      <c r="O1723" s="807" t="e">
        <f t="shared" si="164"/>
        <v>#N/A</v>
      </c>
      <c r="P1723" s="807"/>
      <c r="R1723" s="807"/>
    </row>
    <row r="1724" spans="1:18" s="87" customFormat="1">
      <c r="A1724" s="77" t="s">
        <v>1113</v>
      </c>
      <c r="B1724" s="77"/>
      <c r="C1724" s="793">
        <v>62101127</v>
      </c>
      <c r="D1724" s="77" t="s">
        <v>985</v>
      </c>
      <c r="E1724" s="794" t="s">
        <v>640</v>
      </c>
      <c r="F1724" s="794" t="str">
        <f t="shared" si="165"/>
        <v>NI</v>
      </c>
      <c r="G1724" s="615">
        <f>+IF(F1724="i",IFERROR(VLOOKUP(C1724,'BG 2023'!B:E,3,FALSE),0),0)</f>
        <v>0</v>
      </c>
      <c r="H1724" s="616">
        <f>+IF(F1724="i",IFERROR(VLOOKUP(C1724,'BG 2023'!B:E,4,FALSE),0),0)</f>
        <v>0</v>
      </c>
      <c r="I1724" s="616"/>
      <c r="J1724" s="28">
        <f>IF(F1724="I",IFERROR(VLOOKUP(C1724,'BG 12.2023'!$B$6:$E$819,3,FALSE),0),0)</f>
        <v>0</v>
      </c>
      <c r="K1724" s="28">
        <f>IF(F1724="I",IFERROR(VLOOKUP(C1724,'BG 12.2023'!$B$6:$E$819,4,FALSE),0),0)</f>
        <v>0</v>
      </c>
      <c r="M1724" s="15" t="e">
        <f>+VLOOKUP(C1724,'BG 2023'!$B:$E,1,0)</f>
        <v>#N/A</v>
      </c>
      <c r="N1724" s="806" t="e">
        <f>+VLOOKUP(C1724,'BG 2023'!$B:$E,3,0)</f>
        <v>#N/A</v>
      </c>
      <c r="O1724" s="807" t="e">
        <f t="shared" si="164"/>
        <v>#N/A</v>
      </c>
      <c r="P1724" s="807"/>
      <c r="R1724" s="807"/>
    </row>
    <row r="1725" spans="1:18" s="87" customFormat="1">
      <c r="A1725" s="77" t="s">
        <v>1113</v>
      </c>
      <c r="B1725" s="77"/>
      <c r="C1725" s="793">
        <v>6210112701</v>
      </c>
      <c r="D1725" s="77" t="s">
        <v>1147</v>
      </c>
      <c r="E1725" s="794" t="s">
        <v>640</v>
      </c>
      <c r="F1725" s="794" t="str">
        <f t="shared" ref="F1725:F1738" si="166">+IF(LEN(C1725)&gt;8,"I","NI")</f>
        <v>I</v>
      </c>
      <c r="G1725" s="615">
        <f>+IF(F1725="i",IFERROR(VLOOKUP(C1725,'BG 2023'!B:E,3,FALSE),0),0)</f>
        <v>0</v>
      </c>
      <c r="H1725" s="616">
        <f>+IF(F1725="i",IFERROR(VLOOKUP(C1725,'BG 2023'!B:E,4,FALSE),0),0)</f>
        <v>0</v>
      </c>
      <c r="I1725" s="616"/>
      <c r="J1725" s="28">
        <f>IF(F1725="I",IFERROR(VLOOKUP(C1725,'BG 12.2023'!$B$6:$E$819,3,FALSE),0),0)</f>
        <v>0</v>
      </c>
      <c r="K1725" s="28">
        <f>IF(F1725="I",IFERROR(VLOOKUP(C1725,'BG 12.2023'!$B$6:$E$819,4,FALSE),0),0)</f>
        <v>0</v>
      </c>
      <c r="M1725" s="15" t="e">
        <f>+VLOOKUP(C1725,'BG 2023'!$B:$E,1,0)</f>
        <v>#N/A</v>
      </c>
      <c r="N1725" s="806" t="e">
        <f>+VLOOKUP(C1725,'BG 2023'!$B:$E,3,0)</f>
        <v>#N/A</v>
      </c>
      <c r="O1725" s="807" t="e">
        <f t="shared" si="164"/>
        <v>#N/A</v>
      </c>
      <c r="P1725" s="807"/>
      <c r="R1725" s="807"/>
    </row>
    <row r="1726" spans="1:18" s="87" customFormat="1">
      <c r="A1726" s="77" t="s">
        <v>1113</v>
      </c>
      <c r="B1726" s="77"/>
      <c r="C1726" s="793">
        <v>6210112702</v>
      </c>
      <c r="D1726" s="77" t="s">
        <v>1148</v>
      </c>
      <c r="E1726" s="794" t="s">
        <v>640</v>
      </c>
      <c r="F1726" s="794" t="str">
        <f t="shared" si="166"/>
        <v>I</v>
      </c>
      <c r="G1726" s="615">
        <f>+IF(F1726="i",IFERROR(VLOOKUP(C1726,'BG 2023'!B:E,3,FALSE),0),0)</f>
        <v>0</v>
      </c>
      <c r="H1726" s="616">
        <f>+IF(F1726="i",IFERROR(VLOOKUP(C1726,'BG 2023'!B:E,4,FALSE),0),0)</f>
        <v>0</v>
      </c>
      <c r="I1726" s="616"/>
      <c r="J1726" s="28">
        <f>IF(F1726="I",IFERROR(VLOOKUP(C1726,'BG 12.2023'!$B$6:$E$819,3,FALSE),0),0)</f>
        <v>0</v>
      </c>
      <c r="K1726" s="28">
        <f>IF(F1726="I",IFERROR(VLOOKUP(C1726,'BG 12.2023'!$B$6:$E$819,4,FALSE),0),0)</f>
        <v>0</v>
      </c>
      <c r="M1726" s="15" t="e">
        <f>+VLOOKUP(C1726,'BG 2023'!$B:$E,1,0)</f>
        <v>#N/A</v>
      </c>
      <c r="N1726" s="806" t="e">
        <f>+VLOOKUP(C1726,'BG 2023'!$B:$E,3,0)</f>
        <v>#N/A</v>
      </c>
      <c r="O1726" s="807" t="e">
        <f t="shared" si="164"/>
        <v>#N/A</v>
      </c>
      <c r="P1726" s="807"/>
      <c r="R1726" s="807"/>
    </row>
    <row r="1727" spans="1:18" s="87" customFormat="1">
      <c r="A1727" s="77" t="s">
        <v>1113</v>
      </c>
      <c r="B1727" s="77"/>
      <c r="C1727" s="793">
        <v>62101128</v>
      </c>
      <c r="D1727" s="77" t="s">
        <v>986</v>
      </c>
      <c r="E1727" s="794" t="s">
        <v>640</v>
      </c>
      <c r="F1727" s="794" t="str">
        <f t="shared" si="166"/>
        <v>NI</v>
      </c>
      <c r="G1727" s="615">
        <f>+IF(F1727="i",IFERROR(VLOOKUP(C1727,'BG 2023'!B:E,3,FALSE),0),0)</f>
        <v>0</v>
      </c>
      <c r="H1727" s="616">
        <f>+IF(F1727="i",IFERROR(VLOOKUP(C1727,'BG 2023'!B:E,4,FALSE),0),0)</f>
        <v>0</v>
      </c>
      <c r="I1727" s="616"/>
      <c r="J1727" s="28">
        <f>IF(F1727="I",IFERROR(VLOOKUP(C1727,'BG 12.2023'!$B$6:$E$819,3,FALSE),0),0)</f>
        <v>0</v>
      </c>
      <c r="K1727" s="28">
        <f>IF(F1727="I",IFERROR(VLOOKUP(C1727,'BG 12.2023'!$B$6:$E$819,4,FALSE),0),0)</f>
        <v>0</v>
      </c>
      <c r="M1727" s="15" t="e">
        <f>+VLOOKUP(C1727,'BG 2023'!$B:$E,1,0)</f>
        <v>#N/A</v>
      </c>
      <c r="N1727" s="806" t="e">
        <f>+VLOOKUP(C1727,'BG 2023'!$B:$E,3,0)</f>
        <v>#N/A</v>
      </c>
      <c r="O1727" s="807" t="e">
        <f t="shared" si="164"/>
        <v>#N/A</v>
      </c>
      <c r="P1727" s="807"/>
      <c r="R1727" s="807"/>
    </row>
    <row r="1728" spans="1:18" s="87" customFormat="1">
      <c r="A1728" s="77" t="s">
        <v>1113</v>
      </c>
      <c r="B1728" s="77"/>
      <c r="C1728" s="793">
        <v>6210112801</v>
      </c>
      <c r="D1728" s="77" t="s">
        <v>1149</v>
      </c>
      <c r="E1728" s="794" t="s">
        <v>640</v>
      </c>
      <c r="F1728" s="794" t="str">
        <f t="shared" si="166"/>
        <v>I</v>
      </c>
      <c r="G1728" s="615">
        <f>+IF(F1728="i",IFERROR(VLOOKUP(C1728,'BG 2023'!B:E,3,FALSE),0),0)</f>
        <v>0</v>
      </c>
      <c r="H1728" s="616">
        <f>+IF(F1728="i",IFERROR(VLOOKUP(C1728,'BG 2023'!B:E,4,FALSE),0),0)</f>
        <v>0</v>
      </c>
      <c r="I1728" s="616"/>
      <c r="J1728" s="28">
        <f>IF(F1728="I",IFERROR(VLOOKUP(C1728,'BG 12.2023'!$B$6:$E$819,3,FALSE),0),0)</f>
        <v>0</v>
      </c>
      <c r="K1728" s="28">
        <f>IF(F1728="I",IFERROR(VLOOKUP(C1728,'BG 12.2023'!$B$6:$E$819,4,FALSE),0),0)</f>
        <v>0</v>
      </c>
      <c r="M1728" s="15" t="e">
        <f>+VLOOKUP(C1728,'BG 2023'!$B:$E,1,0)</f>
        <v>#N/A</v>
      </c>
      <c r="N1728" s="806" t="e">
        <f>+VLOOKUP(C1728,'BG 2023'!$B:$E,3,0)</f>
        <v>#N/A</v>
      </c>
      <c r="O1728" s="807" t="e">
        <f t="shared" si="164"/>
        <v>#N/A</v>
      </c>
      <c r="P1728" s="807"/>
      <c r="R1728" s="807"/>
    </row>
    <row r="1729" spans="1:18" s="87" customFormat="1">
      <c r="A1729" s="77" t="s">
        <v>1113</v>
      </c>
      <c r="B1729" s="77"/>
      <c r="C1729" s="793">
        <v>6210112802</v>
      </c>
      <c r="D1729" s="77" t="s">
        <v>1150</v>
      </c>
      <c r="E1729" s="794" t="s">
        <v>640</v>
      </c>
      <c r="F1729" s="794" t="str">
        <f t="shared" si="166"/>
        <v>I</v>
      </c>
      <c r="G1729" s="615">
        <f>+IF(F1729="i",IFERROR(VLOOKUP(C1729,'BG 2023'!B:E,3,FALSE),0),0)</f>
        <v>0</v>
      </c>
      <c r="H1729" s="616">
        <f>+IF(F1729="i",IFERROR(VLOOKUP(C1729,'BG 2023'!B:E,4,FALSE),0),0)</f>
        <v>0</v>
      </c>
      <c r="I1729" s="616"/>
      <c r="J1729" s="28">
        <f>IF(F1729="I",IFERROR(VLOOKUP(C1729,'BG 12.2023'!$B$6:$E$819,3,FALSE),0),0)</f>
        <v>0</v>
      </c>
      <c r="K1729" s="28">
        <f>IF(F1729="I",IFERROR(VLOOKUP(C1729,'BG 12.2023'!$B$6:$E$819,4,FALSE),0),0)</f>
        <v>0</v>
      </c>
      <c r="M1729" s="15" t="e">
        <f>+VLOOKUP(C1729,'BG 2023'!$B:$E,1,0)</f>
        <v>#N/A</v>
      </c>
      <c r="N1729" s="806" t="e">
        <f>+VLOOKUP(C1729,'BG 2023'!$B:$E,3,0)</f>
        <v>#N/A</v>
      </c>
      <c r="O1729" s="807" t="e">
        <f t="shared" si="164"/>
        <v>#N/A</v>
      </c>
      <c r="P1729" s="807"/>
      <c r="R1729" s="807"/>
    </row>
    <row r="1730" spans="1:18" s="87" customFormat="1">
      <c r="A1730" s="77" t="s">
        <v>1113</v>
      </c>
      <c r="B1730" s="77"/>
      <c r="C1730" s="793">
        <v>62101129</v>
      </c>
      <c r="D1730" s="77" t="s">
        <v>277</v>
      </c>
      <c r="E1730" s="794" t="s">
        <v>640</v>
      </c>
      <c r="F1730" s="794" t="str">
        <f t="shared" si="166"/>
        <v>NI</v>
      </c>
      <c r="G1730" s="615">
        <f>+IF(F1730="i",IFERROR(VLOOKUP(C1730,'BG 2023'!B:E,3,FALSE),0),0)</f>
        <v>0</v>
      </c>
      <c r="H1730" s="616">
        <f>+IF(F1730="i",IFERROR(VLOOKUP(C1730,'BG 2023'!B:E,4,FALSE),0),0)</f>
        <v>0</v>
      </c>
      <c r="I1730" s="616"/>
      <c r="J1730" s="28">
        <f>IF(F1730="I",IFERROR(VLOOKUP(C1730,'BG 12.2023'!$B$6:$E$819,3,FALSE),0),0)</f>
        <v>0</v>
      </c>
      <c r="K1730" s="28">
        <f>IF(F1730="I",IFERROR(VLOOKUP(C1730,'BG 12.2023'!$B$6:$E$819,4,FALSE),0),0)</f>
        <v>0</v>
      </c>
      <c r="M1730" s="15">
        <f>+VLOOKUP(C1730,'BG 2023'!$B:$E,1,0)</f>
        <v>62101129</v>
      </c>
      <c r="N1730" s="806">
        <f>+VLOOKUP(C1730,'BG 2023'!$B:$E,3,0)</f>
        <v>26589769792</v>
      </c>
      <c r="O1730" s="807">
        <f t="shared" si="164"/>
        <v>26589769792</v>
      </c>
      <c r="P1730" s="807"/>
      <c r="R1730" s="807"/>
    </row>
    <row r="1731" spans="1:18" s="87" customFormat="1">
      <c r="A1731" s="77" t="s">
        <v>1113</v>
      </c>
      <c r="B1731" s="77" t="s">
        <v>1151</v>
      </c>
      <c r="C1731" s="793">
        <v>6210112901</v>
      </c>
      <c r="D1731" s="77" t="s">
        <v>278</v>
      </c>
      <c r="E1731" s="794" t="s">
        <v>640</v>
      </c>
      <c r="F1731" s="794" t="str">
        <f t="shared" si="166"/>
        <v>I</v>
      </c>
      <c r="G1731" s="615">
        <f>+IF(F1731="i",IFERROR(VLOOKUP(C1731,'BG 2023'!B:E,3,FALSE),0),0)</f>
        <v>26589769792</v>
      </c>
      <c r="H1731" s="616">
        <f>+IF(F1731="i",IFERROR(VLOOKUP(C1731,'BG 2023'!B:E,4,FALSE),0),0)</f>
        <v>3650625.62</v>
      </c>
      <c r="I1731" s="616"/>
      <c r="J1731" s="28">
        <f>IF(F1731="I",IFERROR(VLOOKUP(C1731,'BG 12.2023'!$B$6:$E$819,3,FALSE),0),0)</f>
        <v>26589769792</v>
      </c>
      <c r="K1731" s="28">
        <f>IF(F1731="I",IFERROR(VLOOKUP(C1731,'BG 12.2023'!$B$6:$E$819,4,FALSE),0),0)</f>
        <v>3650625.62</v>
      </c>
      <c r="M1731" s="15">
        <f>+VLOOKUP(C1731,'BG 2023'!$B:$E,1,0)</f>
        <v>6210112901</v>
      </c>
      <c r="N1731" s="806">
        <f>+VLOOKUP(C1731,'BG 2023'!$B:$E,3,0)</f>
        <v>26589769792</v>
      </c>
      <c r="O1731" s="807">
        <f t="shared" si="164"/>
        <v>0</v>
      </c>
      <c r="P1731" s="807"/>
      <c r="R1731" s="807"/>
    </row>
    <row r="1732" spans="1:18" s="87" customFormat="1">
      <c r="A1732" s="77" t="s">
        <v>1113</v>
      </c>
      <c r="B1732" s="77"/>
      <c r="C1732" s="793">
        <v>6210112902</v>
      </c>
      <c r="D1732" s="77" t="s">
        <v>1152</v>
      </c>
      <c r="E1732" s="794" t="s">
        <v>640</v>
      </c>
      <c r="F1732" s="794" t="str">
        <f t="shared" si="166"/>
        <v>I</v>
      </c>
      <c r="G1732" s="615">
        <f>+IF(F1732="i",IFERROR(VLOOKUP(C1732,'BG 2023'!B:E,3,FALSE),0),0)</f>
        <v>0</v>
      </c>
      <c r="H1732" s="616">
        <f>+IF(F1732="i",IFERROR(VLOOKUP(C1732,'BG 2023'!B:E,4,FALSE),0),0)</f>
        <v>0</v>
      </c>
      <c r="I1732" s="616"/>
      <c r="J1732" s="28">
        <f>IF(F1732="I",IFERROR(VLOOKUP(C1732,'BG 12.2023'!$B$6:$E$819,3,FALSE),0),0)</f>
        <v>0</v>
      </c>
      <c r="K1732" s="28">
        <f>IF(F1732="I",IFERROR(VLOOKUP(C1732,'BG 12.2023'!$B$6:$E$819,4,FALSE),0),0)</f>
        <v>0</v>
      </c>
      <c r="M1732" s="15" t="e">
        <f>+VLOOKUP(C1732,'BG 2023'!$B:$E,1,0)</f>
        <v>#N/A</v>
      </c>
      <c r="N1732" s="806" t="e">
        <f>+VLOOKUP(C1732,'BG 2023'!$B:$E,3,0)</f>
        <v>#N/A</v>
      </c>
      <c r="O1732" s="807" t="e">
        <f t="shared" si="164"/>
        <v>#N/A</v>
      </c>
      <c r="P1732" s="807"/>
      <c r="R1732" s="807"/>
    </row>
    <row r="1733" spans="1:18" s="87" customFormat="1">
      <c r="A1733" s="77" t="s">
        <v>1113</v>
      </c>
      <c r="B1733" s="77"/>
      <c r="C1733" s="793">
        <v>62101130</v>
      </c>
      <c r="D1733" s="77" t="s">
        <v>1153</v>
      </c>
      <c r="E1733" s="794" t="s">
        <v>640</v>
      </c>
      <c r="F1733" s="794" t="str">
        <f t="shared" si="166"/>
        <v>NI</v>
      </c>
      <c r="G1733" s="615">
        <f>+IF(F1733="i",IFERROR(VLOOKUP(C1733,'BG 2023'!B:E,3,FALSE),0),0)</f>
        <v>0</v>
      </c>
      <c r="H1733" s="616">
        <f>+IF(F1733="i",IFERROR(VLOOKUP(C1733,'BG 2023'!B:E,4,FALSE),0),0)</f>
        <v>0</v>
      </c>
      <c r="I1733" s="616"/>
      <c r="J1733" s="28">
        <f>IF(F1733="I",IFERROR(VLOOKUP(C1733,'BG 12.2023'!$B$6:$E$819,3,FALSE),0),0)</f>
        <v>0</v>
      </c>
      <c r="K1733" s="28">
        <f>IF(F1733="I",IFERROR(VLOOKUP(C1733,'BG 12.2023'!$B$6:$E$819,4,FALSE),0),0)</f>
        <v>0</v>
      </c>
      <c r="M1733" s="15" t="e">
        <f>+VLOOKUP(C1733,'BG 2023'!$B:$E,1,0)</f>
        <v>#N/A</v>
      </c>
      <c r="N1733" s="806" t="e">
        <f>+VLOOKUP(C1733,'BG 2023'!$B:$E,3,0)</f>
        <v>#N/A</v>
      </c>
      <c r="O1733" s="807" t="e">
        <f t="shared" si="164"/>
        <v>#N/A</v>
      </c>
      <c r="P1733" s="807"/>
      <c r="R1733" s="807"/>
    </row>
    <row r="1734" spans="1:18" s="87" customFormat="1">
      <c r="A1734" s="77" t="s">
        <v>1113</v>
      </c>
      <c r="B1734" s="77"/>
      <c r="C1734" s="793">
        <v>6210113001</v>
      </c>
      <c r="D1734" s="77" t="s">
        <v>1154</v>
      </c>
      <c r="E1734" s="794" t="s">
        <v>640</v>
      </c>
      <c r="F1734" s="794" t="str">
        <f t="shared" si="166"/>
        <v>I</v>
      </c>
      <c r="G1734" s="615">
        <f>+IF(F1734="i",IFERROR(VLOOKUP(C1734,'BG 2023'!B:E,3,FALSE),0),0)</f>
        <v>0</v>
      </c>
      <c r="H1734" s="616">
        <f>+IF(F1734="i",IFERROR(VLOOKUP(C1734,'BG 2023'!B:E,4,FALSE),0),0)</f>
        <v>0</v>
      </c>
      <c r="I1734" s="616"/>
      <c r="J1734" s="28">
        <f>IF(F1734="I",IFERROR(VLOOKUP(C1734,'BG 12.2023'!$B$6:$E$819,3,FALSE),0),0)</f>
        <v>0</v>
      </c>
      <c r="K1734" s="28">
        <f>IF(F1734="I",IFERROR(VLOOKUP(C1734,'BG 12.2023'!$B$6:$E$819,4,FALSE),0),0)</f>
        <v>0</v>
      </c>
      <c r="M1734" s="15" t="e">
        <f>+VLOOKUP(C1734,'BG 2023'!$B:$E,1,0)</f>
        <v>#N/A</v>
      </c>
      <c r="N1734" s="806" t="e">
        <f>+VLOOKUP(C1734,'BG 2023'!$B:$E,3,0)</f>
        <v>#N/A</v>
      </c>
      <c r="O1734" s="807" t="e">
        <f t="shared" si="164"/>
        <v>#N/A</v>
      </c>
      <c r="P1734" s="807"/>
      <c r="R1734" s="807"/>
    </row>
    <row r="1735" spans="1:18" s="87" customFormat="1">
      <c r="A1735" s="77" t="s">
        <v>1113</v>
      </c>
      <c r="B1735" s="77"/>
      <c r="C1735" s="793">
        <v>6210113002</v>
      </c>
      <c r="D1735" s="77" t="s">
        <v>1155</v>
      </c>
      <c r="E1735" s="794" t="s">
        <v>640</v>
      </c>
      <c r="F1735" s="794" t="str">
        <f t="shared" si="166"/>
        <v>I</v>
      </c>
      <c r="G1735" s="615">
        <f>+IF(F1735="i",IFERROR(VLOOKUP(C1735,'BG 2023'!B:E,3,FALSE),0),0)</f>
        <v>0</v>
      </c>
      <c r="H1735" s="616">
        <f>+IF(F1735="i",IFERROR(VLOOKUP(C1735,'BG 2023'!B:E,4,FALSE),0),0)</f>
        <v>0</v>
      </c>
      <c r="I1735" s="616"/>
      <c r="J1735" s="28">
        <f>IF(F1735="I",IFERROR(VLOOKUP(C1735,'BG 12.2023'!$B$6:$E$819,3,FALSE),0),0)</f>
        <v>0</v>
      </c>
      <c r="K1735" s="28">
        <f>IF(F1735="I",IFERROR(VLOOKUP(C1735,'BG 12.2023'!$B$6:$E$819,4,FALSE),0),0)</f>
        <v>0</v>
      </c>
      <c r="M1735" s="15" t="e">
        <f>+VLOOKUP(C1735,'BG 2023'!$B:$E,1,0)</f>
        <v>#N/A</v>
      </c>
      <c r="N1735" s="806" t="e">
        <f>+VLOOKUP(C1735,'BG 2023'!$B:$E,3,0)</f>
        <v>#N/A</v>
      </c>
      <c r="O1735" s="807" t="e">
        <f t="shared" si="164"/>
        <v>#N/A</v>
      </c>
      <c r="P1735" s="807"/>
      <c r="R1735" s="807"/>
    </row>
    <row r="1736" spans="1:18" s="87" customFormat="1">
      <c r="A1736" s="77" t="s">
        <v>1113</v>
      </c>
      <c r="B1736" s="77"/>
      <c r="C1736" s="793">
        <v>62101131</v>
      </c>
      <c r="D1736" s="77" t="s">
        <v>525</v>
      </c>
      <c r="E1736" s="794" t="s">
        <v>640</v>
      </c>
      <c r="F1736" s="794" t="str">
        <f t="shared" si="166"/>
        <v>NI</v>
      </c>
      <c r="G1736" s="615">
        <f>+IF(F1736="i",IFERROR(VLOOKUP(C1736,'BG 2023'!B:E,3,FALSE),0),0)</f>
        <v>0</v>
      </c>
      <c r="H1736" s="616">
        <f>+IF(F1736="i",IFERROR(VLOOKUP(C1736,'BG 2023'!B:E,4,FALSE),0),0)</f>
        <v>0</v>
      </c>
      <c r="I1736" s="616"/>
      <c r="J1736" s="28">
        <f>IF(F1736="I",IFERROR(VLOOKUP(C1736,'BG 12.2023'!$B$6:$E$819,3,FALSE),0),0)</f>
        <v>0</v>
      </c>
      <c r="K1736" s="28">
        <f>IF(F1736="I",IFERROR(VLOOKUP(C1736,'BG 12.2023'!$B$6:$E$819,4,FALSE),0),0)</f>
        <v>0</v>
      </c>
      <c r="M1736" s="15">
        <f>+VLOOKUP(C1736,'BG 2023'!$B:$E,1,0)</f>
        <v>62101131</v>
      </c>
      <c r="N1736" s="806">
        <f>+VLOOKUP(C1736,'BG 2023'!$B:$E,3,0)</f>
        <v>87792251744</v>
      </c>
      <c r="O1736" s="807">
        <f t="shared" si="164"/>
        <v>87792251744</v>
      </c>
      <c r="P1736" s="807"/>
      <c r="R1736" s="807"/>
    </row>
    <row r="1737" spans="1:18" s="87" customFormat="1">
      <c r="A1737" s="77" t="s">
        <v>1113</v>
      </c>
      <c r="B1737" s="77" t="s">
        <v>1151</v>
      </c>
      <c r="C1737" s="793">
        <v>6210113101</v>
      </c>
      <c r="D1737" s="77" t="s">
        <v>1160</v>
      </c>
      <c r="E1737" s="794" t="s">
        <v>640</v>
      </c>
      <c r="F1737" s="794" t="str">
        <f t="shared" si="166"/>
        <v>I</v>
      </c>
      <c r="G1737" s="615">
        <f>+IF(F1737="i",IFERROR(VLOOKUP(C1737,'BG 2023'!B:E,3,FALSE),0),0)</f>
        <v>87792251744</v>
      </c>
      <c r="H1737" s="616">
        <f>+IF(F1737="i",IFERROR(VLOOKUP(C1737,'BG 2023'!B:E,4,FALSE),0),0)</f>
        <v>12053381.66</v>
      </c>
      <c r="I1737" s="616"/>
      <c r="J1737" s="28">
        <f>IF(F1737="I",IFERROR(VLOOKUP(C1737,'BG 12.2023'!$B$6:$E$819,3,FALSE),0),0)</f>
        <v>87792251744</v>
      </c>
      <c r="K1737" s="28">
        <f>IF(F1737="I",IFERROR(VLOOKUP(C1737,'BG 12.2023'!$B$6:$E$819,4,FALSE),0),0)</f>
        <v>12053381.66</v>
      </c>
      <c r="M1737" s="15">
        <f>+VLOOKUP(C1737,'BG 2023'!$B:$E,1,0)</f>
        <v>6210113101</v>
      </c>
      <c r="N1737" s="806">
        <f>+VLOOKUP(C1737,'BG 2023'!$B:$E,3,0)</f>
        <v>87792251744</v>
      </c>
      <c r="O1737" s="807">
        <f t="shared" si="164"/>
        <v>0</v>
      </c>
      <c r="P1737" s="807"/>
      <c r="R1737" s="807"/>
    </row>
    <row r="1738" spans="1:18" s="87" customFormat="1">
      <c r="A1738" s="77" t="s">
        <v>1113</v>
      </c>
      <c r="B1738" s="77"/>
      <c r="C1738" s="793">
        <v>6210113102</v>
      </c>
      <c r="D1738" s="77" t="s">
        <v>1161</v>
      </c>
      <c r="E1738" s="794" t="s">
        <v>640</v>
      </c>
      <c r="F1738" s="794" t="str">
        <f t="shared" si="166"/>
        <v>I</v>
      </c>
      <c r="G1738" s="615">
        <f>+IF(F1738="i",IFERROR(VLOOKUP(C1738,'BG 2023'!B:E,3,FALSE),0),0)</f>
        <v>0</v>
      </c>
      <c r="H1738" s="616">
        <f>+IF(F1738="i",IFERROR(VLOOKUP(C1738,'BG 2023'!B:E,4,FALSE),0),0)</f>
        <v>0</v>
      </c>
      <c r="I1738" s="616"/>
      <c r="J1738" s="28">
        <f>IF(F1738="I",IFERROR(VLOOKUP(C1738,'BG 12.2023'!$B$6:$E$819,3,FALSE),0),0)</f>
        <v>0</v>
      </c>
      <c r="K1738" s="28">
        <f>IF(F1738="I",IFERROR(VLOOKUP(C1738,'BG 12.2023'!$B$6:$E$819,4,FALSE),0),0)</f>
        <v>0</v>
      </c>
      <c r="M1738" s="15" t="e">
        <f>+VLOOKUP(C1738,'BG 2023'!$B:$E,1,0)</f>
        <v>#N/A</v>
      </c>
      <c r="N1738" s="806" t="e">
        <f>+VLOOKUP(C1738,'BG 2023'!$B:$E,3,0)</f>
        <v>#N/A</v>
      </c>
      <c r="O1738" s="807" t="e">
        <f t="shared" si="164"/>
        <v>#N/A</v>
      </c>
      <c r="P1738" s="807"/>
      <c r="R1738" s="807"/>
    </row>
    <row r="1739" spans="1:18" s="87" customFormat="1">
      <c r="A1739" s="77" t="s">
        <v>1113</v>
      </c>
      <c r="B1739" s="77"/>
      <c r="C1739" s="793">
        <v>62101133</v>
      </c>
      <c r="D1739" s="77" t="s">
        <v>132</v>
      </c>
      <c r="E1739" s="794" t="s">
        <v>634</v>
      </c>
      <c r="F1739" s="794" t="str">
        <f t="shared" ref="F1739:F1740" si="167">+IF(LEN(C1739)&gt;8,"I","NI")</f>
        <v>NI</v>
      </c>
      <c r="G1739" s="615">
        <f>+IF(F1739="i",IFERROR(VLOOKUP(C1739,'BG 2023'!B:E,3,FALSE),0),0)</f>
        <v>0</v>
      </c>
      <c r="H1739" s="616">
        <f>+IF(F1739="i",IFERROR(VLOOKUP(C1739,'BG 2023'!B:E,4,FALSE),0),0)</f>
        <v>0</v>
      </c>
      <c r="I1739" s="616"/>
      <c r="J1739" s="28">
        <f>IF(F1739="I",IFERROR(VLOOKUP(C1739,'BG 12.2023'!$B$6:$E$819,3,FALSE),0),0)</f>
        <v>0</v>
      </c>
      <c r="K1739" s="28">
        <f>IF(F1739="I",IFERROR(VLOOKUP(C1739,'BG 12.2023'!$B$6:$E$819,4,FALSE),0),0)</f>
        <v>0</v>
      </c>
      <c r="M1739" s="15"/>
      <c r="N1739" s="806"/>
      <c r="O1739" s="807"/>
      <c r="P1739" s="807"/>
      <c r="R1739" s="807"/>
    </row>
    <row r="1740" spans="1:18" s="87" customFormat="1">
      <c r="A1740" s="77" t="s">
        <v>1113</v>
      </c>
      <c r="B1740" s="77" t="s">
        <v>1151</v>
      </c>
      <c r="C1740" s="793">
        <v>6210113301</v>
      </c>
      <c r="D1740" s="77" t="s">
        <v>132</v>
      </c>
      <c r="E1740" s="794" t="s">
        <v>634</v>
      </c>
      <c r="F1740" s="794" t="str">
        <f t="shared" si="167"/>
        <v>I</v>
      </c>
      <c r="G1740" s="615">
        <f>+IF(F1740="i",IFERROR(VLOOKUP(C1740,'BG 2023'!B:E,3,FALSE),0),0)</f>
        <v>9500000000</v>
      </c>
      <c r="H1740" s="616">
        <f>+IF(F1740="i",IFERROR(VLOOKUP(C1740,'BG 2023'!B:E,4,FALSE),0),0)</f>
        <v>1304296.4900000002</v>
      </c>
      <c r="I1740" s="616"/>
      <c r="J1740" s="28">
        <f>IF(F1740="I",IFERROR(VLOOKUP(C1740,'BG 12.2023'!$B$6:$E$819,3,FALSE),0),0)</f>
        <v>9500000000</v>
      </c>
      <c r="K1740" s="28">
        <f>IF(F1740="I",IFERROR(VLOOKUP(C1740,'BG 12.2023'!$B$6:$E$819,4,FALSE),0),0)</f>
        <v>1304296.4900000002</v>
      </c>
      <c r="M1740" s="15"/>
      <c r="N1740" s="806"/>
      <c r="O1740" s="807"/>
      <c r="P1740" s="807"/>
      <c r="R1740" s="807"/>
    </row>
    <row r="1741" spans="1:18" s="87" customFormat="1">
      <c r="A1741" s="77" t="s">
        <v>1113</v>
      </c>
      <c r="B1741" s="77"/>
      <c r="C1741" s="793">
        <v>62101132</v>
      </c>
      <c r="D1741" s="77" t="s">
        <v>689</v>
      </c>
      <c r="E1741" s="794" t="s">
        <v>640</v>
      </c>
      <c r="F1741" s="794" t="str">
        <f t="shared" ref="F1741:F1752" si="168">+IF(LEN(C1741)&gt;8,"I","NI")</f>
        <v>NI</v>
      </c>
      <c r="G1741" s="615">
        <f>+IF(F1741="i",IFERROR(VLOOKUP(C1741,'BG 2023'!B:E,3,FALSE),0),0)</f>
        <v>0</v>
      </c>
      <c r="H1741" s="616">
        <f>+IF(F1741="i",IFERROR(VLOOKUP(C1741,'BG 2023'!B:E,4,FALSE),0),0)</f>
        <v>0</v>
      </c>
      <c r="I1741" s="616"/>
      <c r="J1741" s="28">
        <f>IF(F1741="I",IFERROR(VLOOKUP(C1741,'BG 12.2023'!$B$6:$E$819,3,FALSE),0),0)</f>
        <v>0</v>
      </c>
      <c r="K1741" s="28">
        <f>IF(F1741="I",IFERROR(VLOOKUP(C1741,'BG 12.2023'!$B$6:$E$819,4,FALSE),0),0)</f>
        <v>0</v>
      </c>
      <c r="M1741" s="15" t="e">
        <f>+VLOOKUP(C1741,'BG 2023'!$B:$E,1,0)</f>
        <v>#N/A</v>
      </c>
      <c r="N1741" s="806" t="e">
        <f>+VLOOKUP(C1741,'BG 2023'!$B:$E,3,0)</f>
        <v>#N/A</v>
      </c>
      <c r="O1741" s="807" t="e">
        <f t="shared" si="164"/>
        <v>#N/A</v>
      </c>
      <c r="P1741" s="807"/>
      <c r="R1741" s="807"/>
    </row>
    <row r="1742" spans="1:18" s="87" customFormat="1">
      <c r="A1742" s="77" t="s">
        <v>1113</v>
      </c>
      <c r="B1742" s="77"/>
      <c r="C1742" s="793">
        <v>6210113201</v>
      </c>
      <c r="D1742" s="77" t="s">
        <v>1157</v>
      </c>
      <c r="E1742" s="794" t="s">
        <v>640</v>
      </c>
      <c r="F1742" s="794" t="str">
        <f t="shared" si="168"/>
        <v>I</v>
      </c>
      <c r="G1742" s="615">
        <f>+IF(F1742="i",IFERROR(VLOOKUP(C1742,'BG 2023'!B:E,3,FALSE),0),0)</f>
        <v>0</v>
      </c>
      <c r="H1742" s="616">
        <f>+IF(F1742="i",IFERROR(VLOOKUP(C1742,'BG 2023'!B:E,4,FALSE),0),0)</f>
        <v>0</v>
      </c>
      <c r="I1742" s="616"/>
      <c r="J1742" s="28">
        <f>IF(F1742="I",IFERROR(VLOOKUP(C1742,'BG 12.2023'!$B$6:$E$819,3,FALSE),0),0)</f>
        <v>0</v>
      </c>
      <c r="K1742" s="28">
        <f>IF(F1742="I",IFERROR(VLOOKUP(C1742,'BG 12.2023'!$B$6:$E$819,4,FALSE),0),0)</f>
        <v>0</v>
      </c>
      <c r="M1742" s="15" t="e">
        <f>+VLOOKUP(C1742,'BG 2023'!$B:$E,1,0)</f>
        <v>#N/A</v>
      </c>
      <c r="N1742" s="806" t="e">
        <f>+VLOOKUP(C1742,'BG 2023'!$B:$E,3,0)</f>
        <v>#N/A</v>
      </c>
      <c r="O1742" s="807" t="e">
        <f t="shared" si="164"/>
        <v>#N/A</v>
      </c>
      <c r="P1742" s="807"/>
      <c r="R1742" s="807"/>
    </row>
    <row r="1743" spans="1:18" s="87" customFormat="1">
      <c r="A1743" s="77" t="s">
        <v>1113</v>
      </c>
      <c r="B1743" s="77"/>
      <c r="C1743" s="793">
        <v>6210113202</v>
      </c>
      <c r="D1743" s="77" t="s">
        <v>1158</v>
      </c>
      <c r="E1743" s="794" t="s">
        <v>640</v>
      </c>
      <c r="F1743" s="794" t="str">
        <f t="shared" si="168"/>
        <v>I</v>
      </c>
      <c r="G1743" s="615">
        <f>+IF(F1743="i",IFERROR(VLOOKUP(C1743,'BG 2023'!B:E,3,FALSE),0),0)</f>
        <v>0</v>
      </c>
      <c r="H1743" s="616">
        <f>+IF(F1743="i",IFERROR(VLOOKUP(C1743,'BG 2023'!B:E,4,FALSE),0),0)</f>
        <v>0</v>
      </c>
      <c r="I1743" s="616"/>
      <c r="J1743" s="28">
        <f>IF(F1743="I",IFERROR(VLOOKUP(C1743,'BG 12.2023'!$B$6:$E$819,3,FALSE),0),0)</f>
        <v>0</v>
      </c>
      <c r="K1743" s="28">
        <f>IF(F1743="I",IFERROR(VLOOKUP(C1743,'BG 12.2023'!$B$6:$E$819,4,FALSE),0),0)</f>
        <v>0</v>
      </c>
      <c r="M1743" s="15" t="e">
        <f>+VLOOKUP(C1743,'BG 2023'!$B:$E,1,0)</f>
        <v>#N/A</v>
      </c>
      <c r="N1743" s="806" t="e">
        <f>+VLOOKUP(C1743,'BG 2023'!$B:$E,3,0)</f>
        <v>#N/A</v>
      </c>
      <c r="O1743" s="807" t="e">
        <f t="shared" si="164"/>
        <v>#N/A</v>
      </c>
      <c r="P1743" s="807"/>
      <c r="R1743" s="807"/>
    </row>
    <row r="1744" spans="1:18" s="87" customFormat="1">
      <c r="A1744" s="77" t="s">
        <v>1113</v>
      </c>
      <c r="B1744" s="77"/>
      <c r="C1744" s="793">
        <v>6210120</v>
      </c>
      <c r="D1744" s="77" t="s">
        <v>285</v>
      </c>
      <c r="E1744" s="794" t="s">
        <v>634</v>
      </c>
      <c r="F1744" s="794" t="str">
        <f t="shared" si="168"/>
        <v>NI</v>
      </c>
      <c r="G1744" s="615">
        <f>+IF(F1744="i",IFERROR(VLOOKUP(C1744,'BG 2023'!B:E,3,FALSE),0),0)</f>
        <v>0</v>
      </c>
      <c r="H1744" s="616">
        <f>+IF(F1744="i",IFERROR(VLOOKUP(C1744,'BG 2023'!B:E,4,FALSE),0),0)</f>
        <v>0</v>
      </c>
      <c r="I1744" s="616"/>
      <c r="J1744" s="28">
        <f>IF(F1744="I",IFERROR(VLOOKUP(C1744,'BG 12.2023'!$B$6:$E$819,3,FALSE),0),0)</f>
        <v>0</v>
      </c>
      <c r="K1744" s="28">
        <f>IF(F1744="I",IFERROR(VLOOKUP(C1744,'BG 12.2023'!$B$6:$E$819,4,FALSE),0),0)</f>
        <v>0</v>
      </c>
      <c r="M1744" s="15">
        <f>+VLOOKUP(C1744,'BG 2023'!$B:$E,1,0)</f>
        <v>6210120</v>
      </c>
      <c r="N1744" s="806">
        <f>+VLOOKUP(C1744,'BG 2023'!$B:$E,3,0)</f>
        <v>368842760801</v>
      </c>
      <c r="O1744" s="807">
        <f t="shared" si="164"/>
        <v>368842760801</v>
      </c>
      <c r="P1744" s="807"/>
      <c r="R1744" s="807"/>
    </row>
    <row r="1745" spans="1:18" s="87" customFormat="1">
      <c r="A1745" s="77" t="s">
        <v>1113</v>
      </c>
      <c r="B1745" s="77"/>
      <c r="C1745" s="793">
        <v>62101201</v>
      </c>
      <c r="D1745" s="77" t="s">
        <v>282</v>
      </c>
      <c r="E1745" s="794" t="s">
        <v>634</v>
      </c>
      <c r="F1745" s="794" t="str">
        <f t="shared" si="168"/>
        <v>NI</v>
      </c>
      <c r="G1745" s="615">
        <f>+IF(F1745="i",IFERROR(VLOOKUP(C1745,'BG 2023'!B:E,3,FALSE),0),0)</f>
        <v>0</v>
      </c>
      <c r="H1745" s="616">
        <f>+IF(F1745="i",IFERROR(VLOOKUP(C1745,'BG 2023'!B:E,4,FALSE),0),0)</f>
        <v>0</v>
      </c>
      <c r="I1745" s="616"/>
      <c r="J1745" s="28">
        <f>IF(F1745="I",IFERROR(VLOOKUP(C1745,'BG 12.2023'!$B$6:$E$819,3,FALSE),0),0)</f>
        <v>0</v>
      </c>
      <c r="K1745" s="28">
        <f>IF(F1745="I",IFERROR(VLOOKUP(C1745,'BG 12.2023'!$B$6:$E$819,4,FALSE),0),0)</f>
        <v>0</v>
      </c>
      <c r="M1745" s="15">
        <f>+VLOOKUP(C1745,'BG 2023'!$B:$E,1,0)</f>
        <v>62101201</v>
      </c>
      <c r="N1745" s="806">
        <f>+VLOOKUP(C1745,'BG 2023'!$B:$E,3,0)</f>
        <v>368842760801</v>
      </c>
      <c r="O1745" s="807">
        <f t="shared" si="164"/>
        <v>368842760801</v>
      </c>
      <c r="P1745" s="807"/>
      <c r="R1745" s="807"/>
    </row>
    <row r="1746" spans="1:18" s="87" customFormat="1">
      <c r="A1746" s="77" t="s">
        <v>1113</v>
      </c>
      <c r="B1746" s="77" t="s">
        <v>1151</v>
      </c>
      <c r="C1746" s="793">
        <v>6210120101</v>
      </c>
      <c r="D1746" s="77" t="s">
        <v>283</v>
      </c>
      <c r="E1746" s="794" t="s">
        <v>640</v>
      </c>
      <c r="F1746" s="794" t="str">
        <f t="shared" si="168"/>
        <v>I</v>
      </c>
      <c r="G1746" s="615">
        <f>+IF(F1746="i",IFERROR(VLOOKUP(C1746,'BG 2023'!B:E,3,FALSE),0),0)</f>
        <v>368842760801</v>
      </c>
      <c r="H1746" s="616">
        <f>+IF(F1746="i",IFERROR(VLOOKUP(C1746,'BG 2023'!B:E,4,FALSE),0),0)</f>
        <v>50640033.5</v>
      </c>
      <c r="I1746" s="616"/>
      <c r="J1746" s="28">
        <f>IF(F1746="I",IFERROR(VLOOKUP(C1746,'BG 12.2023'!$B$6:$E$819,3,FALSE),0),0)</f>
        <v>368842760801</v>
      </c>
      <c r="K1746" s="28">
        <f>IF(F1746="I",IFERROR(VLOOKUP(C1746,'BG 12.2023'!$B$6:$E$819,4,FALSE),0),0)</f>
        <v>50640033.5</v>
      </c>
      <c r="M1746" s="15">
        <f>+VLOOKUP(C1746,'BG 2023'!$B:$E,1,0)</f>
        <v>6210120101</v>
      </c>
      <c r="N1746" s="806">
        <f>+VLOOKUP(C1746,'BG 2023'!$B:$E,3,0)</f>
        <v>368842760801</v>
      </c>
      <c r="O1746" s="807">
        <f t="shared" si="164"/>
        <v>0</v>
      </c>
      <c r="P1746" s="807"/>
      <c r="R1746" s="807"/>
    </row>
    <row r="1747" spans="1:18" s="87" customFormat="1">
      <c r="A1747" s="77" t="s">
        <v>1113</v>
      </c>
      <c r="B1747" s="77"/>
      <c r="C1747" s="793">
        <v>624</v>
      </c>
      <c r="D1747" s="77" t="s">
        <v>1162</v>
      </c>
      <c r="E1747" s="794" t="s">
        <v>634</v>
      </c>
      <c r="F1747" s="794" t="str">
        <f t="shared" si="168"/>
        <v>NI</v>
      </c>
      <c r="G1747" s="615">
        <f>+IF(F1747="i",IFERROR(VLOOKUP(C1747,'BG 2023'!B:E,3,FALSE),0),0)</f>
        <v>0</v>
      </c>
      <c r="H1747" s="616">
        <f>+IF(F1747="i",IFERROR(VLOOKUP(C1747,'BG 2023'!B:E,4,FALSE),0),0)</f>
        <v>0</v>
      </c>
      <c r="I1747" s="616"/>
      <c r="J1747" s="28">
        <f>IF(F1747="I",IFERROR(VLOOKUP(C1747,'BG 12.2023'!$B$6:$E$819,3,FALSE),0),0)</f>
        <v>0</v>
      </c>
      <c r="K1747" s="28">
        <f>IF(F1747="I",IFERROR(VLOOKUP(C1747,'BG 12.2023'!$B$6:$E$819,4,FALSE),0),0)</f>
        <v>0</v>
      </c>
      <c r="M1747" s="15" t="e">
        <f>+VLOOKUP(C1747,'BG 2023'!$B:$E,1,0)</f>
        <v>#N/A</v>
      </c>
      <c r="N1747" s="806" t="e">
        <f>+VLOOKUP(C1747,'BG 2023'!$B:$E,3,0)</f>
        <v>#N/A</v>
      </c>
      <c r="O1747" s="807" t="e">
        <f t="shared" si="164"/>
        <v>#N/A</v>
      </c>
      <c r="P1747" s="807"/>
      <c r="R1747" s="807"/>
    </row>
    <row r="1748" spans="1:18" s="87" customFormat="1">
      <c r="A1748" s="77" t="s">
        <v>1113</v>
      </c>
      <c r="B1748" s="77"/>
      <c r="C1748" s="793">
        <v>62401</v>
      </c>
      <c r="D1748" s="77" t="s">
        <v>1162</v>
      </c>
      <c r="E1748" s="794" t="s">
        <v>634</v>
      </c>
      <c r="F1748" s="794" t="str">
        <f t="shared" si="168"/>
        <v>NI</v>
      </c>
      <c r="G1748" s="615">
        <f>+IF(F1748="i",IFERROR(VLOOKUP(C1748,'BG 2023'!B:E,3,FALSE),0),0)</f>
        <v>0</v>
      </c>
      <c r="H1748" s="616">
        <f>+IF(F1748="i",IFERROR(VLOOKUP(C1748,'BG 2023'!B:E,4,FALSE),0),0)</f>
        <v>0</v>
      </c>
      <c r="I1748" s="616"/>
      <c r="J1748" s="28">
        <f>IF(F1748="I",IFERROR(VLOOKUP(C1748,'BG 12.2023'!$B$6:$E$819,3,FALSE),0),0)</f>
        <v>0</v>
      </c>
      <c r="K1748" s="28">
        <f>IF(F1748="I",IFERROR(VLOOKUP(C1748,'BG 12.2023'!$B$6:$E$819,4,FALSE),0),0)</f>
        <v>0</v>
      </c>
      <c r="M1748" s="15" t="e">
        <f>+VLOOKUP(C1748,'BG 2023'!$B:$E,1,0)</f>
        <v>#N/A</v>
      </c>
      <c r="N1748" s="806" t="e">
        <f>+VLOOKUP(C1748,'BG 2023'!$B:$E,3,0)</f>
        <v>#N/A</v>
      </c>
      <c r="O1748" s="807" t="e">
        <f t="shared" si="164"/>
        <v>#N/A</v>
      </c>
      <c r="P1748" s="807"/>
      <c r="R1748" s="807"/>
    </row>
    <row r="1749" spans="1:18" s="87" customFormat="1">
      <c r="A1749" s="77" t="s">
        <v>1113</v>
      </c>
      <c r="B1749" s="77"/>
      <c r="C1749" s="793">
        <v>624011</v>
      </c>
      <c r="D1749" s="77" t="s">
        <v>1162</v>
      </c>
      <c r="E1749" s="794" t="s">
        <v>634</v>
      </c>
      <c r="F1749" s="794" t="str">
        <f t="shared" si="168"/>
        <v>NI</v>
      </c>
      <c r="G1749" s="615">
        <f>+IF(F1749="i",IFERROR(VLOOKUP(C1749,'BG 2023'!B:E,3,FALSE),0),0)</f>
        <v>0</v>
      </c>
      <c r="H1749" s="616">
        <f>+IF(F1749="i",IFERROR(VLOOKUP(C1749,'BG 2023'!B:E,4,FALSE),0),0)</f>
        <v>0</v>
      </c>
      <c r="I1749" s="616"/>
      <c r="J1749" s="28">
        <f>IF(F1749="I",IFERROR(VLOOKUP(C1749,'BG 12.2023'!$B$6:$E$819,3,FALSE),0),0)</f>
        <v>0</v>
      </c>
      <c r="K1749" s="28">
        <f>IF(F1749="I",IFERROR(VLOOKUP(C1749,'BG 12.2023'!$B$6:$E$819,4,FALSE),0),0)</f>
        <v>0</v>
      </c>
      <c r="M1749" s="15" t="e">
        <f>+VLOOKUP(C1749,'BG 2023'!$B:$E,1,0)</f>
        <v>#N/A</v>
      </c>
      <c r="N1749" s="806" t="e">
        <f>+VLOOKUP(C1749,'BG 2023'!$B:$E,3,0)</f>
        <v>#N/A</v>
      </c>
      <c r="O1749" s="807" t="e">
        <f t="shared" si="164"/>
        <v>#N/A</v>
      </c>
      <c r="P1749" s="807"/>
      <c r="R1749" s="807"/>
    </row>
    <row r="1750" spans="1:18" s="87" customFormat="1">
      <c r="A1750" s="77" t="s">
        <v>1113</v>
      </c>
      <c r="B1750" s="77"/>
      <c r="C1750" s="793">
        <v>6240110</v>
      </c>
      <c r="D1750" s="77" t="s">
        <v>1162</v>
      </c>
      <c r="E1750" s="794" t="s">
        <v>634</v>
      </c>
      <c r="F1750" s="794" t="str">
        <f t="shared" si="168"/>
        <v>NI</v>
      </c>
      <c r="G1750" s="615">
        <f>+IF(F1750="i",IFERROR(VLOOKUP(C1750,'BG 2023'!B:E,3,FALSE),0),0)</f>
        <v>0</v>
      </c>
      <c r="H1750" s="616">
        <f>+IF(F1750="i",IFERROR(VLOOKUP(C1750,'BG 2023'!B:E,4,FALSE),0),0)</f>
        <v>0</v>
      </c>
      <c r="I1750" s="616"/>
      <c r="J1750" s="28">
        <f>IF(F1750="I",IFERROR(VLOOKUP(C1750,'BG 12.2023'!$B$6:$E$819,3,FALSE),0),0)</f>
        <v>0</v>
      </c>
      <c r="K1750" s="28">
        <f>IF(F1750="I",IFERROR(VLOOKUP(C1750,'BG 12.2023'!$B$6:$E$819,4,FALSE),0),0)</f>
        <v>0</v>
      </c>
      <c r="M1750" s="15" t="e">
        <f>+VLOOKUP(C1750,'BG 2023'!$B:$E,1,0)</f>
        <v>#N/A</v>
      </c>
      <c r="N1750" s="806" t="e">
        <f>+VLOOKUP(C1750,'BG 2023'!$B:$E,3,0)</f>
        <v>#N/A</v>
      </c>
      <c r="O1750" s="807" t="e">
        <f t="shared" si="164"/>
        <v>#N/A</v>
      </c>
      <c r="P1750" s="807"/>
      <c r="R1750" s="807"/>
    </row>
    <row r="1751" spans="1:18" s="87" customFormat="1">
      <c r="A1751" s="77" t="s">
        <v>1113</v>
      </c>
      <c r="B1751" s="77"/>
      <c r="C1751" s="793">
        <v>62401101</v>
      </c>
      <c r="D1751" s="77" t="s">
        <v>1162</v>
      </c>
      <c r="E1751" s="794" t="s">
        <v>634</v>
      </c>
      <c r="F1751" s="794" t="str">
        <f t="shared" si="168"/>
        <v>NI</v>
      </c>
      <c r="G1751" s="615">
        <f>+IF(F1751="i",IFERROR(VLOOKUP(C1751,'BG 2023'!B:E,3,FALSE),0),0)</f>
        <v>0</v>
      </c>
      <c r="H1751" s="616">
        <f>+IF(F1751="i",IFERROR(VLOOKUP(C1751,'BG 2023'!B:E,4,FALSE),0),0)</f>
        <v>0</v>
      </c>
      <c r="I1751" s="616"/>
      <c r="J1751" s="28">
        <f>IF(F1751="I",IFERROR(VLOOKUP(C1751,'BG 12.2023'!$B$6:$E$819,3,FALSE),0),0)</f>
        <v>0</v>
      </c>
      <c r="K1751" s="28">
        <f>IF(F1751="I",IFERROR(VLOOKUP(C1751,'BG 12.2023'!$B$6:$E$819,4,FALSE),0),0)</f>
        <v>0</v>
      </c>
      <c r="M1751" s="15" t="e">
        <f>+VLOOKUP(C1751,'BG 2023'!$B:$E,1,0)</f>
        <v>#N/A</v>
      </c>
      <c r="N1751" s="806" t="e">
        <f>+VLOOKUP(C1751,'BG 2023'!$B:$E,3,0)</f>
        <v>#N/A</v>
      </c>
      <c r="O1751" s="807" t="e">
        <f t="shared" si="164"/>
        <v>#N/A</v>
      </c>
      <c r="P1751" s="807"/>
      <c r="R1751" s="807"/>
    </row>
    <row r="1752" spans="1:18" s="87" customFormat="1">
      <c r="A1752" s="77" t="s">
        <v>1113</v>
      </c>
      <c r="B1752" s="77" t="s">
        <v>1151</v>
      </c>
      <c r="C1752" s="793">
        <v>6240110101</v>
      </c>
      <c r="D1752" s="77" t="s">
        <v>1162</v>
      </c>
      <c r="E1752" s="794" t="s">
        <v>634</v>
      </c>
      <c r="F1752" s="794" t="str">
        <f t="shared" si="168"/>
        <v>I</v>
      </c>
      <c r="G1752" s="615">
        <f>+IF(F1752="i",IFERROR(VLOOKUP(C1752,'BG 2023'!B:E,3,FALSE),0),0)</f>
        <v>0</v>
      </c>
      <c r="H1752" s="616">
        <f>+IF(F1752="i",IFERROR(VLOOKUP(C1752,'BG 2023'!B:E,4,FALSE),0),0)</f>
        <v>0</v>
      </c>
      <c r="I1752" s="616"/>
      <c r="J1752" s="28">
        <f>IF(F1752="I",IFERROR(VLOOKUP(C1752,'BG 12.2023'!$B$6:$E$819,3,FALSE),0),0)</f>
        <v>0</v>
      </c>
      <c r="K1752" s="28">
        <f>IF(F1752="I",IFERROR(VLOOKUP(C1752,'BG 12.2023'!$B$6:$E$819,4,FALSE),0),0)</f>
        <v>0</v>
      </c>
      <c r="M1752" s="15" t="e">
        <f>+VLOOKUP(C1752,'BG 2023'!$B:$E,1,0)</f>
        <v>#N/A</v>
      </c>
      <c r="N1752" s="806" t="e">
        <f>+VLOOKUP(C1752,'BG 2023'!$B:$E,3,0)</f>
        <v>#N/A</v>
      </c>
      <c r="O1752" s="807" t="e">
        <f t="shared" si="164"/>
        <v>#N/A</v>
      </c>
      <c r="P1752" s="807"/>
      <c r="R1752" s="807"/>
    </row>
    <row r="1753" spans="1:18" s="87" customFormat="1">
      <c r="A1753" s="77" t="s">
        <v>1113</v>
      </c>
      <c r="B1753" s="77"/>
      <c r="C1753" s="1350">
        <v>625</v>
      </c>
      <c r="D1753" s="1349" t="s">
        <v>2958</v>
      </c>
      <c r="E1753" s="794" t="s">
        <v>634</v>
      </c>
      <c r="F1753" s="794" t="str">
        <f t="shared" ref="F1753:F1760" si="169">+IF(LEN(C1753)&gt;8,"I","NI")</f>
        <v>NI</v>
      </c>
      <c r="G1753" s="615">
        <f>+IF(F1753="i",IFERROR(VLOOKUP(C1753,'BG 2023'!B:E,3,FALSE),0),0)</f>
        <v>0</v>
      </c>
      <c r="H1753" s="616">
        <f>+IF(F1753="i",IFERROR(VLOOKUP(C1753,'BG 2023'!B:E,4,FALSE),0),0)</f>
        <v>0</v>
      </c>
      <c r="I1753" s="616"/>
      <c r="J1753" s="28">
        <f>IF(F1753="I",IFERROR(VLOOKUP(C1753,'BG 12.2023'!$B$6:$E$819,3,FALSE),0),0)</f>
        <v>0</v>
      </c>
      <c r="K1753" s="28">
        <f>IF(F1753="I",IFERROR(VLOOKUP(C1753,'BG 12.2023'!$B$6:$E$819,4,FALSE),0),0)</f>
        <v>0</v>
      </c>
      <c r="M1753" s="15" t="e">
        <f>+VLOOKUP(C1753,'BG 2023'!$B:$E,1,0)</f>
        <v>#N/A</v>
      </c>
      <c r="N1753" s="806" t="e">
        <f>+VLOOKUP(C1753,'BG 2023'!$B:$E,3,0)</f>
        <v>#N/A</v>
      </c>
      <c r="O1753" s="807" t="e">
        <f t="shared" ref="O1753:O1760" si="170">+N1753-G1753</f>
        <v>#N/A</v>
      </c>
      <c r="P1753" s="807"/>
      <c r="R1753" s="807"/>
    </row>
    <row r="1754" spans="1:18" s="87" customFormat="1">
      <c r="A1754" s="77" t="s">
        <v>1113</v>
      </c>
      <c r="B1754" s="77"/>
      <c r="C1754" s="1350">
        <v>62501</v>
      </c>
      <c r="D1754" s="1349" t="s">
        <v>2958</v>
      </c>
      <c r="E1754" s="794" t="s">
        <v>634</v>
      </c>
      <c r="F1754" s="794" t="str">
        <f t="shared" si="169"/>
        <v>NI</v>
      </c>
      <c r="G1754" s="615">
        <f>+IF(F1754="i",IFERROR(VLOOKUP(C1754,'BG 2023'!B:E,3,FALSE),0),0)</f>
        <v>0</v>
      </c>
      <c r="H1754" s="616">
        <f>+IF(F1754="i",IFERROR(VLOOKUP(C1754,'BG 2023'!B:E,4,FALSE),0),0)</f>
        <v>0</v>
      </c>
      <c r="I1754" s="616"/>
      <c r="J1754" s="28">
        <f>IF(F1754="I",IFERROR(VLOOKUP(C1754,'BG 12.2023'!$B$6:$E$819,3,FALSE),0),0)</f>
        <v>0</v>
      </c>
      <c r="K1754" s="28">
        <f>IF(F1754="I",IFERROR(VLOOKUP(C1754,'BG 12.2023'!$B$6:$E$819,4,FALSE),0),0)</f>
        <v>0</v>
      </c>
      <c r="M1754" s="15" t="e">
        <f>+VLOOKUP(C1754,'BG 2023'!$B:$E,1,0)</f>
        <v>#N/A</v>
      </c>
      <c r="N1754" s="806" t="e">
        <f>+VLOOKUP(C1754,'BG 2023'!$B:$E,3,0)</f>
        <v>#N/A</v>
      </c>
      <c r="O1754" s="807" t="e">
        <f t="shared" si="170"/>
        <v>#N/A</v>
      </c>
      <c r="P1754" s="807"/>
      <c r="R1754" s="807"/>
    </row>
    <row r="1755" spans="1:18" s="87" customFormat="1">
      <c r="A1755" s="77" t="s">
        <v>1113</v>
      </c>
      <c r="B1755" s="77"/>
      <c r="C1755" s="1350">
        <v>625011</v>
      </c>
      <c r="D1755" s="1349" t="s">
        <v>2958</v>
      </c>
      <c r="E1755" s="794" t="s">
        <v>634</v>
      </c>
      <c r="F1755" s="794" t="str">
        <f t="shared" si="169"/>
        <v>NI</v>
      </c>
      <c r="G1755" s="615">
        <f>+IF(F1755="i",IFERROR(VLOOKUP(C1755,'BG 2023'!B:E,3,FALSE),0),0)</f>
        <v>0</v>
      </c>
      <c r="H1755" s="616">
        <f>+IF(F1755="i",IFERROR(VLOOKUP(C1755,'BG 2023'!B:E,4,FALSE),0),0)</f>
        <v>0</v>
      </c>
      <c r="I1755" s="616"/>
      <c r="J1755" s="28">
        <f>IF(F1755="I",IFERROR(VLOOKUP(C1755,'BG 12.2023'!$B$6:$E$819,3,FALSE),0),0)</f>
        <v>0</v>
      </c>
      <c r="K1755" s="28">
        <f>IF(F1755="I",IFERROR(VLOOKUP(C1755,'BG 12.2023'!$B$6:$E$819,4,FALSE),0),0)</f>
        <v>0</v>
      </c>
      <c r="M1755" s="15" t="e">
        <f>+VLOOKUP(C1755,'BG 2023'!$B:$E,1,0)</f>
        <v>#N/A</v>
      </c>
      <c r="N1755" s="806" t="e">
        <f>+VLOOKUP(C1755,'BG 2023'!$B:$E,3,0)</f>
        <v>#N/A</v>
      </c>
      <c r="O1755" s="807" t="e">
        <f t="shared" si="170"/>
        <v>#N/A</v>
      </c>
      <c r="P1755" s="807"/>
      <c r="R1755" s="807"/>
    </row>
    <row r="1756" spans="1:18" s="87" customFormat="1">
      <c r="A1756" s="77" t="s">
        <v>1113</v>
      </c>
      <c r="B1756" s="77"/>
      <c r="C1756" s="1350">
        <v>6250110</v>
      </c>
      <c r="D1756" s="1349" t="s">
        <v>2958</v>
      </c>
      <c r="E1756" s="794" t="s">
        <v>634</v>
      </c>
      <c r="F1756" s="794" t="str">
        <f t="shared" si="169"/>
        <v>NI</v>
      </c>
      <c r="G1756" s="615">
        <f>+IF(F1756="i",IFERROR(VLOOKUP(C1756,'BG 2023'!B:E,3,FALSE),0),0)</f>
        <v>0</v>
      </c>
      <c r="H1756" s="616">
        <f>+IF(F1756="i",IFERROR(VLOOKUP(C1756,'BG 2023'!B:E,4,FALSE),0),0)</f>
        <v>0</v>
      </c>
      <c r="I1756" s="616"/>
      <c r="J1756" s="28">
        <f>IF(F1756="I",IFERROR(VLOOKUP(C1756,'BG 12.2023'!$B$6:$E$819,3,FALSE),0),0)</f>
        <v>0</v>
      </c>
      <c r="K1756" s="28">
        <f>IF(F1756="I",IFERROR(VLOOKUP(C1756,'BG 12.2023'!$B$6:$E$819,4,FALSE),0),0)</f>
        <v>0</v>
      </c>
      <c r="M1756" s="15" t="e">
        <f>+VLOOKUP(C1756,'BG 2023'!$B:$E,1,0)</f>
        <v>#N/A</v>
      </c>
      <c r="N1756" s="806" t="e">
        <f>+VLOOKUP(C1756,'BG 2023'!$B:$E,3,0)</f>
        <v>#N/A</v>
      </c>
      <c r="O1756" s="807" t="e">
        <f t="shared" si="170"/>
        <v>#N/A</v>
      </c>
      <c r="P1756" s="807"/>
      <c r="R1756" s="807"/>
    </row>
    <row r="1757" spans="1:18" s="87" customFormat="1">
      <c r="A1757" s="77" t="s">
        <v>1113</v>
      </c>
      <c r="B1757" s="77"/>
      <c r="C1757" s="1350">
        <v>62501101</v>
      </c>
      <c r="D1757" s="1349" t="s">
        <v>2959</v>
      </c>
      <c r="E1757" s="794" t="s">
        <v>634</v>
      </c>
      <c r="F1757" s="794" t="str">
        <f t="shared" ref="F1757:F1758" si="171">+IF(LEN(C1757)&gt;8,"I","NI")</f>
        <v>NI</v>
      </c>
      <c r="G1757" s="615">
        <f>+IF(F1757="i",IFERROR(VLOOKUP(C1757,'BG 2023'!B:E,3,FALSE),0),0)</f>
        <v>0</v>
      </c>
      <c r="H1757" s="616">
        <f>+IF(F1757="i",IFERROR(VLOOKUP(C1757,'BG 2023'!B:E,4,FALSE),0),0)</f>
        <v>0</v>
      </c>
      <c r="I1757" s="616"/>
      <c r="J1757" s="28">
        <f>IF(F1757="I",IFERROR(VLOOKUP(C1757,'BG 12.2023'!$B$6:$E$819,3,FALSE),0),0)</f>
        <v>0</v>
      </c>
      <c r="K1757" s="28">
        <f>IF(F1757="I",IFERROR(VLOOKUP(C1757,'BG 12.2023'!$B$6:$E$819,4,FALSE),0),0)</f>
        <v>0</v>
      </c>
      <c r="M1757" s="15" t="e">
        <f>+VLOOKUP(C1757,'BG 2023'!$B:$E,1,0)</f>
        <v>#N/A</v>
      </c>
      <c r="N1757" s="806" t="e">
        <f>+VLOOKUP(C1757,'BG 2023'!$B:$E,3,0)</f>
        <v>#N/A</v>
      </c>
      <c r="O1757" s="807" t="e">
        <f t="shared" ref="O1757:O1758" si="172">+N1757-G1757</f>
        <v>#N/A</v>
      </c>
      <c r="P1757" s="807"/>
      <c r="R1757" s="807"/>
    </row>
    <row r="1758" spans="1:18" s="87" customFormat="1">
      <c r="A1758" s="77" t="s">
        <v>1113</v>
      </c>
      <c r="B1758" s="77" t="s">
        <v>1151</v>
      </c>
      <c r="C1758" s="1350">
        <v>6250110101</v>
      </c>
      <c r="D1758" s="1349" t="s">
        <v>2960</v>
      </c>
      <c r="E1758" s="794" t="s">
        <v>634</v>
      </c>
      <c r="F1758" s="794" t="str">
        <f t="shared" si="171"/>
        <v>I</v>
      </c>
      <c r="G1758" s="615">
        <f>+IF(F1758="i",IFERROR(VLOOKUP(C1758,'BG 2023'!B:E,3,FALSE),0),0)</f>
        <v>0</v>
      </c>
      <c r="H1758" s="616">
        <f>+IF(F1758="i",IFERROR(VLOOKUP(C1758,'BG 2023'!B:E,4,FALSE),0),0)</f>
        <v>0</v>
      </c>
      <c r="I1758" s="616"/>
      <c r="J1758" s="28">
        <f>IF(F1758="I",IFERROR(VLOOKUP(C1758,'BG 12.2023'!$B$6:$E$819,3,FALSE),0),0)</f>
        <v>0</v>
      </c>
      <c r="K1758" s="28">
        <f>IF(F1758="I",IFERROR(VLOOKUP(C1758,'BG 12.2023'!$B$6:$E$819,4,FALSE),0),0)</f>
        <v>0</v>
      </c>
      <c r="M1758" s="15" t="e">
        <f>+VLOOKUP(C1758,'BG 2023'!$B:$E,1,0)</f>
        <v>#N/A</v>
      </c>
      <c r="N1758" s="806" t="e">
        <f>+VLOOKUP(C1758,'BG 2023'!$B:$E,3,0)</f>
        <v>#N/A</v>
      </c>
      <c r="O1758" s="807" t="e">
        <f t="shared" si="172"/>
        <v>#N/A</v>
      </c>
      <c r="P1758" s="807"/>
      <c r="R1758" s="807"/>
    </row>
    <row r="1759" spans="1:18" s="87" customFormat="1">
      <c r="A1759" s="77" t="s">
        <v>1113</v>
      </c>
      <c r="B1759" s="77"/>
      <c r="C1759" s="1350">
        <v>62501102</v>
      </c>
      <c r="D1759" s="1349" t="s">
        <v>2962</v>
      </c>
      <c r="E1759" s="794" t="s">
        <v>640</v>
      </c>
      <c r="F1759" s="794" t="str">
        <f t="shared" si="169"/>
        <v>NI</v>
      </c>
      <c r="G1759" s="615">
        <f>+IF(F1759="i",IFERROR(VLOOKUP(C1759,'BG 2023'!B:E,3,FALSE),0),0)</f>
        <v>0</v>
      </c>
      <c r="H1759" s="616">
        <f>+IF(F1759="i",IFERROR(VLOOKUP(C1759,'BG 2023'!B:E,4,FALSE),0),0)</f>
        <v>0</v>
      </c>
      <c r="I1759" s="616"/>
      <c r="J1759" s="28">
        <f>IF(F1759="I",IFERROR(VLOOKUP(C1759,'BG 12.2023'!$B$6:$E$819,3,FALSE),0),0)</f>
        <v>0</v>
      </c>
      <c r="K1759" s="28">
        <f>IF(F1759="I",IFERROR(VLOOKUP(C1759,'BG 12.2023'!$B$6:$E$819,4,FALSE),0),0)</f>
        <v>0</v>
      </c>
      <c r="M1759" s="15" t="e">
        <f>+VLOOKUP(C1759,'BG 2023'!$B:$E,1,0)</f>
        <v>#N/A</v>
      </c>
      <c r="N1759" s="806" t="e">
        <f>+VLOOKUP(C1759,'BG 2023'!$B:$E,3,0)</f>
        <v>#N/A</v>
      </c>
      <c r="O1759" s="807" t="e">
        <f t="shared" si="170"/>
        <v>#N/A</v>
      </c>
      <c r="P1759" s="807"/>
      <c r="R1759" s="807"/>
    </row>
    <row r="1760" spans="1:18" s="87" customFormat="1">
      <c r="A1760" s="77" t="s">
        <v>1113</v>
      </c>
      <c r="B1760" s="77" t="s">
        <v>1151</v>
      </c>
      <c r="C1760" s="1350">
        <v>6250110202</v>
      </c>
      <c r="D1760" s="1349" t="s">
        <v>2961</v>
      </c>
      <c r="E1760" s="794" t="s">
        <v>640</v>
      </c>
      <c r="F1760" s="794" t="str">
        <f t="shared" si="169"/>
        <v>I</v>
      </c>
      <c r="G1760" s="615">
        <f>+IF(F1760="i",IFERROR(VLOOKUP(C1760,'BG 2023'!B:E,3,FALSE),0),0)</f>
        <v>0</v>
      </c>
      <c r="H1760" s="616">
        <f>+IF(F1760="i",IFERROR(VLOOKUP(C1760,'BG 2023'!B:E,4,FALSE),0),0)</f>
        <v>0</v>
      </c>
      <c r="I1760" s="616"/>
      <c r="J1760" s="28">
        <f>IF(F1760="I",IFERROR(VLOOKUP(C1760,'BG 12.2023'!$B$6:$E$819,3,FALSE),0),0)</f>
        <v>0</v>
      </c>
      <c r="K1760" s="28">
        <f>IF(F1760="I",IFERROR(VLOOKUP(C1760,'BG 12.2023'!$B$6:$E$819,4,FALSE),0),0)</f>
        <v>0</v>
      </c>
      <c r="M1760" s="15" t="e">
        <f>+VLOOKUP(C1760,'BG 2023'!$B:$E,1,0)</f>
        <v>#N/A</v>
      </c>
      <c r="N1760" s="806" t="e">
        <f>+VLOOKUP(C1760,'BG 2023'!$B:$E,3,0)</f>
        <v>#N/A</v>
      </c>
      <c r="O1760" s="807" t="e">
        <f t="shared" si="170"/>
        <v>#N/A</v>
      </c>
      <c r="P1760" s="807"/>
      <c r="R1760" s="807"/>
    </row>
    <row r="1761" spans="1:18">
      <c r="A1761" s="916"/>
      <c r="B1761" s="916"/>
      <c r="C1761" s="917"/>
      <c r="D1761" s="916"/>
      <c r="E1761" s="357"/>
      <c r="F1761" s="357"/>
      <c r="G1761" s="133"/>
      <c r="H1761" s="132"/>
      <c r="I1761" s="132"/>
      <c r="J1761" s="28">
        <f>IF(F1761="I",IFERROR(VLOOKUP(C1761,'BG 12.2023'!$B$6:$E$819,3,FALSE),0),0)</f>
        <v>0</v>
      </c>
      <c r="K1761" s="28">
        <f>IF(F1761="I",IFERROR(VLOOKUP(C1761,'BG 12.2023'!$B$6:$E$819,4,FALSE),0),0)</f>
        <v>0</v>
      </c>
      <c r="M1761" s="15" t="e">
        <f>+VLOOKUP(C1761,'BG 2023'!$B:$E,1,0)</f>
        <v>#N/A</v>
      </c>
      <c r="N1761" s="806" t="e">
        <f>+VLOOKUP(C1761,'BG 2023'!$B:$E,3,0)</f>
        <v>#N/A</v>
      </c>
      <c r="O1761" s="807" t="e">
        <f t="shared" si="164"/>
        <v>#N/A</v>
      </c>
      <c r="P1761" s="807"/>
      <c r="R1761" s="807"/>
    </row>
    <row r="1762" spans="1:18">
      <c r="A1762" s="354" t="s">
        <v>1163</v>
      </c>
      <c r="B1762" s="354"/>
      <c r="C1762" s="355">
        <v>7</v>
      </c>
      <c r="D1762" s="354" t="s">
        <v>1164</v>
      </c>
      <c r="E1762" s="356" t="s">
        <v>634</v>
      </c>
      <c r="F1762" s="356" t="str">
        <f t="shared" ref="F1762:F1768" si="173">+IF(LEN(C1762)&gt;8,"I","NI")</f>
        <v>NI</v>
      </c>
      <c r="G1762" s="28">
        <f>+IF(F1762="i",IFERROR(VLOOKUP(C1762,'BG 2023'!B:E,3,FALSE),0),0)</f>
        <v>0</v>
      </c>
      <c r="H1762" s="21">
        <f>+IF(F1762="i",IFERROR(VLOOKUP(C1762,'BG 2023'!B:E,4,FALSE),0),0)</f>
        <v>0</v>
      </c>
      <c r="I1762" s="21"/>
      <c r="J1762" s="28">
        <f>IF(F1762="I",IFERROR(VLOOKUP(C1762,'BG 12.2023'!$B$6:$E$819,3,FALSE),0),0)</f>
        <v>0</v>
      </c>
      <c r="K1762" s="28">
        <f>IF(F1762="I",IFERROR(VLOOKUP(C1762,'BG 12.2023'!$B$6:$E$819,4,FALSE),0),0)</f>
        <v>0</v>
      </c>
      <c r="M1762" s="15" t="e">
        <f>+VLOOKUP(C1762,'BG 2023'!$B:$E,1,0)</f>
        <v>#N/A</v>
      </c>
      <c r="N1762" s="806" t="e">
        <f>+VLOOKUP(C1762,'BG 2023'!$B:$E,3,0)</f>
        <v>#N/A</v>
      </c>
      <c r="O1762" s="807" t="e">
        <f t="shared" si="164"/>
        <v>#N/A</v>
      </c>
      <c r="P1762" s="807"/>
      <c r="R1762" s="807"/>
    </row>
    <row r="1763" spans="1:18">
      <c r="A1763" s="354" t="s">
        <v>1163</v>
      </c>
      <c r="B1763" s="354"/>
      <c r="C1763" s="355">
        <v>71</v>
      </c>
      <c r="D1763" s="354" t="s">
        <v>1165</v>
      </c>
      <c r="E1763" s="356" t="s">
        <v>634</v>
      </c>
      <c r="F1763" s="356" t="str">
        <f t="shared" si="173"/>
        <v>NI</v>
      </c>
      <c r="G1763" s="28">
        <f>+IF(F1763="i",IFERROR(VLOOKUP(C1763,'BG 2023'!B:E,3,FALSE),0),0)</f>
        <v>0</v>
      </c>
      <c r="H1763" s="21">
        <f>+IF(F1763="i",IFERROR(VLOOKUP(C1763,'BG 2023'!B:E,4,FALSE),0),0)</f>
        <v>0</v>
      </c>
      <c r="I1763" s="21"/>
      <c r="J1763" s="28">
        <f>IF(F1763="I",IFERROR(VLOOKUP(C1763,'BG 12.2023'!$B$6:$E$819,3,FALSE),0),0)</f>
        <v>0</v>
      </c>
      <c r="K1763" s="28">
        <f>IF(F1763="I",IFERROR(VLOOKUP(C1763,'BG 12.2023'!$B$6:$E$819,4,FALSE),0),0)</f>
        <v>0</v>
      </c>
      <c r="M1763" s="15" t="e">
        <f>+VLOOKUP(C1763,'BG 2023'!$B:$E,1,0)</f>
        <v>#N/A</v>
      </c>
      <c r="N1763" s="806" t="e">
        <f>+VLOOKUP(C1763,'BG 2023'!$B:$E,3,0)</f>
        <v>#N/A</v>
      </c>
      <c r="O1763" s="807" t="e">
        <f t="shared" si="164"/>
        <v>#N/A</v>
      </c>
      <c r="P1763" s="807"/>
      <c r="R1763" s="807"/>
    </row>
    <row r="1764" spans="1:18">
      <c r="A1764" s="354" t="s">
        <v>1163</v>
      </c>
      <c r="B1764" s="354"/>
      <c r="C1764" s="355">
        <v>711</v>
      </c>
      <c r="D1764" s="354" t="s">
        <v>1166</v>
      </c>
      <c r="E1764" s="356" t="s">
        <v>634</v>
      </c>
      <c r="F1764" s="356" t="str">
        <f t="shared" si="173"/>
        <v>NI</v>
      </c>
      <c r="G1764" s="28">
        <f>+IF(F1764="i",IFERROR(VLOOKUP(C1764,'BG 2023'!B:E,3,FALSE),0),0)</f>
        <v>0</v>
      </c>
      <c r="H1764" s="21">
        <f>+IF(F1764="i",IFERROR(VLOOKUP(C1764,'BG 2023'!B:E,4,FALSE),0),0)</f>
        <v>0</v>
      </c>
      <c r="I1764" s="21"/>
      <c r="J1764" s="28">
        <f>IF(F1764="I",IFERROR(VLOOKUP(C1764,'BG 12.2023'!$B$6:$E$819,3,FALSE),0),0)</f>
        <v>0</v>
      </c>
      <c r="K1764" s="28">
        <f>IF(F1764="I",IFERROR(VLOOKUP(C1764,'BG 12.2023'!$B$6:$E$819,4,FALSE),0),0)</f>
        <v>0</v>
      </c>
      <c r="M1764" s="15" t="e">
        <f>+VLOOKUP(C1764,'BG 2023'!$B:$E,1,0)</f>
        <v>#N/A</v>
      </c>
      <c r="N1764" s="806" t="e">
        <f>+VLOOKUP(C1764,'BG 2023'!$B:$E,3,0)</f>
        <v>#N/A</v>
      </c>
      <c r="O1764" s="807" t="e">
        <f t="shared" si="164"/>
        <v>#N/A</v>
      </c>
      <c r="P1764" s="807"/>
      <c r="R1764" s="807"/>
    </row>
    <row r="1765" spans="1:18">
      <c r="A1765" s="354" t="s">
        <v>1163</v>
      </c>
      <c r="B1765" s="354"/>
      <c r="C1765" s="355">
        <v>712</v>
      </c>
      <c r="D1765" s="354" t="s">
        <v>1167</v>
      </c>
      <c r="E1765" s="356" t="s">
        <v>634</v>
      </c>
      <c r="F1765" s="356" t="str">
        <f t="shared" si="173"/>
        <v>NI</v>
      </c>
      <c r="G1765" s="28">
        <f>+IF(F1765="i",IFERROR(VLOOKUP(C1765,'BG 2023'!B:E,3,FALSE),0),0)</f>
        <v>0</v>
      </c>
      <c r="H1765" s="21">
        <f>+IF(F1765="i",IFERROR(VLOOKUP(C1765,'BG 2023'!B:E,4,FALSE),0),0)</f>
        <v>0</v>
      </c>
      <c r="I1765" s="21"/>
      <c r="J1765" s="28">
        <f>IF(F1765="I",IFERROR(VLOOKUP(C1765,'BG 12.2023'!$B$6:$E$819,3,FALSE),0),0)</f>
        <v>0</v>
      </c>
      <c r="K1765" s="28">
        <f>IF(F1765="I",IFERROR(VLOOKUP(C1765,'BG 12.2023'!$B$6:$E$819,4,FALSE),0),0)</f>
        <v>0</v>
      </c>
      <c r="M1765" s="15" t="e">
        <f>+VLOOKUP(C1765,'BG 2023'!$B:$E,1,0)</f>
        <v>#N/A</v>
      </c>
      <c r="N1765" s="806" t="e">
        <f>+VLOOKUP(C1765,'BG 2023'!$B:$E,3,0)</f>
        <v>#N/A</v>
      </c>
      <c r="O1765" s="807" t="e">
        <f t="shared" ref="O1765:O1768" si="174">+N1765-G1765</f>
        <v>#N/A</v>
      </c>
      <c r="P1765" s="807"/>
      <c r="R1765" s="807"/>
    </row>
    <row r="1766" spans="1:18">
      <c r="A1766" s="354" t="s">
        <v>1163</v>
      </c>
      <c r="B1766" s="354"/>
      <c r="C1766" s="355">
        <v>72</v>
      </c>
      <c r="D1766" s="354" t="s">
        <v>1168</v>
      </c>
      <c r="E1766" s="356" t="s">
        <v>634</v>
      </c>
      <c r="F1766" s="356" t="str">
        <f t="shared" si="173"/>
        <v>NI</v>
      </c>
      <c r="G1766" s="28">
        <f>+IF(F1766="i",IFERROR(VLOOKUP(C1766,'BG 2023'!B:E,3,FALSE),0),0)</f>
        <v>0</v>
      </c>
      <c r="H1766" s="21">
        <f>+IF(F1766="i",IFERROR(VLOOKUP(C1766,'BG 2023'!B:E,4,FALSE),0),0)</f>
        <v>0</v>
      </c>
      <c r="I1766" s="21"/>
      <c r="J1766" s="28">
        <f>IF(F1766="I",IFERROR(VLOOKUP(C1766,'BG 12.2023'!$B$6:$E$819,3,FALSE),0),0)</f>
        <v>0</v>
      </c>
      <c r="K1766" s="28">
        <f>IF(F1766="I",IFERROR(VLOOKUP(C1766,'BG 12.2023'!$B$6:$E$819,4,FALSE),0),0)</f>
        <v>0</v>
      </c>
      <c r="M1766" s="15" t="e">
        <f>+VLOOKUP(C1766,'BG 2023'!$B:$E,1,0)</f>
        <v>#N/A</v>
      </c>
      <c r="N1766" s="806" t="e">
        <f>+VLOOKUP(C1766,'BG 2023'!$B:$E,3,0)</f>
        <v>#N/A</v>
      </c>
      <c r="O1766" s="807" t="e">
        <f t="shared" si="174"/>
        <v>#N/A</v>
      </c>
      <c r="P1766" s="807"/>
      <c r="R1766" s="807"/>
    </row>
    <row r="1767" spans="1:18">
      <c r="A1767" s="354" t="s">
        <v>1163</v>
      </c>
      <c r="B1767" s="354"/>
      <c r="C1767" s="355">
        <v>721</v>
      </c>
      <c r="D1767" s="354" t="s">
        <v>1166</v>
      </c>
      <c r="E1767" s="356" t="s">
        <v>634</v>
      </c>
      <c r="F1767" s="356" t="str">
        <f t="shared" si="173"/>
        <v>NI</v>
      </c>
      <c r="G1767" s="28">
        <f>+IF(F1767="i",IFERROR(VLOOKUP(C1767,'BG 2023'!B:E,3,FALSE),0),0)</f>
        <v>0</v>
      </c>
      <c r="H1767" s="21">
        <f>+IF(F1767="i",IFERROR(VLOOKUP(C1767,'BG 2023'!B:E,4,FALSE),0),0)</f>
        <v>0</v>
      </c>
      <c r="I1767" s="21"/>
      <c r="J1767" s="28">
        <f>IF(F1767="I",IFERROR(VLOOKUP(C1767,'BG 12.2023'!$B$6:$E$819,3,FALSE),0),0)</f>
        <v>0</v>
      </c>
      <c r="K1767" s="28">
        <f>IF(F1767="I",IFERROR(VLOOKUP(C1767,'BG 12.2023'!$B$6:$E$819,4,FALSE),0),0)</f>
        <v>0</v>
      </c>
      <c r="M1767" s="15" t="e">
        <f>+VLOOKUP(C1767,'BG 2023'!$B:$E,1,0)</f>
        <v>#N/A</v>
      </c>
      <c r="N1767" s="806" t="e">
        <f>+VLOOKUP(C1767,'BG 2023'!$B:$E,3,0)</f>
        <v>#N/A</v>
      </c>
      <c r="O1767" s="807" t="e">
        <f t="shared" si="174"/>
        <v>#N/A</v>
      </c>
      <c r="P1767" s="807"/>
      <c r="R1767" s="807"/>
    </row>
    <row r="1768" spans="1:18">
      <c r="A1768" s="354" t="s">
        <v>1163</v>
      </c>
      <c r="B1768" s="354"/>
      <c r="C1768" s="355">
        <v>722</v>
      </c>
      <c r="D1768" s="354" t="s">
        <v>1167</v>
      </c>
      <c r="E1768" s="356" t="s">
        <v>634</v>
      </c>
      <c r="F1768" s="356" t="str">
        <f t="shared" si="173"/>
        <v>NI</v>
      </c>
      <c r="G1768" s="28">
        <f>+IF(F1768="i",IFERROR(VLOOKUP(C1768,'BG 2023'!B:E,3,FALSE),0),0)</f>
        <v>0</v>
      </c>
      <c r="H1768" s="21">
        <f>+IF(F1768="i",IFERROR(VLOOKUP(C1768,'BG 2023'!B:E,4,FALSE),0),0)</f>
        <v>0</v>
      </c>
      <c r="I1768" s="21"/>
      <c r="J1768" s="28">
        <f>IF(F1768="I",IFERROR(VLOOKUP(C1768,'BG 12.2023'!$B$6:$E$819,3,FALSE),0),0)</f>
        <v>0</v>
      </c>
      <c r="K1768" s="28">
        <f>IF(F1768="I",IFERROR(VLOOKUP(C1768,'BG 12.2023'!$B$6:$E$819,4,FALSE),0),0)</f>
        <v>0</v>
      </c>
      <c r="M1768" s="15" t="e">
        <f>+VLOOKUP(C1768,'BG 2023'!$B:$E,1,0)</f>
        <v>#N/A</v>
      </c>
      <c r="N1768" s="806" t="e">
        <f>+VLOOKUP(C1768,'BG 2023'!$B:$E,3,0)</f>
        <v>#N/A</v>
      </c>
      <c r="O1768" s="807" t="e">
        <f t="shared" si="174"/>
        <v>#N/A</v>
      </c>
      <c r="P1768" s="807"/>
      <c r="R1768" s="807"/>
    </row>
    <row r="1770" spans="1:18">
      <c r="D1770" s="923"/>
      <c r="E1770" s="20" t="s">
        <v>10</v>
      </c>
      <c r="F1770" s="20"/>
      <c r="G1770" s="29">
        <f>SUMIFS(G:G,A:A,E1770,F:F,"I")</f>
        <v>114274497246</v>
      </c>
      <c r="H1770" s="63">
        <f>SUMIFS(H:H,A:A,E1770,F:F,"I")</f>
        <v>14613607.239999998</v>
      </c>
      <c r="J1770" s="29">
        <f>SUMIFS(J:J,A:A,E1770,F:F,"I")</f>
        <v>73797329813</v>
      </c>
      <c r="K1770" s="36">
        <f>SUMIFS(K:K,A:A,E1770,F:F,"I")</f>
        <v>10164712.853000004</v>
      </c>
      <c r="P1770" s="1382">
        <f>+J1770-'BG 12.2023'!D6</f>
        <v>680741973</v>
      </c>
    </row>
    <row r="1771" spans="1:18">
      <c r="D1771" s="923"/>
      <c r="E1771" s="20" t="s">
        <v>193</v>
      </c>
      <c r="F1771" s="20"/>
      <c r="G1771" s="29">
        <f>SUMIFS(G:G,A:A,E1771,F:F,"I")</f>
        <v>44491125391</v>
      </c>
      <c r="H1771" s="63">
        <f>SUMIFS(H:H,A:A,E1771,F:F,"I")</f>
        <v>5681223.7700001188</v>
      </c>
      <c r="J1771" s="29">
        <f>SUMIFS(J:J,A:A,E1771,F:F,"I")</f>
        <v>21478856383</v>
      </c>
      <c r="K1771" s="36">
        <f>SUMIFS(K:K,A:A,E1771,F:F,"I")</f>
        <v>2949183.4279999961</v>
      </c>
      <c r="P1771" s="1382">
        <f>+J1771-'BG 12.2023'!D228</f>
        <v>680741973</v>
      </c>
    </row>
    <row r="1772" spans="1:18">
      <c r="D1772" s="923"/>
      <c r="E1772" s="20" t="s">
        <v>933</v>
      </c>
      <c r="F1772" s="20"/>
      <c r="G1772" s="29">
        <f>SUMIFS(G:G,A:A,E1772,F:F,"I")</f>
        <v>69783371855</v>
      </c>
      <c r="H1772" s="63">
        <f>SUMIFS(H:H,A:A,E1772,F:F,"I")</f>
        <v>8932383.4700000007</v>
      </c>
      <c r="J1772" s="29">
        <f>SUMIFS(J:J,A:A,E1772,F:F,"I")</f>
        <v>52318473430</v>
      </c>
      <c r="K1772" s="36">
        <f>SUMIFS(K:K,A:A,E1772,F:F,"I")</f>
        <v>7215529.4285999993</v>
      </c>
    </row>
    <row r="1773" spans="1:18" ht="12">
      <c r="E1773" s="360" t="s">
        <v>1169</v>
      </c>
      <c r="F1773" s="360"/>
      <c r="G1773" s="359">
        <f>+G1770-(G1771+G1772)</f>
        <v>0</v>
      </c>
      <c r="H1773" s="361">
        <f>+H1770-(H1771+H1772)</f>
        <v>-1.2107193470001221E-7</v>
      </c>
      <c r="I1773" s="103"/>
      <c r="J1773" s="359">
        <f>+J1770-(J1771+J1772)</f>
        <v>0</v>
      </c>
      <c r="K1773" s="365">
        <f>+K1770-(K1771+K1772)</f>
        <v>-3.5999920219182968E-3</v>
      </c>
    </row>
    <row r="1774" spans="1:18" ht="12">
      <c r="E1774" s="360"/>
      <c r="F1774" s="360"/>
      <c r="G1774" s="359"/>
      <c r="H1774" s="361"/>
      <c r="I1774" s="103"/>
      <c r="J1774" s="359"/>
      <c r="K1774" s="365"/>
    </row>
    <row r="1775" spans="1:18">
      <c r="D1775" s="923"/>
      <c r="E1775" s="20" t="s">
        <v>286</v>
      </c>
      <c r="F1775" s="20"/>
      <c r="G1775" s="29">
        <f>SUMIFS(G:G,A:A,E1775,F:F,"I")</f>
        <v>57203568027</v>
      </c>
      <c r="H1775" s="98">
        <f>SUMIFS(H:H,A:A,E1775,F:F,"I")</f>
        <v>35714995.080000013</v>
      </c>
      <c r="J1775" s="29">
        <f>+SUMIFS(J:J,A:A,E1775,F:F,"i")</f>
        <v>28097411301</v>
      </c>
      <c r="K1775" s="36">
        <f>+SUMIFS(K:K,A:A,E1775,F:F,"i")</f>
        <v>4822081.5925000003</v>
      </c>
    </row>
    <row r="1776" spans="1:18">
      <c r="D1776" s="923"/>
      <c r="E1776" s="20" t="s">
        <v>395</v>
      </c>
      <c r="F1776" s="20"/>
      <c r="G1776" s="29">
        <f>SUMIFS(G:G,A:A,E1776,F:F,"I")</f>
        <v>39738669603</v>
      </c>
      <c r="H1776" s="63">
        <f>SUMIFS(H:H,A:A,E1776,F:F,"I")</f>
        <v>33998141.040000007</v>
      </c>
      <c r="J1776" s="29">
        <f>+SUMIFS(J:J,A:A,E1776,F:F,"i")</f>
        <v>24928244091</v>
      </c>
      <c r="K1776" s="36">
        <f>+SUMIFS(K:K,A:A,E1776,F:F,"i")</f>
        <v>4398713.6438999986</v>
      </c>
    </row>
    <row r="1777" spans="3:11" s="103" customFormat="1" ht="12">
      <c r="C1777" s="924"/>
      <c r="D1777" s="924"/>
      <c r="E1777" s="360" t="s">
        <v>1169</v>
      </c>
      <c r="F1777" s="614"/>
      <c r="G1777" s="359">
        <f>+G1775-G1776-'BG 12.2024'!D866</f>
        <v>0</v>
      </c>
      <c r="H1777" s="1361">
        <f>+H1775-H1776-'BG 12.2024'!E866</f>
        <v>6.5192580223083496E-9</v>
      </c>
      <c r="J1777" s="359">
        <f>+J1775-J1776-'BG 12.2023'!D796</f>
        <v>0</v>
      </c>
      <c r="K1777" s="365">
        <f>+K1775-K1776-'BG 12.2023'!E796</f>
        <v>-1.3999983784742653E-3</v>
      </c>
    </row>
    <row r="1778" spans="3:11">
      <c r="G1778" s="359"/>
      <c r="H1778" s="361"/>
      <c r="J1778" s="359"/>
      <c r="K1778" s="365"/>
    </row>
    <row r="1779" spans="3:11">
      <c r="G1779" s="359"/>
      <c r="H1779" s="361"/>
      <c r="I1779" s="1216"/>
      <c r="J1779" s="359"/>
      <c r="K1779" s="365"/>
    </row>
    <row r="1780" spans="3:11">
      <c r="G1780" s="359"/>
      <c r="H1780" s="361"/>
      <c r="I1780" s="1217"/>
      <c r="J1780" s="1383"/>
      <c r="K1780" s="365"/>
    </row>
    <row r="1781" spans="3:11">
      <c r="G1781" s="359"/>
      <c r="H1781" s="361"/>
      <c r="I1781" s="1217"/>
      <c r="J1781" s="359"/>
      <c r="K1781" s="365"/>
    </row>
    <row r="1782" spans="3:11">
      <c r="G1782" s="359"/>
      <c r="H1782" s="361"/>
      <c r="I1782" s="1217"/>
      <c r="J1782" s="359"/>
      <c r="K1782" s="365"/>
    </row>
    <row r="1783" spans="3:11">
      <c r="H1783" s="993"/>
      <c r="I1783" s="1217"/>
      <c r="J1783" s="359"/>
      <c r="K1783" s="365"/>
    </row>
    <row r="1784" spans="3:11">
      <c r="H1784" s="993"/>
      <c r="I1784" s="1217"/>
      <c r="J1784" s="359"/>
      <c r="K1784" s="365"/>
    </row>
  </sheetData>
  <autoFilter ref="A4:K1768" xr:uid="{00000000-0001-0000-0500-000000000000}"/>
  <customSheetViews>
    <customSheetView guid="{970CBB53-F4B3-462F-AEFE-2BC403F5F0AD}" filter="1" showAutoFilter="1">
      <pane ySplit="97" topLeftCell="A99" activePane="bottomLeft" state="frozen"/>
      <selection pane="bottomLeft" activeCell="D215" sqref="D215"/>
      <pageMargins left="0" right="0" top="0" bottom="0" header="0" footer="0"/>
      <pageSetup paperSize="9" orientation="portrait" r:id="rId1"/>
      <autoFilter ref="A4:J459" xr:uid="{D3425AD2-F35A-496E-A77F-658A2A1A450A}">
        <filterColumn colId="1">
          <filters>
            <filter val="Cuentas por cobrar a Personas y Empresas relacionadas"/>
          </filters>
        </filterColumn>
      </autoFilter>
    </customSheetView>
    <customSheetView guid="{7F8679DA-D059-4901-ACAC-85DFCE49504A}" showGridLines="0" filter="1" showAutoFilter="1" state="hidden">
      <pane xSplit="6" ySplit="4" topLeftCell="G21" activePane="bottomRight" state="frozen"/>
      <selection pane="bottomRight" activeCell="G326" sqref="G326"/>
      <pageMargins left="0" right="0" top="0" bottom="0" header="0" footer="0"/>
      <pageSetup paperSize="9" orientation="portrait" r:id="rId2"/>
      <autoFilter ref="A4:R1291" xr:uid="{C2C020B2-BA66-4973-99C8-0E963ED0BE39}">
        <filterColumn colId="6">
          <filters>
            <filter val="1"/>
            <filter val="1.299.205"/>
            <filter val="1.395.872.000"/>
            <filter val="1.484.820.455"/>
            <filter val="1.532.289"/>
            <filter val="1.817.600"/>
            <filter val="10.023.074"/>
            <filter val="100.000"/>
            <filter val="100.000.000"/>
            <filter val="100.923.430"/>
            <filter val="-100.923.430"/>
            <filter val="114.741"/>
            <filter val="12.345.842"/>
            <filter val="12.921.275"/>
            <filter val="-122.247.748"/>
            <filter val="124.105"/>
            <filter val="127.830.259"/>
            <filter val="13.588"/>
            <filter val="13.806"/>
            <filter val="14.214.622"/>
            <filter val="141.794"/>
            <filter val="16.106.289"/>
            <filter val="170.000.000"/>
            <filter val="18.200.000.000"/>
            <filter val="186.092.131"/>
            <filter val="194.796"/>
            <filter val="2.109.500"/>
            <filter val="2.196"/>
            <filter val="2.231.021"/>
            <filter val="2.541.894"/>
            <filter val="25.500"/>
            <filter val="25.901.743"/>
            <filter val="250.000"/>
            <filter val="3.123.429"/>
            <filter val="3.222.195"/>
            <filter val="30.784.952"/>
            <filter val="31.227"/>
            <filter val="31.910.948"/>
            <filter val="31.952.976"/>
            <filter val="328.926"/>
            <filter val="33.487.884"/>
            <filter val="337.992"/>
            <filter val="348.968.000"/>
            <filter val="349.517.500"/>
            <filter val="392.496.743"/>
            <filter val="398.097"/>
            <filter val="4.000.000"/>
            <filter val="483.333"/>
            <filter val="499.990"/>
            <filter val="5.000.000"/>
            <filter val="5.011.216.120"/>
            <filter val="5.577.480"/>
            <filter val="519.466.441"/>
            <filter val="-55.992"/>
            <filter val="556.355"/>
            <filter val="588.857.678"/>
            <filter val="-6.526.163"/>
            <filter val="6.976.000"/>
            <filter val="627.519.386"/>
            <filter val="-68.655.950"/>
            <filter val="680.678"/>
            <filter val="697.936.000"/>
            <filter val="-72.285.616"/>
            <filter val="720.036.032"/>
            <filter val="74.979.726"/>
            <filter val="76.893.850"/>
            <filter val="78.604.308"/>
            <filter val="79.853.399"/>
            <filter val="790.620.156"/>
            <filter val="8.030.549"/>
            <filter val="851.000.000"/>
            <filter val="-87.685.787"/>
            <filter val="-892.408"/>
            <filter val="-9.562"/>
            <filter val="9.736.211.718"/>
            <filter val="94.944.999"/>
          </filters>
        </filterColumn>
      </autoFilter>
    </customSheetView>
    <customSheetView guid="{599159CD-1620-491F-A2F6-FFBFC633DFF1}" showGridLines="0" filter="1" showAutoFilter="1" state="hidden">
      <pane xSplit="6" ySplit="4" topLeftCell="G21" activePane="bottomRight" state="frozen"/>
      <selection pane="bottomRight" activeCell="G326" sqref="G326"/>
      <pageMargins left="0" right="0" top="0" bottom="0" header="0" footer="0"/>
      <pageSetup paperSize="9" orientation="portrait" r:id="rId3"/>
      <autoFilter ref="A4:R1291" xr:uid="{931265F1-CD75-4176-8B0F-A82260E3FF00}">
        <filterColumn colId="6">
          <filters>
            <filter val="1"/>
            <filter val="1.299.205"/>
            <filter val="1.395.872.000"/>
            <filter val="1.484.820.455"/>
            <filter val="1.532.289"/>
            <filter val="1.817.600"/>
            <filter val="10.023.074"/>
            <filter val="100.000"/>
            <filter val="100.000.000"/>
            <filter val="100.923.430"/>
            <filter val="-100.923.430"/>
            <filter val="114.741"/>
            <filter val="12.345.842"/>
            <filter val="12.921.275"/>
            <filter val="-122.247.748"/>
            <filter val="124.105"/>
            <filter val="127.830.259"/>
            <filter val="13.588"/>
            <filter val="13.806"/>
            <filter val="14.214.622"/>
            <filter val="141.794"/>
            <filter val="16.106.289"/>
            <filter val="170.000.000"/>
            <filter val="18.200.000.000"/>
            <filter val="186.092.131"/>
            <filter val="194.796"/>
            <filter val="2.109.500"/>
            <filter val="2.196"/>
            <filter val="2.231.021"/>
            <filter val="2.541.894"/>
            <filter val="25.500"/>
            <filter val="25.901.743"/>
            <filter val="250.000"/>
            <filter val="3.123.429"/>
            <filter val="3.222.195"/>
            <filter val="30.784.952"/>
            <filter val="31.227"/>
            <filter val="31.910.948"/>
            <filter val="31.952.976"/>
            <filter val="328.926"/>
            <filter val="33.487.884"/>
            <filter val="337.992"/>
            <filter val="348.968.000"/>
            <filter val="349.517.500"/>
            <filter val="392.496.743"/>
            <filter val="398.097"/>
            <filter val="4.000.000"/>
            <filter val="483.333"/>
            <filter val="499.990"/>
            <filter val="5.000.000"/>
            <filter val="5.011.216.120"/>
            <filter val="5.577.480"/>
            <filter val="519.466.441"/>
            <filter val="-55.992"/>
            <filter val="556.355"/>
            <filter val="588.857.678"/>
            <filter val="-6.526.163"/>
            <filter val="6.976.000"/>
            <filter val="627.519.386"/>
            <filter val="-68.655.950"/>
            <filter val="680.678"/>
            <filter val="697.936.000"/>
            <filter val="-72.285.616"/>
            <filter val="720.036.032"/>
            <filter val="74.979.726"/>
            <filter val="76.893.850"/>
            <filter val="78.604.308"/>
            <filter val="79.853.399"/>
            <filter val="790.620.156"/>
            <filter val="8.030.549"/>
            <filter val="851.000.000"/>
            <filter val="-87.685.787"/>
            <filter val="-892.408"/>
            <filter val="-9.562"/>
            <filter val="9.736.211.718"/>
            <filter val="94.944.999"/>
          </filters>
        </filterColumn>
      </autoFilter>
    </customSheetView>
  </customSheetViews>
  <mergeCells count="6">
    <mergeCell ref="G928:K928"/>
    <mergeCell ref="G929:H929"/>
    <mergeCell ref="J929:K929"/>
    <mergeCell ref="G2:K2"/>
    <mergeCell ref="G3:H3"/>
    <mergeCell ref="J3:K3"/>
  </mergeCells>
  <conditionalFormatting sqref="C1:C1048576">
    <cfRule type="duplicateValues" dxfId="41" priority="1"/>
    <cfRule type="duplicateValues" dxfId="40" priority="2"/>
    <cfRule type="duplicateValues" dxfId="39" priority="3"/>
  </conditionalFormatting>
  <pageMargins left="0.7" right="0.7" top="0.75" bottom="0.75" header="0.3" footer="0.3"/>
  <pageSetup paperSize="9" scale="33"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rgb="FF00B050"/>
  </sheetPr>
  <dimension ref="A1:AB1517"/>
  <sheetViews>
    <sheetView showGridLines="0" zoomScale="80" zoomScaleNormal="80" workbookViewId="0">
      <pane xSplit="7" ySplit="3" topLeftCell="H390" activePane="bottomRight" state="frozen"/>
      <selection activeCell="D365" sqref="D365"/>
      <selection pane="topRight" activeCell="D365" sqref="D365"/>
      <selection pane="bottomLeft" activeCell="D365" sqref="D365"/>
      <selection pane="bottomRight" activeCell="B1" sqref="B1"/>
    </sheetView>
  </sheetViews>
  <sheetFormatPr baseColWidth="10" defaultColWidth="9.44140625" defaultRowHeight="15" customHeight="1"/>
  <cols>
    <col min="1" max="1" width="10.109375" bestFit="1" customWidth="1"/>
    <col min="2" max="2" width="37.109375" customWidth="1"/>
    <col min="3" max="3" width="14.33203125" customWidth="1"/>
    <col min="4" max="4" width="16.5546875" customWidth="1"/>
    <col min="5" max="5" width="20.21875" customWidth="1"/>
    <col min="6" max="18" width="14.33203125" customWidth="1"/>
    <col min="19" max="19" width="17.44140625" customWidth="1"/>
    <col min="20" max="27" width="14.33203125" customWidth="1"/>
    <col min="28" max="28" width="21.6640625" bestFit="1" customWidth="1"/>
    <col min="263" max="263" width="33.5546875" customWidth="1"/>
    <col min="264" max="264" width="16" customWidth="1"/>
    <col min="265" max="266" width="15" bestFit="1" customWidth="1"/>
    <col min="267" max="267" width="16.5546875" bestFit="1" customWidth="1"/>
    <col min="268" max="268" width="12.5546875" customWidth="1"/>
    <col min="269" max="269" width="17.5546875" bestFit="1" customWidth="1"/>
    <col min="270" max="271" width="18.44140625" bestFit="1" customWidth="1"/>
    <col min="272" max="272" width="12.5546875" bestFit="1" customWidth="1"/>
    <col min="273" max="274" width="16.5546875" bestFit="1" customWidth="1"/>
    <col min="275" max="276" width="13.44140625" bestFit="1" customWidth="1"/>
    <col min="277" max="277" width="15.5546875" bestFit="1" customWidth="1"/>
    <col min="278" max="278" width="13.5546875" bestFit="1" customWidth="1"/>
    <col min="279" max="281" width="12.44140625" bestFit="1" customWidth="1"/>
    <col min="282" max="282" width="17.5546875" bestFit="1" customWidth="1"/>
    <col min="283" max="283" width="12.44140625" bestFit="1" customWidth="1"/>
    <col min="284" max="284" width="13.44140625" bestFit="1" customWidth="1"/>
    <col min="519" max="519" width="33.5546875" customWidth="1"/>
    <col min="520" max="520" width="16" customWidth="1"/>
    <col min="521" max="522" width="15" bestFit="1" customWidth="1"/>
    <col min="523" max="523" width="16.5546875" bestFit="1" customWidth="1"/>
    <col min="524" max="524" width="12.5546875" customWidth="1"/>
    <col min="525" max="525" width="17.5546875" bestFit="1" customWidth="1"/>
    <col min="526" max="527" width="18.44140625" bestFit="1" customWidth="1"/>
    <col min="528" max="528" width="12.5546875" bestFit="1" customWidth="1"/>
    <col min="529" max="530" width="16.5546875" bestFit="1" customWidth="1"/>
    <col min="531" max="532" width="13.44140625" bestFit="1" customWidth="1"/>
    <col min="533" max="533" width="15.5546875" bestFit="1" customWidth="1"/>
    <col min="534" max="534" width="13.5546875" bestFit="1" customWidth="1"/>
    <col min="535" max="537" width="12.44140625" bestFit="1" customWidth="1"/>
    <col min="538" max="538" width="17.5546875" bestFit="1" customWidth="1"/>
    <col min="539" max="539" width="12.44140625" bestFit="1" customWidth="1"/>
    <col min="540" max="540" width="13.44140625" bestFit="1" customWidth="1"/>
    <col min="775" max="775" width="33.5546875" customWidth="1"/>
    <col min="776" max="776" width="16" customWidth="1"/>
    <col min="777" max="778" width="15" bestFit="1" customWidth="1"/>
    <col min="779" max="779" width="16.5546875" bestFit="1" customWidth="1"/>
    <col min="780" max="780" width="12.5546875" customWidth="1"/>
    <col min="781" max="781" width="17.5546875" bestFit="1" customWidth="1"/>
    <col min="782" max="783" width="18.44140625" bestFit="1" customWidth="1"/>
    <col min="784" max="784" width="12.5546875" bestFit="1" customWidth="1"/>
    <col min="785" max="786" width="16.5546875" bestFit="1" customWidth="1"/>
    <col min="787" max="788" width="13.44140625" bestFit="1" customWidth="1"/>
    <col min="789" max="789" width="15.5546875" bestFit="1" customWidth="1"/>
    <col min="790" max="790" width="13.5546875" bestFit="1" customWidth="1"/>
    <col min="791" max="793" width="12.44140625" bestFit="1" customWidth="1"/>
    <col min="794" max="794" width="17.5546875" bestFit="1" customWidth="1"/>
    <col min="795" max="795" width="12.44140625" bestFit="1" customWidth="1"/>
    <col min="796" max="796" width="13.44140625" bestFit="1" customWidth="1"/>
    <col min="1031" max="1031" width="33.5546875" customWidth="1"/>
    <col min="1032" max="1032" width="16" customWidth="1"/>
    <col min="1033" max="1034" width="15" bestFit="1" customWidth="1"/>
    <col min="1035" max="1035" width="16.5546875" bestFit="1" customWidth="1"/>
    <col min="1036" max="1036" width="12.5546875" customWidth="1"/>
    <col min="1037" max="1037" width="17.5546875" bestFit="1" customWidth="1"/>
    <col min="1038" max="1039" width="18.44140625" bestFit="1" customWidth="1"/>
    <col min="1040" max="1040" width="12.5546875" bestFit="1" customWidth="1"/>
    <col min="1041" max="1042" width="16.5546875" bestFit="1" customWidth="1"/>
    <col min="1043" max="1044" width="13.44140625" bestFit="1" customWidth="1"/>
    <col min="1045" max="1045" width="15.5546875" bestFit="1" customWidth="1"/>
    <col min="1046" max="1046" width="13.5546875" bestFit="1" customWidth="1"/>
    <col min="1047" max="1049" width="12.44140625" bestFit="1" customWidth="1"/>
    <col min="1050" max="1050" width="17.5546875" bestFit="1" customWidth="1"/>
    <col min="1051" max="1051" width="12.44140625" bestFit="1" customWidth="1"/>
    <col min="1052" max="1052" width="13.44140625" bestFit="1" customWidth="1"/>
    <col min="1287" max="1287" width="33.5546875" customWidth="1"/>
    <col min="1288" max="1288" width="16" customWidth="1"/>
    <col min="1289" max="1290" width="15" bestFit="1" customWidth="1"/>
    <col min="1291" max="1291" width="16.5546875" bestFit="1" customWidth="1"/>
    <col min="1292" max="1292" width="12.5546875" customWidth="1"/>
    <col min="1293" max="1293" width="17.5546875" bestFit="1" customWidth="1"/>
    <col min="1294" max="1295" width="18.44140625" bestFit="1" customWidth="1"/>
    <col min="1296" max="1296" width="12.5546875" bestFit="1" customWidth="1"/>
    <col min="1297" max="1298" width="16.5546875" bestFit="1" customWidth="1"/>
    <col min="1299" max="1300" width="13.44140625" bestFit="1" customWidth="1"/>
    <col min="1301" max="1301" width="15.5546875" bestFit="1" customWidth="1"/>
    <col min="1302" max="1302" width="13.5546875" bestFit="1" customWidth="1"/>
    <col min="1303" max="1305" width="12.44140625" bestFit="1" customWidth="1"/>
    <col min="1306" max="1306" width="17.5546875" bestFit="1" customWidth="1"/>
    <col min="1307" max="1307" width="12.44140625" bestFit="1" customWidth="1"/>
    <col min="1308" max="1308" width="13.44140625" bestFit="1" customWidth="1"/>
    <col min="1543" max="1543" width="33.5546875" customWidth="1"/>
    <col min="1544" max="1544" width="16" customWidth="1"/>
    <col min="1545" max="1546" width="15" bestFit="1" customWidth="1"/>
    <col min="1547" max="1547" width="16.5546875" bestFit="1" customWidth="1"/>
    <col min="1548" max="1548" width="12.5546875" customWidth="1"/>
    <col min="1549" max="1549" width="17.5546875" bestFit="1" customWidth="1"/>
    <col min="1550" max="1551" width="18.44140625" bestFit="1" customWidth="1"/>
    <col min="1552" max="1552" width="12.5546875" bestFit="1" customWidth="1"/>
    <col min="1553" max="1554" width="16.5546875" bestFit="1" customWidth="1"/>
    <col min="1555" max="1556" width="13.44140625" bestFit="1" customWidth="1"/>
    <col min="1557" max="1557" width="15.5546875" bestFit="1" customWidth="1"/>
    <col min="1558" max="1558" width="13.5546875" bestFit="1" customWidth="1"/>
    <col min="1559" max="1561" width="12.44140625" bestFit="1" customWidth="1"/>
    <col min="1562" max="1562" width="17.5546875" bestFit="1" customWidth="1"/>
    <col min="1563" max="1563" width="12.44140625" bestFit="1" customWidth="1"/>
    <col min="1564" max="1564" width="13.44140625" bestFit="1" customWidth="1"/>
    <col min="1799" max="1799" width="33.5546875" customWidth="1"/>
    <col min="1800" max="1800" width="16" customWidth="1"/>
    <col min="1801" max="1802" width="15" bestFit="1" customWidth="1"/>
    <col min="1803" max="1803" width="16.5546875" bestFit="1" customWidth="1"/>
    <col min="1804" max="1804" width="12.5546875" customWidth="1"/>
    <col min="1805" max="1805" width="17.5546875" bestFit="1" customWidth="1"/>
    <col min="1806" max="1807" width="18.44140625" bestFit="1" customWidth="1"/>
    <col min="1808" max="1808" width="12.5546875" bestFit="1" customWidth="1"/>
    <col min="1809" max="1810" width="16.5546875" bestFit="1" customWidth="1"/>
    <col min="1811" max="1812" width="13.44140625" bestFit="1" customWidth="1"/>
    <col min="1813" max="1813" width="15.5546875" bestFit="1" customWidth="1"/>
    <col min="1814" max="1814" width="13.5546875" bestFit="1" customWidth="1"/>
    <col min="1815" max="1817" width="12.44140625" bestFit="1" customWidth="1"/>
    <col min="1818" max="1818" width="17.5546875" bestFit="1" customWidth="1"/>
    <col min="1819" max="1819" width="12.44140625" bestFit="1" customWidth="1"/>
    <col min="1820" max="1820" width="13.44140625" bestFit="1" customWidth="1"/>
    <col min="2055" max="2055" width="33.5546875" customWidth="1"/>
    <col min="2056" max="2056" width="16" customWidth="1"/>
    <col min="2057" max="2058" width="15" bestFit="1" customWidth="1"/>
    <col min="2059" max="2059" width="16.5546875" bestFit="1" customWidth="1"/>
    <col min="2060" max="2060" width="12.5546875" customWidth="1"/>
    <col min="2061" max="2061" width="17.5546875" bestFit="1" customWidth="1"/>
    <col min="2062" max="2063" width="18.44140625" bestFit="1" customWidth="1"/>
    <col min="2064" max="2064" width="12.5546875" bestFit="1" customWidth="1"/>
    <col min="2065" max="2066" width="16.5546875" bestFit="1" customWidth="1"/>
    <col min="2067" max="2068" width="13.44140625" bestFit="1" customWidth="1"/>
    <col min="2069" max="2069" width="15.5546875" bestFit="1" customWidth="1"/>
    <col min="2070" max="2070" width="13.5546875" bestFit="1" customWidth="1"/>
    <col min="2071" max="2073" width="12.44140625" bestFit="1" customWidth="1"/>
    <col min="2074" max="2074" width="17.5546875" bestFit="1" customWidth="1"/>
    <col min="2075" max="2075" width="12.44140625" bestFit="1" customWidth="1"/>
    <col min="2076" max="2076" width="13.44140625" bestFit="1" customWidth="1"/>
    <col min="2311" max="2311" width="33.5546875" customWidth="1"/>
    <col min="2312" max="2312" width="16" customWidth="1"/>
    <col min="2313" max="2314" width="15" bestFit="1" customWidth="1"/>
    <col min="2315" max="2315" width="16.5546875" bestFit="1" customWidth="1"/>
    <col min="2316" max="2316" width="12.5546875" customWidth="1"/>
    <col min="2317" max="2317" width="17.5546875" bestFit="1" customWidth="1"/>
    <col min="2318" max="2319" width="18.44140625" bestFit="1" customWidth="1"/>
    <col min="2320" max="2320" width="12.5546875" bestFit="1" customWidth="1"/>
    <col min="2321" max="2322" width="16.5546875" bestFit="1" customWidth="1"/>
    <col min="2323" max="2324" width="13.44140625" bestFit="1" customWidth="1"/>
    <col min="2325" max="2325" width="15.5546875" bestFit="1" customWidth="1"/>
    <col min="2326" max="2326" width="13.5546875" bestFit="1" customWidth="1"/>
    <col min="2327" max="2329" width="12.44140625" bestFit="1" customWidth="1"/>
    <col min="2330" max="2330" width="17.5546875" bestFit="1" customWidth="1"/>
    <col min="2331" max="2331" width="12.44140625" bestFit="1" customWidth="1"/>
    <col min="2332" max="2332" width="13.44140625" bestFit="1" customWidth="1"/>
    <col min="2567" max="2567" width="33.5546875" customWidth="1"/>
    <col min="2568" max="2568" width="16" customWidth="1"/>
    <col min="2569" max="2570" width="15" bestFit="1" customWidth="1"/>
    <col min="2571" max="2571" width="16.5546875" bestFit="1" customWidth="1"/>
    <col min="2572" max="2572" width="12.5546875" customWidth="1"/>
    <col min="2573" max="2573" width="17.5546875" bestFit="1" customWidth="1"/>
    <col min="2574" max="2575" width="18.44140625" bestFit="1" customWidth="1"/>
    <col min="2576" max="2576" width="12.5546875" bestFit="1" customWidth="1"/>
    <col min="2577" max="2578" width="16.5546875" bestFit="1" customWidth="1"/>
    <col min="2579" max="2580" width="13.44140625" bestFit="1" customWidth="1"/>
    <col min="2581" max="2581" width="15.5546875" bestFit="1" customWidth="1"/>
    <col min="2582" max="2582" width="13.5546875" bestFit="1" customWidth="1"/>
    <col min="2583" max="2585" width="12.44140625" bestFit="1" customWidth="1"/>
    <col min="2586" max="2586" width="17.5546875" bestFit="1" customWidth="1"/>
    <col min="2587" max="2587" width="12.44140625" bestFit="1" customWidth="1"/>
    <col min="2588" max="2588" width="13.44140625" bestFit="1" customWidth="1"/>
    <col min="2823" max="2823" width="33.5546875" customWidth="1"/>
    <col min="2824" max="2824" width="16" customWidth="1"/>
    <col min="2825" max="2826" width="15" bestFit="1" customWidth="1"/>
    <col min="2827" max="2827" width="16.5546875" bestFit="1" customWidth="1"/>
    <col min="2828" max="2828" width="12.5546875" customWidth="1"/>
    <col min="2829" max="2829" width="17.5546875" bestFit="1" customWidth="1"/>
    <col min="2830" max="2831" width="18.44140625" bestFit="1" customWidth="1"/>
    <col min="2832" max="2832" width="12.5546875" bestFit="1" customWidth="1"/>
    <col min="2833" max="2834" width="16.5546875" bestFit="1" customWidth="1"/>
    <col min="2835" max="2836" width="13.44140625" bestFit="1" customWidth="1"/>
    <col min="2837" max="2837" width="15.5546875" bestFit="1" customWidth="1"/>
    <col min="2838" max="2838" width="13.5546875" bestFit="1" customWidth="1"/>
    <col min="2839" max="2841" width="12.44140625" bestFit="1" customWidth="1"/>
    <col min="2842" max="2842" width="17.5546875" bestFit="1" customWidth="1"/>
    <col min="2843" max="2843" width="12.44140625" bestFit="1" customWidth="1"/>
    <col min="2844" max="2844" width="13.44140625" bestFit="1" customWidth="1"/>
    <col min="3079" max="3079" width="33.5546875" customWidth="1"/>
    <col min="3080" max="3080" width="16" customWidth="1"/>
    <col min="3081" max="3082" width="15" bestFit="1" customWidth="1"/>
    <col min="3083" max="3083" width="16.5546875" bestFit="1" customWidth="1"/>
    <col min="3084" max="3084" width="12.5546875" customWidth="1"/>
    <col min="3085" max="3085" width="17.5546875" bestFit="1" customWidth="1"/>
    <col min="3086" max="3087" width="18.44140625" bestFit="1" customWidth="1"/>
    <col min="3088" max="3088" width="12.5546875" bestFit="1" customWidth="1"/>
    <col min="3089" max="3090" width="16.5546875" bestFit="1" customWidth="1"/>
    <col min="3091" max="3092" width="13.44140625" bestFit="1" customWidth="1"/>
    <col min="3093" max="3093" width="15.5546875" bestFit="1" customWidth="1"/>
    <col min="3094" max="3094" width="13.5546875" bestFit="1" customWidth="1"/>
    <col min="3095" max="3097" width="12.44140625" bestFit="1" customWidth="1"/>
    <col min="3098" max="3098" width="17.5546875" bestFit="1" customWidth="1"/>
    <col min="3099" max="3099" width="12.44140625" bestFit="1" customWidth="1"/>
    <col min="3100" max="3100" width="13.44140625" bestFit="1" customWidth="1"/>
    <col min="3335" max="3335" width="33.5546875" customWidth="1"/>
    <col min="3336" max="3336" width="16" customWidth="1"/>
    <col min="3337" max="3338" width="15" bestFit="1" customWidth="1"/>
    <col min="3339" max="3339" width="16.5546875" bestFit="1" customWidth="1"/>
    <col min="3340" max="3340" width="12.5546875" customWidth="1"/>
    <col min="3341" max="3341" width="17.5546875" bestFit="1" customWidth="1"/>
    <col min="3342" max="3343" width="18.44140625" bestFit="1" customWidth="1"/>
    <col min="3344" max="3344" width="12.5546875" bestFit="1" customWidth="1"/>
    <col min="3345" max="3346" width="16.5546875" bestFit="1" customWidth="1"/>
    <col min="3347" max="3348" width="13.44140625" bestFit="1" customWidth="1"/>
    <col min="3349" max="3349" width="15.5546875" bestFit="1" customWidth="1"/>
    <col min="3350" max="3350" width="13.5546875" bestFit="1" customWidth="1"/>
    <col min="3351" max="3353" width="12.44140625" bestFit="1" customWidth="1"/>
    <col min="3354" max="3354" width="17.5546875" bestFit="1" customWidth="1"/>
    <col min="3355" max="3355" width="12.44140625" bestFit="1" customWidth="1"/>
    <col min="3356" max="3356" width="13.44140625" bestFit="1" customWidth="1"/>
    <col min="3591" max="3591" width="33.5546875" customWidth="1"/>
    <col min="3592" max="3592" width="16" customWidth="1"/>
    <col min="3593" max="3594" width="15" bestFit="1" customWidth="1"/>
    <col min="3595" max="3595" width="16.5546875" bestFit="1" customWidth="1"/>
    <col min="3596" max="3596" width="12.5546875" customWidth="1"/>
    <col min="3597" max="3597" width="17.5546875" bestFit="1" customWidth="1"/>
    <col min="3598" max="3599" width="18.44140625" bestFit="1" customWidth="1"/>
    <col min="3600" max="3600" width="12.5546875" bestFit="1" customWidth="1"/>
    <col min="3601" max="3602" width="16.5546875" bestFit="1" customWidth="1"/>
    <col min="3603" max="3604" width="13.44140625" bestFit="1" customWidth="1"/>
    <col min="3605" max="3605" width="15.5546875" bestFit="1" customWidth="1"/>
    <col min="3606" max="3606" width="13.5546875" bestFit="1" customWidth="1"/>
    <col min="3607" max="3609" width="12.44140625" bestFit="1" customWidth="1"/>
    <col min="3610" max="3610" width="17.5546875" bestFit="1" customWidth="1"/>
    <col min="3611" max="3611" width="12.44140625" bestFit="1" customWidth="1"/>
    <col min="3612" max="3612" width="13.44140625" bestFit="1" customWidth="1"/>
    <col min="3847" max="3847" width="33.5546875" customWidth="1"/>
    <col min="3848" max="3848" width="16" customWidth="1"/>
    <col min="3849" max="3850" width="15" bestFit="1" customWidth="1"/>
    <col min="3851" max="3851" width="16.5546875" bestFit="1" customWidth="1"/>
    <col min="3852" max="3852" width="12.5546875" customWidth="1"/>
    <col min="3853" max="3853" width="17.5546875" bestFit="1" customWidth="1"/>
    <col min="3854" max="3855" width="18.44140625" bestFit="1" customWidth="1"/>
    <col min="3856" max="3856" width="12.5546875" bestFit="1" customWidth="1"/>
    <col min="3857" max="3858" width="16.5546875" bestFit="1" customWidth="1"/>
    <col min="3859" max="3860" width="13.44140625" bestFit="1" customWidth="1"/>
    <col min="3861" max="3861" width="15.5546875" bestFit="1" customWidth="1"/>
    <col min="3862" max="3862" width="13.5546875" bestFit="1" customWidth="1"/>
    <col min="3863" max="3865" width="12.44140625" bestFit="1" customWidth="1"/>
    <col min="3866" max="3866" width="17.5546875" bestFit="1" customWidth="1"/>
    <col min="3867" max="3867" width="12.44140625" bestFit="1" customWidth="1"/>
    <col min="3868" max="3868" width="13.44140625" bestFit="1" customWidth="1"/>
    <col min="4103" max="4103" width="33.5546875" customWidth="1"/>
    <col min="4104" max="4104" width="16" customWidth="1"/>
    <col min="4105" max="4106" width="15" bestFit="1" customWidth="1"/>
    <col min="4107" max="4107" width="16.5546875" bestFit="1" customWidth="1"/>
    <col min="4108" max="4108" width="12.5546875" customWidth="1"/>
    <col min="4109" max="4109" width="17.5546875" bestFit="1" customWidth="1"/>
    <col min="4110" max="4111" width="18.44140625" bestFit="1" customWidth="1"/>
    <col min="4112" max="4112" width="12.5546875" bestFit="1" customWidth="1"/>
    <col min="4113" max="4114" width="16.5546875" bestFit="1" customWidth="1"/>
    <col min="4115" max="4116" width="13.44140625" bestFit="1" customWidth="1"/>
    <col min="4117" max="4117" width="15.5546875" bestFit="1" customWidth="1"/>
    <col min="4118" max="4118" width="13.5546875" bestFit="1" customWidth="1"/>
    <col min="4119" max="4121" width="12.44140625" bestFit="1" customWidth="1"/>
    <col min="4122" max="4122" width="17.5546875" bestFit="1" customWidth="1"/>
    <col min="4123" max="4123" width="12.44140625" bestFit="1" customWidth="1"/>
    <col min="4124" max="4124" width="13.44140625" bestFit="1" customWidth="1"/>
    <col min="4359" max="4359" width="33.5546875" customWidth="1"/>
    <col min="4360" max="4360" width="16" customWidth="1"/>
    <col min="4361" max="4362" width="15" bestFit="1" customWidth="1"/>
    <col min="4363" max="4363" width="16.5546875" bestFit="1" customWidth="1"/>
    <col min="4364" max="4364" width="12.5546875" customWidth="1"/>
    <col min="4365" max="4365" width="17.5546875" bestFit="1" customWidth="1"/>
    <col min="4366" max="4367" width="18.44140625" bestFit="1" customWidth="1"/>
    <col min="4368" max="4368" width="12.5546875" bestFit="1" customWidth="1"/>
    <col min="4369" max="4370" width="16.5546875" bestFit="1" customWidth="1"/>
    <col min="4371" max="4372" width="13.44140625" bestFit="1" customWidth="1"/>
    <col min="4373" max="4373" width="15.5546875" bestFit="1" customWidth="1"/>
    <col min="4374" max="4374" width="13.5546875" bestFit="1" customWidth="1"/>
    <col min="4375" max="4377" width="12.44140625" bestFit="1" customWidth="1"/>
    <col min="4378" max="4378" width="17.5546875" bestFit="1" customWidth="1"/>
    <col min="4379" max="4379" width="12.44140625" bestFit="1" customWidth="1"/>
    <col min="4380" max="4380" width="13.44140625" bestFit="1" customWidth="1"/>
    <col min="4615" max="4615" width="33.5546875" customWidth="1"/>
    <col min="4616" max="4616" width="16" customWidth="1"/>
    <col min="4617" max="4618" width="15" bestFit="1" customWidth="1"/>
    <col min="4619" max="4619" width="16.5546875" bestFit="1" customWidth="1"/>
    <col min="4620" max="4620" width="12.5546875" customWidth="1"/>
    <col min="4621" max="4621" width="17.5546875" bestFit="1" customWidth="1"/>
    <col min="4622" max="4623" width="18.44140625" bestFit="1" customWidth="1"/>
    <col min="4624" max="4624" width="12.5546875" bestFit="1" customWidth="1"/>
    <col min="4625" max="4626" width="16.5546875" bestFit="1" customWidth="1"/>
    <col min="4627" max="4628" width="13.44140625" bestFit="1" customWidth="1"/>
    <col min="4629" max="4629" width="15.5546875" bestFit="1" customWidth="1"/>
    <col min="4630" max="4630" width="13.5546875" bestFit="1" customWidth="1"/>
    <col min="4631" max="4633" width="12.44140625" bestFit="1" customWidth="1"/>
    <col min="4634" max="4634" width="17.5546875" bestFit="1" customWidth="1"/>
    <col min="4635" max="4635" width="12.44140625" bestFit="1" customWidth="1"/>
    <col min="4636" max="4636" width="13.44140625" bestFit="1" customWidth="1"/>
    <col min="4871" max="4871" width="33.5546875" customWidth="1"/>
    <col min="4872" max="4872" width="16" customWidth="1"/>
    <col min="4873" max="4874" width="15" bestFit="1" customWidth="1"/>
    <col min="4875" max="4875" width="16.5546875" bestFit="1" customWidth="1"/>
    <col min="4876" max="4876" width="12.5546875" customWidth="1"/>
    <col min="4877" max="4877" width="17.5546875" bestFit="1" customWidth="1"/>
    <col min="4878" max="4879" width="18.44140625" bestFit="1" customWidth="1"/>
    <col min="4880" max="4880" width="12.5546875" bestFit="1" customWidth="1"/>
    <col min="4881" max="4882" width="16.5546875" bestFit="1" customWidth="1"/>
    <col min="4883" max="4884" width="13.44140625" bestFit="1" customWidth="1"/>
    <col min="4885" max="4885" width="15.5546875" bestFit="1" customWidth="1"/>
    <col min="4886" max="4886" width="13.5546875" bestFit="1" customWidth="1"/>
    <col min="4887" max="4889" width="12.44140625" bestFit="1" customWidth="1"/>
    <col min="4890" max="4890" width="17.5546875" bestFit="1" customWidth="1"/>
    <col min="4891" max="4891" width="12.44140625" bestFit="1" customWidth="1"/>
    <col min="4892" max="4892" width="13.44140625" bestFit="1" customWidth="1"/>
    <col min="5127" max="5127" width="33.5546875" customWidth="1"/>
    <col min="5128" max="5128" width="16" customWidth="1"/>
    <col min="5129" max="5130" width="15" bestFit="1" customWidth="1"/>
    <col min="5131" max="5131" width="16.5546875" bestFit="1" customWidth="1"/>
    <col min="5132" max="5132" width="12.5546875" customWidth="1"/>
    <col min="5133" max="5133" width="17.5546875" bestFit="1" customWidth="1"/>
    <col min="5134" max="5135" width="18.44140625" bestFit="1" customWidth="1"/>
    <col min="5136" max="5136" width="12.5546875" bestFit="1" customWidth="1"/>
    <col min="5137" max="5138" width="16.5546875" bestFit="1" customWidth="1"/>
    <col min="5139" max="5140" width="13.44140625" bestFit="1" customWidth="1"/>
    <col min="5141" max="5141" width="15.5546875" bestFit="1" customWidth="1"/>
    <col min="5142" max="5142" width="13.5546875" bestFit="1" customWidth="1"/>
    <col min="5143" max="5145" width="12.44140625" bestFit="1" customWidth="1"/>
    <col min="5146" max="5146" width="17.5546875" bestFit="1" customWidth="1"/>
    <col min="5147" max="5147" width="12.44140625" bestFit="1" customWidth="1"/>
    <col min="5148" max="5148" width="13.44140625" bestFit="1" customWidth="1"/>
    <col min="5383" max="5383" width="33.5546875" customWidth="1"/>
    <col min="5384" max="5384" width="16" customWidth="1"/>
    <col min="5385" max="5386" width="15" bestFit="1" customWidth="1"/>
    <col min="5387" max="5387" width="16.5546875" bestFit="1" customWidth="1"/>
    <col min="5388" max="5388" width="12.5546875" customWidth="1"/>
    <col min="5389" max="5389" width="17.5546875" bestFit="1" customWidth="1"/>
    <col min="5390" max="5391" width="18.44140625" bestFit="1" customWidth="1"/>
    <col min="5392" max="5392" width="12.5546875" bestFit="1" customWidth="1"/>
    <col min="5393" max="5394" width="16.5546875" bestFit="1" customWidth="1"/>
    <col min="5395" max="5396" width="13.44140625" bestFit="1" customWidth="1"/>
    <col min="5397" max="5397" width="15.5546875" bestFit="1" customWidth="1"/>
    <col min="5398" max="5398" width="13.5546875" bestFit="1" customWidth="1"/>
    <col min="5399" max="5401" width="12.44140625" bestFit="1" customWidth="1"/>
    <col min="5402" max="5402" width="17.5546875" bestFit="1" customWidth="1"/>
    <col min="5403" max="5403" width="12.44140625" bestFit="1" customWidth="1"/>
    <col min="5404" max="5404" width="13.44140625" bestFit="1" customWidth="1"/>
    <col min="5639" max="5639" width="33.5546875" customWidth="1"/>
    <col min="5640" max="5640" width="16" customWidth="1"/>
    <col min="5641" max="5642" width="15" bestFit="1" customWidth="1"/>
    <col min="5643" max="5643" width="16.5546875" bestFit="1" customWidth="1"/>
    <col min="5644" max="5644" width="12.5546875" customWidth="1"/>
    <col min="5645" max="5645" width="17.5546875" bestFit="1" customWidth="1"/>
    <col min="5646" max="5647" width="18.44140625" bestFit="1" customWidth="1"/>
    <col min="5648" max="5648" width="12.5546875" bestFit="1" customWidth="1"/>
    <col min="5649" max="5650" width="16.5546875" bestFit="1" customWidth="1"/>
    <col min="5651" max="5652" width="13.44140625" bestFit="1" customWidth="1"/>
    <col min="5653" max="5653" width="15.5546875" bestFit="1" customWidth="1"/>
    <col min="5654" max="5654" width="13.5546875" bestFit="1" customWidth="1"/>
    <col min="5655" max="5657" width="12.44140625" bestFit="1" customWidth="1"/>
    <col min="5658" max="5658" width="17.5546875" bestFit="1" customWidth="1"/>
    <col min="5659" max="5659" width="12.44140625" bestFit="1" customWidth="1"/>
    <col min="5660" max="5660" width="13.44140625" bestFit="1" customWidth="1"/>
    <col min="5895" max="5895" width="33.5546875" customWidth="1"/>
    <col min="5896" max="5896" width="16" customWidth="1"/>
    <col min="5897" max="5898" width="15" bestFit="1" customWidth="1"/>
    <col min="5899" max="5899" width="16.5546875" bestFit="1" customWidth="1"/>
    <col min="5900" max="5900" width="12.5546875" customWidth="1"/>
    <col min="5901" max="5901" width="17.5546875" bestFit="1" customWidth="1"/>
    <col min="5902" max="5903" width="18.44140625" bestFit="1" customWidth="1"/>
    <col min="5904" max="5904" width="12.5546875" bestFit="1" customWidth="1"/>
    <col min="5905" max="5906" width="16.5546875" bestFit="1" customWidth="1"/>
    <col min="5907" max="5908" width="13.44140625" bestFit="1" customWidth="1"/>
    <col min="5909" max="5909" width="15.5546875" bestFit="1" customWidth="1"/>
    <col min="5910" max="5910" width="13.5546875" bestFit="1" customWidth="1"/>
    <col min="5911" max="5913" width="12.44140625" bestFit="1" customWidth="1"/>
    <col min="5914" max="5914" width="17.5546875" bestFit="1" customWidth="1"/>
    <col min="5915" max="5915" width="12.44140625" bestFit="1" customWidth="1"/>
    <col min="5916" max="5916" width="13.44140625" bestFit="1" customWidth="1"/>
    <col min="6151" max="6151" width="33.5546875" customWidth="1"/>
    <col min="6152" max="6152" width="16" customWidth="1"/>
    <col min="6153" max="6154" width="15" bestFit="1" customWidth="1"/>
    <col min="6155" max="6155" width="16.5546875" bestFit="1" customWidth="1"/>
    <col min="6156" max="6156" width="12.5546875" customWidth="1"/>
    <col min="6157" max="6157" width="17.5546875" bestFit="1" customWidth="1"/>
    <col min="6158" max="6159" width="18.44140625" bestFit="1" customWidth="1"/>
    <col min="6160" max="6160" width="12.5546875" bestFit="1" customWidth="1"/>
    <col min="6161" max="6162" width="16.5546875" bestFit="1" customWidth="1"/>
    <col min="6163" max="6164" width="13.44140625" bestFit="1" customWidth="1"/>
    <col min="6165" max="6165" width="15.5546875" bestFit="1" customWidth="1"/>
    <col min="6166" max="6166" width="13.5546875" bestFit="1" customWidth="1"/>
    <col min="6167" max="6169" width="12.44140625" bestFit="1" customWidth="1"/>
    <col min="6170" max="6170" width="17.5546875" bestFit="1" customWidth="1"/>
    <col min="6171" max="6171" width="12.44140625" bestFit="1" customWidth="1"/>
    <col min="6172" max="6172" width="13.44140625" bestFit="1" customWidth="1"/>
    <col min="6407" max="6407" width="33.5546875" customWidth="1"/>
    <col min="6408" max="6408" width="16" customWidth="1"/>
    <col min="6409" max="6410" width="15" bestFit="1" customWidth="1"/>
    <col min="6411" max="6411" width="16.5546875" bestFit="1" customWidth="1"/>
    <col min="6412" max="6412" width="12.5546875" customWidth="1"/>
    <col min="6413" max="6413" width="17.5546875" bestFit="1" customWidth="1"/>
    <col min="6414" max="6415" width="18.44140625" bestFit="1" customWidth="1"/>
    <col min="6416" max="6416" width="12.5546875" bestFit="1" customWidth="1"/>
    <col min="6417" max="6418" width="16.5546875" bestFit="1" customWidth="1"/>
    <col min="6419" max="6420" width="13.44140625" bestFit="1" customWidth="1"/>
    <col min="6421" max="6421" width="15.5546875" bestFit="1" customWidth="1"/>
    <col min="6422" max="6422" width="13.5546875" bestFit="1" customWidth="1"/>
    <col min="6423" max="6425" width="12.44140625" bestFit="1" customWidth="1"/>
    <col min="6426" max="6426" width="17.5546875" bestFit="1" customWidth="1"/>
    <col min="6427" max="6427" width="12.44140625" bestFit="1" customWidth="1"/>
    <col min="6428" max="6428" width="13.44140625" bestFit="1" customWidth="1"/>
    <col min="6663" max="6663" width="33.5546875" customWidth="1"/>
    <col min="6664" max="6664" width="16" customWidth="1"/>
    <col min="6665" max="6666" width="15" bestFit="1" customWidth="1"/>
    <col min="6667" max="6667" width="16.5546875" bestFit="1" customWidth="1"/>
    <col min="6668" max="6668" width="12.5546875" customWidth="1"/>
    <col min="6669" max="6669" width="17.5546875" bestFit="1" customWidth="1"/>
    <col min="6670" max="6671" width="18.44140625" bestFit="1" customWidth="1"/>
    <col min="6672" max="6672" width="12.5546875" bestFit="1" customWidth="1"/>
    <col min="6673" max="6674" width="16.5546875" bestFit="1" customWidth="1"/>
    <col min="6675" max="6676" width="13.44140625" bestFit="1" customWidth="1"/>
    <col min="6677" max="6677" width="15.5546875" bestFit="1" customWidth="1"/>
    <col min="6678" max="6678" width="13.5546875" bestFit="1" customWidth="1"/>
    <col min="6679" max="6681" width="12.44140625" bestFit="1" customWidth="1"/>
    <col min="6682" max="6682" width="17.5546875" bestFit="1" customWidth="1"/>
    <col min="6683" max="6683" width="12.44140625" bestFit="1" customWidth="1"/>
    <col min="6684" max="6684" width="13.44140625" bestFit="1" customWidth="1"/>
    <col min="6919" max="6919" width="33.5546875" customWidth="1"/>
    <col min="6920" max="6920" width="16" customWidth="1"/>
    <col min="6921" max="6922" width="15" bestFit="1" customWidth="1"/>
    <col min="6923" max="6923" width="16.5546875" bestFit="1" customWidth="1"/>
    <col min="6924" max="6924" width="12.5546875" customWidth="1"/>
    <col min="6925" max="6925" width="17.5546875" bestFit="1" customWidth="1"/>
    <col min="6926" max="6927" width="18.44140625" bestFit="1" customWidth="1"/>
    <col min="6928" max="6928" width="12.5546875" bestFit="1" customWidth="1"/>
    <col min="6929" max="6930" width="16.5546875" bestFit="1" customWidth="1"/>
    <col min="6931" max="6932" width="13.44140625" bestFit="1" customWidth="1"/>
    <col min="6933" max="6933" width="15.5546875" bestFit="1" customWidth="1"/>
    <col min="6934" max="6934" width="13.5546875" bestFit="1" customWidth="1"/>
    <col min="6935" max="6937" width="12.44140625" bestFit="1" customWidth="1"/>
    <col min="6938" max="6938" width="17.5546875" bestFit="1" customWidth="1"/>
    <col min="6939" max="6939" width="12.44140625" bestFit="1" customWidth="1"/>
    <col min="6940" max="6940" width="13.44140625" bestFit="1" customWidth="1"/>
    <col min="7175" max="7175" width="33.5546875" customWidth="1"/>
    <col min="7176" max="7176" width="16" customWidth="1"/>
    <col min="7177" max="7178" width="15" bestFit="1" customWidth="1"/>
    <col min="7179" max="7179" width="16.5546875" bestFit="1" customWidth="1"/>
    <col min="7180" max="7180" width="12.5546875" customWidth="1"/>
    <col min="7181" max="7181" width="17.5546875" bestFit="1" customWidth="1"/>
    <col min="7182" max="7183" width="18.44140625" bestFit="1" customWidth="1"/>
    <col min="7184" max="7184" width="12.5546875" bestFit="1" customWidth="1"/>
    <col min="7185" max="7186" width="16.5546875" bestFit="1" customWidth="1"/>
    <col min="7187" max="7188" width="13.44140625" bestFit="1" customWidth="1"/>
    <col min="7189" max="7189" width="15.5546875" bestFit="1" customWidth="1"/>
    <col min="7190" max="7190" width="13.5546875" bestFit="1" customWidth="1"/>
    <col min="7191" max="7193" width="12.44140625" bestFit="1" customWidth="1"/>
    <col min="7194" max="7194" width="17.5546875" bestFit="1" customWidth="1"/>
    <col min="7195" max="7195" width="12.44140625" bestFit="1" customWidth="1"/>
    <col min="7196" max="7196" width="13.44140625" bestFit="1" customWidth="1"/>
    <col min="7431" max="7431" width="33.5546875" customWidth="1"/>
    <col min="7432" max="7432" width="16" customWidth="1"/>
    <col min="7433" max="7434" width="15" bestFit="1" customWidth="1"/>
    <col min="7435" max="7435" width="16.5546875" bestFit="1" customWidth="1"/>
    <col min="7436" max="7436" width="12.5546875" customWidth="1"/>
    <col min="7437" max="7437" width="17.5546875" bestFit="1" customWidth="1"/>
    <col min="7438" max="7439" width="18.44140625" bestFit="1" customWidth="1"/>
    <col min="7440" max="7440" width="12.5546875" bestFit="1" customWidth="1"/>
    <col min="7441" max="7442" width="16.5546875" bestFit="1" customWidth="1"/>
    <col min="7443" max="7444" width="13.44140625" bestFit="1" customWidth="1"/>
    <col min="7445" max="7445" width="15.5546875" bestFit="1" customWidth="1"/>
    <col min="7446" max="7446" width="13.5546875" bestFit="1" customWidth="1"/>
    <col min="7447" max="7449" width="12.44140625" bestFit="1" customWidth="1"/>
    <col min="7450" max="7450" width="17.5546875" bestFit="1" customWidth="1"/>
    <col min="7451" max="7451" width="12.44140625" bestFit="1" customWidth="1"/>
    <col min="7452" max="7452" width="13.44140625" bestFit="1" customWidth="1"/>
    <col min="7687" max="7687" width="33.5546875" customWidth="1"/>
    <col min="7688" max="7688" width="16" customWidth="1"/>
    <col min="7689" max="7690" width="15" bestFit="1" customWidth="1"/>
    <col min="7691" max="7691" width="16.5546875" bestFit="1" customWidth="1"/>
    <col min="7692" max="7692" width="12.5546875" customWidth="1"/>
    <col min="7693" max="7693" width="17.5546875" bestFit="1" customWidth="1"/>
    <col min="7694" max="7695" width="18.44140625" bestFit="1" customWidth="1"/>
    <col min="7696" max="7696" width="12.5546875" bestFit="1" customWidth="1"/>
    <col min="7697" max="7698" width="16.5546875" bestFit="1" customWidth="1"/>
    <col min="7699" max="7700" width="13.44140625" bestFit="1" customWidth="1"/>
    <col min="7701" max="7701" width="15.5546875" bestFit="1" customWidth="1"/>
    <col min="7702" max="7702" width="13.5546875" bestFit="1" customWidth="1"/>
    <col min="7703" max="7705" width="12.44140625" bestFit="1" customWidth="1"/>
    <col min="7706" max="7706" width="17.5546875" bestFit="1" customWidth="1"/>
    <col min="7707" max="7707" width="12.44140625" bestFit="1" customWidth="1"/>
    <col min="7708" max="7708" width="13.44140625" bestFit="1" customWidth="1"/>
    <col min="7943" max="7943" width="33.5546875" customWidth="1"/>
    <col min="7944" max="7944" width="16" customWidth="1"/>
    <col min="7945" max="7946" width="15" bestFit="1" customWidth="1"/>
    <col min="7947" max="7947" width="16.5546875" bestFit="1" customWidth="1"/>
    <col min="7948" max="7948" width="12.5546875" customWidth="1"/>
    <col min="7949" max="7949" width="17.5546875" bestFit="1" customWidth="1"/>
    <col min="7950" max="7951" width="18.44140625" bestFit="1" customWidth="1"/>
    <col min="7952" max="7952" width="12.5546875" bestFit="1" customWidth="1"/>
    <col min="7953" max="7954" width="16.5546875" bestFit="1" customWidth="1"/>
    <col min="7955" max="7956" width="13.44140625" bestFit="1" customWidth="1"/>
    <col min="7957" max="7957" width="15.5546875" bestFit="1" customWidth="1"/>
    <col min="7958" max="7958" width="13.5546875" bestFit="1" customWidth="1"/>
    <col min="7959" max="7961" width="12.44140625" bestFit="1" customWidth="1"/>
    <col min="7962" max="7962" width="17.5546875" bestFit="1" customWidth="1"/>
    <col min="7963" max="7963" width="12.44140625" bestFit="1" customWidth="1"/>
    <col min="7964" max="7964" width="13.44140625" bestFit="1" customWidth="1"/>
    <col min="8199" max="8199" width="33.5546875" customWidth="1"/>
    <col min="8200" max="8200" width="16" customWidth="1"/>
    <col min="8201" max="8202" width="15" bestFit="1" customWidth="1"/>
    <col min="8203" max="8203" width="16.5546875" bestFit="1" customWidth="1"/>
    <col min="8204" max="8204" width="12.5546875" customWidth="1"/>
    <col min="8205" max="8205" width="17.5546875" bestFit="1" customWidth="1"/>
    <col min="8206" max="8207" width="18.44140625" bestFit="1" customWidth="1"/>
    <col min="8208" max="8208" width="12.5546875" bestFit="1" customWidth="1"/>
    <col min="8209" max="8210" width="16.5546875" bestFit="1" customWidth="1"/>
    <col min="8211" max="8212" width="13.44140625" bestFit="1" customWidth="1"/>
    <col min="8213" max="8213" width="15.5546875" bestFit="1" customWidth="1"/>
    <col min="8214" max="8214" width="13.5546875" bestFit="1" customWidth="1"/>
    <col min="8215" max="8217" width="12.44140625" bestFit="1" customWidth="1"/>
    <col min="8218" max="8218" width="17.5546875" bestFit="1" customWidth="1"/>
    <col min="8219" max="8219" width="12.44140625" bestFit="1" customWidth="1"/>
    <col min="8220" max="8220" width="13.44140625" bestFit="1" customWidth="1"/>
    <col min="8455" max="8455" width="33.5546875" customWidth="1"/>
    <col min="8456" max="8456" width="16" customWidth="1"/>
    <col min="8457" max="8458" width="15" bestFit="1" customWidth="1"/>
    <col min="8459" max="8459" width="16.5546875" bestFit="1" customWidth="1"/>
    <col min="8460" max="8460" width="12.5546875" customWidth="1"/>
    <col min="8461" max="8461" width="17.5546875" bestFit="1" customWidth="1"/>
    <col min="8462" max="8463" width="18.44140625" bestFit="1" customWidth="1"/>
    <col min="8464" max="8464" width="12.5546875" bestFit="1" customWidth="1"/>
    <col min="8465" max="8466" width="16.5546875" bestFit="1" customWidth="1"/>
    <col min="8467" max="8468" width="13.44140625" bestFit="1" customWidth="1"/>
    <col min="8469" max="8469" width="15.5546875" bestFit="1" customWidth="1"/>
    <col min="8470" max="8470" width="13.5546875" bestFit="1" customWidth="1"/>
    <col min="8471" max="8473" width="12.44140625" bestFit="1" customWidth="1"/>
    <col min="8474" max="8474" width="17.5546875" bestFit="1" customWidth="1"/>
    <col min="8475" max="8475" width="12.44140625" bestFit="1" customWidth="1"/>
    <col min="8476" max="8476" width="13.44140625" bestFit="1" customWidth="1"/>
    <col min="8711" max="8711" width="33.5546875" customWidth="1"/>
    <col min="8712" max="8712" width="16" customWidth="1"/>
    <col min="8713" max="8714" width="15" bestFit="1" customWidth="1"/>
    <col min="8715" max="8715" width="16.5546875" bestFit="1" customWidth="1"/>
    <col min="8716" max="8716" width="12.5546875" customWidth="1"/>
    <col min="8717" max="8717" width="17.5546875" bestFit="1" customWidth="1"/>
    <col min="8718" max="8719" width="18.44140625" bestFit="1" customWidth="1"/>
    <col min="8720" max="8720" width="12.5546875" bestFit="1" customWidth="1"/>
    <col min="8721" max="8722" width="16.5546875" bestFit="1" customWidth="1"/>
    <col min="8723" max="8724" width="13.44140625" bestFit="1" customWidth="1"/>
    <col min="8725" max="8725" width="15.5546875" bestFit="1" customWidth="1"/>
    <col min="8726" max="8726" width="13.5546875" bestFit="1" customWidth="1"/>
    <col min="8727" max="8729" width="12.44140625" bestFit="1" customWidth="1"/>
    <col min="8730" max="8730" width="17.5546875" bestFit="1" customWidth="1"/>
    <col min="8731" max="8731" width="12.44140625" bestFit="1" customWidth="1"/>
    <col min="8732" max="8732" width="13.44140625" bestFit="1" customWidth="1"/>
    <col min="8967" max="8967" width="33.5546875" customWidth="1"/>
    <col min="8968" max="8968" width="16" customWidth="1"/>
    <col min="8969" max="8970" width="15" bestFit="1" customWidth="1"/>
    <col min="8971" max="8971" width="16.5546875" bestFit="1" customWidth="1"/>
    <col min="8972" max="8972" width="12.5546875" customWidth="1"/>
    <col min="8973" max="8973" width="17.5546875" bestFit="1" customWidth="1"/>
    <col min="8974" max="8975" width="18.44140625" bestFit="1" customWidth="1"/>
    <col min="8976" max="8976" width="12.5546875" bestFit="1" customWidth="1"/>
    <col min="8977" max="8978" width="16.5546875" bestFit="1" customWidth="1"/>
    <col min="8979" max="8980" width="13.44140625" bestFit="1" customWidth="1"/>
    <col min="8981" max="8981" width="15.5546875" bestFit="1" customWidth="1"/>
    <col min="8982" max="8982" width="13.5546875" bestFit="1" customWidth="1"/>
    <col min="8983" max="8985" width="12.44140625" bestFit="1" customWidth="1"/>
    <col min="8986" max="8986" width="17.5546875" bestFit="1" customWidth="1"/>
    <col min="8987" max="8987" width="12.44140625" bestFit="1" customWidth="1"/>
    <col min="8988" max="8988" width="13.44140625" bestFit="1" customWidth="1"/>
    <col min="9223" max="9223" width="33.5546875" customWidth="1"/>
    <col min="9224" max="9224" width="16" customWidth="1"/>
    <col min="9225" max="9226" width="15" bestFit="1" customWidth="1"/>
    <col min="9227" max="9227" width="16.5546875" bestFit="1" customWidth="1"/>
    <col min="9228" max="9228" width="12.5546875" customWidth="1"/>
    <col min="9229" max="9229" width="17.5546875" bestFit="1" customWidth="1"/>
    <col min="9230" max="9231" width="18.44140625" bestFit="1" customWidth="1"/>
    <col min="9232" max="9232" width="12.5546875" bestFit="1" customWidth="1"/>
    <col min="9233" max="9234" width="16.5546875" bestFit="1" customWidth="1"/>
    <col min="9235" max="9236" width="13.44140625" bestFit="1" customWidth="1"/>
    <col min="9237" max="9237" width="15.5546875" bestFit="1" customWidth="1"/>
    <col min="9238" max="9238" width="13.5546875" bestFit="1" customWidth="1"/>
    <col min="9239" max="9241" width="12.44140625" bestFit="1" customWidth="1"/>
    <col min="9242" max="9242" width="17.5546875" bestFit="1" customWidth="1"/>
    <col min="9243" max="9243" width="12.44140625" bestFit="1" customWidth="1"/>
    <col min="9244" max="9244" width="13.44140625" bestFit="1" customWidth="1"/>
    <col min="9479" max="9479" width="33.5546875" customWidth="1"/>
    <col min="9480" max="9480" width="16" customWidth="1"/>
    <col min="9481" max="9482" width="15" bestFit="1" customWidth="1"/>
    <col min="9483" max="9483" width="16.5546875" bestFit="1" customWidth="1"/>
    <col min="9484" max="9484" width="12.5546875" customWidth="1"/>
    <col min="9485" max="9485" width="17.5546875" bestFit="1" customWidth="1"/>
    <col min="9486" max="9487" width="18.44140625" bestFit="1" customWidth="1"/>
    <col min="9488" max="9488" width="12.5546875" bestFit="1" customWidth="1"/>
    <col min="9489" max="9490" width="16.5546875" bestFit="1" customWidth="1"/>
    <col min="9491" max="9492" width="13.44140625" bestFit="1" customWidth="1"/>
    <col min="9493" max="9493" width="15.5546875" bestFit="1" customWidth="1"/>
    <col min="9494" max="9494" width="13.5546875" bestFit="1" customWidth="1"/>
    <col min="9495" max="9497" width="12.44140625" bestFit="1" customWidth="1"/>
    <col min="9498" max="9498" width="17.5546875" bestFit="1" customWidth="1"/>
    <col min="9499" max="9499" width="12.44140625" bestFit="1" customWidth="1"/>
    <col min="9500" max="9500" width="13.44140625" bestFit="1" customWidth="1"/>
    <col min="9735" max="9735" width="33.5546875" customWidth="1"/>
    <col min="9736" max="9736" width="16" customWidth="1"/>
    <col min="9737" max="9738" width="15" bestFit="1" customWidth="1"/>
    <col min="9739" max="9739" width="16.5546875" bestFit="1" customWidth="1"/>
    <col min="9740" max="9740" width="12.5546875" customWidth="1"/>
    <col min="9741" max="9741" width="17.5546875" bestFit="1" customWidth="1"/>
    <col min="9742" max="9743" width="18.44140625" bestFit="1" customWidth="1"/>
    <col min="9744" max="9744" width="12.5546875" bestFit="1" customWidth="1"/>
    <col min="9745" max="9746" width="16.5546875" bestFit="1" customWidth="1"/>
    <col min="9747" max="9748" width="13.44140625" bestFit="1" customWidth="1"/>
    <col min="9749" max="9749" width="15.5546875" bestFit="1" customWidth="1"/>
    <col min="9750" max="9750" width="13.5546875" bestFit="1" customWidth="1"/>
    <col min="9751" max="9753" width="12.44140625" bestFit="1" customWidth="1"/>
    <col min="9754" max="9754" width="17.5546875" bestFit="1" customWidth="1"/>
    <col min="9755" max="9755" width="12.44140625" bestFit="1" customWidth="1"/>
    <col min="9756" max="9756" width="13.44140625" bestFit="1" customWidth="1"/>
    <col min="9991" max="9991" width="33.5546875" customWidth="1"/>
    <col min="9992" max="9992" width="16" customWidth="1"/>
    <col min="9993" max="9994" width="15" bestFit="1" customWidth="1"/>
    <col min="9995" max="9995" width="16.5546875" bestFit="1" customWidth="1"/>
    <col min="9996" max="9996" width="12.5546875" customWidth="1"/>
    <col min="9997" max="9997" width="17.5546875" bestFit="1" customWidth="1"/>
    <col min="9998" max="9999" width="18.44140625" bestFit="1" customWidth="1"/>
    <col min="10000" max="10000" width="12.5546875" bestFit="1" customWidth="1"/>
    <col min="10001" max="10002" width="16.5546875" bestFit="1" customWidth="1"/>
    <col min="10003" max="10004" width="13.44140625" bestFit="1" customWidth="1"/>
    <col min="10005" max="10005" width="15.5546875" bestFit="1" customWidth="1"/>
    <col min="10006" max="10006" width="13.5546875" bestFit="1" customWidth="1"/>
    <col min="10007" max="10009" width="12.44140625" bestFit="1" customWidth="1"/>
    <col min="10010" max="10010" width="17.5546875" bestFit="1" customWidth="1"/>
    <col min="10011" max="10011" width="12.44140625" bestFit="1" customWidth="1"/>
    <col min="10012" max="10012" width="13.44140625" bestFit="1" customWidth="1"/>
    <col min="10247" max="10247" width="33.5546875" customWidth="1"/>
    <col min="10248" max="10248" width="16" customWidth="1"/>
    <col min="10249" max="10250" width="15" bestFit="1" customWidth="1"/>
    <col min="10251" max="10251" width="16.5546875" bestFit="1" customWidth="1"/>
    <col min="10252" max="10252" width="12.5546875" customWidth="1"/>
    <col min="10253" max="10253" width="17.5546875" bestFit="1" customWidth="1"/>
    <col min="10254" max="10255" width="18.44140625" bestFit="1" customWidth="1"/>
    <col min="10256" max="10256" width="12.5546875" bestFit="1" customWidth="1"/>
    <col min="10257" max="10258" width="16.5546875" bestFit="1" customWidth="1"/>
    <col min="10259" max="10260" width="13.44140625" bestFit="1" customWidth="1"/>
    <col min="10261" max="10261" width="15.5546875" bestFit="1" customWidth="1"/>
    <col min="10262" max="10262" width="13.5546875" bestFit="1" customWidth="1"/>
    <col min="10263" max="10265" width="12.44140625" bestFit="1" customWidth="1"/>
    <col min="10266" max="10266" width="17.5546875" bestFit="1" customWidth="1"/>
    <col min="10267" max="10267" width="12.44140625" bestFit="1" customWidth="1"/>
    <col min="10268" max="10268" width="13.44140625" bestFit="1" customWidth="1"/>
    <col min="10503" max="10503" width="33.5546875" customWidth="1"/>
    <col min="10504" max="10504" width="16" customWidth="1"/>
    <col min="10505" max="10506" width="15" bestFit="1" customWidth="1"/>
    <col min="10507" max="10507" width="16.5546875" bestFit="1" customWidth="1"/>
    <col min="10508" max="10508" width="12.5546875" customWidth="1"/>
    <col min="10509" max="10509" width="17.5546875" bestFit="1" customWidth="1"/>
    <col min="10510" max="10511" width="18.44140625" bestFit="1" customWidth="1"/>
    <col min="10512" max="10512" width="12.5546875" bestFit="1" customWidth="1"/>
    <col min="10513" max="10514" width="16.5546875" bestFit="1" customWidth="1"/>
    <col min="10515" max="10516" width="13.44140625" bestFit="1" customWidth="1"/>
    <col min="10517" max="10517" width="15.5546875" bestFit="1" customWidth="1"/>
    <col min="10518" max="10518" width="13.5546875" bestFit="1" customWidth="1"/>
    <col min="10519" max="10521" width="12.44140625" bestFit="1" customWidth="1"/>
    <col min="10522" max="10522" width="17.5546875" bestFit="1" customWidth="1"/>
    <col min="10523" max="10523" width="12.44140625" bestFit="1" customWidth="1"/>
    <col min="10524" max="10524" width="13.44140625" bestFit="1" customWidth="1"/>
    <col min="10759" max="10759" width="33.5546875" customWidth="1"/>
    <col min="10760" max="10760" width="16" customWidth="1"/>
    <col min="10761" max="10762" width="15" bestFit="1" customWidth="1"/>
    <col min="10763" max="10763" width="16.5546875" bestFit="1" customWidth="1"/>
    <col min="10764" max="10764" width="12.5546875" customWidth="1"/>
    <col min="10765" max="10765" width="17.5546875" bestFit="1" customWidth="1"/>
    <col min="10766" max="10767" width="18.44140625" bestFit="1" customWidth="1"/>
    <col min="10768" max="10768" width="12.5546875" bestFit="1" customWidth="1"/>
    <col min="10769" max="10770" width="16.5546875" bestFit="1" customWidth="1"/>
    <col min="10771" max="10772" width="13.44140625" bestFit="1" customWidth="1"/>
    <col min="10773" max="10773" width="15.5546875" bestFit="1" customWidth="1"/>
    <col min="10774" max="10774" width="13.5546875" bestFit="1" customWidth="1"/>
    <col min="10775" max="10777" width="12.44140625" bestFit="1" customWidth="1"/>
    <col min="10778" max="10778" width="17.5546875" bestFit="1" customWidth="1"/>
    <col min="10779" max="10779" width="12.44140625" bestFit="1" customWidth="1"/>
    <col min="10780" max="10780" width="13.44140625" bestFit="1" customWidth="1"/>
    <col min="11015" max="11015" width="33.5546875" customWidth="1"/>
    <col min="11016" max="11016" width="16" customWidth="1"/>
    <col min="11017" max="11018" width="15" bestFit="1" customWidth="1"/>
    <col min="11019" max="11019" width="16.5546875" bestFit="1" customWidth="1"/>
    <col min="11020" max="11020" width="12.5546875" customWidth="1"/>
    <col min="11021" max="11021" width="17.5546875" bestFit="1" customWidth="1"/>
    <col min="11022" max="11023" width="18.44140625" bestFit="1" customWidth="1"/>
    <col min="11024" max="11024" width="12.5546875" bestFit="1" customWidth="1"/>
    <col min="11025" max="11026" width="16.5546875" bestFit="1" customWidth="1"/>
    <col min="11027" max="11028" width="13.44140625" bestFit="1" customWidth="1"/>
    <col min="11029" max="11029" width="15.5546875" bestFit="1" customWidth="1"/>
    <col min="11030" max="11030" width="13.5546875" bestFit="1" customWidth="1"/>
    <col min="11031" max="11033" width="12.44140625" bestFit="1" customWidth="1"/>
    <col min="11034" max="11034" width="17.5546875" bestFit="1" customWidth="1"/>
    <col min="11035" max="11035" width="12.44140625" bestFit="1" customWidth="1"/>
    <col min="11036" max="11036" width="13.44140625" bestFit="1" customWidth="1"/>
    <col min="11271" max="11271" width="33.5546875" customWidth="1"/>
    <col min="11272" max="11272" width="16" customWidth="1"/>
    <col min="11273" max="11274" width="15" bestFit="1" customWidth="1"/>
    <col min="11275" max="11275" width="16.5546875" bestFit="1" customWidth="1"/>
    <col min="11276" max="11276" width="12.5546875" customWidth="1"/>
    <col min="11277" max="11277" width="17.5546875" bestFit="1" customWidth="1"/>
    <col min="11278" max="11279" width="18.44140625" bestFit="1" customWidth="1"/>
    <col min="11280" max="11280" width="12.5546875" bestFit="1" customWidth="1"/>
    <col min="11281" max="11282" width="16.5546875" bestFit="1" customWidth="1"/>
    <col min="11283" max="11284" width="13.44140625" bestFit="1" customWidth="1"/>
    <col min="11285" max="11285" width="15.5546875" bestFit="1" customWidth="1"/>
    <col min="11286" max="11286" width="13.5546875" bestFit="1" customWidth="1"/>
    <col min="11287" max="11289" width="12.44140625" bestFit="1" customWidth="1"/>
    <col min="11290" max="11290" width="17.5546875" bestFit="1" customWidth="1"/>
    <col min="11291" max="11291" width="12.44140625" bestFit="1" customWidth="1"/>
    <col min="11292" max="11292" width="13.44140625" bestFit="1" customWidth="1"/>
    <col min="11527" max="11527" width="33.5546875" customWidth="1"/>
    <col min="11528" max="11528" width="16" customWidth="1"/>
    <col min="11529" max="11530" width="15" bestFit="1" customWidth="1"/>
    <col min="11531" max="11531" width="16.5546875" bestFit="1" customWidth="1"/>
    <col min="11532" max="11532" width="12.5546875" customWidth="1"/>
    <col min="11533" max="11533" width="17.5546875" bestFit="1" customWidth="1"/>
    <col min="11534" max="11535" width="18.44140625" bestFit="1" customWidth="1"/>
    <col min="11536" max="11536" width="12.5546875" bestFit="1" customWidth="1"/>
    <col min="11537" max="11538" width="16.5546875" bestFit="1" customWidth="1"/>
    <col min="11539" max="11540" width="13.44140625" bestFit="1" customWidth="1"/>
    <col min="11541" max="11541" width="15.5546875" bestFit="1" customWidth="1"/>
    <col min="11542" max="11542" width="13.5546875" bestFit="1" customWidth="1"/>
    <col min="11543" max="11545" width="12.44140625" bestFit="1" customWidth="1"/>
    <col min="11546" max="11546" width="17.5546875" bestFit="1" customWidth="1"/>
    <col min="11547" max="11547" width="12.44140625" bestFit="1" customWidth="1"/>
    <col min="11548" max="11548" width="13.44140625" bestFit="1" customWidth="1"/>
    <col min="11783" max="11783" width="33.5546875" customWidth="1"/>
    <col min="11784" max="11784" width="16" customWidth="1"/>
    <col min="11785" max="11786" width="15" bestFit="1" customWidth="1"/>
    <col min="11787" max="11787" width="16.5546875" bestFit="1" customWidth="1"/>
    <col min="11788" max="11788" width="12.5546875" customWidth="1"/>
    <col min="11789" max="11789" width="17.5546875" bestFit="1" customWidth="1"/>
    <col min="11790" max="11791" width="18.44140625" bestFit="1" customWidth="1"/>
    <col min="11792" max="11792" width="12.5546875" bestFit="1" customWidth="1"/>
    <col min="11793" max="11794" width="16.5546875" bestFit="1" customWidth="1"/>
    <col min="11795" max="11796" width="13.44140625" bestFit="1" customWidth="1"/>
    <col min="11797" max="11797" width="15.5546875" bestFit="1" customWidth="1"/>
    <col min="11798" max="11798" width="13.5546875" bestFit="1" customWidth="1"/>
    <col min="11799" max="11801" width="12.44140625" bestFit="1" customWidth="1"/>
    <col min="11802" max="11802" width="17.5546875" bestFit="1" customWidth="1"/>
    <col min="11803" max="11803" width="12.44140625" bestFit="1" customWidth="1"/>
    <col min="11804" max="11804" width="13.44140625" bestFit="1" customWidth="1"/>
    <col min="12039" max="12039" width="33.5546875" customWidth="1"/>
    <col min="12040" max="12040" width="16" customWidth="1"/>
    <col min="12041" max="12042" width="15" bestFit="1" customWidth="1"/>
    <col min="12043" max="12043" width="16.5546875" bestFit="1" customWidth="1"/>
    <col min="12044" max="12044" width="12.5546875" customWidth="1"/>
    <col min="12045" max="12045" width="17.5546875" bestFit="1" customWidth="1"/>
    <col min="12046" max="12047" width="18.44140625" bestFit="1" customWidth="1"/>
    <col min="12048" max="12048" width="12.5546875" bestFit="1" customWidth="1"/>
    <col min="12049" max="12050" width="16.5546875" bestFit="1" customWidth="1"/>
    <col min="12051" max="12052" width="13.44140625" bestFit="1" customWidth="1"/>
    <col min="12053" max="12053" width="15.5546875" bestFit="1" customWidth="1"/>
    <col min="12054" max="12054" width="13.5546875" bestFit="1" customWidth="1"/>
    <col min="12055" max="12057" width="12.44140625" bestFit="1" customWidth="1"/>
    <col min="12058" max="12058" width="17.5546875" bestFit="1" customWidth="1"/>
    <col min="12059" max="12059" width="12.44140625" bestFit="1" customWidth="1"/>
    <col min="12060" max="12060" width="13.44140625" bestFit="1" customWidth="1"/>
    <col min="12295" max="12295" width="33.5546875" customWidth="1"/>
    <col min="12296" max="12296" width="16" customWidth="1"/>
    <col min="12297" max="12298" width="15" bestFit="1" customWidth="1"/>
    <col min="12299" max="12299" width="16.5546875" bestFit="1" customWidth="1"/>
    <col min="12300" max="12300" width="12.5546875" customWidth="1"/>
    <col min="12301" max="12301" width="17.5546875" bestFit="1" customWidth="1"/>
    <col min="12302" max="12303" width="18.44140625" bestFit="1" customWidth="1"/>
    <col min="12304" max="12304" width="12.5546875" bestFit="1" customWidth="1"/>
    <col min="12305" max="12306" width="16.5546875" bestFit="1" customWidth="1"/>
    <col min="12307" max="12308" width="13.44140625" bestFit="1" customWidth="1"/>
    <col min="12309" max="12309" width="15.5546875" bestFit="1" customWidth="1"/>
    <col min="12310" max="12310" width="13.5546875" bestFit="1" customWidth="1"/>
    <col min="12311" max="12313" width="12.44140625" bestFit="1" customWidth="1"/>
    <col min="12314" max="12314" width="17.5546875" bestFit="1" customWidth="1"/>
    <col min="12315" max="12315" width="12.44140625" bestFit="1" customWidth="1"/>
    <col min="12316" max="12316" width="13.44140625" bestFit="1" customWidth="1"/>
    <col min="12551" max="12551" width="33.5546875" customWidth="1"/>
    <col min="12552" max="12552" width="16" customWidth="1"/>
    <col min="12553" max="12554" width="15" bestFit="1" customWidth="1"/>
    <col min="12555" max="12555" width="16.5546875" bestFit="1" customWidth="1"/>
    <col min="12556" max="12556" width="12.5546875" customWidth="1"/>
    <col min="12557" max="12557" width="17.5546875" bestFit="1" customWidth="1"/>
    <col min="12558" max="12559" width="18.44140625" bestFit="1" customWidth="1"/>
    <col min="12560" max="12560" width="12.5546875" bestFit="1" customWidth="1"/>
    <col min="12561" max="12562" width="16.5546875" bestFit="1" customWidth="1"/>
    <col min="12563" max="12564" width="13.44140625" bestFit="1" customWidth="1"/>
    <col min="12565" max="12565" width="15.5546875" bestFit="1" customWidth="1"/>
    <col min="12566" max="12566" width="13.5546875" bestFit="1" customWidth="1"/>
    <col min="12567" max="12569" width="12.44140625" bestFit="1" customWidth="1"/>
    <col min="12570" max="12570" width="17.5546875" bestFit="1" customWidth="1"/>
    <col min="12571" max="12571" width="12.44140625" bestFit="1" customWidth="1"/>
    <col min="12572" max="12572" width="13.44140625" bestFit="1" customWidth="1"/>
    <col min="12807" max="12807" width="33.5546875" customWidth="1"/>
    <col min="12808" max="12808" width="16" customWidth="1"/>
    <col min="12809" max="12810" width="15" bestFit="1" customWidth="1"/>
    <col min="12811" max="12811" width="16.5546875" bestFit="1" customWidth="1"/>
    <col min="12812" max="12812" width="12.5546875" customWidth="1"/>
    <col min="12813" max="12813" width="17.5546875" bestFit="1" customWidth="1"/>
    <col min="12814" max="12815" width="18.44140625" bestFit="1" customWidth="1"/>
    <col min="12816" max="12816" width="12.5546875" bestFit="1" customWidth="1"/>
    <col min="12817" max="12818" width="16.5546875" bestFit="1" customWidth="1"/>
    <col min="12819" max="12820" width="13.44140625" bestFit="1" customWidth="1"/>
    <col min="12821" max="12821" width="15.5546875" bestFit="1" customWidth="1"/>
    <col min="12822" max="12822" width="13.5546875" bestFit="1" customWidth="1"/>
    <col min="12823" max="12825" width="12.44140625" bestFit="1" customWidth="1"/>
    <col min="12826" max="12826" width="17.5546875" bestFit="1" customWidth="1"/>
    <col min="12827" max="12827" width="12.44140625" bestFit="1" customWidth="1"/>
    <col min="12828" max="12828" width="13.44140625" bestFit="1" customWidth="1"/>
    <col min="13063" max="13063" width="33.5546875" customWidth="1"/>
    <col min="13064" max="13064" width="16" customWidth="1"/>
    <col min="13065" max="13066" width="15" bestFit="1" customWidth="1"/>
    <col min="13067" max="13067" width="16.5546875" bestFit="1" customWidth="1"/>
    <col min="13068" max="13068" width="12.5546875" customWidth="1"/>
    <col min="13069" max="13069" width="17.5546875" bestFit="1" customWidth="1"/>
    <col min="13070" max="13071" width="18.44140625" bestFit="1" customWidth="1"/>
    <col min="13072" max="13072" width="12.5546875" bestFit="1" customWidth="1"/>
    <col min="13073" max="13074" width="16.5546875" bestFit="1" customWidth="1"/>
    <col min="13075" max="13076" width="13.44140625" bestFit="1" customWidth="1"/>
    <col min="13077" max="13077" width="15.5546875" bestFit="1" customWidth="1"/>
    <col min="13078" max="13078" width="13.5546875" bestFit="1" customWidth="1"/>
    <col min="13079" max="13081" width="12.44140625" bestFit="1" customWidth="1"/>
    <col min="13082" max="13082" width="17.5546875" bestFit="1" customWidth="1"/>
    <col min="13083" max="13083" width="12.44140625" bestFit="1" customWidth="1"/>
    <col min="13084" max="13084" width="13.44140625" bestFit="1" customWidth="1"/>
    <col min="13319" max="13319" width="33.5546875" customWidth="1"/>
    <col min="13320" max="13320" width="16" customWidth="1"/>
    <col min="13321" max="13322" width="15" bestFit="1" customWidth="1"/>
    <col min="13323" max="13323" width="16.5546875" bestFit="1" customWidth="1"/>
    <col min="13324" max="13324" width="12.5546875" customWidth="1"/>
    <col min="13325" max="13325" width="17.5546875" bestFit="1" customWidth="1"/>
    <col min="13326" max="13327" width="18.44140625" bestFit="1" customWidth="1"/>
    <col min="13328" max="13328" width="12.5546875" bestFit="1" customWidth="1"/>
    <col min="13329" max="13330" width="16.5546875" bestFit="1" customWidth="1"/>
    <col min="13331" max="13332" width="13.44140625" bestFit="1" customWidth="1"/>
    <col min="13333" max="13333" width="15.5546875" bestFit="1" customWidth="1"/>
    <col min="13334" max="13334" width="13.5546875" bestFit="1" customWidth="1"/>
    <col min="13335" max="13337" width="12.44140625" bestFit="1" customWidth="1"/>
    <col min="13338" max="13338" width="17.5546875" bestFit="1" customWidth="1"/>
    <col min="13339" max="13339" width="12.44140625" bestFit="1" customWidth="1"/>
    <col min="13340" max="13340" width="13.44140625" bestFit="1" customWidth="1"/>
    <col min="13575" max="13575" width="33.5546875" customWidth="1"/>
    <col min="13576" max="13576" width="16" customWidth="1"/>
    <col min="13577" max="13578" width="15" bestFit="1" customWidth="1"/>
    <col min="13579" max="13579" width="16.5546875" bestFit="1" customWidth="1"/>
    <col min="13580" max="13580" width="12.5546875" customWidth="1"/>
    <col min="13581" max="13581" width="17.5546875" bestFit="1" customWidth="1"/>
    <col min="13582" max="13583" width="18.44140625" bestFit="1" customWidth="1"/>
    <col min="13584" max="13584" width="12.5546875" bestFit="1" customWidth="1"/>
    <col min="13585" max="13586" width="16.5546875" bestFit="1" customWidth="1"/>
    <col min="13587" max="13588" width="13.44140625" bestFit="1" customWidth="1"/>
    <col min="13589" max="13589" width="15.5546875" bestFit="1" customWidth="1"/>
    <col min="13590" max="13590" width="13.5546875" bestFit="1" customWidth="1"/>
    <col min="13591" max="13593" width="12.44140625" bestFit="1" customWidth="1"/>
    <col min="13594" max="13594" width="17.5546875" bestFit="1" customWidth="1"/>
    <col min="13595" max="13595" width="12.44140625" bestFit="1" customWidth="1"/>
    <col min="13596" max="13596" width="13.44140625" bestFit="1" customWidth="1"/>
    <col min="13831" max="13831" width="33.5546875" customWidth="1"/>
    <col min="13832" max="13832" width="16" customWidth="1"/>
    <col min="13833" max="13834" width="15" bestFit="1" customWidth="1"/>
    <col min="13835" max="13835" width="16.5546875" bestFit="1" customWidth="1"/>
    <col min="13836" max="13836" width="12.5546875" customWidth="1"/>
    <col min="13837" max="13837" width="17.5546875" bestFit="1" customWidth="1"/>
    <col min="13838" max="13839" width="18.44140625" bestFit="1" customWidth="1"/>
    <col min="13840" max="13840" width="12.5546875" bestFit="1" customWidth="1"/>
    <col min="13841" max="13842" width="16.5546875" bestFit="1" customWidth="1"/>
    <col min="13843" max="13844" width="13.44140625" bestFit="1" customWidth="1"/>
    <col min="13845" max="13845" width="15.5546875" bestFit="1" customWidth="1"/>
    <col min="13846" max="13846" width="13.5546875" bestFit="1" customWidth="1"/>
    <col min="13847" max="13849" width="12.44140625" bestFit="1" customWidth="1"/>
    <col min="13850" max="13850" width="17.5546875" bestFit="1" customWidth="1"/>
    <col min="13851" max="13851" width="12.44140625" bestFit="1" customWidth="1"/>
    <col min="13852" max="13852" width="13.44140625" bestFit="1" customWidth="1"/>
    <col min="14087" max="14087" width="33.5546875" customWidth="1"/>
    <col min="14088" max="14088" width="16" customWidth="1"/>
    <col min="14089" max="14090" width="15" bestFit="1" customWidth="1"/>
    <col min="14091" max="14091" width="16.5546875" bestFit="1" customWidth="1"/>
    <col min="14092" max="14092" width="12.5546875" customWidth="1"/>
    <col min="14093" max="14093" width="17.5546875" bestFit="1" customWidth="1"/>
    <col min="14094" max="14095" width="18.44140625" bestFit="1" customWidth="1"/>
    <col min="14096" max="14096" width="12.5546875" bestFit="1" customWidth="1"/>
    <col min="14097" max="14098" width="16.5546875" bestFit="1" customWidth="1"/>
    <col min="14099" max="14100" width="13.44140625" bestFit="1" customWidth="1"/>
    <col min="14101" max="14101" width="15.5546875" bestFit="1" customWidth="1"/>
    <col min="14102" max="14102" width="13.5546875" bestFit="1" customWidth="1"/>
    <col min="14103" max="14105" width="12.44140625" bestFit="1" customWidth="1"/>
    <col min="14106" max="14106" width="17.5546875" bestFit="1" customWidth="1"/>
    <col min="14107" max="14107" width="12.44140625" bestFit="1" customWidth="1"/>
    <col min="14108" max="14108" width="13.44140625" bestFit="1" customWidth="1"/>
    <col min="14343" max="14343" width="33.5546875" customWidth="1"/>
    <col min="14344" max="14344" width="16" customWidth="1"/>
    <col min="14345" max="14346" width="15" bestFit="1" customWidth="1"/>
    <col min="14347" max="14347" width="16.5546875" bestFit="1" customWidth="1"/>
    <col min="14348" max="14348" width="12.5546875" customWidth="1"/>
    <col min="14349" max="14349" width="17.5546875" bestFit="1" customWidth="1"/>
    <col min="14350" max="14351" width="18.44140625" bestFit="1" customWidth="1"/>
    <col min="14352" max="14352" width="12.5546875" bestFit="1" customWidth="1"/>
    <col min="14353" max="14354" width="16.5546875" bestFit="1" customWidth="1"/>
    <col min="14355" max="14356" width="13.44140625" bestFit="1" customWidth="1"/>
    <col min="14357" max="14357" width="15.5546875" bestFit="1" customWidth="1"/>
    <col min="14358" max="14358" width="13.5546875" bestFit="1" customWidth="1"/>
    <col min="14359" max="14361" width="12.44140625" bestFit="1" customWidth="1"/>
    <col min="14362" max="14362" width="17.5546875" bestFit="1" customWidth="1"/>
    <col min="14363" max="14363" width="12.44140625" bestFit="1" customWidth="1"/>
    <col min="14364" max="14364" width="13.44140625" bestFit="1" customWidth="1"/>
    <col min="14599" max="14599" width="33.5546875" customWidth="1"/>
    <col min="14600" max="14600" width="16" customWidth="1"/>
    <col min="14601" max="14602" width="15" bestFit="1" customWidth="1"/>
    <col min="14603" max="14603" width="16.5546875" bestFit="1" customWidth="1"/>
    <col min="14604" max="14604" width="12.5546875" customWidth="1"/>
    <col min="14605" max="14605" width="17.5546875" bestFit="1" customWidth="1"/>
    <col min="14606" max="14607" width="18.44140625" bestFit="1" customWidth="1"/>
    <col min="14608" max="14608" width="12.5546875" bestFit="1" customWidth="1"/>
    <col min="14609" max="14610" width="16.5546875" bestFit="1" customWidth="1"/>
    <col min="14611" max="14612" width="13.44140625" bestFit="1" customWidth="1"/>
    <col min="14613" max="14613" width="15.5546875" bestFit="1" customWidth="1"/>
    <col min="14614" max="14614" width="13.5546875" bestFit="1" customWidth="1"/>
    <col min="14615" max="14617" width="12.44140625" bestFit="1" customWidth="1"/>
    <col min="14618" max="14618" width="17.5546875" bestFit="1" customWidth="1"/>
    <col min="14619" max="14619" width="12.44140625" bestFit="1" customWidth="1"/>
    <col min="14620" max="14620" width="13.44140625" bestFit="1" customWidth="1"/>
    <col min="14855" max="14855" width="33.5546875" customWidth="1"/>
    <col min="14856" max="14856" width="16" customWidth="1"/>
    <col min="14857" max="14858" width="15" bestFit="1" customWidth="1"/>
    <col min="14859" max="14859" width="16.5546875" bestFit="1" customWidth="1"/>
    <col min="14860" max="14860" width="12.5546875" customWidth="1"/>
    <col min="14861" max="14861" width="17.5546875" bestFit="1" customWidth="1"/>
    <col min="14862" max="14863" width="18.44140625" bestFit="1" customWidth="1"/>
    <col min="14864" max="14864" width="12.5546875" bestFit="1" customWidth="1"/>
    <col min="14865" max="14866" width="16.5546875" bestFit="1" customWidth="1"/>
    <col min="14867" max="14868" width="13.44140625" bestFit="1" customWidth="1"/>
    <col min="14869" max="14869" width="15.5546875" bestFit="1" customWidth="1"/>
    <col min="14870" max="14870" width="13.5546875" bestFit="1" customWidth="1"/>
    <col min="14871" max="14873" width="12.44140625" bestFit="1" customWidth="1"/>
    <col min="14874" max="14874" width="17.5546875" bestFit="1" customWidth="1"/>
    <col min="14875" max="14875" width="12.44140625" bestFit="1" customWidth="1"/>
    <col min="14876" max="14876" width="13.44140625" bestFit="1" customWidth="1"/>
    <col min="15111" max="15111" width="33.5546875" customWidth="1"/>
    <col min="15112" max="15112" width="16" customWidth="1"/>
    <col min="15113" max="15114" width="15" bestFit="1" customWidth="1"/>
    <col min="15115" max="15115" width="16.5546875" bestFit="1" customWidth="1"/>
    <col min="15116" max="15116" width="12.5546875" customWidth="1"/>
    <col min="15117" max="15117" width="17.5546875" bestFit="1" customWidth="1"/>
    <col min="15118" max="15119" width="18.44140625" bestFit="1" customWidth="1"/>
    <col min="15120" max="15120" width="12.5546875" bestFit="1" customWidth="1"/>
    <col min="15121" max="15122" width="16.5546875" bestFit="1" customWidth="1"/>
    <col min="15123" max="15124" width="13.44140625" bestFit="1" customWidth="1"/>
    <col min="15125" max="15125" width="15.5546875" bestFit="1" customWidth="1"/>
    <col min="15126" max="15126" width="13.5546875" bestFit="1" customWidth="1"/>
    <col min="15127" max="15129" width="12.44140625" bestFit="1" customWidth="1"/>
    <col min="15130" max="15130" width="17.5546875" bestFit="1" customWidth="1"/>
    <col min="15131" max="15131" width="12.44140625" bestFit="1" customWidth="1"/>
    <col min="15132" max="15132" width="13.44140625" bestFit="1" customWidth="1"/>
    <col min="15367" max="15367" width="33.5546875" customWidth="1"/>
    <col min="15368" max="15368" width="16" customWidth="1"/>
    <col min="15369" max="15370" width="15" bestFit="1" customWidth="1"/>
    <col min="15371" max="15371" width="16.5546875" bestFit="1" customWidth="1"/>
    <col min="15372" max="15372" width="12.5546875" customWidth="1"/>
    <col min="15373" max="15373" width="17.5546875" bestFit="1" customWidth="1"/>
    <col min="15374" max="15375" width="18.44140625" bestFit="1" customWidth="1"/>
    <col min="15376" max="15376" width="12.5546875" bestFit="1" customWidth="1"/>
    <col min="15377" max="15378" width="16.5546875" bestFit="1" customWidth="1"/>
    <col min="15379" max="15380" width="13.44140625" bestFit="1" customWidth="1"/>
    <col min="15381" max="15381" width="15.5546875" bestFit="1" customWidth="1"/>
    <col min="15382" max="15382" width="13.5546875" bestFit="1" customWidth="1"/>
    <col min="15383" max="15385" width="12.44140625" bestFit="1" customWidth="1"/>
    <col min="15386" max="15386" width="17.5546875" bestFit="1" customWidth="1"/>
    <col min="15387" max="15387" width="12.44140625" bestFit="1" customWidth="1"/>
    <col min="15388" max="15388" width="13.44140625" bestFit="1" customWidth="1"/>
    <col min="15623" max="15623" width="33.5546875" customWidth="1"/>
    <col min="15624" max="15624" width="16" customWidth="1"/>
    <col min="15625" max="15626" width="15" bestFit="1" customWidth="1"/>
    <col min="15627" max="15627" width="16.5546875" bestFit="1" customWidth="1"/>
    <col min="15628" max="15628" width="12.5546875" customWidth="1"/>
    <col min="15629" max="15629" width="17.5546875" bestFit="1" customWidth="1"/>
    <col min="15630" max="15631" width="18.44140625" bestFit="1" customWidth="1"/>
    <col min="15632" max="15632" width="12.5546875" bestFit="1" customWidth="1"/>
    <col min="15633" max="15634" width="16.5546875" bestFit="1" customWidth="1"/>
    <col min="15635" max="15636" width="13.44140625" bestFit="1" customWidth="1"/>
    <col min="15637" max="15637" width="15.5546875" bestFit="1" customWidth="1"/>
    <col min="15638" max="15638" width="13.5546875" bestFit="1" customWidth="1"/>
    <col min="15639" max="15641" width="12.44140625" bestFit="1" customWidth="1"/>
    <col min="15642" max="15642" width="17.5546875" bestFit="1" customWidth="1"/>
    <col min="15643" max="15643" width="12.44140625" bestFit="1" customWidth="1"/>
    <col min="15644" max="15644" width="13.44140625" bestFit="1" customWidth="1"/>
    <col min="15879" max="15879" width="33.5546875" customWidth="1"/>
    <col min="15880" max="15880" width="16" customWidth="1"/>
    <col min="15881" max="15882" width="15" bestFit="1" customWidth="1"/>
    <col min="15883" max="15883" width="16.5546875" bestFit="1" customWidth="1"/>
    <col min="15884" max="15884" width="12.5546875" customWidth="1"/>
    <col min="15885" max="15885" width="17.5546875" bestFit="1" customWidth="1"/>
    <col min="15886" max="15887" width="18.44140625" bestFit="1" customWidth="1"/>
    <col min="15888" max="15888" width="12.5546875" bestFit="1" customWidth="1"/>
    <col min="15889" max="15890" width="16.5546875" bestFit="1" customWidth="1"/>
    <col min="15891" max="15892" width="13.44140625" bestFit="1" customWidth="1"/>
    <col min="15893" max="15893" width="15.5546875" bestFit="1" customWidth="1"/>
    <col min="15894" max="15894" width="13.5546875" bestFit="1" customWidth="1"/>
    <col min="15895" max="15897" width="12.44140625" bestFit="1" customWidth="1"/>
    <col min="15898" max="15898" width="17.5546875" bestFit="1" customWidth="1"/>
    <col min="15899" max="15899" width="12.44140625" bestFit="1" customWidth="1"/>
    <col min="15900" max="15900" width="13.44140625" bestFit="1" customWidth="1"/>
    <col min="16135" max="16135" width="33.5546875" customWidth="1"/>
    <col min="16136" max="16136" width="16" customWidth="1"/>
    <col min="16137" max="16138" width="15" bestFit="1" customWidth="1"/>
    <col min="16139" max="16139" width="16.5546875" bestFit="1" customWidth="1"/>
    <col min="16140" max="16140" width="12.5546875" customWidth="1"/>
    <col min="16141" max="16141" width="17.5546875" bestFit="1" customWidth="1"/>
    <col min="16142" max="16143" width="18.44140625" bestFit="1" customWidth="1"/>
    <col min="16144" max="16144" width="12.5546875" bestFit="1" customWidth="1"/>
    <col min="16145" max="16146" width="16.5546875" bestFit="1" customWidth="1"/>
    <col min="16147" max="16148" width="13.44140625" bestFit="1" customWidth="1"/>
    <col min="16149" max="16149" width="15.5546875" bestFit="1" customWidth="1"/>
    <col min="16150" max="16150" width="13.5546875" bestFit="1" customWidth="1"/>
    <col min="16151" max="16153" width="12.44140625" bestFit="1" customWidth="1"/>
    <col min="16154" max="16154" width="17.5546875" bestFit="1" customWidth="1"/>
    <col min="16155" max="16155" width="12.44140625" bestFit="1" customWidth="1"/>
    <col min="16156" max="16156" width="13.44140625" bestFit="1" customWidth="1"/>
  </cols>
  <sheetData>
    <row r="1" spans="1:27" ht="14.4">
      <c r="A1" s="32"/>
      <c r="B1" s="150" t="s">
        <v>1296</v>
      </c>
      <c r="C1" s="150"/>
      <c r="D1" s="150"/>
      <c r="E1" s="150"/>
      <c r="F1" s="150"/>
      <c r="G1" s="793"/>
      <c r="H1" s="355"/>
      <c r="I1" s="355"/>
      <c r="J1" s="150"/>
      <c r="K1" s="150"/>
      <c r="L1" s="150"/>
      <c r="M1" s="150"/>
      <c r="N1" s="355"/>
      <c r="O1" s="355"/>
      <c r="P1" s="355"/>
      <c r="Q1" s="150"/>
      <c r="R1" s="150"/>
      <c r="S1" s="150"/>
      <c r="T1" s="150"/>
      <c r="U1" s="150"/>
      <c r="V1" s="150"/>
      <c r="W1" s="150"/>
      <c r="X1" s="150"/>
      <c r="Y1" s="150"/>
      <c r="Z1" s="150"/>
      <c r="AA1" s="150"/>
    </row>
    <row r="2" spans="1:27" ht="35.25" customHeight="1">
      <c r="A2" s="735"/>
      <c r="B2" s="735"/>
      <c r="C2" s="384" t="s">
        <v>1297</v>
      </c>
      <c r="D2" s="1486" t="s">
        <v>1298</v>
      </c>
      <c r="E2" s="1487"/>
      <c r="F2" s="385" t="s">
        <v>1297</v>
      </c>
      <c r="G2" s="385" t="s">
        <v>1299</v>
      </c>
      <c r="H2" s="1488" t="s">
        <v>1300</v>
      </c>
      <c r="I2" s="1489"/>
      <c r="J2" s="1489"/>
      <c r="K2" s="1489"/>
      <c r="L2" s="1489"/>
      <c r="M2" s="1490"/>
      <c r="N2" s="1491" t="s">
        <v>1301</v>
      </c>
      <c r="O2" s="1492"/>
      <c r="P2" s="1492"/>
      <c r="Q2" s="1492"/>
      <c r="R2" s="1492"/>
      <c r="S2" s="1492"/>
      <c r="T2" s="1492"/>
      <c r="U2" s="1493"/>
      <c r="V2" s="1494" t="s">
        <v>1302</v>
      </c>
      <c r="W2" s="1495"/>
      <c r="X2" s="1495"/>
      <c r="Y2" s="1496"/>
      <c r="Z2" s="398"/>
      <c r="AA2" s="391"/>
    </row>
    <row r="3" spans="1:27" ht="30.6">
      <c r="A3" s="388" t="s">
        <v>1303</v>
      </c>
      <c r="B3" s="388" t="s">
        <v>1304</v>
      </c>
      <c r="C3" s="387">
        <v>45657</v>
      </c>
      <c r="D3" s="388" t="s">
        <v>1305</v>
      </c>
      <c r="E3" s="388" t="s">
        <v>1306</v>
      </c>
      <c r="F3" s="389">
        <v>45291</v>
      </c>
      <c r="G3" s="390" t="s">
        <v>1307</v>
      </c>
      <c r="H3" s="396" t="s">
        <v>1308</v>
      </c>
      <c r="I3" s="397" t="s">
        <v>1309</v>
      </c>
      <c r="J3" s="397" t="s">
        <v>1310</v>
      </c>
      <c r="K3" s="397" t="s">
        <v>1311</v>
      </c>
      <c r="L3" s="397" t="s">
        <v>1312</v>
      </c>
      <c r="M3" s="397" t="s">
        <v>506</v>
      </c>
      <c r="N3" s="398" t="s">
        <v>1313</v>
      </c>
      <c r="O3" s="398" t="s">
        <v>1314</v>
      </c>
      <c r="P3" s="398" t="s">
        <v>1315</v>
      </c>
      <c r="Q3" s="398" t="s">
        <v>1316</v>
      </c>
      <c r="R3" s="398" t="s">
        <v>1317</v>
      </c>
      <c r="S3" s="398" t="s">
        <v>1318</v>
      </c>
      <c r="T3" s="398" t="s">
        <v>1319</v>
      </c>
      <c r="U3" s="398" t="s">
        <v>1320</v>
      </c>
      <c r="V3" s="399" t="s">
        <v>1321</v>
      </c>
      <c r="W3" s="399" t="s">
        <v>1322</v>
      </c>
      <c r="X3" s="399" t="s">
        <v>1323</v>
      </c>
      <c r="Y3" s="399" t="s">
        <v>1324</v>
      </c>
      <c r="Z3" s="401" t="s">
        <v>1325</v>
      </c>
      <c r="AA3" s="400" t="s">
        <v>1326</v>
      </c>
    </row>
    <row r="4" spans="1:27" ht="6.75" customHeight="1">
      <c r="A4" s="386"/>
      <c r="B4" s="392"/>
      <c r="C4" s="393"/>
      <c r="D4" s="394"/>
      <c r="E4" s="394"/>
      <c r="F4" s="393"/>
      <c r="G4" s="394"/>
      <c r="H4" s="395"/>
      <c r="I4" s="394"/>
      <c r="J4" s="394"/>
      <c r="K4" s="394"/>
      <c r="L4" s="394"/>
      <c r="M4" s="394"/>
      <c r="N4" s="394"/>
      <c r="O4" s="394"/>
      <c r="P4" s="394"/>
      <c r="Q4" s="394"/>
      <c r="R4" s="394"/>
      <c r="S4" s="394"/>
      <c r="T4" s="394"/>
      <c r="U4" s="394"/>
      <c r="V4" s="394"/>
      <c r="W4" s="394"/>
      <c r="X4" s="394"/>
      <c r="Y4" s="394"/>
      <c r="Z4" s="392"/>
      <c r="AA4" s="392"/>
    </row>
    <row r="5" spans="1:27" ht="14.4">
      <c r="A5" s="130">
        <v>1</v>
      </c>
      <c r="B5" s="140" t="s">
        <v>10</v>
      </c>
      <c r="C5" s="141">
        <f>+Composición!$G$1770-SUM('CA FE'!C6:C669)</f>
        <v>0</v>
      </c>
      <c r="D5" s="141"/>
      <c r="E5" s="141"/>
      <c r="F5" s="141">
        <f>+Composición!$J$1770-SUM('CA FE'!F6:F669)</f>
        <v>680741973</v>
      </c>
      <c r="G5" s="141">
        <f>C5+D5-E5-F5</f>
        <v>-680741973</v>
      </c>
      <c r="H5" s="141"/>
      <c r="I5" s="141"/>
      <c r="J5" s="141"/>
      <c r="K5" s="141"/>
      <c r="L5" s="141"/>
      <c r="M5" s="141"/>
      <c r="N5" s="141"/>
      <c r="O5" s="141"/>
      <c r="P5" s="141"/>
      <c r="Q5" s="141"/>
      <c r="R5" s="141"/>
      <c r="S5" s="141"/>
      <c r="T5" s="141"/>
      <c r="U5" s="141"/>
      <c r="V5" s="141"/>
      <c r="W5" s="141"/>
      <c r="X5" s="141"/>
      <c r="Y5" s="141"/>
      <c r="Z5" s="141"/>
      <c r="AA5" s="141"/>
    </row>
    <row r="6" spans="1:27" ht="14.4">
      <c r="A6" s="117">
        <v>11</v>
      </c>
      <c r="B6" s="117" t="s">
        <v>11</v>
      </c>
      <c r="C6" s="37">
        <f>+VLOOKUP(A6,Composición!C:G,5,FALSE)</f>
        <v>0</v>
      </c>
      <c r="D6" s="37"/>
      <c r="E6" s="37"/>
      <c r="F6" s="37">
        <f>+VLOOKUP(A6,Composición!C:J,8,FALSE)</f>
        <v>0</v>
      </c>
      <c r="G6" s="37">
        <f>C6+D6-E6-F6</f>
        <v>0</v>
      </c>
      <c r="H6" s="37"/>
      <c r="I6" s="37"/>
      <c r="J6" s="37"/>
      <c r="K6" s="37"/>
      <c r="L6" s="37"/>
      <c r="M6" s="37"/>
      <c r="N6" s="37"/>
      <c r="O6" s="37"/>
      <c r="P6" s="37"/>
      <c r="Q6" s="37"/>
      <c r="R6" s="37"/>
      <c r="S6" s="37"/>
      <c r="T6" s="37"/>
      <c r="U6" s="37"/>
      <c r="V6" s="37"/>
      <c r="W6" s="37"/>
      <c r="X6" s="37"/>
      <c r="Y6" s="37"/>
      <c r="Z6" s="37"/>
      <c r="AA6" s="37">
        <f t="shared" ref="AA6:AA90" si="0">SUM(G6:Z6)</f>
        <v>0</v>
      </c>
    </row>
    <row r="7" spans="1:27" ht="14.4">
      <c r="A7" s="117">
        <v>111</v>
      </c>
      <c r="B7" s="117" t="s">
        <v>12</v>
      </c>
      <c r="C7" s="37">
        <f>+VLOOKUP(A7,Composición!C:G,5,FALSE)</f>
        <v>0</v>
      </c>
      <c r="D7" s="37"/>
      <c r="E7" s="37"/>
      <c r="F7" s="37">
        <f>+VLOOKUP(A7,Composición!C:J,8,FALSE)</f>
        <v>0</v>
      </c>
      <c r="G7" s="37">
        <f t="shared" ref="G7:G92" si="1">C7+D7-E7-F7</f>
        <v>0</v>
      </c>
      <c r="H7" s="37"/>
      <c r="I7" s="37"/>
      <c r="J7" s="37"/>
      <c r="K7" s="37"/>
      <c r="L7" s="37"/>
      <c r="M7" s="37"/>
      <c r="N7" s="37"/>
      <c r="O7" s="37"/>
      <c r="P7" s="37"/>
      <c r="Q7" s="37"/>
      <c r="R7" s="37"/>
      <c r="S7" s="37"/>
      <c r="T7" s="37"/>
      <c r="U7" s="37"/>
      <c r="V7" s="37"/>
      <c r="W7" s="37"/>
      <c r="X7" s="37"/>
      <c r="Y7" s="37"/>
      <c r="Z7" s="37"/>
      <c r="AA7" s="37">
        <f t="shared" si="0"/>
        <v>0</v>
      </c>
    </row>
    <row r="8" spans="1:27" ht="14.4">
      <c r="A8" s="117">
        <v>11111</v>
      </c>
      <c r="B8" s="117" t="s">
        <v>635</v>
      </c>
      <c r="C8" s="37">
        <f>+VLOOKUP(A8,Composición!C:G,5,FALSE)</f>
        <v>0</v>
      </c>
      <c r="D8" s="37"/>
      <c r="E8" s="37"/>
      <c r="F8" s="37">
        <f>+VLOOKUP(A8,Composición!C:J,8,FALSE)</f>
        <v>0</v>
      </c>
      <c r="G8" s="37">
        <f t="shared" si="1"/>
        <v>0</v>
      </c>
      <c r="H8" s="37"/>
      <c r="I8" s="37"/>
      <c r="J8" s="37"/>
      <c r="K8" s="37"/>
      <c r="L8" s="37"/>
      <c r="M8" s="37"/>
      <c r="N8" s="37"/>
      <c r="O8" s="37"/>
      <c r="P8" s="37"/>
      <c r="Q8" s="37"/>
      <c r="R8" s="37"/>
      <c r="S8" s="37"/>
      <c r="T8" s="37"/>
      <c r="U8" s="37"/>
      <c r="V8" s="37"/>
      <c r="W8" s="37"/>
      <c r="X8" s="37"/>
      <c r="Y8" s="37"/>
      <c r="Z8" s="37"/>
      <c r="AA8" s="37">
        <f t="shared" si="0"/>
        <v>0</v>
      </c>
    </row>
    <row r="9" spans="1:27" ht="14.4">
      <c r="A9" s="117">
        <v>111111</v>
      </c>
      <c r="B9" s="117" t="s">
        <v>635</v>
      </c>
      <c r="C9" s="37">
        <f>+VLOOKUP(A9,Composición!C:G,5,FALSE)</f>
        <v>0</v>
      </c>
      <c r="D9" s="37"/>
      <c r="E9" s="37"/>
      <c r="F9" s="37">
        <f>+VLOOKUP(A9,Composición!C:J,8,FALSE)</f>
        <v>0</v>
      </c>
      <c r="G9" s="37">
        <f t="shared" si="1"/>
        <v>0</v>
      </c>
      <c r="H9" s="37"/>
      <c r="I9" s="37"/>
      <c r="J9" s="37"/>
      <c r="K9" s="37"/>
      <c r="L9" s="37"/>
      <c r="M9" s="37"/>
      <c r="N9" s="37"/>
      <c r="O9" s="37"/>
      <c r="P9" s="37"/>
      <c r="Q9" s="37"/>
      <c r="R9" s="37"/>
      <c r="S9" s="37"/>
      <c r="T9" s="37"/>
      <c r="U9" s="37"/>
      <c r="V9" s="37"/>
      <c r="W9" s="37"/>
      <c r="X9" s="37"/>
      <c r="Y9" s="37"/>
      <c r="Z9" s="37"/>
      <c r="AA9" s="37">
        <f t="shared" si="0"/>
        <v>0</v>
      </c>
    </row>
    <row r="10" spans="1:27" ht="14.4">
      <c r="A10" s="117">
        <v>1111111</v>
      </c>
      <c r="B10" s="117" t="s">
        <v>636</v>
      </c>
      <c r="C10" s="37">
        <f>+VLOOKUP(A10,Composición!C:G,5,FALSE)</f>
        <v>0</v>
      </c>
      <c r="D10" s="37"/>
      <c r="E10" s="37"/>
      <c r="F10" s="37">
        <f>+VLOOKUP(A10,Composición!C:J,8,FALSE)</f>
        <v>0</v>
      </c>
      <c r="G10" s="37">
        <f t="shared" si="1"/>
        <v>0</v>
      </c>
      <c r="H10" s="37"/>
      <c r="I10" s="37"/>
      <c r="J10" s="37"/>
      <c r="K10" s="37"/>
      <c r="L10" s="37"/>
      <c r="M10" s="37"/>
      <c r="N10" s="37"/>
      <c r="O10" s="37"/>
      <c r="P10" s="37"/>
      <c r="Q10" s="37"/>
      <c r="R10" s="37"/>
      <c r="S10" s="37"/>
      <c r="T10" s="37"/>
      <c r="U10" s="37"/>
      <c r="V10" s="37"/>
      <c r="W10" s="37"/>
      <c r="X10" s="37"/>
      <c r="Y10" s="37"/>
      <c r="Z10" s="37"/>
      <c r="AA10" s="37">
        <f t="shared" si="0"/>
        <v>0</v>
      </c>
    </row>
    <row r="11" spans="1:27" ht="14.4">
      <c r="A11" s="117">
        <v>11111111</v>
      </c>
      <c r="B11" s="117" t="s">
        <v>636</v>
      </c>
      <c r="C11" s="37">
        <f>+VLOOKUP(A11,Composición!C:G,5,FALSE)</f>
        <v>0</v>
      </c>
      <c r="D11" s="37"/>
      <c r="E11" s="37"/>
      <c r="F11" s="37">
        <f>+VLOOKUP(A11,Composición!C:J,8,FALSE)</f>
        <v>0</v>
      </c>
      <c r="G11" s="37">
        <f t="shared" si="1"/>
        <v>0</v>
      </c>
      <c r="H11" s="37"/>
      <c r="I11" s="37"/>
      <c r="J11" s="37"/>
      <c r="K11" s="37"/>
      <c r="L11" s="37"/>
      <c r="M11" s="37"/>
      <c r="N11" s="37"/>
      <c r="O11" s="37"/>
      <c r="P11" s="37"/>
      <c r="Q11" s="37"/>
      <c r="R11" s="37"/>
      <c r="S11" s="37"/>
      <c r="T11" s="37"/>
      <c r="U11" s="37"/>
      <c r="V11" s="37"/>
      <c r="W11" s="37"/>
      <c r="X11" s="37"/>
      <c r="Y11" s="37"/>
      <c r="Z11" s="37"/>
      <c r="AA11" s="37">
        <f t="shared" si="0"/>
        <v>0</v>
      </c>
    </row>
    <row r="12" spans="1:27" ht="14.4">
      <c r="A12" s="117">
        <v>1111111101</v>
      </c>
      <c r="B12" s="117" t="s">
        <v>636</v>
      </c>
      <c r="C12" s="37">
        <f>+VLOOKUP(A12,Composición!C:G,5,FALSE)</f>
        <v>0</v>
      </c>
      <c r="D12" s="37"/>
      <c r="E12" s="37"/>
      <c r="F12" s="37">
        <f>+VLOOKUP(A12,Composición!C:J,8,FALSE)</f>
        <v>0</v>
      </c>
      <c r="G12" s="37">
        <f t="shared" si="1"/>
        <v>0</v>
      </c>
      <c r="H12" s="37"/>
      <c r="I12" s="37"/>
      <c r="J12" s="37"/>
      <c r="K12" s="37"/>
      <c r="L12" s="37"/>
      <c r="M12" s="37"/>
      <c r="N12" s="37"/>
      <c r="O12" s="37"/>
      <c r="P12" s="37"/>
      <c r="Q12" s="37"/>
      <c r="R12" s="37"/>
      <c r="S12" s="37"/>
      <c r="T12" s="37"/>
      <c r="U12" s="37"/>
      <c r="V12" s="37"/>
      <c r="W12" s="37"/>
      <c r="X12" s="37"/>
      <c r="Y12" s="37"/>
      <c r="Z12" s="37"/>
      <c r="AA12" s="37">
        <f t="shared" si="0"/>
        <v>0</v>
      </c>
    </row>
    <row r="13" spans="1:27" ht="14.4">
      <c r="A13" s="117">
        <v>1111112</v>
      </c>
      <c r="B13" s="117" t="s">
        <v>637</v>
      </c>
      <c r="C13" s="37">
        <f>+VLOOKUP(A13,Composición!C:G,5,FALSE)</f>
        <v>0</v>
      </c>
      <c r="D13" s="37"/>
      <c r="E13" s="37"/>
      <c r="F13" s="37">
        <f>+VLOOKUP(A13,Composición!C:J,8,FALSE)</f>
        <v>0</v>
      </c>
      <c r="G13" s="37">
        <f t="shared" si="1"/>
        <v>0</v>
      </c>
      <c r="H13" s="37"/>
      <c r="I13" s="37"/>
      <c r="J13" s="37"/>
      <c r="K13" s="37"/>
      <c r="L13" s="37"/>
      <c r="M13" s="37"/>
      <c r="N13" s="37"/>
      <c r="O13" s="37"/>
      <c r="P13" s="37"/>
      <c r="Q13" s="37"/>
      <c r="R13" s="37"/>
      <c r="S13" s="37"/>
      <c r="T13" s="37"/>
      <c r="U13" s="37"/>
      <c r="V13" s="37"/>
      <c r="W13" s="37"/>
      <c r="X13" s="37"/>
      <c r="Y13" s="37"/>
      <c r="Z13" s="37"/>
      <c r="AA13" s="37">
        <f t="shared" si="0"/>
        <v>0</v>
      </c>
    </row>
    <row r="14" spans="1:27" ht="14.4">
      <c r="A14" s="117">
        <v>11111121</v>
      </c>
      <c r="B14" s="117" t="s">
        <v>637</v>
      </c>
      <c r="C14" s="37">
        <f>+VLOOKUP(A14,Composición!C:G,5,FALSE)</f>
        <v>0</v>
      </c>
      <c r="D14" s="37"/>
      <c r="E14" s="37"/>
      <c r="F14" s="37">
        <f>+VLOOKUP(A14,Composición!C:J,8,FALSE)</f>
        <v>0</v>
      </c>
      <c r="G14" s="37">
        <f t="shared" si="1"/>
        <v>0</v>
      </c>
      <c r="H14" s="37"/>
      <c r="I14" s="37"/>
      <c r="J14" s="37"/>
      <c r="K14" s="37"/>
      <c r="L14" s="37"/>
      <c r="M14" s="37"/>
      <c r="N14" s="37"/>
      <c r="O14" s="37"/>
      <c r="P14" s="37"/>
      <c r="Q14" s="37"/>
      <c r="R14" s="37"/>
      <c r="S14" s="37"/>
      <c r="T14" s="37"/>
      <c r="U14" s="37"/>
      <c r="V14" s="37"/>
      <c r="W14" s="37"/>
      <c r="X14" s="37"/>
      <c r="Y14" s="37"/>
      <c r="Z14" s="37"/>
      <c r="AA14" s="37">
        <f t="shared" si="0"/>
        <v>0</v>
      </c>
    </row>
    <row r="15" spans="1:27" ht="14.4">
      <c r="A15" s="117">
        <v>1111112101</v>
      </c>
      <c r="B15" s="117" t="s">
        <v>638</v>
      </c>
      <c r="C15" s="37">
        <f>+VLOOKUP(A15,Composición!C:G,5,FALSE)</f>
        <v>0</v>
      </c>
      <c r="D15" s="37"/>
      <c r="E15" s="37"/>
      <c r="F15" s="37">
        <f>+VLOOKUP(A15,Composición!C:J,8,FALSE)</f>
        <v>0</v>
      </c>
      <c r="G15" s="37">
        <f t="shared" si="1"/>
        <v>0</v>
      </c>
      <c r="H15" s="37"/>
      <c r="I15" s="37"/>
      <c r="J15" s="37"/>
      <c r="K15" s="37"/>
      <c r="L15" s="37"/>
      <c r="M15" s="37"/>
      <c r="N15" s="37"/>
      <c r="O15" s="37"/>
      <c r="P15" s="37"/>
      <c r="Q15" s="37"/>
      <c r="R15" s="37"/>
      <c r="S15" s="37"/>
      <c r="T15" s="37"/>
      <c r="U15" s="37"/>
      <c r="V15" s="37"/>
      <c r="W15" s="37"/>
      <c r="X15" s="37"/>
      <c r="Y15" s="37"/>
      <c r="Z15" s="37"/>
      <c r="AA15" s="37">
        <f t="shared" si="0"/>
        <v>0</v>
      </c>
    </row>
    <row r="16" spans="1:27" ht="14.4">
      <c r="A16" s="117">
        <v>1111112102</v>
      </c>
      <c r="B16" s="117" t="s">
        <v>639</v>
      </c>
      <c r="C16" s="37">
        <f>+VLOOKUP(A16,Composición!C:G,5,FALSE)</f>
        <v>0</v>
      </c>
      <c r="D16" s="37"/>
      <c r="E16" s="37"/>
      <c r="F16" s="37">
        <f>+VLOOKUP(A16,Composición!C:J,8,FALSE)</f>
        <v>0</v>
      </c>
      <c r="G16" s="37">
        <f t="shared" si="1"/>
        <v>0</v>
      </c>
      <c r="H16" s="37"/>
      <c r="I16" s="37"/>
      <c r="J16" s="37"/>
      <c r="K16" s="37"/>
      <c r="L16" s="37"/>
      <c r="M16" s="37"/>
      <c r="N16" s="37"/>
      <c r="O16" s="37"/>
      <c r="P16" s="37"/>
      <c r="Q16" s="37"/>
      <c r="R16" s="37"/>
      <c r="S16" s="37"/>
      <c r="T16" s="37"/>
      <c r="U16" s="37"/>
      <c r="V16" s="37"/>
      <c r="W16" s="37"/>
      <c r="X16" s="37"/>
      <c r="Y16" s="37"/>
      <c r="Z16" s="37"/>
      <c r="AA16" s="37">
        <f t="shared" si="0"/>
        <v>0</v>
      </c>
    </row>
    <row r="17" spans="1:27" ht="14.4">
      <c r="A17" s="117">
        <v>11114</v>
      </c>
      <c r="B17" s="117" t="s">
        <v>13</v>
      </c>
      <c r="C17" s="37">
        <f>+VLOOKUP(A17,Composición!C:G,5,FALSE)</f>
        <v>0</v>
      </c>
      <c r="D17" s="37"/>
      <c r="E17" s="37"/>
      <c r="F17" s="37">
        <f>+VLOOKUP(A17,Composición!C:J,8,FALSE)</f>
        <v>0</v>
      </c>
      <c r="G17" s="37">
        <f t="shared" si="1"/>
        <v>0</v>
      </c>
      <c r="H17" s="37"/>
      <c r="I17" s="37"/>
      <c r="J17" s="37"/>
      <c r="K17" s="37"/>
      <c r="L17" s="37"/>
      <c r="M17" s="37"/>
      <c r="N17" s="37"/>
      <c r="O17" s="37"/>
      <c r="P17" s="37"/>
      <c r="Q17" s="37"/>
      <c r="R17" s="37"/>
      <c r="S17" s="37"/>
      <c r="T17" s="37"/>
      <c r="U17" s="37"/>
      <c r="V17" s="37"/>
      <c r="W17" s="37"/>
      <c r="X17" s="37"/>
      <c r="Y17" s="37"/>
      <c r="Z17" s="37"/>
      <c r="AA17" s="37">
        <f t="shared" si="0"/>
        <v>0</v>
      </c>
    </row>
    <row r="18" spans="1:27" ht="14.4">
      <c r="A18" s="117">
        <v>111141</v>
      </c>
      <c r="B18" s="117" t="s">
        <v>14</v>
      </c>
      <c r="C18" s="37">
        <f>+VLOOKUP(A18,Composición!C:G,5,FALSE)</f>
        <v>0</v>
      </c>
      <c r="D18" s="37"/>
      <c r="E18" s="37"/>
      <c r="F18" s="37">
        <f>+VLOOKUP(A18,Composición!C:J,8,FALSE)</f>
        <v>0</v>
      </c>
      <c r="G18" s="37">
        <f t="shared" si="1"/>
        <v>0</v>
      </c>
      <c r="H18" s="37"/>
      <c r="I18" s="37"/>
      <c r="J18" s="37"/>
      <c r="K18" s="37"/>
      <c r="L18" s="37"/>
      <c r="M18" s="37"/>
      <c r="N18" s="37"/>
      <c r="O18" s="37"/>
      <c r="P18" s="37"/>
      <c r="Q18" s="37"/>
      <c r="R18" s="37"/>
      <c r="S18" s="37"/>
      <c r="T18" s="37"/>
      <c r="U18" s="37"/>
      <c r="V18" s="37"/>
      <c r="W18" s="37"/>
      <c r="X18" s="37"/>
      <c r="Y18" s="37"/>
      <c r="Z18" s="37"/>
      <c r="AA18" s="37">
        <f t="shared" si="0"/>
        <v>0</v>
      </c>
    </row>
    <row r="19" spans="1:27" ht="14.4">
      <c r="A19" s="117">
        <v>1111411</v>
      </c>
      <c r="B19" s="117" t="s">
        <v>15</v>
      </c>
      <c r="C19" s="37">
        <f>+VLOOKUP(A19,Composición!C:G,5,FALSE)</f>
        <v>0</v>
      </c>
      <c r="D19" s="37"/>
      <c r="E19" s="37"/>
      <c r="F19" s="37">
        <f>+VLOOKUP(A19,Composición!C:J,8,FALSE)</f>
        <v>0</v>
      </c>
      <c r="G19" s="37">
        <f t="shared" si="1"/>
        <v>0</v>
      </c>
      <c r="H19" s="37"/>
      <c r="I19" s="37"/>
      <c r="J19" s="37"/>
      <c r="K19" s="37"/>
      <c r="L19" s="37"/>
      <c r="M19" s="37"/>
      <c r="N19" s="37"/>
      <c r="O19" s="37"/>
      <c r="P19" s="37"/>
      <c r="Q19" s="37"/>
      <c r="R19" s="37"/>
      <c r="S19" s="37"/>
      <c r="T19" s="37"/>
      <c r="U19" s="37"/>
      <c r="V19" s="37"/>
      <c r="W19" s="37"/>
      <c r="X19" s="37"/>
      <c r="Y19" s="37"/>
      <c r="Z19" s="37"/>
      <c r="AA19" s="37">
        <f t="shared" si="0"/>
        <v>0</v>
      </c>
    </row>
    <row r="20" spans="1:27" ht="14.4">
      <c r="A20" s="117">
        <v>11114111</v>
      </c>
      <c r="B20" s="117" t="s">
        <v>25</v>
      </c>
      <c r="C20" s="37">
        <f>+VLOOKUP(A20,Composición!C:G,5,FALSE)</f>
        <v>0</v>
      </c>
      <c r="D20" s="37"/>
      <c r="E20" s="37"/>
      <c r="F20" s="37">
        <f>+VLOOKUP(A20,Composición!C:J,8,FALSE)</f>
        <v>0</v>
      </c>
      <c r="G20" s="37">
        <f t="shared" si="1"/>
        <v>0</v>
      </c>
      <c r="H20" s="37"/>
      <c r="I20" s="37"/>
      <c r="J20" s="37"/>
      <c r="K20" s="37"/>
      <c r="L20" s="37"/>
      <c r="M20" s="37"/>
      <c r="N20" s="37"/>
      <c r="O20" s="37"/>
      <c r="P20" s="37"/>
      <c r="Q20" s="37"/>
      <c r="R20" s="37"/>
      <c r="S20" s="37"/>
      <c r="T20" s="37"/>
      <c r="U20" s="37"/>
      <c r="V20" s="37"/>
      <c r="W20" s="37"/>
      <c r="X20" s="37"/>
      <c r="Y20" s="37"/>
      <c r="Z20" s="37"/>
      <c r="AA20" s="37">
        <f t="shared" si="0"/>
        <v>0</v>
      </c>
    </row>
    <row r="21" spans="1:27" ht="14.4">
      <c r="A21" s="117">
        <v>1111411101</v>
      </c>
      <c r="B21" s="117" t="s">
        <v>17</v>
      </c>
      <c r="C21" s="37">
        <f>+VLOOKUP(A21,Composición!C:G,5,FALSE)</f>
        <v>1351999</v>
      </c>
      <c r="D21" s="37"/>
      <c r="E21" s="37"/>
      <c r="F21" s="37">
        <f>+VLOOKUP(A21,Composición!C:J,8,FALSE)</f>
        <v>0</v>
      </c>
      <c r="G21" s="37">
        <f t="shared" si="1"/>
        <v>1351999</v>
      </c>
      <c r="H21" s="37"/>
      <c r="I21" s="37"/>
      <c r="J21" s="37"/>
      <c r="K21" s="37"/>
      <c r="L21" s="37"/>
      <c r="M21" s="37"/>
      <c r="N21" s="37"/>
      <c r="O21" s="37"/>
      <c r="P21" s="37"/>
      <c r="Q21" s="37"/>
      <c r="R21" s="37"/>
      <c r="S21" s="37"/>
      <c r="T21" s="37"/>
      <c r="U21" s="37"/>
      <c r="V21" s="37"/>
      <c r="W21" s="37"/>
      <c r="X21" s="37"/>
      <c r="Y21" s="37"/>
      <c r="Z21" s="37"/>
      <c r="AA21" s="37">
        <f t="shared" si="0"/>
        <v>1351999</v>
      </c>
    </row>
    <row r="22" spans="1:27" ht="14.4">
      <c r="A22" s="117">
        <v>1111411102</v>
      </c>
      <c r="B22" s="117" t="s">
        <v>18</v>
      </c>
      <c r="C22" s="37">
        <f>+VLOOKUP(A22,Composición!C:G,5,FALSE)</f>
        <v>783126</v>
      </c>
      <c r="D22" s="37"/>
      <c r="E22" s="37"/>
      <c r="F22" s="37">
        <f>+VLOOKUP(A22,Composición!C:J,8,FALSE)</f>
        <v>0</v>
      </c>
      <c r="G22" s="37">
        <f t="shared" si="1"/>
        <v>783126</v>
      </c>
      <c r="H22" s="37"/>
      <c r="I22" s="37"/>
      <c r="J22" s="37"/>
      <c r="K22" s="37"/>
      <c r="L22" s="37"/>
      <c r="M22" s="37"/>
      <c r="N22" s="37"/>
      <c r="O22" s="37"/>
      <c r="P22" s="37"/>
      <c r="Q22" s="37"/>
      <c r="R22" s="37"/>
      <c r="S22" s="37"/>
      <c r="T22" s="37"/>
      <c r="U22" s="37"/>
      <c r="V22" s="37"/>
      <c r="W22" s="37"/>
      <c r="X22" s="37"/>
      <c r="Y22" s="37"/>
      <c r="Z22" s="37"/>
      <c r="AA22" s="37">
        <f t="shared" si="0"/>
        <v>783126</v>
      </c>
    </row>
    <row r="23" spans="1:27" ht="14.4">
      <c r="A23" s="117">
        <v>11114112</v>
      </c>
      <c r="B23" s="117" t="s">
        <v>16</v>
      </c>
      <c r="C23" s="37">
        <f>+VLOOKUP(A23,Composición!C:G,5,FALSE)</f>
        <v>0</v>
      </c>
      <c r="D23" s="37"/>
      <c r="E23" s="37"/>
      <c r="F23" s="37">
        <f>+VLOOKUP(A23,Composición!C:J,8,FALSE)</f>
        <v>0</v>
      </c>
      <c r="G23" s="37">
        <f t="shared" si="1"/>
        <v>0</v>
      </c>
      <c r="H23" s="37"/>
      <c r="I23" s="37"/>
      <c r="J23" s="37"/>
      <c r="K23" s="37"/>
      <c r="L23" s="37"/>
      <c r="M23" s="37"/>
      <c r="N23" s="37"/>
      <c r="O23" s="37"/>
      <c r="P23" s="37"/>
      <c r="Q23" s="37"/>
      <c r="R23" s="37"/>
      <c r="S23" s="37"/>
      <c r="T23" s="37"/>
      <c r="U23" s="37"/>
      <c r="V23" s="37"/>
      <c r="W23" s="37"/>
      <c r="X23" s="37"/>
      <c r="Y23" s="37"/>
      <c r="Z23" s="37"/>
      <c r="AA23" s="37">
        <f t="shared" si="0"/>
        <v>0</v>
      </c>
    </row>
    <row r="24" spans="1:27" ht="14.4">
      <c r="A24" s="117">
        <v>1111411201</v>
      </c>
      <c r="B24" s="117" t="s">
        <v>17</v>
      </c>
      <c r="C24" s="37">
        <f>+VLOOKUP(A24,Composición!C:G,5,FALSE)</f>
        <v>0</v>
      </c>
      <c r="D24" s="37"/>
      <c r="E24" s="37"/>
      <c r="F24" s="37">
        <f>+VLOOKUP(A24,Composición!C:J,8,FALSE)</f>
        <v>638998663</v>
      </c>
      <c r="G24" s="37">
        <f t="shared" si="1"/>
        <v>-638998663</v>
      </c>
      <c r="H24" s="37"/>
      <c r="I24" s="37"/>
      <c r="J24" s="37"/>
      <c r="K24" s="37"/>
      <c r="L24" s="37"/>
      <c r="M24" s="37"/>
      <c r="N24" s="37"/>
      <c r="O24" s="37"/>
      <c r="P24" s="37"/>
      <c r="Q24" s="37"/>
      <c r="R24" s="37"/>
      <c r="S24" s="37"/>
      <c r="T24" s="37"/>
      <c r="U24" s="37"/>
      <c r="V24" s="37"/>
      <c r="W24" s="37"/>
      <c r="X24" s="37"/>
      <c r="Y24" s="37"/>
      <c r="Z24" s="37"/>
      <c r="AA24" s="37">
        <f t="shared" si="0"/>
        <v>-638998663</v>
      </c>
    </row>
    <row r="25" spans="1:27" ht="14.4">
      <c r="A25" s="117">
        <v>1111411202</v>
      </c>
      <c r="B25" s="117" t="s">
        <v>18</v>
      </c>
      <c r="C25" s="37">
        <f>+VLOOKUP(A25,Composición!C:G,5,FALSE)</f>
        <v>0</v>
      </c>
      <c r="D25" s="37"/>
      <c r="E25" s="37"/>
      <c r="F25" s="37">
        <f>+VLOOKUP(A25,Composición!C:J,8,FALSE)</f>
        <v>1710440128</v>
      </c>
      <c r="G25" s="37">
        <f t="shared" si="1"/>
        <v>-1710440128</v>
      </c>
      <c r="H25" s="37"/>
      <c r="I25" s="37"/>
      <c r="J25" s="37"/>
      <c r="K25" s="37"/>
      <c r="L25" s="37"/>
      <c r="M25" s="37"/>
      <c r="N25" s="37"/>
      <c r="O25" s="37"/>
      <c r="P25" s="37"/>
      <c r="Q25" s="37"/>
      <c r="R25" s="37"/>
      <c r="S25" s="37"/>
      <c r="T25" s="37"/>
      <c r="U25" s="37"/>
      <c r="V25" s="37"/>
      <c r="W25" s="37"/>
      <c r="X25" s="37"/>
      <c r="Y25" s="37"/>
      <c r="Z25" s="37"/>
      <c r="AA25" s="37">
        <f t="shared" si="0"/>
        <v>-1710440128</v>
      </c>
    </row>
    <row r="26" spans="1:27" ht="14.4">
      <c r="A26" s="117">
        <v>1111411203</v>
      </c>
      <c r="B26" s="117" t="s">
        <v>551</v>
      </c>
      <c r="C26" s="37">
        <f>+VLOOKUP(A26,Composición!C:G,5,FALSE)</f>
        <v>2458879652</v>
      </c>
      <c r="D26" s="37"/>
      <c r="E26" s="37"/>
      <c r="F26" s="37">
        <f>+VLOOKUP(A26,Composición!C:J,8,FALSE)</f>
        <v>0</v>
      </c>
      <c r="G26" s="37">
        <f t="shared" ref="G26:G27" si="2">C26+D26-E26-F26</f>
        <v>2458879652</v>
      </c>
      <c r="H26" s="37"/>
      <c r="I26" s="37"/>
      <c r="J26" s="37"/>
      <c r="K26" s="37"/>
      <c r="L26" s="37"/>
      <c r="M26" s="37"/>
      <c r="N26" s="37"/>
      <c r="O26" s="37"/>
      <c r="P26" s="37"/>
      <c r="Q26" s="37"/>
      <c r="R26" s="37"/>
      <c r="S26" s="37"/>
      <c r="T26" s="37"/>
      <c r="U26" s="37"/>
      <c r="V26" s="37"/>
      <c r="W26" s="37"/>
      <c r="X26" s="37"/>
      <c r="Y26" s="37"/>
      <c r="Z26" s="37"/>
      <c r="AA26" s="37">
        <f t="shared" si="0"/>
        <v>2458879652</v>
      </c>
    </row>
    <row r="27" spans="1:27" ht="14.4">
      <c r="A27" s="117">
        <v>1111411204</v>
      </c>
      <c r="B27" s="117" t="s">
        <v>552</v>
      </c>
      <c r="C27" s="37">
        <f>+VLOOKUP(A27,Composición!C:G,5,FALSE)</f>
        <v>1554453894</v>
      </c>
      <c r="D27" s="37"/>
      <c r="E27" s="37"/>
      <c r="F27" s="37">
        <f>+VLOOKUP(A27,Composición!C:J,8,FALSE)</f>
        <v>0</v>
      </c>
      <c r="G27" s="37">
        <f t="shared" si="2"/>
        <v>1554453894</v>
      </c>
      <c r="H27" s="37"/>
      <c r="I27" s="37"/>
      <c r="J27" s="37"/>
      <c r="K27" s="37"/>
      <c r="L27" s="37"/>
      <c r="M27" s="37"/>
      <c r="N27" s="37"/>
      <c r="O27" s="37"/>
      <c r="P27" s="37"/>
      <c r="Q27" s="37"/>
      <c r="R27" s="37"/>
      <c r="S27" s="37"/>
      <c r="T27" s="37"/>
      <c r="U27" s="37"/>
      <c r="V27" s="37"/>
      <c r="W27" s="37"/>
      <c r="X27" s="37"/>
      <c r="Y27" s="37"/>
      <c r="Z27" s="37"/>
      <c r="AA27" s="37">
        <f t="shared" si="0"/>
        <v>1554453894</v>
      </c>
    </row>
    <row r="28" spans="1:27" ht="14.4">
      <c r="A28" s="117">
        <v>11114113</v>
      </c>
      <c r="B28" s="117" t="s">
        <v>19</v>
      </c>
      <c r="C28" s="37">
        <f>+VLOOKUP(A28,Composición!C:G,5,FALSE)</f>
        <v>0</v>
      </c>
      <c r="D28" s="37"/>
      <c r="E28" s="37"/>
      <c r="F28" s="37">
        <f>+VLOOKUP(A28,Composición!C:J,8,FALSE)</f>
        <v>0</v>
      </c>
      <c r="G28" s="37">
        <f t="shared" si="1"/>
        <v>0</v>
      </c>
      <c r="H28" s="37"/>
      <c r="I28" s="37"/>
      <c r="J28" s="37"/>
      <c r="K28" s="37"/>
      <c r="L28" s="37"/>
      <c r="M28" s="37"/>
      <c r="N28" s="37"/>
      <c r="O28" s="37"/>
      <c r="P28" s="37"/>
      <c r="Q28" s="37"/>
      <c r="R28" s="37"/>
      <c r="S28" s="37"/>
      <c r="T28" s="37"/>
      <c r="U28" s="37"/>
      <c r="V28" s="37"/>
      <c r="W28" s="37"/>
      <c r="X28" s="37"/>
      <c r="Y28" s="37"/>
      <c r="Z28" s="37"/>
      <c r="AA28" s="37">
        <f t="shared" si="0"/>
        <v>0</v>
      </c>
    </row>
    <row r="29" spans="1:27" ht="14.4">
      <c r="A29" s="117">
        <v>1111411301</v>
      </c>
      <c r="B29" s="117" t="s">
        <v>17</v>
      </c>
      <c r="C29" s="37">
        <f>+VLOOKUP(A29,Composición!C:G,5,FALSE)</f>
        <v>0</v>
      </c>
      <c r="D29" s="37"/>
      <c r="E29" s="37"/>
      <c r="F29" s="37">
        <f>+VLOOKUP(A29,Composición!C:J,8,FALSE)</f>
        <v>0</v>
      </c>
      <c r="G29" s="37">
        <f t="shared" si="1"/>
        <v>0</v>
      </c>
      <c r="H29" s="37"/>
      <c r="I29" s="37"/>
      <c r="J29" s="37"/>
      <c r="K29" s="37"/>
      <c r="L29" s="37"/>
      <c r="M29" s="37"/>
      <c r="N29" s="37"/>
      <c r="O29" s="37"/>
      <c r="P29" s="37"/>
      <c r="Q29" s="37"/>
      <c r="R29" s="37"/>
      <c r="S29" s="37"/>
      <c r="T29" s="37"/>
      <c r="U29" s="37"/>
      <c r="V29" s="37"/>
      <c r="W29" s="37"/>
      <c r="X29" s="37"/>
      <c r="Y29" s="37"/>
      <c r="Z29" s="37"/>
      <c r="AA29" s="37">
        <f t="shared" si="0"/>
        <v>0</v>
      </c>
    </row>
    <row r="30" spans="1:27" ht="14.4">
      <c r="A30" s="117">
        <v>1111411302</v>
      </c>
      <c r="B30" s="117" t="s">
        <v>18</v>
      </c>
      <c r="C30" s="37">
        <f>+VLOOKUP(A30,Composición!C:G,5,FALSE)</f>
        <v>0</v>
      </c>
      <c r="D30" s="37"/>
      <c r="E30" s="37"/>
      <c r="F30" s="37">
        <f>+VLOOKUP(A30,Composición!C:J,8,FALSE)</f>
        <v>41022212</v>
      </c>
      <c r="G30" s="37">
        <f t="shared" si="1"/>
        <v>-41022212</v>
      </c>
      <c r="H30" s="37"/>
      <c r="I30" s="37"/>
      <c r="J30" s="37"/>
      <c r="K30" s="37"/>
      <c r="L30" s="37"/>
      <c r="M30" s="37"/>
      <c r="N30" s="37"/>
      <c r="O30" s="37"/>
      <c r="P30" s="37"/>
      <c r="Q30" s="37"/>
      <c r="R30" s="37"/>
      <c r="S30" s="37"/>
      <c r="T30" s="37"/>
      <c r="U30" s="37"/>
      <c r="V30" s="37"/>
      <c r="W30" s="37"/>
      <c r="X30" s="37"/>
      <c r="Y30" s="37"/>
      <c r="Z30" s="37"/>
      <c r="AA30" s="37">
        <f t="shared" si="0"/>
        <v>-41022212</v>
      </c>
    </row>
    <row r="31" spans="1:27" ht="14.4">
      <c r="A31" s="117">
        <v>11114114</v>
      </c>
      <c r="B31" s="117" t="s">
        <v>553</v>
      </c>
      <c r="C31" s="37">
        <f>+VLOOKUP(A31,Composición!C:G,5,FALSE)</f>
        <v>0</v>
      </c>
      <c r="D31" s="37"/>
      <c r="E31" s="37"/>
      <c r="F31" s="37">
        <f>+VLOOKUP(A31,Composición!C:J,8,FALSE)</f>
        <v>0</v>
      </c>
      <c r="G31" s="37">
        <f t="shared" ref="G31:G32" si="3">C31+D31-E31-F31</f>
        <v>0</v>
      </c>
      <c r="H31" s="37"/>
      <c r="I31" s="37"/>
      <c r="J31" s="37"/>
      <c r="K31" s="37"/>
      <c r="L31" s="37"/>
      <c r="M31" s="37"/>
      <c r="N31" s="37"/>
      <c r="O31" s="37"/>
      <c r="P31" s="37"/>
      <c r="Q31" s="37"/>
      <c r="R31" s="37"/>
      <c r="S31" s="37"/>
      <c r="T31" s="37"/>
      <c r="U31" s="37"/>
      <c r="V31" s="37"/>
      <c r="W31" s="37"/>
      <c r="X31" s="37"/>
      <c r="Y31" s="37"/>
      <c r="Z31" s="37"/>
      <c r="AA31" s="37">
        <f t="shared" si="0"/>
        <v>0</v>
      </c>
    </row>
    <row r="32" spans="1:27" ht="14.4">
      <c r="A32" s="117">
        <v>1111411402</v>
      </c>
      <c r="B32" s="117" t="s">
        <v>554</v>
      </c>
      <c r="C32" s="37">
        <f>+VLOOKUP(A32,Composición!C:G,5,FALSE)</f>
        <v>0</v>
      </c>
      <c r="D32" s="37"/>
      <c r="E32" s="37"/>
      <c r="F32" s="37">
        <f>+VLOOKUP(A32,Composición!C:J,8,FALSE)</f>
        <v>0</v>
      </c>
      <c r="G32" s="37">
        <f t="shared" si="3"/>
        <v>0</v>
      </c>
      <c r="H32" s="37"/>
      <c r="I32" s="37"/>
      <c r="J32" s="37"/>
      <c r="K32" s="37"/>
      <c r="L32" s="37"/>
      <c r="M32" s="37"/>
      <c r="N32" s="37"/>
      <c r="O32" s="37"/>
      <c r="P32" s="37"/>
      <c r="Q32" s="37"/>
      <c r="R32" s="37"/>
      <c r="S32" s="37"/>
      <c r="T32" s="37"/>
      <c r="U32" s="37"/>
      <c r="V32" s="37"/>
      <c r="W32" s="37"/>
      <c r="X32" s="37"/>
      <c r="Y32" s="37"/>
      <c r="Z32" s="37"/>
      <c r="AA32" s="37">
        <f t="shared" si="0"/>
        <v>0</v>
      </c>
    </row>
    <row r="33" spans="1:27" ht="14.4">
      <c r="A33" s="117">
        <v>1111412</v>
      </c>
      <c r="B33" s="117" t="s">
        <v>641</v>
      </c>
      <c r="C33" s="37">
        <f>+VLOOKUP(A33,Composición!C:G,5,FALSE)</f>
        <v>0</v>
      </c>
      <c r="D33" s="37"/>
      <c r="E33" s="37"/>
      <c r="F33" s="37">
        <f>+VLOOKUP(A33,Composición!C:J,8,FALSE)</f>
        <v>0</v>
      </c>
      <c r="G33" s="37">
        <f t="shared" si="1"/>
        <v>0</v>
      </c>
      <c r="H33" s="37"/>
      <c r="I33" s="37"/>
      <c r="J33" s="37"/>
      <c r="K33" s="37"/>
      <c r="L33" s="37"/>
      <c r="M33" s="37"/>
      <c r="N33" s="37"/>
      <c r="O33" s="37"/>
      <c r="P33" s="37"/>
      <c r="Q33" s="37"/>
      <c r="R33" s="37"/>
      <c r="S33" s="37"/>
      <c r="T33" s="37"/>
      <c r="U33" s="37"/>
      <c r="V33" s="37"/>
      <c r="W33" s="37"/>
      <c r="X33" s="37"/>
      <c r="Y33" s="37"/>
      <c r="Z33" s="37"/>
      <c r="AA33" s="37">
        <f t="shared" si="0"/>
        <v>0</v>
      </c>
    </row>
    <row r="34" spans="1:27" ht="14.4">
      <c r="A34" s="117">
        <v>11114121</v>
      </c>
      <c r="B34" s="117" t="s">
        <v>642</v>
      </c>
      <c r="C34" s="37">
        <f>+VLOOKUP(A34,Composición!C:G,5,FALSE)</f>
        <v>0</v>
      </c>
      <c r="D34" s="37"/>
      <c r="E34" s="37"/>
      <c r="F34" s="37">
        <f>+VLOOKUP(A34,Composición!C:J,8,FALSE)</f>
        <v>0</v>
      </c>
      <c r="G34" s="37">
        <f t="shared" si="1"/>
        <v>0</v>
      </c>
      <c r="H34" s="37"/>
      <c r="I34" s="37"/>
      <c r="J34" s="37"/>
      <c r="K34" s="37"/>
      <c r="L34" s="37"/>
      <c r="M34" s="37"/>
      <c r="N34" s="37"/>
      <c r="O34" s="37"/>
      <c r="P34" s="37"/>
      <c r="Q34" s="37"/>
      <c r="R34" s="37"/>
      <c r="S34" s="37"/>
      <c r="T34" s="37"/>
      <c r="U34" s="37"/>
      <c r="V34" s="37"/>
      <c r="W34" s="37"/>
      <c r="X34" s="37"/>
      <c r="Y34" s="37"/>
      <c r="Z34" s="37"/>
      <c r="AA34" s="37">
        <f t="shared" si="0"/>
        <v>0</v>
      </c>
    </row>
    <row r="35" spans="1:27" ht="14.4">
      <c r="A35" s="117">
        <v>1111412101</v>
      </c>
      <c r="B35" s="117" t="s">
        <v>17</v>
      </c>
      <c r="C35" s="37">
        <f>+VLOOKUP(A35,Composición!C:G,5,FALSE)</f>
        <v>0</v>
      </c>
      <c r="D35" s="37"/>
      <c r="E35" s="37"/>
      <c r="F35" s="37">
        <f>+VLOOKUP(A35,Composición!C:J,8,FALSE)</f>
        <v>0</v>
      </c>
      <c r="G35" s="37">
        <f t="shared" si="1"/>
        <v>0</v>
      </c>
      <c r="H35" s="37"/>
      <c r="I35" s="37"/>
      <c r="J35" s="37"/>
      <c r="K35" s="37"/>
      <c r="L35" s="37"/>
      <c r="M35" s="37"/>
      <c r="N35" s="37"/>
      <c r="O35" s="37"/>
      <c r="P35" s="37"/>
      <c r="Q35" s="37"/>
      <c r="R35" s="37"/>
      <c r="S35" s="37"/>
      <c r="T35" s="37"/>
      <c r="U35" s="37"/>
      <c r="V35" s="37"/>
      <c r="W35" s="37"/>
      <c r="X35" s="37"/>
      <c r="Y35" s="37"/>
      <c r="Z35" s="37"/>
      <c r="AA35" s="37">
        <f t="shared" si="0"/>
        <v>0</v>
      </c>
    </row>
    <row r="36" spans="1:27" ht="14.4">
      <c r="A36" s="117">
        <v>1111412102</v>
      </c>
      <c r="B36" s="117" t="s">
        <v>18</v>
      </c>
      <c r="C36" s="37">
        <f>+VLOOKUP(A36,Composición!C:G,5,FALSE)</f>
        <v>0</v>
      </c>
      <c r="D36" s="37"/>
      <c r="E36" s="37"/>
      <c r="F36" s="37">
        <f>+VLOOKUP(A36,Composición!C:J,8,FALSE)</f>
        <v>0</v>
      </c>
      <c r="G36" s="37">
        <f t="shared" si="1"/>
        <v>0</v>
      </c>
      <c r="H36" s="37"/>
      <c r="I36" s="37"/>
      <c r="J36" s="37"/>
      <c r="K36" s="37"/>
      <c r="L36" s="37"/>
      <c r="M36" s="37"/>
      <c r="N36" s="37"/>
      <c r="O36" s="37"/>
      <c r="P36" s="37"/>
      <c r="Q36" s="37"/>
      <c r="R36" s="37"/>
      <c r="S36" s="37"/>
      <c r="T36" s="37"/>
      <c r="U36" s="37"/>
      <c r="V36" s="37"/>
      <c r="W36" s="37"/>
      <c r="X36" s="37"/>
      <c r="Y36" s="37"/>
      <c r="Z36" s="37"/>
      <c r="AA36" s="37">
        <f t="shared" si="0"/>
        <v>0</v>
      </c>
    </row>
    <row r="37" spans="1:27" ht="14.4">
      <c r="A37" s="117">
        <v>11114122</v>
      </c>
      <c r="B37" s="117" t="s">
        <v>21</v>
      </c>
      <c r="C37" s="37">
        <f>+VLOOKUP(A37,Composición!C:G,5,FALSE)</f>
        <v>0</v>
      </c>
      <c r="D37" s="37"/>
      <c r="E37" s="37"/>
      <c r="F37" s="37">
        <f>+VLOOKUP(A37,Composición!C:J,8,FALSE)</f>
        <v>0</v>
      </c>
      <c r="G37" s="37">
        <f t="shared" si="1"/>
        <v>0</v>
      </c>
      <c r="H37" s="37"/>
      <c r="I37" s="37"/>
      <c r="J37" s="37"/>
      <c r="K37" s="37"/>
      <c r="L37" s="37"/>
      <c r="M37" s="37"/>
      <c r="N37" s="37"/>
      <c r="O37" s="37"/>
      <c r="P37" s="37"/>
      <c r="Q37" s="37"/>
      <c r="R37" s="37"/>
      <c r="S37" s="37"/>
      <c r="T37" s="37"/>
      <c r="U37" s="37"/>
      <c r="V37" s="37"/>
      <c r="W37" s="37"/>
      <c r="X37" s="37"/>
      <c r="Y37" s="37"/>
      <c r="Z37" s="37"/>
      <c r="AA37" s="37">
        <f t="shared" si="0"/>
        <v>0</v>
      </c>
    </row>
    <row r="38" spans="1:27" ht="14.4">
      <c r="A38" s="117">
        <v>1111412201</v>
      </c>
      <c r="B38" s="117" t="s">
        <v>17</v>
      </c>
      <c r="C38" s="37">
        <f>+VLOOKUP(A38,Composición!C:G,5,FALSE)</f>
        <v>5180000</v>
      </c>
      <c r="D38" s="37"/>
      <c r="E38" s="37"/>
      <c r="F38" s="37">
        <f>+VLOOKUP(A38,Composición!C:J,8,FALSE)</f>
        <v>6117000</v>
      </c>
      <c r="G38" s="37">
        <f t="shared" si="1"/>
        <v>-937000</v>
      </c>
      <c r="H38" s="37"/>
      <c r="I38" s="37"/>
      <c r="J38" s="37"/>
      <c r="K38" s="37"/>
      <c r="L38" s="37"/>
      <c r="M38" s="37"/>
      <c r="N38" s="37"/>
      <c r="O38" s="37"/>
      <c r="P38" s="37"/>
      <c r="Q38" s="37"/>
      <c r="R38" s="37"/>
      <c r="S38" s="37"/>
      <c r="T38" s="37"/>
      <c r="U38" s="37"/>
      <c r="V38" s="37"/>
      <c r="W38" s="37"/>
      <c r="X38" s="37"/>
      <c r="Y38" s="37"/>
      <c r="Z38" s="37"/>
      <c r="AA38" s="37">
        <f t="shared" si="0"/>
        <v>-937000</v>
      </c>
    </row>
    <row r="39" spans="1:27" ht="14.4">
      <c r="A39" s="117">
        <v>1111412202</v>
      </c>
      <c r="B39" s="117" t="s">
        <v>18</v>
      </c>
      <c r="C39" s="37">
        <f>+VLOOKUP(A39,Composición!C:G,5,FALSE)</f>
        <v>40096051</v>
      </c>
      <c r="D39" s="37"/>
      <c r="E39" s="37"/>
      <c r="F39" s="37">
        <f>+VLOOKUP(A39,Composición!C:J,8,FALSE)</f>
        <v>37189581</v>
      </c>
      <c r="G39" s="37">
        <f t="shared" si="1"/>
        <v>2906470</v>
      </c>
      <c r="H39" s="37"/>
      <c r="I39" s="37"/>
      <c r="J39" s="37"/>
      <c r="K39" s="37"/>
      <c r="L39" s="37"/>
      <c r="M39" s="37"/>
      <c r="N39" s="37"/>
      <c r="O39" s="37"/>
      <c r="P39" s="37"/>
      <c r="Q39" s="37"/>
      <c r="R39" s="37"/>
      <c r="S39" s="37"/>
      <c r="T39" s="37"/>
      <c r="U39" s="37"/>
      <c r="V39" s="37"/>
      <c r="W39" s="37"/>
      <c r="X39" s="37"/>
      <c r="Y39" s="37"/>
      <c r="Z39" s="37"/>
      <c r="AA39" s="37">
        <f t="shared" si="0"/>
        <v>2906470</v>
      </c>
    </row>
    <row r="40" spans="1:27" ht="14.4">
      <c r="A40" s="117">
        <v>11114123</v>
      </c>
      <c r="B40" s="117" t="s">
        <v>22</v>
      </c>
      <c r="C40" s="37">
        <f>+VLOOKUP(A40,Composición!C:G,5,FALSE)</f>
        <v>0</v>
      </c>
      <c r="D40" s="37"/>
      <c r="E40" s="37"/>
      <c r="F40" s="37">
        <f>+VLOOKUP(A40,Composición!C:J,8,FALSE)</f>
        <v>0</v>
      </c>
      <c r="G40" s="37">
        <f t="shared" si="1"/>
        <v>0</v>
      </c>
      <c r="H40" s="37"/>
      <c r="I40" s="37"/>
      <c r="J40" s="37"/>
      <c r="K40" s="37"/>
      <c r="L40" s="37"/>
      <c r="M40" s="37"/>
      <c r="N40" s="37"/>
      <c r="O40" s="37"/>
      <c r="P40" s="37"/>
      <c r="Q40" s="37"/>
      <c r="R40" s="37"/>
      <c r="S40" s="37"/>
      <c r="T40" s="37"/>
      <c r="U40" s="37"/>
      <c r="V40" s="37"/>
      <c r="W40" s="37"/>
      <c r="X40" s="37"/>
      <c r="Y40" s="37"/>
      <c r="Z40" s="37"/>
      <c r="AA40" s="37">
        <f t="shared" si="0"/>
        <v>0</v>
      </c>
    </row>
    <row r="41" spans="1:27" ht="14.4">
      <c r="A41" s="117">
        <v>1111412301</v>
      </c>
      <c r="B41" s="117" t="s">
        <v>17</v>
      </c>
      <c r="C41" s="37">
        <f>+VLOOKUP(A41,Composición!C:G,5,FALSE)</f>
        <v>0</v>
      </c>
      <c r="D41" s="37"/>
      <c r="E41" s="37"/>
      <c r="F41" s="37">
        <f>+VLOOKUP(A41,Composición!C:J,8,FALSE)</f>
        <v>13911138</v>
      </c>
      <c r="G41" s="37">
        <f t="shared" si="1"/>
        <v>-13911138</v>
      </c>
      <c r="H41" s="37"/>
      <c r="I41" s="37"/>
      <c r="J41" s="37"/>
      <c r="K41" s="37"/>
      <c r="L41" s="37"/>
      <c r="M41" s="37"/>
      <c r="N41" s="37"/>
      <c r="O41" s="37"/>
      <c r="P41" s="37"/>
      <c r="Q41" s="37"/>
      <c r="R41" s="37"/>
      <c r="S41" s="37"/>
      <c r="T41" s="37"/>
      <c r="U41" s="37"/>
      <c r="V41" s="37"/>
      <c r="W41" s="37"/>
      <c r="X41" s="37"/>
      <c r="Y41" s="37"/>
      <c r="Z41" s="37"/>
      <c r="AA41" s="37">
        <f t="shared" si="0"/>
        <v>-13911138</v>
      </c>
    </row>
    <row r="42" spans="1:27" ht="14.4">
      <c r="A42" s="117">
        <v>1111412302</v>
      </c>
      <c r="B42" s="117" t="s">
        <v>18</v>
      </c>
      <c r="C42" s="37">
        <f>+VLOOKUP(A42,Composición!C:G,5,FALSE)</f>
        <v>0</v>
      </c>
      <c r="D42" s="37"/>
      <c r="E42" s="37"/>
      <c r="F42" s="37">
        <f>+VLOOKUP(A42,Composición!C:J,8,FALSE)</f>
        <v>2402085195</v>
      </c>
      <c r="G42" s="37">
        <f t="shared" si="1"/>
        <v>-2402085195</v>
      </c>
      <c r="H42" s="37"/>
      <c r="I42" s="37"/>
      <c r="J42" s="37"/>
      <c r="K42" s="37"/>
      <c r="L42" s="37"/>
      <c r="M42" s="37"/>
      <c r="N42" s="37"/>
      <c r="O42" s="37"/>
      <c r="P42" s="37"/>
      <c r="Q42" s="37"/>
      <c r="R42" s="37"/>
      <c r="S42" s="37"/>
      <c r="T42" s="37"/>
      <c r="U42" s="37"/>
      <c r="V42" s="37"/>
      <c r="W42" s="37"/>
      <c r="X42" s="37"/>
      <c r="Y42" s="37"/>
      <c r="Z42" s="37"/>
      <c r="AA42" s="37">
        <f t="shared" si="0"/>
        <v>-2402085195</v>
      </c>
    </row>
    <row r="43" spans="1:27" ht="14.4">
      <c r="A43" s="117">
        <v>1111412303</v>
      </c>
      <c r="B43" s="117" t="s">
        <v>557</v>
      </c>
      <c r="C43" s="37">
        <f>+VLOOKUP(A43,Composición!C:G,5,FALSE)</f>
        <v>8700000</v>
      </c>
      <c r="D43" s="37"/>
      <c r="E43" s="37"/>
      <c r="F43" s="37">
        <f>+VLOOKUP(A43,Composición!C:J,8,FALSE)</f>
        <v>0</v>
      </c>
      <c r="G43" s="37">
        <f t="shared" ref="G43:G60" si="4">C43+D43-E43-F43</f>
        <v>8700000</v>
      </c>
      <c r="H43" s="37"/>
      <c r="I43" s="37"/>
      <c r="J43" s="37"/>
      <c r="K43" s="37"/>
      <c r="L43" s="37"/>
      <c r="M43" s="37"/>
      <c r="N43" s="37"/>
      <c r="O43" s="37"/>
      <c r="P43" s="37"/>
      <c r="Q43" s="37"/>
      <c r="R43" s="37"/>
      <c r="S43" s="37"/>
      <c r="T43" s="37"/>
      <c r="U43" s="37"/>
      <c r="V43" s="37"/>
      <c r="W43" s="37"/>
      <c r="X43" s="37"/>
      <c r="Y43" s="37"/>
      <c r="Z43" s="37"/>
      <c r="AA43" s="37">
        <f t="shared" si="0"/>
        <v>8700000</v>
      </c>
    </row>
    <row r="44" spans="1:27" ht="14.4">
      <c r="A44" s="117">
        <v>1111412304</v>
      </c>
      <c r="B44" s="117" t="s">
        <v>558</v>
      </c>
      <c r="C44" s="37">
        <f>+VLOOKUP(A44,Composición!C:G,5,FALSE)</f>
        <v>39234613</v>
      </c>
      <c r="D44" s="37"/>
      <c r="E44" s="37"/>
      <c r="F44" s="37">
        <f>+VLOOKUP(A44,Composición!C:J,8,FALSE)</f>
        <v>0</v>
      </c>
      <c r="G44" s="37">
        <f t="shared" si="4"/>
        <v>39234613</v>
      </c>
      <c r="H44" s="37"/>
      <c r="I44" s="37"/>
      <c r="J44" s="37"/>
      <c r="K44" s="37"/>
      <c r="L44" s="37"/>
      <c r="M44" s="37"/>
      <c r="N44" s="37"/>
      <c r="O44" s="37"/>
      <c r="P44" s="37"/>
      <c r="Q44" s="37"/>
      <c r="R44" s="37"/>
      <c r="S44" s="37"/>
      <c r="T44" s="37"/>
      <c r="U44" s="37"/>
      <c r="V44" s="37"/>
      <c r="W44" s="37"/>
      <c r="X44" s="37"/>
      <c r="Y44" s="37"/>
      <c r="Z44" s="37"/>
      <c r="AA44" s="37">
        <f t="shared" si="0"/>
        <v>39234613</v>
      </c>
    </row>
    <row r="45" spans="1:27" ht="14.4">
      <c r="A45" s="117">
        <v>1111412305</v>
      </c>
      <c r="B45" s="117" t="s">
        <v>559</v>
      </c>
      <c r="C45" s="37">
        <f>+VLOOKUP(A45,Composición!C:G,5,FALSE)</f>
        <v>0</v>
      </c>
      <c r="D45" s="37"/>
      <c r="E45" s="37"/>
      <c r="F45" s="37">
        <f>+VLOOKUP(A45,Composición!C:J,8,FALSE)</f>
        <v>0</v>
      </c>
      <c r="G45" s="37">
        <f t="shared" si="4"/>
        <v>0</v>
      </c>
      <c r="H45" s="37"/>
      <c r="I45" s="37"/>
      <c r="J45" s="37"/>
      <c r="K45" s="37"/>
      <c r="L45" s="37"/>
      <c r="M45" s="37"/>
      <c r="N45" s="37"/>
      <c r="O45" s="37"/>
      <c r="P45" s="37"/>
      <c r="Q45" s="37"/>
      <c r="R45" s="37"/>
      <c r="S45" s="37"/>
      <c r="T45" s="37"/>
      <c r="U45" s="37"/>
      <c r="V45" s="37"/>
      <c r="W45" s="37"/>
      <c r="X45" s="37"/>
      <c r="Y45" s="37"/>
      <c r="Z45" s="37"/>
      <c r="AA45" s="37">
        <f t="shared" si="0"/>
        <v>0</v>
      </c>
    </row>
    <row r="46" spans="1:27" ht="14.4">
      <c r="A46" s="117">
        <v>1111412306</v>
      </c>
      <c r="B46" s="117" t="s">
        <v>560</v>
      </c>
      <c r="C46" s="37">
        <f>+VLOOKUP(A46,Composición!C:G,5,FALSE)</f>
        <v>39156300</v>
      </c>
      <c r="D46" s="37"/>
      <c r="E46" s="37"/>
      <c r="F46" s="37">
        <f>+VLOOKUP(A46,Composición!C:J,8,FALSE)</f>
        <v>0</v>
      </c>
      <c r="G46" s="37">
        <f t="shared" si="4"/>
        <v>39156300</v>
      </c>
      <c r="H46" s="37"/>
      <c r="I46" s="37"/>
      <c r="J46" s="37"/>
      <c r="K46" s="37"/>
      <c r="L46" s="37"/>
      <c r="M46" s="37"/>
      <c r="N46" s="37"/>
      <c r="O46" s="37"/>
      <c r="P46" s="37"/>
      <c r="Q46" s="37"/>
      <c r="R46" s="37"/>
      <c r="S46" s="37"/>
      <c r="T46" s="37"/>
      <c r="U46" s="37"/>
      <c r="V46" s="37"/>
      <c r="W46" s="37"/>
      <c r="X46" s="37"/>
      <c r="Y46" s="37"/>
      <c r="Z46" s="37"/>
      <c r="AA46" s="37">
        <f t="shared" si="0"/>
        <v>39156300</v>
      </c>
    </row>
    <row r="47" spans="1:27" ht="14.4">
      <c r="A47" s="1218">
        <v>1111412307</v>
      </c>
      <c r="B47" s="1218" t="s">
        <v>2701</v>
      </c>
      <c r="C47" s="37">
        <f>+VLOOKUP(A47,Composición!C:G,5,FALSE)</f>
        <v>9999990</v>
      </c>
      <c r="D47" s="37"/>
      <c r="E47" s="37"/>
      <c r="F47" s="37">
        <f>+VLOOKUP(A47,Composición!C:J,8,FALSE)</f>
        <v>0</v>
      </c>
      <c r="G47" s="37">
        <f t="shared" ref="G47" si="5">C47+D47-E47-F47</f>
        <v>9999990</v>
      </c>
      <c r="H47" s="37"/>
      <c r="I47" s="37"/>
      <c r="J47" s="37"/>
      <c r="K47" s="37"/>
      <c r="L47" s="37"/>
      <c r="M47" s="37"/>
      <c r="N47" s="37"/>
      <c r="O47" s="37"/>
      <c r="P47" s="37"/>
      <c r="Q47" s="37"/>
      <c r="R47" s="37"/>
      <c r="S47" s="37"/>
      <c r="T47" s="37"/>
      <c r="U47" s="37"/>
      <c r="V47" s="37"/>
      <c r="W47" s="37"/>
      <c r="X47" s="37"/>
      <c r="Y47" s="37"/>
      <c r="Z47" s="37"/>
      <c r="AA47" s="37">
        <f t="shared" si="0"/>
        <v>9999990</v>
      </c>
    </row>
    <row r="48" spans="1:27" ht="14.4">
      <c r="A48" s="117">
        <v>1111412309</v>
      </c>
      <c r="B48" s="117" t="s">
        <v>561</v>
      </c>
      <c r="C48" s="37">
        <f>+VLOOKUP(A48,Composición!C:G,5,FALSE)</f>
        <v>7143006</v>
      </c>
      <c r="D48" s="37"/>
      <c r="E48" s="37"/>
      <c r="F48" s="37">
        <f>+VLOOKUP(A48,Composición!C:J,8,FALSE)</f>
        <v>0</v>
      </c>
      <c r="G48" s="37">
        <f t="shared" si="4"/>
        <v>7143006</v>
      </c>
      <c r="H48" s="37"/>
      <c r="I48" s="37"/>
      <c r="J48" s="37"/>
      <c r="K48" s="37"/>
      <c r="L48" s="37"/>
      <c r="M48" s="37"/>
      <c r="N48" s="37"/>
      <c r="O48" s="37"/>
      <c r="P48" s="37"/>
      <c r="Q48" s="37"/>
      <c r="R48" s="37"/>
      <c r="S48" s="37"/>
      <c r="T48" s="37"/>
      <c r="U48" s="37"/>
      <c r="V48" s="37"/>
      <c r="W48" s="37"/>
      <c r="X48" s="37"/>
      <c r="Y48" s="37"/>
      <c r="Z48" s="37"/>
      <c r="AA48" s="37">
        <f t="shared" si="0"/>
        <v>7143006</v>
      </c>
    </row>
    <row r="49" spans="1:28" ht="14.4">
      <c r="A49" s="117">
        <v>1111412310</v>
      </c>
      <c r="B49" s="117" t="s">
        <v>562</v>
      </c>
      <c r="C49" s="37">
        <f>+VLOOKUP(A49,Composición!C:G,5,FALSE)</f>
        <v>33277686</v>
      </c>
      <c r="D49" s="37"/>
      <c r="E49" s="37"/>
      <c r="F49" s="37">
        <f>+VLOOKUP(A49,Composición!C:J,8,FALSE)</f>
        <v>0</v>
      </c>
      <c r="G49" s="37">
        <f t="shared" si="4"/>
        <v>33277686</v>
      </c>
      <c r="H49" s="37"/>
      <c r="I49" s="37"/>
      <c r="J49" s="37"/>
      <c r="K49" s="37"/>
      <c r="L49" s="37"/>
      <c r="M49" s="37"/>
      <c r="N49" s="37"/>
      <c r="O49" s="37"/>
      <c r="P49" s="37"/>
      <c r="Q49" s="37"/>
      <c r="R49" s="37"/>
      <c r="S49" s="37"/>
      <c r="T49" s="37"/>
      <c r="U49" s="37"/>
      <c r="V49" s="37"/>
      <c r="W49" s="37"/>
      <c r="X49" s="37"/>
      <c r="Y49" s="37"/>
      <c r="Z49" s="37"/>
      <c r="AA49" s="37">
        <f t="shared" si="0"/>
        <v>33277686</v>
      </c>
    </row>
    <row r="50" spans="1:28" ht="14.4">
      <c r="A50" s="117">
        <v>1111412311</v>
      </c>
      <c r="B50" s="117" t="s">
        <v>563</v>
      </c>
      <c r="C50" s="37">
        <f>+VLOOKUP(A50,Composición!C:G,5,FALSE)</f>
        <v>6536000</v>
      </c>
      <c r="D50" s="37"/>
      <c r="E50" s="37"/>
      <c r="F50" s="37">
        <f>+VLOOKUP(A50,Composición!C:J,8,FALSE)</f>
        <v>0</v>
      </c>
      <c r="G50" s="37">
        <f t="shared" ref="G50:G51" si="6">C50+D50-E50-F50</f>
        <v>6536000</v>
      </c>
      <c r="H50" s="37"/>
      <c r="I50" s="37"/>
      <c r="J50" s="37"/>
      <c r="K50" s="37"/>
      <c r="L50" s="37"/>
      <c r="M50" s="37"/>
      <c r="N50" s="37"/>
      <c r="O50" s="37"/>
      <c r="P50" s="37"/>
      <c r="Q50" s="37"/>
      <c r="R50" s="37"/>
      <c r="S50" s="37"/>
      <c r="T50" s="37"/>
      <c r="U50" s="37"/>
      <c r="V50" s="37"/>
      <c r="W50" s="37"/>
      <c r="X50" s="37"/>
      <c r="Y50" s="37"/>
      <c r="Z50" s="37"/>
      <c r="AA50" s="37">
        <f t="shared" ref="AA50:AA51" si="7">SUM(G50:Z50)</f>
        <v>6536000</v>
      </c>
    </row>
    <row r="51" spans="1:28" ht="14.4">
      <c r="A51" s="117">
        <v>1111412312</v>
      </c>
      <c r="B51" s="117" t="s">
        <v>564</v>
      </c>
      <c r="C51" s="37">
        <f>+VLOOKUP(A51,Composición!C:G,5,FALSE)</f>
        <v>39156300</v>
      </c>
      <c r="D51" s="37"/>
      <c r="E51" s="37"/>
      <c r="F51" s="37">
        <f>+VLOOKUP(A51,Composición!C:J,8,FALSE)</f>
        <v>0</v>
      </c>
      <c r="G51" s="37">
        <f t="shared" si="6"/>
        <v>39156300</v>
      </c>
      <c r="H51" s="37"/>
      <c r="I51" s="37"/>
      <c r="J51" s="37"/>
      <c r="K51" s="37"/>
      <c r="L51" s="37"/>
      <c r="M51" s="37"/>
      <c r="N51" s="37"/>
      <c r="O51" s="37"/>
      <c r="P51" s="37"/>
      <c r="Q51" s="37"/>
      <c r="R51" s="37"/>
      <c r="S51" s="37"/>
      <c r="T51" s="37"/>
      <c r="U51" s="37"/>
      <c r="V51" s="37"/>
      <c r="W51" s="37"/>
      <c r="X51" s="37"/>
      <c r="Y51" s="37"/>
      <c r="Z51" s="37"/>
      <c r="AA51" s="37">
        <f t="shared" si="7"/>
        <v>39156300</v>
      </c>
    </row>
    <row r="52" spans="1:28" ht="14.4">
      <c r="A52" s="1351">
        <v>1111412313</v>
      </c>
      <c r="B52" s="1351" t="s">
        <v>2950</v>
      </c>
      <c r="C52" s="37">
        <f>+VLOOKUP(A52,Composición!C:G,5,FALSE)</f>
        <v>31763591</v>
      </c>
      <c r="D52" s="37"/>
      <c r="E52" s="37"/>
      <c r="F52" s="37">
        <f>+VLOOKUP(A52,Composición!C:J,8,FALSE)</f>
        <v>0</v>
      </c>
      <c r="G52" s="37">
        <f t="shared" si="4"/>
        <v>31763591</v>
      </c>
      <c r="H52" s="37"/>
      <c r="I52" s="37"/>
      <c r="J52" s="37"/>
      <c r="K52" s="37"/>
      <c r="L52" s="37"/>
      <c r="M52" s="37"/>
      <c r="N52" s="37"/>
      <c r="O52" s="37"/>
      <c r="P52" s="37"/>
      <c r="Q52" s="37"/>
      <c r="R52" s="37"/>
      <c r="S52" s="37"/>
      <c r="T52" s="37"/>
      <c r="U52" s="37"/>
      <c r="V52" s="37"/>
      <c r="W52" s="37"/>
      <c r="X52" s="37"/>
      <c r="Y52" s="37"/>
      <c r="Z52" s="37"/>
      <c r="AA52" s="37">
        <f t="shared" si="0"/>
        <v>31763591</v>
      </c>
    </row>
    <row r="53" spans="1:28" ht="14.4">
      <c r="A53" s="1351">
        <v>1111412314</v>
      </c>
      <c r="B53" s="1351" t="s">
        <v>2951</v>
      </c>
      <c r="C53" s="37">
        <f>+VLOOKUP(A53,Composición!C:G,5,FALSE)</f>
        <v>2840000</v>
      </c>
      <c r="D53" s="37"/>
      <c r="E53" s="37"/>
      <c r="F53" s="37">
        <f>+VLOOKUP(A53,Composición!C:J,8,FALSE)</f>
        <v>0</v>
      </c>
      <c r="G53" s="37">
        <f t="shared" si="4"/>
        <v>2840000</v>
      </c>
      <c r="H53" s="37"/>
      <c r="I53" s="37"/>
      <c r="J53" s="37"/>
      <c r="K53" s="37"/>
      <c r="L53" s="37"/>
      <c r="M53" s="37"/>
      <c r="N53" s="37"/>
      <c r="O53" s="37"/>
      <c r="P53" s="37"/>
      <c r="Q53" s="37"/>
      <c r="R53" s="37"/>
      <c r="S53" s="37"/>
      <c r="T53" s="37"/>
      <c r="U53" s="37"/>
      <c r="V53" s="37"/>
      <c r="W53" s="37"/>
      <c r="X53" s="37"/>
      <c r="Y53" s="37"/>
      <c r="Z53" s="37"/>
      <c r="AA53" s="37">
        <f t="shared" si="0"/>
        <v>2840000</v>
      </c>
    </row>
    <row r="54" spans="1:28" ht="14.4">
      <c r="A54" s="117">
        <v>11114124</v>
      </c>
      <c r="B54" s="117" t="s">
        <v>565</v>
      </c>
      <c r="C54" s="37">
        <f>+VLOOKUP(A54,Composición!C:G,5,FALSE)</f>
        <v>0</v>
      </c>
      <c r="D54" s="37"/>
      <c r="E54" s="37"/>
      <c r="F54" s="37">
        <f>+VLOOKUP(A54,Composición!C:J,8,FALSE)</f>
        <v>0</v>
      </c>
      <c r="G54" s="37">
        <f t="shared" si="4"/>
        <v>0</v>
      </c>
      <c r="H54" s="37"/>
      <c r="I54" s="37"/>
      <c r="J54" s="37"/>
      <c r="K54" s="37"/>
      <c r="L54" s="37"/>
      <c r="M54" s="37"/>
      <c r="N54" s="37"/>
      <c r="O54" s="37"/>
      <c r="P54" s="37"/>
      <c r="Q54" s="37"/>
      <c r="R54" s="37"/>
      <c r="S54" s="37"/>
      <c r="T54" s="37"/>
      <c r="U54" s="37"/>
      <c r="V54" s="37"/>
      <c r="W54" s="37"/>
      <c r="X54" s="37"/>
      <c r="Y54" s="37"/>
      <c r="Z54" s="37"/>
      <c r="AA54" s="37">
        <f t="shared" si="0"/>
        <v>0</v>
      </c>
    </row>
    <row r="55" spans="1:28" ht="14.4">
      <c r="A55" s="117">
        <v>1111412401</v>
      </c>
      <c r="B55" s="117" t="s">
        <v>566</v>
      </c>
      <c r="C55" s="37">
        <f>+VLOOKUP(A55,Composición!C:G,5,FALSE)</f>
        <v>446093182</v>
      </c>
      <c r="D55" s="37"/>
      <c r="E55" s="37"/>
      <c r="F55" s="37">
        <f>+VLOOKUP(A55,Composición!C:J,8,FALSE)</f>
        <v>0</v>
      </c>
      <c r="G55" s="37">
        <f t="shared" si="4"/>
        <v>446093182</v>
      </c>
      <c r="H55" s="37"/>
      <c r="I55" s="37"/>
      <c r="J55" s="37"/>
      <c r="K55" s="37"/>
      <c r="L55" s="37"/>
      <c r="M55" s="37"/>
      <c r="N55" s="37"/>
      <c r="O55" s="37"/>
      <c r="P55" s="37"/>
      <c r="Q55" s="37"/>
      <c r="R55" s="37"/>
      <c r="S55" s="37"/>
      <c r="T55" s="37"/>
      <c r="U55" s="37"/>
      <c r="V55" s="37"/>
      <c r="W55" s="37"/>
      <c r="X55" s="37"/>
      <c r="Y55" s="37"/>
      <c r="Z55" s="37"/>
      <c r="AA55" s="37">
        <f t="shared" si="0"/>
        <v>446093182</v>
      </c>
    </row>
    <row r="56" spans="1:28" ht="14.4">
      <c r="A56" s="117">
        <v>1111412402</v>
      </c>
      <c r="B56" s="117" t="s">
        <v>567</v>
      </c>
      <c r="C56" s="37">
        <f>+VLOOKUP(A56,Composición!C:G,5,FALSE)</f>
        <v>13619266</v>
      </c>
      <c r="D56" s="37"/>
      <c r="E56" s="37"/>
      <c r="F56" s="37">
        <f>+VLOOKUP(A56,Composición!C:J,8,FALSE)</f>
        <v>0</v>
      </c>
      <c r="G56" s="37">
        <f t="shared" si="4"/>
        <v>13619266</v>
      </c>
      <c r="H56" s="37"/>
      <c r="I56" s="37"/>
      <c r="J56" s="37"/>
      <c r="K56" s="37"/>
      <c r="L56" s="37"/>
      <c r="M56" s="37"/>
      <c r="N56" s="37"/>
      <c r="O56" s="37"/>
      <c r="P56" s="37"/>
      <c r="Q56" s="37"/>
      <c r="R56" s="37"/>
      <c r="S56" s="37"/>
      <c r="T56" s="37"/>
      <c r="U56" s="37"/>
      <c r="V56" s="37"/>
      <c r="W56" s="37"/>
      <c r="X56" s="37"/>
      <c r="Y56" s="37"/>
      <c r="Z56" s="37"/>
      <c r="AA56" s="37">
        <f t="shared" si="0"/>
        <v>13619266</v>
      </c>
    </row>
    <row r="57" spans="1:28" ht="14.4">
      <c r="A57" s="117">
        <v>1111412403</v>
      </c>
      <c r="B57" s="117" t="s">
        <v>568</v>
      </c>
      <c r="C57" s="37">
        <f>+VLOOKUP(A57,Composición!C:G,5,FALSE)</f>
        <v>102974421</v>
      </c>
      <c r="D57" s="37"/>
      <c r="E57" s="37"/>
      <c r="F57" s="37">
        <f>+VLOOKUP(A57,Composición!C:J,8,FALSE)</f>
        <v>0</v>
      </c>
      <c r="G57" s="37">
        <f t="shared" si="4"/>
        <v>102974421</v>
      </c>
      <c r="H57" s="37"/>
      <c r="I57" s="37"/>
      <c r="J57" s="37"/>
      <c r="K57" s="37"/>
      <c r="L57" s="37"/>
      <c r="M57" s="37"/>
      <c r="N57" s="37"/>
      <c r="O57" s="37"/>
      <c r="P57" s="37"/>
      <c r="Q57" s="37"/>
      <c r="R57" s="37"/>
      <c r="S57" s="37"/>
      <c r="T57" s="37"/>
      <c r="U57" s="37"/>
      <c r="V57" s="37"/>
      <c r="W57" s="37"/>
      <c r="X57" s="37"/>
      <c r="Y57" s="37"/>
      <c r="Z57" s="37"/>
      <c r="AA57" s="37">
        <f t="shared" si="0"/>
        <v>102974421</v>
      </c>
    </row>
    <row r="58" spans="1:28" ht="14.4">
      <c r="A58" s="117">
        <v>1111412404</v>
      </c>
      <c r="B58" s="117" t="s">
        <v>569</v>
      </c>
      <c r="C58" s="37">
        <f>+VLOOKUP(A58,Composición!C:G,5,FALSE)</f>
        <v>46351270</v>
      </c>
      <c r="D58" s="37"/>
      <c r="E58" s="37"/>
      <c r="F58" s="37">
        <f>+VLOOKUP(A58,Composición!C:J,8,FALSE)</f>
        <v>0</v>
      </c>
      <c r="G58" s="37">
        <f t="shared" si="4"/>
        <v>46351270</v>
      </c>
      <c r="H58" s="37"/>
      <c r="I58" s="37"/>
      <c r="J58" s="37"/>
      <c r="K58" s="37"/>
      <c r="L58" s="37"/>
      <c r="M58" s="37"/>
      <c r="N58" s="37"/>
      <c r="O58" s="37"/>
      <c r="P58" s="37"/>
      <c r="Q58" s="37"/>
      <c r="R58" s="37"/>
      <c r="S58" s="37"/>
      <c r="T58" s="37"/>
      <c r="U58" s="37"/>
      <c r="V58" s="37"/>
      <c r="W58" s="37"/>
      <c r="X58" s="37"/>
      <c r="Y58" s="37"/>
      <c r="Z58" s="37"/>
      <c r="AA58" s="37">
        <f t="shared" si="0"/>
        <v>46351270</v>
      </c>
    </row>
    <row r="59" spans="1:28" ht="14.4">
      <c r="A59" s="117">
        <v>1111412405</v>
      </c>
      <c r="B59" s="117" t="s">
        <v>570</v>
      </c>
      <c r="C59" s="37">
        <f>+VLOOKUP(A59,Composición!C:G,5,FALSE)</f>
        <v>9507150</v>
      </c>
      <c r="D59" s="37"/>
      <c r="E59" s="37"/>
      <c r="F59" s="37">
        <f>+VLOOKUP(A59,Composición!C:J,8,FALSE)</f>
        <v>0</v>
      </c>
      <c r="G59" s="37">
        <f t="shared" ref="G59" si="8">C59+D59-E59-F59</f>
        <v>9507150</v>
      </c>
      <c r="H59" s="37"/>
      <c r="I59" s="37"/>
      <c r="J59" s="37"/>
      <c r="K59" s="37"/>
      <c r="L59" s="37"/>
      <c r="M59" s="37"/>
      <c r="N59" s="37"/>
      <c r="O59" s="37"/>
      <c r="P59" s="37"/>
      <c r="Q59" s="37"/>
      <c r="R59" s="37"/>
      <c r="S59" s="37"/>
      <c r="T59" s="37"/>
      <c r="U59" s="37"/>
      <c r="V59" s="37"/>
      <c r="W59" s="37"/>
      <c r="X59" s="37"/>
      <c r="Y59" s="37"/>
      <c r="Z59" s="37"/>
      <c r="AA59" s="37">
        <f t="shared" ref="AA59" si="9">SUM(G59:Z59)</f>
        <v>9507150</v>
      </c>
    </row>
    <row r="60" spans="1:28" ht="14.4">
      <c r="A60" s="1351">
        <v>1111412407</v>
      </c>
      <c r="B60" s="1351" t="s">
        <v>2952</v>
      </c>
      <c r="C60" s="37">
        <f>+VLOOKUP(A60,Composición!C:G,5,FALSE)</f>
        <v>1971863</v>
      </c>
      <c r="D60" s="37"/>
      <c r="E60" s="37"/>
      <c r="F60" s="37">
        <f>+VLOOKUP(A60,Composición!C:J,8,FALSE)</f>
        <v>0</v>
      </c>
      <c r="G60" s="37">
        <f t="shared" si="4"/>
        <v>1971863</v>
      </c>
      <c r="H60" s="37"/>
      <c r="I60" s="37"/>
      <c r="J60" s="37"/>
      <c r="K60" s="37"/>
      <c r="L60" s="37"/>
      <c r="M60" s="37"/>
      <c r="N60" s="37"/>
      <c r="O60" s="37"/>
      <c r="P60" s="37"/>
      <c r="Q60" s="37"/>
      <c r="R60" s="37"/>
      <c r="S60" s="37"/>
      <c r="T60" s="37"/>
      <c r="U60" s="37"/>
      <c r="V60" s="37"/>
      <c r="W60" s="37"/>
      <c r="X60" s="37"/>
      <c r="Y60" s="37"/>
      <c r="Z60" s="37"/>
      <c r="AA60" s="37">
        <f t="shared" si="0"/>
        <v>1971863</v>
      </c>
    </row>
    <row r="61" spans="1:28" ht="14.4">
      <c r="A61" s="117">
        <v>111142</v>
      </c>
      <c r="B61" s="117" t="s">
        <v>23</v>
      </c>
      <c r="C61" s="37">
        <f>+VLOOKUP(A61,Composición!C:G,5,FALSE)</f>
        <v>0</v>
      </c>
      <c r="D61" s="37"/>
      <c r="E61" s="37"/>
      <c r="F61" s="37">
        <f>+VLOOKUP(A61,Composición!C:J,8,FALSE)</f>
        <v>0</v>
      </c>
      <c r="G61" s="37">
        <f t="shared" si="1"/>
        <v>0</v>
      </c>
      <c r="H61" s="37"/>
      <c r="I61" s="37"/>
      <c r="J61" s="37"/>
      <c r="K61" s="37"/>
      <c r="L61" s="37"/>
      <c r="M61" s="37"/>
      <c r="N61" s="37"/>
      <c r="O61" s="37"/>
      <c r="P61" s="37"/>
      <c r="Q61" s="37"/>
      <c r="R61" s="37"/>
      <c r="S61" s="37"/>
      <c r="T61" s="37"/>
      <c r="U61" s="37"/>
      <c r="V61" s="37"/>
      <c r="W61" s="37"/>
      <c r="X61" s="37"/>
      <c r="Y61" s="37"/>
      <c r="Z61" s="37"/>
      <c r="AA61" s="37">
        <f t="shared" si="0"/>
        <v>0</v>
      </c>
      <c r="AB61" s="37">
        <f t="shared" ref="AB61:AB124" si="10">SUM(G61:Z61)</f>
        <v>0</v>
      </c>
    </row>
    <row r="62" spans="1:28" ht="14.4">
      <c r="A62" s="117">
        <v>1111421</v>
      </c>
      <c r="B62" s="117" t="s">
        <v>24</v>
      </c>
      <c r="C62" s="37">
        <f>+VLOOKUP(A62,Composición!C:G,5,FALSE)</f>
        <v>0</v>
      </c>
      <c r="D62" s="37"/>
      <c r="E62" s="37"/>
      <c r="F62" s="37">
        <f>+VLOOKUP(A62,Composición!C:J,8,FALSE)</f>
        <v>0</v>
      </c>
      <c r="G62" s="37">
        <f t="shared" si="1"/>
        <v>0</v>
      </c>
      <c r="H62" s="37"/>
      <c r="I62" s="37"/>
      <c r="J62" s="37"/>
      <c r="K62" s="37"/>
      <c r="L62" s="37"/>
      <c r="M62" s="37"/>
      <c r="N62" s="37"/>
      <c r="O62" s="37"/>
      <c r="P62" s="37"/>
      <c r="Q62" s="37"/>
      <c r="R62" s="37"/>
      <c r="S62" s="37"/>
      <c r="T62" s="37"/>
      <c r="U62" s="37"/>
      <c r="V62" s="37"/>
      <c r="W62" s="37"/>
      <c r="X62" s="37"/>
      <c r="Y62" s="37"/>
      <c r="Z62" s="37"/>
      <c r="AA62" s="37">
        <f t="shared" si="0"/>
        <v>0</v>
      </c>
      <c r="AB62" s="37">
        <f t="shared" si="10"/>
        <v>0</v>
      </c>
    </row>
    <row r="63" spans="1:28" ht="14.4">
      <c r="A63" s="117">
        <v>11114211</v>
      </c>
      <c r="B63" s="117" t="s">
        <v>25</v>
      </c>
      <c r="C63" s="37">
        <f>+VLOOKUP(A63,Composición!C:G,5,FALSE)</f>
        <v>0</v>
      </c>
      <c r="D63" s="37"/>
      <c r="E63" s="37"/>
      <c r="F63" s="37">
        <f>+VLOOKUP(A63,Composición!C:J,8,FALSE)</f>
        <v>0</v>
      </c>
      <c r="G63" s="37">
        <f t="shared" si="1"/>
        <v>0</v>
      </c>
      <c r="H63" s="37"/>
      <c r="I63" s="37"/>
      <c r="J63" s="37"/>
      <c r="K63" s="37"/>
      <c r="L63" s="37"/>
      <c r="M63" s="37"/>
      <c r="N63" s="37"/>
      <c r="O63" s="37"/>
      <c r="P63" s="37"/>
      <c r="Q63" s="37"/>
      <c r="R63" s="37"/>
      <c r="S63" s="37"/>
      <c r="T63" s="37"/>
      <c r="U63" s="37"/>
      <c r="V63" s="37"/>
      <c r="W63" s="37"/>
      <c r="X63" s="37"/>
      <c r="Y63" s="37"/>
      <c r="Z63" s="37"/>
      <c r="AA63" s="37">
        <f t="shared" si="0"/>
        <v>0</v>
      </c>
      <c r="AB63" s="37">
        <f t="shared" si="10"/>
        <v>0</v>
      </c>
    </row>
    <row r="64" spans="1:28" ht="14.4">
      <c r="A64" s="117">
        <v>1111421101</v>
      </c>
      <c r="B64" s="117" t="s">
        <v>18</v>
      </c>
      <c r="C64" s="37">
        <f>+VLOOKUP(A64,Composición!C:G,5,FALSE)</f>
        <v>488815659</v>
      </c>
      <c r="D64" s="37"/>
      <c r="E64" s="37"/>
      <c r="F64" s="37">
        <f>+VLOOKUP(A64,Composición!C:J,8,FALSE)</f>
        <v>128164665</v>
      </c>
      <c r="G64" s="37">
        <f t="shared" si="1"/>
        <v>360650994</v>
      </c>
      <c r="H64" s="37"/>
      <c r="I64" s="37"/>
      <c r="J64" s="37"/>
      <c r="K64" s="37"/>
      <c r="L64" s="37"/>
      <c r="M64" s="37"/>
      <c r="N64" s="37"/>
      <c r="O64" s="37"/>
      <c r="P64" s="37"/>
      <c r="Q64" s="37"/>
      <c r="R64" s="37"/>
      <c r="S64" s="37"/>
      <c r="T64" s="37"/>
      <c r="U64" s="37"/>
      <c r="V64" s="37"/>
      <c r="W64" s="37"/>
      <c r="X64" s="37"/>
      <c r="Y64" s="37"/>
      <c r="Z64" s="37"/>
      <c r="AA64" s="37">
        <f t="shared" si="0"/>
        <v>360650994</v>
      </c>
      <c r="AB64" s="37">
        <f t="shared" si="10"/>
        <v>360650994</v>
      </c>
    </row>
    <row r="65" spans="1:28" ht="14.4">
      <c r="A65" s="117">
        <v>112</v>
      </c>
      <c r="B65" s="117" t="s">
        <v>26</v>
      </c>
      <c r="C65" s="37">
        <f>+VLOOKUP(A65,Composición!C:G,5,FALSE)</f>
        <v>0</v>
      </c>
      <c r="D65" s="37"/>
      <c r="E65" s="37"/>
      <c r="F65" s="37">
        <f>+VLOOKUP(A65,Composición!C:J,8,FALSE)</f>
        <v>0</v>
      </c>
      <c r="G65" s="37">
        <f t="shared" si="1"/>
        <v>0</v>
      </c>
      <c r="H65" s="37"/>
      <c r="I65" s="37"/>
      <c r="J65" s="37"/>
      <c r="K65" s="37"/>
      <c r="L65" s="37"/>
      <c r="M65" s="37"/>
      <c r="N65" s="37"/>
      <c r="O65" s="37"/>
      <c r="P65" s="37"/>
      <c r="Q65" s="37"/>
      <c r="R65" s="37"/>
      <c r="S65" s="37"/>
      <c r="T65" s="37"/>
      <c r="U65" s="37"/>
      <c r="V65" s="37"/>
      <c r="W65" s="37"/>
      <c r="X65" s="37"/>
      <c r="Y65" s="37"/>
      <c r="Z65" s="37"/>
      <c r="AA65" s="37">
        <f t="shared" si="0"/>
        <v>0</v>
      </c>
      <c r="AB65" s="37">
        <f t="shared" si="10"/>
        <v>0</v>
      </c>
    </row>
    <row r="66" spans="1:28" ht="14.4">
      <c r="A66" s="117">
        <v>11201</v>
      </c>
      <c r="B66" s="117" t="s">
        <v>27</v>
      </c>
      <c r="C66" s="37">
        <f>+VLOOKUP(A66,Composición!C:G,5,FALSE)</f>
        <v>0</v>
      </c>
      <c r="D66" s="37"/>
      <c r="E66" s="37"/>
      <c r="F66" s="37">
        <f>+VLOOKUP(A66,Composición!C:J,8,FALSE)</f>
        <v>0</v>
      </c>
      <c r="G66" s="37">
        <f t="shared" si="1"/>
        <v>0</v>
      </c>
      <c r="H66" s="37"/>
      <c r="I66" s="37"/>
      <c r="J66" s="37"/>
      <c r="K66" s="37"/>
      <c r="L66" s="37"/>
      <c r="M66" s="37"/>
      <c r="N66" s="37"/>
      <c r="O66" s="37"/>
      <c r="P66" s="37"/>
      <c r="Q66" s="37"/>
      <c r="R66" s="37"/>
      <c r="S66" s="37"/>
      <c r="T66" s="37"/>
      <c r="U66" s="37"/>
      <c r="V66" s="37"/>
      <c r="W66" s="37"/>
      <c r="X66" s="37"/>
      <c r="Y66" s="37"/>
      <c r="Z66" s="37"/>
      <c r="AA66" s="37">
        <f t="shared" si="0"/>
        <v>0</v>
      </c>
      <c r="AB66" s="37">
        <f t="shared" si="10"/>
        <v>0</v>
      </c>
    </row>
    <row r="67" spans="1:28" ht="14.4">
      <c r="A67" s="117">
        <v>112011</v>
      </c>
      <c r="B67" s="117" t="s">
        <v>28</v>
      </c>
      <c r="C67" s="37">
        <f>+VLOOKUP(A67,Composición!C:G,5,FALSE)</f>
        <v>0</v>
      </c>
      <c r="D67" s="37"/>
      <c r="E67" s="37"/>
      <c r="F67" s="37">
        <f>+VLOOKUP(A67,Composición!C:J,8,FALSE)</f>
        <v>0</v>
      </c>
      <c r="G67" s="37">
        <f t="shared" si="1"/>
        <v>0</v>
      </c>
      <c r="H67" s="37"/>
      <c r="I67" s="37"/>
      <c r="J67" s="37"/>
      <c r="K67" s="37"/>
      <c r="L67" s="37"/>
      <c r="M67" s="37"/>
      <c r="N67" s="37"/>
      <c r="O67" s="37"/>
      <c r="P67" s="37"/>
      <c r="Q67" s="37"/>
      <c r="R67" s="37"/>
      <c r="S67" s="37"/>
      <c r="T67" s="37"/>
      <c r="U67" s="37"/>
      <c r="V67" s="37"/>
      <c r="W67" s="37"/>
      <c r="X67" s="37"/>
      <c r="Y67" s="37"/>
      <c r="Z67" s="37"/>
      <c r="AA67" s="37">
        <f t="shared" si="0"/>
        <v>0</v>
      </c>
      <c r="AB67" s="37">
        <f t="shared" si="10"/>
        <v>0</v>
      </c>
    </row>
    <row r="68" spans="1:28" ht="14.4">
      <c r="A68" s="117">
        <v>1120112</v>
      </c>
      <c r="B68" s="117" t="s">
        <v>643</v>
      </c>
      <c r="C68" s="37">
        <f>+VLOOKUP(A68,Composición!C:G,5,FALSE)</f>
        <v>0</v>
      </c>
      <c r="D68" s="37"/>
      <c r="E68" s="37"/>
      <c r="F68" s="37">
        <f>+VLOOKUP(A68,Composición!C:J,8,FALSE)</f>
        <v>0</v>
      </c>
      <c r="G68" s="37">
        <f t="shared" si="1"/>
        <v>0</v>
      </c>
      <c r="H68" s="37"/>
      <c r="I68" s="37"/>
      <c r="J68" s="37"/>
      <c r="K68" s="37"/>
      <c r="L68" s="37"/>
      <c r="M68" s="37"/>
      <c r="N68" s="37"/>
      <c r="O68" s="37"/>
      <c r="P68" s="37"/>
      <c r="Q68" s="37"/>
      <c r="R68" s="37"/>
      <c r="S68" s="37"/>
      <c r="T68" s="37"/>
      <c r="U68" s="37"/>
      <c r="V68" s="37"/>
      <c r="W68" s="37"/>
      <c r="X68" s="37"/>
      <c r="Y68" s="37"/>
      <c r="Z68" s="37"/>
      <c r="AA68" s="37">
        <f t="shared" si="0"/>
        <v>0</v>
      </c>
      <c r="AB68" s="37">
        <f t="shared" si="10"/>
        <v>0</v>
      </c>
    </row>
    <row r="69" spans="1:28" ht="14.4">
      <c r="A69" s="117">
        <v>11201111</v>
      </c>
      <c r="B69" s="117" t="s">
        <v>30</v>
      </c>
      <c r="C69" s="37">
        <f>+VLOOKUP(A69,Composición!C:G,5,FALSE)</f>
        <v>0</v>
      </c>
      <c r="D69" s="37"/>
      <c r="E69" s="37"/>
      <c r="F69" s="37">
        <f>+VLOOKUP(A69,Composición!C:J,8,FALSE)</f>
        <v>0</v>
      </c>
      <c r="G69" s="37">
        <f t="shared" si="1"/>
        <v>0</v>
      </c>
      <c r="H69" s="37"/>
      <c r="I69" s="37"/>
      <c r="J69" s="37"/>
      <c r="K69" s="37"/>
      <c r="L69" s="37"/>
      <c r="M69" s="37"/>
      <c r="N69" s="37"/>
      <c r="O69" s="37"/>
      <c r="P69" s="37"/>
      <c r="Q69" s="37"/>
      <c r="R69" s="37"/>
      <c r="S69" s="37"/>
      <c r="T69" s="37"/>
      <c r="U69" s="37"/>
      <c r="V69" s="37"/>
      <c r="W69" s="37"/>
      <c r="X69" s="37"/>
      <c r="Y69" s="37"/>
      <c r="Z69" s="37"/>
      <c r="AA69" s="37">
        <f t="shared" si="0"/>
        <v>0</v>
      </c>
      <c r="AB69" s="37">
        <f t="shared" si="10"/>
        <v>0</v>
      </c>
    </row>
    <row r="70" spans="1:28" ht="14.4">
      <c r="A70" s="117">
        <v>1120111101</v>
      </c>
      <c r="B70" s="117" t="s">
        <v>31</v>
      </c>
      <c r="C70" s="37">
        <f>+VLOOKUP(A70,Composición!C:G,5,FALSE)</f>
        <v>0</v>
      </c>
      <c r="D70" s="37"/>
      <c r="E70" s="37"/>
      <c r="F70" s="37">
        <f>+VLOOKUP(A70,Composición!C:J,8,FALSE)</f>
        <v>0</v>
      </c>
      <c r="G70" s="37">
        <f t="shared" si="1"/>
        <v>0</v>
      </c>
      <c r="H70" s="37"/>
      <c r="I70" s="37"/>
      <c r="J70" s="37"/>
      <c r="K70" s="37"/>
      <c r="L70" s="37"/>
      <c r="M70" s="37"/>
      <c r="N70" s="37"/>
      <c r="O70" s="37"/>
      <c r="P70" s="37"/>
      <c r="Q70" s="37"/>
      <c r="R70" s="37"/>
      <c r="S70" s="37"/>
      <c r="T70" s="37"/>
      <c r="U70" s="37"/>
      <c r="V70" s="37"/>
      <c r="W70" s="37"/>
      <c r="X70" s="37"/>
      <c r="Y70" s="37"/>
      <c r="Z70" s="37"/>
      <c r="AA70" s="37">
        <f t="shared" si="0"/>
        <v>0</v>
      </c>
      <c r="AB70" s="37">
        <f t="shared" si="10"/>
        <v>0</v>
      </c>
    </row>
    <row r="71" spans="1:28" ht="14.4">
      <c r="A71" s="117">
        <v>1120111102</v>
      </c>
      <c r="B71" s="117" t="s">
        <v>32</v>
      </c>
      <c r="C71" s="37">
        <f>+VLOOKUP(A71,Composición!C:G,5,FALSE)</f>
        <v>0</v>
      </c>
      <c r="D71" s="37"/>
      <c r="E71" s="37"/>
      <c r="F71" s="37">
        <f>+VLOOKUP(A71,Composición!C:J,8,FALSE)</f>
        <v>0</v>
      </c>
      <c r="G71" s="37">
        <f t="shared" si="1"/>
        <v>0</v>
      </c>
      <c r="H71" s="37"/>
      <c r="I71" s="37"/>
      <c r="J71" s="37"/>
      <c r="K71" s="37"/>
      <c r="L71" s="37"/>
      <c r="M71" s="37"/>
      <c r="N71" s="37"/>
      <c r="O71" s="37"/>
      <c r="P71" s="37"/>
      <c r="Q71" s="37"/>
      <c r="R71" s="37"/>
      <c r="S71" s="37"/>
      <c r="T71" s="37"/>
      <c r="U71" s="37"/>
      <c r="V71" s="37"/>
      <c r="W71" s="37"/>
      <c r="X71" s="37"/>
      <c r="Y71" s="37"/>
      <c r="Z71" s="37"/>
      <c r="AA71" s="37">
        <f t="shared" si="0"/>
        <v>0</v>
      </c>
      <c r="AB71" s="37">
        <f t="shared" si="10"/>
        <v>0</v>
      </c>
    </row>
    <row r="72" spans="1:28" ht="14.4">
      <c r="A72" s="117">
        <v>11201112</v>
      </c>
      <c r="B72" s="117" t="s">
        <v>520</v>
      </c>
      <c r="C72" s="37">
        <f>+VLOOKUP(A72,Composición!C:G,5,FALSE)</f>
        <v>0</v>
      </c>
      <c r="D72" s="37"/>
      <c r="E72" s="37"/>
      <c r="F72" s="37">
        <f>+VLOOKUP(A72,Composición!C:J,8,FALSE)</f>
        <v>0</v>
      </c>
      <c r="G72" s="37">
        <f t="shared" si="1"/>
        <v>0</v>
      </c>
      <c r="H72" s="37"/>
      <c r="I72" s="37"/>
      <c r="J72" s="37"/>
      <c r="K72" s="37"/>
      <c r="L72" s="37"/>
      <c r="M72" s="37"/>
      <c r="N72" s="37"/>
      <c r="O72" s="37"/>
      <c r="P72" s="37"/>
      <c r="Q72" s="37"/>
      <c r="R72" s="37"/>
      <c r="S72" s="37"/>
      <c r="T72" s="37"/>
      <c r="U72" s="37"/>
      <c r="V72" s="37"/>
      <c r="W72" s="37"/>
      <c r="X72" s="37"/>
      <c r="Y72" s="37"/>
      <c r="Z72" s="37"/>
      <c r="AA72" s="37">
        <f t="shared" si="0"/>
        <v>0</v>
      </c>
      <c r="AB72" s="37">
        <f t="shared" si="10"/>
        <v>0</v>
      </c>
    </row>
    <row r="73" spans="1:28" ht="14.4">
      <c r="A73" s="117">
        <v>1120111201</v>
      </c>
      <c r="B73" s="117" t="s">
        <v>571</v>
      </c>
      <c r="C73" s="37">
        <f>+VLOOKUP(A73,Composición!C:G,5,FALSE)</f>
        <v>0</v>
      </c>
      <c r="D73" s="37"/>
      <c r="E73" s="37"/>
      <c r="F73" s="37">
        <f>+VLOOKUP(A73,Composición!C:J,8,FALSE)</f>
        <v>0</v>
      </c>
      <c r="G73" s="37">
        <f t="shared" si="1"/>
        <v>0</v>
      </c>
      <c r="H73" s="37"/>
      <c r="I73" s="37"/>
      <c r="J73" s="37"/>
      <c r="K73" s="37"/>
      <c r="L73" s="37"/>
      <c r="M73" s="37"/>
      <c r="N73" s="37"/>
      <c r="O73" s="37"/>
      <c r="P73" s="37"/>
      <c r="Q73" s="37"/>
      <c r="R73" s="37"/>
      <c r="S73" s="37"/>
      <c r="T73" s="37"/>
      <c r="U73" s="37"/>
      <c r="V73" s="37"/>
      <c r="W73" s="37"/>
      <c r="X73" s="37"/>
      <c r="Y73" s="37"/>
      <c r="Z73" s="37"/>
      <c r="AA73" s="37">
        <f t="shared" si="0"/>
        <v>0</v>
      </c>
      <c r="AB73" s="37">
        <f t="shared" si="10"/>
        <v>0</v>
      </c>
    </row>
    <row r="74" spans="1:28" ht="14.4">
      <c r="A74" s="117">
        <v>1120111202</v>
      </c>
      <c r="B74" s="117" t="s">
        <v>521</v>
      </c>
      <c r="C74" s="37">
        <f>+VLOOKUP(A74,Composición!C:G,5,FALSE)</f>
        <v>0</v>
      </c>
      <c r="D74" s="37"/>
      <c r="E74" s="37"/>
      <c r="F74" s="37">
        <f>+VLOOKUP(A74,Composición!C:J,8,FALSE)</f>
        <v>0</v>
      </c>
      <c r="G74" s="37">
        <f t="shared" si="1"/>
        <v>0</v>
      </c>
      <c r="H74" s="37"/>
      <c r="I74" s="37"/>
      <c r="J74" s="37"/>
      <c r="K74" s="37"/>
      <c r="L74" s="37"/>
      <c r="M74" s="37"/>
      <c r="N74" s="37"/>
      <c r="O74" s="37"/>
      <c r="P74" s="37"/>
      <c r="Q74" s="37"/>
      <c r="R74" s="37"/>
      <c r="S74" s="37"/>
      <c r="T74" s="37"/>
      <c r="U74" s="37"/>
      <c r="V74" s="37"/>
      <c r="W74" s="37"/>
      <c r="X74" s="37"/>
      <c r="Y74" s="37"/>
      <c r="Z74" s="37"/>
      <c r="AA74" s="37">
        <f t="shared" si="0"/>
        <v>0</v>
      </c>
      <c r="AB74" s="37">
        <f t="shared" si="10"/>
        <v>0</v>
      </c>
    </row>
    <row r="75" spans="1:28" ht="14.4">
      <c r="A75" s="117">
        <v>1120112</v>
      </c>
      <c r="B75" s="117" t="s">
        <v>29</v>
      </c>
      <c r="C75" s="37">
        <f>+VLOOKUP(A75,Composición!C:G,5,FALSE)</f>
        <v>0</v>
      </c>
      <c r="D75" s="37"/>
      <c r="E75" s="37"/>
      <c r="F75" s="37">
        <f>+VLOOKUP(A75,Composición!C:J,8,FALSE)</f>
        <v>0</v>
      </c>
      <c r="G75" s="37">
        <f t="shared" si="1"/>
        <v>0</v>
      </c>
      <c r="H75" s="37"/>
      <c r="I75" s="37"/>
      <c r="J75" s="37"/>
      <c r="K75" s="37"/>
      <c r="L75" s="37"/>
      <c r="M75" s="37"/>
      <c r="N75" s="37"/>
      <c r="O75" s="37"/>
      <c r="P75" s="37"/>
      <c r="Q75" s="37"/>
      <c r="R75" s="37"/>
      <c r="S75" s="37"/>
      <c r="T75" s="37"/>
      <c r="U75" s="37"/>
      <c r="V75" s="37"/>
      <c r="W75" s="37"/>
      <c r="X75" s="37"/>
      <c r="Y75" s="37"/>
      <c r="Z75" s="37"/>
      <c r="AA75" s="37">
        <f t="shared" si="0"/>
        <v>0</v>
      </c>
      <c r="AB75" s="37">
        <f t="shared" si="10"/>
        <v>0</v>
      </c>
    </row>
    <row r="76" spans="1:28" ht="14.4">
      <c r="A76" s="117">
        <v>11201121</v>
      </c>
      <c r="B76" s="117" t="s">
        <v>30</v>
      </c>
      <c r="C76" s="37">
        <f>+VLOOKUP(A76,Composición!C:G,5,FALSE)</f>
        <v>0</v>
      </c>
      <c r="D76" s="37"/>
      <c r="E76" s="37"/>
      <c r="F76" s="37">
        <f>+VLOOKUP(A76,Composición!C:J,8,FALSE)</f>
        <v>0</v>
      </c>
      <c r="G76" s="37">
        <f t="shared" si="1"/>
        <v>0</v>
      </c>
      <c r="H76" s="37">
        <f>-G76</f>
        <v>0</v>
      </c>
      <c r="I76" s="37"/>
      <c r="J76" s="37"/>
      <c r="K76" s="37"/>
      <c r="L76" s="37"/>
      <c r="M76" s="37"/>
      <c r="N76" s="37"/>
      <c r="O76" s="37"/>
      <c r="P76" s="37"/>
      <c r="Q76" s="37"/>
      <c r="R76" s="37"/>
      <c r="S76" s="37"/>
      <c r="T76" s="37"/>
      <c r="U76" s="37"/>
      <c r="V76" s="37"/>
      <c r="W76" s="37"/>
      <c r="X76" s="37"/>
      <c r="Y76" s="37"/>
      <c r="Z76" s="37"/>
      <c r="AA76" s="37">
        <f t="shared" si="0"/>
        <v>0</v>
      </c>
      <c r="AB76" s="37">
        <f t="shared" si="10"/>
        <v>0</v>
      </c>
    </row>
    <row r="77" spans="1:28" ht="14.4">
      <c r="A77" s="117">
        <v>1120112101</v>
      </c>
      <c r="B77" s="117" t="s">
        <v>31</v>
      </c>
      <c r="C77" s="37">
        <f>+VLOOKUP(A77,Composición!C:G,5,FALSE)</f>
        <v>15429308</v>
      </c>
      <c r="D77" s="37"/>
      <c r="E77" s="37"/>
      <c r="F77" s="37">
        <f>+VLOOKUP(A77,Composición!C:J,8,FALSE)</f>
        <v>2622463</v>
      </c>
      <c r="G77" s="37">
        <f t="shared" si="1"/>
        <v>12806845</v>
      </c>
      <c r="H77" s="37">
        <f>-G77</f>
        <v>-12806845</v>
      </c>
      <c r="I77" s="37"/>
      <c r="J77" s="37"/>
      <c r="K77" s="37"/>
      <c r="L77" s="37"/>
      <c r="M77" s="37"/>
      <c r="N77" s="37"/>
      <c r="O77" s="37"/>
      <c r="P77" s="37"/>
      <c r="Q77" s="37"/>
      <c r="R77" s="37"/>
      <c r="S77" s="37"/>
      <c r="T77" s="37"/>
      <c r="U77" s="37"/>
      <c r="V77" s="37"/>
      <c r="W77" s="37"/>
      <c r="X77" s="37"/>
      <c r="Y77" s="37"/>
      <c r="Z77" s="37"/>
      <c r="AA77" s="37">
        <f t="shared" si="0"/>
        <v>0</v>
      </c>
      <c r="AB77" s="37">
        <f t="shared" si="10"/>
        <v>0</v>
      </c>
    </row>
    <row r="78" spans="1:28" ht="14.4">
      <c r="A78" s="117">
        <v>1120112102</v>
      </c>
      <c r="B78" s="117" t="s">
        <v>32</v>
      </c>
      <c r="C78" s="37">
        <f>+VLOOKUP(A78,Composición!C:G,5,FALSE)</f>
        <v>600207486</v>
      </c>
      <c r="D78" s="37"/>
      <c r="E78" s="37"/>
      <c r="F78" s="37">
        <f>+VLOOKUP(A78,Composición!C:J,8,FALSE)</f>
        <v>336957072</v>
      </c>
      <c r="G78" s="37">
        <f t="shared" si="1"/>
        <v>263250414</v>
      </c>
      <c r="H78" s="37">
        <f>-G78</f>
        <v>-263250414</v>
      </c>
      <c r="I78" s="37"/>
      <c r="J78" s="37"/>
      <c r="K78" s="37"/>
      <c r="L78" s="37"/>
      <c r="M78" s="37"/>
      <c r="N78" s="37"/>
      <c r="O78" s="37"/>
      <c r="P78" s="37"/>
      <c r="Q78" s="37"/>
      <c r="R78" s="37"/>
      <c r="S78" s="37"/>
      <c r="T78" s="37"/>
      <c r="U78" s="37"/>
      <c r="V78" s="37"/>
      <c r="W78" s="37"/>
      <c r="X78" s="37"/>
      <c r="Y78" s="37"/>
      <c r="Z78" s="37"/>
      <c r="AA78" s="37">
        <f t="shared" si="0"/>
        <v>0</v>
      </c>
      <c r="AB78" s="37">
        <f t="shared" si="10"/>
        <v>0</v>
      </c>
    </row>
    <row r="79" spans="1:28" ht="14.4">
      <c r="A79" s="117">
        <v>11201122</v>
      </c>
      <c r="B79" s="117" t="s">
        <v>520</v>
      </c>
      <c r="C79" s="37">
        <f>+VLOOKUP(A79,Composición!C:G,5,FALSE)</f>
        <v>0</v>
      </c>
      <c r="D79" s="37"/>
      <c r="E79" s="37"/>
      <c r="F79" s="37">
        <f>+VLOOKUP(A79,Composición!C:J,8,FALSE)</f>
        <v>0</v>
      </c>
      <c r="G79" s="37">
        <f t="shared" si="1"/>
        <v>0</v>
      </c>
      <c r="H79" s="37"/>
      <c r="I79" s="37"/>
      <c r="J79" s="37">
        <f>-G79</f>
        <v>0</v>
      </c>
      <c r="K79" s="37"/>
      <c r="L79" s="37"/>
      <c r="M79" s="37"/>
      <c r="N79" s="37"/>
      <c r="O79" s="37"/>
      <c r="P79" s="37"/>
      <c r="Q79" s="37"/>
      <c r="R79" s="37"/>
      <c r="S79" s="37"/>
      <c r="T79" s="37"/>
      <c r="U79" s="37"/>
      <c r="V79" s="37"/>
      <c r="W79" s="37"/>
      <c r="X79" s="37"/>
      <c r="Y79" s="37"/>
      <c r="Z79" s="37"/>
      <c r="AA79" s="37">
        <f t="shared" si="0"/>
        <v>0</v>
      </c>
      <c r="AB79" s="37">
        <f t="shared" si="10"/>
        <v>0</v>
      </c>
    </row>
    <row r="80" spans="1:28" ht="14.4">
      <c r="A80" s="117">
        <v>1120112201</v>
      </c>
      <c r="B80" s="117" t="s">
        <v>571</v>
      </c>
      <c r="C80" s="37">
        <f>+VLOOKUP(A80,Composición!C:G,5,FALSE)</f>
        <v>9534574</v>
      </c>
      <c r="D80" s="37"/>
      <c r="E80" s="37"/>
      <c r="F80" s="37">
        <f>+VLOOKUP(A80,Composición!C:J,8,FALSE)</f>
        <v>0</v>
      </c>
      <c r="G80" s="37">
        <f t="shared" si="1"/>
        <v>9534574</v>
      </c>
      <c r="H80" s="37"/>
      <c r="I80" s="37"/>
      <c r="J80" s="37">
        <f>-G80</f>
        <v>-9534574</v>
      </c>
      <c r="K80" s="37"/>
      <c r="L80" s="37"/>
      <c r="M80" s="37"/>
      <c r="N80" s="37"/>
      <c r="O80" s="37"/>
      <c r="P80" s="37"/>
      <c r="Q80" s="37"/>
      <c r="R80" s="37"/>
      <c r="S80" s="37"/>
      <c r="T80" s="37"/>
      <c r="U80" s="37"/>
      <c r="V80" s="37"/>
      <c r="W80" s="37"/>
      <c r="X80" s="37"/>
      <c r="Y80" s="37"/>
      <c r="Z80" s="37"/>
      <c r="AA80" s="37">
        <f t="shared" si="0"/>
        <v>0</v>
      </c>
      <c r="AB80" s="37">
        <f t="shared" si="10"/>
        <v>0</v>
      </c>
    </row>
    <row r="81" spans="1:28" ht="14.4">
      <c r="A81" s="117">
        <v>1120112202</v>
      </c>
      <c r="B81" s="117" t="s">
        <v>521</v>
      </c>
      <c r="C81" s="37">
        <f>+VLOOKUP(A81,Composición!C:G,5,FALSE)</f>
        <v>6527982</v>
      </c>
      <c r="D81" s="37"/>
      <c r="E81" s="37"/>
      <c r="F81" s="37">
        <f>+VLOOKUP(A81,Composición!C:J,8,FALSE)</f>
        <v>0</v>
      </c>
      <c r="G81" s="37">
        <f t="shared" si="1"/>
        <v>6527982</v>
      </c>
      <c r="H81" s="37"/>
      <c r="I81" s="37"/>
      <c r="J81" s="37">
        <f>-G81</f>
        <v>-6527982</v>
      </c>
      <c r="K81" s="37"/>
      <c r="L81" s="37"/>
      <c r="M81" s="37"/>
      <c r="N81" s="37"/>
      <c r="O81" s="37"/>
      <c r="P81" s="37"/>
      <c r="Q81" s="37"/>
      <c r="R81" s="37"/>
      <c r="S81" s="37"/>
      <c r="T81" s="37"/>
      <c r="U81" s="37"/>
      <c r="V81" s="37"/>
      <c r="W81" s="37"/>
      <c r="X81" s="37"/>
      <c r="Y81" s="37"/>
      <c r="Z81" s="37"/>
      <c r="AA81" s="37">
        <f t="shared" si="0"/>
        <v>0</v>
      </c>
      <c r="AB81" s="37">
        <f t="shared" si="10"/>
        <v>0</v>
      </c>
    </row>
    <row r="82" spans="1:28" ht="14.4">
      <c r="A82" s="117">
        <v>112012</v>
      </c>
      <c r="B82" s="117" t="s">
        <v>644</v>
      </c>
      <c r="C82" s="37">
        <f>+VLOOKUP(A82,Composición!C:G,5,FALSE)</f>
        <v>0</v>
      </c>
      <c r="D82" s="37"/>
      <c r="E82" s="37"/>
      <c r="F82" s="37">
        <f>+VLOOKUP(A82,Composición!C:J,8,FALSE)</f>
        <v>0</v>
      </c>
      <c r="G82" s="37">
        <f t="shared" si="1"/>
        <v>0</v>
      </c>
      <c r="H82" s="37"/>
      <c r="I82" s="37"/>
      <c r="J82" s="37"/>
      <c r="K82" s="37"/>
      <c r="L82" s="37"/>
      <c r="M82" s="37"/>
      <c r="N82" s="37"/>
      <c r="O82" s="37"/>
      <c r="P82" s="37"/>
      <c r="Q82" s="37"/>
      <c r="R82" s="37"/>
      <c r="S82" s="37"/>
      <c r="T82" s="37"/>
      <c r="U82" s="37"/>
      <c r="V82" s="37"/>
      <c r="W82" s="37"/>
      <c r="X82" s="37"/>
      <c r="Y82" s="37"/>
      <c r="Z82" s="37"/>
      <c r="AA82" s="37">
        <f t="shared" si="0"/>
        <v>0</v>
      </c>
      <c r="AB82" s="37">
        <f t="shared" si="10"/>
        <v>0</v>
      </c>
    </row>
    <row r="83" spans="1:28" ht="14.4">
      <c r="A83" s="117">
        <v>1120121</v>
      </c>
      <c r="B83" s="117" t="s">
        <v>643</v>
      </c>
      <c r="C83" s="37">
        <f>+VLOOKUP(A83,Composición!C:G,5,FALSE)</f>
        <v>0</v>
      </c>
      <c r="D83" s="37"/>
      <c r="E83" s="37"/>
      <c r="F83" s="37">
        <f>+VLOOKUP(A83,Composición!C:J,8,FALSE)</f>
        <v>0</v>
      </c>
      <c r="G83" s="37">
        <f t="shared" si="1"/>
        <v>0</v>
      </c>
      <c r="H83" s="37"/>
      <c r="I83" s="37"/>
      <c r="J83" s="37"/>
      <c r="K83" s="37"/>
      <c r="L83" s="37"/>
      <c r="M83" s="37"/>
      <c r="N83" s="37"/>
      <c r="O83" s="37"/>
      <c r="P83" s="37"/>
      <c r="Q83" s="37"/>
      <c r="R83" s="37"/>
      <c r="S83" s="37"/>
      <c r="T83" s="37"/>
      <c r="U83" s="37"/>
      <c r="V83" s="37"/>
      <c r="W83" s="37"/>
      <c r="X83" s="37"/>
      <c r="Y83" s="37"/>
      <c r="Z83" s="37"/>
      <c r="AA83" s="37">
        <f t="shared" si="0"/>
        <v>0</v>
      </c>
      <c r="AB83" s="37">
        <f t="shared" si="10"/>
        <v>0</v>
      </c>
    </row>
    <row r="84" spans="1:28" ht="14.4">
      <c r="A84" s="117">
        <v>11201211</v>
      </c>
      <c r="B84" s="117" t="s">
        <v>30</v>
      </c>
      <c r="C84" s="37">
        <f>+VLOOKUP(A84,Composición!C:G,5,FALSE)</f>
        <v>0</v>
      </c>
      <c r="D84" s="37"/>
      <c r="E84" s="37"/>
      <c r="F84" s="37">
        <f>+VLOOKUP(A84,Composición!C:J,8,FALSE)</f>
        <v>0</v>
      </c>
      <c r="G84" s="37">
        <f t="shared" si="1"/>
        <v>0</v>
      </c>
      <c r="H84" s="37"/>
      <c r="I84" s="37"/>
      <c r="J84" s="37"/>
      <c r="K84" s="37"/>
      <c r="L84" s="37"/>
      <c r="M84" s="37"/>
      <c r="N84" s="37"/>
      <c r="O84" s="37"/>
      <c r="P84" s="37"/>
      <c r="Q84" s="37"/>
      <c r="R84" s="37"/>
      <c r="S84" s="37"/>
      <c r="T84" s="37"/>
      <c r="U84" s="37"/>
      <c r="V84" s="37"/>
      <c r="W84" s="37"/>
      <c r="X84" s="37"/>
      <c r="Y84" s="37"/>
      <c r="Z84" s="37"/>
      <c r="AA84" s="37">
        <f t="shared" si="0"/>
        <v>0</v>
      </c>
      <c r="AB84" s="37">
        <f t="shared" si="10"/>
        <v>0</v>
      </c>
    </row>
    <row r="85" spans="1:28" ht="14.4">
      <c r="A85" s="117">
        <v>1120121101</v>
      </c>
      <c r="B85" s="117" t="s">
        <v>31</v>
      </c>
      <c r="C85" s="37">
        <f>+VLOOKUP(A85,Composición!C:G,5,FALSE)</f>
        <v>0</v>
      </c>
      <c r="D85" s="37"/>
      <c r="E85" s="37"/>
      <c r="F85" s="37">
        <f>+VLOOKUP(A85,Composición!C:J,8,FALSE)</f>
        <v>0</v>
      </c>
      <c r="G85" s="37">
        <f t="shared" si="1"/>
        <v>0</v>
      </c>
      <c r="H85" s="37"/>
      <c r="I85" s="37"/>
      <c r="J85" s="37"/>
      <c r="K85" s="37"/>
      <c r="L85" s="37"/>
      <c r="M85" s="37"/>
      <c r="N85" s="37"/>
      <c r="O85" s="37"/>
      <c r="P85" s="37"/>
      <c r="Q85" s="37"/>
      <c r="R85" s="37"/>
      <c r="S85" s="37"/>
      <c r="T85" s="37"/>
      <c r="U85" s="37"/>
      <c r="V85" s="37"/>
      <c r="W85" s="37"/>
      <c r="X85" s="37"/>
      <c r="Y85" s="37"/>
      <c r="Z85" s="37"/>
      <c r="AA85" s="37">
        <f t="shared" si="0"/>
        <v>0</v>
      </c>
      <c r="AB85" s="37">
        <f t="shared" si="10"/>
        <v>0</v>
      </c>
    </row>
    <row r="86" spans="1:28" ht="14.4">
      <c r="A86" s="117">
        <v>1120121102</v>
      </c>
      <c r="B86" s="117" t="s">
        <v>32</v>
      </c>
      <c r="C86" s="37">
        <f>+VLOOKUP(A86,Composición!C:G,5,FALSE)</f>
        <v>0</v>
      </c>
      <c r="D86" s="37"/>
      <c r="E86" s="37"/>
      <c r="F86" s="37">
        <f>+VLOOKUP(A86,Composición!C:J,8,FALSE)</f>
        <v>0</v>
      </c>
      <c r="G86" s="37">
        <f t="shared" si="1"/>
        <v>0</v>
      </c>
      <c r="H86" s="37"/>
      <c r="I86" s="37"/>
      <c r="J86" s="37"/>
      <c r="K86" s="37"/>
      <c r="L86" s="37"/>
      <c r="M86" s="37"/>
      <c r="N86" s="37"/>
      <c r="O86" s="37"/>
      <c r="P86" s="37"/>
      <c r="Q86" s="37"/>
      <c r="R86" s="37"/>
      <c r="S86" s="37"/>
      <c r="T86" s="37"/>
      <c r="U86" s="37"/>
      <c r="V86" s="37"/>
      <c r="W86" s="37"/>
      <c r="X86" s="37"/>
      <c r="Y86" s="37"/>
      <c r="Z86" s="37"/>
      <c r="AA86" s="37">
        <f t="shared" si="0"/>
        <v>0</v>
      </c>
      <c r="AB86" s="37">
        <f t="shared" si="10"/>
        <v>0</v>
      </c>
    </row>
    <row r="87" spans="1:28" ht="14.4">
      <c r="A87" s="117">
        <v>11201212</v>
      </c>
      <c r="B87" s="117" t="s">
        <v>520</v>
      </c>
      <c r="C87" s="37">
        <f>+VLOOKUP(A87,Composición!C:G,5,FALSE)</f>
        <v>0</v>
      </c>
      <c r="D87" s="37"/>
      <c r="E87" s="37"/>
      <c r="F87" s="37">
        <f>+VLOOKUP(A87,Composición!C:J,8,FALSE)</f>
        <v>0</v>
      </c>
      <c r="G87" s="37">
        <f t="shared" si="1"/>
        <v>0</v>
      </c>
      <c r="H87" s="37"/>
      <c r="I87" s="37"/>
      <c r="J87" s="37"/>
      <c r="K87" s="37"/>
      <c r="L87" s="37"/>
      <c r="M87" s="37"/>
      <c r="N87" s="37"/>
      <c r="O87" s="37"/>
      <c r="P87" s="37"/>
      <c r="Q87" s="37"/>
      <c r="R87" s="37"/>
      <c r="S87" s="37"/>
      <c r="T87" s="37"/>
      <c r="U87" s="37"/>
      <c r="V87" s="37"/>
      <c r="W87" s="37"/>
      <c r="X87" s="37"/>
      <c r="Y87" s="37"/>
      <c r="Z87" s="37"/>
      <c r="AA87" s="37">
        <f t="shared" si="0"/>
        <v>0</v>
      </c>
      <c r="AB87" s="37">
        <f t="shared" si="10"/>
        <v>0</v>
      </c>
    </row>
    <row r="88" spans="1:28" ht="14.4">
      <c r="A88" s="117">
        <v>1120121201</v>
      </c>
      <c r="B88" s="117" t="s">
        <v>571</v>
      </c>
      <c r="C88" s="37">
        <f>+VLOOKUP(A88,Composición!C:G,5,FALSE)</f>
        <v>0</v>
      </c>
      <c r="D88" s="37"/>
      <c r="E88" s="37"/>
      <c r="F88" s="37">
        <f>+VLOOKUP(A88,Composición!C:J,8,FALSE)</f>
        <v>0</v>
      </c>
      <c r="G88" s="37">
        <f t="shared" si="1"/>
        <v>0</v>
      </c>
      <c r="H88" s="37"/>
      <c r="I88" s="37"/>
      <c r="J88" s="37"/>
      <c r="K88" s="37"/>
      <c r="L88" s="37"/>
      <c r="M88" s="37"/>
      <c r="N88" s="37"/>
      <c r="O88" s="37"/>
      <c r="P88" s="37"/>
      <c r="Q88" s="37"/>
      <c r="R88" s="37"/>
      <c r="S88" s="37"/>
      <c r="T88" s="37"/>
      <c r="U88" s="37"/>
      <c r="V88" s="37"/>
      <c r="W88" s="37"/>
      <c r="X88" s="37"/>
      <c r="Y88" s="37"/>
      <c r="Z88" s="37"/>
      <c r="AA88" s="37">
        <f t="shared" si="0"/>
        <v>0</v>
      </c>
      <c r="AB88" s="37">
        <f t="shared" si="10"/>
        <v>0</v>
      </c>
    </row>
    <row r="89" spans="1:28" ht="14.4">
      <c r="A89" s="117">
        <v>1120121202</v>
      </c>
      <c r="B89" s="117" t="s">
        <v>521</v>
      </c>
      <c r="C89" s="37">
        <f>+VLOOKUP(A89,Composición!C:G,5,FALSE)</f>
        <v>0</v>
      </c>
      <c r="D89" s="37"/>
      <c r="E89" s="37"/>
      <c r="F89" s="37">
        <f>+VLOOKUP(A89,Composición!C:J,8,FALSE)</f>
        <v>0</v>
      </c>
      <c r="G89" s="37">
        <f t="shared" si="1"/>
        <v>0</v>
      </c>
      <c r="H89" s="37"/>
      <c r="I89" s="37"/>
      <c r="J89" s="37"/>
      <c r="K89" s="37"/>
      <c r="L89" s="37"/>
      <c r="M89" s="37"/>
      <c r="N89" s="37"/>
      <c r="O89" s="37"/>
      <c r="P89" s="37"/>
      <c r="Q89" s="37"/>
      <c r="R89" s="37"/>
      <c r="S89" s="37"/>
      <c r="T89" s="37"/>
      <c r="U89" s="37"/>
      <c r="V89" s="37"/>
      <c r="W89" s="37"/>
      <c r="X89" s="37"/>
      <c r="Y89" s="37"/>
      <c r="Z89" s="37"/>
      <c r="AA89" s="37">
        <f t="shared" si="0"/>
        <v>0</v>
      </c>
      <c r="AB89" s="37">
        <f t="shared" si="10"/>
        <v>0</v>
      </c>
    </row>
    <row r="90" spans="1:28" ht="14.4">
      <c r="A90" s="117">
        <v>11202</v>
      </c>
      <c r="B90" s="117" t="s">
        <v>522</v>
      </c>
      <c r="C90" s="37">
        <f>+VLOOKUP(A90,Composición!C:G,5,FALSE)</f>
        <v>0</v>
      </c>
      <c r="D90" s="37"/>
      <c r="E90" s="37"/>
      <c r="F90" s="37">
        <f>+VLOOKUP(A90,Composición!C:J,8,FALSE)</f>
        <v>0</v>
      </c>
      <c r="G90" s="37">
        <f t="shared" si="1"/>
        <v>0</v>
      </c>
      <c r="H90" s="37"/>
      <c r="I90" s="37"/>
      <c r="J90" s="37"/>
      <c r="K90" s="37"/>
      <c r="L90" s="37"/>
      <c r="M90" s="37"/>
      <c r="N90" s="37"/>
      <c r="O90" s="37"/>
      <c r="P90" s="37"/>
      <c r="Q90" s="37"/>
      <c r="R90" s="37"/>
      <c r="S90" s="37"/>
      <c r="T90" s="37"/>
      <c r="U90" s="37"/>
      <c r="V90" s="37"/>
      <c r="W90" s="37"/>
      <c r="X90" s="37"/>
      <c r="Y90" s="37"/>
      <c r="Z90" s="37"/>
      <c r="AA90" s="37">
        <f t="shared" si="0"/>
        <v>0</v>
      </c>
      <c r="AB90" s="37">
        <f t="shared" si="10"/>
        <v>0</v>
      </c>
    </row>
    <row r="91" spans="1:28" ht="14.4">
      <c r="A91" s="117">
        <v>112021</v>
      </c>
      <c r="B91" s="117" t="s">
        <v>522</v>
      </c>
      <c r="C91" s="37">
        <f>+VLOOKUP(A91,Composición!C:G,5,FALSE)</f>
        <v>0</v>
      </c>
      <c r="D91" s="37"/>
      <c r="E91" s="37"/>
      <c r="F91" s="37">
        <f>+VLOOKUP(A91,Composición!C:J,8,FALSE)</f>
        <v>0</v>
      </c>
      <c r="G91" s="37">
        <f t="shared" si="1"/>
        <v>0</v>
      </c>
      <c r="H91" s="37"/>
      <c r="I91" s="37"/>
      <c r="J91" s="37"/>
      <c r="K91" s="37"/>
      <c r="L91" s="37"/>
      <c r="M91" s="37"/>
      <c r="N91" s="37"/>
      <c r="O91" s="37"/>
      <c r="P91" s="37"/>
      <c r="Q91" s="37"/>
      <c r="R91" s="37"/>
      <c r="S91" s="37"/>
      <c r="T91" s="37"/>
      <c r="U91" s="37"/>
      <c r="V91" s="37"/>
      <c r="W91" s="37"/>
      <c r="X91" s="37"/>
      <c r="Y91" s="37"/>
      <c r="Z91" s="37"/>
      <c r="AA91" s="37">
        <f t="shared" ref="AA91:AA155" si="11">SUM(G91:Z91)</f>
        <v>0</v>
      </c>
      <c r="AB91" s="37">
        <f t="shared" si="10"/>
        <v>0</v>
      </c>
    </row>
    <row r="92" spans="1:28" ht="14.4">
      <c r="A92" s="117">
        <v>1120211</v>
      </c>
      <c r="B92" s="117" t="s">
        <v>522</v>
      </c>
      <c r="C92" s="37">
        <f>+VLOOKUP(A92,Composición!C:G,5,FALSE)</f>
        <v>0</v>
      </c>
      <c r="D92" s="37"/>
      <c r="E92" s="37"/>
      <c r="F92" s="37">
        <f>+VLOOKUP(A92,Composición!C:J,8,FALSE)</f>
        <v>0</v>
      </c>
      <c r="G92" s="37">
        <f t="shared" si="1"/>
        <v>0</v>
      </c>
      <c r="H92" s="37"/>
      <c r="I92" s="37"/>
      <c r="J92" s="37"/>
      <c r="K92" s="37"/>
      <c r="L92" s="37"/>
      <c r="M92" s="37"/>
      <c r="N92" s="37"/>
      <c r="O92" s="37"/>
      <c r="P92" s="37"/>
      <c r="Q92" s="37"/>
      <c r="R92" s="37"/>
      <c r="S92" s="37"/>
      <c r="T92" s="37"/>
      <c r="U92" s="37"/>
      <c r="V92" s="37"/>
      <c r="W92" s="37"/>
      <c r="X92" s="37"/>
      <c r="Y92" s="37"/>
      <c r="Z92" s="37"/>
      <c r="AA92" s="37">
        <f t="shared" si="11"/>
        <v>0</v>
      </c>
      <c r="AB92" s="37">
        <f t="shared" si="10"/>
        <v>0</v>
      </c>
    </row>
    <row r="93" spans="1:28" ht="14.4">
      <c r="A93" s="117">
        <v>11202111</v>
      </c>
      <c r="B93" s="117" t="s">
        <v>645</v>
      </c>
      <c r="C93" s="37">
        <f>+VLOOKUP(A93,Composición!C:G,5,FALSE)</f>
        <v>0</v>
      </c>
      <c r="D93" s="37"/>
      <c r="E93" s="37"/>
      <c r="F93" s="37">
        <f>+VLOOKUP(A93,Composición!C:J,8,FALSE)</f>
        <v>0</v>
      </c>
      <c r="G93" s="37">
        <f t="shared" ref="G93:G157" si="12">C93+D93-E93-F93</f>
        <v>0</v>
      </c>
      <c r="H93" s="37"/>
      <c r="I93" s="37"/>
      <c r="J93" s="37"/>
      <c r="K93" s="37"/>
      <c r="L93" s="37"/>
      <c r="M93" s="37"/>
      <c r="N93" s="37"/>
      <c r="O93" s="37"/>
      <c r="P93" s="37"/>
      <c r="Q93" s="37"/>
      <c r="R93" s="37"/>
      <c r="S93" s="37"/>
      <c r="T93" s="37"/>
      <c r="U93" s="37"/>
      <c r="V93" s="37"/>
      <c r="W93" s="37"/>
      <c r="X93" s="37"/>
      <c r="Y93" s="37"/>
      <c r="Z93" s="37"/>
      <c r="AA93" s="37">
        <f t="shared" si="11"/>
        <v>0</v>
      </c>
      <c r="AB93" s="37">
        <f t="shared" si="10"/>
        <v>0</v>
      </c>
    </row>
    <row r="94" spans="1:28" ht="14.4">
      <c r="A94" s="117">
        <v>1120211101</v>
      </c>
      <c r="B94" s="117" t="s">
        <v>646</v>
      </c>
      <c r="C94" s="37">
        <f>+VLOOKUP(A94,Composición!C:G,5,FALSE)</f>
        <v>0</v>
      </c>
      <c r="D94" s="37"/>
      <c r="E94" s="37"/>
      <c r="F94" s="37">
        <f>+VLOOKUP(A94,Composición!C:J,8,FALSE)</f>
        <v>0</v>
      </c>
      <c r="G94" s="37">
        <f t="shared" si="12"/>
        <v>0</v>
      </c>
      <c r="H94" s="37"/>
      <c r="I94" s="37"/>
      <c r="J94" s="37"/>
      <c r="K94" s="37"/>
      <c r="L94" s="37"/>
      <c r="M94" s="37"/>
      <c r="N94" s="37"/>
      <c r="O94" s="37"/>
      <c r="P94" s="37"/>
      <c r="Q94" s="37"/>
      <c r="R94" s="37"/>
      <c r="S94" s="37"/>
      <c r="T94" s="37"/>
      <c r="U94" s="37"/>
      <c r="V94" s="37"/>
      <c r="W94" s="37"/>
      <c r="X94" s="37"/>
      <c r="Y94" s="37"/>
      <c r="Z94" s="37"/>
      <c r="AA94" s="37">
        <f t="shared" si="11"/>
        <v>0</v>
      </c>
      <c r="AB94" s="37">
        <f t="shared" si="10"/>
        <v>0</v>
      </c>
    </row>
    <row r="95" spans="1:28" ht="14.4">
      <c r="A95" s="117">
        <v>1120211102</v>
      </c>
      <c r="B95" s="117" t="s">
        <v>647</v>
      </c>
      <c r="C95" s="37">
        <f>+VLOOKUP(A95,Composición!C:G,5,FALSE)</f>
        <v>0</v>
      </c>
      <c r="D95" s="37"/>
      <c r="E95" s="37"/>
      <c r="F95" s="37">
        <f>+VLOOKUP(A95,Composición!C:J,8,FALSE)</f>
        <v>0</v>
      </c>
      <c r="G95" s="37">
        <f t="shared" si="12"/>
        <v>0</v>
      </c>
      <c r="H95" s="37"/>
      <c r="I95" s="37"/>
      <c r="J95" s="37"/>
      <c r="K95" s="37"/>
      <c r="L95" s="37"/>
      <c r="M95" s="37"/>
      <c r="N95" s="37"/>
      <c r="O95" s="37"/>
      <c r="P95" s="37"/>
      <c r="Q95" s="37"/>
      <c r="R95" s="37"/>
      <c r="S95" s="37"/>
      <c r="T95" s="37"/>
      <c r="U95" s="37"/>
      <c r="V95" s="37"/>
      <c r="W95" s="37"/>
      <c r="X95" s="37"/>
      <c r="Y95" s="37"/>
      <c r="Z95" s="37"/>
      <c r="AA95" s="37">
        <f t="shared" si="11"/>
        <v>0</v>
      </c>
      <c r="AB95" s="37">
        <f t="shared" si="10"/>
        <v>0</v>
      </c>
    </row>
    <row r="96" spans="1:28" ht="14.4">
      <c r="A96" s="117">
        <v>1120211103</v>
      </c>
      <c r="B96" s="117" t="s">
        <v>648</v>
      </c>
      <c r="C96" s="37">
        <f>+VLOOKUP(A96,Composición!C:G,5,FALSE)</f>
        <v>0</v>
      </c>
      <c r="D96" s="37"/>
      <c r="E96" s="37"/>
      <c r="F96" s="37">
        <f>+VLOOKUP(A96,Composición!C:J,8,FALSE)</f>
        <v>0</v>
      </c>
      <c r="G96" s="37">
        <f t="shared" si="12"/>
        <v>0</v>
      </c>
      <c r="H96" s="37"/>
      <c r="I96" s="37"/>
      <c r="J96" s="37"/>
      <c r="K96" s="37"/>
      <c r="L96" s="37"/>
      <c r="M96" s="37"/>
      <c r="N96" s="37"/>
      <c r="O96" s="37"/>
      <c r="P96" s="37"/>
      <c r="Q96" s="37"/>
      <c r="R96" s="37"/>
      <c r="S96" s="37"/>
      <c r="T96" s="37"/>
      <c r="U96" s="37"/>
      <c r="V96" s="37"/>
      <c r="W96" s="37"/>
      <c r="X96" s="37"/>
      <c r="Y96" s="37"/>
      <c r="Z96" s="37"/>
      <c r="AA96" s="37">
        <f t="shared" si="11"/>
        <v>0</v>
      </c>
      <c r="AB96" s="37">
        <f t="shared" si="10"/>
        <v>0</v>
      </c>
    </row>
    <row r="97" spans="1:28" ht="14.4">
      <c r="A97" s="117">
        <v>1120211104</v>
      </c>
      <c r="B97" s="117" t="s">
        <v>649</v>
      </c>
      <c r="C97" s="37">
        <f>+VLOOKUP(A97,Composición!C:G,5,FALSE)</f>
        <v>0</v>
      </c>
      <c r="D97" s="37"/>
      <c r="E97" s="37"/>
      <c r="F97" s="37">
        <f>+VLOOKUP(A97,Composición!C:J,8,FALSE)</f>
        <v>0</v>
      </c>
      <c r="G97" s="37">
        <f t="shared" si="12"/>
        <v>0</v>
      </c>
      <c r="H97" s="37"/>
      <c r="I97" s="37"/>
      <c r="J97" s="37"/>
      <c r="K97" s="37"/>
      <c r="L97" s="37">
        <f>-G97</f>
        <v>0</v>
      </c>
      <c r="M97" s="37"/>
      <c r="N97" s="37"/>
      <c r="O97" s="37"/>
      <c r="P97" s="37"/>
      <c r="Q97" s="37"/>
      <c r="R97" s="37"/>
      <c r="S97" s="37"/>
      <c r="T97" s="37"/>
      <c r="U97" s="37"/>
      <c r="V97" s="37"/>
      <c r="W97" s="37"/>
      <c r="X97" s="37"/>
      <c r="Y97" s="37"/>
      <c r="Z97" s="37"/>
      <c r="AA97" s="37">
        <f t="shared" si="11"/>
        <v>0</v>
      </c>
      <c r="AB97" s="37">
        <f t="shared" si="10"/>
        <v>0</v>
      </c>
    </row>
    <row r="98" spans="1:28" ht="14.4">
      <c r="A98" s="117">
        <v>1120211105</v>
      </c>
      <c r="B98" s="117" t="s">
        <v>650</v>
      </c>
      <c r="C98" s="37">
        <f>+VLOOKUP(A98,Composición!C:G,5,FALSE)</f>
        <v>0</v>
      </c>
      <c r="D98" s="37"/>
      <c r="E98" s="37"/>
      <c r="F98" s="37">
        <f>+VLOOKUP(A98,Composición!C:J,8,FALSE)</f>
        <v>0</v>
      </c>
      <c r="G98" s="37">
        <f t="shared" si="12"/>
        <v>0</v>
      </c>
      <c r="H98" s="37"/>
      <c r="I98" s="37"/>
      <c r="J98" s="37"/>
      <c r="K98" s="37"/>
      <c r="L98" s="37">
        <f>-G98</f>
        <v>0</v>
      </c>
      <c r="M98" s="37"/>
      <c r="N98" s="37"/>
      <c r="O98" s="37"/>
      <c r="P98" s="37"/>
      <c r="Q98" s="37"/>
      <c r="R98" s="37"/>
      <c r="S98" s="37"/>
      <c r="T98" s="37"/>
      <c r="U98" s="37"/>
      <c r="V98" s="37"/>
      <c r="W98" s="37"/>
      <c r="X98" s="37"/>
      <c r="Y98" s="37"/>
      <c r="Z98" s="37"/>
      <c r="AA98" s="37">
        <f t="shared" si="11"/>
        <v>0</v>
      </c>
      <c r="AB98" s="37">
        <f t="shared" si="10"/>
        <v>0</v>
      </c>
    </row>
    <row r="99" spans="1:28" ht="14.4">
      <c r="A99" s="117">
        <v>11202112</v>
      </c>
      <c r="B99" s="117" t="s">
        <v>651</v>
      </c>
      <c r="C99" s="37">
        <f>+VLOOKUP(A99,Composición!C:G,5,FALSE)</f>
        <v>0</v>
      </c>
      <c r="D99" s="37"/>
      <c r="E99" s="37"/>
      <c r="F99" s="37">
        <f>+VLOOKUP(A99,Composición!C:J,8,FALSE)</f>
        <v>0</v>
      </c>
      <c r="G99" s="37">
        <f t="shared" si="12"/>
        <v>0</v>
      </c>
      <c r="H99" s="37"/>
      <c r="I99" s="37"/>
      <c r="J99" s="37"/>
      <c r="K99" s="37"/>
      <c r="L99" s="37"/>
      <c r="M99" s="37"/>
      <c r="N99" s="37"/>
      <c r="O99" s="37"/>
      <c r="P99" s="37"/>
      <c r="Q99" s="37"/>
      <c r="R99" s="37"/>
      <c r="S99" s="37"/>
      <c r="T99" s="37"/>
      <c r="U99" s="37"/>
      <c r="V99" s="37"/>
      <c r="W99" s="37"/>
      <c r="X99" s="37"/>
      <c r="Y99" s="37"/>
      <c r="Z99" s="37"/>
      <c r="AA99" s="37">
        <f t="shared" si="11"/>
        <v>0</v>
      </c>
      <c r="AB99" s="37">
        <f t="shared" si="10"/>
        <v>0</v>
      </c>
    </row>
    <row r="100" spans="1:28" ht="14.4">
      <c r="A100" s="117">
        <v>1120211201</v>
      </c>
      <c r="B100" s="117" t="s">
        <v>652</v>
      </c>
      <c r="C100" s="37">
        <f>+VLOOKUP(A100,Composición!C:G,5,FALSE)</f>
        <v>0</v>
      </c>
      <c r="D100" s="37"/>
      <c r="E100" s="37"/>
      <c r="F100" s="37">
        <f>+VLOOKUP(A100,Composición!C:J,8,FALSE)</f>
        <v>0</v>
      </c>
      <c r="G100" s="37">
        <f t="shared" si="12"/>
        <v>0</v>
      </c>
      <c r="H100" s="37"/>
      <c r="I100" s="37"/>
      <c r="J100" s="37"/>
      <c r="K100" s="37"/>
      <c r="L100" s="37"/>
      <c r="M100" s="37"/>
      <c r="N100" s="37"/>
      <c r="O100" s="37"/>
      <c r="P100" s="37"/>
      <c r="Q100" s="37"/>
      <c r="R100" s="37"/>
      <c r="S100" s="37"/>
      <c r="T100" s="37"/>
      <c r="U100" s="37"/>
      <c r="V100" s="37"/>
      <c r="W100" s="37"/>
      <c r="X100" s="37"/>
      <c r="Y100" s="37"/>
      <c r="Z100" s="37"/>
      <c r="AA100" s="37">
        <f t="shared" si="11"/>
        <v>0</v>
      </c>
      <c r="AB100" s="37">
        <f t="shared" si="10"/>
        <v>0</v>
      </c>
    </row>
    <row r="101" spans="1:28" ht="14.4">
      <c r="A101" s="117">
        <v>1120211202</v>
      </c>
      <c r="B101" s="117" t="s">
        <v>653</v>
      </c>
      <c r="C101" s="37">
        <f>+VLOOKUP(A101,Composición!C:G,5,FALSE)</f>
        <v>0</v>
      </c>
      <c r="D101" s="37"/>
      <c r="E101" s="37"/>
      <c r="F101" s="37">
        <f>+VLOOKUP(A101,Composición!C:J,8,FALSE)</f>
        <v>0</v>
      </c>
      <c r="G101" s="37">
        <f t="shared" si="12"/>
        <v>0</v>
      </c>
      <c r="H101" s="37"/>
      <c r="I101" s="37"/>
      <c r="J101" s="37"/>
      <c r="K101" s="37"/>
      <c r="L101" s="37"/>
      <c r="M101" s="37"/>
      <c r="N101" s="37"/>
      <c r="O101" s="37"/>
      <c r="P101" s="37"/>
      <c r="Q101" s="37"/>
      <c r="R101" s="37"/>
      <c r="S101" s="37"/>
      <c r="T101" s="37"/>
      <c r="U101" s="37"/>
      <c r="V101" s="37"/>
      <c r="W101" s="37"/>
      <c r="X101" s="37"/>
      <c r="Y101" s="37"/>
      <c r="Z101" s="37"/>
      <c r="AA101" s="37">
        <f t="shared" si="11"/>
        <v>0</v>
      </c>
      <c r="AB101" s="37">
        <f t="shared" si="10"/>
        <v>0</v>
      </c>
    </row>
    <row r="102" spans="1:28" ht="14.4">
      <c r="A102" s="117">
        <v>11202113</v>
      </c>
      <c r="B102" s="117" t="s">
        <v>523</v>
      </c>
      <c r="C102" s="37">
        <f>+VLOOKUP(A102,Composición!C:G,5,FALSE)</f>
        <v>0</v>
      </c>
      <c r="D102" s="37"/>
      <c r="E102" s="37"/>
      <c r="F102" s="37">
        <f>+VLOOKUP(A102,Composición!C:J,8,FALSE)</f>
        <v>0</v>
      </c>
      <c r="G102" s="37">
        <f t="shared" si="12"/>
        <v>0</v>
      </c>
      <c r="H102" s="37">
        <f t="shared" ref="H102" si="13">-G102</f>
        <v>0</v>
      </c>
      <c r="I102" s="37"/>
      <c r="J102" s="37"/>
      <c r="K102" s="37"/>
      <c r="L102" s="37"/>
      <c r="M102" s="37"/>
      <c r="N102" s="37"/>
      <c r="O102" s="37"/>
      <c r="P102" s="37"/>
      <c r="Q102" s="37"/>
      <c r="R102" s="37"/>
      <c r="S102" s="37"/>
      <c r="T102" s="37"/>
      <c r="U102" s="37"/>
      <c r="V102" s="37"/>
      <c r="W102" s="37"/>
      <c r="X102" s="37"/>
      <c r="Y102" s="37"/>
      <c r="Z102" s="37"/>
      <c r="AA102" s="37">
        <f t="shared" si="11"/>
        <v>0</v>
      </c>
      <c r="AB102" s="37">
        <f t="shared" si="10"/>
        <v>0</v>
      </c>
    </row>
    <row r="103" spans="1:28" ht="14.4">
      <c r="A103" s="117">
        <v>1120211301</v>
      </c>
      <c r="B103" s="117" t="s">
        <v>524</v>
      </c>
      <c r="C103" s="37">
        <f>+VLOOKUP(A103,Composición!C:G,5,FALSE)</f>
        <v>0</v>
      </c>
      <c r="D103" s="37"/>
      <c r="E103" s="37"/>
      <c r="F103" s="37">
        <f>+VLOOKUP(A103,Composición!C:J,8,FALSE)</f>
        <v>0</v>
      </c>
      <c r="G103" s="37">
        <f t="shared" si="12"/>
        <v>0</v>
      </c>
      <c r="H103" s="37">
        <f>-G103</f>
        <v>0</v>
      </c>
      <c r="I103" s="37"/>
      <c r="J103" s="37"/>
      <c r="K103" s="37"/>
      <c r="L103" s="37"/>
      <c r="M103" s="37"/>
      <c r="N103" s="37"/>
      <c r="O103" s="37"/>
      <c r="P103" s="37"/>
      <c r="Q103" s="37"/>
      <c r="R103" s="37"/>
      <c r="S103" s="37"/>
      <c r="T103" s="37"/>
      <c r="U103" s="37"/>
      <c r="V103" s="37"/>
      <c r="W103" s="37"/>
      <c r="X103" s="37"/>
      <c r="Y103" s="37"/>
      <c r="Z103" s="37"/>
      <c r="AA103" s="37">
        <f t="shared" si="11"/>
        <v>0</v>
      </c>
      <c r="AB103" s="37">
        <f t="shared" si="10"/>
        <v>0</v>
      </c>
    </row>
    <row r="104" spans="1:28" ht="14.4">
      <c r="A104" s="117">
        <v>1120211302</v>
      </c>
      <c r="B104" s="117" t="s">
        <v>655</v>
      </c>
      <c r="C104" s="37">
        <f>+VLOOKUP(A104,Composición!C:G,5,FALSE)</f>
        <v>0</v>
      </c>
      <c r="D104" s="37"/>
      <c r="E104" s="37"/>
      <c r="F104" s="37">
        <f>+VLOOKUP(A104,Composición!C:J,8,FALSE)</f>
        <v>0</v>
      </c>
      <c r="G104" s="37">
        <f t="shared" si="12"/>
        <v>0</v>
      </c>
      <c r="H104" s="37"/>
      <c r="I104" s="37"/>
      <c r="J104" s="37"/>
      <c r="K104" s="37"/>
      <c r="L104" s="37"/>
      <c r="M104" s="37"/>
      <c r="N104" s="37"/>
      <c r="O104" s="37"/>
      <c r="P104" s="37"/>
      <c r="Q104" s="37"/>
      <c r="R104" s="37"/>
      <c r="S104" s="37"/>
      <c r="T104" s="37"/>
      <c r="U104" s="37"/>
      <c r="V104" s="37"/>
      <c r="W104" s="37"/>
      <c r="X104" s="37"/>
      <c r="Y104" s="37"/>
      <c r="Z104" s="37"/>
      <c r="AA104" s="37">
        <f t="shared" si="11"/>
        <v>0</v>
      </c>
      <c r="AB104" s="37">
        <f t="shared" si="10"/>
        <v>0</v>
      </c>
    </row>
    <row r="105" spans="1:28" ht="14.4">
      <c r="A105" s="117">
        <v>11202114</v>
      </c>
      <c r="B105" s="117" t="s">
        <v>656</v>
      </c>
      <c r="C105" s="37">
        <f>+VLOOKUP(A105,Composición!C:G,5,FALSE)</f>
        <v>0</v>
      </c>
      <c r="D105" s="37"/>
      <c r="E105" s="37"/>
      <c r="F105" s="37">
        <f>+VLOOKUP(A105,Composición!C:J,8,FALSE)</f>
        <v>0</v>
      </c>
      <c r="G105" s="37">
        <f t="shared" si="12"/>
        <v>0</v>
      </c>
      <c r="H105" s="37"/>
      <c r="I105" s="37"/>
      <c r="J105" s="37"/>
      <c r="K105" s="37"/>
      <c r="L105" s="37"/>
      <c r="M105" s="37"/>
      <c r="N105" s="37"/>
      <c r="O105" s="37"/>
      <c r="P105" s="37"/>
      <c r="Q105" s="37"/>
      <c r="R105" s="37"/>
      <c r="S105" s="37"/>
      <c r="T105" s="37"/>
      <c r="U105" s="37"/>
      <c r="V105" s="37"/>
      <c r="W105" s="37"/>
      <c r="X105" s="37"/>
      <c r="Y105" s="37"/>
      <c r="Z105" s="37"/>
      <c r="AA105" s="37">
        <f t="shared" si="11"/>
        <v>0</v>
      </c>
      <c r="AB105" s="37">
        <f t="shared" si="10"/>
        <v>0</v>
      </c>
    </row>
    <row r="106" spans="1:28" ht="14.4">
      <c r="A106" s="117">
        <v>1120211401</v>
      </c>
      <c r="B106" s="117" t="s">
        <v>657</v>
      </c>
      <c r="C106" s="37">
        <f>+VLOOKUP(A106,Composición!C:G,5,FALSE)</f>
        <v>0</v>
      </c>
      <c r="D106" s="37"/>
      <c r="E106" s="37"/>
      <c r="F106" s="37">
        <f>+VLOOKUP(A106,Composición!C:J,8,FALSE)</f>
        <v>0</v>
      </c>
      <c r="G106" s="37">
        <f t="shared" si="12"/>
        <v>0</v>
      </c>
      <c r="H106" s="37"/>
      <c r="I106" s="37"/>
      <c r="J106" s="37"/>
      <c r="K106" s="37"/>
      <c r="L106" s="37"/>
      <c r="M106" s="37"/>
      <c r="N106" s="37"/>
      <c r="O106" s="37"/>
      <c r="P106" s="37"/>
      <c r="Q106" s="37"/>
      <c r="R106" s="37"/>
      <c r="S106" s="37"/>
      <c r="T106" s="37"/>
      <c r="U106" s="37"/>
      <c r="V106" s="37"/>
      <c r="W106" s="37"/>
      <c r="X106" s="37"/>
      <c r="Y106" s="37"/>
      <c r="Z106" s="37"/>
      <c r="AA106" s="37">
        <f t="shared" si="11"/>
        <v>0</v>
      </c>
      <c r="AB106" s="37">
        <f t="shared" si="10"/>
        <v>0</v>
      </c>
    </row>
    <row r="107" spans="1:28" ht="14.4">
      <c r="A107" s="117">
        <v>1120211402</v>
      </c>
      <c r="B107" s="117" t="s">
        <v>97</v>
      </c>
      <c r="C107" s="37">
        <f>+VLOOKUP(A107,Composición!C:G,5,FALSE)</f>
        <v>0</v>
      </c>
      <c r="D107" s="37"/>
      <c r="E107" s="37"/>
      <c r="F107" s="37">
        <f>+VLOOKUP(A107,Composición!C:J,8,FALSE)</f>
        <v>0</v>
      </c>
      <c r="G107" s="37">
        <f t="shared" si="12"/>
        <v>0</v>
      </c>
      <c r="H107" s="37"/>
      <c r="I107" s="37"/>
      <c r="J107" s="37"/>
      <c r="K107" s="37"/>
      <c r="L107" s="37"/>
      <c r="M107" s="37"/>
      <c r="N107" s="37"/>
      <c r="O107" s="37"/>
      <c r="P107" s="37"/>
      <c r="Q107" s="37"/>
      <c r="R107" s="37"/>
      <c r="S107" s="37"/>
      <c r="T107" s="37"/>
      <c r="U107" s="37"/>
      <c r="V107" s="37"/>
      <c r="W107" s="37"/>
      <c r="X107" s="37"/>
      <c r="Y107" s="37"/>
      <c r="Z107" s="37"/>
      <c r="AA107" s="37">
        <f t="shared" si="11"/>
        <v>0</v>
      </c>
      <c r="AB107" s="37">
        <f t="shared" si="10"/>
        <v>0</v>
      </c>
    </row>
    <row r="108" spans="1:28" ht="14.4">
      <c r="A108" s="117">
        <v>11203</v>
      </c>
      <c r="B108" s="117" t="s">
        <v>33</v>
      </c>
      <c r="C108" s="37">
        <f>+VLOOKUP(A108,Composición!C:G,5,FALSE)</f>
        <v>0</v>
      </c>
      <c r="D108" s="37"/>
      <c r="E108" s="37"/>
      <c r="F108" s="37">
        <f>+VLOOKUP(A108,Composición!C:J,8,FALSE)</f>
        <v>0</v>
      </c>
      <c r="G108" s="37">
        <f t="shared" si="12"/>
        <v>0</v>
      </c>
      <c r="H108" s="37"/>
      <c r="I108" s="37"/>
      <c r="J108" s="37"/>
      <c r="K108" s="37"/>
      <c r="L108" s="37"/>
      <c r="M108" s="37"/>
      <c r="N108" s="37"/>
      <c r="O108" s="37"/>
      <c r="P108" s="37"/>
      <c r="Q108" s="37"/>
      <c r="R108" s="37"/>
      <c r="S108" s="37"/>
      <c r="T108" s="37"/>
      <c r="U108" s="37"/>
      <c r="V108" s="37"/>
      <c r="W108" s="37"/>
      <c r="X108" s="37"/>
      <c r="Y108" s="37"/>
      <c r="Z108" s="37"/>
      <c r="AA108" s="37">
        <f t="shared" si="11"/>
        <v>0</v>
      </c>
      <c r="AB108" s="37">
        <f t="shared" si="10"/>
        <v>0</v>
      </c>
    </row>
    <row r="109" spans="1:28" ht="14.4">
      <c r="A109" s="117">
        <v>112031</v>
      </c>
      <c r="B109" s="117" t="s">
        <v>33</v>
      </c>
      <c r="C109" s="37">
        <f>+VLOOKUP(A109,Composición!C:G,5,FALSE)</f>
        <v>0</v>
      </c>
      <c r="D109" s="37"/>
      <c r="E109" s="37"/>
      <c r="F109" s="37">
        <f>+VLOOKUP(A109,Composición!C:J,8,FALSE)</f>
        <v>0</v>
      </c>
      <c r="G109" s="37">
        <f t="shared" si="12"/>
        <v>0</v>
      </c>
      <c r="H109" s="37"/>
      <c r="I109" s="37"/>
      <c r="J109" s="37"/>
      <c r="K109" s="37"/>
      <c r="L109" s="37"/>
      <c r="M109" s="37"/>
      <c r="N109" s="37"/>
      <c r="O109" s="37"/>
      <c r="P109" s="37"/>
      <c r="Q109" s="37"/>
      <c r="R109" s="37"/>
      <c r="S109" s="37"/>
      <c r="T109" s="37"/>
      <c r="U109" s="37"/>
      <c r="V109" s="37"/>
      <c r="W109" s="37"/>
      <c r="X109" s="37"/>
      <c r="Y109" s="37"/>
      <c r="Z109" s="37"/>
      <c r="AA109" s="37">
        <f t="shared" si="11"/>
        <v>0</v>
      </c>
      <c r="AB109" s="37">
        <f t="shared" si="10"/>
        <v>0</v>
      </c>
    </row>
    <row r="110" spans="1:28" ht="14.4">
      <c r="A110" s="117">
        <v>1120311</v>
      </c>
      <c r="B110" s="117" t="s">
        <v>34</v>
      </c>
      <c r="C110" s="37">
        <f>+VLOOKUP(A110,Composición!C:G,5,FALSE)</f>
        <v>0</v>
      </c>
      <c r="D110" s="37"/>
      <c r="E110" s="37"/>
      <c r="F110" s="37">
        <f>+VLOOKUP(A110,Composición!C:J,8,FALSE)</f>
        <v>0</v>
      </c>
      <c r="G110" s="37">
        <f t="shared" si="12"/>
        <v>0</v>
      </c>
      <c r="H110" s="37"/>
      <c r="I110" s="37"/>
      <c r="J110" s="37"/>
      <c r="K110" s="37"/>
      <c r="L110" s="37"/>
      <c r="M110" s="37"/>
      <c r="N110" s="37"/>
      <c r="O110" s="37"/>
      <c r="P110" s="37"/>
      <c r="Q110" s="37"/>
      <c r="R110" s="37"/>
      <c r="S110" s="37"/>
      <c r="T110" s="37"/>
      <c r="U110" s="37"/>
      <c r="V110" s="37"/>
      <c r="W110" s="37"/>
      <c r="X110" s="37"/>
      <c r="Y110" s="37"/>
      <c r="Z110" s="37"/>
      <c r="AA110" s="37">
        <f t="shared" si="11"/>
        <v>0</v>
      </c>
      <c r="AB110" s="37">
        <f t="shared" si="10"/>
        <v>0</v>
      </c>
    </row>
    <row r="111" spans="1:28" ht="14.4">
      <c r="A111" s="117">
        <v>11203111</v>
      </c>
      <c r="B111" s="117" t="s">
        <v>35</v>
      </c>
      <c r="C111" s="37">
        <f>+VLOOKUP(A111,Composición!C:G,5,FALSE)</f>
        <v>0</v>
      </c>
      <c r="D111" s="37"/>
      <c r="E111" s="37"/>
      <c r="F111" s="37">
        <f>+VLOOKUP(A111,Composición!C:J,8,FALSE)</f>
        <v>0</v>
      </c>
      <c r="G111" s="37">
        <f t="shared" si="12"/>
        <v>0</v>
      </c>
      <c r="H111" s="37">
        <f t="shared" ref="H111:H117" si="14">-G111</f>
        <v>0</v>
      </c>
      <c r="I111" s="37"/>
      <c r="J111" s="37"/>
      <c r="K111" s="37"/>
      <c r="L111" s="37"/>
      <c r="M111" s="37"/>
      <c r="N111" s="37"/>
      <c r="O111" s="37"/>
      <c r="P111" s="37"/>
      <c r="Q111" s="37"/>
      <c r="R111" s="37"/>
      <c r="S111" s="37"/>
      <c r="T111" s="37"/>
      <c r="U111" s="37"/>
      <c r="V111" s="37"/>
      <c r="W111" s="37"/>
      <c r="X111" s="37"/>
      <c r="Y111" s="37"/>
      <c r="Z111" s="37"/>
      <c r="AA111" s="37">
        <f t="shared" si="11"/>
        <v>0</v>
      </c>
      <c r="AB111" s="37">
        <f t="shared" si="10"/>
        <v>0</v>
      </c>
    </row>
    <row r="112" spans="1:28" ht="14.4">
      <c r="A112" s="117">
        <v>1120311101</v>
      </c>
      <c r="B112" s="117" t="s">
        <v>35</v>
      </c>
      <c r="C112" s="37">
        <f>+VLOOKUP(A112,Composición!C:G,5,FALSE)</f>
        <v>34665507</v>
      </c>
      <c r="D112" s="37"/>
      <c r="E112" s="37"/>
      <c r="F112" s="37">
        <f>+VLOOKUP(A112,Composición!C:J,8,FALSE)</f>
        <v>276467848</v>
      </c>
      <c r="G112" s="37">
        <f t="shared" si="12"/>
        <v>-241802341</v>
      </c>
      <c r="H112" s="37">
        <f t="shared" si="14"/>
        <v>241802341</v>
      </c>
      <c r="I112" s="37"/>
      <c r="J112" s="37"/>
      <c r="K112" s="37"/>
      <c r="L112" s="37"/>
      <c r="M112" s="37"/>
      <c r="N112" s="37"/>
      <c r="O112" s="37"/>
      <c r="P112" s="37"/>
      <c r="Q112" s="37"/>
      <c r="R112" s="37"/>
      <c r="S112" s="37"/>
      <c r="T112" s="37"/>
      <c r="U112" s="37"/>
      <c r="V112" s="37"/>
      <c r="W112" s="37"/>
      <c r="X112" s="37"/>
      <c r="Y112" s="37"/>
      <c r="Z112" s="37"/>
      <c r="AA112" s="37">
        <f t="shared" si="11"/>
        <v>0</v>
      </c>
      <c r="AB112" s="37">
        <f t="shared" si="10"/>
        <v>0</v>
      </c>
    </row>
    <row r="113" spans="1:28" ht="14.4">
      <c r="A113" s="117">
        <v>1120311102</v>
      </c>
      <c r="B113" s="117" t="s">
        <v>35</v>
      </c>
      <c r="C113" s="37">
        <f>+VLOOKUP(A113,Composición!C:G,5,FALSE)</f>
        <v>368148</v>
      </c>
      <c r="D113" s="37"/>
      <c r="E113" s="37"/>
      <c r="F113" s="37">
        <f>+VLOOKUP(A113,Composición!C:J,8,FALSE)</f>
        <v>407124</v>
      </c>
      <c r="G113" s="37">
        <f t="shared" si="12"/>
        <v>-38976</v>
      </c>
      <c r="H113" s="37">
        <f t="shared" si="14"/>
        <v>38976</v>
      </c>
      <c r="I113" s="37"/>
      <c r="J113" s="37"/>
      <c r="K113" s="37"/>
      <c r="L113" s="37"/>
      <c r="M113" s="37"/>
      <c r="N113" s="37"/>
      <c r="O113" s="37"/>
      <c r="P113" s="37"/>
      <c r="Q113" s="37"/>
      <c r="R113" s="37"/>
      <c r="S113" s="37"/>
      <c r="T113" s="37"/>
      <c r="U113" s="37"/>
      <c r="V113" s="37"/>
      <c r="W113" s="37"/>
      <c r="X113" s="37"/>
      <c r="Y113" s="37"/>
      <c r="Z113" s="37"/>
      <c r="AA113" s="37">
        <f t="shared" si="11"/>
        <v>0</v>
      </c>
      <c r="AB113" s="37">
        <f t="shared" si="10"/>
        <v>0</v>
      </c>
    </row>
    <row r="114" spans="1:28" ht="14.4">
      <c r="A114" s="117">
        <v>1120311103</v>
      </c>
      <c r="B114" s="117" t="s">
        <v>36</v>
      </c>
      <c r="C114" s="37">
        <f>+VLOOKUP(A114,Composición!C:G,5,FALSE)</f>
        <v>330056277</v>
      </c>
      <c r="D114" s="37"/>
      <c r="E114" s="37"/>
      <c r="F114" s="37">
        <f>+VLOOKUP(A114,Composición!C:J,8,FALSE)</f>
        <v>710328394</v>
      </c>
      <c r="G114" s="37">
        <f t="shared" si="12"/>
        <v>-380272117</v>
      </c>
      <c r="H114" s="37">
        <f t="shared" si="14"/>
        <v>380272117</v>
      </c>
      <c r="I114" s="37"/>
      <c r="J114" s="37"/>
      <c r="K114" s="37"/>
      <c r="L114" s="37"/>
      <c r="M114" s="37"/>
      <c r="N114" s="37"/>
      <c r="O114" s="37"/>
      <c r="P114" s="37"/>
      <c r="Q114" s="37"/>
      <c r="R114" s="37"/>
      <c r="S114" s="37"/>
      <c r="T114" s="37"/>
      <c r="U114" s="37"/>
      <c r="V114" s="37"/>
      <c r="W114" s="37"/>
      <c r="X114" s="37"/>
      <c r="Y114" s="37"/>
      <c r="Z114" s="37"/>
      <c r="AA114" s="37">
        <f t="shared" si="11"/>
        <v>0</v>
      </c>
      <c r="AB114" s="37">
        <f t="shared" si="10"/>
        <v>0</v>
      </c>
    </row>
    <row r="115" spans="1:28" ht="14.4">
      <c r="A115" s="117">
        <v>1120311104</v>
      </c>
      <c r="B115" s="117" t="s">
        <v>37</v>
      </c>
      <c r="C115" s="37">
        <f>+VLOOKUP(A115,Composición!C:G,5,FALSE)</f>
        <v>281052644</v>
      </c>
      <c r="D115" s="37"/>
      <c r="E115" s="37"/>
      <c r="F115" s="37">
        <f>+VLOOKUP(A115,Composición!C:J,8,FALSE)</f>
        <v>428136805</v>
      </c>
      <c r="G115" s="37">
        <f t="shared" si="12"/>
        <v>-147084161</v>
      </c>
      <c r="H115" s="37">
        <f t="shared" si="14"/>
        <v>147084161</v>
      </c>
      <c r="I115" s="37"/>
      <c r="J115" s="37"/>
      <c r="K115" s="37"/>
      <c r="L115" s="37"/>
      <c r="M115" s="37"/>
      <c r="N115" s="37"/>
      <c r="O115" s="37"/>
      <c r="P115" s="37"/>
      <c r="Q115" s="37"/>
      <c r="R115" s="37"/>
      <c r="S115" s="37"/>
      <c r="T115" s="37"/>
      <c r="U115" s="37"/>
      <c r="V115" s="37"/>
      <c r="W115" s="37"/>
      <c r="X115" s="37"/>
      <c r="Y115" s="37"/>
      <c r="Z115" s="37"/>
      <c r="AA115" s="37">
        <f t="shared" si="11"/>
        <v>0</v>
      </c>
      <c r="AB115" s="37">
        <f t="shared" si="10"/>
        <v>0</v>
      </c>
    </row>
    <row r="116" spans="1:28" ht="14.4">
      <c r="A116" s="117">
        <v>1120311105</v>
      </c>
      <c r="B116" s="117" t="s">
        <v>38</v>
      </c>
      <c r="C116" s="37">
        <f>+VLOOKUP(A116,Composición!C:G,5,FALSE)</f>
        <v>527968918</v>
      </c>
      <c r="D116" s="37"/>
      <c r="E116" s="37"/>
      <c r="F116" s="37">
        <f>+VLOOKUP(A116,Composición!C:J,8,FALSE)</f>
        <v>112449166</v>
      </c>
      <c r="G116" s="37">
        <f t="shared" si="12"/>
        <v>415519752</v>
      </c>
      <c r="H116" s="37">
        <f t="shared" si="14"/>
        <v>-415519752</v>
      </c>
      <c r="I116" s="37"/>
      <c r="J116" s="37"/>
      <c r="K116" s="37"/>
      <c r="L116" s="37"/>
      <c r="M116" s="37"/>
      <c r="N116" s="37"/>
      <c r="O116" s="37"/>
      <c r="P116" s="37"/>
      <c r="Q116" s="37"/>
      <c r="R116" s="37"/>
      <c r="S116" s="37"/>
      <c r="T116" s="37"/>
      <c r="U116" s="37"/>
      <c r="V116" s="37"/>
      <c r="W116" s="37"/>
      <c r="X116" s="37"/>
      <c r="Y116" s="37"/>
      <c r="Z116" s="37"/>
      <c r="AA116" s="37">
        <f t="shared" si="11"/>
        <v>0</v>
      </c>
      <c r="AB116" s="37">
        <f t="shared" si="10"/>
        <v>0</v>
      </c>
    </row>
    <row r="117" spans="1:28" ht="14.4">
      <c r="A117" s="117">
        <v>1120311106</v>
      </c>
      <c r="B117" s="117" t="s">
        <v>39</v>
      </c>
      <c r="C117" s="37">
        <f>+VLOOKUP(A117,Composición!C:G,5,FALSE)</f>
        <v>347283490</v>
      </c>
      <c r="D117" s="37"/>
      <c r="E117" s="37"/>
      <c r="F117" s="37">
        <f>+VLOOKUP(A117,Composición!C:J,8,FALSE)</f>
        <v>5679002</v>
      </c>
      <c r="G117" s="37">
        <f t="shared" si="12"/>
        <v>341604488</v>
      </c>
      <c r="H117" s="37">
        <f t="shared" si="14"/>
        <v>-341604488</v>
      </c>
      <c r="I117" s="37"/>
      <c r="J117" s="37"/>
      <c r="K117" s="37"/>
      <c r="L117" s="37"/>
      <c r="M117" s="37"/>
      <c r="N117" s="37"/>
      <c r="O117" s="37"/>
      <c r="P117" s="37"/>
      <c r="Q117" s="37"/>
      <c r="R117" s="37"/>
      <c r="S117" s="37"/>
      <c r="T117" s="37"/>
      <c r="U117" s="37"/>
      <c r="V117" s="37"/>
      <c r="W117" s="37"/>
      <c r="X117" s="37"/>
      <c r="Y117" s="37"/>
      <c r="Z117" s="37"/>
      <c r="AA117" s="37">
        <f t="shared" si="11"/>
        <v>0</v>
      </c>
      <c r="AB117" s="37">
        <f t="shared" si="10"/>
        <v>0</v>
      </c>
    </row>
    <row r="118" spans="1:28" ht="14.4">
      <c r="A118" s="117">
        <v>11203112</v>
      </c>
      <c r="B118" s="117" t="s">
        <v>658</v>
      </c>
      <c r="C118" s="37">
        <f>+VLOOKUP(A118,Composición!C:G,5,FALSE)</f>
        <v>0</v>
      </c>
      <c r="D118" s="37"/>
      <c r="E118" s="37"/>
      <c r="F118" s="37">
        <f>+VLOOKUP(A118,Composición!C:J,8,FALSE)</f>
        <v>0</v>
      </c>
      <c r="G118" s="37">
        <f t="shared" si="12"/>
        <v>0</v>
      </c>
      <c r="H118" s="37"/>
      <c r="I118" s="37"/>
      <c r="J118" s="37"/>
      <c r="K118" s="37"/>
      <c r="L118" s="37"/>
      <c r="M118" s="37"/>
      <c r="N118" s="37"/>
      <c r="O118" s="37"/>
      <c r="P118" s="37"/>
      <c r="Q118" s="37"/>
      <c r="R118" s="37"/>
      <c r="S118" s="37"/>
      <c r="T118" s="37"/>
      <c r="U118" s="37"/>
      <c r="V118" s="37"/>
      <c r="W118" s="37"/>
      <c r="X118" s="37"/>
      <c r="Y118" s="37"/>
      <c r="Z118" s="37"/>
      <c r="AA118" s="37">
        <f t="shared" si="11"/>
        <v>0</v>
      </c>
      <c r="AB118" s="37">
        <f t="shared" si="10"/>
        <v>0</v>
      </c>
    </row>
    <row r="119" spans="1:28" ht="14.4">
      <c r="A119" s="117">
        <v>1120311201</v>
      </c>
      <c r="B119" s="117" t="s">
        <v>659</v>
      </c>
      <c r="C119" s="37">
        <f>+VLOOKUP(A119,Composición!C:G,5,FALSE)</f>
        <v>0</v>
      </c>
      <c r="D119" s="37"/>
      <c r="E119" s="37"/>
      <c r="F119" s="37">
        <f>+VLOOKUP(A119,Composición!C:J,8,FALSE)</f>
        <v>0</v>
      </c>
      <c r="G119" s="37">
        <f t="shared" si="12"/>
        <v>0</v>
      </c>
      <c r="H119" s="37"/>
      <c r="I119" s="37"/>
      <c r="J119" s="37"/>
      <c r="K119" s="37"/>
      <c r="L119" s="37"/>
      <c r="M119" s="37"/>
      <c r="N119" s="37"/>
      <c r="O119" s="37"/>
      <c r="P119" s="37"/>
      <c r="Q119" s="37"/>
      <c r="R119" s="37"/>
      <c r="S119" s="37"/>
      <c r="T119" s="37"/>
      <c r="U119" s="37"/>
      <c r="V119" s="37"/>
      <c r="W119" s="37"/>
      <c r="X119" s="37"/>
      <c r="Y119" s="37"/>
      <c r="Z119" s="37"/>
      <c r="AA119" s="37">
        <f t="shared" si="11"/>
        <v>0</v>
      </c>
      <c r="AB119" s="37">
        <f t="shared" si="10"/>
        <v>0</v>
      </c>
    </row>
    <row r="120" spans="1:28" ht="14.4">
      <c r="A120" s="117">
        <v>1120311202</v>
      </c>
      <c r="B120" s="117" t="s">
        <v>660</v>
      </c>
      <c r="C120" s="37">
        <f>+VLOOKUP(A120,Composición!C:G,5,FALSE)</f>
        <v>0</v>
      </c>
      <c r="D120" s="37"/>
      <c r="E120" s="37"/>
      <c r="F120" s="37">
        <f>+VLOOKUP(A120,Composición!C:J,8,FALSE)</f>
        <v>0</v>
      </c>
      <c r="G120" s="37">
        <f t="shared" si="12"/>
        <v>0</v>
      </c>
      <c r="H120" s="37"/>
      <c r="I120" s="37"/>
      <c r="J120" s="37"/>
      <c r="K120" s="37"/>
      <c r="L120" s="37"/>
      <c r="M120" s="37"/>
      <c r="N120" s="37"/>
      <c r="O120" s="37"/>
      <c r="P120" s="37"/>
      <c r="Q120" s="37"/>
      <c r="R120" s="37"/>
      <c r="S120" s="37"/>
      <c r="T120" s="37"/>
      <c r="U120" s="37"/>
      <c r="V120" s="37"/>
      <c r="W120" s="37"/>
      <c r="X120" s="37"/>
      <c r="Y120" s="37"/>
      <c r="Z120" s="37"/>
      <c r="AA120" s="37">
        <f t="shared" si="11"/>
        <v>0</v>
      </c>
      <c r="AB120" s="37">
        <f t="shared" si="10"/>
        <v>0</v>
      </c>
    </row>
    <row r="121" spans="1:28" ht="14.4">
      <c r="A121" s="117">
        <v>1120312</v>
      </c>
      <c r="B121" s="117" t="s">
        <v>572</v>
      </c>
      <c r="C121" s="37">
        <f>+VLOOKUP(A121,Composición!C:G,5,FALSE)</f>
        <v>0</v>
      </c>
      <c r="D121" s="37"/>
      <c r="E121" s="37"/>
      <c r="F121" s="37">
        <f>+VLOOKUP(A121,Composición!C:J,8,FALSE)</f>
        <v>0</v>
      </c>
      <c r="G121" s="37">
        <f t="shared" si="12"/>
        <v>0</v>
      </c>
      <c r="H121" s="37"/>
      <c r="I121" s="37"/>
      <c r="J121" s="37"/>
      <c r="K121" s="37"/>
      <c r="L121" s="37"/>
      <c r="M121" s="37"/>
      <c r="N121" s="37"/>
      <c r="O121" s="37"/>
      <c r="P121" s="37"/>
      <c r="Q121" s="37"/>
      <c r="R121" s="37"/>
      <c r="S121" s="37"/>
      <c r="T121" s="37"/>
      <c r="U121" s="37"/>
      <c r="V121" s="37"/>
      <c r="W121" s="37"/>
      <c r="X121" s="37"/>
      <c r="Y121" s="37"/>
      <c r="Z121" s="37"/>
      <c r="AA121" s="37">
        <f t="shared" si="11"/>
        <v>0</v>
      </c>
      <c r="AB121" s="37">
        <f t="shared" si="10"/>
        <v>0</v>
      </c>
    </row>
    <row r="122" spans="1:28" ht="14.4">
      <c r="A122" s="117">
        <v>11203121</v>
      </c>
      <c r="B122" s="117" t="s">
        <v>572</v>
      </c>
      <c r="C122" s="37">
        <f>+VLOOKUP(A122,Composición!C:G,5,FALSE)</f>
        <v>0</v>
      </c>
      <c r="D122" s="37"/>
      <c r="E122" s="37"/>
      <c r="F122" s="37">
        <f>+VLOOKUP(A122,Composición!C:J,8,FALSE)</f>
        <v>0</v>
      </c>
      <c r="G122" s="37">
        <f t="shared" si="12"/>
        <v>0</v>
      </c>
      <c r="H122" s="37"/>
      <c r="I122" s="37"/>
      <c r="J122" s="37"/>
      <c r="K122" s="37"/>
      <c r="L122" s="37"/>
      <c r="M122" s="37"/>
      <c r="N122" s="37"/>
      <c r="O122" s="37"/>
      <c r="P122" s="37"/>
      <c r="Q122" s="37"/>
      <c r="R122" s="37"/>
      <c r="S122" s="37"/>
      <c r="T122" s="37"/>
      <c r="U122" s="37"/>
      <c r="V122" s="37"/>
      <c r="W122" s="37"/>
      <c r="X122" s="37"/>
      <c r="Y122" s="37"/>
      <c r="Z122" s="37"/>
      <c r="AA122" s="37">
        <f t="shared" si="11"/>
        <v>0</v>
      </c>
      <c r="AB122" s="37">
        <f t="shared" si="10"/>
        <v>0</v>
      </c>
    </row>
    <row r="123" spans="1:28" ht="14.4">
      <c r="A123" s="117">
        <v>1120312101</v>
      </c>
      <c r="B123" s="117" t="s">
        <v>573</v>
      </c>
      <c r="C123" s="37">
        <f>+VLOOKUP(A123,Composición!C:G,5,FALSE)</f>
        <v>0</v>
      </c>
      <c r="D123" s="37"/>
      <c r="E123" s="37"/>
      <c r="F123" s="37">
        <f>+VLOOKUP(A123,Composición!C:J,8,FALSE)</f>
        <v>0</v>
      </c>
      <c r="G123" s="37">
        <f t="shared" si="12"/>
        <v>0</v>
      </c>
      <c r="H123" s="37"/>
      <c r="I123" s="37">
        <f>-G123</f>
        <v>0</v>
      </c>
      <c r="J123" s="37"/>
      <c r="K123" s="37"/>
      <c r="L123" s="37"/>
      <c r="M123" s="37"/>
      <c r="N123" s="37"/>
      <c r="O123" s="37"/>
      <c r="P123" s="37"/>
      <c r="Q123" s="37"/>
      <c r="R123" s="37"/>
      <c r="S123" s="37"/>
      <c r="T123" s="37"/>
      <c r="U123" s="37"/>
      <c r="V123" s="37"/>
      <c r="W123" s="37"/>
      <c r="X123" s="37"/>
      <c r="Y123" s="37"/>
      <c r="Z123" s="37"/>
      <c r="AA123" s="37">
        <f t="shared" si="11"/>
        <v>0</v>
      </c>
      <c r="AB123" s="37">
        <f t="shared" si="10"/>
        <v>0</v>
      </c>
    </row>
    <row r="124" spans="1:28" ht="14.4">
      <c r="A124" s="117">
        <v>1120312102</v>
      </c>
      <c r="B124" s="117" t="s">
        <v>662</v>
      </c>
      <c r="C124" s="37">
        <f>+VLOOKUP(A124,Composición!C:G,5,FALSE)</f>
        <v>0</v>
      </c>
      <c r="D124" s="37"/>
      <c r="E124" s="37"/>
      <c r="F124" s="37">
        <f>+VLOOKUP(A124,Composición!C:J,8,FALSE)</f>
        <v>0</v>
      </c>
      <c r="G124" s="37">
        <f t="shared" si="12"/>
        <v>0</v>
      </c>
      <c r="H124" s="37"/>
      <c r="I124" s="37"/>
      <c r="J124" s="37"/>
      <c r="K124" s="37"/>
      <c r="L124" s="37"/>
      <c r="M124" s="37"/>
      <c r="N124" s="37"/>
      <c r="O124" s="37"/>
      <c r="P124" s="37"/>
      <c r="Q124" s="37"/>
      <c r="R124" s="37"/>
      <c r="S124" s="37"/>
      <c r="T124" s="37"/>
      <c r="U124" s="37"/>
      <c r="V124" s="37"/>
      <c r="W124" s="37"/>
      <c r="X124" s="37"/>
      <c r="Y124" s="37"/>
      <c r="Z124" s="37"/>
      <c r="AA124" s="37">
        <f t="shared" si="11"/>
        <v>0</v>
      </c>
      <c r="AB124" s="37">
        <f t="shared" si="10"/>
        <v>0</v>
      </c>
    </row>
    <row r="125" spans="1:28" ht="14.4">
      <c r="A125" s="117">
        <v>11204</v>
      </c>
      <c r="B125" s="117" t="s">
        <v>663</v>
      </c>
      <c r="C125" s="37">
        <f>+VLOOKUP(A125,Composición!C:G,5,FALSE)</f>
        <v>0</v>
      </c>
      <c r="D125" s="37"/>
      <c r="E125" s="37"/>
      <c r="F125" s="37">
        <f>+VLOOKUP(A125,Composición!C:J,8,FALSE)</f>
        <v>0</v>
      </c>
      <c r="G125" s="37">
        <f t="shared" si="12"/>
        <v>0</v>
      </c>
      <c r="H125" s="37"/>
      <c r="I125" s="37"/>
      <c r="J125" s="37"/>
      <c r="K125" s="37"/>
      <c r="L125" s="37"/>
      <c r="M125" s="37"/>
      <c r="N125" s="37"/>
      <c r="O125" s="37"/>
      <c r="P125" s="37"/>
      <c r="Q125" s="37"/>
      <c r="R125" s="37"/>
      <c r="S125" s="37"/>
      <c r="T125" s="37"/>
      <c r="U125" s="37"/>
      <c r="V125" s="37"/>
      <c r="W125" s="37"/>
      <c r="X125" s="37"/>
      <c r="Y125" s="37"/>
      <c r="Z125" s="37"/>
      <c r="AA125" s="37">
        <f t="shared" si="11"/>
        <v>0</v>
      </c>
      <c r="AB125" s="37">
        <f t="shared" ref="AB125:AB187" si="15">SUM(G125:Z125)</f>
        <v>0</v>
      </c>
    </row>
    <row r="126" spans="1:28" ht="14.4">
      <c r="A126" s="117">
        <v>11210</v>
      </c>
      <c r="B126" s="117" t="s">
        <v>664</v>
      </c>
      <c r="C126" s="37">
        <f>+VLOOKUP(A126,Composición!C:G,5,FALSE)</f>
        <v>0</v>
      </c>
      <c r="D126" s="37"/>
      <c r="E126" s="37"/>
      <c r="F126" s="37">
        <f>+VLOOKUP(A126,Composición!C:J,8,FALSE)</f>
        <v>0</v>
      </c>
      <c r="G126" s="37">
        <f t="shared" si="12"/>
        <v>0</v>
      </c>
      <c r="H126" s="37"/>
      <c r="I126" s="37"/>
      <c r="J126" s="37"/>
      <c r="K126" s="37"/>
      <c r="L126" s="37"/>
      <c r="M126" s="37"/>
      <c r="N126" s="37"/>
      <c r="O126" s="37"/>
      <c r="P126" s="37"/>
      <c r="Q126" s="37"/>
      <c r="R126" s="37"/>
      <c r="S126" s="37"/>
      <c r="T126" s="37"/>
      <c r="U126" s="37"/>
      <c r="V126" s="37"/>
      <c r="W126" s="37"/>
      <c r="X126" s="37"/>
      <c r="Y126" s="37"/>
      <c r="Z126" s="37"/>
      <c r="AA126" s="37">
        <f t="shared" si="11"/>
        <v>0</v>
      </c>
      <c r="AB126" s="37">
        <f t="shared" si="15"/>
        <v>0</v>
      </c>
    </row>
    <row r="127" spans="1:28" ht="14.4">
      <c r="A127" s="117">
        <v>112101</v>
      </c>
      <c r="B127" s="117" t="s">
        <v>664</v>
      </c>
      <c r="C127" s="37">
        <f>+VLOOKUP(A127,Composición!C:G,5,FALSE)</f>
        <v>0</v>
      </c>
      <c r="D127" s="37"/>
      <c r="E127" s="37"/>
      <c r="F127" s="37">
        <f>+VLOOKUP(A127,Composición!C:J,8,FALSE)</f>
        <v>0</v>
      </c>
      <c r="G127" s="37">
        <f t="shared" si="12"/>
        <v>0</v>
      </c>
      <c r="H127" s="37"/>
      <c r="I127" s="37"/>
      <c r="J127" s="37"/>
      <c r="K127" s="37"/>
      <c r="L127" s="37"/>
      <c r="M127" s="37"/>
      <c r="N127" s="37"/>
      <c r="O127" s="37"/>
      <c r="P127" s="37"/>
      <c r="Q127" s="37"/>
      <c r="R127" s="37"/>
      <c r="S127" s="37"/>
      <c r="T127" s="37"/>
      <c r="U127" s="37"/>
      <c r="V127" s="37"/>
      <c r="W127" s="37"/>
      <c r="X127" s="37"/>
      <c r="Y127" s="37"/>
      <c r="Z127" s="37"/>
      <c r="AA127" s="37">
        <f t="shared" si="11"/>
        <v>0</v>
      </c>
      <c r="AB127" s="37">
        <f t="shared" si="15"/>
        <v>0</v>
      </c>
    </row>
    <row r="128" spans="1:28" ht="14.4">
      <c r="A128" s="117">
        <v>1121011</v>
      </c>
      <c r="B128" s="117" t="s">
        <v>664</v>
      </c>
      <c r="C128" s="37">
        <f>+VLOOKUP(A128,Composición!C:G,5,FALSE)</f>
        <v>0</v>
      </c>
      <c r="D128" s="37"/>
      <c r="E128" s="37"/>
      <c r="F128" s="37">
        <f>+VLOOKUP(A128,Composición!C:J,8,FALSE)</f>
        <v>0</v>
      </c>
      <c r="G128" s="37">
        <f t="shared" si="12"/>
        <v>0</v>
      </c>
      <c r="H128" s="37"/>
      <c r="I128" s="37"/>
      <c r="J128" s="37"/>
      <c r="K128" s="37"/>
      <c r="L128" s="37"/>
      <c r="M128" s="37"/>
      <c r="N128" s="37"/>
      <c r="O128" s="37"/>
      <c r="P128" s="37"/>
      <c r="Q128" s="37"/>
      <c r="R128" s="37"/>
      <c r="S128" s="37"/>
      <c r="T128" s="37"/>
      <c r="U128" s="37"/>
      <c r="V128" s="37"/>
      <c r="W128" s="37"/>
      <c r="X128" s="37"/>
      <c r="Y128" s="37"/>
      <c r="Z128" s="37"/>
      <c r="AA128" s="37">
        <f t="shared" si="11"/>
        <v>0</v>
      </c>
      <c r="AB128" s="37">
        <f t="shared" si="15"/>
        <v>0</v>
      </c>
    </row>
    <row r="129" spans="1:28" ht="14.4">
      <c r="A129" s="117">
        <v>11210111</v>
      </c>
      <c r="B129" s="117" t="s">
        <v>665</v>
      </c>
      <c r="C129" s="37">
        <f>+VLOOKUP(A129,Composición!C:G,5,FALSE)</f>
        <v>0</v>
      </c>
      <c r="D129" s="37"/>
      <c r="E129" s="37"/>
      <c r="F129" s="37">
        <f>+VLOOKUP(A129,Composición!C:J,8,FALSE)</f>
        <v>0</v>
      </c>
      <c r="G129" s="37">
        <f t="shared" si="12"/>
        <v>0</v>
      </c>
      <c r="H129" s="37"/>
      <c r="I129" s="37"/>
      <c r="J129" s="37"/>
      <c r="K129" s="37"/>
      <c r="L129" s="37"/>
      <c r="M129" s="37"/>
      <c r="N129" s="37"/>
      <c r="O129" s="37"/>
      <c r="P129" s="37"/>
      <c r="Q129" s="37"/>
      <c r="R129" s="37"/>
      <c r="S129" s="37"/>
      <c r="T129" s="37"/>
      <c r="U129" s="37"/>
      <c r="V129" s="37"/>
      <c r="W129" s="37"/>
      <c r="X129" s="37"/>
      <c r="Y129" s="37"/>
      <c r="Z129" s="37"/>
      <c r="AA129" s="37">
        <f t="shared" si="11"/>
        <v>0</v>
      </c>
      <c r="AB129" s="37">
        <f t="shared" si="15"/>
        <v>0</v>
      </c>
    </row>
    <row r="130" spans="1:28" ht="14.4">
      <c r="A130" s="117">
        <v>1121011101</v>
      </c>
      <c r="B130" s="117" t="s">
        <v>666</v>
      </c>
      <c r="C130" s="37">
        <f>+VLOOKUP(A130,Composición!C:G,5,FALSE)</f>
        <v>0</v>
      </c>
      <c r="D130" s="37"/>
      <c r="E130" s="37"/>
      <c r="F130" s="37">
        <f>+VLOOKUP(A130,Composición!C:J,8,FALSE)</f>
        <v>0</v>
      </c>
      <c r="G130" s="37">
        <f t="shared" si="12"/>
        <v>0</v>
      </c>
      <c r="H130" s="37"/>
      <c r="I130" s="37"/>
      <c r="J130" s="37"/>
      <c r="K130" s="37"/>
      <c r="L130" s="37"/>
      <c r="M130" s="37"/>
      <c r="N130" s="37"/>
      <c r="O130" s="37"/>
      <c r="P130" s="37"/>
      <c r="Q130" s="37"/>
      <c r="R130" s="37"/>
      <c r="S130" s="37"/>
      <c r="T130" s="37"/>
      <c r="U130" s="37"/>
      <c r="V130" s="37"/>
      <c r="W130" s="37"/>
      <c r="X130" s="37"/>
      <c r="Y130" s="37"/>
      <c r="Z130" s="37"/>
      <c r="AA130" s="37">
        <f t="shared" si="11"/>
        <v>0</v>
      </c>
      <c r="AB130" s="37">
        <f t="shared" si="15"/>
        <v>0</v>
      </c>
    </row>
    <row r="131" spans="1:28" ht="14.4">
      <c r="A131" s="117">
        <v>1121011102</v>
      </c>
      <c r="B131" s="117" t="s">
        <v>667</v>
      </c>
      <c r="C131" s="37">
        <f>+VLOOKUP(A131,Composición!C:G,5,FALSE)</f>
        <v>0</v>
      </c>
      <c r="D131" s="37"/>
      <c r="E131" s="37"/>
      <c r="F131" s="37">
        <f>+VLOOKUP(A131,Composición!C:J,8,FALSE)</f>
        <v>0</v>
      </c>
      <c r="G131" s="37">
        <f t="shared" si="12"/>
        <v>0</v>
      </c>
      <c r="H131" s="37"/>
      <c r="I131" s="37"/>
      <c r="J131" s="37"/>
      <c r="K131" s="37"/>
      <c r="L131" s="37"/>
      <c r="M131" s="37"/>
      <c r="N131" s="37"/>
      <c r="O131" s="37"/>
      <c r="P131" s="37"/>
      <c r="Q131" s="37"/>
      <c r="R131" s="37"/>
      <c r="S131" s="37"/>
      <c r="T131" s="37"/>
      <c r="U131" s="37"/>
      <c r="V131" s="37"/>
      <c r="W131" s="37"/>
      <c r="X131" s="37"/>
      <c r="Y131" s="37"/>
      <c r="Z131" s="37"/>
      <c r="AA131" s="37">
        <f t="shared" si="11"/>
        <v>0</v>
      </c>
      <c r="AB131" s="37">
        <f t="shared" si="15"/>
        <v>0</v>
      </c>
    </row>
    <row r="132" spans="1:28" ht="14.4">
      <c r="A132" s="117">
        <v>1121011103</v>
      </c>
      <c r="B132" s="117" t="s">
        <v>668</v>
      </c>
      <c r="C132" s="37">
        <f>+VLOOKUP(A132,Composición!C:G,5,FALSE)</f>
        <v>0</v>
      </c>
      <c r="D132" s="37"/>
      <c r="E132" s="37"/>
      <c r="F132" s="37">
        <f>+VLOOKUP(A132,Composición!C:J,8,FALSE)</f>
        <v>0</v>
      </c>
      <c r="G132" s="37">
        <f t="shared" si="12"/>
        <v>0</v>
      </c>
      <c r="H132" s="37"/>
      <c r="I132" s="37"/>
      <c r="J132" s="37"/>
      <c r="K132" s="37"/>
      <c r="L132" s="37"/>
      <c r="M132" s="37"/>
      <c r="N132" s="37"/>
      <c r="O132" s="37"/>
      <c r="P132" s="37"/>
      <c r="Q132" s="37"/>
      <c r="R132" s="37"/>
      <c r="S132" s="37"/>
      <c r="T132" s="37"/>
      <c r="U132" s="37"/>
      <c r="V132" s="37"/>
      <c r="W132" s="37"/>
      <c r="X132" s="37"/>
      <c r="Y132" s="37"/>
      <c r="Z132" s="37"/>
      <c r="AA132" s="37">
        <f t="shared" si="11"/>
        <v>0</v>
      </c>
      <c r="AB132" s="37">
        <f t="shared" si="15"/>
        <v>0</v>
      </c>
    </row>
    <row r="133" spans="1:28" ht="14.4">
      <c r="A133" s="117">
        <v>11211</v>
      </c>
      <c r="B133" s="117" t="s">
        <v>40</v>
      </c>
      <c r="C133" s="37">
        <f>+VLOOKUP(A133,Composición!C:G,5,FALSE)</f>
        <v>0</v>
      </c>
      <c r="D133" s="37"/>
      <c r="E133" s="37"/>
      <c r="F133" s="37">
        <f>+VLOOKUP(A133,Composición!C:J,8,FALSE)</f>
        <v>0</v>
      </c>
      <c r="G133" s="37">
        <f t="shared" si="12"/>
        <v>0</v>
      </c>
      <c r="H133" s="37"/>
      <c r="I133" s="37"/>
      <c r="J133" s="37"/>
      <c r="K133" s="37"/>
      <c r="L133" s="37"/>
      <c r="M133" s="37"/>
      <c r="N133" s="37"/>
      <c r="O133" s="37"/>
      <c r="P133" s="37"/>
      <c r="Q133" s="37"/>
      <c r="R133" s="37"/>
      <c r="S133" s="37"/>
      <c r="T133" s="37"/>
      <c r="U133" s="37"/>
      <c r="V133" s="37"/>
      <c r="W133" s="37"/>
      <c r="X133" s="37"/>
      <c r="Y133" s="37"/>
      <c r="Z133" s="37"/>
      <c r="AA133" s="37">
        <f t="shared" si="11"/>
        <v>0</v>
      </c>
      <c r="AB133" s="37">
        <f t="shared" si="15"/>
        <v>0</v>
      </c>
    </row>
    <row r="134" spans="1:28" ht="14.4">
      <c r="A134" s="117">
        <v>112111</v>
      </c>
      <c r="B134" s="117" t="s">
        <v>40</v>
      </c>
      <c r="C134" s="37">
        <f>+VLOOKUP(A134,Composición!C:G,5,FALSE)</f>
        <v>0</v>
      </c>
      <c r="D134" s="37"/>
      <c r="E134" s="37"/>
      <c r="F134" s="37">
        <f>+VLOOKUP(A134,Composición!C:J,8,FALSE)</f>
        <v>0</v>
      </c>
      <c r="G134" s="37">
        <f t="shared" si="12"/>
        <v>0</v>
      </c>
      <c r="H134" s="37"/>
      <c r="I134" s="37"/>
      <c r="J134" s="37"/>
      <c r="K134" s="37"/>
      <c r="L134" s="37"/>
      <c r="M134" s="37"/>
      <c r="N134" s="37"/>
      <c r="O134" s="37"/>
      <c r="P134" s="37"/>
      <c r="Q134" s="37"/>
      <c r="R134" s="37"/>
      <c r="S134" s="37"/>
      <c r="T134" s="37"/>
      <c r="U134" s="37"/>
      <c r="V134" s="37"/>
      <c r="W134" s="37"/>
      <c r="X134" s="37"/>
      <c r="Y134" s="37"/>
      <c r="Z134" s="37"/>
      <c r="AA134" s="37">
        <f t="shared" si="11"/>
        <v>0</v>
      </c>
      <c r="AB134" s="37">
        <f t="shared" si="15"/>
        <v>0</v>
      </c>
    </row>
    <row r="135" spans="1:28" ht="14.4">
      <c r="A135" s="117">
        <v>1121111</v>
      </c>
      <c r="B135" s="117" t="s">
        <v>40</v>
      </c>
      <c r="C135" s="37">
        <f>+VLOOKUP(A135,Composición!C:G,5,FALSE)</f>
        <v>0</v>
      </c>
      <c r="D135" s="37"/>
      <c r="E135" s="37"/>
      <c r="F135" s="37">
        <f>+VLOOKUP(A135,Composición!C:J,8,FALSE)</f>
        <v>0</v>
      </c>
      <c r="G135" s="37">
        <f t="shared" si="12"/>
        <v>0</v>
      </c>
      <c r="H135" s="37"/>
      <c r="I135" s="37"/>
      <c r="J135" s="37"/>
      <c r="K135" s="37"/>
      <c r="L135" s="37"/>
      <c r="M135" s="37"/>
      <c r="N135" s="37"/>
      <c r="O135" s="37"/>
      <c r="P135" s="37"/>
      <c r="Q135" s="37"/>
      <c r="R135" s="37"/>
      <c r="S135" s="37"/>
      <c r="T135" s="37"/>
      <c r="U135" s="37"/>
      <c r="V135" s="37"/>
      <c r="W135" s="37"/>
      <c r="X135" s="37"/>
      <c r="Y135" s="37"/>
      <c r="Z135" s="37"/>
      <c r="AA135" s="37">
        <f t="shared" si="11"/>
        <v>0</v>
      </c>
      <c r="AB135" s="37">
        <f t="shared" si="15"/>
        <v>0</v>
      </c>
    </row>
    <row r="136" spans="1:28" ht="14.4">
      <c r="A136" s="117">
        <v>11211111</v>
      </c>
      <c r="B136" s="117" t="s">
        <v>40</v>
      </c>
      <c r="C136" s="37">
        <f>+VLOOKUP(A136,Composición!C:G,5,FALSE)</f>
        <v>0</v>
      </c>
      <c r="D136" s="37"/>
      <c r="E136" s="37"/>
      <c r="F136" s="37">
        <f>+VLOOKUP(A136,Composición!C:J,8,FALSE)</f>
        <v>0</v>
      </c>
      <c r="G136" s="37">
        <f t="shared" si="12"/>
        <v>0</v>
      </c>
      <c r="H136" s="37"/>
      <c r="I136" s="37"/>
      <c r="J136" s="37"/>
      <c r="K136" s="37"/>
      <c r="L136" s="37"/>
      <c r="M136" s="37">
        <f>-G136</f>
        <v>0</v>
      </c>
      <c r="N136" s="37"/>
      <c r="O136" s="37"/>
      <c r="P136" s="37"/>
      <c r="Q136" s="37"/>
      <c r="R136" s="37"/>
      <c r="S136" s="37"/>
      <c r="T136" s="37"/>
      <c r="U136" s="37"/>
      <c r="V136" s="37"/>
      <c r="W136" s="37"/>
      <c r="X136" s="37"/>
      <c r="Y136" s="37"/>
      <c r="Z136" s="37"/>
      <c r="AA136" s="37">
        <f t="shared" si="11"/>
        <v>0</v>
      </c>
      <c r="AB136" s="37">
        <f t="shared" si="15"/>
        <v>0</v>
      </c>
    </row>
    <row r="137" spans="1:28" ht="14.4">
      <c r="A137" s="117">
        <v>1121111101</v>
      </c>
      <c r="B137" s="117" t="s">
        <v>41</v>
      </c>
      <c r="C137" s="37">
        <f>+VLOOKUP(A137,Composición!C:G,5,FALSE)</f>
        <v>149724020</v>
      </c>
      <c r="D137" s="37"/>
      <c r="E137" s="37"/>
      <c r="F137" s="37">
        <f>+VLOOKUP(A137,Composición!C:J,8,FALSE)</f>
        <v>21303988</v>
      </c>
      <c r="G137" s="37">
        <f>C137+D137-E137-F137</f>
        <v>128420032</v>
      </c>
      <c r="H137" s="37"/>
      <c r="I137" s="37"/>
      <c r="J137" s="37"/>
      <c r="K137" s="37"/>
      <c r="L137" s="37">
        <f>-G137</f>
        <v>-128420032</v>
      </c>
      <c r="M137" s="37"/>
      <c r="N137" s="37"/>
      <c r="O137" s="37"/>
      <c r="P137" s="37"/>
      <c r="Q137" s="37"/>
      <c r="R137" s="37"/>
      <c r="S137" s="37"/>
      <c r="T137" s="37"/>
      <c r="U137" s="37"/>
      <c r="V137" s="37"/>
      <c r="W137" s="37"/>
      <c r="X137" s="37"/>
      <c r="Y137" s="37"/>
      <c r="Z137" s="37"/>
      <c r="AA137" s="37">
        <f t="shared" si="11"/>
        <v>0</v>
      </c>
      <c r="AB137" s="37">
        <f t="shared" si="15"/>
        <v>0</v>
      </c>
    </row>
    <row r="138" spans="1:28" ht="14.4">
      <c r="A138" s="117">
        <v>1121111102</v>
      </c>
      <c r="B138" s="117" t="s">
        <v>669</v>
      </c>
      <c r="C138" s="37">
        <f>+VLOOKUP(A138,Composición!C:G,5,FALSE)</f>
        <v>0</v>
      </c>
      <c r="D138" s="37"/>
      <c r="E138" s="37"/>
      <c r="F138" s="37">
        <f>+VLOOKUP(A138,Composición!C:J,8,FALSE)</f>
        <v>0</v>
      </c>
      <c r="G138" s="37">
        <f t="shared" si="12"/>
        <v>0</v>
      </c>
      <c r="H138" s="37"/>
      <c r="I138" s="37"/>
      <c r="J138" s="37"/>
      <c r="K138" s="37"/>
      <c r="L138" s="37">
        <f>-G138</f>
        <v>0</v>
      </c>
      <c r="M138" s="37"/>
      <c r="N138" s="37"/>
      <c r="O138" s="37"/>
      <c r="P138" s="37"/>
      <c r="Q138" s="37"/>
      <c r="R138" s="37"/>
      <c r="S138" s="37"/>
      <c r="T138" s="37"/>
      <c r="U138" s="37"/>
      <c r="V138" s="37"/>
      <c r="W138" s="37"/>
      <c r="X138" s="37"/>
      <c r="Y138" s="37"/>
      <c r="Z138" s="37"/>
      <c r="AA138" s="37">
        <f t="shared" si="11"/>
        <v>0</v>
      </c>
      <c r="AB138" s="37">
        <f t="shared" si="15"/>
        <v>0</v>
      </c>
    </row>
    <row r="139" spans="1:28" ht="14.4">
      <c r="A139" s="117">
        <v>1121111103</v>
      </c>
      <c r="B139" s="117" t="s">
        <v>670</v>
      </c>
      <c r="C139" s="37">
        <f>+VLOOKUP(A139,Composición!C:G,5,FALSE)</f>
        <v>0</v>
      </c>
      <c r="D139" s="37"/>
      <c r="E139" s="37"/>
      <c r="F139" s="37">
        <f>+VLOOKUP(A139,Composición!C:J,8,FALSE)</f>
        <v>0</v>
      </c>
      <c r="G139" s="37">
        <f t="shared" si="12"/>
        <v>0</v>
      </c>
      <c r="H139" s="37"/>
      <c r="I139" s="37"/>
      <c r="J139" s="37"/>
      <c r="K139" s="37"/>
      <c r="L139" s="37">
        <f>-G139</f>
        <v>0</v>
      </c>
      <c r="M139" s="37"/>
      <c r="N139" s="37"/>
      <c r="O139" s="37"/>
      <c r="P139" s="37"/>
      <c r="Q139" s="37"/>
      <c r="R139" s="37"/>
      <c r="S139" s="37"/>
      <c r="T139" s="37"/>
      <c r="U139" s="37"/>
      <c r="V139" s="37"/>
      <c r="W139" s="37"/>
      <c r="X139" s="37"/>
      <c r="Y139" s="37"/>
      <c r="Z139" s="37"/>
      <c r="AA139" s="37">
        <f t="shared" si="11"/>
        <v>0</v>
      </c>
      <c r="AB139" s="37">
        <f t="shared" si="15"/>
        <v>0</v>
      </c>
    </row>
    <row r="140" spans="1:28" ht="14.4">
      <c r="A140" s="117">
        <v>1121111104</v>
      </c>
      <c r="B140" s="117" t="s">
        <v>671</v>
      </c>
      <c r="C140" s="37">
        <f>+VLOOKUP(A140,Composición!C:G,5,FALSE)</f>
        <v>0</v>
      </c>
      <c r="D140" s="37"/>
      <c r="E140" s="37"/>
      <c r="F140" s="37">
        <f>+VLOOKUP(A140,Composición!C:J,8,FALSE)</f>
        <v>0</v>
      </c>
      <c r="G140" s="37">
        <f t="shared" si="12"/>
        <v>0</v>
      </c>
      <c r="H140" s="37"/>
      <c r="I140" s="37"/>
      <c r="J140" s="37"/>
      <c r="K140" s="37"/>
      <c r="L140" s="37">
        <f>-G140</f>
        <v>0</v>
      </c>
      <c r="M140" s="37"/>
      <c r="N140" s="37"/>
      <c r="O140" s="37"/>
      <c r="P140" s="37"/>
      <c r="Q140" s="37"/>
      <c r="R140" s="37"/>
      <c r="S140" s="37"/>
      <c r="T140" s="37"/>
      <c r="U140" s="37"/>
      <c r="V140" s="37"/>
      <c r="W140" s="37"/>
      <c r="X140" s="37"/>
      <c r="Y140" s="37"/>
      <c r="Z140" s="37"/>
      <c r="AA140" s="37">
        <f t="shared" si="11"/>
        <v>0</v>
      </c>
      <c r="AB140" s="37">
        <f t="shared" si="15"/>
        <v>0</v>
      </c>
    </row>
    <row r="141" spans="1:28" ht="14.4">
      <c r="A141" s="117">
        <v>1121111105</v>
      </c>
      <c r="B141" s="117" t="s">
        <v>672</v>
      </c>
      <c r="C141" s="37">
        <f>+VLOOKUP(A141,Composición!C:G,5,FALSE)</f>
        <v>935203</v>
      </c>
      <c r="D141" s="37"/>
      <c r="E141" s="37"/>
      <c r="F141" s="37">
        <f>+VLOOKUP(A141,Composición!C:J,8,FALSE)</f>
        <v>0</v>
      </c>
      <c r="G141" s="37">
        <f t="shared" si="12"/>
        <v>935203</v>
      </c>
      <c r="H141" s="37"/>
      <c r="I141" s="37"/>
      <c r="J141" s="37"/>
      <c r="K141" s="37"/>
      <c r="L141" s="37">
        <f t="shared" ref="L141:L143" si="16">-G141</f>
        <v>-935203</v>
      </c>
      <c r="M141" s="37"/>
      <c r="N141" s="37"/>
      <c r="O141" s="37"/>
      <c r="P141" s="37"/>
      <c r="Q141" s="37"/>
      <c r="R141" s="37"/>
      <c r="S141" s="37"/>
      <c r="T141" s="37"/>
      <c r="U141" s="37"/>
      <c r="V141" s="37"/>
      <c r="W141" s="37"/>
      <c r="X141" s="37"/>
      <c r="Y141" s="37"/>
      <c r="Z141" s="37"/>
      <c r="AA141" s="37">
        <f t="shared" si="11"/>
        <v>0</v>
      </c>
      <c r="AB141" s="37">
        <f t="shared" si="15"/>
        <v>0</v>
      </c>
    </row>
    <row r="142" spans="1:28" ht="14.4">
      <c r="A142" s="117">
        <v>1121111106</v>
      </c>
      <c r="B142" s="117" t="s">
        <v>42</v>
      </c>
      <c r="C142" s="37">
        <f>+VLOOKUP(A142,Composición!C:G,5,FALSE)</f>
        <v>42164111</v>
      </c>
      <c r="D142" s="37"/>
      <c r="E142" s="37"/>
      <c r="F142" s="37">
        <f>+VLOOKUP(A142,Composición!C:J,8,FALSE)</f>
        <v>22831627</v>
      </c>
      <c r="G142" s="37">
        <f t="shared" si="12"/>
        <v>19332484</v>
      </c>
      <c r="H142" s="37"/>
      <c r="I142" s="37"/>
      <c r="J142" s="37"/>
      <c r="K142" s="37"/>
      <c r="L142" s="37">
        <f t="shared" si="16"/>
        <v>-19332484</v>
      </c>
      <c r="M142" s="37"/>
      <c r="N142" s="37"/>
      <c r="O142" s="37"/>
      <c r="P142" s="37"/>
      <c r="Q142" s="37"/>
      <c r="R142" s="37"/>
      <c r="S142" s="37"/>
      <c r="T142" s="37"/>
      <c r="U142" s="37"/>
      <c r="V142" s="37"/>
      <c r="W142" s="37"/>
      <c r="X142" s="37"/>
      <c r="Y142" s="37"/>
      <c r="Z142" s="37"/>
      <c r="AA142" s="37">
        <f t="shared" si="11"/>
        <v>0</v>
      </c>
      <c r="AB142" s="37">
        <f t="shared" si="15"/>
        <v>0</v>
      </c>
    </row>
    <row r="143" spans="1:28" ht="14.4">
      <c r="A143" s="836">
        <v>1121111107</v>
      </c>
      <c r="B143" s="836" t="s">
        <v>43</v>
      </c>
      <c r="C143" s="37">
        <f>+VLOOKUP(A143,Composición!C:G,5,FALSE)</f>
        <v>158084683</v>
      </c>
      <c r="D143" s="37"/>
      <c r="E143" s="37"/>
      <c r="F143" s="37">
        <f>+VLOOKUP(A143,Composición!C:J,8,FALSE)</f>
        <v>13655091</v>
      </c>
      <c r="G143" s="37">
        <f t="shared" si="12"/>
        <v>144429592</v>
      </c>
      <c r="H143" s="37"/>
      <c r="I143" s="37"/>
      <c r="J143" s="37"/>
      <c r="K143" s="37"/>
      <c r="L143" s="37">
        <f t="shared" si="16"/>
        <v>-144429592</v>
      </c>
      <c r="M143" s="37"/>
      <c r="N143" s="37"/>
      <c r="O143" s="37"/>
      <c r="P143" s="37"/>
      <c r="Q143" s="37"/>
      <c r="R143" s="37"/>
      <c r="S143" s="37"/>
      <c r="T143" s="37"/>
      <c r="U143" s="37"/>
      <c r="V143" s="37"/>
      <c r="W143" s="37"/>
      <c r="X143" s="37"/>
      <c r="Y143" s="37"/>
      <c r="Z143" s="37"/>
      <c r="AA143" s="37">
        <f t="shared" ref="AA143" si="17">SUM(G143:Z143)</f>
        <v>0</v>
      </c>
      <c r="AB143" s="37">
        <f t="shared" si="15"/>
        <v>0</v>
      </c>
    </row>
    <row r="144" spans="1:28" ht="14.4">
      <c r="A144" s="117">
        <v>11212</v>
      </c>
      <c r="B144" s="117" t="s">
        <v>44</v>
      </c>
      <c r="C144" s="37">
        <f>+VLOOKUP(A144,Composición!C:G,5,FALSE)</f>
        <v>0</v>
      </c>
      <c r="D144" s="37"/>
      <c r="E144" s="37"/>
      <c r="F144" s="37">
        <f>+VLOOKUP(A144,Composición!C:J,8,FALSE)</f>
        <v>0</v>
      </c>
      <c r="G144" s="37">
        <f t="shared" si="12"/>
        <v>0</v>
      </c>
      <c r="H144" s="37"/>
      <c r="I144" s="37"/>
      <c r="J144" s="37"/>
      <c r="K144" s="37"/>
      <c r="L144" s="37"/>
      <c r="M144" s="37"/>
      <c r="N144" s="37"/>
      <c r="O144" s="37"/>
      <c r="P144" s="37"/>
      <c r="Q144" s="37"/>
      <c r="R144" s="37"/>
      <c r="S144" s="37"/>
      <c r="T144" s="37"/>
      <c r="U144" s="37"/>
      <c r="V144" s="37"/>
      <c r="W144" s="37"/>
      <c r="X144" s="37"/>
      <c r="Y144" s="37"/>
      <c r="Z144" s="37"/>
      <c r="AA144" s="37">
        <f t="shared" si="11"/>
        <v>0</v>
      </c>
      <c r="AB144" s="37">
        <f t="shared" si="15"/>
        <v>0</v>
      </c>
    </row>
    <row r="145" spans="1:28" ht="14.4">
      <c r="A145" s="117">
        <v>112121</v>
      </c>
      <c r="B145" s="117" t="s">
        <v>44</v>
      </c>
      <c r="C145" s="37">
        <f>+VLOOKUP(A145,Composición!C:G,5,FALSE)</f>
        <v>0</v>
      </c>
      <c r="D145" s="37"/>
      <c r="E145" s="37"/>
      <c r="F145" s="37">
        <f>+VLOOKUP(A145,Composición!C:J,8,FALSE)</f>
        <v>0</v>
      </c>
      <c r="G145" s="37">
        <f t="shared" si="12"/>
        <v>0</v>
      </c>
      <c r="H145" s="37"/>
      <c r="I145" s="37"/>
      <c r="J145" s="37"/>
      <c r="K145" s="37"/>
      <c r="L145" s="37"/>
      <c r="M145" s="37"/>
      <c r="N145" s="37"/>
      <c r="O145" s="37"/>
      <c r="P145" s="37"/>
      <c r="Q145" s="37"/>
      <c r="R145" s="37"/>
      <c r="S145" s="37"/>
      <c r="T145" s="37"/>
      <c r="U145" s="37"/>
      <c r="V145" s="37"/>
      <c r="W145" s="37"/>
      <c r="X145" s="37"/>
      <c r="Y145" s="37"/>
      <c r="Z145" s="37"/>
      <c r="AA145" s="37">
        <f t="shared" si="11"/>
        <v>0</v>
      </c>
      <c r="AB145" s="37">
        <f t="shared" si="15"/>
        <v>0</v>
      </c>
    </row>
    <row r="146" spans="1:28" ht="14.4">
      <c r="A146" s="117">
        <v>1121211</v>
      </c>
      <c r="B146" s="117" t="s">
        <v>44</v>
      </c>
      <c r="C146" s="37">
        <f>+VLOOKUP(A146,Composición!C:G,5,FALSE)</f>
        <v>0</v>
      </c>
      <c r="D146" s="37"/>
      <c r="E146" s="37"/>
      <c r="F146" s="37">
        <f>+VLOOKUP(A146,Composición!C:J,8,FALSE)</f>
        <v>0</v>
      </c>
      <c r="G146" s="37">
        <f t="shared" si="12"/>
        <v>0</v>
      </c>
      <c r="H146" s="37"/>
      <c r="I146" s="37"/>
      <c r="J146" s="37"/>
      <c r="K146" s="37"/>
      <c r="L146" s="37"/>
      <c r="M146" s="37"/>
      <c r="N146" s="37"/>
      <c r="O146" s="37"/>
      <c r="P146" s="37"/>
      <c r="Q146" s="37"/>
      <c r="R146" s="37"/>
      <c r="S146" s="37"/>
      <c r="T146" s="37"/>
      <c r="U146" s="37"/>
      <c r="V146" s="37"/>
      <c r="W146" s="37"/>
      <c r="X146" s="37"/>
      <c r="Y146" s="37"/>
      <c r="Z146" s="37"/>
      <c r="AA146" s="37">
        <f t="shared" si="11"/>
        <v>0</v>
      </c>
      <c r="AB146" s="37">
        <f t="shared" si="15"/>
        <v>0</v>
      </c>
    </row>
    <row r="147" spans="1:28" ht="14.4">
      <c r="A147" s="117">
        <v>11212111</v>
      </c>
      <c r="B147" s="117" t="s">
        <v>45</v>
      </c>
      <c r="C147" s="37">
        <f>+VLOOKUP(A147,Composición!C:G,5,FALSE)</f>
        <v>0</v>
      </c>
      <c r="D147" s="37"/>
      <c r="E147" s="37"/>
      <c r="F147" s="37">
        <f>+VLOOKUP(A147,Composición!C:J,8,FALSE)</f>
        <v>0</v>
      </c>
      <c r="G147" s="37">
        <f t="shared" si="12"/>
        <v>0</v>
      </c>
      <c r="H147" s="37"/>
      <c r="I147" s="37"/>
      <c r="J147" s="37"/>
      <c r="K147" s="37"/>
      <c r="L147" s="37">
        <f>-G147</f>
        <v>0</v>
      </c>
      <c r="M147" s="37"/>
      <c r="N147" s="37"/>
      <c r="O147" s="37"/>
      <c r="P147" s="37"/>
      <c r="Q147" s="37"/>
      <c r="R147" s="37"/>
      <c r="S147" s="37"/>
      <c r="T147" s="37"/>
      <c r="U147" s="37"/>
      <c r="V147" s="37"/>
      <c r="W147" s="37"/>
      <c r="X147" s="37"/>
      <c r="Y147" s="37"/>
      <c r="Z147" s="37"/>
      <c r="AA147" s="37">
        <f t="shared" si="11"/>
        <v>0</v>
      </c>
      <c r="AB147" s="37">
        <f t="shared" si="15"/>
        <v>0</v>
      </c>
    </row>
    <row r="148" spans="1:28" ht="14.4">
      <c r="A148" s="117">
        <v>1121211101</v>
      </c>
      <c r="B148" s="117" t="s">
        <v>46</v>
      </c>
      <c r="C148" s="37">
        <f>+VLOOKUP(A148,Composición!C:G,5,FALSE)</f>
        <v>4744396</v>
      </c>
      <c r="D148" s="37"/>
      <c r="E148" s="37"/>
      <c r="F148" s="37">
        <f>+VLOOKUP(A148,Composición!C:J,8,FALSE)</f>
        <v>20000</v>
      </c>
      <c r="G148" s="37">
        <f t="shared" si="12"/>
        <v>4724396</v>
      </c>
      <c r="H148" s="37"/>
      <c r="I148" s="37"/>
      <c r="J148" s="37"/>
      <c r="K148" s="37"/>
      <c r="L148" s="37">
        <f>-G148</f>
        <v>-4724396</v>
      </c>
      <c r="M148" s="37"/>
      <c r="N148" s="37"/>
      <c r="O148" s="37"/>
      <c r="P148" s="37"/>
      <c r="Q148" s="37"/>
      <c r="R148" s="37"/>
      <c r="S148" s="37"/>
      <c r="T148" s="37"/>
      <c r="U148" s="37"/>
      <c r="V148" s="37"/>
      <c r="W148" s="37"/>
      <c r="X148" s="37"/>
      <c r="Y148" s="37"/>
      <c r="Z148" s="37"/>
      <c r="AA148" s="37">
        <f t="shared" si="11"/>
        <v>0</v>
      </c>
      <c r="AB148" s="37">
        <f t="shared" si="15"/>
        <v>0</v>
      </c>
    </row>
    <row r="149" spans="1:28" ht="14.4">
      <c r="A149" s="117">
        <v>1121211102</v>
      </c>
      <c r="B149" s="117" t="s">
        <v>47</v>
      </c>
      <c r="C149" s="37">
        <f>+VLOOKUP(A149,Composición!C:G,5,FALSE)</f>
        <v>14328455</v>
      </c>
      <c r="D149" s="37"/>
      <c r="E149" s="37"/>
      <c r="F149" s="37">
        <f>+VLOOKUP(A149,Composición!C:J,8,FALSE)</f>
        <v>23121712</v>
      </c>
      <c r="G149" s="37">
        <f t="shared" si="12"/>
        <v>-8793257</v>
      </c>
      <c r="H149" s="37"/>
      <c r="I149" s="37"/>
      <c r="J149" s="37"/>
      <c r="K149" s="37"/>
      <c r="L149" s="37">
        <f>-G149</f>
        <v>8793257</v>
      </c>
      <c r="M149" s="37"/>
      <c r="N149" s="37"/>
      <c r="O149" s="37"/>
      <c r="P149" s="37"/>
      <c r="Q149" s="37"/>
      <c r="R149" s="37"/>
      <c r="S149" s="37"/>
      <c r="T149" s="37"/>
      <c r="U149" s="37"/>
      <c r="V149" s="37"/>
      <c r="W149" s="37"/>
      <c r="X149" s="37"/>
      <c r="Y149" s="37"/>
      <c r="Z149" s="37"/>
      <c r="AA149" s="37">
        <f>SUM(G149:Z149)</f>
        <v>0</v>
      </c>
      <c r="AB149" s="37">
        <f t="shared" si="15"/>
        <v>0</v>
      </c>
    </row>
    <row r="150" spans="1:28" ht="14.4">
      <c r="A150" s="117">
        <v>11212112</v>
      </c>
      <c r="B150" s="117" t="s">
        <v>673</v>
      </c>
      <c r="C150" s="37">
        <f>+VLOOKUP(A150,Composición!C:G,5,FALSE)</f>
        <v>0</v>
      </c>
      <c r="D150" s="37"/>
      <c r="E150" s="37"/>
      <c r="F150" s="37">
        <f>+VLOOKUP(A150,Composición!C:J,8,FALSE)</f>
        <v>0</v>
      </c>
      <c r="G150" s="37">
        <f t="shared" si="12"/>
        <v>0</v>
      </c>
      <c r="H150" s="37"/>
      <c r="I150" s="37"/>
      <c r="J150" s="37"/>
      <c r="K150" s="37"/>
      <c r="L150" s="37"/>
      <c r="M150" s="37"/>
      <c r="N150" s="37"/>
      <c r="O150" s="37"/>
      <c r="P150" s="37"/>
      <c r="Q150" s="37"/>
      <c r="R150" s="37"/>
      <c r="S150" s="37"/>
      <c r="T150" s="37"/>
      <c r="U150" s="37"/>
      <c r="V150" s="37"/>
      <c r="W150" s="37"/>
      <c r="X150" s="37"/>
      <c r="Y150" s="37"/>
      <c r="Z150" s="37"/>
      <c r="AA150" s="37">
        <f t="shared" si="11"/>
        <v>0</v>
      </c>
      <c r="AB150" s="37">
        <f t="shared" si="15"/>
        <v>0</v>
      </c>
    </row>
    <row r="151" spans="1:28" ht="14.4">
      <c r="A151" s="117">
        <v>1121211201</v>
      </c>
      <c r="B151" s="117" t="s">
        <v>674</v>
      </c>
      <c r="C151" s="37">
        <f>+VLOOKUP(A151,Composición!C:G,5,FALSE)</f>
        <v>0</v>
      </c>
      <c r="D151" s="37"/>
      <c r="E151" s="37"/>
      <c r="F151" s="37">
        <f>+VLOOKUP(A151,Composición!C:J,8,FALSE)</f>
        <v>0</v>
      </c>
      <c r="G151" s="37">
        <f t="shared" si="12"/>
        <v>0</v>
      </c>
      <c r="H151" s="37"/>
      <c r="I151" s="37"/>
      <c r="J151" s="37"/>
      <c r="K151" s="37"/>
      <c r="L151" s="37"/>
      <c r="M151" s="37"/>
      <c r="N151" s="37"/>
      <c r="O151" s="37"/>
      <c r="P151" s="37"/>
      <c r="Q151" s="37"/>
      <c r="R151" s="37"/>
      <c r="S151" s="37"/>
      <c r="T151" s="37"/>
      <c r="U151" s="37"/>
      <c r="V151" s="37"/>
      <c r="W151" s="37"/>
      <c r="X151" s="37"/>
      <c r="Y151" s="37"/>
      <c r="Z151" s="37"/>
      <c r="AA151" s="37">
        <f t="shared" si="11"/>
        <v>0</v>
      </c>
      <c r="AB151" s="37">
        <f t="shared" si="15"/>
        <v>0</v>
      </c>
    </row>
    <row r="152" spans="1:28" ht="14.4">
      <c r="A152" s="117">
        <v>1121211202</v>
      </c>
      <c r="B152" s="117" t="s">
        <v>675</v>
      </c>
      <c r="C152" s="37">
        <f>+VLOOKUP(A152,Composición!C:G,5,FALSE)</f>
        <v>0</v>
      </c>
      <c r="D152" s="37"/>
      <c r="E152" s="37"/>
      <c r="F152" s="37">
        <f>+VLOOKUP(A152,Composición!C:J,8,FALSE)</f>
        <v>0</v>
      </c>
      <c r="G152" s="37">
        <f t="shared" si="12"/>
        <v>0</v>
      </c>
      <c r="H152" s="37"/>
      <c r="I152" s="37"/>
      <c r="J152" s="37"/>
      <c r="K152" s="37"/>
      <c r="L152" s="37"/>
      <c r="M152" s="37"/>
      <c r="N152" s="37"/>
      <c r="O152" s="37"/>
      <c r="P152" s="37"/>
      <c r="Q152" s="37"/>
      <c r="R152" s="37"/>
      <c r="S152" s="37"/>
      <c r="T152" s="37"/>
      <c r="U152" s="37"/>
      <c r="V152" s="37"/>
      <c r="W152" s="37"/>
      <c r="X152" s="37"/>
      <c r="Y152" s="37"/>
      <c r="Z152" s="37"/>
      <c r="AA152" s="37">
        <f t="shared" si="11"/>
        <v>0</v>
      </c>
      <c r="AB152" s="37">
        <f t="shared" si="15"/>
        <v>0</v>
      </c>
    </row>
    <row r="153" spans="1:28" ht="14.4">
      <c r="A153" s="117">
        <v>11250</v>
      </c>
      <c r="B153" s="117" t="s">
        <v>676</v>
      </c>
      <c r="C153" s="37">
        <f>+VLOOKUP(A153,Composición!C:G,5,FALSE)</f>
        <v>0</v>
      </c>
      <c r="D153" s="37"/>
      <c r="E153" s="37"/>
      <c r="F153" s="37">
        <f>+VLOOKUP(A153,Composición!C:J,8,FALSE)</f>
        <v>0</v>
      </c>
      <c r="G153" s="37">
        <f t="shared" si="12"/>
        <v>0</v>
      </c>
      <c r="H153" s="37"/>
      <c r="I153" s="37"/>
      <c r="J153" s="37"/>
      <c r="K153" s="37"/>
      <c r="L153" s="37"/>
      <c r="M153" s="37"/>
      <c r="N153" s="37"/>
      <c r="O153" s="37"/>
      <c r="P153" s="37"/>
      <c r="Q153" s="37"/>
      <c r="R153" s="37"/>
      <c r="S153" s="37"/>
      <c r="T153" s="37"/>
      <c r="U153" s="37"/>
      <c r="V153" s="37"/>
      <c r="W153" s="37"/>
      <c r="X153" s="37"/>
      <c r="Y153" s="37"/>
      <c r="Z153" s="37"/>
      <c r="AA153" s="37">
        <f t="shared" si="11"/>
        <v>0</v>
      </c>
      <c r="AB153" s="37">
        <f t="shared" si="15"/>
        <v>0</v>
      </c>
    </row>
    <row r="154" spans="1:28" ht="14.4">
      <c r="A154" s="117">
        <v>112501</v>
      </c>
      <c r="B154" s="117" t="s">
        <v>677</v>
      </c>
      <c r="C154" s="37">
        <f>+VLOOKUP(A154,Composición!C:G,5,FALSE)</f>
        <v>0</v>
      </c>
      <c r="D154" s="37"/>
      <c r="E154" s="37"/>
      <c r="F154" s="37">
        <f>+VLOOKUP(A154,Composición!C:J,8,FALSE)</f>
        <v>0</v>
      </c>
      <c r="G154" s="37">
        <f t="shared" si="12"/>
        <v>0</v>
      </c>
      <c r="H154" s="37"/>
      <c r="I154" s="37"/>
      <c r="J154" s="37"/>
      <c r="K154" s="37"/>
      <c r="L154" s="37"/>
      <c r="M154" s="37"/>
      <c r="N154" s="37"/>
      <c r="O154" s="37"/>
      <c r="P154" s="37"/>
      <c r="Q154" s="37"/>
      <c r="R154" s="37"/>
      <c r="S154" s="37"/>
      <c r="T154" s="37"/>
      <c r="U154" s="37"/>
      <c r="V154" s="37"/>
      <c r="W154" s="37"/>
      <c r="X154" s="37"/>
      <c r="Y154" s="37"/>
      <c r="Z154" s="37"/>
      <c r="AA154" s="37">
        <f t="shared" si="11"/>
        <v>0</v>
      </c>
      <c r="AB154" s="37">
        <f t="shared" si="15"/>
        <v>0</v>
      </c>
    </row>
    <row r="155" spans="1:28" ht="14.4">
      <c r="A155" s="117">
        <v>1125011</v>
      </c>
      <c r="B155" s="117" t="s">
        <v>677</v>
      </c>
      <c r="C155" s="37">
        <f>+VLOOKUP(A155,Composición!C:G,5,FALSE)</f>
        <v>0</v>
      </c>
      <c r="D155" s="37"/>
      <c r="E155" s="37"/>
      <c r="F155" s="37">
        <f>+VLOOKUP(A155,Composición!C:J,8,FALSE)</f>
        <v>0</v>
      </c>
      <c r="G155" s="37">
        <f t="shared" si="12"/>
        <v>0</v>
      </c>
      <c r="H155" s="37"/>
      <c r="I155" s="37"/>
      <c r="J155" s="37"/>
      <c r="K155" s="37"/>
      <c r="L155" s="37"/>
      <c r="M155" s="37"/>
      <c r="N155" s="37"/>
      <c r="O155" s="37"/>
      <c r="P155" s="37"/>
      <c r="Q155" s="37"/>
      <c r="R155" s="37"/>
      <c r="S155" s="37"/>
      <c r="T155" s="37"/>
      <c r="U155" s="37"/>
      <c r="V155" s="37"/>
      <c r="W155" s="37"/>
      <c r="X155" s="37"/>
      <c r="Y155" s="37"/>
      <c r="Z155" s="37"/>
      <c r="AA155" s="37">
        <f t="shared" si="11"/>
        <v>0</v>
      </c>
      <c r="AB155" s="37">
        <f t="shared" si="15"/>
        <v>0</v>
      </c>
    </row>
    <row r="156" spans="1:28" ht="14.4">
      <c r="A156" s="117">
        <v>11250111</v>
      </c>
      <c r="B156" s="117" t="s">
        <v>677</v>
      </c>
      <c r="C156" s="37">
        <f>+VLOOKUP(A156,Composición!C:G,5,FALSE)</f>
        <v>0</v>
      </c>
      <c r="D156" s="37"/>
      <c r="E156" s="37"/>
      <c r="F156" s="37">
        <f>+VLOOKUP(A156,Composición!C:J,8,FALSE)</f>
        <v>0</v>
      </c>
      <c r="G156" s="37">
        <f t="shared" si="12"/>
        <v>0</v>
      </c>
      <c r="H156" s="37"/>
      <c r="I156" s="37"/>
      <c r="J156" s="37"/>
      <c r="K156" s="37"/>
      <c r="L156" s="37"/>
      <c r="M156" s="37"/>
      <c r="N156" s="37"/>
      <c r="O156" s="37"/>
      <c r="P156" s="37"/>
      <c r="Q156" s="37"/>
      <c r="R156" s="37"/>
      <c r="S156" s="37"/>
      <c r="T156" s="37"/>
      <c r="U156" s="37"/>
      <c r="V156" s="37"/>
      <c r="W156" s="37"/>
      <c r="X156" s="37"/>
      <c r="Y156" s="37"/>
      <c r="Z156" s="37"/>
      <c r="AA156" s="37">
        <f t="shared" ref="AA156:AA218" si="18">SUM(G156:Z156)</f>
        <v>0</v>
      </c>
      <c r="AB156" s="37">
        <f t="shared" si="15"/>
        <v>0</v>
      </c>
    </row>
    <row r="157" spans="1:28" ht="14.4">
      <c r="A157" s="117">
        <v>1125011101</v>
      </c>
      <c r="B157" s="117" t="s">
        <v>678</v>
      </c>
      <c r="C157" s="37">
        <f>+VLOOKUP(A157,Composición!C:G,5,FALSE)</f>
        <v>0</v>
      </c>
      <c r="D157" s="37"/>
      <c r="E157" s="37"/>
      <c r="F157" s="37">
        <f>+VLOOKUP(A157,Composición!C:J,8,FALSE)</f>
        <v>0</v>
      </c>
      <c r="G157" s="37">
        <f t="shared" si="12"/>
        <v>0</v>
      </c>
      <c r="H157" s="37"/>
      <c r="I157" s="37"/>
      <c r="J157" s="37"/>
      <c r="K157" s="37"/>
      <c r="L157" s="37"/>
      <c r="M157" s="37"/>
      <c r="N157" s="37"/>
      <c r="O157" s="37"/>
      <c r="P157" s="37"/>
      <c r="Q157" s="37"/>
      <c r="R157" s="37"/>
      <c r="S157" s="37"/>
      <c r="T157" s="37"/>
      <c r="U157" s="37"/>
      <c r="V157" s="37"/>
      <c r="W157" s="37"/>
      <c r="X157" s="37"/>
      <c r="Y157" s="37"/>
      <c r="Z157" s="37"/>
      <c r="AA157" s="37">
        <f t="shared" si="18"/>
        <v>0</v>
      </c>
      <c r="AB157" s="37">
        <f t="shared" si="15"/>
        <v>0</v>
      </c>
    </row>
    <row r="158" spans="1:28" ht="14.4">
      <c r="A158" s="117">
        <v>1125011102</v>
      </c>
      <c r="B158" s="117" t="s">
        <v>679</v>
      </c>
      <c r="C158" s="37">
        <f>+VLOOKUP(A158,Composición!C:G,5,FALSE)</f>
        <v>0</v>
      </c>
      <c r="D158" s="37"/>
      <c r="E158" s="37"/>
      <c r="F158" s="37">
        <f>+VLOOKUP(A158,Composición!C:J,8,FALSE)</f>
        <v>0</v>
      </c>
      <c r="G158" s="37">
        <f t="shared" ref="G158:G220" si="19">C158+D158-E158-F158</f>
        <v>0</v>
      </c>
      <c r="H158" s="37"/>
      <c r="I158" s="37"/>
      <c r="J158" s="37"/>
      <c r="K158" s="37"/>
      <c r="L158" s="37"/>
      <c r="M158" s="37"/>
      <c r="N158" s="37"/>
      <c r="O158" s="37"/>
      <c r="P158" s="37"/>
      <c r="Q158" s="37"/>
      <c r="R158" s="37"/>
      <c r="S158" s="37"/>
      <c r="T158" s="37"/>
      <c r="U158" s="37"/>
      <c r="V158" s="37"/>
      <c r="W158" s="37"/>
      <c r="X158" s="37"/>
      <c r="Y158" s="37"/>
      <c r="Z158" s="37"/>
      <c r="AA158" s="37">
        <f t="shared" si="18"/>
        <v>0</v>
      </c>
      <c r="AB158" s="37">
        <f t="shared" si="15"/>
        <v>0</v>
      </c>
    </row>
    <row r="159" spans="1:28" ht="14.4">
      <c r="A159" s="117">
        <v>113</v>
      </c>
      <c r="B159" s="117" t="s">
        <v>680</v>
      </c>
      <c r="C159" s="37">
        <f>+VLOOKUP(A159,Composición!C:G,5,FALSE)</f>
        <v>0</v>
      </c>
      <c r="D159" s="37"/>
      <c r="E159" s="37"/>
      <c r="F159" s="37">
        <f>+VLOOKUP(A159,Composición!C:J,8,FALSE)</f>
        <v>0</v>
      </c>
      <c r="G159" s="37">
        <f t="shared" si="19"/>
        <v>0</v>
      </c>
      <c r="H159" s="37"/>
      <c r="I159" s="37"/>
      <c r="J159" s="37"/>
      <c r="K159" s="37"/>
      <c r="L159" s="37"/>
      <c r="M159" s="37"/>
      <c r="N159" s="37"/>
      <c r="O159" s="37"/>
      <c r="P159" s="37"/>
      <c r="Q159" s="37"/>
      <c r="R159" s="37"/>
      <c r="S159" s="37"/>
      <c r="T159" s="37"/>
      <c r="U159" s="37"/>
      <c r="V159" s="37"/>
      <c r="W159" s="37"/>
      <c r="X159" s="37"/>
      <c r="Y159" s="37"/>
      <c r="Z159" s="37"/>
      <c r="AA159" s="37">
        <f t="shared" si="18"/>
        <v>0</v>
      </c>
      <c r="AB159" s="37">
        <f t="shared" si="15"/>
        <v>0</v>
      </c>
    </row>
    <row r="160" spans="1:28" ht="14.4">
      <c r="A160" s="117">
        <v>11301</v>
      </c>
      <c r="B160" s="117" t="s">
        <v>27</v>
      </c>
      <c r="C160" s="37">
        <f>+VLOOKUP(A160,Composición!C:G,5,FALSE)</f>
        <v>0</v>
      </c>
      <c r="D160" s="37"/>
      <c r="E160" s="37"/>
      <c r="F160" s="37">
        <f>+VLOOKUP(A160,Composición!C:J,8,FALSE)</f>
        <v>0</v>
      </c>
      <c r="G160" s="37">
        <f t="shared" si="19"/>
        <v>0</v>
      </c>
      <c r="H160" s="37"/>
      <c r="I160" s="37"/>
      <c r="J160" s="37"/>
      <c r="K160" s="37"/>
      <c r="L160" s="37"/>
      <c r="M160" s="37"/>
      <c r="N160" s="37"/>
      <c r="O160" s="37"/>
      <c r="P160" s="37"/>
      <c r="Q160" s="37"/>
      <c r="R160" s="37"/>
      <c r="S160" s="37"/>
      <c r="T160" s="37"/>
      <c r="U160" s="37"/>
      <c r="V160" s="37"/>
      <c r="W160" s="37"/>
      <c r="X160" s="37"/>
      <c r="Y160" s="37"/>
      <c r="Z160" s="37"/>
      <c r="AA160" s="37">
        <f t="shared" si="18"/>
        <v>0</v>
      </c>
      <c r="AB160" s="37">
        <f t="shared" si="15"/>
        <v>0</v>
      </c>
    </row>
    <row r="161" spans="1:28" ht="14.4">
      <c r="A161" s="117">
        <v>113011</v>
      </c>
      <c r="B161" s="117" t="s">
        <v>28</v>
      </c>
      <c r="C161" s="37">
        <f>+VLOOKUP(A161,Composición!C:G,5,FALSE)</f>
        <v>0</v>
      </c>
      <c r="D161" s="37"/>
      <c r="E161" s="37"/>
      <c r="F161" s="37">
        <f>+VLOOKUP(A161,Composición!C:J,8,FALSE)</f>
        <v>0</v>
      </c>
      <c r="G161" s="37">
        <f t="shared" si="19"/>
        <v>0</v>
      </c>
      <c r="H161" s="37"/>
      <c r="I161" s="37"/>
      <c r="J161" s="37"/>
      <c r="K161" s="37"/>
      <c r="L161" s="37"/>
      <c r="M161" s="37"/>
      <c r="N161" s="37"/>
      <c r="O161" s="37"/>
      <c r="P161" s="37"/>
      <c r="Q161" s="37"/>
      <c r="R161" s="37"/>
      <c r="S161" s="37"/>
      <c r="T161" s="37"/>
      <c r="U161" s="37"/>
      <c r="V161" s="37"/>
      <c r="W161" s="37"/>
      <c r="X161" s="37"/>
      <c r="Y161" s="37"/>
      <c r="Z161" s="37"/>
      <c r="AA161" s="37">
        <f t="shared" si="18"/>
        <v>0</v>
      </c>
      <c r="AB161" s="37">
        <f t="shared" si="15"/>
        <v>0</v>
      </c>
    </row>
    <row r="162" spans="1:28" ht="14.4">
      <c r="A162" s="117">
        <v>1130111</v>
      </c>
      <c r="B162" s="117" t="s">
        <v>27</v>
      </c>
      <c r="C162" s="37">
        <f>+VLOOKUP(A162,Composición!C:G,5,FALSE)</f>
        <v>0</v>
      </c>
      <c r="D162" s="37"/>
      <c r="E162" s="37"/>
      <c r="F162" s="37">
        <f>+VLOOKUP(A162,Composición!C:J,8,FALSE)</f>
        <v>0</v>
      </c>
      <c r="G162" s="37">
        <f t="shared" si="19"/>
        <v>0</v>
      </c>
      <c r="H162" s="37"/>
      <c r="I162" s="37"/>
      <c r="J162" s="37"/>
      <c r="K162" s="37"/>
      <c r="L162" s="37"/>
      <c r="M162" s="37"/>
      <c r="N162" s="37"/>
      <c r="O162" s="37"/>
      <c r="P162" s="37"/>
      <c r="Q162" s="37"/>
      <c r="R162" s="37"/>
      <c r="S162" s="37"/>
      <c r="T162" s="37"/>
      <c r="U162" s="37"/>
      <c r="V162" s="37"/>
      <c r="W162" s="37"/>
      <c r="X162" s="37"/>
      <c r="Y162" s="37"/>
      <c r="Z162" s="37"/>
      <c r="AA162" s="37">
        <f t="shared" si="18"/>
        <v>0</v>
      </c>
      <c r="AB162" s="37">
        <f t="shared" si="15"/>
        <v>0</v>
      </c>
    </row>
    <row r="163" spans="1:28" ht="14.4">
      <c r="A163" s="117">
        <v>11301111</v>
      </c>
      <c r="B163" s="117" t="s">
        <v>27</v>
      </c>
      <c r="C163" s="37">
        <f>+VLOOKUP(A163,Composición!C:G,5,FALSE)</f>
        <v>0</v>
      </c>
      <c r="D163" s="37"/>
      <c r="E163" s="37"/>
      <c r="F163" s="37">
        <f>+VLOOKUP(A163,Composición!C:J,8,FALSE)</f>
        <v>0</v>
      </c>
      <c r="G163" s="37">
        <f t="shared" si="19"/>
        <v>0</v>
      </c>
      <c r="H163" s="37"/>
      <c r="I163" s="37"/>
      <c r="J163" s="37"/>
      <c r="K163" s="37"/>
      <c r="L163" s="37"/>
      <c r="M163" s="37"/>
      <c r="N163" s="37"/>
      <c r="O163" s="37"/>
      <c r="P163" s="37"/>
      <c r="Q163" s="37"/>
      <c r="R163" s="37"/>
      <c r="S163" s="37"/>
      <c r="T163" s="37"/>
      <c r="U163" s="37"/>
      <c r="V163" s="37"/>
      <c r="W163" s="37"/>
      <c r="X163" s="37"/>
      <c r="Y163" s="37"/>
      <c r="Z163" s="37"/>
      <c r="AA163" s="37">
        <f t="shared" si="18"/>
        <v>0</v>
      </c>
      <c r="AB163" s="37">
        <f t="shared" si="15"/>
        <v>0</v>
      </c>
    </row>
    <row r="164" spans="1:28" ht="14.4">
      <c r="A164" s="117">
        <v>1130111101</v>
      </c>
      <c r="B164" s="117" t="s">
        <v>30</v>
      </c>
      <c r="C164" s="37">
        <f>+VLOOKUP(A164,Composición!C:G,5,FALSE)</f>
        <v>0</v>
      </c>
      <c r="D164" s="37"/>
      <c r="E164" s="37"/>
      <c r="F164" s="37">
        <f>+VLOOKUP(A164,Composición!C:J,8,FALSE)</f>
        <v>0</v>
      </c>
      <c r="G164" s="37">
        <f t="shared" si="19"/>
        <v>0</v>
      </c>
      <c r="H164" s="37"/>
      <c r="I164" s="37"/>
      <c r="J164" s="37"/>
      <c r="K164" s="37"/>
      <c r="L164" s="37"/>
      <c r="M164" s="37"/>
      <c r="N164" s="37"/>
      <c r="O164" s="37"/>
      <c r="P164" s="37"/>
      <c r="Q164" s="37"/>
      <c r="R164" s="37"/>
      <c r="S164" s="37"/>
      <c r="T164" s="37"/>
      <c r="U164" s="37"/>
      <c r="V164" s="37"/>
      <c r="W164" s="37"/>
      <c r="X164" s="37"/>
      <c r="Y164" s="37"/>
      <c r="Z164" s="37"/>
      <c r="AA164" s="37">
        <f t="shared" si="18"/>
        <v>0</v>
      </c>
      <c r="AB164" s="37">
        <f t="shared" si="15"/>
        <v>0</v>
      </c>
    </row>
    <row r="165" spans="1:28" ht="14.4">
      <c r="A165" s="117">
        <v>11302</v>
      </c>
      <c r="B165" s="117" t="s">
        <v>681</v>
      </c>
      <c r="C165" s="37">
        <f>+VLOOKUP(A165,Composición!C:G,5,FALSE)</f>
        <v>0</v>
      </c>
      <c r="D165" s="37"/>
      <c r="E165" s="37"/>
      <c r="F165" s="37">
        <f>+VLOOKUP(A165,Composición!C:J,8,FALSE)</f>
        <v>0</v>
      </c>
      <c r="G165" s="37">
        <f t="shared" si="19"/>
        <v>0</v>
      </c>
      <c r="H165" s="37"/>
      <c r="I165" s="37"/>
      <c r="J165" s="37"/>
      <c r="K165" s="37"/>
      <c r="L165" s="37"/>
      <c r="M165" s="37"/>
      <c r="N165" s="37"/>
      <c r="O165" s="37"/>
      <c r="P165" s="37"/>
      <c r="Q165" s="37"/>
      <c r="R165" s="37"/>
      <c r="S165" s="37"/>
      <c r="T165" s="37"/>
      <c r="U165" s="37"/>
      <c r="V165" s="37"/>
      <c r="W165" s="37"/>
      <c r="X165" s="37"/>
      <c r="Y165" s="37"/>
      <c r="Z165" s="37"/>
      <c r="AA165" s="37">
        <f t="shared" si="18"/>
        <v>0</v>
      </c>
      <c r="AB165" s="37">
        <f t="shared" si="15"/>
        <v>0</v>
      </c>
    </row>
    <row r="166" spans="1:28" ht="14.4">
      <c r="A166" s="117">
        <v>113021</v>
      </c>
      <c r="B166" s="117" t="s">
        <v>682</v>
      </c>
      <c r="C166" s="37">
        <f>+VLOOKUP(A166,Composición!C:G,5,FALSE)</f>
        <v>0</v>
      </c>
      <c r="D166" s="37"/>
      <c r="E166" s="37"/>
      <c r="F166" s="37">
        <f>+VLOOKUP(A166,Composición!C:J,8,FALSE)</f>
        <v>0</v>
      </c>
      <c r="G166" s="37">
        <f t="shared" si="19"/>
        <v>0</v>
      </c>
      <c r="H166" s="37"/>
      <c r="I166" s="37"/>
      <c r="J166" s="37"/>
      <c r="K166" s="37"/>
      <c r="L166" s="37"/>
      <c r="M166" s="37"/>
      <c r="N166" s="37"/>
      <c r="O166" s="37"/>
      <c r="P166" s="37"/>
      <c r="Q166" s="37"/>
      <c r="R166" s="37"/>
      <c r="S166" s="37"/>
      <c r="T166" s="37"/>
      <c r="U166" s="37"/>
      <c r="V166" s="37"/>
      <c r="W166" s="37"/>
      <c r="X166" s="37"/>
      <c r="Y166" s="37"/>
      <c r="Z166" s="37"/>
      <c r="AA166" s="37">
        <f t="shared" si="18"/>
        <v>0</v>
      </c>
      <c r="AB166" s="37">
        <f t="shared" si="15"/>
        <v>0</v>
      </c>
    </row>
    <row r="167" spans="1:28" ht="14.4">
      <c r="A167" s="117">
        <v>1130211</v>
      </c>
      <c r="B167" s="117" t="s">
        <v>681</v>
      </c>
      <c r="C167" s="37">
        <f>+VLOOKUP(A167,Composición!C:G,5,FALSE)</f>
        <v>0</v>
      </c>
      <c r="D167" s="37"/>
      <c r="E167" s="37"/>
      <c r="F167" s="37">
        <f>+VLOOKUP(A167,Composición!C:J,8,FALSE)</f>
        <v>0</v>
      </c>
      <c r="G167" s="37">
        <f t="shared" si="19"/>
        <v>0</v>
      </c>
      <c r="H167" s="37"/>
      <c r="I167" s="37"/>
      <c r="J167" s="37"/>
      <c r="K167" s="37"/>
      <c r="L167" s="37"/>
      <c r="M167" s="37"/>
      <c r="N167" s="37"/>
      <c r="O167" s="37"/>
      <c r="P167" s="37"/>
      <c r="Q167" s="37"/>
      <c r="R167" s="37"/>
      <c r="S167" s="37"/>
      <c r="T167" s="37"/>
      <c r="U167" s="37"/>
      <c r="V167" s="37"/>
      <c r="W167" s="37"/>
      <c r="X167" s="37"/>
      <c r="Y167" s="37"/>
      <c r="Z167" s="37"/>
      <c r="AA167" s="37">
        <f t="shared" si="18"/>
        <v>0</v>
      </c>
      <c r="AB167" s="37">
        <f t="shared" si="15"/>
        <v>0</v>
      </c>
    </row>
    <row r="168" spans="1:28" ht="14.4">
      <c r="A168" s="117">
        <v>11302111</v>
      </c>
      <c r="B168" s="117" t="s">
        <v>645</v>
      </c>
      <c r="C168" s="37">
        <f>+VLOOKUP(A168,Composición!C:G,5,FALSE)</f>
        <v>0</v>
      </c>
      <c r="D168" s="37"/>
      <c r="E168" s="37"/>
      <c r="F168" s="37">
        <f>+VLOOKUP(A168,Composición!C:J,8,FALSE)</f>
        <v>0</v>
      </c>
      <c r="G168" s="37">
        <f t="shared" si="19"/>
        <v>0</v>
      </c>
      <c r="H168" s="37"/>
      <c r="I168" s="37"/>
      <c r="J168" s="37"/>
      <c r="K168" s="37"/>
      <c r="L168" s="37"/>
      <c r="M168" s="37"/>
      <c r="N168" s="37"/>
      <c r="O168" s="37"/>
      <c r="P168" s="37"/>
      <c r="Q168" s="37"/>
      <c r="R168" s="37"/>
      <c r="S168" s="37"/>
      <c r="T168" s="37"/>
      <c r="U168" s="37"/>
      <c r="V168" s="37"/>
      <c r="W168" s="37"/>
      <c r="X168" s="37"/>
      <c r="Y168" s="37"/>
      <c r="Z168" s="37"/>
      <c r="AA168" s="37">
        <f t="shared" si="18"/>
        <v>0</v>
      </c>
      <c r="AB168" s="37">
        <f t="shared" si="15"/>
        <v>0</v>
      </c>
    </row>
    <row r="169" spans="1:28" ht="14.4">
      <c r="A169" s="117">
        <v>1130211101</v>
      </c>
      <c r="B169" s="117" t="s">
        <v>646</v>
      </c>
      <c r="C169" s="37">
        <f>+VLOOKUP(A169,Composición!C:G,5,FALSE)</f>
        <v>0</v>
      </c>
      <c r="D169" s="37"/>
      <c r="E169" s="37"/>
      <c r="F169" s="37">
        <f>+VLOOKUP(A169,Composición!C:J,8,FALSE)</f>
        <v>0</v>
      </c>
      <c r="G169" s="37">
        <f t="shared" si="19"/>
        <v>0</v>
      </c>
      <c r="H169" s="37"/>
      <c r="I169" s="37"/>
      <c r="J169" s="37"/>
      <c r="K169" s="37"/>
      <c r="L169" s="37"/>
      <c r="M169" s="37"/>
      <c r="N169" s="37"/>
      <c r="O169" s="37"/>
      <c r="P169" s="37"/>
      <c r="Q169" s="37"/>
      <c r="R169" s="37"/>
      <c r="S169" s="37"/>
      <c r="T169" s="37"/>
      <c r="U169" s="37"/>
      <c r="V169" s="37"/>
      <c r="W169" s="37"/>
      <c r="X169" s="37"/>
      <c r="Y169" s="37"/>
      <c r="Z169" s="37"/>
      <c r="AA169" s="37">
        <f t="shared" si="18"/>
        <v>0</v>
      </c>
      <c r="AB169" s="37">
        <f t="shared" si="15"/>
        <v>0</v>
      </c>
    </row>
    <row r="170" spans="1:28" ht="14.4">
      <c r="A170" s="117">
        <v>1130211102</v>
      </c>
      <c r="B170" s="117" t="s">
        <v>647</v>
      </c>
      <c r="C170" s="37">
        <f>+VLOOKUP(A170,Composición!C:G,5,FALSE)</f>
        <v>0</v>
      </c>
      <c r="D170" s="37"/>
      <c r="E170" s="37"/>
      <c r="F170" s="37">
        <f>+VLOOKUP(A170,Composición!C:J,8,FALSE)</f>
        <v>0</v>
      </c>
      <c r="G170" s="37">
        <f t="shared" si="19"/>
        <v>0</v>
      </c>
      <c r="H170" s="37"/>
      <c r="I170" s="37"/>
      <c r="J170" s="37"/>
      <c r="K170" s="37"/>
      <c r="L170" s="37"/>
      <c r="M170" s="37"/>
      <c r="N170" s="37"/>
      <c r="O170" s="37"/>
      <c r="P170" s="37"/>
      <c r="Q170" s="37"/>
      <c r="R170" s="37"/>
      <c r="S170" s="37"/>
      <c r="T170" s="37"/>
      <c r="U170" s="37"/>
      <c r="V170" s="37"/>
      <c r="W170" s="37"/>
      <c r="X170" s="37"/>
      <c r="Y170" s="37"/>
      <c r="Z170" s="37"/>
      <c r="AA170" s="37">
        <f t="shared" si="18"/>
        <v>0</v>
      </c>
      <c r="AB170" s="37">
        <f t="shared" si="15"/>
        <v>0</v>
      </c>
    </row>
    <row r="171" spans="1:28" ht="14.4">
      <c r="A171" s="117">
        <v>1130211103</v>
      </c>
      <c r="B171" s="117" t="s">
        <v>648</v>
      </c>
      <c r="C171" s="37">
        <f>+VLOOKUP(A171,Composición!C:G,5,FALSE)</f>
        <v>0</v>
      </c>
      <c r="D171" s="37"/>
      <c r="E171" s="37"/>
      <c r="F171" s="37">
        <f>+VLOOKUP(A171,Composición!C:J,8,FALSE)</f>
        <v>0</v>
      </c>
      <c r="G171" s="37">
        <f t="shared" si="19"/>
        <v>0</v>
      </c>
      <c r="H171" s="37"/>
      <c r="I171" s="37"/>
      <c r="J171" s="37"/>
      <c r="K171" s="37"/>
      <c r="L171" s="37"/>
      <c r="M171" s="37"/>
      <c r="N171" s="37"/>
      <c r="O171" s="37"/>
      <c r="P171" s="37"/>
      <c r="Q171" s="37"/>
      <c r="R171" s="37"/>
      <c r="S171" s="37"/>
      <c r="T171" s="37"/>
      <c r="U171" s="37"/>
      <c r="V171" s="37"/>
      <c r="W171" s="37"/>
      <c r="X171" s="37"/>
      <c r="Y171" s="37"/>
      <c r="Z171" s="37"/>
      <c r="AA171" s="37">
        <f t="shared" si="18"/>
        <v>0</v>
      </c>
      <c r="AB171" s="37">
        <f t="shared" si="15"/>
        <v>0</v>
      </c>
    </row>
    <row r="172" spans="1:28" ht="14.4">
      <c r="A172" s="117">
        <v>1130211104</v>
      </c>
      <c r="B172" s="117" t="s">
        <v>649</v>
      </c>
      <c r="C172" s="37">
        <f>+VLOOKUP(A172,Composición!C:G,5,FALSE)</f>
        <v>0</v>
      </c>
      <c r="D172" s="37"/>
      <c r="E172" s="37"/>
      <c r="F172" s="37">
        <f>+VLOOKUP(A172,Composición!C:J,8,FALSE)</f>
        <v>0</v>
      </c>
      <c r="G172" s="37">
        <f t="shared" si="19"/>
        <v>0</v>
      </c>
      <c r="H172" s="37"/>
      <c r="I172" s="37"/>
      <c r="J172" s="37"/>
      <c r="K172" s="37"/>
      <c r="L172" s="37"/>
      <c r="M172" s="37"/>
      <c r="N172" s="37"/>
      <c r="O172" s="37"/>
      <c r="P172" s="37"/>
      <c r="Q172" s="37"/>
      <c r="R172" s="37"/>
      <c r="S172" s="37"/>
      <c r="T172" s="37"/>
      <c r="U172" s="37"/>
      <c r="V172" s="37"/>
      <c r="W172" s="37"/>
      <c r="X172" s="37"/>
      <c r="Y172" s="37"/>
      <c r="Z172" s="37"/>
      <c r="AA172" s="37">
        <f t="shared" si="18"/>
        <v>0</v>
      </c>
      <c r="AB172" s="37">
        <f t="shared" si="15"/>
        <v>0</v>
      </c>
    </row>
    <row r="173" spans="1:28" ht="14.4">
      <c r="A173" s="117">
        <v>11302112</v>
      </c>
      <c r="B173" s="117" t="s">
        <v>656</v>
      </c>
      <c r="C173" s="37">
        <f>+VLOOKUP(A173,Composición!C:G,5,FALSE)</f>
        <v>0</v>
      </c>
      <c r="D173" s="37"/>
      <c r="E173" s="37"/>
      <c r="F173" s="37">
        <f>+VLOOKUP(A173,Composición!C:J,8,FALSE)</f>
        <v>0</v>
      </c>
      <c r="G173" s="37">
        <f t="shared" si="19"/>
        <v>0</v>
      </c>
      <c r="H173" s="37"/>
      <c r="I173" s="37"/>
      <c r="J173" s="37"/>
      <c r="K173" s="37"/>
      <c r="L173" s="37"/>
      <c r="M173" s="37"/>
      <c r="N173" s="37"/>
      <c r="O173" s="37"/>
      <c r="P173" s="37"/>
      <c r="Q173" s="37"/>
      <c r="R173" s="37"/>
      <c r="S173" s="37"/>
      <c r="T173" s="37"/>
      <c r="U173" s="37"/>
      <c r="V173" s="37"/>
      <c r="W173" s="37"/>
      <c r="X173" s="37"/>
      <c r="Y173" s="37"/>
      <c r="Z173" s="37"/>
      <c r="AA173" s="37">
        <f t="shared" si="18"/>
        <v>0</v>
      </c>
      <c r="AB173" s="37">
        <f t="shared" si="15"/>
        <v>0</v>
      </c>
    </row>
    <row r="174" spans="1:28" ht="14.4">
      <c r="A174" s="117">
        <v>1130211201</v>
      </c>
      <c r="B174" s="117" t="s">
        <v>657</v>
      </c>
      <c r="C174" s="37">
        <f>+VLOOKUP(A174,Composición!C:G,5,FALSE)</f>
        <v>0</v>
      </c>
      <c r="D174" s="37"/>
      <c r="E174" s="37"/>
      <c r="F174" s="37">
        <f>+VLOOKUP(A174,Composición!C:J,8,FALSE)</f>
        <v>0</v>
      </c>
      <c r="G174" s="37">
        <f t="shared" si="19"/>
        <v>0</v>
      </c>
      <c r="H174" s="37"/>
      <c r="I174" s="37"/>
      <c r="J174" s="37"/>
      <c r="K174" s="37"/>
      <c r="L174" s="37"/>
      <c r="M174" s="37"/>
      <c r="N174" s="37"/>
      <c r="O174" s="37"/>
      <c r="P174" s="37"/>
      <c r="Q174" s="37"/>
      <c r="R174" s="37"/>
      <c r="S174" s="37"/>
      <c r="T174" s="37"/>
      <c r="U174" s="37"/>
      <c r="V174" s="37"/>
      <c r="W174" s="37"/>
      <c r="X174" s="37"/>
      <c r="Y174" s="37"/>
      <c r="Z174" s="37"/>
      <c r="AA174" s="37">
        <f t="shared" si="18"/>
        <v>0</v>
      </c>
      <c r="AB174" s="37">
        <f t="shared" si="15"/>
        <v>0</v>
      </c>
    </row>
    <row r="175" spans="1:28" ht="14.4">
      <c r="A175" s="117">
        <v>1130211202</v>
      </c>
      <c r="B175" s="117" t="s">
        <v>97</v>
      </c>
      <c r="C175" s="37">
        <f>+VLOOKUP(A175,Composición!C:G,5,FALSE)</f>
        <v>0</v>
      </c>
      <c r="D175" s="37"/>
      <c r="E175" s="37"/>
      <c r="F175" s="37">
        <f>+VLOOKUP(A175,Composición!C:J,8,FALSE)</f>
        <v>0</v>
      </c>
      <c r="G175" s="37">
        <f t="shared" si="19"/>
        <v>0</v>
      </c>
      <c r="H175" s="37"/>
      <c r="I175" s="37"/>
      <c r="J175" s="37"/>
      <c r="K175" s="37"/>
      <c r="L175" s="37"/>
      <c r="M175" s="37"/>
      <c r="N175" s="37"/>
      <c r="O175" s="37"/>
      <c r="P175" s="37"/>
      <c r="Q175" s="37"/>
      <c r="R175" s="37"/>
      <c r="S175" s="37"/>
      <c r="T175" s="37"/>
      <c r="U175" s="37"/>
      <c r="V175" s="37"/>
      <c r="W175" s="37"/>
      <c r="X175" s="37"/>
      <c r="Y175" s="37"/>
      <c r="Z175" s="37"/>
      <c r="AA175" s="37">
        <f t="shared" si="18"/>
        <v>0</v>
      </c>
      <c r="AB175" s="37">
        <f t="shared" si="15"/>
        <v>0</v>
      </c>
    </row>
    <row r="176" spans="1:28" ht="14.4">
      <c r="A176" s="117">
        <v>11303</v>
      </c>
      <c r="B176" s="117" t="s">
        <v>683</v>
      </c>
      <c r="C176" s="37">
        <f>+VLOOKUP(A176,Composición!C:G,5,FALSE)</f>
        <v>0</v>
      </c>
      <c r="D176" s="37"/>
      <c r="E176" s="37"/>
      <c r="F176" s="37">
        <f>+VLOOKUP(A176,Composición!C:J,8,FALSE)</f>
        <v>0</v>
      </c>
      <c r="G176" s="37">
        <f t="shared" si="19"/>
        <v>0</v>
      </c>
      <c r="H176" s="37"/>
      <c r="I176" s="37"/>
      <c r="J176" s="37"/>
      <c r="K176" s="37"/>
      <c r="L176" s="37"/>
      <c r="M176" s="37"/>
      <c r="N176" s="37"/>
      <c r="O176" s="37"/>
      <c r="P176" s="37"/>
      <c r="Q176" s="37"/>
      <c r="R176" s="37"/>
      <c r="S176" s="37"/>
      <c r="T176" s="37"/>
      <c r="U176" s="37"/>
      <c r="V176" s="37"/>
      <c r="W176" s="37"/>
      <c r="X176" s="37"/>
      <c r="Y176" s="37"/>
      <c r="Z176" s="37"/>
      <c r="AA176" s="37">
        <f t="shared" si="18"/>
        <v>0</v>
      </c>
      <c r="AB176" s="37">
        <f t="shared" si="15"/>
        <v>0</v>
      </c>
    </row>
    <row r="177" spans="1:28" ht="14.4">
      <c r="A177" s="117">
        <v>1130301</v>
      </c>
      <c r="B177" s="117" t="s">
        <v>35</v>
      </c>
      <c r="C177" s="37">
        <f>+VLOOKUP(A177,Composición!C:G,5,FALSE)</f>
        <v>0</v>
      </c>
      <c r="D177" s="37"/>
      <c r="E177" s="37"/>
      <c r="F177" s="37">
        <f>+VLOOKUP(A177,Composición!C:J,8,FALSE)</f>
        <v>0</v>
      </c>
      <c r="G177" s="37">
        <f t="shared" si="19"/>
        <v>0</v>
      </c>
      <c r="H177" s="37"/>
      <c r="I177" s="37"/>
      <c r="J177" s="37"/>
      <c r="K177" s="37"/>
      <c r="L177" s="37"/>
      <c r="M177" s="37"/>
      <c r="N177" s="37"/>
      <c r="O177" s="37"/>
      <c r="P177" s="37"/>
      <c r="Q177" s="37"/>
      <c r="R177" s="37"/>
      <c r="S177" s="37"/>
      <c r="T177" s="37"/>
      <c r="U177" s="37"/>
      <c r="V177" s="37"/>
      <c r="W177" s="37"/>
      <c r="X177" s="37"/>
      <c r="Y177" s="37"/>
      <c r="Z177" s="37"/>
      <c r="AA177" s="37">
        <f t="shared" si="18"/>
        <v>0</v>
      </c>
      <c r="AB177" s="37">
        <f t="shared" si="15"/>
        <v>0</v>
      </c>
    </row>
    <row r="178" spans="1:28" ht="14.4">
      <c r="A178" s="117">
        <v>11304</v>
      </c>
      <c r="B178" s="117" t="s">
        <v>663</v>
      </c>
      <c r="C178" s="37">
        <f>+VLOOKUP(A178,Composición!C:G,5,FALSE)</f>
        <v>0</v>
      </c>
      <c r="D178" s="37"/>
      <c r="E178" s="37"/>
      <c r="F178" s="37">
        <f>+VLOOKUP(A178,Composición!C:J,8,FALSE)</f>
        <v>0</v>
      </c>
      <c r="G178" s="37">
        <f t="shared" si="19"/>
        <v>0</v>
      </c>
      <c r="H178" s="37"/>
      <c r="I178" s="37"/>
      <c r="J178" s="37"/>
      <c r="K178" s="37"/>
      <c r="L178" s="37"/>
      <c r="M178" s="37"/>
      <c r="N178" s="37"/>
      <c r="O178" s="37"/>
      <c r="P178" s="37"/>
      <c r="Q178" s="37"/>
      <c r="R178" s="37"/>
      <c r="S178" s="37"/>
      <c r="T178" s="37"/>
      <c r="U178" s="37"/>
      <c r="V178" s="37"/>
      <c r="W178" s="37"/>
      <c r="X178" s="37"/>
      <c r="Y178" s="37"/>
      <c r="Z178" s="37"/>
      <c r="AA178" s="37">
        <f t="shared" si="18"/>
        <v>0</v>
      </c>
      <c r="AB178" s="37">
        <f t="shared" si="15"/>
        <v>0</v>
      </c>
    </row>
    <row r="179" spans="1:28" ht="14.4">
      <c r="A179" s="117">
        <v>11350</v>
      </c>
      <c r="B179" s="117" t="s">
        <v>677</v>
      </c>
      <c r="C179" s="37">
        <f>+VLOOKUP(A179,Composición!C:G,5,FALSE)</f>
        <v>0</v>
      </c>
      <c r="D179" s="37"/>
      <c r="E179" s="37"/>
      <c r="F179" s="37">
        <f>+VLOOKUP(A179,Composición!C:J,8,FALSE)</f>
        <v>0</v>
      </c>
      <c r="G179" s="37">
        <f t="shared" si="19"/>
        <v>0</v>
      </c>
      <c r="H179" s="37"/>
      <c r="I179" s="37"/>
      <c r="J179" s="37"/>
      <c r="K179" s="37"/>
      <c r="L179" s="37"/>
      <c r="M179" s="37"/>
      <c r="N179" s="37"/>
      <c r="O179" s="37"/>
      <c r="P179" s="37"/>
      <c r="Q179" s="37"/>
      <c r="R179" s="37"/>
      <c r="S179" s="37"/>
      <c r="T179" s="37"/>
      <c r="U179" s="37"/>
      <c r="V179" s="37"/>
      <c r="W179" s="37"/>
      <c r="X179" s="37"/>
      <c r="Y179" s="37"/>
      <c r="Z179" s="37"/>
      <c r="AA179" s="37">
        <f t="shared" si="18"/>
        <v>0</v>
      </c>
      <c r="AB179" s="37">
        <f t="shared" si="15"/>
        <v>0</v>
      </c>
    </row>
    <row r="180" spans="1:28" ht="14.4">
      <c r="A180" s="117">
        <v>1135001</v>
      </c>
      <c r="B180" s="117" t="s">
        <v>678</v>
      </c>
      <c r="C180" s="37">
        <f>+VLOOKUP(A180,Composición!C:G,5,FALSE)</f>
        <v>0</v>
      </c>
      <c r="D180" s="37"/>
      <c r="E180" s="37"/>
      <c r="F180" s="37">
        <f>+VLOOKUP(A180,Composición!C:J,8,FALSE)</f>
        <v>0</v>
      </c>
      <c r="G180" s="37">
        <f t="shared" si="19"/>
        <v>0</v>
      </c>
      <c r="H180" s="37"/>
      <c r="I180" s="37"/>
      <c r="J180" s="37"/>
      <c r="K180" s="37"/>
      <c r="L180" s="37"/>
      <c r="M180" s="37"/>
      <c r="N180" s="37"/>
      <c r="O180" s="37"/>
      <c r="P180" s="37"/>
      <c r="Q180" s="37"/>
      <c r="R180" s="37"/>
      <c r="S180" s="37"/>
      <c r="T180" s="37"/>
      <c r="U180" s="37"/>
      <c r="V180" s="37"/>
      <c r="W180" s="37"/>
      <c r="X180" s="37"/>
      <c r="Y180" s="37"/>
      <c r="Z180" s="37"/>
      <c r="AA180" s="37">
        <f t="shared" si="18"/>
        <v>0</v>
      </c>
      <c r="AB180" s="37">
        <f t="shared" si="15"/>
        <v>0</v>
      </c>
    </row>
    <row r="181" spans="1:28" ht="14.4">
      <c r="A181" s="117">
        <v>1135002</v>
      </c>
      <c r="B181" s="117" t="s">
        <v>679</v>
      </c>
      <c r="C181" s="37">
        <f>+VLOOKUP(A181,Composición!C:G,5,FALSE)</f>
        <v>0</v>
      </c>
      <c r="D181" s="37"/>
      <c r="E181" s="37"/>
      <c r="F181" s="37">
        <f>+VLOOKUP(A181,Composición!C:J,8,FALSE)</f>
        <v>0</v>
      </c>
      <c r="G181" s="37">
        <f t="shared" si="19"/>
        <v>0</v>
      </c>
      <c r="H181" s="37"/>
      <c r="I181" s="37"/>
      <c r="J181" s="37"/>
      <c r="K181" s="37"/>
      <c r="L181" s="37"/>
      <c r="M181" s="37"/>
      <c r="N181" s="37"/>
      <c r="O181" s="37"/>
      <c r="P181" s="37"/>
      <c r="Q181" s="37"/>
      <c r="R181" s="37"/>
      <c r="S181" s="37"/>
      <c r="T181" s="37"/>
      <c r="U181" s="37"/>
      <c r="V181" s="37"/>
      <c r="W181" s="37"/>
      <c r="X181" s="37"/>
      <c r="Y181" s="37"/>
      <c r="Z181" s="37"/>
      <c r="AA181" s="37">
        <f t="shared" si="18"/>
        <v>0</v>
      </c>
      <c r="AB181" s="37">
        <f t="shared" si="15"/>
        <v>0</v>
      </c>
    </row>
    <row r="182" spans="1:28" ht="14.4">
      <c r="A182" s="117">
        <v>114</v>
      </c>
      <c r="B182" s="117" t="s">
        <v>48</v>
      </c>
      <c r="C182" s="37">
        <f>+VLOOKUP(A182,Composición!C:G,5,FALSE)</f>
        <v>0</v>
      </c>
      <c r="D182" s="37"/>
      <c r="E182" s="37"/>
      <c r="F182" s="37">
        <f>+VLOOKUP(A182,Composición!C:J,8,FALSE)</f>
        <v>0</v>
      </c>
      <c r="G182" s="37">
        <f t="shared" si="19"/>
        <v>0</v>
      </c>
      <c r="H182" s="37"/>
      <c r="I182" s="37"/>
      <c r="J182" s="37"/>
      <c r="K182" s="37"/>
      <c r="L182" s="37"/>
      <c r="M182" s="37"/>
      <c r="N182" s="37"/>
      <c r="O182" s="37"/>
      <c r="P182" s="37"/>
      <c r="Q182" s="37"/>
      <c r="R182" s="37"/>
      <c r="S182" s="37"/>
      <c r="T182" s="37"/>
      <c r="U182" s="37"/>
      <c r="V182" s="37"/>
      <c r="W182" s="37"/>
      <c r="X182" s="37"/>
      <c r="Y182" s="37"/>
      <c r="Z182" s="37"/>
      <c r="AA182" s="37">
        <f t="shared" si="18"/>
        <v>0</v>
      </c>
      <c r="AB182" s="37">
        <f t="shared" si="15"/>
        <v>0</v>
      </c>
    </row>
    <row r="183" spans="1:28" ht="10.5" customHeight="1">
      <c r="A183" s="117">
        <v>11401</v>
      </c>
      <c r="B183" s="117" t="s">
        <v>49</v>
      </c>
      <c r="C183" s="37">
        <f>+VLOOKUP(A183,Composición!C:G,5,FALSE)</f>
        <v>0</v>
      </c>
      <c r="D183" s="37"/>
      <c r="E183" s="37"/>
      <c r="F183" s="37">
        <f>+VLOOKUP(A183,Composición!C:J,8,FALSE)</f>
        <v>0</v>
      </c>
      <c r="G183" s="37">
        <f t="shared" si="19"/>
        <v>0</v>
      </c>
      <c r="H183" s="37"/>
      <c r="I183" s="37"/>
      <c r="J183" s="37"/>
      <c r="K183" s="37"/>
      <c r="L183" s="37"/>
      <c r="M183" s="37"/>
      <c r="N183" s="37"/>
      <c r="O183" s="37"/>
      <c r="P183" s="37"/>
      <c r="Q183" s="37"/>
      <c r="R183" s="37"/>
      <c r="S183" s="37"/>
      <c r="T183" s="37"/>
      <c r="U183" s="37"/>
      <c r="V183" s="37"/>
      <c r="W183" s="37"/>
      <c r="X183" s="37"/>
      <c r="Y183" s="37"/>
      <c r="Z183" s="37"/>
      <c r="AA183" s="37">
        <f t="shared" si="18"/>
        <v>0</v>
      </c>
      <c r="AB183" s="37">
        <f t="shared" si="15"/>
        <v>0</v>
      </c>
    </row>
    <row r="184" spans="1:28" ht="14.4">
      <c r="A184" s="117">
        <v>114011</v>
      </c>
      <c r="B184" s="117" t="s">
        <v>50</v>
      </c>
      <c r="C184" s="37">
        <f>+VLOOKUP(A184,Composición!C:G,5,FALSE)</f>
        <v>0</v>
      </c>
      <c r="D184" s="37"/>
      <c r="E184" s="37"/>
      <c r="F184" s="37">
        <f>+VLOOKUP(A184,Composición!C:J,8,FALSE)</f>
        <v>0</v>
      </c>
      <c r="G184" s="37">
        <f t="shared" si="19"/>
        <v>0</v>
      </c>
      <c r="H184" s="37"/>
      <c r="I184" s="37"/>
      <c r="J184" s="37"/>
      <c r="K184" s="37"/>
      <c r="L184" s="37"/>
      <c r="M184" s="37"/>
      <c r="N184" s="37"/>
      <c r="O184" s="37"/>
      <c r="P184" s="37"/>
      <c r="Q184" s="37"/>
      <c r="R184" s="37"/>
      <c r="S184" s="37"/>
      <c r="T184" s="37"/>
      <c r="U184" s="37"/>
      <c r="V184" s="37"/>
      <c r="W184" s="37"/>
      <c r="X184" s="37"/>
      <c r="Y184" s="37"/>
      <c r="Z184" s="37"/>
      <c r="AA184" s="37">
        <f t="shared" si="18"/>
        <v>0</v>
      </c>
      <c r="AB184" s="37">
        <f t="shared" si="15"/>
        <v>0</v>
      </c>
    </row>
    <row r="185" spans="1:28" ht="14.4">
      <c r="A185" s="117">
        <v>1140111</v>
      </c>
      <c r="B185" s="117" t="s">
        <v>51</v>
      </c>
      <c r="C185" s="37">
        <f>+VLOOKUP(A185,Composición!C:G,5,FALSE)</f>
        <v>0</v>
      </c>
      <c r="D185" s="37"/>
      <c r="E185" s="37"/>
      <c r="F185" s="37">
        <f>+VLOOKUP(A185,Composición!C:J,8,FALSE)</f>
        <v>0</v>
      </c>
      <c r="G185" s="37">
        <f t="shared" si="19"/>
        <v>0</v>
      </c>
      <c r="H185" s="37"/>
      <c r="I185" s="37"/>
      <c r="J185" s="37"/>
      <c r="K185" s="37"/>
      <c r="L185" s="37"/>
      <c r="M185" s="37"/>
      <c r="N185" s="37"/>
      <c r="O185" s="37"/>
      <c r="P185" s="37"/>
      <c r="Q185" s="37"/>
      <c r="R185" s="37"/>
      <c r="S185" s="37"/>
      <c r="T185" s="37"/>
      <c r="U185" s="37"/>
      <c r="V185" s="37"/>
      <c r="W185" s="37"/>
      <c r="X185" s="37"/>
      <c r="Y185" s="37"/>
      <c r="Z185" s="37"/>
      <c r="AA185" s="37">
        <f t="shared" si="18"/>
        <v>0</v>
      </c>
      <c r="AB185" s="37">
        <f t="shared" si="15"/>
        <v>0</v>
      </c>
    </row>
    <row r="186" spans="1:28" ht="14.4">
      <c r="A186" s="117">
        <v>11401111</v>
      </c>
      <c r="B186" s="117" t="s">
        <v>52</v>
      </c>
      <c r="C186" s="37">
        <f>+VLOOKUP(A186,Composición!C:G,5,FALSE)</f>
        <v>0</v>
      </c>
      <c r="D186" s="37"/>
      <c r="E186" s="37"/>
      <c r="F186" s="37">
        <f>+VLOOKUP(A186,Composición!C:J,8,FALSE)</f>
        <v>0</v>
      </c>
      <c r="G186" s="37">
        <f t="shared" si="19"/>
        <v>0</v>
      </c>
      <c r="H186" s="37"/>
      <c r="I186" s="37"/>
      <c r="J186" s="37"/>
      <c r="K186" s="37"/>
      <c r="L186" s="37"/>
      <c r="M186" s="37"/>
      <c r="N186" s="37"/>
      <c r="O186" s="37"/>
      <c r="P186" s="37"/>
      <c r="Q186" s="37"/>
      <c r="R186" s="37"/>
      <c r="S186" s="37">
        <f>-G186</f>
        <v>0</v>
      </c>
      <c r="T186" s="37"/>
      <c r="U186" s="37"/>
      <c r="V186" s="37"/>
      <c r="W186" s="37"/>
      <c r="X186" s="37"/>
      <c r="Y186" s="37"/>
      <c r="Z186" s="37"/>
      <c r="AA186" s="37">
        <f t="shared" si="18"/>
        <v>0</v>
      </c>
      <c r="AB186" s="37">
        <f t="shared" si="15"/>
        <v>0</v>
      </c>
    </row>
    <row r="187" spans="1:28" ht="14.4">
      <c r="A187" s="117">
        <v>1140111101</v>
      </c>
      <c r="B187" s="117" t="s">
        <v>53</v>
      </c>
      <c r="C187" s="37">
        <f>+VLOOKUP(A187,Composición!C:G,5,FALSE)</f>
        <v>1249280000</v>
      </c>
      <c r="D187" s="37"/>
      <c r="E187" s="37"/>
      <c r="F187" s="37">
        <f>+VLOOKUP(A187,Composición!C:J,8,FALSE)</f>
        <v>3298357000</v>
      </c>
      <c r="G187" s="37">
        <f t="shared" si="19"/>
        <v>-2049077000</v>
      </c>
      <c r="H187" s="37"/>
      <c r="I187" s="37"/>
      <c r="J187" s="37"/>
      <c r="K187" s="37"/>
      <c r="L187" s="37"/>
      <c r="M187" s="37"/>
      <c r="N187" s="37"/>
      <c r="O187" s="37"/>
      <c r="P187" s="37"/>
      <c r="Q187" s="37"/>
      <c r="R187" s="37"/>
      <c r="S187" s="37">
        <f>-G187</f>
        <v>2049077000</v>
      </c>
      <c r="T187" s="37"/>
      <c r="U187" s="37"/>
      <c r="V187" s="37"/>
      <c r="W187" s="37"/>
      <c r="X187" s="37"/>
      <c r="Y187" s="37"/>
      <c r="Z187" s="37"/>
      <c r="AA187" s="37">
        <f t="shared" si="18"/>
        <v>0</v>
      </c>
      <c r="AB187" s="37">
        <f t="shared" si="15"/>
        <v>0</v>
      </c>
    </row>
    <row r="188" spans="1:28" ht="14.4">
      <c r="A188" s="117">
        <v>1140112</v>
      </c>
      <c r="B188" s="117" t="s">
        <v>61</v>
      </c>
      <c r="C188" s="37">
        <f>+VLOOKUP(A188,Composición!C:G,5,FALSE)</f>
        <v>0</v>
      </c>
      <c r="D188" s="37"/>
      <c r="E188" s="37"/>
      <c r="F188" s="37">
        <f>+VLOOKUP(A188,Composición!C:J,8,FALSE)</f>
        <v>0</v>
      </c>
      <c r="G188" s="37">
        <f t="shared" si="19"/>
        <v>0</v>
      </c>
      <c r="H188" s="37"/>
      <c r="I188" s="37"/>
      <c r="J188" s="37"/>
      <c r="K188" s="37"/>
      <c r="L188" s="37"/>
      <c r="M188" s="37"/>
      <c r="N188" s="37"/>
      <c r="O188" s="37"/>
      <c r="P188" s="37"/>
      <c r="Q188" s="37"/>
      <c r="R188" s="37"/>
      <c r="S188" s="37"/>
      <c r="T188" s="37"/>
      <c r="U188" s="37"/>
      <c r="V188" s="37"/>
      <c r="W188" s="37"/>
      <c r="X188" s="37"/>
      <c r="Y188" s="37"/>
      <c r="Z188" s="37"/>
      <c r="AA188" s="37">
        <f t="shared" si="18"/>
        <v>0</v>
      </c>
      <c r="AB188" s="37">
        <f t="shared" ref="AB188:AB251" si="20">SUM(G188:Z188)</f>
        <v>0</v>
      </c>
    </row>
    <row r="189" spans="1:28" ht="14.4">
      <c r="A189" s="117">
        <v>1140113</v>
      </c>
      <c r="B189" s="117" t="s">
        <v>67</v>
      </c>
      <c r="C189" s="37">
        <f>+VLOOKUP(A189,Composición!C:G,5,FALSE)</f>
        <v>0</v>
      </c>
      <c r="D189" s="37"/>
      <c r="E189" s="37"/>
      <c r="F189" s="37">
        <f>+VLOOKUP(A189,Composición!C:J,8,FALSE)</f>
        <v>0</v>
      </c>
      <c r="G189" s="37">
        <f t="shared" si="19"/>
        <v>0</v>
      </c>
      <c r="H189" s="37"/>
      <c r="I189" s="37"/>
      <c r="J189" s="37"/>
      <c r="K189" s="37"/>
      <c r="L189" s="37"/>
      <c r="M189" s="37"/>
      <c r="N189" s="37"/>
      <c r="O189" s="37"/>
      <c r="P189" s="37"/>
      <c r="Q189" s="37"/>
      <c r="R189" s="37"/>
      <c r="S189" s="37"/>
      <c r="T189" s="37"/>
      <c r="U189" s="37"/>
      <c r="V189" s="37"/>
      <c r="W189" s="37"/>
      <c r="X189" s="37"/>
      <c r="Y189" s="37"/>
      <c r="Z189" s="37"/>
      <c r="AA189" s="37">
        <f t="shared" si="18"/>
        <v>0</v>
      </c>
      <c r="AB189" s="37">
        <f t="shared" si="20"/>
        <v>0</v>
      </c>
    </row>
    <row r="190" spans="1:28" ht="14.4">
      <c r="A190" s="117">
        <v>1140114</v>
      </c>
      <c r="B190" s="117" t="s">
        <v>684</v>
      </c>
      <c r="C190" s="37">
        <f>+VLOOKUP(A190,Composición!C:G,5,FALSE)</f>
        <v>0</v>
      </c>
      <c r="D190" s="37"/>
      <c r="E190" s="37"/>
      <c r="F190" s="37">
        <f>+VLOOKUP(A190,Composición!C:J,8,FALSE)</f>
        <v>0</v>
      </c>
      <c r="G190" s="37">
        <f t="shared" si="19"/>
        <v>0</v>
      </c>
      <c r="H190" s="37"/>
      <c r="I190" s="37"/>
      <c r="J190" s="37"/>
      <c r="K190" s="37"/>
      <c r="L190" s="37"/>
      <c r="M190" s="37"/>
      <c r="N190" s="37"/>
      <c r="O190" s="37"/>
      <c r="P190" s="37"/>
      <c r="Q190" s="37"/>
      <c r="R190" s="37"/>
      <c r="S190" s="37"/>
      <c r="T190" s="37"/>
      <c r="U190" s="37"/>
      <c r="V190" s="37"/>
      <c r="W190" s="37"/>
      <c r="X190" s="37"/>
      <c r="Y190" s="37"/>
      <c r="Z190" s="37"/>
      <c r="AA190" s="37">
        <f t="shared" si="18"/>
        <v>0</v>
      </c>
      <c r="AB190" s="37">
        <f t="shared" si="20"/>
        <v>0</v>
      </c>
    </row>
    <row r="191" spans="1:28" ht="14.4">
      <c r="A191" s="117">
        <v>1140115</v>
      </c>
      <c r="B191" s="117" t="s">
        <v>685</v>
      </c>
      <c r="C191" s="37">
        <f>+VLOOKUP(A191,Composición!C:G,5,FALSE)</f>
        <v>0</v>
      </c>
      <c r="D191" s="37"/>
      <c r="E191" s="37"/>
      <c r="F191" s="37">
        <f>+VLOOKUP(A191,Composición!C:J,8,FALSE)</f>
        <v>0</v>
      </c>
      <c r="G191" s="37">
        <f t="shared" si="19"/>
        <v>0</v>
      </c>
      <c r="H191" s="37"/>
      <c r="I191" s="37"/>
      <c r="J191" s="37"/>
      <c r="K191" s="37"/>
      <c r="L191" s="37"/>
      <c r="M191" s="37"/>
      <c r="N191" s="37"/>
      <c r="O191" s="37"/>
      <c r="P191" s="37"/>
      <c r="Q191" s="37"/>
      <c r="R191" s="37"/>
      <c r="S191" s="37"/>
      <c r="T191" s="37"/>
      <c r="U191" s="37"/>
      <c r="V191" s="37"/>
      <c r="W191" s="37"/>
      <c r="X191" s="37"/>
      <c r="Y191" s="37"/>
      <c r="Z191" s="37"/>
      <c r="AA191" s="37">
        <f t="shared" si="18"/>
        <v>0</v>
      </c>
      <c r="AB191" s="37">
        <f t="shared" si="20"/>
        <v>0</v>
      </c>
    </row>
    <row r="192" spans="1:28" ht="14.4">
      <c r="A192" s="117">
        <v>1140116</v>
      </c>
      <c r="B192" s="117" t="s">
        <v>686</v>
      </c>
      <c r="C192" s="37">
        <f>+VLOOKUP(A192,Composición!C:G,5,FALSE)</f>
        <v>0</v>
      </c>
      <c r="D192" s="37"/>
      <c r="E192" s="37"/>
      <c r="F192" s="37">
        <f>+VLOOKUP(A192,Composición!C:J,8,FALSE)</f>
        <v>0</v>
      </c>
      <c r="G192" s="37">
        <f t="shared" si="19"/>
        <v>0</v>
      </c>
      <c r="H192" s="37"/>
      <c r="I192" s="37"/>
      <c r="J192" s="37"/>
      <c r="K192" s="37"/>
      <c r="L192" s="37"/>
      <c r="M192" s="37"/>
      <c r="N192" s="37"/>
      <c r="O192" s="37"/>
      <c r="P192" s="37"/>
      <c r="Q192" s="37"/>
      <c r="R192" s="37"/>
      <c r="S192" s="37"/>
      <c r="T192" s="37"/>
      <c r="U192" s="37"/>
      <c r="V192" s="37"/>
      <c r="W192" s="37"/>
      <c r="X192" s="37"/>
      <c r="Y192" s="37"/>
      <c r="Z192" s="37"/>
      <c r="AA192" s="37">
        <f t="shared" si="18"/>
        <v>0</v>
      </c>
      <c r="AB192" s="37">
        <f t="shared" si="20"/>
        <v>0</v>
      </c>
    </row>
    <row r="193" spans="1:28" ht="14.4">
      <c r="A193" s="117">
        <v>114012</v>
      </c>
      <c r="B193" s="117" t="s">
        <v>687</v>
      </c>
      <c r="C193" s="37">
        <f>+VLOOKUP(A193,Composición!C:G,5,FALSE)</f>
        <v>0</v>
      </c>
      <c r="D193" s="37"/>
      <c r="E193" s="37"/>
      <c r="F193" s="37">
        <f>+VLOOKUP(A193,Composición!C:J,8,FALSE)</f>
        <v>0</v>
      </c>
      <c r="G193" s="37">
        <f t="shared" si="19"/>
        <v>0</v>
      </c>
      <c r="H193" s="37"/>
      <c r="I193" s="37"/>
      <c r="J193" s="37"/>
      <c r="K193" s="37"/>
      <c r="L193" s="37"/>
      <c r="M193" s="37"/>
      <c r="N193" s="37"/>
      <c r="O193" s="37"/>
      <c r="P193" s="37"/>
      <c r="Q193" s="37"/>
      <c r="R193" s="37"/>
      <c r="S193" s="37"/>
      <c r="T193" s="37"/>
      <c r="U193" s="37"/>
      <c r="V193" s="37"/>
      <c r="W193" s="37"/>
      <c r="X193" s="37"/>
      <c r="Y193" s="37"/>
      <c r="Z193" s="37"/>
      <c r="AA193" s="37">
        <f t="shared" si="18"/>
        <v>0</v>
      </c>
      <c r="AB193" s="37">
        <f t="shared" si="20"/>
        <v>0</v>
      </c>
    </row>
    <row r="194" spans="1:28" ht="14.4">
      <c r="A194" s="117">
        <v>1140121</v>
      </c>
      <c r="B194" s="117" t="s">
        <v>51</v>
      </c>
      <c r="C194" s="37">
        <f>+VLOOKUP(A194,Composición!C:G,5,FALSE)</f>
        <v>0</v>
      </c>
      <c r="D194" s="37"/>
      <c r="E194" s="37"/>
      <c r="F194" s="37">
        <f>+VLOOKUP(A194,Composición!C:J,8,FALSE)</f>
        <v>0</v>
      </c>
      <c r="G194" s="37">
        <f t="shared" si="19"/>
        <v>0</v>
      </c>
      <c r="H194" s="37"/>
      <c r="I194" s="37"/>
      <c r="J194" s="37"/>
      <c r="K194" s="37"/>
      <c r="L194" s="37"/>
      <c r="M194" s="37"/>
      <c r="N194" s="37"/>
      <c r="O194" s="37"/>
      <c r="P194" s="37"/>
      <c r="Q194" s="37"/>
      <c r="R194" s="37"/>
      <c r="S194" s="37"/>
      <c r="T194" s="37"/>
      <c r="U194" s="37"/>
      <c r="V194" s="37"/>
      <c r="W194" s="37"/>
      <c r="X194" s="37"/>
      <c r="Y194" s="37"/>
      <c r="Z194" s="37"/>
      <c r="AA194" s="37">
        <f t="shared" si="18"/>
        <v>0</v>
      </c>
      <c r="AB194" s="37">
        <f t="shared" si="20"/>
        <v>0</v>
      </c>
    </row>
    <row r="195" spans="1:28" ht="14.4">
      <c r="A195" s="117">
        <v>1140122</v>
      </c>
      <c r="B195" s="117" t="s">
        <v>61</v>
      </c>
      <c r="C195" s="37">
        <f>+VLOOKUP(A195,Composición!C:G,5,FALSE)</f>
        <v>0</v>
      </c>
      <c r="D195" s="37"/>
      <c r="E195" s="37"/>
      <c r="F195" s="37">
        <f>+VLOOKUP(A195,Composición!C:J,8,FALSE)</f>
        <v>0</v>
      </c>
      <c r="G195" s="37">
        <f t="shared" si="19"/>
        <v>0</v>
      </c>
      <c r="H195" s="37"/>
      <c r="I195" s="37"/>
      <c r="J195" s="37"/>
      <c r="K195" s="37"/>
      <c r="L195" s="37"/>
      <c r="M195" s="37"/>
      <c r="N195" s="37"/>
      <c r="O195" s="37"/>
      <c r="P195" s="37"/>
      <c r="Q195" s="37"/>
      <c r="R195" s="37"/>
      <c r="S195" s="37"/>
      <c r="T195" s="37"/>
      <c r="U195" s="37"/>
      <c r="V195" s="37"/>
      <c r="W195" s="37"/>
      <c r="X195" s="37"/>
      <c r="Y195" s="37"/>
      <c r="Z195" s="37"/>
      <c r="AA195" s="37">
        <f t="shared" si="18"/>
        <v>0</v>
      </c>
      <c r="AB195" s="37">
        <f t="shared" si="20"/>
        <v>0</v>
      </c>
    </row>
    <row r="196" spans="1:28" ht="14.4">
      <c r="A196" s="117">
        <v>1140123</v>
      </c>
      <c r="B196" s="117" t="s">
        <v>67</v>
      </c>
      <c r="C196" s="37">
        <f>+VLOOKUP(A196,Composición!C:G,5,FALSE)</f>
        <v>0</v>
      </c>
      <c r="D196" s="37"/>
      <c r="E196" s="37"/>
      <c r="F196" s="37">
        <f>+VLOOKUP(A196,Composición!C:J,8,FALSE)</f>
        <v>0</v>
      </c>
      <c r="G196" s="37">
        <f t="shared" si="19"/>
        <v>0</v>
      </c>
      <c r="H196" s="37"/>
      <c r="I196" s="37"/>
      <c r="J196" s="37"/>
      <c r="K196" s="37"/>
      <c r="L196" s="37"/>
      <c r="M196" s="37"/>
      <c r="N196" s="37"/>
      <c r="O196" s="37"/>
      <c r="P196" s="37"/>
      <c r="Q196" s="37"/>
      <c r="R196" s="37"/>
      <c r="S196" s="37"/>
      <c r="T196" s="37"/>
      <c r="U196" s="37"/>
      <c r="V196" s="37"/>
      <c r="W196" s="37"/>
      <c r="X196" s="37"/>
      <c r="Y196" s="37"/>
      <c r="Z196" s="37"/>
      <c r="AA196" s="37">
        <f t="shared" si="18"/>
        <v>0</v>
      </c>
      <c r="AB196" s="37">
        <f t="shared" si="20"/>
        <v>0</v>
      </c>
    </row>
    <row r="197" spans="1:28" ht="14.4">
      <c r="A197" s="117">
        <v>1140124</v>
      </c>
      <c r="B197" s="117" t="s">
        <v>684</v>
      </c>
      <c r="C197" s="37">
        <f>+VLOOKUP(A197,Composición!C:G,5,FALSE)</f>
        <v>0</v>
      </c>
      <c r="D197" s="37"/>
      <c r="E197" s="37"/>
      <c r="F197" s="37">
        <f>+VLOOKUP(A197,Composición!C:J,8,FALSE)</f>
        <v>0</v>
      </c>
      <c r="G197" s="37">
        <f t="shared" si="19"/>
        <v>0</v>
      </c>
      <c r="H197" s="37"/>
      <c r="I197" s="37"/>
      <c r="J197" s="37"/>
      <c r="K197" s="37"/>
      <c r="L197" s="37"/>
      <c r="M197" s="37"/>
      <c r="N197" s="37"/>
      <c r="O197" s="37"/>
      <c r="P197" s="37"/>
      <c r="Q197" s="37"/>
      <c r="R197" s="37"/>
      <c r="S197" s="37"/>
      <c r="T197" s="37"/>
      <c r="U197" s="37"/>
      <c r="V197" s="37"/>
      <c r="W197" s="37"/>
      <c r="X197" s="37"/>
      <c r="Y197" s="37"/>
      <c r="Z197" s="37"/>
      <c r="AA197" s="37">
        <f t="shared" si="18"/>
        <v>0</v>
      </c>
      <c r="AB197" s="37">
        <f t="shared" si="20"/>
        <v>0</v>
      </c>
    </row>
    <row r="198" spans="1:28" ht="14.4">
      <c r="A198" s="117">
        <v>1140125</v>
      </c>
      <c r="B198" s="117" t="s">
        <v>685</v>
      </c>
      <c r="C198" s="37">
        <f>+VLOOKUP(A198,Composición!C:G,5,FALSE)</f>
        <v>0</v>
      </c>
      <c r="D198" s="37"/>
      <c r="E198" s="37"/>
      <c r="F198" s="37">
        <f>+VLOOKUP(A198,Composición!C:J,8,FALSE)</f>
        <v>0</v>
      </c>
      <c r="G198" s="37">
        <f t="shared" si="19"/>
        <v>0</v>
      </c>
      <c r="H198" s="37"/>
      <c r="I198" s="37"/>
      <c r="J198" s="37"/>
      <c r="K198" s="37"/>
      <c r="L198" s="37"/>
      <c r="M198" s="37"/>
      <c r="N198" s="37"/>
      <c r="O198" s="37"/>
      <c r="P198" s="37"/>
      <c r="Q198" s="37"/>
      <c r="R198" s="37"/>
      <c r="S198" s="37"/>
      <c r="T198" s="37"/>
      <c r="U198" s="37"/>
      <c r="V198" s="37"/>
      <c r="W198" s="37"/>
      <c r="X198" s="37"/>
      <c r="Y198" s="37"/>
      <c r="Z198" s="37"/>
      <c r="AA198" s="37">
        <f t="shared" si="18"/>
        <v>0</v>
      </c>
      <c r="AB198" s="37">
        <f t="shared" si="20"/>
        <v>0</v>
      </c>
    </row>
    <row r="199" spans="1:28" ht="14.4">
      <c r="A199" s="117">
        <v>1140126</v>
      </c>
      <c r="B199" s="117" t="s">
        <v>686</v>
      </c>
      <c r="C199" s="37">
        <f>+VLOOKUP(A199,Composición!C:G,5,FALSE)</f>
        <v>0</v>
      </c>
      <c r="D199" s="37"/>
      <c r="E199" s="37"/>
      <c r="F199" s="37">
        <f>+VLOOKUP(A199,Composición!C:J,8,FALSE)</f>
        <v>0</v>
      </c>
      <c r="G199" s="37">
        <f t="shared" si="19"/>
        <v>0</v>
      </c>
      <c r="H199" s="37"/>
      <c r="I199" s="37"/>
      <c r="J199" s="37"/>
      <c r="K199" s="37"/>
      <c r="L199" s="37"/>
      <c r="M199" s="37"/>
      <c r="N199" s="37"/>
      <c r="O199" s="37"/>
      <c r="P199" s="37"/>
      <c r="Q199" s="37"/>
      <c r="R199" s="37"/>
      <c r="S199" s="37"/>
      <c r="T199" s="37"/>
      <c r="U199" s="37"/>
      <c r="V199" s="37"/>
      <c r="W199" s="37"/>
      <c r="X199" s="37"/>
      <c r="Y199" s="37"/>
      <c r="Z199" s="37"/>
      <c r="AA199" s="37">
        <f t="shared" si="18"/>
        <v>0</v>
      </c>
      <c r="AB199" s="37">
        <f t="shared" si="20"/>
        <v>0</v>
      </c>
    </row>
    <row r="200" spans="1:28" ht="14.4">
      <c r="A200" s="117">
        <v>11402</v>
      </c>
      <c r="B200" s="117" t="s">
        <v>54</v>
      </c>
      <c r="C200" s="37">
        <f>+VLOOKUP(A200,Composición!C:G,5,FALSE)</f>
        <v>0</v>
      </c>
      <c r="D200" s="37"/>
      <c r="E200" s="37"/>
      <c r="F200" s="37">
        <f>+VLOOKUP(A200,Composición!C:J,8,FALSE)</f>
        <v>0</v>
      </c>
      <c r="G200" s="37">
        <f t="shared" si="19"/>
        <v>0</v>
      </c>
      <c r="H200" s="37"/>
      <c r="I200" s="37"/>
      <c r="J200" s="37"/>
      <c r="K200" s="37"/>
      <c r="L200" s="37"/>
      <c r="M200" s="37"/>
      <c r="N200" s="37"/>
      <c r="O200" s="37"/>
      <c r="P200" s="37"/>
      <c r="Q200" s="37"/>
      <c r="R200" s="37"/>
      <c r="S200" s="37"/>
      <c r="T200" s="37"/>
      <c r="U200" s="37"/>
      <c r="V200" s="37"/>
      <c r="W200" s="37"/>
      <c r="X200" s="37"/>
      <c r="Y200" s="37"/>
      <c r="Z200" s="37"/>
      <c r="AA200" s="37">
        <f t="shared" si="18"/>
        <v>0</v>
      </c>
      <c r="AB200" s="37">
        <f t="shared" si="20"/>
        <v>0</v>
      </c>
    </row>
    <row r="201" spans="1:28" ht="14.4">
      <c r="A201" s="117">
        <v>114021</v>
      </c>
      <c r="B201" s="117" t="s">
        <v>55</v>
      </c>
      <c r="C201" s="37">
        <f>+VLOOKUP(A201,Composición!C:G,5,FALSE)</f>
        <v>0</v>
      </c>
      <c r="D201" s="37"/>
      <c r="E201" s="37"/>
      <c r="F201" s="37">
        <f>+VLOOKUP(A201,Composición!C:J,8,FALSE)</f>
        <v>0</v>
      </c>
      <c r="G201" s="37">
        <f t="shared" si="19"/>
        <v>0</v>
      </c>
      <c r="H201" s="37"/>
      <c r="I201" s="37"/>
      <c r="J201" s="37"/>
      <c r="K201" s="37"/>
      <c r="L201" s="37"/>
      <c r="M201" s="37"/>
      <c r="N201" s="37"/>
      <c r="O201" s="37"/>
      <c r="P201" s="37"/>
      <c r="Q201" s="37"/>
      <c r="R201" s="37"/>
      <c r="S201" s="37"/>
      <c r="T201" s="37"/>
      <c r="U201" s="37"/>
      <c r="V201" s="37"/>
      <c r="W201" s="37"/>
      <c r="X201" s="37"/>
      <c r="Y201" s="37"/>
      <c r="Z201" s="37"/>
      <c r="AA201" s="37">
        <f t="shared" si="18"/>
        <v>0</v>
      </c>
      <c r="AB201" s="37">
        <f t="shared" si="20"/>
        <v>0</v>
      </c>
    </row>
    <row r="202" spans="1:28" ht="14.4">
      <c r="A202" s="117">
        <v>1140211</v>
      </c>
      <c r="B202" s="117" t="s">
        <v>129</v>
      </c>
      <c r="C202" s="37">
        <f>+VLOOKUP(A202,Composición!C:G,5,FALSE)</f>
        <v>0</v>
      </c>
      <c r="D202" s="37"/>
      <c r="E202" s="37"/>
      <c r="F202" s="37">
        <f>+VLOOKUP(A202,Composición!C:J,8,FALSE)</f>
        <v>0</v>
      </c>
      <c r="G202" s="37">
        <f t="shared" si="19"/>
        <v>0</v>
      </c>
      <c r="H202" s="37"/>
      <c r="I202" s="37"/>
      <c r="J202" s="37"/>
      <c r="K202" s="37"/>
      <c r="L202" s="37"/>
      <c r="M202" s="37"/>
      <c r="N202" s="37"/>
      <c r="O202" s="37"/>
      <c r="P202" s="37"/>
      <c r="Q202" s="37"/>
      <c r="R202" s="37"/>
      <c r="S202" s="37"/>
      <c r="T202" s="37"/>
      <c r="U202" s="37"/>
      <c r="V202" s="37"/>
      <c r="W202" s="37"/>
      <c r="X202" s="37"/>
      <c r="Y202" s="37"/>
      <c r="Z202" s="37"/>
      <c r="AA202" s="37">
        <f t="shared" si="18"/>
        <v>0</v>
      </c>
      <c r="AB202" s="37">
        <f t="shared" si="20"/>
        <v>0</v>
      </c>
    </row>
    <row r="203" spans="1:28" ht="14.4">
      <c r="A203" s="117">
        <v>11402111</v>
      </c>
      <c r="B203" s="117" t="s">
        <v>525</v>
      </c>
      <c r="C203" s="37">
        <f>+VLOOKUP(A203,Composición!C:G,5,FALSE)</f>
        <v>0</v>
      </c>
      <c r="D203" s="37"/>
      <c r="E203" s="37"/>
      <c r="F203" s="37">
        <f>+VLOOKUP(A203,Composición!C:J,8,FALSE)</f>
        <v>0</v>
      </c>
      <c r="G203" s="37">
        <f t="shared" si="19"/>
        <v>0</v>
      </c>
      <c r="H203" s="37"/>
      <c r="I203" s="37"/>
      <c r="J203" s="37"/>
      <c r="K203" s="37"/>
      <c r="L203" s="37"/>
      <c r="M203" s="37"/>
      <c r="N203" s="37"/>
      <c r="O203" s="37"/>
      <c r="P203" s="37"/>
      <c r="Q203" s="37"/>
      <c r="R203" s="37"/>
      <c r="S203" s="37">
        <f>-G203</f>
        <v>0</v>
      </c>
      <c r="T203" s="37"/>
      <c r="U203" s="37"/>
      <c r="V203" s="37"/>
      <c r="W203" s="37"/>
      <c r="X203" s="37"/>
      <c r="Y203" s="37"/>
      <c r="Z203" s="37"/>
      <c r="AA203" s="37">
        <f t="shared" si="18"/>
        <v>0</v>
      </c>
      <c r="AB203" s="37">
        <f t="shared" si="20"/>
        <v>0</v>
      </c>
    </row>
    <row r="204" spans="1:28" ht="14.4">
      <c r="A204" s="117">
        <v>1140211101</v>
      </c>
      <c r="B204" s="117" t="s">
        <v>279</v>
      </c>
      <c r="C204" s="37">
        <f>+VLOOKUP(A204,Composición!C:G,5,FALSE)</f>
        <v>6000000000</v>
      </c>
      <c r="D204" s="37"/>
      <c r="E204" s="37"/>
      <c r="F204" s="37">
        <f>+VLOOKUP(A204,Composición!C:J,8,FALSE)</f>
        <v>0</v>
      </c>
      <c r="G204" s="37">
        <f t="shared" si="19"/>
        <v>6000000000</v>
      </c>
      <c r="H204" s="37"/>
      <c r="I204" s="37"/>
      <c r="J204" s="37"/>
      <c r="K204" s="37"/>
      <c r="L204" s="37"/>
      <c r="M204" s="37"/>
      <c r="N204" s="37"/>
      <c r="O204" s="37"/>
      <c r="P204" s="37"/>
      <c r="Q204" s="37"/>
      <c r="R204" s="37"/>
      <c r="S204" s="37">
        <f>-G204</f>
        <v>-6000000000</v>
      </c>
      <c r="T204" s="37"/>
      <c r="U204" s="37"/>
      <c r="V204" s="37"/>
      <c r="W204" s="37"/>
      <c r="X204" s="37"/>
      <c r="Y204" s="37"/>
      <c r="Z204" s="37"/>
      <c r="AA204" s="37">
        <f t="shared" si="18"/>
        <v>0</v>
      </c>
      <c r="AB204" s="37">
        <f t="shared" si="20"/>
        <v>0</v>
      </c>
    </row>
    <row r="205" spans="1:28" ht="14.4">
      <c r="A205" s="117">
        <v>1140211102</v>
      </c>
      <c r="B205" s="117" t="s">
        <v>689</v>
      </c>
      <c r="C205" s="37">
        <f>+VLOOKUP(A205,Composición!C:G,5,FALSE)</f>
        <v>0</v>
      </c>
      <c r="D205" s="37"/>
      <c r="E205" s="37"/>
      <c r="F205" s="37">
        <f>+VLOOKUP(A205,Composición!C:J,8,FALSE)</f>
        <v>0</v>
      </c>
      <c r="G205" s="37">
        <f t="shared" si="19"/>
        <v>0</v>
      </c>
      <c r="H205" s="37"/>
      <c r="I205" s="37"/>
      <c r="J205" s="37"/>
      <c r="K205" s="37"/>
      <c r="L205" s="37"/>
      <c r="M205" s="37"/>
      <c r="N205" s="37"/>
      <c r="O205" s="37"/>
      <c r="P205" s="37"/>
      <c r="Q205" s="37"/>
      <c r="R205" s="37"/>
      <c r="S205" s="37"/>
      <c r="T205" s="37"/>
      <c r="U205" s="37"/>
      <c r="V205" s="37"/>
      <c r="W205" s="37"/>
      <c r="X205" s="37"/>
      <c r="Y205" s="37"/>
      <c r="Z205" s="37"/>
      <c r="AA205" s="37">
        <f t="shared" si="18"/>
        <v>0</v>
      </c>
      <c r="AB205" s="37">
        <f t="shared" si="20"/>
        <v>0</v>
      </c>
    </row>
    <row r="206" spans="1:28" ht="14.4">
      <c r="A206" s="117">
        <v>11402112</v>
      </c>
      <c r="B206" s="117" t="s">
        <v>132</v>
      </c>
      <c r="C206" s="37">
        <f>+VLOOKUP(A206,Composición!C:G,5,FALSE)</f>
        <v>0</v>
      </c>
      <c r="D206" s="37"/>
      <c r="E206" s="37"/>
      <c r="F206" s="37">
        <f>+VLOOKUP(A206,Composición!C:J,8,FALSE)</f>
        <v>0</v>
      </c>
      <c r="G206" s="37">
        <f t="shared" si="19"/>
        <v>0</v>
      </c>
      <c r="H206" s="37"/>
      <c r="I206" s="37"/>
      <c r="J206" s="37"/>
      <c r="K206" s="37"/>
      <c r="L206" s="37"/>
      <c r="M206" s="37"/>
      <c r="N206" s="37"/>
      <c r="O206" s="37"/>
      <c r="P206" s="37"/>
      <c r="Q206" s="37"/>
      <c r="R206" s="37"/>
      <c r="S206" s="37"/>
      <c r="T206" s="37"/>
      <c r="U206" s="37"/>
      <c r="V206" s="37"/>
      <c r="W206" s="37"/>
      <c r="X206" s="37"/>
      <c r="Y206" s="37"/>
      <c r="Z206" s="37"/>
      <c r="AA206" s="37">
        <f t="shared" si="18"/>
        <v>0</v>
      </c>
      <c r="AB206" s="37">
        <f t="shared" si="20"/>
        <v>0</v>
      </c>
    </row>
    <row r="207" spans="1:28" ht="14.4">
      <c r="A207" s="117">
        <v>1140211201</v>
      </c>
      <c r="B207" s="117" t="s">
        <v>132</v>
      </c>
      <c r="C207" s="37">
        <f>+VLOOKUP(A207,Composición!C:G,5,FALSE)</f>
        <v>0</v>
      </c>
      <c r="D207" s="37"/>
      <c r="E207" s="37"/>
      <c r="F207" s="37">
        <f>+VLOOKUP(A207,Composición!C:J,8,FALSE)</f>
        <v>0</v>
      </c>
      <c r="G207" s="37">
        <f t="shared" si="19"/>
        <v>0</v>
      </c>
      <c r="H207" s="37"/>
      <c r="I207" s="37"/>
      <c r="J207" s="37"/>
      <c r="K207" s="37"/>
      <c r="L207" s="37"/>
      <c r="M207" s="37"/>
      <c r="N207" s="37"/>
      <c r="O207" s="37"/>
      <c r="P207" s="37"/>
      <c r="Q207" s="37"/>
      <c r="R207" s="37"/>
      <c r="S207" s="37">
        <f>-G207</f>
        <v>0</v>
      </c>
      <c r="T207" s="37"/>
      <c r="U207" s="37"/>
      <c r="V207" s="37"/>
      <c r="W207" s="37"/>
      <c r="X207" s="37"/>
      <c r="Y207" s="37"/>
      <c r="Z207" s="37"/>
      <c r="AA207" s="37">
        <f t="shared" si="18"/>
        <v>0</v>
      </c>
      <c r="AB207" s="37">
        <f t="shared" si="20"/>
        <v>0</v>
      </c>
    </row>
    <row r="208" spans="1:28" ht="14.4">
      <c r="A208" s="117">
        <v>1140212</v>
      </c>
      <c r="B208" s="117" t="s">
        <v>51</v>
      </c>
      <c r="C208" s="37">
        <f>+VLOOKUP(A208,Composición!C:G,5,FALSE)</f>
        <v>0</v>
      </c>
      <c r="D208" s="37"/>
      <c r="E208" s="37"/>
      <c r="F208" s="37">
        <f>+VLOOKUP(A208,Composición!C:J,8,FALSE)</f>
        <v>0</v>
      </c>
      <c r="G208" s="37">
        <f t="shared" si="19"/>
        <v>0</v>
      </c>
      <c r="H208" s="37"/>
      <c r="I208" s="37"/>
      <c r="J208" s="37"/>
      <c r="K208" s="37"/>
      <c r="L208" s="37"/>
      <c r="M208" s="37"/>
      <c r="N208" s="37"/>
      <c r="O208" s="37"/>
      <c r="P208" s="37"/>
      <c r="Q208" s="37"/>
      <c r="R208" s="37"/>
      <c r="S208" s="37">
        <f>-G208</f>
        <v>0</v>
      </c>
      <c r="T208" s="37"/>
      <c r="U208" s="37"/>
      <c r="V208" s="37"/>
      <c r="W208" s="37"/>
      <c r="X208" s="37"/>
      <c r="Y208" s="37"/>
      <c r="Z208" s="37"/>
      <c r="AA208" s="37">
        <f t="shared" si="18"/>
        <v>0</v>
      </c>
      <c r="AB208" s="37">
        <f t="shared" si="20"/>
        <v>0</v>
      </c>
    </row>
    <row r="209" spans="1:28" ht="14.4">
      <c r="A209" s="117">
        <v>11402121</v>
      </c>
      <c r="B209" s="117" t="s">
        <v>56</v>
      </c>
      <c r="C209" s="37">
        <f>+VLOOKUP(A209,Composición!C:G,5,FALSE)</f>
        <v>0</v>
      </c>
      <c r="D209" s="37"/>
      <c r="E209" s="37"/>
      <c r="F209" s="37">
        <f>+VLOOKUP(A209,Composición!C:J,8,FALSE)</f>
        <v>0</v>
      </c>
      <c r="G209" s="37">
        <f t="shared" si="19"/>
        <v>0</v>
      </c>
      <c r="H209" s="37"/>
      <c r="I209" s="37"/>
      <c r="J209" s="37"/>
      <c r="K209" s="37"/>
      <c r="L209" s="37"/>
      <c r="M209" s="37"/>
      <c r="N209" s="37"/>
      <c r="O209" s="37"/>
      <c r="P209" s="37"/>
      <c r="Q209" s="37"/>
      <c r="R209" s="37"/>
      <c r="S209" s="37"/>
      <c r="T209" s="37"/>
      <c r="U209" s="37"/>
      <c r="V209" s="37"/>
      <c r="W209" s="37"/>
      <c r="X209" s="37"/>
      <c r="Y209" s="37"/>
      <c r="Z209" s="37"/>
      <c r="AA209" s="37">
        <f t="shared" si="18"/>
        <v>0</v>
      </c>
      <c r="AB209" s="37">
        <f t="shared" si="20"/>
        <v>0</v>
      </c>
    </row>
    <row r="210" spans="1:28" ht="14.4">
      <c r="A210" s="117">
        <v>1140212101</v>
      </c>
      <c r="B210" s="117" t="s">
        <v>57</v>
      </c>
      <c r="C210" s="37">
        <f>+VLOOKUP(A210,Composición!C:G,5,FALSE)</f>
        <v>3946000000</v>
      </c>
      <c r="D210" s="37"/>
      <c r="E210" s="37"/>
      <c r="F210" s="37">
        <f>+VLOOKUP(A210,Composición!C:J,8,FALSE)</f>
        <v>3327000000</v>
      </c>
      <c r="G210" s="37">
        <f t="shared" si="19"/>
        <v>619000000</v>
      </c>
      <c r="H210" s="37"/>
      <c r="I210" s="37"/>
      <c r="J210" s="37"/>
      <c r="K210" s="37"/>
      <c r="L210" s="37"/>
      <c r="M210" s="37"/>
      <c r="N210" s="37"/>
      <c r="O210" s="37"/>
      <c r="P210" s="37"/>
      <c r="Q210" s="37"/>
      <c r="R210" s="37"/>
      <c r="S210" s="37">
        <f>-G210</f>
        <v>-619000000</v>
      </c>
      <c r="T210" s="37"/>
      <c r="U210" s="37"/>
      <c r="V210" s="37"/>
      <c r="W210" s="37"/>
      <c r="X210" s="37"/>
      <c r="Y210" s="37"/>
      <c r="Z210" s="37"/>
      <c r="AA210" s="37">
        <f t="shared" si="18"/>
        <v>0</v>
      </c>
      <c r="AB210" s="37">
        <f t="shared" si="20"/>
        <v>0</v>
      </c>
    </row>
    <row r="211" spans="1:28" ht="14.4">
      <c r="A211" s="117">
        <v>1140212102</v>
      </c>
      <c r="B211" s="117" t="s">
        <v>254</v>
      </c>
      <c r="C211" s="37">
        <f>+VLOOKUP(A211,Composición!C:G,5,FALSE)</f>
        <v>2153596500</v>
      </c>
      <c r="D211" s="37"/>
      <c r="E211" s="37"/>
      <c r="F211" s="37">
        <f>+VLOOKUP(A211,Composición!C:J,8,FALSE)</f>
        <v>0</v>
      </c>
      <c r="G211" s="37">
        <f t="shared" si="19"/>
        <v>2153596500</v>
      </c>
      <c r="H211" s="37"/>
      <c r="I211" s="37"/>
      <c r="J211" s="37"/>
      <c r="K211" s="37"/>
      <c r="L211" s="37"/>
      <c r="M211" s="37"/>
      <c r="N211" s="37"/>
      <c r="O211" s="37"/>
      <c r="P211" s="37"/>
      <c r="Q211" s="37"/>
      <c r="R211" s="37"/>
      <c r="S211" s="37">
        <f>-G211</f>
        <v>-2153596500</v>
      </c>
      <c r="T211" s="37"/>
      <c r="U211" s="37"/>
      <c r="V211" s="37"/>
      <c r="W211" s="37"/>
      <c r="X211" s="37"/>
      <c r="Y211" s="37"/>
      <c r="Z211" s="37"/>
      <c r="AA211" s="37">
        <f t="shared" si="18"/>
        <v>0</v>
      </c>
      <c r="AB211" s="37">
        <f t="shared" si="20"/>
        <v>0</v>
      </c>
    </row>
    <row r="212" spans="1:28" ht="14.4">
      <c r="A212" s="117">
        <v>11402122</v>
      </c>
      <c r="B212" s="117" t="s">
        <v>526</v>
      </c>
      <c r="C212" s="37">
        <f>+VLOOKUP(A212,Composición!C:G,5,FALSE)</f>
        <v>0</v>
      </c>
      <c r="D212" s="37"/>
      <c r="E212" s="37"/>
      <c r="F212" s="37">
        <f>+VLOOKUP(A212,Composición!C:J,8,FALSE)</f>
        <v>0</v>
      </c>
      <c r="G212" s="37">
        <f t="shared" si="19"/>
        <v>0</v>
      </c>
      <c r="H212" s="37"/>
      <c r="I212" s="37"/>
      <c r="J212" s="37"/>
      <c r="K212" s="37"/>
      <c r="L212" s="37"/>
      <c r="M212" s="37"/>
      <c r="N212" s="37"/>
      <c r="O212" s="37"/>
      <c r="P212" s="37"/>
      <c r="Q212" s="37"/>
      <c r="R212" s="37"/>
      <c r="S212" s="37"/>
      <c r="T212" s="37"/>
      <c r="U212" s="37"/>
      <c r="V212" s="37"/>
      <c r="W212" s="37"/>
      <c r="X212" s="37"/>
      <c r="Y212" s="37"/>
      <c r="Z212" s="37"/>
      <c r="AA212" s="37">
        <f t="shared" si="18"/>
        <v>0</v>
      </c>
      <c r="AB212" s="37">
        <f t="shared" si="20"/>
        <v>0</v>
      </c>
    </row>
    <row r="213" spans="1:28" ht="14.4">
      <c r="A213" s="117">
        <v>1140212201</v>
      </c>
      <c r="B213" s="117" t="s">
        <v>256</v>
      </c>
      <c r="C213" s="37">
        <f>+VLOOKUP(A213,Composición!C:G,5,FALSE)</f>
        <v>1561000000</v>
      </c>
      <c r="D213" s="37"/>
      <c r="E213" s="37"/>
      <c r="F213" s="37">
        <f>+VLOOKUP(A213,Composición!C:J,8,FALSE)</f>
        <v>0</v>
      </c>
      <c r="G213" s="37">
        <f t="shared" si="19"/>
        <v>1561000000</v>
      </c>
      <c r="H213" s="37"/>
      <c r="I213" s="37"/>
      <c r="J213" s="37"/>
      <c r="K213" s="37"/>
      <c r="L213" s="37"/>
      <c r="M213" s="37"/>
      <c r="N213" s="37"/>
      <c r="O213" s="37"/>
      <c r="P213" s="37"/>
      <c r="Q213" s="37"/>
      <c r="R213" s="37"/>
      <c r="S213" s="37">
        <f>-G213</f>
        <v>-1561000000</v>
      </c>
      <c r="T213" s="37"/>
      <c r="U213" s="37"/>
      <c r="V213" s="37"/>
      <c r="W213" s="37"/>
      <c r="X213" s="37"/>
      <c r="Y213" s="37"/>
      <c r="Z213" s="37"/>
      <c r="AA213" s="37">
        <f t="shared" si="18"/>
        <v>0</v>
      </c>
      <c r="AB213" s="37">
        <f t="shared" si="20"/>
        <v>0</v>
      </c>
    </row>
    <row r="214" spans="1:28" ht="14.4">
      <c r="A214" s="117">
        <v>1140212202</v>
      </c>
      <c r="B214" s="117" t="s">
        <v>258</v>
      </c>
      <c r="C214" s="37">
        <f>+VLOOKUP(A214,Composición!C:G,5,FALSE)</f>
        <v>1143363960</v>
      </c>
      <c r="D214" s="37"/>
      <c r="E214" s="37"/>
      <c r="F214" s="37">
        <f>+VLOOKUP(A214,Composición!C:J,8,FALSE)</f>
        <v>0</v>
      </c>
      <c r="G214" s="37">
        <f t="shared" si="19"/>
        <v>1143363960</v>
      </c>
      <c r="H214" s="37"/>
      <c r="I214" s="37"/>
      <c r="J214" s="37"/>
      <c r="K214" s="37"/>
      <c r="L214" s="37"/>
      <c r="M214" s="37"/>
      <c r="N214" s="37"/>
      <c r="O214" s="37"/>
      <c r="P214" s="37"/>
      <c r="Q214" s="37"/>
      <c r="R214" s="37"/>
      <c r="S214" s="37">
        <f>-G214</f>
        <v>-1143363960</v>
      </c>
      <c r="T214" s="37"/>
      <c r="U214" s="37"/>
      <c r="V214" s="37"/>
      <c r="W214" s="37"/>
      <c r="X214" s="37"/>
      <c r="Y214" s="37"/>
      <c r="Z214" s="37"/>
      <c r="AA214" s="37">
        <f t="shared" si="18"/>
        <v>0</v>
      </c>
      <c r="AB214" s="37">
        <f t="shared" si="20"/>
        <v>0</v>
      </c>
    </row>
    <row r="215" spans="1:28" ht="14.4">
      <c r="A215" s="117">
        <v>11402123</v>
      </c>
      <c r="B215" s="117" t="s">
        <v>58</v>
      </c>
      <c r="C215" s="37">
        <f>+VLOOKUP(A215,Composición!C:G,5,FALSE)</f>
        <v>0</v>
      </c>
      <c r="D215" s="37"/>
      <c r="E215" s="37"/>
      <c r="F215" s="37">
        <f>+VLOOKUP(A215,Composición!C:J,8,FALSE)</f>
        <v>0</v>
      </c>
      <c r="G215" s="37">
        <f t="shared" si="19"/>
        <v>0</v>
      </c>
      <c r="H215" s="37"/>
      <c r="I215" s="37"/>
      <c r="J215" s="37"/>
      <c r="K215" s="37"/>
      <c r="L215" s="37"/>
      <c r="M215" s="37"/>
      <c r="N215" s="37"/>
      <c r="O215" s="37"/>
      <c r="P215" s="37"/>
      <c r="Q215" s="37"/>
      <c r="R215" s="37"/>
      <c r="S215" s="37"/>
      <c r="T215" s="37"/>
      <c r="U215" s="37"/>
      <c r="V215" s="37"/>
      <c r="W215" s="37"/>
      <c r="X215" s="37"/>
      <c r="Y215" s="37"/>
      <c r="Z215" s="37"/>
      <c r="AA215" s="37">
        <f t="shared" si="18"/>
        <v>0</v>
      </c>
      <c r="AB215" s="37">
        <f t="shared" si="20"/>
        <v>0</v>
      </c>
    </row>
    <row r="216" spans="1:28" ht="14.4">
      <c r="A216" s="117">
        <v>1140212301</v>
      </c>
      <c r="B216" s="117" t="s">
        <v>59</v>
      </c>
      <c r="C216" s="37">
        <f>+VLOOKUP(A216,Composición!C:G,5,FALSE)</f>
        <v>12550000000</v>
      </c>
      <c r="D216" s="37"/>
      <c r="E216" s="37"/>
      <c r="F216" s="37">
        <f>+VLOOKUP(A216,Composición!C:J,8,FALSE)</f>
        <v>8800000000</v>
      </c>
      <c r="G216" s="37">
        <f t="shared" si="19"/>
        <v>3750000000</v>
      </c>
      <c r="H216" s="37"/>
      <c r="I216" s="37"/>
      <c r="J216" s="37"/>
      <c r="K216" s="37"/>
      <c r="L216" s="37"/>
      <c r="M216" s="37"/>
      <c r="N216" s="37"/>
      <c r="O216" s="37"/>
      <c r="P216" s="37"/>
      <c r="Q216" s="37"/>
      <c r="R216" s="37"/>
      <c r="S216" s="37">
        <f t="shared" ref="S216:S217" si="21">-G216</f>
        <v>-3750000000</v>
      </c>
      <c r="T216" s="37"/>
      <c r="U216" s="37"/>
      <c r="V216" s="37"/>
      <c r="W216" s="37"/>
      <c r="X216" s="37"/>
      <c r="Y216" s="37"/>
      <c r="Z216" s="37"/>
      <c r="AA216" s="37">
        <f t="shared" si="18"/>
        <v>0</v>
      </c>
      <c r="AB216" s="37">
        <f t="shared" si="20"/>
        <v>0</v>
      </c>
    </row>
    <row r="217" spans="1:28" ht="14.4">
      <c r="A217" s="117">
        <v>1140212302</v>
      </c>
      <c r="B217" s="117" t="s">
        <v>60</v>
      </c>
      <c r="C217" s="37">
        <f>+VLOOKUP(A217,Composición!C:G,5,FALSE)</f>
        <v>1409626800</v>
      </c>
      <c r="D217" s="37"/>
      <c r="E217" s="37"/>
      <c r="F217" s="37">
        <f>+VLOOKUP(A217,Composición!C:J,8,FALSE)</f>
        <v>1815897500</v>
      </c>
      <c r="G217" s="37">
        <f t="shared" si="19"/>
        <v>-406270700</v>
      </c>
      <c r="H217" s="37"/>
      <c r="I217" s="37"/>
      <c r="J217" s="37"/>
      <c r="K217" s="37"/>
      <c r="L217" s="37"/>
      <c r="M217" s="37"/>
      <c r="N217" s="37"/>
      <c r="O217" s="37"/>
      <c r="P217" s="37"/>
      <c r="Q217" s="37"/>
      <c r="R217" s="37"/>
      <c r="S217" s="37">
        <f t="shared" si="21"/>
        <v>406270700</v>
      </c>
      <c r="T217" s="37"/>
      <c r="U217" s="37"/>
      <c r="V217" s="37"/>
      <c r="W217" s="37"/>
      <c r="X217" s="37"/>
      <c r="Y217" s="37"/>
      <c r="Z217" s="37"/>
      <c r="AA217" s="37">
        <f t="shared" si="18"/>
        <v>0</v>
      </c>
      <c r="AB217" s="37">
        <f t="shared" si="20"/>
        <v>0</v>
      </c>
    </row>
    <row r="218" spans="1:28" ht="14.4">
      <c r="A218" s="117">
        <v>1140213</v>
      </c>
      <c r="B218" s="117" t="s">
        <v>61</v>
      </c>
      <c r="C218" s="37">
        <f>+VLOOKUP(A218,Composición!C:G,5,FALSE)</f>
        <v>0</v>
      </c>
      <c r="D218" s="37"/>
      <c r="E218" s="37"/>
      <c r="F218" s="37">
        <f>+VLOOKUP(A218,Composición!C:J,8,FALSE)</f>
        <v>0</v>
      </c>
      <c r="G218" s="37">
        <f t="shared" si="19"/>
        <v>0</v>
      </c>
      <c r="H218" s="37"/>
      <c r="I218" s="37"/>
      <c r="J218" s="37"/>
      <c r="K218" s="37"/>
      <c r="L218" s="37"/>
      <c r="M218" s="37"/>
      <c r="N218" s="37"/>
      <c r="O218" s="37"/>
      <c r="P218" s="37"/>
      <c r="Q218" s="37"/>
      <c r="R218" s="37"/>
      <c r="S218" s="37">
        <f>-G218</f>
        <v>0</v>
      </c>
      <c r="T218" s="37"/>
      <c r="U218" s="37"/>
      <c r="V218" s="37"/>
      <c r="W218" s="37"/>
      <c r="X218" s="37"/>
      <c r="Y218" s="37"/>
      <c r="Z218" s="37"/>
      <c r="AA218" s="37">
        <f t="shared" si="18"/>
        <v>0</v>
      </c>
      <c r="AB218" s="37">
        <f t="shared" si="20"/>
        <v>0</v>
      </c>
    </row>
    <row r="219" spans="1:28" ht="14.4">
      <c r="A219" s="117">
        <v>11402131</v>
      </c>
      <c r="B219" s="117" t="s">
        <v>62</v>
      </c>
      <c r="C219" s="37">
        <f>+VLOOKUP(A219,Composición!C:G,5,FALSE)</f>
        <v>0</v>
      </c>
      <c r="D219" s="37"/>
      <c r="E219" s="37"/>
      <c r="F219" s="37">
        <f>+VLOOKUP(A219,Composición!C:J,8,FALSE)</f>
        <v>0</v>
      </c>
      <c r="G219" s="37">
        <f t="shared" si="19"/>
        <v>0</v>
      </c>
      <c r="H219" s="37"/>
      <c r="I219" s="37"/>
      <c r="J219" s="37"/>
      <c r="K219" s="37"/>
      <c r="L219" s="37"/>
      <c r="M219" s="37"/>
      <c r="N219" s="37"/>
      <c r="O219" s="37"/>
      <c r="P219" s="37"/>
      <c r="Q219" s="37"/>
      <c r="R219" s="37"/>
      <c r="S219" s="37"/>
      <c r="T219" s="37"/>
      <c r="U219" s="37"/>
      <c r="V219" s="37"/>
      <c r="W219" s="37"/>
      <c r="X219" s="37"/>
      <c r="Y219" s="37"/>
      <c r="Z219" s="37"/>
      <c r="AA219" s="37">
        <f t="shared" ref="AA219:AA282" si="22">SUM(G219:Z219)</f>
        <v>0</v>
      </c>
      <c r="AB219" s="37">
        <f t="shared" si="20"/>
        <v>0</v>
      </c>
    </row>
    <row r="220" spans="1:28" ht="14.4">
      <c r="A220" s="117">
        <v>1140213101</v>
      </c>
      <c r="B220" s="117" t="s">
        <v>63</v>
      </c>
      <c r="C220" s="37">
        <f>+VLOOKUP(A220,Composición!C:G,5,FALSE)</f>
        <v>4254000000</v>
      </c>
      <c r="D220" s="37"/>
      <c r="E220" s="37"/>
      <c r="F220" s="37">
        <f>+VLOOKUP(A220,Composición!C:J,8,FALSE)</f>
        <v>2194000000</v>
      </c>
      <c r="G220" s="37">
        <f t="shared" si="19"/>
        <v>2060000000</v>
      </c>
      <c r="H220" s="37"/>
      <c r="I220" s="37"/>
      <c r="J220" s="37"/>
      <c r="K220" s="37"/>
      <c r="L220" s="37"/>
      <c r="M220" s="37"/>
      <c r="N220" s="37"/>
      <c r="O220" s="37"/>
      <c r="P220" s="37"/>
      <c r="Q220" s="37"/>
      <c r="R220" s="37"/>
      <c r="S220" s="37">
        <f t="shared" ref="S220:S221" si="23">-G220</f>
        <v>-2060000000</v>
      </c>
      <c r="T220" s="37"/>
      <c r="U220" s="37"/>
      <c r="V220" s="37"/>
      <c r="W220" s="37"/>
      <c r="X220" s="37"/>
      <c r="Y220" s="37"/>
      <c r="Z220" s="37"/>
      <c r="AA220" s="37">
        <f t="shared" si="22"/>
        <v>0</v>
      </c>
      <c r="AB220" s="37">
        <f t="shared" si="20"/>
        <v>0</v>
      </c>
    </row>
    <row r="221" spans="1:28" ht="14.4">
      <c r="A221" s="117">
        <v>1140213102</v>
      </c>
      <c r="B221" s="117" t="s">
        <v>64</v>
      </c>
      <c r="C221" s="37">
        <f>+VLOOKUP(A221,Composición!C:G,5,FALSE)</f>
        <v>0</v>
      </c>
      <c r="D221" s="37"/>
      <c r="E221" s="37"/>
      <c r="F221" s="37">
        <f>+VLOOKUP(A221,Composición!C:J,8,FALSE)</f>
        <v>1699680060</v>
      </c>
      <c r="G221" s="37">
        <f t="shared" ref="G221:G284" si="24">C221+D221-E221-F221</f>
        <v>-1699680060</v>
      </c>
      <c r="H221" s="37"/>
      <c r="I221" s="37"/>
      <c r="J221" s="37"/>
      <c r="K221" s="37"/>
      <c r="L221" s="37"/>
      <c r="M221" s="37"/>
      <c r="N221" s="37"/>
      <c r="O221" s="37"/>
      <c r="P221" s="37"/>
      <c r="Q221" s="37"/>
      <c r="R221" s="37"/>
      <c r="S221" s="37">
        <f t="shared" si="23"/>
        <v>1699680060</v>
      </c>
      <c r="T221" s="37"/>
      <c r="U221" s="37"/>
      <c r="V221" s="37"/>
      <c r="W221" s="37"/>
      <c r="X221" s="37"/>
      <c r="Y221" s="37"/>
      <c r="Z221" s="37"/>
      <c r="AA221" s="37">
        <f t="shared" si="22"/>
        <v>0</v>
      </c>
      <c r="AB221" s="37">
        <f t="shared" si="20"/>
        <v>0</v>
      </c>
    </row>
    <row r="222" spans="1:28" ht="14.4">
      <c r="A222" s="117">
        <v>11402132</v>
      </c>
      <c r="B222" s="117" t="s">
        <v>65</v>
      </c>
      <c r="C222" s="37">
        <f>+VLOOKUP(A222,Composición!C:G,5,FALSE)</f>
        <v>0</v>
      </c>
      <c r="D222" s="37"/>
      <c r="E222" s="37"/>
      <c r="F222" s="37">
        <f>+VLOOKUP(A222,Composición!C:J,8,FALSE)</f>
        <v>0</v>
      </c>
      <c r="G222" s="37">
        <f t="shared" si="24"/>
        <v>0</v>
      </c>
      <c r="H222" s="37"/>
      <c r="I222" s="37"/>
      <c r="J222" s="37"/>
      <c r="K222" s="37"/>
      <c r="L222" s="37"/>
      <c r="M222" s="37"/>
      <c r="N222" s="37"/>
      <c r="O222" s="37"/>
      <c r="P222" s="37"/>
      <c r="Q222" s="37"/>
      <c r="R222" s="37"/>
      <c r="S222" s="37"/>
      <c r="T222" s="37"/>
      <c r="U222" s="37"/>
      <c r="V222" s="37"/>
      <c r="W222" s="37"/>
      <c r="X222" s="37"/>
      <c r="Y222" s="37"/>
      <c r="Z222" s="37"/>
      <c r="AA222" s="37">
        <f t="shared" si="22"/>
        <v>0</v>
      </c>
      <c r="AB222" s="37">
        <f t="shared" si="20"/>
        <v>0</v>
      </c>
    </row>
    <row r="223" spans="1:28" ht="14.4">
      <c r="A223" s="117">
        <v>1140213201</v>
      </c>
      <c r="B223" s="117" t="s">
        <v>66</v>
      </c>
      <c r="C223" s="37">
        <f>+VLOOKUP(A223,Composición!C:G,5,FALSE)</f>
        <v>0</v>
      </c>
      <c r="D223" s="37"/>
      <c r="E223" s="37"/>
      <c r="F223" s="37">
        <f>+VLOOKUP(A223,Composición!C:J,8,FALSE)</f>
        <v>1558000000</v>
      </c>
      <c r="G223" s="37">
        <f t="shared" si="24"/>
        <v>-1558000000</v>
      </c>
      <c r="H223" s="37"/>
      <c r="I223" s="37"/>
      <c r="J223" s="37"/>
      <c r="K223" s="37"/>
      <c r="L223" s="37"/>
      <c r="M223" s="37"/>
      <c r="N223" s="37"/>
      <c r="O223" s="37"/>
      <c r="P223" s="37"/>
      <c r="Q223" s="37"/>
      <c r="R223" s="37"/>
      <c r="S223" s="37">
        <f>-G223</f>
        <v>1558000000</v>
      </c>
      <c r="T223" s="37"/>
      <c r="U223" s="37"/>
      <c r="V223" s="37"/>
      <c r="W223" s="37"/>
      <c r="X223" s="37"/>
      <c r="Y223" s="37"/>
      <c r="Z223" s="37"/>
      <c r="AA223" s="37">
        <f t="shared" si="22"/>
        <v>0</v>
      </c>
      <c r="AB223" s="37">
        <f t="shared" si="20"/>
        <v>0</v>
      </c>
    </row>
    <row r="224" spans="1:28" ht="14.4">
      <c r="A224" s="117">
        <v>1140213202</v>
      </c>
      <c r="B224" s="117" t="s">
        <v>690</v>
      </c>
      <c r="C224" s="37">
        <f>+VLOOKUP(A224,Composición!C:G,5,FALSE)</f>
        <v>0</v>
      </c>
      <c r="D224" s="37"/>
      <c r="E224" s="37"/>
      <c r="F224" s="37">
        <f>+VLOOKUP(A224,Composición!C:J,8,FALSE)</f>
        <v>0</v>
      </c>
      <c r="G224" s="37">
        <f t="shared" si="24"/>
        <v>0</v>
      </c>
      <c r="H224" s="37"/>
      <c r="I224" s="37"/>
      <c r="J224" s="37"/>
      <c r="K224" s="37"/>
      <c r="L224" s="37"/>
      <c r="M224" s="37"/>
      <c r="N224" s="37"/>
      <c r="O224" s="37"/>
      <c r="P224" s="37"/>
      <c r="Q224" s="37"/>
      <c r="R224" s="37"/>
      <c r="S224" s="37"/>
      <c r="T224" s="37"/>
      <c r="U224" s="37"/>
      <c r="V224" s="37"/>
      <c r="W224" s="37"/>
      <c r="X224" s="37"/>
      <c r="Y224" s="37"/>
      <c r="Z224" s="37"/>
      <c r="AA224" s="37">
        <f t="shared" si="22"/>
        <v>0</v>
      </c>
      <c r="AB224" s="37">
        <f t="shared" si="20"/>
        <v>0</v>
      </c>
    </row>
    <row r="225" spans="1:28" ht="14.4">
      <c r="A225" s="117">
        <v>11402133</v>
      </c>
      <c r="B225" s="117" t="s">
        <v>691</v>
      </c>
      <c r="C225" s="37">
        <f>+VLOOKUP(A225,Composición!C:G,5,FALSE)</f>
        <v>0</v>
      </c>
      <c r="D225" s="37"/>
      <c r="E225" s="37"/>
      <c r="F225" s="37">
        <f>+VLOOKUP(A225,Composición!C:J,8,FALSE)</f>
        <v>0</v>
      </c>
      <c r="G225" s="37">
        <f t="shared" si="24"/>
        <v>0</v>
      </c>
      <c r="H225" s="37"/>
      <c r="I225" s="37"/>
      <c r="J225" s="37"/>
      <c r="K225" s="37"/>
      <c r="L225" s="37"/>
      <c r="M225" s="37"/>
      <c r="N225" s="37"/>
      <c r="O225" s="37"/>
      <c r="P225" s="37"/>
      <c r="Q225" s="37"/>
      <c r="R225" s="37"/>
      <c r="S225" s="37"/>
      <c r="T225" s="37"/>
      <c r="U225" s="37"/>
      <c r="V225" s="37"/>
      <c r="W225" s="37"/>
      <c r="X225" s="37"/>
      <c r="Y225" s="37"/>
      <c r="Z225" s="37"/>
      <c r="AA225" s="37">
        <f t="shared" si="22"/>
        <v>0</v>
      </c>
      <c r="AB225" s="37">
        <f t="shared" si="20"/>
        <v>0</v>
      </c>
    </row>
    <row r="226" spans="1:28" ht="14.4">
      <c r="A226" s="117">
        <v>1140213301</v>
      </c>
      <c r="B226" s="117" t="s">
        <v>692</v>
      </c>
      <c r="C226" s="37">
        <f>+VLOOKUP(A226,Composición!C:G,5,FALSE)</f>
        <v>0</v>
      </c>
      <c r="D226" s="37"/>
      <c r="E226" s="37"/>
      <c r="F226" s="37">
        <f>+VLOOKUP(A226,Composición!C:J,8,FALSE)</f>
        <v>0</v>
      </c>
      <c r="G226" s="37">
        <f t="shared" si="24"/>
        <v>0</v>
      </c>
      <c r="H226" s="37"/>
      <c r="I226" s="37"/>
      <c r="J226" s="37"/>
      <c r="K226" s="37"/>
      <c r="L226" s="37"/>
      <c r="M226" s="37"/>
      <c r="N226" s="37"/>
      <c r="O226" s="37"/>
      <c r="P226" s="37"/>
      <c r="Q226" s="37"/>
      <c r="R226" s="37"/>
      <c r="S226" s="37"/>
      <c r="T226" s="37"/>
      <c r="U226" s="37"/>
      <c r="V226" s="37"/>
      <c r="W226" s="37"/>
      <c r="X226" s="37"/>
      <c r="Y226" s="37"/>
      <c r="Z226" s="37"/>
      <c r="AA226" s="37">
        <f t="shared" si="22"/>
        <v>0</v>
      </c>
      <c r="AB226" s="37">
        <f t="shared" si="20"/>
        <v>0</v>
      </c>
    </row>
    <row r="227" spans="1:28" ht="14.4">
      <c r="A227" s="117">
        <v>1140213302</v>
      </c>
      <c r="B227" s="117" t="s">
        <v>693</v>
      </c>
      <c r="C227" s="37">
        <f>+VLOOKUP(A227,Composición!C:G,5,FALSE)</f>
        <v>0</v>
      </c>
      <c r="D227" s="37"/>
      <c r="E227" s="37"/>
      <c r="F227" s="37">
        <f>+VLOOKUP(A227,Composición!C:J,8,FALSE)</f>
        <v>0</v>
      </c>
      <c r="G227" s="37">
        <f t="shared" si="24"/>
        <v>0</v>
      </c>
      <c r="H227" s="37"/>
      <c r="I227" s="37"/>
      <c r="J227" s="37"/>
      <c r="K227" s="37"/>
      <c r="L227" s="37"/>
      <c r="M227" s="37"/>
      <c r="N227" s="37"/>
      <c r="O227" s="37"/>
      <c r="P227" s="37"/>
      <c r="Q227" s="37"/>
      <c r="R227" s="37"/>
      <c r="S227" s="37">
        <f>-G227</f>
        <v>0</v>
      </c>
      <c r="T227" s="37"/>
      <c r="U227" s="37"/>
      <c r="V227" s="37"/>
      <c r="W227" s="37"/>
      <c r="X227" s="37"/>
      <c r="Y227" s="37"/>
      <c r="Z227" s="37"/>
      <c r="AA227" s="37">
        <f t="shared" si="22"/>
        <v>0</v>
      </c>
      <c r="AB227" s="37">
        <f t="shared" si="20"/>
        <v>0</v>
      </c>
    </row>
    <row r="228" spans="1:28" ht="14.4">
      <c r="A228" s="117">
        <v>1140214</v>
      </c>
      <c r="B228" s="117" t="s">
        <v>67</v>
      </c>
      <c r="C228" s="37">
        <f>+VLOOKUP(A228,Composición!C:G,5,FALSE)</f>
        <v>0</v>
      </c>
      <c r="D228" s="37"/>
      <c r="E228" s="37"/>
      <c r="F228" s="37">
        <f>+VLOOKUP(A228,Composición!C:J,8,FALSE)</f>
        <v>0</v>
      </c>
      <c r="G228" s="37">
        <f t="shared" si="24"/>
        <v>0</v>
      </c>
      <c r="H228" s="37"/>
      <c r="I228" s="37"/>
      <c r="J228" s="37"/>
      <c r="K228" s="37"/>
      <c r="L228" s="37"/>
      <c r="M228" s="37"/>
      <c r="N228" s="37"/>
      <c r="O228" s="37"/>
      <c r="P228" s="37"/>
      <c r="Q228" s="37"/>
      <c r="R228" s="37"/>
      <c r="S228" s="37">
        <f>-G228</f>
        <v>0</v>
      </c>
      <c r="T228" s="37"/>
      <c r="U228" s="37"/>
      <c r="V228" s="37"/>
      <c r="W228" s="37"/>
      <c r="X228" s="37"/>
      <c r="Y228" s="37"/>
      <c r="Z228" s="37"/>
      <c r="AA228" s="37">
        <f t="shared" si="22"/>
        <v>0</v>
      </c>
      <c r="AB228" s="37">
        <f t="shared" si="20"/>
        <v>0</v>
      </c>
    </row>
    <row r="229" spans="1:28" ht="14.4">
      <c r="A229" s="117">
        <v>11402141</v>
      </c>
      <c r="B229" s="117" t="s">
        <v>56</v>
      </c>
      <c r="C229" s="37">
        <f>+VLOOKUP(A229,Composición!C:G,5,FALSE)</f>
        <v>0</v>
      </c>
      <c r="D229" s="37"/>
      <c r="E229" s="37"/>
      <c r="F229" s="37">
        <f>+VLOOKUP(A229,Composición!C:J,8,FALSE)</f>
        <v>0</v>
      </c>
      <c r="G229" s="37">
        <f t="shared" si="24"/>
        <v>0</v>
      </c>
      <c r="H229" s="37"/>
      <c r="I229" s="37"/>
      <c r="J229" s="37"/>
      <c r="K229" s="37"/>
      <c r="L229" s="37"/>
      <c r="M229" s="37"/>
      <c r="N229" s="37"/>
      <c r="O229" s="37"/>
      <c r="P229" s="37"/>
      <c r="Q229" s="37"/>
      <c r="R229" s="37"/>
      <c r="S229" s="37"/>
      <c r="T229" s="37"/>
      <c r="U229" s="37"/>
      <c r="V229" s="37"/>
      <c r="W229" s="37"/>
      <c r="X229" s="37"/>
      <c r="Y229" s="37"/>
      <c r="Z229" s="37"/>
      <c r="AA229" s="37">
        <f t="shared" si="22"/>
        <v>0</v>
      </c>
      <c r="AB229" s="37">
        <f t="shared" si="20"/>
        <v>0</v>
      </c>
    </row>
    <row r="230" spans="1:28" ht="14.4">
      <c r="A230" s="117">
        <v>1140214101</v>
      </c>
      <c r="B230" s="117" t="s">
        <v>68</v>
      </c>
      <c r="C230" s="37">
        <f>+VLOOKUP(A230,Composición!C:G,5,FALSE)</f>
        <v>8958000000</v>
      </c>
      <c r="D230" s="37"/>
      <c r="E230" s="37"/>
      <c r="F230" s="37">
        <f>+VLOOKUP(A230,Composición!C:J,8,FALSE)</f>
        <v>3340000000</v>
      </c>
      <c r="G230" s="37">
        <f t="shared" si="24"/>
        <v>5618000000</v>
      </c>
      <c r="H230" s="37"/>
      <c r="I230" s="37"/>
      <c r="J230" s="37"/>
      <c r="K230" s="37"/>
      <c r="L230" s="37"/>
      <c r="M230" s="37"/>
      <c r="N230" s="37"/>
      <c r="O230" s="37"/>
      <c r="P230" s="37"/>
      <c r="Q230" s="37"/>
      <c r="R230" s="37"/>
      <c r="S230" s="37">
        <f>-G230</f>
        <v>-5618000000</v>
      </c>
      <c r="T230" s="37"/>
      <c r="U230" s="37"/>
      <c r="V230" s="37"/>
      <c r="W230" s="37"/>
      <c r="X230" s="37"/>
      <c r="Y230" s="37"/>
      <c r="Z230" s="37"/>
      <c r="AA230" s="37">
        <f t="shared" si="22"/>
        <v>0</v>
      </c>
      <c r="AB230" s="37">
        <f t="shared" si="20"/>
        <v>0</v>
      </c>
    </row>
    <row r="231" spans="1:28" ht="14.4">
      <c r="A231" s="117">
        <v>1140214102</v>
      </c>
      <c r="B231" s="117" t="s">
        <v>694</v>
      </c>
      <c r="C231" s="37">
        <f>+VLOOKUP(A231,Composición!C:G,5,FALSE)</f>
        <v>6907171320</v>
      </c>
      <c r="D231" s="37"/>
      <c r="E231" s="37"/>
      <c r="F231" s="37">
        <f>+VLOOKUP(A231,Composición!C:J,8,FALSE)</f>
        <v>0</v>
      </c>
      <c r="G231" s="37">
        <f t="shared" si="24"/>
        <v>6907171320</v>
      </c>
      <c r="H231" s="37"/>
      <c r="I231" s="37"/>
      <c r="J231" s="37"/>
      <c r="K231" s="37"/>
      <c r="L231" s="37"/>
      <c r="M231" s="37"/>
      <c r="N231" s="37"/>
      <c r="O231" s="37"/>
      <c r="P231" s="37"/>
      <c r="Q231" s="37"/>
      <c r="R231" s="37"/>
      <c r="S231" s="37">
        <f>-G231</f>
        <v>-6907171320</v>
      </c>
      <c r="T231" s="37"/>
      <c r="U231" s="37"/>
      <c r="V231" s="37"/>
      <c r="W231" s="37"/>
      <c r="X231" s="37"/>
      <c r="Y231" s="37"/>
      <c r="Z231" s="37"/>
      <c r="AA231" s="37">
        <f t="shared" si="22"/>
        <v>0</v>
      </c>
      <c r="AB231" s="37">
        <f t="shared" si="20"/>
        <v>0</v>
      </c>
    </row>
    <row r="232" spans="1:28" ht="14.4">
      <c r="A232" s="117">
        <v>11402142</v>
      </c>
      <c r="B232" s="117" t="s">
        <v>526</v>
      </c>
      <c r="C232" s="37">
        <f>+VLOOKUP(A232,Composición!C:G,5,FALSE)</f>
        <v>0</v>
      </c>
      <c r="D232" s="37"/>
      <c r="E232" s="37"/>
      <c r="F232" s="37">
        <f>+VLOOKUP(A232,Composición!C:J,8,FALSE)</f>
        <v>0</v>
      </c>
      <c r="G232" s="37">
        <f t="shared" si="24"/>
        <v>0</v>
      </c>
      <c r="H232" s="37"/>
      <c r="I232" s="37"/>
      <c r="J232" s="37"/>
      <c r="K232" s="37"/>
      <c r="L232" s="37"/>
      <c r="M232" s="37"/>
      <c r="N232" s="37"/>
      <c r="O232" s="37"/>
      <c r="P232" s="37"/>
      <c r="Q232" s="37"/>
      <c r="R232" s="37"/>
      <c r="S232" s="37"/>
      <c r="T232" s="37"/>
      <c r="U232" s="37"/>
      <c r="V232" s="37"/>
      <c r="W232" s="37"/>
      <c r="X232" s="37"/>
      <c r="Y232" s="37"/>
      <c r="Z232" s="37"/>
      <c r="AA232" s="37">
        <f t="shared" si="22"/>
        <v>0</v>
      </c>
      <c r="AB232" s="37">
        <f t="shared" si="20"/>
        <v>0</v>
      </c>
    </row>
    <row r="233" spans="1:28" ht="14.4">
      <c r="A233" s="117">
        <v>1140214201</v>
      </c>
      <c r="B233" s="117" t="s">
        <v>695</v>
      </c>
      <c r="C233" s="37">
        <f>+VLOOKUP(A233,Composición!C:G,5,FALSE)</f>
        <v>0</v>
      </c>
      <c r="D233" s="37"/>
      <c r="E233" s="37"/>
      <c r="F233" s="37">
        <f>+VLOOKUP(A233,Composición!C:J,8,FALSE)</f>
        <v>0</v>
      </c>
      <c r="G233" s="37">
        <f t="shared" si="24"/>
        <v>0</v>
      </c>
      <c r="H233" s="37"/>
      <c r="I233" s="37"/>
      <c r="J233" s="37"/>
      <c r="K233" s="37"/>
      <c r="L233" s="37"/>
      <c r="M233" s="37"/>
      <c r="N233" s="37"/>
      <c r="O233" s="37"/>
      <c r="P233" s="37"/>
      <c r="Q233" s="37"/>
      <c r="R233" s="37"/>
      <c r="S233" s="37">
        <f>-G233</f>
        <v>0</v>
      </c>
      <c r="T233" s="37"/>
      <c r="U233" s="37"/>
      <c r="V233" s="37"/>
      <c r="W233" s="37"/>
      <c r="X233" s="37"/>
      <c r="Y233" s="37"/>
      <c r="Z233" s="37"/>
      <c r="AA233" s="37">
        <f t="shared" si="22"/>
        <v>0</v>
      </c>
      <c r="AB233" s="37">
        <f t="shared" si="20"/>
        <v>0</v>
      </c>
    </row>
    <row r="234" spans="1:28" ht="14.4">
      <c r="A234" s="117">
        <v>1140214202</v>
      </c>
      <c r="B234" s="117" t="s">
        <v>696</v>
      </c>
      <c r="C234" s="37">
        <f>+VLOOKUP(A234,Composición!C:G,5,FALSE)</f>
        <v>0</v>
      </c>
      <c r="D234" s="37"/>
      <c r="E234" s="37"/>
      <c r="F234" s="37">
        <f>+VLOOKUP(A234,Composición!C:J,8,FALSE)</f>
        <v>0</v>
      </c>
      <c r="G234" s="37">
        <f t="shared" si="24"/>
        <v>0</v>
      </c>
      <c r="H234" s="37"/>
      <c r="I234" s="37"/>
      <c r="J234" s="37"/>
      <c r="K234" s="37"/>
      <c r="L234" s="37"/>
      <c r="M234" s="37"/>
      <c r="N234" s="37"/>
      <c r="O234" s="37"/>
      <c r="P234" s="37"/>
      <c r="Q234" s="37"/>
      <c r="R234" s="37"/>
      <c r="S234" s="37"/>
      <c r="T234" s="37"/>
      <c r="U234" s="37"/>
      <c r="V234" s="37"/>
      <c r="W234" s="37"/>
      <c r="X234" s="37"/>
      <c r="Y234" s="37"/>
      <c r="Z234" s="37"/>
      <c r="AA234" s="37">
        <f t="shared" si="22"/>
        <v>0</v>
      </c>
      <c r="AB234" s="37">
        <f t="shared" si="20"/>
        <v>0</v>
      </c>
    </row>
    <row r="235" spans="1:28" ht="14.4">
      <c r="A235" s="117">
        <v>11402143</v>
      </c>
      <c r="B235" s="117" t="s">
        <v>58</v>
      </c>
      <c r="C235" s="37">
        <f>+VLOOKUP(A235,Composición!C:G,5,FALSE)</f>
        <v>0</v>
      </c>
      <c r="D235" s="37"/>
      <c r="E235" s="37"/>
      <c r="F235" s="37">
        <f>+VLOOKUP(A235,Composición!C:J,8,FALSE)</f>
        <v>0</v>
      </c>
      <c r="G235" s="37">
        <f t="shared" si="24"/>
        <v>0</v>
      </c>
      <c r="H235" s="37"/>
      <c r="I235" s="37"/>
      <c r="J235" s="37"/>
      <c r="K235" s="37"/>
      <c r="L235" s="37"/>
      <c r="M235" s="37"/>
      <c r="N235" s="37"/>
      <c r="O235" s="37"/>
      <c r="P235" s="37"/>
      <c r="Q235" s="37"/>
      <c r="R235" s="37"/>
      <c r="S235" s="37"/>
      <c r="T235" s="37"/>
      <c r="U235" s="37"/>
      <c r="V235" s="37"/>
      <c r="W235" s="37"/>
      <c r="X235" s="37"/>
      <c r="Y235" s="37"/>
      <c r="Z235" s="37"/>
      <c r="AA235" s="37">
        <f t="shared" si="22"/>
        <v>0</v>
      </c>
      <c r="AB235" s="37">
        <f t="shared" si="20"/>
        <v>0</v>
      </c>
    </row>
    <row r="236" spans="1:28" ht="14.4">
      <c r="A236" s="117">
        <v>1140214301</v>
      </c>
      <c r="B236" s="117" t="s">
        <v>69</v>
      </c>
      <c r="C236" s="37">
        <f>+VLOOKUP(A236,Composición!C:G,5,FALSE)</f>
        <v>100000000</v>
      </c>
      <c r="D236" s="37"/>
      <c r="E236" s="37"/>
      <c r="F236" s="37">
        <f>+VLOOKUP(A236,Composición!C:J,8,FALSE)</f>
        <v>950000000</v>
      </c>
      <c r="G236" s="37">
        <f t="shared" si="24"/>
        <v>-850000000</v>
      </c>
      <c r="H236" s="37"/>
      <c r="I236" s="37"/>
      <c r="J236" s="37"/>
      <c r="K236" s="37"/>
      <c r="L236" s="37"/>
      <c r="M236" s="37"/>
      <c r="N236" s="37"/>
      <c r="O236" s="37"/>
      <c r="P236" s="37"/>
      <c r="Q236" s="37"/>
      <c r="R236" s="37"/>
      <c r="S236" s="37">
        <f>-G236</f>
        <v>850000000</v>
      </c>
      <c r="T236" s="37"/>
      <c r="U236" s="37"/>
      <c r="V236" s="37"/>
      <c r="W236" s="37"/>
      <c r="X236" s="37"/>
      <c r="Y236" s="37"/>
      <c r="Z236" s="37"/>
      <c r="AA236" s="37">
        <f t="shared" si="22"/>
        <v>0</v>
      </c>
      <c r="AB236" s="37">
        <f t="shared" si="20"/>
        <v>0</v>
      </c>
    </row>
    <row r="237" spans="1:28" ht="14.4">
      <c r="A237" s="117">
        <v>1140214302</v>
      </c>
      <c r="B237" s="117" t="s">
        <v>70</v>
      </c>
      <c r="C237" s="37">
        <f>+VLOOKUP(A237,Composición!C:G,5,FALSE)</f>
        <v>0</v>
      </c>
      <c r="D237" s="37"/>
      <c r="E237" s="37"/>
      <c r="F237" s="37">
        <f>+VLOOKUP(A237,Composición!C:J,8,FALSE)</f>
        <v>363179500</v>
      </c>
      <c r="G237" s="37">
        <f t="shared" si="24"/>
        <v>-363179500</v>
      </c>
      <c r="H237" s="37"/>
      <c r="I237" s="37"/>
      <c r="J237" s="37"/>
      <c r="K237" s="37"/>
      <c r="L237" s="37"/>
      <c r="M237" s="37"/>
      <c r="N237" s="37"/>
      <c r="O237" s="37"/>
      <c r="P237" s="37"/>
      <c r="Q237" s="37"/>
      <c r="R237" s="37"/>
      <c r="S237" s="37">
        <f>-G237</f>
        <v>363179500</v>
      </c>
      <c r="T237" s="37"/>
      <c r="U237" s="37"/>
      <c r="V237" s="37"/>
      <c r="W237" s="37"/>
      <c r="X237" s="37"/>
      <c r="Y237" s="37"/>
      <c r="Z237" s="37"/>
      <c r="AA237" s="37">
        <f t="shared" si="22"/>
        <v>0</v>
      </c>
      <c r="AB237" s="37">
        <f t="shared" si="20"/>
        <v>0</v>
      </c>
    </row>
    <row r="238" spans="1:28" ht="14.4">
      <c r="A238" s="117">
        <v>11402144</v>
      </c>
      <c r="B238" s="117" t="s">
        <v>62</v>
      </c>
      <c r="C238" s="37">
        <f>+VLOOKUP(A238,Composición!C:G,5,FALSE)</f>
        <v>0</v>
      </c>
      <c r="D238" s="37"/>
      <c r="E238" s="37"/>
      <c r="F238" s="37">
        <f>+VLOOKUP(A238,Composición!C:J,8,FALSE)</f>
        <v>0</v>
      </c>
      <c r="G238" s="37">
        <f t="shared" si="24"/>
        <v>0</v>
      </c>
      <c r="H238" s="37"/>
      <c r="I238" s="37"/>
      <c r="J238" s="37"/>
      <c r="K238" s="37"/>
      <c r="L238" s="37"/>
      <c r="M238" s="37"/>
      <c r="N238" s="37"/>
      <c r="O238" s="37"/>
      <c r="P238" s="37"/>
      <c r="Q238" s="37"/>
      <c r="R238" s="37"/>
      <c r="S238" s="37"/>
      <c r="T238" s="37"/>
      <c r="U238" s="37"/>
      <c r="V238" s="37"/>
      <c r="W238" s="37"/>
      <c r="X238" s="37"/>
      <c r="Y238" s="37"/>
      <c r="Z238" s="37"/>
      <c r="AA238" s="37">
        <f t="shared" si="22"/>
        <v>0</v>
      </c>
      <c r="AB238" s="37">
        <f t="shared" si="20"/>
        <v>0</v>
      </c>
    </row>
    <row r="239" spans="1:28" ht="14.4">
      <c r="A239" s="117">
        <v>1140214401</v>
      </c>
      <c r="B239" s="117" t="s">
        <v>63</v>
      </c>
      <c r="C239" s="37">
        <f>+VLOOKUP(A239,Composición!C:G,5,FALSE)</f>
        <v>0</v>
      </c>
      <c r="D239" s="37"/>
      <c r="E239" s="37"/>
      <c r="F239" s="37">
        <f>+VLOOKUP(A239,Composición!C:J,8,FALSE)</f>
        <v>0</v>
      </c>
      <c r="G239" s="37">
        <f t="shared" si="24"/>
        <v>0</v>
      </c>
      <c r="H239" s="37"/>
      <c r="I239" s="37"/>
      <c r="J239" s="37"/>
      <c r="K239" s="37"/>
      <c r="L239" s="37"/>
      <c r="M239" s="37"/>
      <c r="N239" s="37"/>
      <c r="O239" s="37"/>
      <c r="P239" s="37"/>
      <c r="Q239" s="37"/>
      <c r="R239" s="37"/>
      <c r="S239" s="37"/>
      <c r="T239" s="37"/>
      <c r="U239" s="37"/>
      <c r="V239" s="37"/>
      <c r="W239" s="37"/>
      <c r="X239" s="37"/>
      <c r="Y239" s="37"/>
      <c r="Z239" s="37"/>
      <c r="AA239" s="37">
        <f t="shared" si="22"/>
        <v>0</v>
      </c>
      <c r="AB239" s="37">
        <f t="shared" si="20"/>
        <v>0</v>
      </c>
    </row>
    <row r="240" spans="1:28" ht="14.4">
      <c r="A240" s="117">
        <v>1140214402</v>
      </c>
      <c r="B240" s="117" t="s">
        <v>64</v>
      </c>
      <c r="C240" s="37">
        <f>+VLOOKUP(A240,Composición!C:G,5,FALSE)</f>
        <v>0</v>
      </c>
      <c r="D240" s="37"/>
      <c r="E240" s="37"/>
      <c r="F240" s="37">
        <f>+VLOOKUP(A240,Composición!C:J,8,FALSE)</f>
        <v>0</v>
      </c>
      <c r="G240" s="37">
        <f t="shared" si="24"/>
        <v>0</v>
      </c>
      <c r="H240" s="37"/>
      <c r="I240" s="37"/>
      <c r="J240" s="37"/>
      <c r="K240" s="37"/>
      <c r="L240" s="37"/>
      <c r="M240" s="37"/>
      <c r="N240" s="37"/>
      <c r="O240" s="37"/>
      <c r="P240" s="37"/>
      <c r="Q240" s="37"/>
      <c r="R240" s="37"/>
      <c r="S240" s="37"/>
      <c r="T240" s="37"/>
      <c r="U240" s="37"/>
      <c r="V240" s="37"/>
      <c r="W240" s="37"/>
      <c r="X240" s="37"/>
      <c r="Y240" s="37"/>
      <c r="Z240" s="37"/>
      <c r="AA240" s="37">
        <f t="shared" si="22"/>
        <v>0</v>
      </c>
      <c r="AB240" s="37">
        <f t="shared" si="20"/>
        <v>0</v>
      </c>
    </row>
    <row r="241" spans="1:28" ht="14.4">
      <c r="A241" s="117">
        <v>11402145</v>
      </c>
      <c r="B241" s="117" t="s">
        <v>65</v>
      </c>
      <c r="C241" s="37">
        <f>+VLOOKUP(A241,Composición!C:G,5,FALSE)</f>
        <v>0</v>
      </c>
      <c r="D241" s="37"/>
      <c r="E241" s="37"/>
      <c r="F241" s="37">
        <f>+VLOOKUP(A241,Composición!C:J,8,FALSE)</f>
        <v>0</v>
      </c>
      <c r="G241" s="37">
        <f t="shared" si="24"/>
        <v>0</v>
      </c>
      <c r="H241" s="37"/>
      <c r="I241" s="37"/>
      <c r="J241" s="37"/>
      <c r="K241" s="37"/>
      <c r="L241" s="37"/>
      <c r="M241" s="37"/>
      <c r="N241" s="37"/>
      <c r="O241" s="37"/>
      <c r="P241" s="37"/>
      <c r="Q241" s="37"/>
      <c r="R241" s="37"/>
      <c r="S241" s="37"/>
      <c r="T241" s="37"/>
      <c r="U241" s="37"/>
      <c r="V241" s="37"/>
      <c r="W241" s="37"/>
      <c r="X241" s="37"/>
      <c r="Y241" s="37"/>
      <c r="Z241" s="37"/>
      <c r="AA241" s="37">
        <f t="shared" si="22"/>
        <v>0</v>
      </c>
      <c r="AB241" s="37">
        <f t="shared" si="20"/>
        <v>0</v>
      </c>
    </row>
    <row r="242" spans="1:28" ht="14.4">
      <c r="A242" s="117">
        <v>1140214501</v>
      </c>
      <c r="B242" s="117" t="s">
        <v>66</v>
      </c>
      <c r="C242" s="37">
        <f>+VLOOKUP(A242,Composición!C:G,5,FALSE)</f>
        <v>0</v>
      </c>
      <c r="D242" s="37"/>
      <c r="E242" s="37"/>
      <c r="F242" s="37">
        <f>+VLOOKUP(A242,Composición!C:J,8,FALSE)</f>
        <v>0</v>
      </c>
      <c r="G242" s="37">
        <f t="shared" si="24"/>
        <v>0</v>
      </c>
      <c r="H242" s="37"/>
      <c r="I242" s="37"/>
      <c r="J242" s="37"/>
      <c r="K242" s="37"/>
      <c r="L242" s="37"/>
      <c r="M242" s="37"/>
      <c r="N242" s="37"/>
      <c r="O242" s="37"/>
      <c r="P242" s="37"/>
      <c r="Q242" s="37"/>
      <c r="R242" s="37"/>
      <c r="S242" s="37"/>
      <c r="T242" s="37"/>
      <c r="U242" s="37"/>
      <c r="V242" s="37"/>
      <c r="W242" s="37"/>
      <c r="X242" s="37"/>
      <c r="Y242" s="37"/>
      <c r="Z242" s="37"/>
      <c r="AA242" s="37">
        <f t="shared" si="22"/>
        <v>0</v>
      </c>
      <c r="AB242" s="37">
        <f t="shared" si="20"/>
        <v>0</v>
      </c>
    </row>
    <row r="243" spans="1:28" ht="14.4">
      <c r="A243" s="117">
        <v>1140214502</v>
      </c>
      <c r="B243" s="117" t="s">
        <v>690</v>
      </c>
      <c r="C243" s="37">
        <f>+VLOOKUP(A243,Composición!C:G,5,FALSE)</f>
        <v>0</v>
      </c>
      <c r="D243" s="37"/>
      <c r="E243" s="37"/>
      <c r="F243" s="37">
        <f>+VLOOKUP(A243,Composición!C:J,8,FALSE)</f>
        <v>0</v>
      </c>
      <c r="G243" s="37">
        <f t="shared" si="24"/>
        <v>0</v>
      </c>
      <c r="H243" s="37"/>
      <c r="I243" s="37"/>
      <c r="J243" s="37"/>
      <c r="K243" s="37"/>
      <c r="L243" s="37"/>
      <c r="M243" s="37"/>
      <c r="N243" s="37"/>
      <c r="O243" s="37"/>
      <c r="P243" s="37"/>
      <c r="Q243" s="37"/>
      <c r="R243" s="37"/>
      <c r="S243" s="37"/>
      <c r="T243" s="37"/>
      <c r="U243" s="37"/>
      <c r="V243" s="37"/>
      <c r="W243" s="37"/>
      <c r="X243" s="37"/>
      <c r="Y243" s="37"/>
      <c r="Z243" s="37"/>
      <c r="AA243" s="37">
        <f t="shared" si="22"/>
        <v>0</v>
      </c>
      <c r="AB243" s="37">
        <f t="shared" si="20"/>
        <v>0</v>
      </c>
    </row>
    <row r="244" spans="1:28" ht="14.4">
      <c r="A244" s="117">
        <v>11402146</v>
      </c>
      <c r="B244" s="117" t="s">
        <v>691</v>
      </c>
      <c r="C244" s="37">
        <f>+VLOOKUP(A244,Composición!C:G,5,FALSE)</f>
        <v>0</v>
      </c>
      <c r="D244" s="37"/>
      <c r="E244" s="37"/>
      <c r="F244" s="37">
        <f>+VLOOKUP(A244,Composición!C:J,8,FALSE)</f>
        <v>0</v>
      </c>
      <c r="G244" s="37">
        <f t="shared" si="24"/>
        <v>0</v>
      </c>
      <c r="H244" s="37"/>
      <c r="I244" s="37"/>
      <c r="J244" s="37"/>
      <c r="K244" s="37"/>
      <c r="L244" s="37"/>
      <c r="M244" s="37"/>
      <c r="N244" s="37"/>
      <c r="O244" s="37"/>
      <c r="P244" s="37"/>
      <c r="Q244" s="37"/>
      <c r="R244" s="37"/>
      <c r="S244" s="37"/>
      <c r="T244" s="37"/>
      <c r="U244" s="37"/>
      <c r="V244" s="37"/>
      <c r="W244" s="37"/>
      <c r="X244" s="37"/>
      <c r="Y244" s="37"/>
      <c r="Z244" s="37"/>
      <c r="AA244" s="37">
        <f t="shared" si="22"/>
        <v>0</v>
      </c>
      <c r="AB244" s="37">
        <f t="shared" si="20"/>
        <v>0</v>
      </c>
    </row>
    <row r="245" spans="1:28" ht="14.4">
      <c r="A245" s="117">
        <v>1140214601</v>
      </c>
      <c r="B245" s="117" t="s">
        <v>692</v>
      </c>
      <c r="C245" s="37">
        <f>+VLOOKUP(A245,Composición!C:G,5,FALSE)</f>
        <v>0</v>
      </c>
      <c r="D245" s="37"/>
      <c r="E245" s="37"/>
      <c r="F245" s="37">
        <f>+VLOOKUP(A245,Composición!C:J,8,FALSE)</f>
        <v>0</v>
      </c>
      <c r="G245" s="37">
        <f t="shared" si="24"/>
        <v>0</v>
      </c>
      <c r="H245" s="37"/>
      <c r="I245" s="37"/>
      <c r="J245" s="37"/>
      <c r="K245" s="37"/>
      <c r="L245" s="37"/>
      <c r="M245" s="37"/>
      <c r="N245" s="37"/>
      <c r="O245" s="37"/>
      <c r="P245" s="37"/>
      <c r="Q245" s="37"/>
      <c r="R245" s="37"/>
      <c r="S245" s="37"/>
      <c r="T245" s="37"/>
      <c r="U245" s="37"/>
      <c r="V245" s="37"/>
      <c r="W245" s="37"/>
      <c r="X245" s="37"/>
      <c r="Y245" s="37"/>
      <c r="Z245" s="37"/>
      <c r="AA245" s="37">
        <f t="shared" si="22"/>
        <v>0</v>
      </c>
      <c r="AB245" s="37">
        <f t="shared" si="20"/>
        <v>0</v>
      </c>
    </row>
    <row r="246" spans="1:28" ht="14.4">
      <c r="A246" s="117">
        <v>1140214602</v>
      </c>
      <c r="B246" s="117" t="s">
        <v>693</v>
      </c>
      <c r="C246" s="37">
        <f>+VLOOKUP(A246,Composición!C:G,5,FALSE)</f>
        <v>0</v>
      </c>
      <c r="D246" s="37"/>
      <c r="E246" s="37"/>
      <c r="F246" s="37">
        <f>+VLOOKUP(A246,Composición!C:J,8,FALSE)</f>
        <v>0</v>
      </c>
      <c r="G246" s="37">
        <f t="shared" si="24"/>
        <v>0</v>
      </c>
      <c r="H246" s="37"/>
      <c r="I246" s="37"/>
      <c r="J246" s="37"/>
      <c r="K246" s="37"/>
      <c r="L246" s="37"/>
      <c r="M246" s="37"/>
      <c r="N246" s="37"/>
      <c r="O246" s="37"/>
      <c r="P246" s="37"/>
      <c r="Q246" s="37"/>
      <c r="R246" s="37"/>
      <c r="S246" s="37"/>
      <c r="T246" s="37"/>
      <c r="U246" s="37"/>
      <c r="V246" s="37"/>
      <c r="W246" s="37"/>
      <c r="X246" s="37"/>
      <c r="Y246" s="37"/>
      <c r="Z246" s="37"/>
      <c r="AA246" s="37">
        <f t="shared" si="22"/>
        <v>0</v>
      </c>
      <c r="AB246" s="37">
        <f t="shared" si="20"/>
        <v>0</v>
      </c>
    </row>
    <row r="247" spans="1:28" ht="14.4">
      <c r="A247" s="117">
        <v>1140215</v>
      </c>
      <c r="B247" s="117" t="s">
        <v>697</v>
      </c>
      <c r="C247" s="37">
        <f>+VLOOKUP(A247,Composición!C:G,5,FALSE)</f>
        <v>0</v>
      </c>
      <c r="D247" s="37"/>
      <c r="E247" s="37"/>
      <c r="F247" s="37">
        <f>+VLOOKUP(A247,Composición!C:J,8,FALSE)</f>
        <v>0</v>
      </c>
      <c r="G247" s="37">
        <f t="shared" si="24"/>
        <v>0</v>
      </c>
      <c r="H247" s="37"/>
      <c r="I247" s="37"/>
      <c r="J247" s="37"/>
      <c r="K247" s="37"/>
      <c r="L247" s="37"/>
      <c r="M247" s="37"/>
      <c r="N247" s="37"/>
      <c r="O247" s="37"/>
      <c r="P247" s="37"/>
      <c r="Q247" s="37"/>
      <c r="R247" s="37"/>
      <c r="S247" s="37"/>
      <c r="T247" s="37"/>
      <c r="U247" s="37"/>
      <c r="V247" s="37"/>
      <c r="W247" s="37"/>
      <c r="X247" s="37"/>
      <c r="Y247" s="37"/>
      <c r="Z247" s="37"/>
      <c r="AA247" s="37">
        <f t="shared" si="22"/>
        <v>0</v>
      </c>
      <c r="AB247" s="37">
        <f t="shared" si="20"/>
        <v>0</v>
      </c>
    </row>
    <row r="248" spans="1:28" ht="14.4">
      <c r="A248" s="117">
        <v>11402151</v>
      </c>
      <c r="B248" s="117" t="s">
        <v>698</v>
      </c>
      <c r="C248" s="37">
        <f>+VLOOKUP(A248,Composición!C:G,5,FALSE)</f>
        <v>0</v>
      </c>
      <c r="D248" s="37"/>
      <c r="E248" s="37"/>
      <c r="F248" s="37">
        <f>+VLOOKUP(A248,Composición!C:J,8,FALSE)</f>
        <v>0</v>
      </c>
      <c r="G248" s="37">
        <f t="shared" si="24"/>
        <v>0</v>
      </c>
      <c r="H248" s="37"/>
      <c r="I248" s="37"/>
      <c r="J248" s="37"/>
      <c r="K248" s="37"/>
      <c r="L248" s="37"/>
      <c r="M248" s="37"/>
      <c r="N248" s="37"/>
      <c r="O248" s="37"/>
      <c r="P248" s="37"/>
      <c r="Q248" s="37"/>
      <c r="R248" s="37"/>
      <c r="S248" s="37"/>
      <c r="T248" s="37"/>
      <c r="U248" s="37"/>
      <c r="V248" s="37"/>
      <c r="W248" s="37"/>
      <c r="X248" s="37"/>
      <c r="Y248" s="37"/>
      <c r="Z248" s="37"/>
      <c r="AA248" s="37">
        <f t="shared" si="22"/>
        <v>0</v>
      </c>
      <c r="AB248" s="37">
        <f t="shared" si="20"/>
        <v>0</v>
      </c>
    </row>
    <row r="249" spans="1:28" ht="14.4">
      <c r="A249" s="117">
        <v>1140215101</v>
      </c>
      <c r="B249" s="117" t="s">
        <v>699</v>
      </c>
      <c r="C249" s="37">
        <f>+VLOOKUP(A249,Composición!C:G,5,FALSE)</f>
        <v>0</v>
      </c>
      <c r="D249" s="37"/>
      <c r="E249" s="37"/>
      <c r="F249" s="37">
        <f>+VLOOKUP(A249,Composición!C:J,8,FALSE)</f>
        <v>0</v>
      </c>
      <c r="G249" s="37">
        <f t="shared" si="24"/>
        <v>0</v>
      </c>
      <c r="H249" s="37"/>
      <c r="I249" s="37"/>
      <c r="J249" s="37"/>
      <c r="K249" s="37"/>
      <c r="L249" s="37"/>
      <c r="M249" s="37"/>
      <c r="N249" s="37"/>
      <c r="O249" s="37"/>
      <c r="P249" s="37"/>
      <c r="Q249" s="37"/>
      <c r="R249" s="37"/>
      <c r="S249" s="37"/>
      <c r="T249" s="37"/>
      <c r="U249" s="37"/>
      <c r="V249" s="37"/>
      <c r="W249" s="37"/>
      <c r="X249" s="37"/>
      <c r="Y249" s="37"/>
      <c r="Z249" s="37"/>
      <c r="AA249" s="37">
        <f t="shared" si="22"/>
        <v>0</v>
      </c>
      <c r="AB249" s="37">
        <f t="shared" si="20"/>
        <v>0</v>
      </c>
    </row>
    <row r="250" spans="1:28" ht="14.4">
      <c r="A250" s="117">
        <v>1140215102</v>
      </c>
      <c r="B250" s="117" t="s">
        <v>700</v>
      </c>
      <c r="C250" s="37">
        <f>+VLOOKUP(A250,Composición!C:G,5,FALSE)</f>
        <v>0</v>
      </c>
      <c r="D250" s="37"/>
      <c r="E250" s="37"/>
      <c r="F250" s="37">
        <f>+VLOOKUP(A250,Composición!C:J,8,FALSE)</f>
        <v>0</v>
      </c>
      <c r="G250" s="37">
        <f t="shared" si="24"/>
        <v>0</v>
      </c>
      <c r="H250" s="37"/>
      <c r="I250" s="37"/>
      <c r="J250" s="37"/>
      <c r="K250" s="37"/>
      <c r="L250" s="37"/>
      <c r="M250" s="37"/>
      <c r="N250" s="37"/>
      <c r="O250" s="37"/>
      <c r="P250" s="37"/>
      <c r="Q250" s="37"/>
      <c r="R250" s="37"/>
      <c r="S250" s="37"/>
      <c r="T250" s="37"/>
      <c r="U250" s="37"/>
      <c r="V250" s="37"/>
      <c r="W250" s="37"/>
      <c r="X250" s="37"/>
      <c r="Y250" s="37"/>
      <c r="Z250" s="37"/>
      <c r="AA250" s="37">
        <f t="shared" si="22"/>
        <v>0</v>
      </c>
      <c r="AB250" s="37">
        <f t="shared" si="20"/>
        <v>0</v>
      </c>
    </row>
    <row r="251" spans="1:28" ht="14.4">
      <c r="A251" s="117">
        <v>11402152</v>
      </c>
      <c r="B251" s="117" t="s">
        <v>684</v>
      </c>
      <c r="C251" s="37">
        <f>+VLOOKUP(A251,Composición!C:G,5,FALSE)</f>
        <v>0</v>
      </c>
      <c r="D251" s="37"/>
      <c r="E251" s="37"/>
      <c r="F251" s="37">
        <f>+VLOOKUP(A251,Composición!C:J,8,FALSE)</f>
        <v>0</v>
      </c>
      <c r="G251" s="37">
        <f t="shared" si="24"/>
        <v>0</v>
      </c>
      <c r="H251" s="37"/>
      <c r="I251" s="37"/>
      <c r="J251" s="37"/>
      <c r="K251" s="37"/>
      <c r="L251" s="37"/>
      <c r="M251" s="37"/>
      <c r="N251" s="37"/>
      <c r="O251" s="37"/>
      <c r="P251" s="37"/>
      <c r="Q251" s="37"/>
      <c r="R251" s="37"/>
      <c r="S251" s="37"/>
      <c r="T251" s="37"/>
      <c r="U251" s="37"/>
      <c r="V251" s="37"/>
      <c r="W251" s="37"/>
      <c r="X251" s="37"/>
      <c r="Y251" s="37"/>
      <c r="Z251" s="37"/>
      <c r="AA251" s="37">
        <f t="shared" si="22"/>
        <v>0</v>
      </c>
      <c r="AB251" s="37">
        <f t="shared" si="20"/>
        <v>0</v>
      </c>
    </row>
    <row r="252" spans="1:28" ht="14.4">
      <c r="A252" s="117">
        <v>1140215201</v>
      </c>
      <c r="B252" s="117" t="s">
        <v>701</v>
      </c>
      <c r="C252" s="37">
        <f>+VLOOKUP(A252,Composición!C:G,5,FALSE)</f>
        <v>0</v>
      </c>
      <c r="D252" s="37"/>
      <c r="E252" s="37"/>
      <c r="F252" s="37">
        <f>+VLOOKUP(A252,Composición!C:J,8,FALSE)</f>
        <v>0</v>
      </c>
      <c r="G252" s="37">
        <f t="shared" si="24"/>
        <v>0</v>
      </c>
      <c r="H252" s="37"/>
      <c r="I252" s="37"/>
      <c r="J252" s="37"/>
      <c r="K252" s="37"/>
      <c r="L252" s="37"/>
      <c r="M252" s="37"/>
      <c r="N252" s="37"/>
      <c r="O252" s="37"/>
      <c r="P252" s="37"/>
      <c r="Q252" s="37"/>
      <c r="R252" s="37"/>
      <c r="S252" s="37"/>
      <c r="T252" s="37"/>
      <c r="U252" s="37"/>
      <c r="V252" s="37"/>
      <c r="W252" s="37"/>
      <c r="X252" s="37"/>
      <c r="Y252" s="37"/>
      <c r="Z252" s="37"/>
      <c r="AA252" s="37">
        <f t="shared" si="22"/>
        <v>0</v>
      </c>
      <c r="AB252" s="37">
        <f t="shared" ref="AB252:AB315" si="25">SUM(G252:Z252)</f>
        <v>0</v>
      </c>
    </row>
    <row r="253" spans="1:28" ht="14.4">
      <c r="A253" s="117">
        <v>1140215202</v>
      </c>
      <c r="B253" s="117" t="s">
        <v>702</v>
      </c>
      <c r="C253" s="37">
        <f>+VLOOKUP(A253,Composición!C:G,5,FALSE)</f>
        <v>0</v>
      </c>
      <c r="D253" s="37"/>
      <c r="E253" s="37"/>
      <c r="F253" s="37">
        <f>+VLOOKUP(A253,Composición!C:J,8,FALSE)</f>
        <v>0</v>
      </c>
      <c r="G253" s="37">
        <f t="shared" si="24"/>
        <v>0</v>
      </c>
      <c r="H253" s="37"/>
      <c r="I253" s="37"/>
      <c r="J253" s="37"/>
      <c r="K253" s="37"/>
      <c r="L253" s="37"/>
      <c r="M253" s="37"/>
      <c r="N253" s="37"/>
      <c r="O253" s="37"/>
      <c r="P253" s="37"/>
      <c r="Q253" s="37"/>
      <c r="R253" s="37"/>
      <c r="S253" s="37"/>
      <c r="T253" s="37"/>
      <c r="U253" s="37"/>
      <c r="V253" s="37"/>
      <c r="W253" s="37"/>
      <c r="X253" s="37"/>
      <c r="Y253" s="37"/>
      <c r="Z253" s="37"/>
      <c r="AA253" s="37">
        <f t="shared" si="22"/>
        <v>0</v>
      </c>
      <c r="AB253" s="37">
        <f t="shared" si="25"/>
        <v>0</v>
      </c>
    </row>
    <row r="254" spans="1:28" ht="14.4">
      <c r="A254" s="117">
        <v>1140219</v>
      </c>
      <c r="B254" s="117" t="s">
        <v>71</v>
      </c>
      <c r="C254" s="37">
        <f>+VLOOKUP(A254,Composición!C:G,5,FALSE)</f>
        <v>0</v>
      </c>
      <c r="D254" s="37"/>
      <c r="E254" s="37"/>
      <c r="F254" s="37">
        <f>+VLOOKUP(A254,Composición!C:J,8,FALSE)</f>
        <v>0</v>
      </c>
      <c r="G254" s="37">
        <f t="shared" si="24"/>
        <v>0</v>
      </c>
      <c r="H254" s="37"/>
      <c r="I254" s="37"/>
      <c r="J254" s="37"/>
      <c r="K254" s="37"/>
      <c r="L254" s="37"/>
      <c r="M254" s="37"/>
      <c r="N254" s="37"/>
      <c r="O254" s="37"/>
      <c r="P254" s="37"/>
      <c r="Q254" s="37"/>
      <c r="R254" s="37"/>
      <c r="S254" s="37"/>
      <c r="T254" s="37"/>
      <c r="U254" s="37"/>
      <c r="V254" s="37"/>
      <c r="W254" s="37"/>
      <c r="X254" s="37"/>
      <c r="Y254" s="37"/>
      <c r="Z254" s="37"/>
      <c r="AA254" s="37">
        <f t="shared" si="22"/>
        <v>0</v>
      </c>
      <c r="AB254" s="37">
        <f t="shared" si="25"/>
        <v>0</v>
      </c>
    </row>
    <row r="255" spans="1:28" ht="14.4">
      <c r="A255" s="117">
        <v>11402191</v>
      </c>
      <c r="B255" s="117" t="s">
        <v>72</v>
      </c>
      <c r="C255" s="37">
        <f>+VLOOKUP(A255,Composición!C:G,5,FALSE)</f>
        <v>0</v>
      </c>
      <c r="D255" s="37"/>
      <c r="E255" s="37"/>
      <c r="F255" s="37">
        <f>+VLOOKUP(A255,Composición!C:J,8,FALSE)</f>
        <v>0</v>
      </c>
      <c r="G255" s="37">
        <f t="shared" si="24"/>
        <v>0</v>
      </c>
      <c r="H255" s="37"/>
      <c r="I255" s="37"/>
      <c r="J255" s="37"/>
      <c r="K255" s="37"/>
      <c r="L255" s="37"/>
      <c r="M255" s="37"/>
      <c r="N255" s="37"/>
      <c r="O255" s="37"/>
      <c r="P255" s="37"/>
      <c r="Q255" s="37"/>
      <c r="R255" s="37"/>
      <c r="S255" s="37"/>
      <c r="T255" s="37"/>
      <c r="U255" s="37"/>
      <c r="V255" s="37"/>
      <c r="W255" s="37"/>
      <c r="X255" s="37"/>
      <c r="Y255" s="37"/>
      <c r="Z255" s="37"/>
      <c r="AA255" s="37">
        <f t="shared" si="22"/>
        <v>0</v>
      </c>
      <c r="AB255" s="37">
        <f t="shared" si="25"/>
        <v>0</v>
      </c>
    </row>
    <row r="256" spans="1:28" ht="14.4">
      <c r="A256" s="990">
        <v>1140219101</v>
      </c>
      <c r="B256" s="990" t="s">
        <v>73</v>
      </c>
      <c r="C256" s="37">
        <f>+VLOOKUP(A256,Composición!C:G,5,FALSE)</f>
        <v>0</v>
      </c>
      <c r="D256" s="991"/>
      <c r="E256" s="991"/>
      <c r="F256" s="37">
        <f>-VLOOKUP(A256,Composición!C:J,8,FALSE)</f>
        <v>-32</v>
      </c>
      <c r="G256" s="37">
        <f t="shared" si="24"/>
        <v>32</v>
      </c>
      <c r="H256" s="37"/>
      <c r="I256" s="37"/>
      <c r="J256" s="37"/>
      <c r="K256" s="37"/>
      <c r="L256" s="37"/>
      <c r="M256" s="37"/>
      <c r="N256" s="37"/>
      <c r="O256" s="37"/>
      <c r="P256" s="37"/>
      <c r="Q256" s="37"/>
      <c r="R256" s="37"/>
      <c r="S256" s="37">
        <f>-G256</f>
        <v>-32</v>
      </c>
      <c r="T256" s="37"/>
      <c r="U256" s="37"/>
      <c r="V256" s="37"/>
      <c r="W256" s="37"/>
      <c r="X256" s="37"/>
      <c r="Y256" s="37"/>
      <c r="Z256" s="37"/>
      <c r="AA256" s="37">
        <f t="shared" si="22"/>
        <v>0</v>
      </c>
      <c r="AB256" s="37">
        <f t="shared" si="25"/>
        <v>0</v>
      </c>
    </row>
    <row r="257" spans="1:28" ht="14.4">
      <c r="A257" s="117">
        <v>1140219102</v>
      </c>
      <c r="B257" s="117" t="s">
        <v>704</v>
      </c>
      <c r="C257" s="37">
        <f>+VLOOKUP(A257,Composición!C:G,5,FALSE)</f>
        <v>0</v>
      </c>
      <c r="D257" s="37"/>
      <c r="E257" s="37"/>
      <c r="F257" s="37">
        <f>+VLOOKUP(A257,Composición!C:J,8,FALSE)</f>
        <v>0</v>
      </c>
      <c r="G257" s="37">
        <f t="shared" si="24"/>
        <v>0</v>
      </c>
      <c r="H257" s="37"/>
      <c r="I257" s="37"/>
      <c r="J257" s="37"/>
      <c r="K257" s="37"/>
      <c r="L257" s="37"/>
      <c r="M257" s="37"/>
      <c r="N257" s="37"/>
      <c r="O257" s="37"/>
      <c r="P257" s="37"/>
      <c r="Q257" s="37"/>
      <c r="R257" s="37"/>
      <c r="S257" s="37">
        <f>-G257</f>
        <v>0</v>
      </c>
      <c r="T257" s="37"/>
      <c r="U257" s="37"/>
      <c r="V257" s="37"/>
      <c r="W257" s="37"/>
      <c r="X257" s="37"/>
      <c r="Y257" s="37"/>
      <c r="Z257" s="37"/>
      <c r="AA257" s="37">
        <f t="shared" si="22"/>
        <v>0</v>
      </c>
      <c r="AB257" s="37">
        <f t="shared" si="25"/>
        <v>0</v>
      </c>
    </row>
    <row r="258" spans="1:28" ht="14.4">
      <c r="A258" s="117">
        <v>1140219103</v>
      </c>
      <c r="B258" s="117" t="s">
        <v>705</v>
      </c>
      <c r="C258" s="37">
        <f>+VLOOKUP(A258,Composición!C:G,5,FALSE)</f>
        <v>0</v>
      </c>
      <c r="D258" s="37"/>
      <c r="E258" s="37"/>
      <c r="F258" s="37">
        <f>+VLOOKUP(A258,Composición!C:J,8,FALSE)</f>
        <v>0</v>
      </c>
      <c r="G258" s="37">
        <f t="shared" si="24"/>
        <v>0</v>
      </c>
      <c r="H258" s="37"/>
      <c r="I258" s="37"/>
      <c r="J258" s="37"/>
      <c r="K258" s="37"/>
      <c r="L258" s="37"/>
      <c r="M258" s="37"/>
      <c r="N258" s="37"/>
      <c r="O258" s="37"/>
      <c r="P258" s="37"/>
      <c r="Q258" s="37"/>
      <c r="R258" s="37"/>
      <c r="S258" s="37">
        <f t="shared" ref="S258:S282" si="26">-G258</f>
        <v>0</v>
      </c>
      <c r="T258" s="37"/>
      <c r="U258" s="37"/>
      <c r="V258" s="37"/>
      <c r="W258" s="37"/>
      <c r="X258" s="37"/>
      <c r="Y258" s="37"/>
      <c r="Z258" s="37"/>
      <c r="AA258" s="37">
        <f t="shared" si="22"/>
        <v>0</v>
      </c>
      <c r="AB258" s="37">
        <f t="shared" si="25"/>
        <v>0</v>
      </c>
    </row>
    <row r="259" spans="1:28" ht="14.4">
      <c r="A259" s="990">
        <v>1140219104</v>
      </c>
      <c r="B259" s="990" t="s">
        <v>527</v>
      </c>
      <c r="C259" s="37">
        <f>+VLOOKUP(A259,Composición!C:G,5,FALSE)</f>
        <v>0</v>
      </c>
      <c r="D259" s="991"/>
      <c r="E259" s="991"/>
      <c r="F259" s="991">
        <f>+VLOOKUP(A259,Composición!C:J,8,FALSE)</f>
        <v>0</v>
      </c>
      <c r="G259" s="37">
        <f t="shared" si="24"/>
        <v>0</v>
      </c>
      <c r="H259" s="37"/>
      <c r="I259" s="37"/>
      <c r="J259" s="37"/>
      <c r="K259" s="37"/>
      <c r="L259" s="37"/>
      <c r="M259" s="37"/>
      <c r="N259" s="37"/>
      <c r="O259" s="37"/>
      <c r="P259" s="37"/>
      <c r="Q259" s="37"/>
      <c r="R259" s="37"/>
      <c r="S259" s="37">
        <f>-G259</f>
        <v>0</v>
      </c>
      <c r="T259" s="37"/>
      <c r="U259" s="37"/>
      <c r="V259" s="37"/>
      <c r="W259" s="37"/>
      <c r="X259" s="37"/>
      <c r="Y259" s="37"/>
      <c r="Z259" s="37"/>
      <c r="AA259" s="37">
        <f t="shared" si="22"/>
        <v>0</v>
      </c>
      <c r="AB259" s="37">
        <f t="shared" si="25"/>
        <v>0</v>
      </c>
    </row>
    <row r="260" spans="1:28" ht="14.4">
      <c r="A260" s="990">
        <v>1140219105</v>
      </c>
      <c r="B260" s="990" t="s">
        <v>74</v>
      </c>
      <c r="C260" s="991">
        <f>+VLOOKUP(A260,Composición!C:G,5,FALSE)</f>
        <v>0</v>
      </c>
      <c r="D260" s="991"/>
      <c r="E260" s="991"/>
      <c r="F260" s="991">
        <f>-VLOOKUP(A260,Composición!C:J,8,FALSE)</f>
        <v>-29227291</v>
      </c>
      <c r="G260" s="37">
        <f t="shared" si="24"/>
        <v>29227291</v>
      </c>
      <c r="H260" s="37"/>
      <c r="I260" s="37"/>
      <c r="J260" s="37"/>
      <c r="K260" s="37"/>
      <c r="L260" s="37"/>
      <c r="M260" s="37"/>
      <c r="N260" s="37"/>
      <c r="O260" s="37"/>
      <c r="P260" s="37"/>
      <c r="Q260" s="37"/>
      <c r="R260" s="37"/>
      <c r="S260" s="37">
        <f>-G260</f>
        <v>-29227291</v>
      </c>
      <c r="T260" s="37"/>
      <c r="U260" s="37"/>
      <c r="V260" s="37"/>
      <c r="W260" s="37"/>
      <c r="X260" s="37"/>
      <c r="Y260" s="37"/>
      <c r="Z260" s="37"/>
      <c r="AA260" s="37">
        <f t="shared" si="22"/>
        <v>0</v>
      </c>
      <c r="AB260" s="37">
        <f t="shared" si="25"/>
        <v>0</v>
      </c>
    </row>
    <row r="261" spans="1:28" ht="14.4">
      <c r="A261" s="117">
        <v>1140219106</v>
      </c>
      <c r="B261" s="117" t="s">
        <v>706</v>
      </c>
      <c r="C261" s="37">
        <f>+VLOOKUP(A261,Composición!C:G,5,FALSE)</f>
        <v>0</v>
      </c>
      <c r="D261" s="37"/>
      <c r="E261" s="37"/>
      <c r="F261" s="37">
        <f>+VLOOKUP(A261,Composición!C:J,8,FALSE)</f>
        <v>0</v>
      </c>
      <c r="G261" s="37">
        <f t="shared" si="24"/>
        <v>0</v>
      </c>
      <c r="H261" s="37"/>
      <c r="I261" s="37"/>
      <c r="J261" s="37"/>
      <c r="K261" s="37"/>
      <c r="L261" s="37"/>
      <c r="M261" s="37"/>
      <c r="N261" s="37"/>
      <c r="O261" s="37"/>
      <c r="P261" s="37"/>
      <c r="Q261" s="37"/>
      <c r="R261" s="37"/>
      <c r="S261" s="37">
        <f>-G261</f>
        <v>0</v>
      </c>
      <c r="T261" s="37"/>
      <c r="U261" s="37"/>
      <c r="V261" s="37"/>
      <c r="W261" s="37"/>
      <c r="X261" s="37"/>
      <c r="Y261" s="37"/>
      <c r="Z261" s="37"/>
      <c r="AA261" s="37">
        <f t="shared" si="22"/>
        <v>0</v>
      </c>
      <c r="AB261" s="37">
        <f t="shared" si="25"/>
        <v>0</v>
      </c>
    </row>
    <row r="262" spans="1:28" ht="14.4">
      <c r="A262" s="117">
        <v>1140219107</v>
      </c>
      <c r="B262" s="117" t="s">
        <v>707</v>
      </c>
      <c r="C262" s="37">
        <f>+VLOOKUP(A262,Composición!C:G,5,FALSE)</f>
        <v>0</v>
      </c>
      <c r="D262" s="37"/>
      <c r="E262" s="37"/>
      <c r="F262" s="37">
        <f>+VLOOKUP(A262,Composición!C:J,8,FALSE)</f>
        <v>0</v>
      </c>
      <c r="G262" s="37">
        <f t="shared" si="24"/>
        <v>0</v>
      </c>
      <c r="H262" s="37"/>
      <c r="I262" s="37"/>
      <c r="J262" s="37"/>
      <c r="K262" s="37"/>
      <c r="L262" s="37"/>
      <c r="M262" s="37"/>
      <c r="N262" s="37"/>
      <c r="O262" s="37"/>
      <c r="P262" s="37"/>
      <c r="Q262" s="37"/>
      <c r="R262" s="37"/>
      <c r="S262" s="37">
        <f t="shared" si="26"/>
        <v>0</v>
      </c>
      <c r="T262" s="37"/>
      <c r="U262" s="37"/>
      <c r="V262" s="37"/>
      <c r="W262" s="37"/>
      <c r="X262" s="37"/>
      <c r="Y262" s="37"/>
      <c r="Z262" s="37"/>
      <c r="AA262" s="37">
        <f t="shared" si="22"/>
        <v>0</v>
      </c>
      <c r="AB262" s="37">
        <f t="shared" si="25"/>
        <v>0</v>
      </c>
    </row>
    <row r="263" spans="1:28" ht="14.4">
      <c r="A263" s="990">
        <v>1140219108</v>
      </c>
      <c r="B263" s="990" t="s">
        <v>75</v>
      </c>
      <c r="C263" s="37">
        <f>+VLOOKUP(A263,Composición!C:G,5,FALSE)</f>
        <v>0</v>
      </c>
      <c r="D263" s="991"/>
      <c r="E263" s="991"/>
      <c r="F263" s="991">
        <f>+-VLOOKUP(A263,Composición!C:J,8,FALSE)</f>
        <v>-291</v>
      </c>
      <c r="G263" s="37">
        <f t="shared" si="24"/>
        <v>291</v>
      </c>
      <c r="H263" s="37"/>
      <c r="I263" s="37"/>
      <c r="J263" s="37"/>
      <c r="K263" s="37"/>
      <c r="L263" s="37"/>
      <c r="M263" s="37"/>
      <c r="N263" s="37"/>
      <c r="O263" s="37"/>
      <c r="P263" s="37"/>
      <c r="Q263" s="37"/>
      <c r="R263" s="37"/>
      <c r="S263" s="37">
        <f>-G263</f>
        <v>-291</v>
      </c>
      <c r="T263" s="37"/>
      <c r="U263" s="37"/>
      <c r="V263" s="37"/>
      <c r="W263" s="37"/>
      <c r="X263" s="37"/>
      <c r="Y263" s="37"/>
      <c r="Z263" s="37"/>
      <c r="AA263" s="37">
        <f t="shared" si="22"/>
        <v>0</v>
      </c>
      <c r="AB263" s="37">
        <f t="shared" si="25"/>
        <v>0</v>
      </c>
    </row>
    <row r="264" spans="1:28" ht="14.4">
      <c r="A264" s="990">
        <v>1140219109</v>
      </c>
      <c r="B264" s="990" t="s">
        <v>76</v>
      </c>
      <c r="C264" s="991">
        <f>+VLOOKUP(A264,Composición!C:G,5,FALSE)</f>
        <v>0</v>
      </c>
      <c r="D264" s="991"/>
      <c r="E264" s="991"/>
      <c r="F264" s="991">
        <f>+-VLOOKUP(A264,Composición!C:J,8,FALSE)</f>
        <v>-40671392</v>
      </c>
      <c r="G264" s="37">
        <f t="shared" si="24"/>
        <v>40671392</v>
      </c>
      <c r="H264" s="37"/>
      <c r="I264" s="37"/>
      <c r="J264" s="37"/>
      <c r="K264" s="37"/>
      <c r="L264" s="37"/>
      <c r="M264" s="37"/>
      <c r="N264" s="37"/>
      <c r="O264" s="37"/>
      <c r="P264" s="37"/>
      <c r="Q264" s="37"/>
      <c r="R264" s="37"/>
      <c r="S264" s="37">
        <f t="shared" si="26"/>
        <v>-40671392</v>
      </c>
      <c r="T264" s="37"/>
      <c r="U264" s="37"/>
      <c r="V264" s="37"/>
      <c r="W264" s="37"/>
      <c r="X264" s="37"/>
      <c r="Y264" s="37"/>
      <c r="Z264" s="37"/>
      <c r="AA264" s="37">
        <f t="shared" si="22"/>
        <v>0</v>
      </c>
      <c r="AB264" s="37">
        <f t="shared" si="25"/>
        <v>0</v>
      </c>
    </row>
    <row r="265" spans="1:28" ht="14.4">
      <c r="A265" s="117">
        <v>1140219110</v>
      </c>
      <c r="B265" s="117" t="s">
        <v>708</v>
      </c>
      <c r="C265" s="37">
        <f>+VLOOKUP(A265,Composición!C:G,5,FALSE)</f>
        <v>0</v>
      </c>
      <c r="D265" s="37"/>
      <c r="E265" s="37"/>
      <c r="F265" s="37">
        <f>+VLOOKUP(A265,Composición!C:J,8,FALSE)</f>
        <v>0</v>
      </c>
      <c r="G265" s="37">
        <f t="shared" si="24"/>
        <v>0</v>
      </c>
      <c r="H265" s="37"/>
      <c r="I265" s="37"/>
      <c r="J265" s="37"/>
      <c r="K265" s="37"/>
      <c r="L265" s="37"/>
      <c r="M265" s="37"/>
      <c r="N265" s="37"/>
      <c r="O265" s="37"/>
      <c r="P265" s="37"/>
      <c r="Q265" s="37"/>
      <c r="R265" s="37"/>
      <c r="S265" s="37">
        <f t="shared" si="26"/>
        <v>0</v>
      </c>
      <c r="T265" s="37"/>
      <c r="U265" s="37"/>
      <c r="V265" s="37"/>
      <c r="W265" s="37"/>
      <c r="X265" s="37"/>
      <c r="Y265" s="37"/>
      <c r="Z265" s="37"/>
      <c r="AA265" s="37">
        <f t="shared" si="22"/>
        <v>0</v>
      </c>
      <c r="AB265" s="37">
        <f t="shared" si="25"/>
        <v>0</v>
      </c>
    </row>
    <row r="266" spans="1:28" ht="14.4">
      <c r="A266" s="117">
        <v>1140219111</v>
      </c>
      <c r="B266" s="117" t="s">
        <v>709</v>
      </c>
      <c r="C266" s="37">
        <f>+VLOOKUP(A266,Composición!C:G,5,FALSE)</f>
        <v>0</v>
      </c>
      <c r="D266" s="37"/>
      <c r="E266" s="37"/>
      <c r="F266" s="37">
        <f>+VLOOKUP(A266,Composición!C:J,8,FALSE)</f>
        <v>0</v>
      </c>
      <c r="G266" s="37">
        <f t="shared" si="24"/>
        <v>0</v>
      </c>
      <c r="H266" s="37"/>
      <c r="I266" s="37"/>
      <c r="J266" s="37"/>
      <c r="K266" s="37"/>
      <c r="L266" s="37"/>
      <c r="M266" s="37"/>
      <c r="N266" s="37"/>
      <c r="O266" s="37"/>
      <c r="P266" s="37"/>
      <c r="Q266" s="37"/>
      <c r="R266" s="37"/>
      <c r="S266" s="37">
        <f t="shared" si="26"/>
        <v>0</v>
      </c>
      <c r="T266" s="37"/>
      <c r="U266" s="37"/>
      <c r="V266" s="37"/>
      <c r="W266" s="37"/>
      <c r="X266" s="37"/>
      <c r="Y266" s="37"/>
      <c r="Z266" s="37"/>
      <c r="AA266" s="37">
        <f t="shared" si="22"/>
        <v>0</v>
      </c>
      <c r="AB266" s="37">
        <f t="shared" si="25"/>
        <v>0</v>
      </c>
    </row>
    <row r="267" spans="1:28" ht="14.4">
      <c r="A267" s="117">
        <v>1140219112</v>
      </c>
      <c r="B267" s="117" t="s">
        <v>710</v>
      </c>
      <c r="C267" s="37">
        <f>+VLOOKUP(A267,Composición!C:G,5,FALSE)</f>
        <v>0</v>
      </c>
      <c r="D267" s="37"/>
      <c r="E267" s="37"/>
      <c r="F267" s="37">
        <f>+VLOOKUP(A267,Composición!C:J,8,FALSE)</f>
        <v>0</v>
      </c>
      <c r="G267" s="37">
        <f t="shared" si="24"/>
        <v>0</v>
      </c>
      <c r="H267" s="37"/>
      <c r="I267" s="37"/>
      <c r="J267" s="37"/>
      <c r="K267" s="37"/>
      <c r="L267" s="37"/>
      <c r="M267" s="37"/>
      <c r="N267" s="37"/>
      <c r="O267" s="37"/>
      <c r="P267" s="37"/>
      <c r="Q267" s="37"/>
      <c r="R267" s="37"/>
      <c r="S267" s="37">
        <f t="shared" si="26"/>
        <v>0</v>
      </c>
      <c r="T267" s="37"/>
      <c r="U267" s="37"/>
      <c r="V267" s="37"/>
      <c r="W267" s="37"/>
      <c r="X267" s="37"/>
      <c r="Y267" s="37"/>
      <c r="Z267" s="37"/>
      <c r="AA267" s="37">
        <f t="shared" si="22"/>
        <v>0</v>
      </c>
      <c r="AB267" s="37">
        <f t="shared" si="25"/>
        <v>0</v>
      </c>
    </row>
    <row r="268" spans="1:28" ht="14.4">
      <c r="A268" s="990">
        <v>1140219113</v>
      </c>
      <c r="B268" s="990" t="s">
        <v>77</v>
      </c>
      <c r="C268" s="37">
        <f>+VLOOKUP(A268,Composición!C:G,5,FALSE)</f>
        <v>0</v>
      </c>
      <c r="D268" s="991"/>
      <c r="E268" s="991"/>
      <c r="F268" s="991">
        <f>+-VLOOKUP(A268,Composición!C:J,8,FALSE)</f>
        <v>-58</v>
      </c>
      <c r="G268" s="37">
        <f t="shared" si="24"/>
        <v>58</v>
      </c>
      <c r="H268" s="37"/>
      <c r="I268" s="37"/>
      <c r="J268" s="37"/>
      <c r="K268" s="37"/>
      <c r="L268" s="37"/>
      <c r="M268" s="37"/>
      <c r="N268" s="37"/>
      <c r="O268" s="37"/>
      <c r="P268" s="37"/>
      <c r="Q268" s="37"/>
      <c r="R268" s="37"/>
      <c r="S268" s="37">
        <f t="shared" si="26"/>
        <v>-58</v>
      </c>
      <c r="T268" s="37"/>
      <c r="U268" s="37"/>
      <c r="V268" s="37"/>
      <c r="W268" s="37"/>
      <c r="X268" s="37"/>
      <c r="Y268" s="37"/>
      <c r="Z268" s="37"/>
      <c r="AA268" s="37">
        <f t="shared" si="22"/>
        <v>0</v>
      </c>
      <c r="AB268" s="37">
        <f t="shared" si="25"/>
        <v>0</v>
      </c>
    </row>
    <row r="269" spans="1:28" ht="14.4">
      <c r="A269" s="117">
        <v>1140219114</v>
      </c>
      <c r="B269" s="117" t="s">
        <v>704</v>
      </c>
      <c r="C269" s="37">
        <f>+VLOOKUP(A269,Composición!C:G,5,FALSE)</f>
        <v>0</v>
      </c>
      <c r="D269" s="37"/>
      <c r="E269" s="37"/>
      <c r="F269" s="37">
        <f>+VLOOKUP(A269,Composición!C:J,8,FALSE)</f>
        <v>0</v>
      </c>
      <c r="G269" s="37">
        <f t="shared" si="24"/>
        <v>0</v>
      </c>
      <c r="H269" s="37"/>
      <c r="I269" s="37"/>
      <c r="J269" s="37"/>
      <c r="K269" s="37"/>
      <c r="L269" s="37"/>
      <c r="M269" s="37"/>
      <c r="N269" s="37"/>
      <c r="O269" s="37"/>
      <c r="P269" s="37"/>
      <c r="Q269" s="37"/>
      <c r="R269" s="37"/>
      <c r="S269" s="37">
        <f>-G269</f>
        <v>0</v>
      </c>
      <c r="T269" s="37"/>
      <c r="U269" s="37"/>
      <c r="V269" s="37"/>
      <c r="W269" s="37"/>
      <c r="X269" s="37"/>
      <c r="Y269" s="37"/>
      <c r="Z269" s="37"/>
      <c r="AA269" s="37">
        <f t="shared" si="22"/>
        <v>0</v>
      </c>
      <c r="AB269" s="37">
        <f t="shared" si="25"/>
        <v>0</v>
      </c>
    </row>
    <row r="270" spans="1:28" ht="14.4">
      <c r="A270" s="117">
        <v>1140219115</v>
      </c>
      <c r="B270" s="117" t="s">
        <v>705</v>
      </c>
      <c r="C270" s="37">
        <f>+VLOOKUP(A270,Composición!C:G,5,FALSE)</f>
        <v>0</v>
      </c>
      <c r="D270" s="37"/>
      <c r="E270" s="37"/>
      <c r="F270" s="37">
        <f>+VLOOKUP(A270,Composición!C:J,8,FALSE)</f>
        <v>0</v>
      </c>
      <c r="G270" s="37">
        <f t="shared" si="24"/>
        <v>0</v>
      </c>
      <c r="H270" s="37"/>
      <c r="I270" s="37"/>
      <c r="J270" s="37"/>
      <c r="K270" s="37"/>
      <c r="L270" s="37"/>
      <c r="M270" s="37"/>
      <c r="N270" s="37"/>
      <c r="O270" s="37"/>
      <c r="P270" s="37"/>
      <c r="Q270" s="37"/>
      <c r="R270" s="37"/>
      <c r="S270" s="37">
        <f t="shared" si="26"/>
        <v>0</v>
      </c>
      <c r="T270" s="37"/>
      <c r="U270" s="37"/>
      <c r="V270" s="37"/>
      <c r="W270" s="37"/>
      <c r="X270" s="37"/>
      <c r="Y270" s="37"/>
      <c r="Z270" s="37"/>
      <c r="AA270" s="37">
        <f t="shared" si="22"/>
        <v>0</v>
      </c>
      <c r="AB270" s="37">
        <f t="shared" si="25"/>
        <v>0</v>
      </c>
    </row>
    <row r="271" spans="1:28" ht="14.4">
      <c r="A271" s="117">
        <v>1140219116</v>
      </c>
      <c r="B271" s="117" t="s">
        <v>527</v>
      </c>
      <c r="C271" s="37">
        <f>+VLOOKUP(A271,Composición!C:G,5,FALSE)</f>
        <v>0</v>
      </c>
      <c r="D271" s="37"/>
      <c r="E271" s="37"/>
      <c r="F271" s="37">
        <f>+VLOOKUP(A271,Composición!C:J,8,FALSE)</f>
        <v>0</v>
      </c>
      <c r="G271" s="37">
        <f t="shared" si="24"/>
        <v>0</v>
      </c>
      <c r="H271" s="37"/>
      <c r="I271" s="37"/>
      <c r="J271" s="37"/>
      <c r="K271" s="37"/>
      <c r="L271" s="37"/>
      <c r="M271" s="37"/>
      <c r="N271" s="37"/>
      <c r="O271" s="37"/>
      <c r="P271" s="37"/>
      <c r="Q271" s="37"/>
      <c r="R271" s="37"/>
      <c r="S271" s="37">
        <f t="shared" si="26"/>
        <v>0</v>
      </c>
      <c r="T271" s="37"/>
      <c r="U271" s="37"/>
      <c r="V271" s="37"/>
      <c r="W271" s="37"/>
      <c r="X271" s="37"/>
      <c r="Y271" s="37"/>
      <c r="Z271" s="37"/>
      <c r="AA271" s="37">
        <f t="shared" si="22"/>
        <v>0</v>
      </c>
      <c r="AB271" s="37">
        <f t="shared" si="25"/>
        <v>0</v>
      </c>
    </row>
    <row r="272" spans="1:28" ht="14.4">
      <c r="A272" s="990">
        <v>1140219117</v>
      </c>
      <c r="B272" s="990" t="s">
        <v>78</v>
      </c>
      <c r="C272" s="991">
        <f>+VLOOKUP(A272,Composición!C:G,5,FALSE)</f>
        <v>0</v>
      </c>
      <c r="D272" s="991"/>
      <c r="E272" s="991"/>
      <c r="F272" s="991">
        <f>+-VLOOKUP(A272,Composición!C:J,8,FALSE)</f>
        <v>-30202434</v>
      </c>
      <c r="G272" s="37">
        <f t="shared" si="24"/>
        <v>30202434</v>
      </c>
      <c r="H272" s="37"/>
      <c r="I272" s="37"/>
      <c r="J272" s="37"/>
      <c r="K272" s="37"/>
      <c r="L272" s="37"/>
      <c r="M272" s="37"/>
      <c r="N272" s="37"/>
      <c r="O272" s="37"/>
      <c r="P272" s="37"/>
      <c r="Q272" s="37"/>
      <c r="R272" s="37"/>
      <c r="S272" s="37">
        <f>-G272</f>
        <v>-30202434</v>
      </c>
      <c r="T272" s="37"/>
      <c r="U272" s="37"/>
      <c r="V272" s="37"/>
      <c r="W272" s="37"/>
      <c r="X272" s="37"/>
      <c r="Y272" s="37"/>
      <c r="Z272" s="37"/>
      <c r="AA272" s="37">
        <f t="shared" si="22"/>
        <v>0</v>
      </c>
      <c r="AB272" s="37">
        <f t="shared" si="25"/>
        <v>0</v>
      </c>
    </row>
    <row r="273" spans="1:28" ht="14.4">
      <c r="A273" s="990">
        <v>1140219118</v>
      </c>
      <c r="B273" s="990" t="s">
        <v>79</v>
      </c>
      <c r="C273" s="991">
        <f>+-VLOOKUP(A273,Composición!C:G,5,FALSE)</f>
        <v>0</v>
      </c>
      <c r="D273" s="991"/>
      <c r="E273" s="991"/>
      <c r="F273" s="991">
        <f>+-VLOOKUP(A273,Composición!C:J,8,FALSE)</f>
        <v>-5042602</v>
      </c>
      <c r="G273" s="37">
        <f t="shared" si="24"/>
        <v>5042602</v>
      </c>
      <c r="H273" s="37"/>
      <c r="I273" s="37"/>
      <c r="J273" s="37"/>
      <c r="K273" s="37"/>
      <c r="L273" s="37"/>
      <c r="M273" s="37"/>
      <c r="N273" s="37"/>
      <c r="O273" s="37"/>
      <c r="P273" s="37"/>
      <c r="Q273" s="37"/>
      <c r="R273" s="37"/>
      <c r="S273" s="37">
        <f t="shared" si="26"/>
        <v>-5042602</v>
      </c>
      <c r="T273" s="37"/>
      <c r="U273" s="37"/>
      <c r="V273" s="37"/>
      <c r="W273" s="37"/>
      <c r="X273" s="37"/>
      <c r="Y273" s="37"/>
      <c r="Z273" s="37"/>
      <c r="AA273" s="37">
        <f t="shared" si="22"/>
        <v>0</v>
      </c>
      <c r="AB273" s="37">
        <f t="shared" si="25"/>
        <v>0</v>
      </c>
    </row>
    <row r="274" spans="1:28" ht="14.4">
      <c r="A274" s="117">
        <v>1140219119</v>
      </c>
      <c r="B274" s="117" t="s">
        <v>707</v>
      </c>
      <c r="C274" s="37">
        <f>+VLOOKUP(A274,Composición!C:G,5,FALSE)</f>
        <v>0</v>
      </c>
      <c r="D274" s="37"/>
      <c r="E274" s="37"/>
      <c r="F274" s="37">
        <f>+VLOOKUP(A274,Composición!C:J,8,FALSE)</f>
        <v>0</v>
      </c>
      <c r="G274" s="37">
        <f t="shared" si="24"/>
        <v>0</v>
      </c>
      <c r="H274" s="37"/>
      <c r="I274" s="37"/>
      <c r="J274" s="37"/>
      <c r="K274" s="37"/>
      <c r="L274" s="37"/>
      <c r="M274" s="37"/>
      <c r="N274" s="37"/>
      <c r="O274" s="37"/>
      <c r="P274" s="37"/>
      <c r="Q274" s="37"/>
      <c r="R274" s="37"/>
      <c r="S274" s="37">
        <f t="shared" si="26"/>
        <v>0</v>
      </c>
      <c r="T274" s="37"/>
      <c r="U274" s="37"/>
      <c r="V274" s="37"/>
      <c r="W274" s="37"/>
      <c r="X274" s="37"/>
      <c r="Y274" s="37"/>
      <c r="Z274" s="37"/>
      <c r="AA274" s="37">
        <f t="shared" si="22"/>
        <v>0</v>
      </c>
      <c r="AB274" s="37">
        <f t="shared" si="25"/>
        <v>0</v>
      </c>
    </row>
    <row r="275" spans="1:28" ht="14.4">
      <c r="A275" s="117">
        <v>1140219120</v>
      </c>
      <c r="B275" s="117" t="s">
        <v>75</v>
      </c>
      <c r="C275" s="37">
        <f>+VLOOKUP(A275,Composición!C:G,5,FALSE)</f>
        <v>0</v>
      </c>
      <c r="D275" s="37"/>
      <c r="E275" s="37"/>
      <c r="F275" s="37">
        <f>+VLOOKUP(A275,Composición!C:J,8,FALSE)</f>
        <v>0</v>
      </c>
      <c r="G275" s="37">
        <f t="shared" si="24"/>
        <v>0</v>
      </c>
      <c r="H275" s="37"/>
      <c r="I275" s="37"/>
      <c r="J275" s="37"/>
      <c r="K275" s="37"/>
      <c r="L275" s="37"/>
      <c r="M275" s="37"/>
      <c r="N275" s="37"/>
      <c r="O275" s="37"/>
      <c r="P275" s="37"/>
      <c r="Q275" s="37"/>
      <c r="R275" s="37"/>
      <c r="S275" s="37">
        <f t="shared" si="26"/>
        <v>0</v>
      </c>
      <c r="T275" s="37"/>
      <c r="U275" s="37"/>
      <c r="V275" s="37"/>
      <c r="W275" s="37"/>
      <c r="X275" s="37"/>
      <c r="Y275" s="37"/>
      <c r="Z275" s="37"/>
      <c r="AA275" s="37">
        <f t="shared" si="22"/>
        <v>0</v>
      </c>
      <c r="AB275" s="37">
        <f t="shared" si="25"/>
        <v>0</v>
      </c>
    </row>
    <row r="276" spans="1:28" ht="14.4">
      <c r="A276" s="117">
        <v>1140219121</v>
      </c>
      <c r="B276" s="117" t="s">
        <v>711</v>
      </c>
      <c r="C276" s="37">
        <f>+VLOOKUP(A276,Composición!C:G,5,FALSE)</f>
        <v>0</v>
      </c>
      <c r="D276" s="37"/>
      <c r="E276" s="37"/>
      <c r="F276" s="37">
        <f>+VLOOKUP(A276,Composición!C:J,8,FALSE)</f>
        <v>0</v>
      </c>
      <c r="G276" s="37">
        <f t="shared" si="24"/>
        <v>0</v>
      </c>
      <c r="H276" s="37"/>
      <c r="I276" s="37"/>
      <c r="J276" s="37"/>
      <c r="K276" s="37"/>
      <c r="L276" s="37"/>
      <c r="M276" s="37"/>
      <c r="N276" s="37"/>
      <c r="O276" s="37"/>
      <c r="P276" s="37"/>
      <c r="Q276" s="37"/>
      <c r="R276" s="37"/>
      <c r="S276" s="37">
        <f t="shared" si="26"/>
        <v>0</v>
      </c>
      <c r="T276" s="37"/>
      <c r="U276" s="37"/>
      <c r="V276" s="37"/>
      <c r="W276" s="37"/>
      <c r="X276" s="37"/>
      <c r="Y276" s="37"/>
      <c r="Z276" s="37"/>
      <c r="AA276" s="37">
        <f t="shared" si="22"/>
        <v>0</v>
      </c>
      <c r="AB276" s="37">
        <f t="shared" si="25"/>
        <v>0</v>
      </c>
    </row>
    <row r="277" spans="1:28" ht="14.4">
      <c r="A277" s="117">
        <v>1140219122</v>
      </c>
      <c r="B277" s="117" t="s">
        <v>712</v>
      </c>
      <c r="C277" s="37">
        <f>+VLOOKUP(A277,Composición!C:G,5,FALSE)</f>
        <v>0</v>
      </c>
      <c r="D277" s="37"/>
      <c r="E277" s="37"/>
      <c r="F277" s="37">
        <f>+VLOOKUP(A277,Composición!C:J,8,FALSE)</f>
        <v>0</v>
      </c>
      <c r="G277" s="37">
        <f t="shared" si="24"/>
        <v>0</v>
      </c>
      <c r="H277" s="37"/>
      <c r="I277" s="37"/>
      <c r="J277" s="37"/>
      <c r="K277" s="37"/>
      <c r="L277" s="37"/>
      <c r="M277" s="37"/>
      <c r="N277" s="37"/>
      <c r="O277" s="37"/>
      <c r="P277" s="37"/>
      <c r="Q277" s="37"/>
      <c r="R277" s="37"/>
      <c r="S277" s="37">
        <f t="shared" si="26"/>
        <v>0</v>
      </c>
      <c r="T277" s="37"/>
      <c r="U277" s="37"/>
      <c r="V277" s="37"/>
      <c r="W277" s="37"/>
      <c r="X277" s="37"/>
      <c r="Y277" s="37"/>
      <c r="Z277" s="37"/>
      <c r="AA277" s="37">
        <f t="shared" si="22"/>
        <v>0</v>
      </c>
      <c r="AB277" s="37">
        <f t="shared" si="25"/>
        <v>0</v>
      </c>
    </row>
    <row r="278" spans="1:28" ht="14.4">
      <c r="A278" s="117">
        <v>1140219123</v>
      </c>
      <c r="B278" s="117" t="s">
        <v>709</v>
      </c>
      <c r="C278" s="37">
        <f>+VLOOKUP(A278,Composición!C:G,5,FALSE)</f>
        <v>0</v>
      </c>
      <c r="D278" s="37"/>
      <c r="E278" s="37"/>
      <c r="F278" s="37">
        <f>+VLOOKUP(A278,Composición!C:J,8,FALSE)</f>
        <v>0</v>
      </c>
      <c r="G278" s="37">
        <f t="shared" si="24"/>
        <v>0</v>
      </c>
      <c r="H278" s="37"/>
      <c r="I278" s="37"/>
      <c r="J278" s="37"/>
      <c r="K278" s="37"/>
      <c r="L278" s="37"/>
      <c r="M278" s="37"/>
      <c r="N278" s="37"/>
      <c r="O278" s="37"/>
      <c r="P278" s="37"/>
      <c r="Q278" s="37"/>
      <c r="R278" s="37"/>
      <c r="S278" s="37">
        <f t="shared" si="26"/>
        <v>0</v>
      </c>
      <c r="T278" s="37"/>
      <c r="U278" s="37"/>
      <c r="V278" s="37"/>
      <c r="W278" s="37"/>
      <c r="X278" s="37"/>
      <c r="Y278" s="37"/>
      <c r="Z278" s="37"/>
      <c r="AA278" s="37">
        <f t="shared" si="22"/>
        <v>0</v>
      </c>
      <c r="AB278" s="37">
        <f t="shared" si="25"/>
        <v>0</v>
      </c>
    </row>
    <row r="279" spans="1:28" ht="14.4">
      <c r="A279" s="117">
        <v>1140219124</v>
      </c>
      <c r="B279" s="117" t="s">
        <v>710</v>
      </c>
      <c r="C279" s="37">
        <f>+VLOOKUP(A279,Composición!C:G,5,FALSE)</f>
        <v>0</v>
      </c>
      <c r="D279" s="37"/>
      <c r="E279" s="37"/>
      <c r="F279" s="37">
        <f>+VLOOKUP(A279,Composición!C:J,8,FALSE)</f>
        <v>0</v>
      </c>
      <c r="G279" s="37">
        <f t="shared" si="24"/>
        <v>0</v>
      </c>
      <c r="H279" s="37"/>
      <c r="I279" s="37"/>
      <c r="J279" s="37"/>
      <c r="K279" s="37"/>
      <c r="L279" s="37"/>
      <c r="M279" s="37"/>
      <c r="N279" s="37"/>
      <c r="O279" s="37"/>
      <c r="P279" s="37"/>
      <c r="Q279" s="37"/>
      <c r="R279" s="37"/>
      <c r="S279" s="37">
        <f t="shared" si="26"/>
        <v>0</v>
      </c>
      <c r="T279" s="37"/>
      <c r="U279" s="37"/>
      <c r="V279" s="37"/>
      <c r="W279" s="37"/>
      <c r="X279" s="37"/>
      <c r="Y279" s="37"/>
      <c r="Z279" s="37"/>
      <c r="AA279" s="37">
        <f t="shared" si="22"/>
        <v>0</v>
      </c>
      <c r="AB279" s="37">
        <f t="shared" si="25"/>
        <v>0</v>
      </c>
    </row>
    <row r="280" spans="1:28" ht="14.4">
      <c r="A280" s="117">
        <v>1140219125</v>
      </c>
      <c r="B280" s="117" t="s">
        <v>713</v>
      </c>
      <c r="C280" s="37">
        <f>+VLOOKUP(A280,Composición!C:G,5,FALSE)</f>
        <v>0</v>
      </c>
      <c r="D280" s="37"/>
      <c r="E280" s="37"/>
      <c r="F280" s="37">
        <f>+VLOOKUP(A280,Composición!C:J,8,FALSE)</f>
        <v>0</v>
      </c>
      <c r="G280" s="37">
        <f t="shared" si="24"/>
        <v>0</v>
      </c>
      <c r="H280" s="37"/>
      <c r="I280" s="37"/>
      <c r="J280" s="37"/>
      <c r="K280" s="37"/>
      <c r="L280" s="37"/>
      <c r="M280" s="37"/>
      <c r="N280" s="37"/>
      <c r="O280" s="37"/>
      <c r="P280" s="37"/>
      <c r="Q280" s="37"/>
      <c r="R280" s="37"/>
      <c r="S280" s="37">
        <f t="shared" si="26"/>
        <v>0</v>
      </c>
      <c r="T280" s="37"/>
      <c r="U280" s="37"/>
      <c r="V280" s="37"/>
      <c r="W280" s="37"/>
      <c r="X280" s="37"/>
      <c r="Y280" s="37"/>
      <c r="Z280" s="37"/>
      <c r="AA280" s="37">
        <f t="shared" si="22"/>
        <v>0</v>
      </c>
      <c r="AB280" s="37">
        <f t="shared" si="25"/>
        <v>0</v>
      </c>
    </row>
    <row r="281" spans="1:28" ht="14.4">
      <c r="A281" s="117">
        <v>1140219126</v>
      </c>
      <c r="B281" s="117" t="s">
        <v>713</v>
      </c>
      <c r="C281" s="37">
        <f>+VLOOKUP(A281,Composición!C:G,5,FALSE)</f>
        <v>0</v>
      </c>
      <c r="D281" s="37"/>
      <c r="E281" s="37"/>
      <c r="F281" s="37">
        <f>+VLOOKUP(A281,Composición!C:J,8,FALSE)</f>
        <v>0</v>
      </c>
      <c r="G281" s="37">
        <f t="shared" si="24"/>
        <v>0</v>
      </c>
      <c r="H281" s="37"/>
      <c r="I281" s="37"/>
      <c r="J281" s="37"/>
      <c r="K281" s="37"/>
      <c r="L281" s="37"/>
      <c r="M281" s="37"/>
      <c r="N281" s="37"/>
      <c r="O281" s="37"/>
      <c r="P281" s="37"/>
      <c r="Q281" s="37"/>
      <c r="R281" s="37"/>
      <c r="S281" s="37">
        <f t="shared" si="26"/>
        <v>0</v>
      </c>
      <c r="T281" s="37"/>
      <c r="U281" s="37"/>
      <c r="V281" s="37"/>
      <c r="W281" s="37"/>
      <c r="X281" s="37"/>
      <c r="Y281" s="37"/>
      <c r="Z281" s="37"/>
      <c r="AA281" s="37">
        <f t="shared" si="22"/>
        <v>0</v>
      </c>
      <c r="AB281" s="37">
        <f t="shared" si="25"/>
        <v>0</v>
      </c>
    </row>
    <row r="282" spans="1:28" ht="14.4">
      <c r="A282" s="117">
        <v>1140219127</v>
      </c>
      <c r="B282" s="117" t="s">
        <v>714</v>
      </c>
      <c r="C282" s="37">
        <f>+VLOOKUP(A282,Composición!C:G,5,FALSE)</f>
        <v>0</v>
      </c>
      <c r="D282" s="37"/>
      <c r="E282" s="37"/>
      <c r="F282" s="37">
        <f>+VLOOKUP(A282,Composición!C:J,8,FALSE)</f>
        <v>0</v>
      </c>
      <c r="G282" s="37">
        <f t="shared" si="24"/>
        <v>0</v>
      </c>
      <c r="H282" s="37"/>
      <c r="I282" s="37"/>
      <c r="J282" s="37"/>
      <c r="K282" s="37"/>
      <c r="L282" s="37"/>
      <c r="M282" s="37"/>
      <c r="N282" s="37"/>
      <c r="O282" s="37"/>
      <c r="P282" s="37"/>
      <c r="Q282" s="37"/>
      <c r="R282" s="37"/>
      <c r="S282" s="37">
        <f t="shared" si="26"/>
        <v>0</v>
      </c>
      <c r="T282" s="37"/>
      <c r="U282" s="37"/>
      <c r="V282" s="37"/>
      <c r="W282" s="37"/>
      <c r="X282" s="37"/>
      <c r="Y282" s="37"/>
      <c r="Z282" s="37"/>
      <c r="AA282" s="37">
        <f t="shared" si="22"/>
        <v>0</v>
      </c>
      <c r="AB282" s="37">
        <f t="shared" si="25"/>
        <v>0</v>
      </c>
    </row>
    <row r="283" spans="1:28" ht="14.4">
      <c r="A283" s="117">
        <v>1140219128</v>
      </c>
      <c r="B283" s="117" t="s">
        <v>714</v>
      </c>
      <c r="C283" s="37">
        <f>+VLOOKUP(A283,Composición!C:G,5,FALSE)</f>
        <v>0</v>
      </c>
      <c r="D283" s="37"/>
      <c r="E283" s="37"/>
      <c r="F283" s="37">
        <f>+VLOOKUP(A283,Composición!C:J,8,FALSE)</f>
        <v>0</v>
      </c>
      <c r="G283" s="37">
        <f t="shared" si="24"/>
        <v>0</v>
      </c>
      <c r="H283" s="37"/>
      <c r="I283" s="37"/>
      <c r="J283" s="37"/>
      <c r="K283" s="37"/>
      <c r="L283" s="37"/>
      <c r="M283" s="37"/>
      <c r="N283" s="37"/>
      <c r="O283" s="37"/>
      <c r="P283" s="37"/>
      <c r="Q283" s="37"/>
      <c r="R283" s="37"/>
      <c r="S283" s="37"/>
      <c r="T283" s="37"/>
      <c r="U283" s="37"/>
      <c r="V283" s="37"/>
      <c r="W283" s="37"/>
      <c r="X283" s="37"/>
      <c r="Y283" s="37"/>
      <c r="Z283" s="37"/>
      <c r="AA283" s="37">
        <f t="shared" ref="AA283:AA346" si="27">SUM(G283:Z283)</f>
        <v>0</v>
      </c>
      <c r="AB283" s="37">
        <f t="shared" si="25"/>
        <v>0</v>
      </c>
    </row>
    <row r="284" spans="1:28" ht="14.4">
      <c r="A284" s="117">
        <v>1140219129</v>
      </c>
      <c r="B284" s="117" t="s">
        <v>528</v>
      </c>
      <c r="C284" s="37">
        <f>+VLOOKUP(A284,Composición!C:G,5,FALSE)</f>
        <v>0</v>
      </c>
      <c r="D284" s="37"/>
      <c r="E284" s="37"/>
      <c r="F284" s="37">
        <f>+VLOOKUP(A284,Composición!C:J,8,FALSE)</f>
        <v>0</v>
      </c>
      <c r="G284" s="37">
        <f t="shared" si="24"/>
        <v>0</v>
      </c>
      <c r="H284" s="37"/>
      <c r="I284" s="37"/>
      <c r="J284" s="37"/>
      <c r="K284" s="37"/>
      <c r="L284" s="37"/>
      <c r="M284" s="37"/>
      <c r="N284" s="37"/>
      <c r="O284" s="37"/>
      <c r="P284" s="37"/>
      <c r="Q284" s="37"/>
      <c r="R284" s="37"/>
      <c r="S284" s="37">
        <f>-G284</f>
        <v>0</v>
      </c>
      <c r="T284" s="37"/>
      <c r="U284" s="37"/>
      <c r="V284" s="37"/>
      <c r="W284" s="37"/>
      <c r="X284" s="37"/>
      <c r="Y284" s="37"/>
      <c r="Z284" s="37"/>
      <c r="AA284" s="37">
        <f t="shared" si="27"/>
        <v>0</v>
      </c>
      <c r="AB284" s="37">
        <f t="shared" si="25"/>
        <v>0</v>
      </c>
    </row>
    <row r="285" spans="1:28" ht="14.4">
      <c r="A285" s="117">
        <v>1140219130</v>
      </c>
      <c r="B285" s="117" t="s">
        <v>715</v>
      </c>
      <c r="C285" s="37">
        <f>+VLOOKUP(A285,Composición!C:G,5,FALSE)</f>
        <v>0</v>
      </c>
      <c r="D285" s="37"/>
      <c r="E285" s="37"/>
      <c r="F285" s="37">
        <f>+VLOOKUP(A285,Composición!C:J,8,FALSE)</f>
        <v>0</v>
      </c>
      <c r="G285" s="37">
        <f t="shared" ref="G285:G348" si="28">C285+D285-E285-F285</f>
        <v>0</v>
      </c>
      <c r="H285" s="37"/>
      <c r="I285" s="37"/>
      <c r="J285" s="37"/>
      <c r="K285" s="37"/>
      <c r="L285" s="37"/>
      <c r="M285" s="37"/>
      <c r="N285" s="37"/>
      <c r="O285" s="37"/>
      <c r="P285" s="37"/>
      <c r="Q285" s="37"/>
      <c r="R285" s="37"/>
      <c r="S285" s="37">
        <f>-G285</f>
        <v>0</v>
      </c>
      <c r="T285" s="37"/>
      <c r="U285" s="37"/>
      <c r="V285" s="37"/>
      <c r="W285" s="37"/>
      <c r="X285" s="37"/>
      <c r="Y285" s="37"/>
      <c r="Z285" s="37"/>
      <c r="AA285" s="37">
        <f t="shared" si="27"/>
        <v>0</v>
      </c>
      <c r="AB285" s="37">
        <f t="shared" si="25"/>
        <v>0</v>
      </c>
    </row>
    <row r="286" spans="1:28" ht="14.4">
      <c r="A286" s="117">
        <v>1140219131</v>
      </c>
      <c r="B286" s="117" t="s">
        <v>146</v>
      </c>
      <c r="C286" s="37">
        <f>+VLOOKUP(A286,Composición!C:G,5,FALSE)</f>
        <v>0</v>
      </c>
      <c r="D286" s="37"/>
      <c r="E286" s="37"/>
      <c r="F286" s="37">
        <f>+VLOOKUP(A286,Composición!C:J,8,FALSE)</f>
        <v>0</v>
      </c>
      <c r="G286" s="37">
        <f t="shared" si="28"/>
        <v>0</v>
      </c>
      <c r="H286" s="37"/>
      <c r="I286" s="37"/>
      <c r="J286" s="37"/>
      <c r="K286" s="37"/>
      <c r="L286" s="37"/>
      <c r="M286" s="37"/>
      <c r="N286" s="37"/>
      <c r="O286" s="37"/>
      <c r="P286" s="37"/>
      <c r="Q286" s="37"/>
      <c r="R286" s="37"/>
      <c r="S286" s="37">
        <f>-G286</f>
        <v>0</v>
      </c>
      <c r="T286" s="37"/>
      <c r="U286" s="37"/>
      <c r="V286" s="37"/>
      <c r="W286" s="37"/>
      <c r="X286" s="37"/>
      <c r="Y286" s="37"/>
      <c r="Z286" s="37"/>
      <c r="AA286" s="37">
        <f t="shared" si="27"/>
        <v>0</v>
      </c>
      <c r="AB286" s="37">
        <f t="shared" si="25"/>
        <v>0</v>
      </c>
    </row>
    <row r="287" spans="1:28" ht="14.4">
      <c r="A287" s="117">
        <v>11402192</v>
      </c>
      <c r="B287" s="117" t="s">
        <v>80</v>
      </c>
      <c r="C287" s="37">
        <f>+VLOOKUP(A287,Composición!C:G,5,FALSE)</f>
        <v>0</v>
      </c>
      <c r="D287" s="37"/>
      <c r="E287" s="37"/>
      <c r="F287" s="37">
        <f>+VLOOKUP(A287,Composición!C:J,8,FALSE)</f>
        <v>0</v>
      </c>
      <c r="G287" s="37">
        <f t="shared" si="28"/>
        <v>0</v>
      </c>
      <c r="H287" s="37"/>
      <c r="I287" s="37"/>
      <c r="J287" s="37"/>
      <c r="K287" s="37"/>
      <c r="L287" s="37"/>
      <c r="M287" s="37"/>
      <c r="N287" s="37"/>
      <c r="O287" s="37"/>
      <c r="P287" s="37"/>
      <c r="Q287" s="37"/>
      <c r="R287" s="37"/>
      <c r="S287" s="37">
        <f t="shared" ref="S287:S291" si="29">-G287</f>
        <v>0</v>
      </c>
      <c r="T287" s="37"/>
      <c r="U287" s="37"/>
      <c r="V287" s="37"/>
      <c r="W287" s="37"/>
      <c r="X287" s="37"/>
      <c r="Y287" s="37"/>
      <c r="Z287" s="37"/>
      <c r="AA287" s="37">
        <f t="shared" si="27"/>
        <v>0</v>
      </c>
      <c r="AB287" s="37">
        <f t="shared" si="25"/>
        <v>0</v>
      </c>
    </row>
    <row r="288" spans="1:28" ht="14.4">
      <c r="A288" s="117">
        <v>1140219201</v>
      </c>
      <c r="B288" s="117" t="s">
        <v>81</v>
      </c>
      <c r="C288" s="37">
        <f>+VLOOKUP(A288,Composición!C:G,5,FALSE)</f>
        <v>8869921</v>
      </c>
      <c r="D288" s="37"/>
      <c r="E288" s="37"/>
      <c r="F288" s="37">
        <f>+VLOOKUP(A288,Composición!C:J,8,FALSE)</f>
        <v>8415111</v>
      </c>
      <c r="G288" s="37">
        <f t="shared" si="28"/>
        <v>454810</v>
      </c>
      <c r="H288" s="37"/>
      <c r="I288" s="37"/>
      <c r="J288" s="37"/>
      <c r="K288" s="37"/>
      <c r="L288" s="37"/>
      <c r="M288" s="37"/>
      <c r="N288" s="37"/>
      <c r="O288" s="37"/>
      <c r="P288" s="37"/>
      <c r="Q288" s="37"/>
      <c r="R288" s="37"/>
      <c r="S288" s="37">
        <f>-G288</f>
        <v>-454810</v>
      </c>
      <c r="T288" s="37"/>
      <c r="U288" s="37"/>
      <c r="V288" s="37"/>
      <c r="W288" s="37"/>
      <c r="X288" s="37"/>
      <c r="Y288" s="37"/>
      <c r="Z288" s="37"/>
      <c r="AA288" s="37">
        <f t="shared" si="27"/>
        <v>0</v>
      </c>
      <c r="AB288" s="37">
        <f t="shared" si="25"/>
        <v>0</v>
      </c>
    </row>
    <row r="289" spans="1:28" ht="14.4">
      <c r="A289" s="117">
        <v>1140219202</v>
      </c>
      <c r="B289" s="117" t="s">
        <v>716</v>
      </c>
      <c r="C289" s="37">
        <f>+VLOOKUP(A289,Composición!C:G,5,FALSE)</f>
        <v>0</v>
      </c>
      <c r="D289" s="37"/>
      <c r="E289" s="37"/>
      <c r="F289" s="37">
        <f>+VLOOKUP(A289,Composición!C:J,8,FALSE)</f>
        <v>0</v>
      </c>
      <c r="G289" s="37">
        <f t="shared" si="28"/>
        <v>0</v>
      </c>
      <c r="H289" s="37"/>
      <c r="I289" s="37"/>
      <c r="J289" s="37"/>
      <c r="K289" s="37"/>
      <c r="L289" s="37"/>
      <c r="M289" s="37"/>
      <c r="N289" s="37"/>
      <c r="O289" s="37"/>
      <c r="P289" s="37"/>
      <c r="Q289" s="37"/>
      <c r="R289" s="37"/>
      <c r="S289" s="37">
        <f t="shared" si="29"/>
        <v>0</v>
      </c>
      <c r="T289" s="37"/>
      <c r="U289" s="37"/>
      <c r="V289" s="37"/>
      <c r="W289" s="37"/>
      <c r="X289" s="37"/>
      <c r="Y289" s="37"/>
      <c r="Z289" s="37"/>
      <c r="AA289" s="37">
        <f t="shared" si="27"/>
        <v>0</v>
      </c>
      <c r="AB289" s="37">
        <f t="shared" si="25"/>
        <v>0</v>
      </c>
    </row>
    <row r="290" spans="1:28" ht="14.4">
      <c r="A290" s="117">
        <v>1140219203</v>
      </c>
      <c r="B290" s="117" t="s">
        <v>574</v>
      </c>
      <c r="C290" s="37">
        <f>+VLOOKUP(A290,Composición!C:G,5,FALSE)</f>
        <v>5994593</v>
      </c>
      <c r="D290" s="37"/>
      <c r="E290" s="37"/>
      <c r="F290" s="37">
        <f>+VLOOKUP(A290,Composición!C:J,8,FALSE)</f>
        <v>0</v>
      </c>
      <c r="G290" s="37">
        <f t="shared" si="28"/>
        <v>5994593</v>
      </c>
      <c r="H290" s="37"/>
      <c r="I290" s="37"/>
      <c r="J290" s="37"/>
      <c r="K290" s="37"/>
      <c r="L290" s="37"/>
      <c r="M290" s="37"/>
      <c r="N290" s="37"/>
      <c r="O290" s="37"/>
      <c r="P290" s="37"/>
      <c r="Q290" s="37"/>
      <c r="R290" s="37"/>
      <c r="S290" s="37">
        <f t="shared" si="29"/>
        <v>-5994593</v>
      </c>
      <c r="T290" s="37"/>
      <c r="U290" s="37"/>
      <c r="V290" s="37"/>
      <c r="W290" s="37"/>
      <c r="X290" s="37"/>
      <c r="Y290" s="37"/>
      <c r="Z290" s="37"/>
      <c r="AA290" s="37">
        <f t="shared" si="27"/>
        <v>0</v>
      </c>
      <c r="AB290" s="37">
        <f t="shared" si="25"/>
        <v>0</v>
      </c>
    </row>
    <row r="291" spans="1:28" ht="14.4">
      <c r="A291" s="117">
        <v>1140219204</v>
      </c>
      <c r="B291" s="117" t="s">
        <v>717</v>
      </c>
      <c r="C291" s="37">
        <f>+VLOOKUP(A291,Composición!C:G,5,FALSE)</f>
        <v>0</v>
      </c>
      <c r="D291" s="37"/>
      <c r="E291" s="37"/>
      <c r="F291" s="37">
        <f>+VLOOKUP(A291,Composición!C:J,8,FALSE)</f>
        <v>0</v>
      </c>
      <c r="G291" s="37">
        <f t="shared" si="28"/>
        <v>0</v>
      </c>
      <c r="H291" s="37"/>
      <c r="I291" s="37"/>
      <c r="J291" s="37"/>
      <c r="K291" s="37"/>
      <c r="L291" s="37"/>
      <c r="M291" s="37"/>
      <c r="N291" s="37"/>
      <c r="O291" s="37"/>
      <c r="P291" s="37"/>
      <c r="Q291" s="37"/>
      <c r="R291" s="37"/>
      <c r="S291" s="37">
        <f t="shared" si="29"/>
        <v>0</v>
      </c>
      <c r="T291" s="37"/>
      <c r="U291" s="37"/>
      <c r="V291" s="37"/>
      <c r="W291" s="37"/>
      <c r="X291" s="37"/>
      <c r="Y291" s="37"/>
      <c r="Z291" s="37"/>
      <c r="AA291" s="37">
        <f t="shared" si="27"/>
        <v>0</v>
      </c>
      <c r="AB291" s="37">
        <f t="shared" si="25"/>
        <v>0</v>
      </c>
    </row>
    <row r="292" spans="1:28" ht="14.4">
      <c r="A292" s="117">
        <v>1140219205</v>
      </c>
      <c r="B292" s="117" t="s">
        <v>82</v>
      </c>
      <c r="C292" s="37">
        <f>+VLOOKUP(A292,Composición!C:G,5,FALSE)</f>
        <v>23942612</v>
      </c>
      <c r="D292" s="37"/>
      <c r="E292" s="37"/>
      <c r="F292" s="37">
        <f>+VLOOKUP(A292,Composición!C:J,8,FALSE)</f>
        <v>15297971</v>
      </c>
      <c r="G292" s="37">
        <f t="shared" si="28"/>
        <v>8644641</v>
      </c>
      <c r="H292" s="37"/>
      <c r="I292" s="37"/>
      <c r="J292" s="37"/>
      <c r="K292" s="37"/>
      <c r="L292" s="37"/>
      <c r="M292" s="37"/>
      <c r="N292" s="37"/>
      <c r="O292" s="37"/>
      <c r="P292" s="37"/>
      <c r="Q292" s="37"/>
      <c r="R292" s="37"/>
      <c r="S292" s="37">
        <f>-G292</f>
        <v>-8644641</v>
      </c>
      <c r="T292" s="37"/>
      <c r="U292" s="37"/>
      <c r="V292" s="37"/>
      <c r="W292" s="37"/>
      <c r="X292" s="37"/>
      <c r="Y292" s="37"/>
      <c r="Z292" s="37"/>
      <c r="AA292" s="37">
        <f t="shared" si="27"/>
        <v>0</v>
      </c>
      <c r="AB292" s="37">
        <f t="shared" si="25"/>
        <v>0</v>
      </c>
    </row>
    <row r="293" spans="1:28" ht="14.4">
      <c r="A293" s="117">
        <v>1140219206</v>
      </c>
      <c r="B293" s="117" t="s">
        <v>83</v>
      </c>
      <c r="C293" s="37">
        <f>+VLOOKUP(A293,Composición!C:G,5,FALSE)</f>
        <v>6093817</v>
      </c>
      <c r="D293" s="37"/>
      <c r="E293" s="37"/>
      <c r="F293" s="37">
        <f>+VLOOKUP(A293,Composición!C:J,8,FALSE)</f>
        <v>3062693</v>
      </c>
      <c r="G293" s="37">
        <f t="shared" si="28"/>
        <v>3031124</v>
      </c>
      <c r="H293" s="37"/>
      <c r="I293" s="37"/>
      <c r="J293" s="37"/>
      <c r="K293" s="37"/>
      <c r="L293" s="37"/>
      <c r="M293" s="37"/>
      <c r="N293" s="37"/>
      <c r="O293" s="37"/>
      <c r="P293" s="37"/>
      <c r="Q293" s="37"/>
      <c r="R293" s="37"/>
      <c r="S293" s="37">
        <f>-G293</f>
        <v>-3031124</v>
      </c>
      <c r="T293" s="37"/>
      <c r="U293" s="37"/>
      <c r="V293" s="37"/>
      <c r="W293" s="37"/>
      <c r="X293" s="37"/>
      <c r="Y293" s="37"/>
      <c r="Z293" s="37"/>
      <c r="AA293" s="37">
        <f t="shared" si="27"/>
        <v>0</v>
      </c>
      <c r="AB293" s="37">
        <f t="shared" si="25"/>
        <v>0</v>
      </c>
    </row>
    <row r="294" spans="1:28" ht="14.4">
      <c r="A294" s="117">
        <v>1140219207</v>
      </c>
      <c r="B294" s="117" t="s">
        <v>84</v>
      </c>
      <c r="C294" s="37">
        <f>+VLOOKUP(A294,Composición!C:G,5,FALSE)</f>
        <v>20946393</v>
      </c>
      <c r="D294" s="37"/>
      <c r="E294" s="37"/>
      <c r="F294" s="37">
        <f>+VLOOKUP(A294,Composición!C:J,8,FALSE)</f>
        <v>19195223</v>
      </c>
      <c r="G294" s="37">
        <f t="shared" si="28"/>
        <v>1751170</v>
      </c>
      <c r="H294" s="37"/>
      <c r="I294" s="37"/>
      <c r="J294" s="37"/>
      <c r="K294" s="37"/>
      <c r="L294" s="37"/>
      <c r="M294" s="37"/>
      <c r="N294" s="37"/>
      <c r="O294" s="37"/>
      <c r="P294" s="37"/>
      <c r="Q294" s="37"/>
      <c r="R294" s="37"/>
      <c r="S294" s="37">
        <f>-G294</f>
        <v>-1751170</v>
      </c>
      <c r="T294" s="37"/>
      <c r="U294" s="37"/>
      <c r="V294" s="37"/>
      <c r="W294" s="37"/>
      <c r="X294" s="37"/>
      <c r="Y294" s="37"/>
      <c r="Z294" s="37"/>
      <c r="AA294" s="37">
        <f t="shared" si="27"/>
        <v>0</v>
      </c>
      <c r="AB294" s="37">
        <f t="shared" si="25"/>
        <v>0</v>
      </c>
    </row>
    <row r="295" spans="1:28" ht="14.4">
      <c r="A295" s="117">
        <v>1140219208</v>
      </c>
      <c r="B295" s="117" t="s">
        <v>85</v>
      </c>
      <c r="C295" s="37">
        <f>+VLOOKUP(A295,Composición!C:G,5,FALSE)</f>
        <v>0</v>
      </c>
      <c r="D295" s="37"/>
      <c r="E295" s="37"/>
      <c r="F295" s="37">
        <f>+VLOOKUP(A295,Composición!C:J,8,FALSE)</f>
        <v>4736151</v>
      </c>
      <c r="G295" s="37">
        <f t="shared" si="28"/>
        <v>-4736151</v>
      </c>
      <c r="H295" s="37"/>
      <c r="I295" s="37"/>
      <c r="J295" s="37"/>
      <c r="K295" s="37"/>
      <c r="L295" s="37"/>
      <c r="M295" s="37"/>
      <c r="N295" s="37"/>
      <c r="O295" s="37"/>
      <c r="P295" s="37"/>
      <c r="Q295" s="37"/>
      <c r="R295" s="37"/>
      <c r="S295" s="37">
        <f>-G295</f>
        <v>4736151</v>
      </c>
      <c r="T295" s="37"/>
      <c r="U295" s="37"/>
      <c r="V295" s="37"/>
      <c r="W295" s="37"/>
      <c r="X295" s="37"/>
      <c r="Y295" s="37"/>
      <c r="Z295" s="37"/>
      <c r="AA295" s="37">
        <f t="shared" si="27"/>
        <v>0</v>
      </c>
      <c r="AB295" s="37">
        <f t="shared" si="25"/>
        <v>0</v>
      </c>
    </row>
    <row r="296" spans="1:28" ht="14.4">
      <c r="A296" s="117">
        <v>1140219209</v>
      </c>
      <c r="B296" s="117" t="s">
        <v>718</v>
      </c>
      <c r="C296" s="37">
        <f>+VLOOKUP(A296,Composición!C:G,5,FALSE)</f>
        <v>0</v>
      </c>
      <c r="D296" s="37"/>
      <c r="E296" s="37"/>
      <c r="F296" s="37">
        <f>+VLOOKUP(A296,Composición!C:J,8,FALSE)</f>
        <v>0</v>
      </c>
      <c r="G296" s="37">
        <f t="shared" si="28"/>
        <v>0</v>
      </c>
      <c r="H296" s="37"/>
      <c r="I296" s="37"/>
      <c r="J296" s="37"/>
      <c r="K296" s="37"/>
      <c r="L296" s="37"/>
      <c r="M296" s="37"/>
      <c r="N296" s="37"/>
      <c r="O296" s="37"/>
      <c r="P296" s="37"/>
      <c r="Q296" s="37"/>
      <c r="R296" s="37"/>
      <c r="S296" s="37">
        <f>-G296</f>
        <v>0</v>
      </c>
      <c r="T296" s="37"/>
      <c r="U296" s="37"/>
      <c r="V296" s="37"/>
      <c r="W296" s="37"/>
      <c r="X296" s="37"/>
      <c r="Y296" s="37"/>
      <c r="Z296" s="37"/>
      <c r="AA296" s="37">
        <f t="shared" si="27"/>
        <v>0</v>
      </c>
      <c r="AB296" s="37">
        <f t="shared" si="25"/>
        <v>0</v>
      </c>
    </row>
    <row r="297" spans="1:28" ht="14.4">
      <c r="A297" s="117">
        <v>1140219210</v>
      </c>
      <c r="B297" s="117" t="s">
        <v>719</v>
      </c>
      <c r="C297" s="37">
        <f>+VLOOKUP(A297,Composición!C:G,5,FALSE)</f>
        <v>0</v>
      </c>
      <c r="D297" s="37"/>
      <c r="E297" s="37"/>
      <c r="F297" s="37">
        <f>+VLOOKUP(A297,Composición!C:J,8,FALSE)</f>
        <v>0</v>
      </c>
      <c r="G297" s="37">
        <f t="shared" si="28"/>
        <v>0</v>
      </c>
      <c r="H297" s="37"/>
      <c r="I297" s="37"/>
      <c r="J297" s="37"/>
      <c r="K297" s="37"/>
      <c r="L297" s="37"/>
      <c r="M297" s="37"/>
      <c r="N297" s="37"/>
      <c r="O297" s="37"/>
      <c r="P297" s="37"/>
      <c r="Q297" s="37"/>
      <c r="R297" s="37"/>
      <c r="S297" s="37"/>
      <c r="T297" s="37"/>
      <c r="U297" s="37"/>
      <c r="V297" s="37"/>
      <c r="W297" s="37"/>
      <c r="X297" s="37"/>
      <c r="Y297" s="37"/>
      <c r="Z297" s="37"/>
      <c r="AA297" s="37">
        <f t="shared" si="27"/>
        <v>0</v>
      </c>
      <c r="AB297" s="37">
        <f t="shared" si="25"/>
        <v>0</v>
      </c>
    </row>
    <row r="298" spans="1:28" ht="14.4">
      <c r="A298" s="117">
        <v>1140219211</v>
      </c>
      <c r="B298" s="117" t="s">
        <v>720</v>
      </c>
      <c r="C298" s="37">
        <f>+VLOOKUP(A298,Composición!C:G,5,FALSE)</f>
        <v>0</v>
      </c>
      <c r="D298" s="37"/>
      <c r="E298" s="37"/>
      <c r="F298" s="37">
        <f>+VLOOKUP(A298,Composición!C:J,8,FALSE)</f>
        <v>0</v>
      </c>
      <c r="G298" s="37">
        <f t="shared" si="28"/>
        <v>0</v>
      </c>
      <c r="H298" s="37"/>
      <c r="I298" s="37"/>
      <c r="J298" s="37"/>
      <c r="K298" s="37"/>
      <c r="L298" s="37"/>
      <c r="M298" s="37"/>
      <c r="N298" s="37"/>
      <c r="O298" s="37"/>
      <c r="P298" s="37"/>
      <c r="Q298" s="37"/>
      <c r="R298" s="37"/>
      <c r="S298" s="37"/>
      <c r="T298" s="37"/>
      <c r="U298" s="37"/>
      <c r="V298" s="37"/>
      <c r="W298" s="37"/>
      <c r="X298" s="37"/>
      <c r="Y298" s="37"/>
      <c r="Z298" s="37"/>
      <c r="AA298" s="37">
        <f t="shared" si="27"/>
        <v>0</v>
      </c>
      <c r="AB298" s="37">
        <f t="shared" si="25"/>
        <v>0</v>
      </c>
    </row>
    <row r="299" spans="1:28" ht="14.4">
      <c r="A299" s="117">
        <v>1140219212</v>
      </c>
      <c r="B299" s="117" t="s">
        <v>721</v>
      </c>
      <c r="C299" s="37">
        <f>+VLOOKUP(A299,Composición!C:G,5,FALSE)</f>
        <v>0</v>
      </c>
      <c r="D299" s="37"/>
      <c r="E299" s="37"/>
      <c r="F299" s="37">
        <f>+VLOOKUP(A299,Composición!C:J,8,FALSE)</f>
        <v>0</v>
      </c>
      <c r="G299" s="37">
        <f t="shared" si="28"/>
        <v>0</v>
      </c>
      <c r="H299" s="37"/>
      <c r="I299" s="37"/>
      <c r="J299" s="37"/>
      <c r="K299" s="37"/>
      <c r="L299" s="37"/>
      <c r="M299" s="37"/>
      <c r="N299" s="37"/>
      <c r="O299" s="37"/>
      <c r="P299" s="37"/>
      <c r="Q299" s="37"/>
      <c r="R299" s="37"/>
      <c r="S299" s="37"/>
      <c r="T299" s="37"/>
      <c r="U299" s="37"/>
      <c r="V299" s="37"/>
      <c r="W299" s="37"/>
      <c r="X299" s="37"/>
      <c r="Y299" s="37"/>
      <c r="Z299" s="37"/>
      <c r="AA299" s="37">
        <f t="shared" si="27"/>
        <v>0</v>
      </c>
      <c r="AB299" s="37">
        <f t="shared" si="25"/>
        <v>0</v>
      </c>
    </row>
    <row r="300" spans="1:28" ht="14.4">
      <c r="A300" s="117">
        <v>1140219213</v>
      </c>
      <c r="B300" s="117" t="s">
        <v>86</v>
      </c>
      <c r="C300" s="37">
        <f>+VLOOKUP(A300,Composición!C:G,5,FALSE)</f>
        <v>140</v>
      </c>
      <c r="D300" s="37"/>
      <c r="E300" s="37"/>
      <c r="F300" s="37">
        <f>+VLOOKUP(A300,Composición!C:J,8,FALSE)</f>
        <v>5444220</v>
      </c>
      <c r="G300" s="37">
        <f t="shared" si="28"/>
        <v>-5444080</v>
      </c>
      <c r="H300" s="37"/>
      <c r="I300" s="37"/>
      <c r="J300" s="37"/>
      <c r="K300" s="37"/>
      <c r="L300" s="37"/>
      <c r="M300" s="37"/>
      <c r="N300" s="37"/>
      <c r="O300" s="37"/>
      <c r="P300" s="37"/>
      <c r="Q300" s="37"/>
      <c r="R300" s="37"/>
      <c r="S300" s="37">
        <f>-G300</f>
        <v>5444080</v>
      </c>
      <c r="T300" s="37"/>
      <c r="U300" s="37"/>
      <c r="V300" s="37"/>
      <c r="W300" s="37"/>
      <c r="X300" s="37"/>
      <c r="Y300" s="37"/>
      <c r="Z300" s="37"/>
      <c r="AA300" s="37">
        <f t="shared" si="27"/>
        <v>0</v>
      </c>
      <c r="AB300" s="37">
        <f t="shared" si="25"/>
        <v>0</v>
      </c>
    </row>
    <row r="301" spans="1:28" ht="14.4">
      <c r="A301" s="117">
        <v>1140219214</v>
      </c>
      <c r="B301" s="117" t="s">
        <v>716</v>
      </c>
      <c r="C301" s="37">
        <f>+VLOOKUP(A301,Composición!C:G,5,FALSE)</f>
        <v>0</v>
      </c>
      <c r="D301" s="37"/>
      <c r="E301" s="37"/>
      <c r="F301" s="37">
        <f>+VLOOKUP(A301,Composición!C:J,8,FALSE)</f>
        <v>0</v>
      </c>
      <c r="G301" s="37">
        <f t="shared" si="28"/>
        <v>0</v>
      </c>
      <c r="H301" s="37"/>
      <c r="I301" s="37"/>
      <c r="J301" s="37"/>
      <c r="K301" s="37"/>
      <c r="L301" s="37"/>
      <c r="M301" s="37"/>
      <c r="N301" s="37"/>
      <c r="O301" s="37"/>
      <c r="P301" s="37"/>
      <c r="Q301" s="37"/>
      <c r="R301" s="37"/>
      <c r="S301" s="37"/>
      <c r="T301" s="37"/>
      <c r="U301" s="37"/>
      <c r="V301" s="37"/>
      <c r="W301" s="37"/>
      <c r="X301" s="37"/>
      <c r="Y301" s="37"/>
      <c r="Z301" s="37"/>
      <c r="AA301" s="37">
        <f t="shared" si="27"/>
        <v>0</v>
      </c>
      <c r="AB301" s="37">
        <f t="shared" si="25"/>
        <v>0</v>
      </c>
    </row>
    <row r="302" spans="1:28" ht="14.4">
      <c r="A302" s="117">
        <v>1140219215</v>
      </c>
      <c r="B302" s="117" t="s">
        <v>574</v>
      </c>
      <c r="C302" s="37">
        <f>+VLOOKUP(A302,Composición!C:G,5,FALSE)</f>
        <v>0</v>
      </c>
      <c r="D302" s="37"/>
      <c r="E302" s="37"/>
      <c r="F302" s="37">
        <f>+VLOOKUP(A302,Composición!C:J,8,FALSE)</f>
        <v>0</v>
      </c>
      <c r="G302" s="37">
        <f t="shared" si="28"/>
        <v>0</v>
      </c>
      <c r="H302" s="37"/>
      <c r="I302" s="37"/>
      <c r="J302" s="37"/>
      <c r="K302" s="37"/>
      <c r="L302" s="37"/>
      <c r="M302" s="37"/>
      <c r="N302" s="37"/>
      <c r="O302" s="37"/>
      <c r="P302" s="37"/>
      <c r="Q302" s="37"/>
      <c r="R302" s="37"/>
      <c r="S302" s="37"/>
      <c r="T302" s="37"/>
      <c r="U302" s="37"/>
      <c r="V302" s="37"/>
      <c r="W302" s="37"/>
      <c r="X302" s="37"/>
      <c r="Y302" s="37"/>
      <c r="Z302" s="37"/>
      <c r="AA302" s="37">
        <f t="shared" si="27"/>
        <v>0</v>
      </c>
      <c r="AB302" s="37">
        <f t="shared" si="25"/>
        <v>0</v>
      </c>
    </row>
    <row r="303" spans="1:28" ht="14.4">
      <c r="A303" s="117">
        <v>1140219216</v>
      </c>
      <c r="B303" s="117" t="s">
        <v>717</v>
      </c>
      <c r="C303" s="37">
        <f>+VLOOKUP(A303,Composición!C:G,5,FALSE)</f>
        <v>0</v>
      </c>
      <c r="D303" s="37"/>
      <c r="E303" s="37"/>
      <c r="F303" s="37">
        <f>+VLOOKUP(A303,Composición!C:J,8,FALSE)</f>
        <v>0</v>
      </c>
      <c r="G303" s="37">
        <f t="shared" si="28"/>
        <v>0</v>
      </c>
      <c r="H303" s="37"/>
      <c r="I303" s="37"/>
      <c r="J303" s="37"/>
      <c r="K303" s="37"/>
      <c r="L303" s="37"/>
      <c r="M303" s="37"/>
      <c r="N303" s="37"/>
      <c r="O303" s="37"/>
      <c r="P303" s="37"/>
      <c r="Q303" s="37"/>
      <c r="R303" s="37"/>
      <c r="S303" s="37"/>
      <c r="T303" s="37"/>
      <c r="U303" s="37"/>
      <c r="V303" s="37"/>
      <c r="W303" s="37"/>
      <c r="X303" s="37"/>
      <c r="Y303" s="37"/>
      <c r="Z303" s="37"/>
      <c r="AA303" s="37">
        <f t="shared" si="27"/>
        <v>0</v>
      </c>
      <c r="AB303" s="37">
        <f t="shared" si="25"/>
        <v>0</v>
      </c>
    </row>
    <row r="304" spans="1:28" ht="14.4">
      <c r="A304" s="117">
        <v>1140219217</v>
      </c>
      <c r="B304" s="117" t="s">
        <v>722</v>
      </c>
      <c r="C304" s="37">
        <f>+VLOOKUP(A304,Composición!C:G,5,FALSE)</f>
        <v>0</v>
      </c>
      <c r="D304" s="37"/>
      <c r="E304" s="37"/>
      <c r="F304" s="37">
        <f>+VLOOKUP(A304,Composición!C:J,8,FALSE)</f>
        <v>0</v>
      </c>
      <c r="G304" s="37">
        <f t="shared" si="28"/>
        <v>0</v>
      </c>
      <c r="H304" s="37"/>
      <c r="I304" s="37"/>
      <c r="J304" s="37"/>
      <c r="K304" s="37"/>
      <c r="L304" s="37"/>
      <c r="M304" s="37"/>
      <c r="N304" s="37"/>
      <c r="O304" s="37"/>
      <c r="P304" s="37"/>
      <c r="Q304" s="37"/>
      <c r="R304" s="37"/>
      <c r="S304" s="37"/>
      <c r="T304" s="37"/>
      <c r="U304" s="37"/>
      <c r="V304" s="37"/>
      <c r="W304" s="37"/>
      <c r="X304" s="37"/>
      <c r="Y304" s="37"/>
      <c r="Z304" s="37"/>
      <c r="AA304" s="37">
        <f t="shared" si="27"/>
        <v>0</v>
      </c>
      <c r="AB304" s="37">
        <f t="shared" si="25"/>
        <v>0</v>
      </c>
    </row>
    <row r="305" spans="1:28" ht="14.4">
      <c r="A305" s="117">
        <v>1140219218</v>
      </c>
      <c r="B305" s="117" t="s">
        <v>723</v>
      </c>
      <c r="C305" s="37">
        <f>+VLOOKUP(A305,Composición!C:G,5,FALSE)</f>
        <v>0</v>
      </c>
      <c r="D305" s="37"/>
      <c r="E305" s="37"/>
      <c r="F305" s="37">
        <f>+VLOOKUP(A305,Composición!C:J,8,FALSE)</f>
        <v>0</v>
      </c>
      <c r="G305" s="37">
        <f t="shared" si="28"/>
        <v>0</v>
      </c>
      <c r="H305" s="37"/>
      <c r="I305" s="37"/>
      <c r="J305" s="37"/>
      <c r="K305" s="37"/>
      <c r="L305" s="37"/>
      <c r="M305" s="37"/>
      <c r="N305" s="37"/>
      <c r="O305" s="37"/>
      <c r="P305" s="37"/>
      <c r="Q305" s="37"/>
      <c r="R305" s="37"/>
      <c r="S305" s="37"/>
      <c r="T305" s="37"/>
      <c r="U305" s="37"/>
      <c r="V305" s="37"/>
      <c r="W305" s="37"/>
      <c r="X305" s="37"/>
      <c r="Y305" s="37"/>
      <c r="Z305" s="37"/>
      <c r="AA305" s="37">
        <f t="shared" si="27"/>
        <v>0</v>
      </c>
      <c r="AB305" s="37">
        <f t="shared" si="25"/>
        <v>0</v>
      </c>
    </row>
    <row r="306" spans="1:28" ht="14.4">
      <c r="A306" s="117">
        <v>1140219219</v>
      </c>
      <c r="B306" s="117" t="s">
        <v>84</v>
      </c>
      <c r="C306" s="37">
        <f>+VLOOKUP(A306,Composición!C:G,5,FALSE)</f>
        <v>0</v>
      </c>
      <c r="D306" s="37"/>
      <c r="E306" s="37"/>
      <c r="F306" s="37">
        <f>+VLOOKUP(A306,Composición!C:J,8,FALSE)</f>
        <v>0</v>
      </c>
      <c r="G306" s="37">
        <f t="shared" si="28"/>
        <v>0</v>
      </c>
      <c r="H306" s="37"/>
      <c r="I306" s="37"/>
      <c r="J306" s="37"/>
      <c r="K306" s="37"/>
      <c r="L306" s="37"/>
      <c r="M306" s="37"/>
      <c r="N306" s="37"/>
      <c r="O306" s="37"/>
      <c r="P306" s="37"/>
      <c r="Q306" s="37"/>
      <c r="R306" s="37"/>
      <c r="S306" s="37"/>
      <c r="T306" s="37"/>
      <c r="U306" s="37"/>
      <c r="V306" s="37"/>
      <c r="W306" s="37"/>
      <c r="X306" s="37"/>
      <c r="Y306" s="37"/>
      <c r="Z306" s="37"/>
      <c r="AA306" s="37">
        <f t="shared" si="27"/>
        <v>0</v>
      </c>
      <c r="AB306" s="37">
        <f t="shared" si="25"/>
        <v>0</v>
      </c>
    </row>
    <row r="307" spans="1:28" ht="14.4">
      <c r="A307" s="117">
        <v>1140219220</v>
      </c>
      <c r="B307" s="117" t="s">
        <v>85</v>
      </c>
      <c r="C307" s="37">
        <f>+VLOOKUP(A307,Composición!C:G,5,FALSE)</f>
        <v>0</v>
      </c>
      <c r="D307" s="37"/>
      <c r="E307" s="37"/>
      <c r="F307" s="37">
        <f>+VLOOKUP(A307,Composición!C:J,8,FALSE)</f>
        <v>0</v>
      </c>
      <c r="G307" s="37">
        <f t="shared" si="28"/>
        <v>0</v>
      </c>
      <c r="H307" s="37"/>
      <c r="I307" s="37"/>
      <c r="J307" s="37"/>
      <c r="K307" s="37"/>
      <c r="L307" s="37"/>
      <c r="M307" s="37"/>
      <c r="N307" s="37"/>
      <c r="O307" s="37"/>
      <c r="P307" s="37"/>
      <c r="Q307" s="37"/>
      <c r="R307" s="37"/>
      <c r="S307" s="37"/>
      <c r="T307" s="37"/>
      <c r="U307" s="37"/>
      <c r="V307" s="37"/>
      <c r="W307" s="37"/>
      <c r="X307" s="37"/>
      <c r="Y307" s="37"/>
      <c r="Z307" s="37"/>
      <c r="AA307" s="37">
        <f t="shared" si="27"/>
        <v>0</v>
      </c>
      <c r="AB307" s="37">
        <f t="shared" si="25"/>
        <v>0</v>
      </c>
    </row>
    <row r="308" spans="1:28" ht="14.4">
      <c r="A308" s="117">
        <v>1140219221</v>
      </c>
      <c r="B308" s="117" t="s">
        <v>724</v>
      </c>
      <c r="C308" s="37">
        <f>+VLOOKUP(A308,Composición!C:G,5,FALSE)</f>
        <v>0</v>
      </c>
      <c r="D308" s="37"/>
      <c r="E308" s="37"/>
      <c r="F308" s="37">
        <f>+VLOOKUP(A308,Composición!C:J,8,FALSE)</f>
        <v>0</v>
      </c>
      <c r="G308" s="37">
        <f t="shared" si="28"/>
        <v>0</v>
      </c>
      <c r="H308" s="37"/>
      <c r="I308" s="37"/>
      <c r="J308" s="37"/>
      <c r="K308" s="37"/>
      <c r="L308" s="37"/>
      <c r="M308" s="37"/>
      <c r="N308" s="37"/>
      <c r="O308" s="37"/>
      <c r="P308" s="37"/>
      <c r="Q308" s="37"/>
      <c r="R308" s="37"/>
      <c r="S308" s="37"/>
      <c r="T308" s="37"/>
      <c r="U308" s="37"/>
      <c r="V308" s="37"/>
      <c r="W308" s="37"/>
      <c r="X308" s="37"/>
      <c r="Y308" s="37"/>
      <c r="Z308" s="37"/>
      <c r="AA308" s="37">
        <f t="shared" si="27"/>
        <v>0</v>
      </c>
      <c r="AB308" s="37">
        <f t="shared" si="25"/>
        <v>0</v>
      </c>
    </row>
    <row r="309" spans="1:28" ht="14.4">
      <c r="A309" s="117">
        <v>1140219222</v>
      </c>
      <c r="B309" s="117" t="s">
        <v>725</v>
      </c>
      <c r="C309" s="37">
        <f>+VLOOKUP(A309,Composición!C:G,5,FALSE)</f>
        <v>0</v>
      </c>
      <c r="D309" s="37"/>
      <c r="E309" s="37"/>
      <c r="F309" s="37">
        <f>+VLOOKUP(A309,Composición!C:J,8,FALSE)</f>
        <v>0</v>
      </c>
      <c r="G309" s="37">
        <f t="shared" si="28"/>
        <v>0</v>
      </c>
      <c r="H309" s="37"/>
      <c r="I309" s="37"/>
      <c r="J309" s="37"/>
      <c r="K309" s="37"/>
      <c r="L309" s="37"/>
      <c r="M309" s="37"/>
      <c r="N309" s="37"/>
      <c r="O309" s="37"/>
      <c r="P309" s="37"/>
      <c r="Q309" s="37"/>
      <c r="R309" s="37"/>
      <c r="S309" s="37"/>
      <c r="T309" s="37"/>
      <c r="U309" s="37"/>
      <c r="V309" s="37"/>
      <c r="W309" s="37"/>
      <c r="X309" s="37"/>
      <c r="Y309" s="37"/>
      <c r="Z309" s="37"/>
      <c r="AA309" s="37">
        <f t="shared" si="27"/>
        <v>0</v>
      </c>
      <c r="AB309" s="37">
        <f t="shared" si="25"/>
        <v>0</v>
      </c>
    </row>
    <row r="310" spans="1:28" ht="14.4">
      <c r="A310" s="117">
        <v>1140219223</v>
      </c>
      <c r="B310" s="117" t="s">
        <v>720</v>
      </c>
      <c r="C310" s="37">
        <f>+VLOOKUP(A310,Composición!C:G,5,FALSE)</f>
        <v>0</v>
      </c>
      <c r="D310" s="37"/>
      <c r="E310" s="37"/>
      <c r="F310" s="37">
        <f>+VLOOKUP(A310,Composición!C:J,8,FALSE)</f>
        <v>0</v>
      </c>
      <c r="G310" s="37">
        <f t="shared" si="28"/>
        <v>0</v>
      </c>
      <c r="H310" s="37"/>
      <c r="I310" s="37"/>
      <c r="J310" s="37"/>
      <c r="K310" s="37"/>
      <c r="L310" s="37"/>
      <c r="M310" s="37"/>
      <c r="N310" s="37"/>
      <c r="O310" s="37"/>
      <c r="P310" s="37"/>
      <c r="Q310" s="37"/>
      <c r="R310" s="37"/>
      <c r="S310" s="37"/>
      <c r="T310" s="37"/>
      <c r="U310" s="37"/>
      <c r="V310" s="37"/>
      <c r="W310" s="37"/>
      <c r="X310" s="37"/>
      <c r="Y310" s="37"/>
      <c r="Z310" s="37"/>
      <c r="AA310" s="37">
        <f t="shared" si="27"/>
        <v>0</v>
      </c>
      <c r="AB310" s="37">
        <f t="shared" si="25"/>
        <v>0</v>
      </c>
    </row>
    <row r="311" spans="1:28" ht="14.4">
      <c r="A311" s="117">
        <v>1140219224</v>
      </c>
      <c r="B311" s="117" t="s">
        <v>721</v>
      </c>
      <c r="C311" s="37">
        <f>+VLOOKUP(A311,Composición!C:G,5,FALSE)</f>
        <v>0</v>
      </c>
      <c r="D311" s="37"/>
      <c r="E311" s="37"/>
      <c r="F311" s="37">
        <f>+VLOOKUP(A311,Composición!C:J,8,FALSE)</f>
        <v>0</v>
      </c>
      <c r="G311" s="37">
        <f t="shared" si="28"/>
        <v>0</v>
      </c>
      <c r="H311" s="37"/>
      <c r="I311" s="37"/>
      <c r="J311" s="37"/>
      <c r="K311" s="37"/>
      <c r="L311" s="37"/>
      <c r="M311" s="37"/>
      <c r="N311" s="37"/>
      <c r="O311" s="37"/>
      <c r="P311" s="37"/>
      <c r="Q311" s="37"/>
      <c r="R311" s="37"/>
      <c r="S311" s="37"/>
      <c r="T311" s="37"/>
      <c r="U311" s="37"/>
      <c r="V311" s="37"/>
      <c r="W311" s="37"/>
      <c r="X311" s="37"/>
      <c r="Y311" s="37"/>
      <c r="Z311" s="37"/>
      <c r="AA311" s="37">
        <f t="shared" si="27"/>
        <v>0</v>
      </c>
      <c r="AB311" s="37">
        <f t="shared" si="25"/>
        <v>0</v>
      </c>
    </row>
    <row r="312" spans="1:28" ht="14.4">
      <c r="A312" s="117">
        <v>1140219225</v>
      </c>
      <c r="B312" s="117" t="s">
        <v>726</v>
      </c>
      <c r="C312" s="37">
        <f>+VLOOKUP(A312,Composición!C:G,5,FALSE)</f>
        <v>0</v>
      </c>
      <c r="D312" s="37"/>
      <c r="E312" s="37"/>
      <c r="F312" s="37">
        <f>+VLOOKUP(A312,Composición!C:J,8,FALSE)</f>
        <v>0</v>
      </c>
      <c r="G312" s="37">
        <f t="shared" si="28"/>
        <v>0</v>
      </c>
      <c r="H312" s="37"/>
      <c r="I312" s="37"/>
      <c r="J312" s="37"/>
      <c r="K312" s="37"/>
      <c r="L312" s="37"/>
      <c r="M312" s="37"/>
      <c r="N312" s="37"/>
      <c r="O312" s="37"/>
      <c r="P312" s="37"/>
      <c r="Q312" s="37"/>
      <c r="R312" s="37"/>
      <c r="S312" s="37"/>
      <c r="T312" s="37"/>
      <c r="U312" s="37"/>
      <c r="V312" s="37"/>
      <c r="W312" s="37"/>
      <c r="X312" s="37"/>
      <c r="Y312" s="37"/>
      <c r="Z312" s="37"/>
      <c r="AA312" s="37">
        <f t="shared" si="27"/>
        <v>0</v>
      </c>
      <c r="AB312" s="37">
        <f t="shared" si="25"/>
        <v>0</v>
      </c>
    </row>
    <row r="313" spans="1:28" ht="14.4">
      <c r="A313" s="117">
        <v>1140219226</v>
      </c>
      <c r="B313" s="117" t="s">
        <v>726</v>
      </c>
      <c r="C313" s="37">
        <f>+VLOOKUP(A313,Composición!C:G,5,FALSE)</f>
        <v>0</v>
      </c>
      <c r="D313" s="37"/>
      <c r="E313" s="37"/>
      <c r="F313" s="37">
        <f>+VLOOKUP(A313,Composición!C:J,8,FALSE)</f>
        <v>0</v>
      </c>
      <c r="G313" s="37">
        <f t="shared" si="28"/>
        <v>0</v>
      </c>
      <c r="H313" s="37"/>
      <c r="I313" s="37"/>
      <c r="J313" s="37"/>
      <c r="K313" s="37"/>
      <c r="L313" s="37"/>
      <c r="M313" s="37"/>
      <c r="N313" s="37"/>
      <c r="O313" s="37"/>
      <c r="P313" s="37"/>
      <c r="Q313" s="37"/>
      <c r="R313" s="37"/>
      <c r="S313" s="37"/>
      <c r="T313" s="37"/>
      <c r="U313" s="37"/>
      <c r="V313" s="37"/>
      <c r="W313" s="37"/>
      <c r="X313" s="37"/>
      <c r="Y313" s="37"/>
      <c r="Z313" s="37"/>
      <c r="AA313" s="37">
        <f t="shared" si="27"/>
        <v>0</v>
      </c>
      <c r="AB313" s="37">
        <f t="shared" si="25"/>
        <v>0</v>
      </c>
    </row>
    <row r="314" spans="1:28" ht="14.4">
      <c r="A314" s="117">
        <v>1140219227</v>
      </c>
      <c r="B314" s="117" t="s">
        <v>727</v>
      </c>
      <c r="C314" s="37">
        <f>+VLOOKUP(A314,Composición!C:G,5,FALSE)</f>
        <v>0</v>
      </c>
      <c r="D314" s="37"/>
      <c r="E314" s="37"/>
      <c r="F314" s="37">
        <f>+VLOOKUP(A314,Composición!C:J,8,FALSE)</f>
        <v>0</v>
      </c>
      <c r="G314" s="37">
        <f t="shared" si="28"/>
        <v>0</v>
      </c>
      <c r="H314" s="37"/>
      <c r="I314" s="37"/>
      <c r="J314" s="37"/>
      <c r="K314" s="37"/>
      <c r="L314" s="37"/>
      <c r="M314" s="37"/>
      <c r="N314" s="37"/>
      <c r="O314" s="37"/>
      <c r="P314" s="37"/>
      <c r="Q314" s="37"/>
      <c r="R314" s="37"/>
      <c r="S314" s="37"/>
      <c r="T314" s="37"/>
      <c r="U314" s="37"/>
      <c r="V314" s="37"/>
      <c r="W314" s="37"/>
      <c r="X314" s="37"/>
      <c r="Y314" s="37"/>
      <c r="Z314" s="37"/>
      <c r="AA314" s="37">
        <f t="shared" si="27"/>
        <v>0</v>
      </c>
      <c r="AB314" s="37">
        <f t="shared" si="25"/>
        <v>0</v>
      </c>
    </row>
    <row r="315" spans="1:28" ht="14.4">
      <c r="A315" s="117">
        <v>1140219228</v>
      </c>
      <c r="B315" s="117" t="s">
        <v>727</v>
      </c>
      <c r="C315" s="37">
        <f>+VLOOKUP(A315,Composición!C:G,5,FALSE)</f>
        <v>0</v>
      </c>
      <c r="D315" s="37"/>
      <c r="E315" s="37"/>
      <c r="F315" s="37">
        <f>+VLOOKUP(A315,Composición!C:J,8,FALSE)</f>
        <v>0</v>
      </c>
      <c r="G315" s="37">
        <f t="shared" si="28"/>
        <v>0</v>
      </c>
      <c r="H315" s="37"/>
      <c r="I315" s="37"/>
      <c r="J315" s="37"/>
      <c r="K315" s="37"/>
      <c r="L315" s="37"/>
      <c r="M315" s="37"/>
      <c r="N315" s="37"/>
      <c r="O315" s="37"/>
      <c r="P315" s="37"/>
      <c r="Q315" s="37"/>
      <c r="R315" s="37"/>
      <c r="S315" s="37"/>
      <c r="T315" s="37"/>
      <c r="U315" s="37"/>
      <c r="V315" s="37"/>
      <c r="W315" s="37"/>
      <c r="X315" s="37"/>
      <c r="Y315" s="37"/>
      <c r="Z315" s="37"/>
      <c r="AA315" s="37">
        <f t="shared" si="27"/>
        <v>0</v>
      </c>
      <c r="AB315" s="37">
        <f t="shared" si="25"/>
        <v>0</v>
      </c>
    </row>
    <row r="316" spans="1:28" ht="14.4">
      <c r="A316" s="117">
        <v>1140219229</v>
      </c>
      <c r="B316" s="117" t="s">
        <v>728</v>
      </c>
      <c r="C316" s="37">
        <f>+VLOOKUP(A316,Composición!C:G,5,FALSE)</f>
        <v>11246160</v>
      </c>
      <c r="D316" s="37"/>
      <c r="E316" s="37"/>
      <c r="F316" s="37">
        <f>+VLOOKUP(A316,Composición!C:J,8,FALSE)</f>
        <v>0</v>
      </c>
      <c r="G316" s="37">
        <f t="shared" si="28"/>
        <v>11246160</v>
      </c>
      <c r="H316" s="37"/>
      <c r="I316" s="37"/>
      <c r="J316" s="37"/>
      <c r="K316" s="37"/>
      <c r="L316" s="37"/>
      <c r="M316" s="37"/>
      <c r="N316" s="37"/>
      <c r="O316" s="37"/>
      <c r="P316" s="37"/>
      <c r="Q316" s="37"/>
      <c r="R316" s="37"/>
      <c r="S316" s="37">
        <f>-G316</f>
        <v>-11246160</v>
      </c>
      <c r="T316" s="37"/>
      <c r="U316" s="37"/>
      <c r="V316" s="37"/>
      <c r="W316" s="37"/>
      <c r="X316" s="37"/>
      <c r="Y316" s="37"/>
      <c r="Z316" s="37"/>
      <c r="AA316" s="37">
        <f t="shared" si="27"/>
        <v>0</v>
      </c>
      <c r="AB316" s="37">
        <f t="shared" ref="AB316:AB379" si="30">SUM(G316:Z316)</f>
        <v>0</v>
      </c>
    </row>
    <row r="317" spans="1:28" ht="14.4">
      <c r="A317" s="117">
        <v>1140219230</v>
      </c>
      <c r="B317" s="117" t="s">
        <v>729</v>
      </c>
      <c r="C317" s="37">
        <f>+VLOOKUP(A317,Composición!C:G,5,FALSE)</f>
        <v>0</v>
      </c>
      <c r="D317" s="37"/>
      <c r="E317" s="37"/>
      <c r="F317" s="37">
        <f>+VLOOKUP(A317,Composición!C:J,8,FALSE)</f>
        <v>0</v>
      </c>
      <c r="G317" s="37">
        <f t="shared" si="28"/>
        <v>0</v>
      </c>
      <c r="H317" s="37"/>
      <c r="I317" s="37"/>
      <c r="J317" s="37"/>
      <c r="K317" s="37"/>
      <c r="L317" s="37"/>
      <c r="M317" s="37"/>
      <c r="N317" s="37"/>
      <c r="O317" s="37"/>
      <c r="P317" s="37"/>
      <c r="Q317" s="37"/>
      <c r="R317" s="37"/>
      <c r="S317" s="37"/>
      <c r="T317" s="37"/>
      <c r="U317" s="37"/>
      <c r="V317" s="37"/>
      <c r="W317" s="37"/>
      <c r="X317" s="37"/>
      <c r="Y317" s="37"/>
      <c r="Z317" s="37"/>
      <c r="AA317" s="37">
        <f t="shared" si="27"/>
        <v>0</v>
      </c>
      <c r="AB317" s="37">
        <f t="shared" si="30"/>
        <v>0</v>
      </c>
    </row>
    <row r="318" spans="1:28" ht="14.4">
      <c r="A318" s="117">
        <v>1140224</v>
      </c>
      <c r="B318" s="117" t="s">
        <v>87</v>
      </c>
      <c r="C318" s="37">
        <f>+VLOOKUP(A318,Composición!C:G,5,FALSE)</f>
        <v>0</v>
      </c>
      <c r="D318" s="37"/>
      <c r="E318" s="37"/>
      <c r="F318" s="37">
        <f>+VLOOKUP(A318,Composición!C:J,8,FALSE)</f>
        <v>0</v>
      </c>
      <c r="G318" s="37">
        <f t="shared" si="28"/>
        <v>0</v>
      </c>
      <c r="H318" s="37"/>
      <c r="I318" s="37"/>
      <c r="J318" s="37"/>
      <c r="K318" s="37"/>
      <c r="L318" s="37"/>
      <c r="M318" s="37"/>
      <c r="N318" s="37"/>
      <c r="O318" s="37"/>
      <c r="P318" s="37"/>
      <c r="Q318" s="37"/>
      <c r="R318" s="37"/>
      <c r="S318" s="37"/>
      <c r="T318" s="37">
        <f t="shared" ref="T318:T322" si="31">-G318</f>
        <v>0</v>
      </c>
      <c r="U318" s="37"/>
      <c r="V318" s="37"/>
      <c r="W318" s="37"/>
      <c r="X318" s="37"/>
      <c r="Y318" s="37"/>
      <c r="Z318" s="37"/>
      <c r="AA318" s="37">
        <f t="shared" si="27"/>
        <v>0</v>
      </c>
      <c r="AB318" s="37">
        <f t="shared" si="30"/>
        <v>0</v>
      </c>
    </row>
    <row r="319" spans="1:28" ht="14.4">
      <c r="A319" s="117">
        <v>11402241</v>
      </c>
      <c r="B319" s="117" t="s">
        <v>88</v>
      </c>
      <c r="C319" s="37">
        <f>+VLOOKUP(A319,Composición!C:G,5,FALSE)</f>
        <v>0</v>
      </c>
      <c r="D319" s="37"/>
      <c r="E319" s="37"/>
      <c r="F319" s="37">
        <f>+VLOOKUP(A319,Composición!C:J,8,FALSE)</f>
        <v>0</v>
      </c>
      <c r="G319" s="37">
        <f t="shared" si="28"/>
        <v>0</v>
      </c>
      <c r="H319" s="37"/>
      <c r="I319" s="37"/>
      <c r="J319" s="37"/>
      <c r="K319" s="37"/>
      <c r="L319" s="37"/>
      <c r="M319" s="37"/>
      <c r="N319" s="37"/>
      <c r="O319" s="37"/>
      <c r="P319" s="37"/>
      <c r="Q319" s="37"/>
      <c r="R319" s="37"/>
      <c r="S319" s="37"/>
      <c r="T319" s="37">
        <f t="shared" si="31"/>
        <v>0</v>
      </c>
      <c r="U319" s="37"/>
      <c r="V319" s="37"/>
      <c r="W319" s="37"/>
      <c r="X319" s="37"/>
      <c r="Y319" s="37"/>
      <c r="Z319" s="37"/>
      <c r="AA319" s="37">
        <f t="shared" si="27"/>
        <v>0</v>
      </c>
      <c r="AB319" s="37">
        <f t="shared" si="30"/>
        <v>0</v>
      </c>
    </row>
    <row r="320" spans="1:28" ht="14.4">
      <c r="A320" s="117">
        <v>1140224101</v>
      </c>
      <c r="B320" s="117" t="s">
        <v>89</v>
      </c>
      <c r="C320" s="37">
        <f>+VLOOKUP(A320,Composición!C:G,5,FALSE)</f>
        <v>757489998</v>
      </c>
      <c r="D320" s="37"/>
      <c r="E320" s="37"/>
      <c r="F320" s="37">
        <f>+VLOOKUP(A320,Composición!C:J,8,FALSE)</f>
        <v>974369932</v>
      </c>
      <c r="G320" s="37">
        <f t="shared" si="28"/>
        <v>-216879934</v>
      </c>
      <c r="H320" s="37"/>
      <c r="I320" s="37"/>
      <c r="J320" s="37"/>
      <c r="K320" s="37"/>
      <c r="L320" s="37"/>
      <c r="M320" s="37"/>
      <c r="N320" s="37"/>
      <c r="O320" s="37"/>
      <c r="P320" s="37"/>
      <c r="Q320" s="37"/>
      <c r="R320" s="37"/>
      <c r="S320" s="37"/>
      <c r="T320" s="37">
        <f>-G320</f>
        <v>216879934</v>
      </c>
      <c r="U320" s="37"/>
      <c r="V320" s="37"/>
      <c r="W320" s="37"/>
      <c r="X320" s="37"/>
      <c r="Y320" s="37"/>
      <c r="Z320" s="37"/>
      <c r="AA320" s="37">
        <f t="shared" si="27"/>
        <v>0</v>
      </c>
      <c r="AB320" s="37">
        <f t="shared" si="30"/>
        <v>0</v>
      </c>
    </row>
    <row r="321" spans="1:28" ht="14.4">
      <c r="A321" s="117">
        <v>1140224102</v>
      </c>
      <c r="B321" s="117" t="s">
        <v>730</v>
      </c>
      <c r="C321" s="37">
        <f>+VLOOKUP(A321,Composición!C:G,5,FALSE)</f>
        <v>348853109</v>
      </c>
      <c r="D321" s="37"/>
      <c r="E321" s="37"/>
      <c r="F321" s="37">
        <f>+VLOOKUP(A321,Composición!C:J,8,FALSE)</f>
        <v>0</v>
      </c>
      <c r="G321" s="37">
        <f t="shared" si="28"/>
        <v>348853109</v>
      </c>
      <c r="H321" s="37"/>
      <c r="I321" s="37"/>
      <c r="J321" s="37"/>
      <c r="K321" s="37"/>
      <c r="L321" s="37"/>
      <c r="M321" s="37"/>
      <c r="N321" s="37"/>
      <c r="O321" s="37"/>
      <c r="P321" s="37"/>
      <c r="Q321" s="37"/>
      <c r="R321" s="37"/>
      <c r="S321" s="37"/>
      <c r="T321" s="37">
        <f t="shared" si="31"/>
        <v>-348853109</v>
      </c>
      <c r="U321" s="37"/>
      <c r="V321" s="37"/>
      <c r="W321" s="37"/>
      <c r="X321" s="37"/>
      <c r="Y321" s="37"/>
      <c r="Z321" s="37"/>
      <c r="AA321" s="37">
        <f t="shared" si="27"/>
        <v>0</v>
      </c>
      <c r="AB321" s="37">
        <f t="shared" si="30"/>
        <v>0</v>
      </c>
    </row>
    <row r="322" spans="1:28" ht="14.4">
      <c r="A322" s="117">
        <v>1140224103</v>
      </c>
      <c r="B322" s="117" t="s">
        <v>575</v>
      </c>
      <c r="C322" s="37">
        <f>+VLOOKUP(A322,Composición!C:G,5,FALSE)</f>
        <v>794488714</v>
      </c>
      <c r="D322" s="37"/>
      <c r="E322" s="37"/>
      <c r="F322" s="37">
        <f>+VLOOKUP(A322,Composición!C:J,8,FALSE)</f>
        <v>0</v>
      </c>
      <c r="G322" s="37">
        <f t="shared" si="28"/>
        <v>794488714</v>
      </c>
      <c r="H322" s="37"/>
      <c r="I322" s="37"/>
      <c r="J322" s="37"/>
      <c r="K322" s="37"/>
      <c r="L322" s="37"/>
      <c r="M322" s="37"/>
      <c r="N322" s="37"/>
      <c r="O322" s="37"/>
      <c r="P322" s="37"/>
      <c r="Q322" s="37"/>
      <c r="R322" s="37"/>
      <c r="S322" s="37"/>
      <c r="T322" s="37">
        <f t="shared" si="31"/>
        <v>-794488714</v>
      </c>
      <c r="U322" s="37"/>
      <c r="V322" s="37"/>
      <c r="W322" s="37"/>
      <c r="X322" s="37"/>
      <c r="Y322" s="37"/>
      <c r="Z322" s="37"/>
      <c r="AA322" s="37">
        <f t="shared" si="27"/>
        <v>0</v>
      </c>
      <c r="AB322" s="37">
        <f t="shared" si="30"/>
        <v>0</v>
      </c>
    </row>
    <row r="323" spans="1:28" ht="14.4">
      <c r="A323" s="117">
        <v>1140224104</v>
      </c>
      <c r="B323" s="117" t="s">
        <v>529</v>
      </c>
      <c r="C323" s="37">
        <f>+VLOOKUP(A323,Composición!C:G,5,FALSE)</f>
        <v>338442154</v>
      </c>
      <c r="D323" s="37"/>
      <c r="E323" s="37"/>
      <c r="F323" s="37">
        <f>+VLOOKUP(A323,Composición!C:J,8,FALSE)</f>
        <v>0</v>
      </c>
      <c r="G323" s="37">
        <f t="shared" si="28"/>
        <v>338442154</v>
      </c>
      <c r="H323" s="37"/>
      <c r="I323" s="37"/>
      <c r="J323" s="37"/>
      <c r="K323" s="37"/>
      <c r="L323" s="37"/>
      <c r="M323" s="37"/>
      <c r="N323" s="37"/>
      <c r="O323" s="37"/>
      <c r="P323" s="37"/>
      <c r="Q323" s="37"/>
      <c r="R323" s="37"/>
      <c r="S323" s="37"/>
      <c r="T323" s="37">
        <f t="shared" ref="T323:T328" si="32">-G323</f>
        <v>-338442154</v>
      </c>
      <c r="U323" s="37"/>
      <c r="V323" s="37"/>
      <c r="W323" s="37"/>
      <c r="X323" s="37"/>
      <c r="Y323" s="37"/>
      <c r="Z323" s="37"/>
      <c r="AA323" s="37">
        <f t="shared" si="27"/>
        <v>0</v>
      </c>
      <c r="AB323" s="37">
        <f t="shared" si="30"/>
        <v>0</v>
      </c>
    </row>
    <row r="324" spans="1:28" ht="14.4">
      <c r="A324" s="117">
        <v>1140224105</v>
      </c>
      <c r="B324" s="117" t="s">
        <v>90</v>
      </c>
      <c r="C324" s="37">
        <f>+VLOOKUP(A324,Composición!C:G,5,FALSE)</f>
        <v>1236512765</v>
      </c>
      <c r="D324" s="37"/>
      <c r="E324" s="37"/>
      <c r="F324" s="37">
        <f>+VLOOKUP(A324,Composición!C:J,8,FALSE)</f>
        <v>1624982891</v>
      </c>
      <c r="G324" s="37">
        <f t="shared" si="28"/>
        <v>-388470126</v>
      </c>
      <c r="H324" s="37"/>
      <c r="I324" s="37"/>
      <c r="J324" s="37"/>
      <c r="K324" s="37"/>
      <c r="L324" s="37"/>
      <c r="M324" s="37"/>
      <c r="N324" s="37"/>
      <c r="O324" s="37"/>
      <c r="P324" s="37"/>
      <c r="Q324" s="37"/>
      <c r="R324" s="37"/>
      <c r="S324" s="37"/>
      <c r="T324" s="37">
        <f t="shared" si="32"/>
        <v>388470126</v>
      </c>
      <c r="U324" s="37"/>
      <c r="V324" s="37"/>
      <c r="W324" s="37"/>
      <c r="X324" s="37"/>
      <c r="Y324" s="37"/>
      <c r="Z324" s="37"/>
      <c r="AA324" s="37">
        <f t="shared" si="27"/>
        <v>0</v>
      </c>
      <c r="AB324" s="37">
        <f t="shared" si="30"/>
        <v>0</v>
      </c>
    </row>
    <row r="325" spans="1:28" ht="14.4">
      <c r="A325" s="117">
        <v>1140224106</v>
      </c>
      <c r="B325" s="117" t="s">
        <v>91</v>
      </c>
      <c r="C325" s="37">
        <f>+VLOOKUP(A325,Composición!C:G,5,FALSE)</f>
        <v>232780758</v>
      </c>
      <c r="D325" s="37"/>
      <c r="E325" s="37"/>
      <c r="F325" s="37">
        <f>+VLOOKUP(A325,Composición!C:J,8,FALSE)</f>
        <v>209720741</v>
      </c>
      <c r="G325" s="37">
        <f t="shared" si="28"/>
        <v>23060017</v>
      </c>
      <c r="H325" s="37"/>
      <c r="I325" s="37"/>
      <c r="J325" s="37"/>
      <c r="K325" s="37"/>
      <c r="L325" s="37"/>
      <c r="M325" s="37"/>
      <c r="N325" s="37"/>
      <c r="O325" s="37"/>
      <c r="P325" s="37"/>
      <c r="Q325" s="37"/>
      <c r="R325" s="37"/>
      <c r="S325" s="37"/>
      <c r="T325" s="37">
        <f t="shared" si="32"/>
        <v>-23060017</v>
      </c>
      <c r="U325" s="37"/>
      <c r="V325" s="37"/>
      <c r="W325" s="37"/>
      <c r="X325" s="37"/>
      <c r="Y325" s="37"/>
      <c r="Z325" s="37"/>
      <c r="AA325" s="37">
        <f t="shared" si="27"/>
        <v>0</v>
      </c>
      <c r="AB325" s="37">
        <f t="shared" si="30"/>
        <v>0</v>
      </c>
    </row>
    <row r="326" spans="1:28" ht="14.4">
      <c r="A326" s="117">
        <v>1140224107</v>
      </c>
      <c r="B326" s="117" t="s">
        <v>92</v>
      </c>
      <c r="C326" s="37">
        <f>+VLOOKUP(A326,Composición!C:G,5,FALSE)</f>
        <v>1245127389</v>
      </c>
      <c r="D326" s="37"/>
      <c r="E326" s="37"/>
      <c r="F326" s="37">
        <f>+VLOOKUP(A326,Composición!C:J,8,FALSE)</f>
        <v>605676966</v>
      </c>
      <c r="G326" s="37">
        <f t="shared" si="28"/>
        <v>639450423</v>
      </c>
      <c r="H326" s="37"/>
      <c r="I326" s="37"/>
      <c r="J326" s="37"/>
      <c r="K326" s="37"/>
      <c r="L326" s="37"/>
      <c r="M326" s="37"/>
      <c r="N326" s="37"/>
      <c r="O326" s="37"/>
      <c r="P326" s="37"/>
      <c r="Q326" s="37"/>
      <c r="R326" s="37"/>
      <c r="S326" s="37"/>
      <c r="T326" s="37">
        <f t="shared" si="32"/>
        <v>-639450423</v>
      </c>
      <c r="U326" s="37"/>
      <c r="V326" s="37"/>
      <c r="W326" s="37"/>
      <c r="X326" s="37"/>
      <c r="Y326" s="37"/>
      <c r="Z326" s="37"/>
      <c r="AA326" s="37">
        <f t="shared" si="27"/>
        <v>0</v>
      </c>
      <c r="AB326" s="37">
        <f t="shared" si="30"/>
        <v>0</v>
      </c>
    </row>
    <row r="327" spans="1:28" ht="14.4">
      <c r="A327" s="117">
        <v>1140224108</v>
      </c>
      <c r="B327" s="117" t="s">
        <v>93</v>
      </c>
      <c r="C327" s="37">
        <f>+VLOOKUP(A327,Composición!C:G,5,FALSE)</f>
        <v>0</v>
      </c>
      <c r="D327" s="37"/>
      <c r="E327" s="37"/>
      <c r="F327" s="37">
        <f>+VLOOKUP(A327,Composición!C:J,8,FALSE)</f>
        <v>491200782</v>
      </c>
      <c r="G327" s="37">
        <f t="shared" si="28"/>
        <v>-491200782</v>
      </c>
      <c r="H327" s="37"/>
      <c r="I327" s="37"/>
      <c r="J327" s="37"/>
      <c r="K327" s="37"/>
      <c r="L327" s="37"/>
      <c r="M327" s="37"/>
      <c r="N327" s="37"/>
      <c r="O327" s="37"/>
      <c r="P327" s="37"/>
      <c r="Q327" s="37"/>
      <c r="R327" s="37"/>
      <c r="S327" s="37"/>
      <c r="T327" s="37">
        <f t="shared" si="32"/>
        <v>491200782</v>
      </c>
      <c r="U327" s="37"/>
      <c r="V327" s="37"/>
      <c r="W327" s="37"/>
      <c r="X327" s="37"/>
      <c r="Y327" s="37"/>
      <c r="Z327" s="37"/>
      <c r="AA327" s="37">
        <f t="shared" si="27"/>
        <v>0</v>
      </c>
      <c r="AB327" s="37">
        <f t="shared" si="30"/>
        <v>0</v>
      </c>
    </row>
    <row r="328" spans="1:28" ht="14.4">
      <c r="A328" s="117">
        <v>1140224109</v>
      </c>
      <c r="B328" s="117" t="s">
        <v>731</v>
      </c>
      <c r="C328" s="37">
        <f>+VLOOKUP(A328,Composición!C:G,5,FALSE)</f>
        <v>0</v>
      </c>
      <c r="D328" s="37"/>
      <c r="E328" s="37"/>
      <c r="F328" s="37">
        <f>+VLOOKUP(A328,Composición!C:J,8,FALSE)</f>
        <v>0</v>
      </c>
      <c r="G328" s="37">
        <f t="shared" si="28"/>
        <v>0</v>
      </c>
      <c r="H328" s="37"/>
      <c r="I328" s="37"/>
      <c r="J328" s="37"/>
      <c r="K328" s="37"/>
      <c r="L328" s="37"/>
      <c r="M328" s="37"/>
      <c r="N328" s="37"/>
      <c r="O328" s="37"/>
      <c r="P328" s="37"/>
      <c r="Q328" s="37"/>
      <c r="R328" s="37"/>
      <c r="S328" s="37"/>
      <c r="T328" s="37">
        <f t="shared" si="32"/>
        <v>0</v>
      </c>
      <c r="U328" s="37"/>
      <c r="V328" s="37"/>
      <c r="W328" s="37"/>
      <c r="X328" s="37"/>
      <c r="Y328" s="37"/>
      <c r="Z328" s="37"/>
      <c r="AA328" s="37">
        <f t="shared" si="27"/>
        <v>0</v>
      </c>
      <c r="AB328" s="37">
        <f t="shared" si="30"/>
        <v>0</v>
      </c>
    </row>
    <row r="329" spans="1:28" ht="14.4">
      <c r="A329" s="117">
        <v>1140224110</v>
      </c>
      <c r="B329" s="117" t="s">
        <v>732</v>
      </c>
      <c r="C329" s="37">
        <f>+VLOOKUP(A329,Composición!C:G,5,FALSE)</f>
        <v>0</v>
      </c>
      <c r="D329" s="37"/>
      <c r="E329" s="37"/>
      <c r="F329" s="37">
        <f>+VLOOKUP(A329,Composición!C:J,8,FALSE)</f>
        <v>0</v>
      </c>
      <c r="G329" s="37">
        <f t="shared" si="28"/>
        <v>0</v>
      </c>
      <c r="H329" s="37"/>
      <c r="I329" s="37"/>
      <c r="J329" s="37"/>
      <c r="K329" s="37"/>
      <c r="L329" s="37"/>
      <c r="M329" s="37"/>
      <c r="N329" s="37"/>
      <c r="O329" s="37"/>
      <c r="P329" s="37"/>
      <c r="Q329" s="37"/>
      <c r="R329" s="37"/>
      <c r="S329" s="37"/>
      <c r="T329" s="37"/>
      <c r="U329" s="37"/>
      <c r="V329" s="37"/>
      <c r="W329" s="37"/>
      <c r="X329" s="37"/>
      <c r="Y329" s="37"/>
      <c r="Z329" s="37"/>
      <c r="AA329" s="37">
        <f t="shared" si="27"/>
        <v>0</v>
      </c>
      <c r="AB329" s="37">
        <f t="shared" si="30"/>
        <v>0</v>
      </c>
    </row>
    <row r="330" spans="1:28" ht="14.4">
      <c r="A330" s="117">
        <v>1140224111</v>
      </c>
      <c r="B330" s="117" t="s">
        <v>733</v>
      </c>
      <c r="C330" s="37">
        <f>+VLOOKUP(A330,Composición!C:G,5,FALSE)</f>
        <v>0</v>
      </c>
      <c r="D330" s="37"/>
      <c r="E330" s="37"/>
      <c r="F330" s="37">
        <f>+VLOOKUP(A330,Composición!C:J,8,FALSE)</f>
        <v>0</v>
      </c>
      <c r="G330" s="37">
        <f t="shared" si="28"/>
        <v>0</v>
      </c>
      <c r="H330" s="37"/>
      <c r="I330" s="37"/>
      <c r="J330" s="37"/>
      <c r="K330" s="37"/>
      <c r="L330" s="37"/>
      <c r="M330" s="37"/>
      <c r="N330" s="37"/>
      <c r="O330" s="37"/>
      <c r="P330" s="37"/>
      <c r="Q330" s="37"/>
      <c r="R330" s="37"/>
      <c r="S330" s="37"/>
      <c r="T330" s="37"/>
      <c r="U330" s="37"/>
      <c r="V330" s="37"/>
      <c r="W330" s="37"/>
      <c r="X330" s="37"/>
      <c r="Y330" s="37"/>
      <c r="Z330" s="37"/>
      <c r="AA330" s="37">
        <f t="shared" si="27"/>
        <v>0</v>
      </c>
      <c r="AB330" s="37">
        <f t="shared" si="30"/>
        <v>0</v>
      </c>
    </row>
    <row r="331" spans="1:28" ht="14.4">
      <c r="A331" s="117">
        <v>1140224112</v>
      </c>
      <c r="B331" s="117" t="s">
        <v>734</v>
      </c>
      <c r="C331" s="37">
        <f>+VLOOKUP(A331,Composición!C:G,5,FALSE)</f>
        <v>0</v>
      </c>
      <c r="D331" s="37"/>
      <c r="E331" s="37"/>
      <c r="F331" s="37">
        <f>+VLOOKUP(A331,Composición!C:J,8,FALSE)</f>
        <v>0</v>
      </c>
      <c r="G331" s="37">
        <f t="shared" si="28"/>
        <v>0</v>
      </c>
      <c r="H331" s="37"/>
      <c r="I331" s="37"/>
      <c r="J331" s="37"/>
      <c r="K331" s="37"/>
      <c r="L331" s="37"/>
      <c r="M331" s="37"/>
      <c r="N331" s="37"/>
      <c r="O331" s="37"/>
      <c r="P331" s="37"/>
      <c r="Q331" s="37"/>
      <c r="R331" s="37"/>
      <c r="S331" s="37"/>
      <c r="T331" s="37">
        <f>-G331</f>
        <v>0</v>
      </c>
      <c r="U331" s="37"/>
      <c r="V331" s="37"/>
      <c r="W331" s="37"/>
      <c r="X331" s="37"/>
      <c r="Y331" s="37"/>
      <c r="Z331" s="37"/>
      <c r="AA331" s="37">
        <f t="shared" si="27"/>
        <v>0</v>
      </c>
      <c r="AB331" s="37">
        <f t="shared" si="30"/>
        <v>0</v>
      </c>
    </row>
    <row r="332" spans="1:28" ht="14.4">
      <c r="A332" s="117">
        <v>1140224113</v>
      </c>
      <c r="B332" s="117" t="s">
        <v>94</v>
      </c>
      <c r="C332" s="37">
        <f>+VLOOKUP(A332,Composición!C:G,5,FALSE)</f>
        <v>3514635424</v>
      </c>
      <c r="D332" s="37"/>
      <c r="E332" s="37"/>
      <c r="F332" s="37">
        <f>+VLOOKUP(A332,Composición!C:J,8,FALSE)</f>
        <v>186824247</v>
      </c>
      <c r="G332" s="37">
        <f t="shared" si="28"/>
        <v>3327811177</v>
      </c>
      <c r="H332" s="37"/>
      <c r="I332" s="37"/>
      <c r="J332" s="37"/>
      <c r="K332" s="37"/>
      <c r="L332" s="37"/>
      <c r="M332" s="37"/>
      <c r="N332" s="37"/>
      <c r="O332" s="37"/>
      <c r="P332" s="37"/>
      <c r="Q332" s="37"/>
      <c r="R332" s="37"/>
      <c r="S332" s="37"/>
      <c r="T332" s="37">
        <f>-G332</f>
        <v>-3327811177</v>
      </c>
      <c r="U332" s="37"/>
      <c r="V332" s="37"/>
      <c r="W332" s="37"/>
      <c r="X332" s="37"/>
      <c r="Y332" s="37"/>
      <c r="Z332" s="37"/>
      <c r="AA332" s="37">
        <f t="shared" si="27"/>
        <v>0</v>
      </c>
      <c r="AB332" s="37">
        <f t="shared" si="30"/>
        <v>0</v>
      </c>
    </row>
    <row r="333" spans="1:28" ht="14.4">
      <c r="A333" s="117">
        <v>1140224114</v>
      </c>
      <c r="B333" s="117" t="s">
        <v>730</v>
      </c>
      <c r="C333" s="37">
        <f>+VLOOKUP(A333,Composición!C:G,5,FALSE)</f>
        <v>914728601</v>
      </c>
      <c r="D333" s="37"/>
      <c r="E333" s="37"/>
      <c r="F333" s="37">
        <f>+VLOOKUP(A333,Composición!C:J,8,FALSE)</f>
        <v>0</v>
      </c>
      <c r="G333" s="37">
        <f t="shared" si="28"/>
        <v>914728601</v>
      </c>
      <c r="H333" s="37"/>
      <c r="I333" s="37"/>
      <c r="J333" s="37"/>
      <c r="K333" s="37"/>
      <c r="L333" s="37"/>
      <c r="M333" s="37"/>
      <c r="N333" s="37"/>
      <c r="O333" s="37"/>
      <c r="P333" s="37"/>
      <c r="Q333" s="37"/>
      <c r="R333" s="37"/>
      <c r="S333" s="37"/>
      <c r="T333" s="37">
        <f>-G333</f>
        <v>-914728601</v>
      </c>
      <c r="U333" s="37"/>
      <c r="V333" s="37"/>
      <c r="W333" s="37"/>
      <c r="X333" s="37"/>
      <c r="Y333" s="37"/>
      <c r="Z333" s="37"/>
      <c r="AA333" s="37">
        <f t="shared" si="27"/>
        <v>0</v>
      </c>
      <c r="AB333" s="37">
        <f t="shared" si="30"/>
        <v>0</v>
      </c>
    </row>
    <row r="334" spans="1:28" ht="14.4">
      <c r="A334" s="117">
        <v>1140224115</v>
      </c>
      <c r="B334" s="117" t="s">
        <v>735</v>
      </c>
      <c r="C334" s="37">
        <f>+VLOOKUP(A334,Composición!C:G,5,FALSE)</f>
        <v>0</v>
      </c>
      <c r="D334" s="37"/>
      <c r="E334" s="37"/>
      <c r="F334" s="37">
        <f>+VLOOKUP(A334,Composición!C:J,8,FALSE)</f>
        <v>0</v>
      </c>
      <c r="G334" s="37">
        <f t="shared" si="28"/>
        <v>0</v>
      </c>
      <c r="H334" s="37"/>
      <c r="I334" s="37"/>
      <c r="J334" s="37"/>
      <c r="K334" s="37"/>
      <c r="L334" s="37"/>
      <c r="M334" s="37"/>
      <c r="N334" s="37"/>
      <c r="O334" s="37"/>
      <c r="P334" s="37"/>
      <c r="Q334" s="37"/>
      <c r="R334" s="37"/>
      <c r="S334" s="37"/>
      <c r="T334" s="37"/>
      <c r="U334" s="37"/>
      <c r="V334" s="37"/>
      <c r="W334" s="37"/>
      <c r="X334" s="37"/>
      <c r="Y334" s="37"/>
      <c r="Z334" s="37"/>
      <c r="AA334" s="37">
        <f t="shared" si="27"/>
        <v>0</v>
      </c>
      <c r="AB334" s="37">
        <f t="shared" si="30"/>
        <v>0</v>
      </c>
    </row>
    <row r="335" spans="1:28" ht="14.4">
      <c r="A335" s="117">
        <v>1140224116</v>
      </c>
      <c r="B335" s="117" t="s">
        <v>736</v>
      </c>
      <c r="C335" s="37">
        <f>+VLOOKUP(A335,Composición!C:G,5,FALSE)</f>
        <v>0</v>
      </c>
      <c r="D335" s="37"/>
      <c r="E335" s="37"/>
      <c r="F335" s="37">
        <f>+VLOOKUP(A335,Composición!C:J,8,FALSE)</f>
        <v>0</v>
      </c>
      <c r="G335" s="37">
        <f t="shared" si="28"/>
        <v>0</v>
      </c>
      <c r="H335" s="37"/>
      <c r="I335" s="37"/>
      <c r="J335" s="37"/>
      <c r="K335" s="37"/>
      <c r="L335" s="37"/>
      <c r="M335" s="37"/>
      <c r="N335" s="37"/>
      <c r="O335" s="37"/>
      <c r="P335" s="37"/>
      <c r="Q335" s="37"/>
      <c r="R335" s="37"/>
      <c r="S335" s="37"/>
      <c r="T335" s="37"/>
      <c r="U335" s="37"/>
      <c r="V335" s="37"/>
      <c r="W335" s="37"/>
      <c r="X335" s="37"/>
      <c r="Y335" s="37"/>
      <c r="Z335" s="37"/>
      <c r="AA335" s="37">
        <f t="shared" si="27"/>
        <v>0</v>
      </c>
      <c r="AB335" s="37">
        <f t="shared" si="30"/>
        <v>0</v>
      </c>
    </row>
    <row r="336" spans="1:28" ht="14.4">
      <c r="A336" s="117">
        <v>1140224117</v>
      </c>
      <c r="B336" s="117" t="s">
        <v>95</v>
      </c>
      <c r="C336" s="37">
        <f>+VLOOKUP(A336,Composición!C:G,5,FALSE)</f>
        <v>5700000</v>
      </c>
      <c r="D336" s="37"/>
      <c r="E336" s="37"/>
      <c r="F336" s="37">
        <f>+VLOOKUP(A336,Composición!C:J,8,FALSE)</f>
        <v>296735753</v>
      </c>
      <c r="G336" s="37">
        <f t="shared" si="28"/>
        <v>-291035753</v>
      </c>
      <c r="H336" s="37"/>
      <c r="I336" s="37"/>
      <c r="J336" s="37"/>
      <c r="K336" s="37"/>
      <c r="L336" s="37"/>
      <c r="M336" s="37"/>
      <c r="N336" s="37"/>
      <c r="O336" s="37"/>
      <c r="P336" s="37"/>
      <c r="Q336" s="37"/>
      <c r="R336" s="37"/>
      <c r="S336" s="37"/>
      <c r="T336" s="37">
        <f>-G336</f>
        <v>291035753</v>
      </c>
      <c r="U336" s="37"/>
      <c r="V336" s="37"/>
      <c r="W336" s="37"/>
      <c r="X336" s="37"/>
      <c r="Y336" s="37"/>
      <c r="Z336" s="37"/>
      <c r="AA336" s="37">
        <f t="shared" si="27"/>
        <v>0</v>
      </c>
      <c r="AB336" s="37">
        <f t="shared" si="30"/>
        <v>0</v>
      </c>
    </row>
    <row r="337" spans="1:28" ht="14.4">
      <c r="A337" s="117">
        <v>1140224118</v>
      </c>
      <c r="B337" s="117" t="s">
        <v>96</v>
      </c>
      <c r="C337" s="37">
        <f>+VLOOKUP(A337,Composición!C:G,5,FALSE)</f>
        <v>0</v>
      </c>
      <c r="D337" s="37"/>
      <c r="E337" s="37"/>
      <c r="F337" s="37">
        <f>+VLOOKUP(A337,Composición!C:J,8,FALSE)</f>
        <v>8636699</v>
      </c>
      <c r="G337" s="37">
        <f t="shared" si="28"/>
        <v>-8636699</v>
      </c>
      <c r="H337" s="37"/>
      <c r="I337" s="37"/>
      <c r="J337" s="37"/>
      <c r="K337" s="37"/>
      <c r="L337" s="37"/>
      <c r="M337" s="37"/>
      <c r="N337" s="37"/>
      <c r="O337" s="37"/>
      <c r="P337" s="37"/>
      <c r="Q337" s="37"/>
      <c r="R337" s="37"/>
      <c r="S337" s="37"/>
      <c r="T337" s="37">
        <f>-G337</f>
        <v>8636699</v>
      </c>
      <c r="U337" s="37"/>
      <c r="V337" s="37"/>
      <c r="W337" s="37"/>
      <c r="X337" s="37"/>
      <c r="Y337" s="37"/>
      <c r="Z337" s="37"/>
      <c r="AA337" s="37">
        <f t="shared" si="27"/>
        <v>0</v>
      </c>
      <c r="AB337" s="37">
        <f t="shared" si="30"/>
        <v>0</v>
      </c>
    </row>
    <row r="338" spans="1:28" ht="14.4">
      <c r="A338" s="117">
        <v>1140224119</v>
      </c>
      <c r="B338" s="117" t="s">
        <v>92</v>
      </c>
      <c r="C338" s="37">
        <f>+VLOOKUP(A338,Composición!C:G,5,FALSE)</f>
        <v>0</v>
      </c>
      <c r="D338" s="37"/>
      <c r="E338" s="37"/>
      <c r="F338" s="37">
        <f>+VLOOKUP(A338,Composición!C:J,8,FALSE)</f>
        <v>0</v>
      </c>
      <c r="G338" s="37">
        <f t="shared" si="28"/>
        <v>0</v>
      </c>
      <c r="H338" s="37"/>
      <c r="I338" s="37"/>
      <c r="J338" s="37"/>
      <c r="K338" s="37"/>
      <c r="L338" s="37"/>
      <c r="M338" s="37"/>
      <c r="N338" s="37"/>
      <c r="O338" s="37"/>
      <c r="P338" s="37"/>
      <c r="Q338" s="37"/>
      <c r="R338" s="37"/>
      <c r="S338" s="37"/>
      <c r="T338" s="37"/>
      <c r="U338" s="37"/>
      <c r="V338" s="37"/>
      <c r="W338" s="37"/>
      <c r="X338" s="37"/>
      <c r="Y338" s="37"/>
      <c r="Z338" s="37"/>
      <c r="AA338" s="37">
        <f t="shared" si="27"/>
        <v>0</v>
      </c>
      <c r="AB338" s="37">
        <f t="shared" si="30"/>
        <v>0</v>
      </c>
    </row>
    <row r="339" spans="1:28" ht="14.4">
      <c r="A339" s="117">
        <v>1140224120</v>
      </c>
      <c r="B339" s="117" t="s">
        <v>93</v>
      </c>
      <c r="C339" s="37">
        <f>+VLOOKUP(A339,Composición!C:G,5,FALSE)</f>
        <v>0</v>
      </c>
      <c r="D339" s="37"/>
      <c r="E339" s="37"/>
      <c r="F339" s="37">
        <f>+VLOOKUP(A339,Composición!C:J,8,FALSE)</f>
        <v>0</v>
      </c>
      <c r="G339" s="37">
        <f t="shared" si="28"/>
        <v>0</v>
      </c>
      <c r="H339" s="37"/>
      <c r="I339" s="37"/>
      <c r="J339" s="37"/>
      <c r="K339" s="37"/>
      <c r="L339" s="37"/>
      <c r="M339" s="37"/>
      <c r="N339" s="37"/>
      <c r="O339" s="37"/>
      <c r="P339" s="37"/>
      <c r="Q339" s="37"/>
      <c r="R339" s="37"/>
      <c r="S339" s="37"/>
      <c r="T339" s="37"/>
      <c r="U339" s="37"/>
      <c r="V339" s="37"/>
      <c r="W339" s="37"/>
      <c r="X339" s="37"/>
      <c r="Y339" s="37"/>
      <c r="Z339" s="37"/>
      <c r="AA339" s="37">
        <f t="shared" si="27"/>
        <v>0</v>
      </c>
      <c r="AB339" s="37">
        <f t="shared" si="30"/>
        <v>0</v>
      </c>
    </row>
    <row r="340" spans="1:28" ht="14.4">
      <c r="A340" s="117">
        <v>1140224121</v>
      </c>
      <c r="B340" s="117" t="s">
        <v>737</v>
      </c>
      <c r="C340" s="37">
        <f>+VLOOKUP(A340,Composición!C:G,5,FALSE)</f>
        <v>0</v>
      </c>
      <c r="D340" s="37"/>
      <c r="E340" s="37"/>
      <c r="F340" s="37">
        <f>+VLOOKUP(A340,Composición!C:J,8,FALSE)</f>
        <v>0</v>
      </c>
      <c r="G340" s="37">
        <f t="shared" si="28"/>
        <v>0</v>
      </c>
      <c r="H340" s="37"/>
      <c r="I340" s="37"/>
      <c r="J340" s="37"/>
      <c r="K340" s="37"/>
      <c r="L340" s="37"/>
      <c r="M340" s="37"/>
      <c r="N340" s="37"/>
      <c r="O340" s="37"/>
      <c r="P340" s="37"/>
      <c r="Q340" s="37"/>
      <c r="R340" s="37"/>
      <c r="S340" s="37"/>
      <c r="T340" s="37"/>
      <c r="U340" s="37"/>
      <c r="V340" s="37"/>
      <c r="W340" s="37"/>
      <c r="X340" s="37"/>
      <c r="Y340" s="37"/>
      <c r="Z340" s="37"/>
      <c r="AA340" s="37">
        <f t="shared" si="27"/>
        <v>0</v>
      </c>
      <c r="AB340" s="37">
        <f t="shared" si="30"/>
        <v>0</v>
      </c>
    </row>
    <row r="341" spans="1:28" ht="14.4">
      <c r="A341" s="117">
        <v>1140224122</v>
      </c>
      <c r="B341" s="117" t="s">
        <v>738</v>
      </c>
      <c r="C341" s="37">
        <f>+VLOOKUP(A341,Composición!C:G,5,FALSE)</f>
        <v>0</v>
      </c>
      <c r="D341" s="37"/>
      <c r="E341" s="37"/>
      <c r="F341" s="37">
        <f>+VLOOKUP(A341,Composición!C:J,8,FALSE)</f>
        <v>0</v>
      </c>
      <c r="G341" s="37">
        <f t="shared" si="28"/>
        <v>0</v>
      </c>
      <c r="H341" s="37"/>
      <c r="I341" s="37"/>
      <c r="J341" s="37"/>
      <c r="K341" s="37"/>
      <c r="L341" s="37"/>
      <c r="M341" s="37"/>
      <c r="N341" s="37"/>
      <c r="O341" s="37"/>
      <c r="P341" s="37"/>
      <c r="Q341" s="37"/>
      <c r="R341" s="37"/>
      <c r="S341" s="37"/>
      <c r="T341" s="37"/>
      <c r="U341" s="37"/>
      <c r="V341" s="37"/>
      <c r="W341" s="37"/>
      <c r="X341" s="37"/>
      <c r="Y341" s="37"/>
      <c r="Z341" s="37"/>
      <c r="AA341" s="37">
        <f t="shared" si="27"/>
        <v>0</v>
      </c>
      <c r="AB341" s="37">
        <f t="shared" si="30"/>
        <v>0</v>
      </c>
    </row>
    <row r="342" spans="1:28" ht="14.4">
      <c r="A342" s="117">
        <v>1140224123</v>
      </c>
      <c r="B342" s="117" t="s">
        <v>733</v>
      </c>
      <c r="C342" s="37">
        <f>+VLOOKUP(A342,Composición!C:G,5,FALSE)</f>
        <v>0</v>
      </c>
      <c r="D342" s="37"/>
      <c r="E342" s="37"/>
      <c r="F342" s="37">
        <f>+VLOOKUP(A342,Composición!C:J,8,FALSE)</f>
        <v>0</v>
      </c>
      <c r="G342" s="37">
        <f t="shared" si="28"/>
        <v>0</v>
      </c>
      <c r="H342" s="37"/>
      <c r="I342" s="37"/>
      <c r="J342" s="37"/>
      <c r="K342" s="37"/>
      <c r="L342" s="37"/>
      <c r="M342" s="37"/>
      <c r="N342" s="37"/>
      <c r="O342" s="37"/>
      <c r="P342" s="37"/>
      <c r="Q342" s="37"/>
      <c r="R342" s="37"/>
      <c r="S342" s="37"/>
      <c r="T342" s="37"/>
      <c r="U342" s="37"/>
      <c r="V342" s="37"/>
      <c r="W342" s="37"/>
      <c r="X342" s="37"/>
      <c r="Y342" s="37"/>
      <c r="Z342" s="37"/>
      <c r="AA342" s="37">
        <f t="shared" si="27"/>
        <v>0</v>
      </c>
      <c r="AB342" s="37">
        <f t="shared" si="30"/>
        <v>0</v>
      </c>
    </row>
    <row r="343" spans="1:28" ht="14.4">
      <c r="A343" s="117">
        <v>1140224124</v>
      </c>
      <c r="B343" s="117" t="s">
        <v>734</v>
      </c>
      <c r="C343" s="37">
        <f>+VLOOKUP(A343,Composición!C:G,5,FALSE)</f>
        <v>0</v>
      </c>
      <c r="D343" s="37"/>
      <c r="E343" s="37"/>
      <c r="F343" s="37">
        <f>+VLOOKUP(A343,Composición!C:J,8,FALSE)</f>
        <v>0</v>
      </c>
      <c r="G343" s="37">
        <f t="shared" si="28"/>
        <v>0</v>
      </c>
      <c r="H343" s="37"/>
      <c r="I343" s="37"/>
      <c r="J343" s="37"/>
      <c r="K343" s="37"/>
      <c r="L343" s="37"/>
      <c r="M343" s="37"/>
      <c r="N343" s="37"/>
      <c r="O343" s="37"/>
      <c r="P343" s="37"/>
      <c r="Q343" s="37"/>
      <c r="R343" s="37"/>
      <c r="S343" s="37"/>
      <c r="T343" s="37">
        <f>-G343</f>
        <v>0</v>
      </c>
      <c r="U343" s="37"/>
      <c r="V343" s="37"/>
      <c r="W343" s="37"/>
      <c r="X343" s="37"/>
      <c r="Y343" s="37"/>
      <c r="Z343" s="37"/>
      <c r="AA343" s="37">
        <f t="shared" si="27"/>
        <v>0</v>
      </c>
      <c r="AB343" s="37">
        <f t="shared" si="30"/>
        <v>0</v>
      </c>
    </row>
    <row r="344" spans="1:28" ht="14.4">
      <c r="A344" s="117">
        <v>1140224125</v>
      </c>
      <c r="B344" s="117" t="s">
        <v>739</v>
      </c>
      <c r="C344" s="37">
        <f>+VLOOKUP(A344,Composición!C:G,5,FALSE)</f>
        <v>0</v>
      </c>
      <c r="D344" s="37"/>
      <c r="E344" s="37"/>
      <c r="F344" s="37">
        <f>+VLOOKUP(A344,Composición!C:J,8,FALSE)</f>
        <v>0</v>
      </c>
      <c r="G344" s="37">
        <f t="shared" si="28"/>
        <v>0</v>
      </c>
      <c r="H344" s="37"/>
      <c r="I344" s="37"/>
      <c r="J344" s="37"/>
      <c r="K344" s="37"/>
      <c r="L344" s="37"/>
      <c r="M344" s="37"/>
      <c r="N344" s="37"/>
      <c r="O344" s="37"/>
      <c r="P344" s="37"/>
      <c r="Q344" s="37"/>
      <c r="R344" s="37"/>
      <c r="S344" s="37"/>
      <c r="T344" s="37"/>
      <c r="U344" s="37"/>
      <c r="V344" s="37"/>
      <c r="W344" s="37"/>
      <c r="X344" s="37"/>
      <c r="Y344" s="37"/>
      <c r="Z344" s="37"/>
      <c r="AA344" s="37">
        <f t="shared" si="27"/>
        <v>0</v>
      </c>
      <c r="AB344" s="37">
        <f t="shared" si="30"/>
        <v>0</v>
      </c>
    </row>
    <row r="345" spans="1:28" ht="14.4">
      <c r="A345" s="117">
        <v>1140224126</v>
      </c>
      <c r="B345" s="117" t="s">
        <v>739</v>
      </c>
      <c r="C345" s="37">
        <f>+VLOOKUP(A345,Composición!C:G,5,FALSE)</f>
        <v>0</v>
      </c>
      <c r="D345" s="37"/>
      <c r="E345" s="37"/>
      <c r="F345" s="37">
        <f>+VLOOKUP(A345,Composición!C:J,8,FALSE)</f>
        <v>0</v>
      </c>
      <c r="G345" s="37">
        <f t="shared" si="28"/>
        <v>0</v>
      </c>
      <c r="H345" s="37"/>
      <c r="I345" s="37"/>
      <c r="J345" s="37"/>
      <c r="K345" s="37"/>
      <c r="L345" s="37"/>
      <c r="M345" s="37"/>
      <c r="N345" s="37"/>
      <c r="O345" s="37"/>
      <c r="P345" s="37"/>
      <c r="Q345" s="37"/>
      <c r="R345" s="37"/>
      <c r="S345" s="37"/>
      <c r="T345" s="37"/>
      <c r="U345" s="37"/>
      <c r="V345" s="37"/>
      <c r="W345" s="37"/>
      <c r="X345" s="37"/>
      <c r="Y345" s="37"/>
      <c r="Z345" s="37"/>
      <c r="AA345" s="37">
        <f t="shared" si="27"/>
        <v>0</v>
      </c>
      <c r="AB345" s="37">
        <f t="shared" si="30"/>
        <v>0</v>
      </c>
    </row>
    <row r="346" spans="1:28" ht="14.4">
      <c r="A346" s="117">
        <v>1140224127</v>
      </c>
      <c r="B346" s="117" t="s">
        <v>740</v>
      </c>
      <c r="C346" s="37">
        <f>+VLOOKUP(A346,Composición!C:G,5,FALSE)</f>
        <v>0</v>
      </c>
      <c r="D346" s="37"/>
      <c r="E346" s="37"/>
      <c r="F346" s="37">
        <f>+VLOOKUP(A346,Composición!C:J,8,FALSE)</f>
        <v>0</v>
      </c>
      <c r="G346" s="37">
        <f t="shared" si="28"/>
        <v>0</v>
      </c>
      <c r="H346" s="37"/>
      <c r="I346" s="37"/>
      <c r="J346" s="37"/>
      <c r="K346" s="37"/>
      <c r="L346" s="37"/>
      <c r="M346" s="37"/>
      <c r="N346" s="37"/>
      <c r="O346" s="37"/>
      <c r="P346" s="37"/>
      <c r="Q346" s="37"/>
      <c r="R346" s="37"/>
      <c r="S346" s="37"/>
      <c r="T346" s="37"/>
      <c r="U346" s="37"/>
      <c r="V346" s="37"/>
      <c r="W346" s="37"/>
      <c r="X346" s="37"/>
      <c r="Y346" s="37"/>
      <c r="Z346" s="37"/>
      <c r="AA346" s="37">
        <f t="shared" si="27"/>
        <v>0</v>
      </c>
      <c r="AB346" s="37">
        <f t="shared" si="30"/>
        <v>0</v>
      </c>
    </row>
    <row r="347" spans="1:28" ht="14.4">
      <c r="A347" s="117">
        <v>1140224128</v>
      </c>
      <c r="B347" s="117" t="s">
        <v>740</v>
      </c>
      <c r="C347" s="37">
        <f>+VLOOKUP(A347,Composición!C:G,5,FALSE)</f>
        <v>0</v>
      </c>
      <c r="D347" s="37"/>
      <c r="E347" s="37"/>
      <c r="F347" s="37">
        <f>+VLOOKUP(A347,Composición!C:J,8,FALSE)</f>
        <v>0</v>
      </c>
      <c r="G347" s="37">
        <f t="shared" si="28"/>
        <v>0</v>
      </c>
      <c r="H347" s="37"/>
      <c r="I347" s="37"/>
      <c r="J347" s="37"/>
      <c r="K347" s="37"/>
      <c r="L347" s="37"/>
      <c r="M347" s="37"/>
      <c r="N347" s="37"/>
      <c r="O347" s="37"/>
      <c r="P347" s="37"/>
      <c r="Q347" s="37"/>
      <c r="R347" s="37"/>
      <c r="S347" s="37"/>
      <c r="T347" s="37">
        <f>-G347</f>
        <v>0</v>
      </c>
      <c r="U347" s="37"/>
      <c r="V347" s="37"/>
      <c r="W347" s="37"/>
      <c r="X347" s="37"/>
      <c r="Y347" s="37"/>
      <c r="Z347" s="37"/>
      <c r="AA347" s="37">
        <f t="shared" ref="AA347:AA410" si="33">SUM(G347:Z347)</f>
        <v>0</v>
      </c>
      <c r="AB347" s="37">
        <f t="shared" si="30"/>
        <v>0</v>
      </c>
    </row>
    <row r="348" spans="1:28" ht="14.4">
      <c r="A348" s="117">
        <v>1140224129</v>
      </c>
      <c r="B348" s="117" t="s">
        <v>530</v>
      </c>
      <c r="C348" s="37">
        <f>+VLOOKUP(A348,Composición!C:G,5,FALSE)</f>
        <v>561815068</v>
      </c>
      <c r="D348" s="37"/>
      <c r="E348" s="37"/>
      <c r="F348" s="37">
        <f>+VLOOKUP(A348,Composición!C:J,8,FALSE)</f>
        <v>0</v>
      </c>
      <c r="G348" s="37">
        <f t="shared" si="28"/>
        <v>561815068</v>
      </c>
      <c r="H348" s="37"/>
      <c r="I348" s="37"/>
      <c r="J348" s="37"/>
      <c r="K348" s="37"/>
      <c r="L348" s="37"/>
      <c r="M348" s="37"/>
      <c r="N348" s="37"/>
      <c r="O348" s="37"/>
      <c r="P348" s="37"/>
      <c r="Q348" s="37"/>
      <c r="R348" s="37"/>
      <c r="S348" s="37"/>
      <c r="T348" s="37">
        <f>-G348</f>
        <v>-561815068</v>
      </c>
      <c r="U348" s="37"/>
      <c r="V348" s="37"/>
      <c r="W348" s="37"/>
      <c r="X348" s="37"/>
      <c r="Y348" s="37"/>
      <c r="Z348" s="37"/>
      <c r="AA348" s="37">
        <f t="shared" si="33"/>
        <v>0</v>
      </c>
      <c r="AB348" s="37">
        <f t="shared" si="30"/>
        <v>0</v>
      </c>
    </row>
    <row r="349" spans="1:28" ht="14.4">
      <c r="A349" s="117">
        <v>1140224130</v>
      </c>
      <c r="B349" s="117" t="s">
        <v>741</v>
      </c>
      <c r="C349" s="37">
        <f>+VLOOKUP(A349,Composición!C:G,5,FALSE)</f>
        <v>0</v>
      </c>
      <c r="D349" s="37"/>
      <c r="E349" s="37"/>
      <c r="F349" s="37">
        <f>+VLOOKUP(A349,Composición!C:J,8,FALSE)</f>
        <v>0</v>
      </c>
      <c r="G349" s="37">
        <f t="shared" ref="G349:G412" si="34">C349+D349-E349-F349</f>
        <v>0</v>
      </c>
      <c r="H349" s="37"/>
      <c r="I349" s="37"/>
      <c r="J349" s="37"/>
      <c r="K349" s="37"/>
      <c r="L349" s="37"/>
      <c r="M349" s="37"/>
      <c r="N349" s="37"/>
      <c r="O349" s="37"/>
      <c r="P349" s="37"/>
      <c r="Q349" s="37"/>
      <c r="R349" s="37"/>
      <c r="S349" s="37"/>
      <c r="T349" s="37">
        <f t="shared" ref="T349:T358" si="35">-G349</f>
        <v>0</v>
      </c>
      <c r="U349" s="37"/>
      <c r="V349" s="37"/>
      <c r="W349" s="37"/>
      <c r="X349" s="37"/>
      <c r="Y349" s="37"/>
      <c r="Z349" s="37"/>
      <c r="AA349" s="37">
        <f t="shared" si="33"/>
        <v>0</v>
      </c>
      <c r="AB349" s="37">
        <f t="shared" si="30"/>
        <v>0</v>
      </c>
    </row>
    <row r="350" spans="1:28" ht="14.4">
      <c r="A350" s="117">
        <v>11402242</v>
      </c>
      <c r="B350" s="117" t="s">
        <v>97</v>
      </c>
      <c r="C350" s="37">
        <f>+VLOOKUP(A350,Composición!C:G,5,FALSE)</f>
        <v>0</v>
      </c>
      <c r="D350" s="37"/>
      <c r="E350" s="37"/>
      <c r="F350" s="37">
        <f>+VLOOKUP(A350,Composición!C:J,8,FALSE)</f>
        <v>0</v>
      </c>
      <c r="G350" s="37">
        <f t="shared" si="34"/>
        <v>0</v>
      </c>
      <c r="H350" s="37"/>
      <c r="I350" s="37"/>
      <c r="J350" s="37"/>
      <c r="K350" s="37"/>
      <c r="L350" s="37"/>
      <c r="M350" s="37"/>
      <c r="N350" s="37"/>
      <c r="O350" s="37"/>
      <c r="P350" s="37"/>
      <c r="Q350" s="37"/>
      <c r="R350" s="37"/>
      <c r="S350" s="37"/>
      <c r="T350" s="37">
        <f t="shared" si="35"/>
        <v>0</v>
      </c>
      <c r="U350" s="37"/>
      <c r="V350" s="37"/>
      <c r="W350" s="37"/>
      <c r="X350" s="37"/>
      <c r="Y350" s="37"/>
      <c r="Z350" s="37"/>
      <c r="AA350" s="37">
        <f t="shared" si="33"/>
        <v>0</v>
      </c>
      <c r="AB350" s="37">
        <f t="shared" si="30"/>
        <v>0</v>
      </c>
    </row>
    <row r="351" spans="1:28" ht="14.4">
      <c r="A351" s="117">
        <v>1140224201</v>
      </c>
      <c r="B351" s="117" t="s">
        <v>98</v>
      </c>
      <c r="C351" s="37">
        <f>+VLOOKUP(A351,Composición!C:G,5,FALSE)</f>
        <v>-719525582</v>
      </c>
      <c r="D351" s="37"/>
      <c r="E351" s="37"/>
      <c r="F351" s="37">
        <f>+VLOOKUP(A351,Composición!C:J,8,FALSE)</f>
        <v>-934172412</v>
      </c>
      <c r="G351" s="37">
        <f t="shared" si="34"/>
        <v>214646830</v>
      </c>
      <c r="H351" s="37"/>
      <c r="I351" s="37"/>
      <c r="J351" s="37"/>
      <c r="K351" s="37"/>
      <c r="L351" s="37"/>
      <c r="M351" s="37"/>
      <c r="N351" s="37"/>
      <c r="O351" s="37"/>
      <c r="P351" s="37"/>
      <c r="Q351" s="37"/>
      <c r="R351" s="37"/>
      <c r="S351" s="37"/>
      <c r="T351" s="37">
        <f t="shared" si="35"/>
        <v>-214646830</v>
      </c>
      <c r="U351" s="37"/>
      <c r="V351" s="37"/>
      <c r="W351" s="37"/>
      <c r="X351" s="37"/>
      <c r="Y351" s="37"/>
      <c r="Z351" s="37"/>
      <c r="AA351" s="37">
        <f t="shared" si="33"/>
        <v>0</v>
      </c>
      <c r="AB351" s="37">
        <f t="shared" si="30"/>
        <v>0</v>
      </c>
    </row>
    <row r="352" spans="1:28" ht="14.4">
      <c r="A352" s="117">
        <v>1140224202</v>
      </c>
      <c r="B352" s="117" t="s">
        <v>742</v>
      </c>
      <c r="C352" s="37">
        <f>+VLOOKUP(A352,Composición!C:G,5,FALSE)</f>
        <v>-345283464</v>
      </c>
      <c r="D352" s="37"/>
      <c r="E352" s="37"/>
      <c r="F352" s="37">
        <f>+VLOOKUP(A352,Composición!C:J,8,FALSE)</f>
        <v>0</v>
      </c>
      <c r="G352" s="37">
        <f t="shared" si="34"/>
        <v>-345283464</v>
      </c>
      <c r="H352" s="37"/>
      <c r="I352" s="37"/>
      <c r="J352" s="37"/>
      <c r="K352" s="37"/>
      <c r="L352" s="37"/>
      <c r="M352" s="37"/>
      <c r="N352" s="37"/>
      <c r="O352" s="37"/>
      <c r="P352" s="37"/>
      <c r="Q352" s="37"/>
      <c r="R352" s="37"/>
      <c r="S352" s="37"/>
      <c r="T352" s="37">
        <f t="shared" si="35"/>
        <v>345283464</v>
      </c>
      <c r="U352" s="37"/>
      <c r="V352" s="37"/>
      <c r="W352" s="37"/>
      <c r="X352" s="37"/>
      <c r="Y352" s="37"/>
      <c r="Z352" s="37"/>
      <c r="AA352" s="37">
        <f t="shared" si="33"/>
        <v>0</v>
      </c>
      <c r="AB352" s="37">
        <f t="shared" si="30"/>
        <v>0</v>
      </c>
    </row>
    <row r="353" spans="1:28" ht="14.4">
      <c r="A353" s="117">
        <v>1140224203</v>
      </c>
      <c r="B353" s="117" t="s">
        <v>576</v>
      </c>
      <c r="C353" s="37">
        <f>+VLOOKUP(A353,Composición!C:G,5,FALSE)</f>
        <v>-786766932</v>
      </c>
      <c r="D353" s="37"/>
      <c r="E353" s="37"/>
      <c r="F353" s="37">
        <f>+VLOOKUP(A353,Composición!C:J,8,FALSE)</f>
        <v>0</v>
      </c>
      <c r="G353" s="37">
        <f t="shared" si="34"/>
        <v>-786766932</v>
      </c>
      <c r="H353" s="37"/>
      <c r="I353" s="37"/>
      <c r="J353" s="37"/>
      <c r="K353" s="37"/>
      <c r="L353" s="37"/>
      <c r="M353" s="37"/>
      <c r="N353" s="37"/>
      <c r="O353" s="37"/>
      <c r="P353" s="37"/>
      <c r="Q353" s="37"/>
      <c r="R353" s="37"/>
      <c r="S353" s="37"/>
      <c r="T353" s="37">
        <f t="shared" si="35"/>
        <v>786766932</v>
      </c>
      <c r="U353" s="37"/>
      <c r="V353" s="37"/>
      <c r="W353" s="37"/>
      <c r="X353" s="37"/>
      <c r="Y353" s="37"/>
      <c r="Z353" s="37"/>
      <c r="AA353" s="37">
        <f t="shared" si="33"/>
        <v>0</v>
      </c>
      <c r="AB353" s="37">
        <f t="shared" si="30"/>
        <v>0</v>
      </c>
    </row>
    <row r="354" spans="1:28" ht="14.4">
      <c r="A354" s="117">
        <v>1140224204</v>
      </c>
      <c r="B354" s="117" t="s">
        <v>531</v>
      </c>
      <c r="C354" s="37">
        <f>+VLOOKUP(A354,Composición!C:G,5,FALSE)</f>
        <v>-328966486</v>
      </c>
      <c r="D354" s="37"/>
      <c r="E354" s="37"/>
      <c r="F354" s="37">
        <f>+VLOOKUP(A354,Composición!C:J,8,FALSE)</f>
        <v>0</v>
      </c>
      <c r="G354" s="37">
        <f t="shared" si="34"/>
        <v>-328966486</v>
      </c>
      <c r="H354" s="37"/>
      <c r="I354" s="37"/>
      <c r="J354" s="37"/>
      <c r="K354" s="37"/>
      <c r="L354" s="37"/>
      <c r="M354" s="37"/>
      <c r="N354" s="37"/>
      <c r="O354" s="37"/>
      <c r="P354" s="37"/>
      <c r="Q354" s="37"/>
      <c r="R354" s="37"/>
      <c r="S354" s="37"/>
      <c r="T354" s="37">
        <f t="shared" si="35"/>
        <v>328966486</v>
      </c>
      <c r="U354" s="37"/>
      <c r="V354" s="37"/>
      <c r="W354" s="37"/>
      <c r="X354" s="37"/>
      <c r="Y354" s="37"/>
      <c r="Z354" s="37"/>
      <c r="AA354" s="37">
        <f t="shared" si="33"/>
        <v>0</v>
      </c>
      <c r="AB354" s="37">
        <f t="shared" si="30"/>
        <v>0</v>
      </c>
    </row>
    <row r="355" spans="1:28" ht="14.4">
      <c r="A355" s="117">
        <v>1140224205</v>
      </c>
      <c r="B355" s="117" t="s">
        <v>99</v>
      </c>
      <c r="C355" s="37">
        <f>+VLOOKUP(A355,Composición!C:G,5,FALSE)</f>
        <v>-1095621644</v>
      </c>
      <c r="D355" s="37"/>
      <c r="E355" s="37"/>
      <c r="F355" s="37">
        <f>+VLOOKUP(A355,Composición!C:J,8,FALSE)</f>
        <v>-1503071658</v>
      </c>
      <c r="G355" s="37">
        <f t="shared" si="34"/>
        <v>407450014</v>
      </c>
      <c r="H355" s="37"/>
      <c r="I355" s="37"/>
      <c r="J355" s="37"/>
      <c r="K355" s="37"/>
      <c r="L355" s="37"/>
      <c r="M355" s="37"/>
      <c r="N355" s="37"/>
      <c r="O355" s="37"/>
      <c r="P355" s="37"/>
      <c r="Q355" s="37"/>
      <c r="R355" s="37"/>
      <c r="S355" s="37"/>
      <c r="T355" s="37">
        <f t="shared" si="35"/>
        <v>-407450014</v>
      </c>
      <c r="U355" s="37"/>
      <c r="V355" s="37"/>
      <c r="W355" s="37"/>
      <c r="X355" s="37"/>
      <c r="Y355" s="37"/>
      <c r="Z355" s="37"/>
      <c r="AA355" s="37">
        <f t="shared" si="33"/>
        <v>0</v>
      </c>
      <c r="AB355" s="37">
        <f t="shared" si="30"/>
        <v>0</v>
      </c>
    </row>
    <row r="356" spans="1:28" ht="14.4">
      <c r="A356" s="117">
        <v>1140224206</v>
      </c>
      <c r="B356" s="117" t="s">
        <v>100</v>
      </c>
      <c r="C356" s="37">
        <f>+VLOOKUP(A356,Composición!C:G,5,FALSE)</f>
        <v>-214001866</v>
      </c>
      <c r="D356" s="37"/>
      <c r="E356" s="37"/>
      <c r="F356" s="37">
        <f>+VLOOKUP(A356,Composición!C:J,8,FALSE)</f>
        <v>-206221346</v>
      </c>
      <c r="G356" s="37">
        <f t="shared" si="34"/>
        <v>-7780520</v>
      </c>
      <c r="H356" s="37"/>
      <c r="I356" s="37"/>
      <c r="J356" s="37"/>
      <c r="K356" s="37"/>
      <c r="L356" s="37"/>
      <c r="M356" s="37"/>
      <c r="N356" s="37"/>
      <c r="O356" s="37"/>
      <c r="P356" s="37"/>
      <c r="Q356" s="37"/>
      <c r="R356" s="37"/>
      <c r="S356" s="37"/>
      <c r="T356" s="37">
        <f t="shared" si="35"/>
        <v>7780520</v>
      </c>
      <c r="U356" s="37"/>
      <c r="V356" s="37"/>
      <c r="W356" s="37"/>
      <c r="X356" s="37"/>
      <c r="Y356" s="37"/>
      <c r="Z356" s="37"/>
      <c r="AA356" s="37">
        <f t="shared" si="33"/>
        <v>0</v>
      </c>
      <c r="AB356" s="37">
        <f t="shared" si="30"/>
        <v>0</v>
      </c>
    </row>
    <row r="357" spans="1:28" ht="14.4">
      <c r="A357" s="117">
        <v>1140224207</v>
      </c>
      <c r="B357" s="117" t="s">
        <v>101</v>
      </c>
      <c r="C357" s="37">
        <f>+VLOOKUP(A357,Composición!C:G,5,FALSE)</f>
        <v>-1231608756</v>
      </c>
      <c r="D357" s="37"/>
      <c r="E357" s="37"/>
      <c r="F357" s="37">
        <f>+VLOOKUP(A357,Composición!C:J,8,FALSE)</f>
        <v>-589580116</v>
      </c>
      <c r="G357" s="37">
        <f t="shared" si="34"/>
        <v>-642028640</v>
      </c>
      <c r="H357" s="37"/>
      <c r="I357" s="37"/>
      <c r="J357" s="37"/>
      <c r="K357" s="37"/>
      <c r="L357" s="37"/>
      <c r="M357" s="37"/>
      <c r="N357" s="37"/>
      <c r="O357" s="37"/>
      <c r="P357" s="37"/>
      <c r="Q357" s="37"/>
      <c r="R357" s="37"/>
      <c r="S357" s="37"/>
      <c r="T357" s="37">
        <f t="shared" si="35"/>
        <v>642028640</v>
      </c>
      <c r="U357" s="37"/>
      <c r="V357" s="37"/>
      <c r="W357" s="37"/>
      <c r="X357" s="37"/>
      <c r="Y357" s="37"/>
      <c r="Z357" s="37"/>
      <c r="AA357" s="37">
        <f t="shared" si="33"/>
        <v>0</v>
      </c>
      <c r="AB357" s="37">
        <f t="shared" si="30"/>
        <v>0</v>
      </c>
    </row>
    <row r="358" spans="1:28" ht="14.4">
      <c r="A358" s="117">
        <v>1140224208</v>
      </c>
      <c r="B358" s="117" t="s">
        <v>102</v>
      </c>
      <c r="C358" s="37">
        <f>+VLOOKUP(A358,Composición!C:G,5,FALSE)</f>
        <v>0</v>
      </c>
      <c r="D358" s="37"/>
      <c r="E358" s="37"/>
      <c r="F358" s="37">
        <f>+VLOOKUP(A358,Composición!C:J,8,FALSE)</f>
        <v>-475731297</v>
      </c>
      <c r="G358" s="37">
        <f t="shared" si="34"/>
        <v>475731297</v>
      </c>
      <c r="H358" s="37"/>
      <c r="I358" s="37"/>
      <c r="J358" s="37"/>
      <c r="K358" s="37"/>
      <c r="L358" s="37"/>
      <c r="M358" s="37"/>
      <c r="N358" s="37"/>
      <c r="O358" s="37"/>
      <c r="P358" s="37"/>
      <c r="Q358" s="37"/>
      <c r="R358" s="37"/>
      <c r="S358" s="37"/>
      <c r="T358" s="37">
        <f t="shared" si="35"/>
        <v>-475731297</v>
      </c>
      <c r="U358" s="37"/>
      <c r="V358" s="37"/>
      <c r="W358" s="37"/>
      <c r="X358" s="37"/>
      <c r="Y358" s="37"/>
      <c r="Z358" s="37"/>
      <c r="AA358" s="37">
        <f t="shared" si="33"/>
        <v>0</v>
      </c>
      <c r="AB358" s="37">
        <f t="shared" si="30"/>
        <v>0</v>
      </c>
    </row>
    <row r="359" spans="1:28" ht="14.4">
      <c r="A359" s="117">
        <v>1140224209</v>
      </c>
      <c r="B359" s="117" t="s">
        <v>743</v>
      </c>
      <c r="C359" s="37">
        <f>+VLOOKUP(A359,Composición!C:G,5,FALSE)</f>
        <v>0</v>
      </c>
      <c r="D359" s="37"/>
      <c r="E359" s="37"/>
      <c r="F359" s="37">
        <f>+VLOOKUP(A359,Composición!C:J,8,FALSE)</f>
        <v>0</v>
      </c>
      <c r="G359" s="37">
        <f t="shared" si="34"/>
        <v>0</v>
      </c>
      <c r="H359" s="37"/>
      <c r="I359" s="37"/>
      <c r="J359" s="37"/>
      <c r="K359" s="37"/>
      <c r="L359" s="37"/>
      <c r="M359" s="37"/>
      <c r="N359" s="37"/>
      <c r="O359" s="37"/>
      <c r="P359" s="37"/>
      <c r="Q359" s="37"/>
      <c r="R359" s="37"/>
      <c r="S359" s="37"/>
      <c r="T359" s="37">
        <f>-G359</f>
        <v>0</v>
      </c>
      <c r="U359" s="37"/>
      <c r="V359" s="37"/>
      <c r="W359" s="37"/>
      <c r="X359" s="37"/>
      <c r="Y359" s="37"/>
      <c r="Z359" s="37"/>
      <c r="AA359" s="37">
        <f t="shared" si="33"/>
        <v>0</v>
      </c>
      <c r="AB359" s="37">
        <f t="shared" si="30"/>
        <v>0</v>
      </c>
    </row>
    <row r="360" spans="1:28" ht="14.4">
      <c r="A360" s="117">
        <v>1140224210</v>
      </c>
      <c r="B360" s="117" t="s">
        <v>744</v>
      </c>
      <c r="C360" s="37">
        <f>+VLOOKUP(A360,Composición!C:G,5,FALSE)</f>
        <v>0</v>
      </c>
      <c r="D360" s="37"/>
      <c r="E360" s="37"/>
      <c r="F360" s="37">
        <f>+VLOOKUP(A360,Composición!C:J,8,FALSE)</f>
        <v>0</v>
      </c>
      <c r="G360" s="37">
        <f t="shared" si="34"/>
        <v>0</v>
      </c>
      <c r="H360" s="37"/>
      <c r="I360" s="37"/>
      <c r="J360" s="37"/>
      <c r="K360" s="37"/>
      <c r="L360" s="37"/>
      <c r="M360" s="37"/>
      <c r="N360" s="37"/>
      <c r="O360" s="37"/>
      <c r="P360" s="37"/>
      <c r="Q360" s="37"/>
      <c r="R360" s="37"/>
      <c r="S360" s="37"/>
      <c r="T360" s="37">
        <f>-G360</f>
        <v>0</v>
      </c>
      <c r="U360" s="37"/>
      <c r="V360" s="37"/>
      <c r="W360" s="37"/>
      <c r="X360" s="37"/>
      <c r="Y360" s="37"/>
      <c r="Z360" s="37"/>
      <c r="AA360" s="37">
        <f t="shared" si="33"/>
        <v>0</v>
      </c>
      <c r="AB360" s="37">
        <f t="shared" si="30"/>
        <v>0</v>
      </c>
    </row>
    <row r="361" spans="1:28" ht="14.4">
      <c r="A361" s="117">
        <v>1140224211</v>
      </c>
      <c r="B361" s="117" t="s">
        <v>745</v>
      </c>
      <c r="C361" s="37">
        <f>+VLOOKUP(A361,Composición!C:G,5,FALSE)</f>
        <v>0</v>
      </c>
      <c r="D361" s="37"/>
      <c r="E361" s="37"/>
      <c r="F361" s="37">
        <f>+VLOOKUP(A361,Composición!C:J,8,FALSE)</f>
        <v>0</v>
      </c>
      <c r="G361" s="37">
        <f t="shared" si="34"/>
        <v>0</v>
      </c>
      <c r="H361" s="37"/>
      <c r="I361" s="37"/>
      <c r="J361" s="37"/>
      <c r="K361" s="37"/>
      <c r="L361" s="37"/>
      <c r="M361" s="37"/>
      <c r="N361" s="37"/>
      <c r="O361" s="37"/>
      <c r="P361" s="37"/>
      <c r="Q361" s="37"/>
      <c r="R361" s="37"/>
      <c r="S361" s="37"/>
      <c r="T361" s="37"/>
      <c r="U361" s="37"/>
      <c r="V361" s="37"/>
      <c r="W361" s="37"/>
      <c r="X361" s="37"/>
      <c r="Y361" s="37"/>
      <c r="Z361" s="37"/>
      <c r="AA361" s="37">
        <f t="shared" si="33"/>
        <v>0</v>
      </c>
      <c r="AB361" s="37">
        <f t="shared" si="30"/>
        <v>0</v>
      </c>
    </row>
    <row r="362" spans="1:28" ht="14.4">
      <c r="A362" s="117">
        <v>1140224212</v>
      </c>
      <c r="B362" s="117" t="s">
        <v>746</v>
      </c>
      <c r="C362" s="37">
        <f>+VLOOKUP(A362,Composición!C:G,5,FALSE)</f>
        <v>0</v>
      </c>
      <c r="D362" s="37"/>
      <c r="E362" s="37"/>
      <c r="F362" s="37">
        <f>+VLOOKUP(A362,Composición!C:J,8,FALSE)</f>
        <v>0</v>
      </c>
      <c r="G362" s="37">
        <f t="shared" si="34"/>
        <v>0</v>
      </c>
      <c r="H362" s="37"/>
      <c r="I362" s="37"/>
      <c r="J362" s="37"/>
      <c r="K362" s="37"/>
      <c r="L362" s="37"/>
      <c r="M362" s="37"/>
      <c r="N362" s="37"/>
      <c r="O362" s="37"/>
      <c r="P362" s="37"/>
      <c r="Q362" s="37"/>
      <c r="R362" s="37"/>
      <c r="S362" s="37"/>
      <c r="T362" s="37">
        <f>-G362</f>
        <v>0</v>
      </c>
      <c r="U362" s="37"/>
      <c r="V362" s="37"/>
      <c r="W362" s="37"/>
      <c r="X362" s="37"/>
      <c r="Y362" s="37"/>
      <c r="Z362" s="37"/>
      <c r="AA362" s="37">
        <f t="shared" si="33"/>
        <v>0</v>
      </c>
      <c r="AB362" s="37">
        <f t="shared" si="30"/>
        <v>0</v>
      </c>
    </row>
    <row r="363" spans="1:28" ht="14.4">
      <c r="A363" s="117">
        <v>1140224213</v>
      </c>
      <c r="B363" s="117" t="s">
        <v>103</v>
      </c>
      <c r="C363" s="37">
        <f>+VLOOKUP(A363,Composición!C:G,5,FALSE)</f>
        <v>-3429569562</v>
      </c>
      <c r="D363" s="37"/>
      <c r="E363" s="37"/>
      <c r="F363" s="37">
        <f>+VLOOKUP(A363,Composición!C:J,8,FALSE)</f>
        <v>-125421507</v>
      </c>
      <c r="G363" s="37">
        <f t="shared" si="34"/>
        <v>-3304148055</v>
      </c>
      <c r="H363" s="37"/>
      <c r="I363" s="37"/>
      <c r="J363" s="37"/>
      <c r="K363" s="37"/>
      <c r="L363" s="37"/>
      <c r="M363" s="37"/>
      <c r="N363" s="37"/>
      <c r="O363" s="37"/>
      <c r="P363" s="37"/>
      <c r="Q363" s="37"/>
      <c r="R363" s="37"/>
      <c r="S363" s="37"/>
      <c r="T363" s="37">
        <f>-G363</f>
        <v>3304148055</v>
      </c>
      <c r="U363" s="37"/>
      <c r="V363" s="37"/>
      <c r="W363" s="37"/>
      <c r="X363" s="37"/>
      <c r="Y363" s="37"/>
      <c r="Z363" s="37"/>
      <c r="AA363" s="37">
        <f t="shared" si="33"/>
        <v>0</v>
      </c>
      <c r="AB363" s="37">
        <f t="shared" si="30"/>
        <v>0</v>
      </c>
    </row>
    <row r="364" spans="1:28" ht="14.4">
      <c r="A364" s="117">
        <v>1140224214</v>
      </c>
      <c r="B364" s="117" t="s">
        <v>747</v>
      </c>
      <c r="C364" s="37">
        <f>+VLOOKUP(A364,Composición!C:G,5,FALSE)</f>
        <v>-901530657</v>
      </c>
      <c r="D364" s="37"/>
      <c r="E364" s="37"/>
      <c r="F364" s="37">
        <f>+VLOOKUP(A364,Composición!C:J,8,FALSE)</f>
        <v>0</v>
      </c>
      <c r="G364" s="37">
        <f t="shared" si="34"/>
        <v>-901530657</v>
      </c>
      <c r="H364" s="37"/>
      <c r="I364" s="37"/>
      <c r="J364" s="37"/>
      <c r="K364" s="37"/>
      <c r="L364" s="37"/>
      <c r="M364" s="37"/>
      <c r="N364" s="37"/>
      <c r="O364" s="37"/>
      <c r="P364" s="37"/>
      <c r="Q364" s="37"/>
      <c r="R364" s="37"/>
      <c r="S364" s="37"/>
      <c r="T364" s="37">
        <f t="shared" ref="T364" si="36">-G364</f>
        <v>901530657</v>
      </c>
      <c r="U364" s="37"/>
      <c r="V364" s="37"/>
      <c r="W364" s="37"/>
      <c r="X364" s="37"/>
      <c r="Y364" s="37"/>
      <c r="Z364" s="37"/>
      <c r="AA364" s="37">
        <f t="shared" si="33"/>
        <v>0</v>
      </c>
      <c r="AB364" s="37">
        <f t="shared" si="30"/>
        <v>0</v>
      </c>
    </row>
    <row r="365" spans="1:28" ht="14.4">
      <c r="A365" s="117">
        <v>1140224215</v>
      </c>
      <c r="B365" s="117" t="s">
        <v>748</v>
      </c>
      <c r="C365" s="37">
        <f>+VLOOKUP(A365,Composición!C:G,5,FALSE)</f>
        <v>0</v>
      </c>
      <c r="D365" s="37"/>
      <c r="E365" s="37"/>
      <c r="F365" s="37">
        <f>+VLOOKUP(A365,Composición!C:J,8,FALSE)</f>
        <v>0</v>
      </c>
      <c r="G365" s="37">
        <f t="shared" si="34"/>
        <v>0</v>
      </c>
      <c r="H365" s="37"/>
      <c r="I365" s="37"/>
      <c r="J365" s="37"/>
      <c r="K365" s="37"/>
      <c r="L365" s="37"/>
      <c r="M365" s="37"/>
      <c r="N365" s="37"/>
      <c r="O365" s="37"/>
      <c r="P365" s="37"/>
      <c r="Q365" s="37"/>
      <c r="R365" s="37"/>
      <c r="S365" s="37"/>
      <c r="T365" s="37"/>
      <c r="U365" s="37"/>
      <c r="V365" s="37"/>
      <c r="W365" s="37"/>
      <c r="X365" s="37"/>
      <c r="Y365" s="37"/>
      <c r="Z365" s="37"/>
      <c r="AA365" s="37">
        <f t="shared" si="33"/>
        <v>0</v>
      </c>
      <c r="AB365" s="37">
        <f t="shared" si="30"/>
        <v>0</v>
      </c>
    </row>
    <row r="366" spans="1:28" ht="14.4">
      <c r="A366" s="117">
        <v>1140224216</v>
      </c>
      <c r="B366" s="117" t="s">
        <v>749</v>
      </c>
      <c r="C366" s="37">
        <f>+VLOOKUP(A366,Composición!C:G,5,FALSE)</f>
        <v>0</v>
      </c>
      <c r="D366" s="37"/>
      <c r="E366" s="37"/>
      <c r="F366" s="37">
        <f>+VLOOKUP(A366,Composición!C:J,8,FALSE)</f>
        <v>0</v>
      </c>
      <c r="G366" s="37">
        <f t="shared" si="34"/>
        <v>0</v>
      </c>
      <c r="H366" s="37"/>
      <c r="I366" s="37"/>
      <c r="J366" s="37"/>
      <c r="K366" s="37"/>
      <c r="L366" s="37"/>
      <c r="M366" s="37"/>
      <c r="N366" s="37"/>
      <c r="O366" s="37"/>
      <c r="P366" s="37"/>
      <c r="Q366" s="37"/>
      <c r="R366" s="37"/>
      <c r="S366" s="37"/>
      <c r="T366" s="37"/>
      <c r="U366" s="37"/>
      <c r="V366" s="37"/>
      <c r="W366" s="37"/>
      <c r="X366" s="37"/>
      <c r="Y366" s="37"/>
      <c r="Z366" s="37"/>
      <c r="AA366" s="37">
        <f t="shared" si="33"/>
        <v>0</v>
      </c>
      <c r="AB366" s="37">
        <f t="shared" si="30"/>
        <v>0</v>
      </c>
    </row>
    <row r="367" spans="1:28" ht="14.4">
      <c r="A367" s="117">
        <v>1140224217</v>
      </c>
      <c r="B367" s="117" t="s">
        <v>104</v>
      </c>
      <c r="C367" s="37">
        <f>+VLOOKUP(A367,Composición!C:G,5,FALSE)</f>
        <v>-156164</v>
      </c>
      <c r="D367" s="37"/>
      <c r="E367" s="37"/>
      <c r="F367" s="37">
        <f>+VLOOKUP(A367,Composición!C:J,8,FALSE)</f>
        <v>-292102877</v>
      </c>
      <c r="G367" s="37">
        <f t="shared" si="34"/>
        <v>291946713</v>
      </c>
      <c r="H367" s="37"/>
      <c r="I367" s="37"/>
      <c r="J367" s="37"/>
      <c r="K367" s="37"/>
      <c r="L367" s="37"/>
      <c r="M367" s="37"/>
      <c r="N367" s="37"/>
      <c r="O367" s="37"/>
      <c r="P367" s="37"/>
      <c r="Q367" s="37"/>
      <c r="R367" s="37"/>
      <c r="S367" s="37"/>
      <c r="T367" s="37">
        <f t="shared" ref="T367:T368" si="37">-G367</f>
        <v>-291946713</v>
      </c>
      <c r="U367" s="37"/>
      <c r="V367" s="37"/>
      <c r="W367" s="37"/>
      <c r="X367" s="37"/>
      <c r="Y367" s="37"/>
      <c r="Z367" s="37"/>
      <c r="AA367" s="37">
        <f t="shared" si="33"/>
        <v>0</v>
      </c>
      <c r="AB367" s="37">
        <f t="shared" si="30"/>
        <v>0</v>
      </c>
    </row>
    <row r="368" spans="1:28" ht="14.4">
      <c r="A368" s="117">
        <v>1140224218</v>
      </c>
      <c r="B368" s="117" t="s">
        <v>105</v>
      </c>
      <c r="C368" s="37">
        <f>+VLOOKUP(A368,Composición!C:G,5,FALSE)</f>
        <v>0</v>
      </c>
      <c r="D368" s="37"/>
      <c r="E368" s="37"/>
      <c r="F368" s="37">
        <f>+VLOOKUP(A368,Composición!C:J,8,FALSE)</f>
        <v>-8238727</v>
      </c>
      <c r="G368" s="37">
        <f t="shared" si="34"/>
        <v>8238727</v>
      </c>
      <c r="H368" s="37"/>
      <c r="I368" s="37"/>
      <c r="J368" s="37"/>
      <c r="K368" s="37"/>
      <c r="L368" s="37"/>
      <c r="M368" s="37"/>
      <c r="N368" s="37"/>
      <c r="O368" s="37"/>
      <c r="P368" s="37"/>
      <c r="Q368" s="37"/>
      <c r="R368" s="37"/>
      <c r="S368" s="37"/>
      <c r="T368" s="37">
        <f t="shared" si="37"/>
        <v>-8238727</v>
      </c>
      <c r="U368" s="37"/>
      <c r="V368" s="37"/>
      <c r="W368" s="37"/>
      <c r="X368" s="37"/>
      <c r="Y368" s="37"/>
      <c r="Z368" s="37"/>
      <c r="AA368" s="37">
        <f t="shared" si="33"/>
        <v>0</v>
      </c>
      <c r="AB368" s="37">
        <f t="shared" si="30"/>
        <v>0</v>
      </c>
    </row>
    <row r="369" spans="1:28" ht="14.4">
      <c r="A369" s="117">
        <v>1140224219</v>
      </c>
      <c r="B369" s="117" t="s">
        <v>750</v>
      </c>
      <c r="C369" s="37">
        <f>+VLOOKUP(A369,Composición!C:G,5,FALSE)</f>
        <v>0</v>
      </c>
      <c r="D369" s="37"/>
      <c r="E369" s="37"/>
      <c r="F369" s="37">
        <f>+VLOOKUP(A369,Composición!C:J,8,FALSE)</f>
        <v>0</v>
      </c>
      <c r="G369" s="37">
        <f t="shared" si="34"/>
        <v>0</v>
      </c>
      <c r="H369" s="37"/>
      <c r="I369" s="37"/>
      <c r="J369" s="37"/>
      <c r="K369" s="37"/>
      <c r="L369" s="37"/>
      <c r="M369" s="37"/>
      <c r="N369" s="37"/>
      <c r="O369" s="37"/>
      <c r="P369" s="37"/>
      <c r="Q369" s="37"/>
      <c r="R369" s="37"/>
      <c r="S369" s="37"/>
      <c r="T369" s="37"/>
      <c r="U369" s="37"/>
      <c r="V369" s="37"/>
      <c r="W369" s="37"/>
      <c r="X369" s="37"/>
      <c r="Y369" s="37"/>
      <c r="Z369" s="37"/>
      <c r="AA369" s="37">
        <f t="shared" si="33"/>
        <v>0</v>
      </c>
      <c r="AB369" s="37">
        <f t="shared" si="30"/>
        <v>0</v>
      </c>
    </row>
    <row r="370" spans="1:28" ht="14.4">
      <c r="A370" s="117">
        <v>1140224220</v>
      </c>
      <c r="B370" s="117" t="s">
        <v>751</v>
      </c>
      <c r="C370" s="37">
        <f>+VLOOKUP(A370,Composición!C:G,5,FALSE)</f>
        <v>0</v>
      </c>
      <c r="D370" s="37"/>
      <c r="E370" s="37"/>
      <c r="F370" s="37">
        <f>+VLOOKUP(A370,Composición!C:J,8,FALSE)</f>
        <v>0</v>
      </c>
      <c r="G370" s="37">
        <f t="shared" si="34"/>
        <v>0</v>
      </c>
      <c r="H370" s="37"/>
      <c r="I370" s="37"/>
      <c r="J370" s="37"/>
      <c r="K370" s="37"/>
      <c r="L370" s="37"/>
      <c r="M370" s="37"/>
      <c r="N370" s="37"/>
      <c r="O370" s="37"/>
      <c r="P370" s="37"/>
      <c r="Q370" s="37"/>
      <c r="R370" s="37"/>
      <c r="S370" s="37"/>
      <c r="T370" s="37"/>
      <c r="U370" s="37"/>
      <c r="V370" s="37"/>
      <c r="W370" s="37"/>
      <c r="X370" s="37"/>
      <c r="Y370" s="37"/>
      <c r="Z370" s="37"/>
      <c r="AA370" s="37">
        <f t="shared" si="33"/>
        <v>0</v>
      </c>
      <c r="AB370" s="37">
        <f t="shared" si="30"/>
        <v>0</v>
      </c>
    </row>
    <row r="371" spans="1:28" ht="14.4">
      <c r="A371" s="117">
        <v>1140224221</v>
      </c>
      <c r="B371" s="117" t="s">
        <v>752</v>
      </c>
      <c r="C371" s="37">
        <f>+VLOOKUP(A371,Composición!C:G,5,FALSE)</f>
        <v>0</v>
      </c>
      <c r="D371" s="37"/>
      <c r="E371" s="37"/>
      <c r="F371" s="37">
        <f>+VLOOKUP(A371,Composición!C:J,8,FALSE)</f>
        <v>0</v>
      </c>
      <c r="G371" s="37">
        <f t="shared" si="34"/>
        <v>0</v>
      </c>
      <c r="H371" s="37"/>
      <c r="I371" s="37"/>
      <c r="J371" s="37"/>
      <c r="K371" s="37"/>
      <c r="L371" s="37"/>
      <c r="M371" s="37"/>
      <c r="N371" s="37"/>
      <c r="O371" s="37"/>
      <c r="P371" s="37"/>
      <c r="Q371" s="37"/>
      <c r="R371" s="37"/>
      <c r="S371" s="37"/>
      <c r="T371" s="37"/>
      <c r="U371" s="37"/>
      <c r="V371" s="37"/>
      <c r="W371" s="37"/>
      <c r="X371" s="37"/>
      <c r="Y371" s="37"/>
      <c r="Z371" s="37"/>
      <c r="AA371" s="37">
        <f t="shared" si="33"/>
        <v>0</v>
      </c>
      <c r="AB371" s="37">
        <f t="shared" si="30"/>
        <v>0</v>
      </c>
    </row>
    <row r="372" spans="1:28" ht="14.4">
      <c r="A372" s="117">
        <v>1140224222</v>
      </c>
      <c r="B372" s="117" t="s">
        <v>753</v>
      </c>
      <c r="C372" s="37">
        <f>+VLOOKUP(A372,Composición!C:G,5,FALSE)</f>
        <v>0</v>
      </c>
      <c r="D372" s="37"/>
      <c r="E372" s="37"/>
      <c r="F372" s="37">
        <f>+VLOOKUP(A372,Composición!C:J,8,FALSE)</f>
        <v>0</v>
      </c>
      <c r="G372" s="37">
        <f t="shared" si="34"/>
        <v>0</v>
      </c>
      <c r="H372" s="37"/>
      <c r="I372" s="37"/>
      <c r="J372" s="37"/>
      <c r="K372" s="37"/>
      <c r="L372" s="37"/>
      <c r="M372" s="37"/>
      <c r="N372" s="37"/>
      <c r="O372" s="37"/>
      <c r="P372" s="37"/>
      <c r="Q372" s="37"/>
      <c r="R372" s="37"/>
      <c r="S372" s="37"/>
      <c r="T372" s="37"/>
      <c r="U372" s="37"/>
      <c r="V372" s="37"/>
      <c r="W372" s="37"/>
      <c r="X372" s="37"/>
      <c r="Y372" s="37"/>
      <c r="Z372" s="37"/>
      <c r="AA372" s="37">
        <f t="shared" si="33"/>
        <v>0</v>
      </c>
      <c r="AB372" s="37">
        <f t="shared" si="30"/>
        <v>0</v>
      </c>
    </row>
    <row r="373" spans="1:28" ht="14.4">
      <c r="A373" s="117">
        <v>1140224223</v>
      </c>
      <c r="B373" s="117" t="s">
        <v>754</v>
      </c>
      <c r="C373" s="37">
        <f>+VLOOKUP(A373,Composición!C:G,5,FALSE)</f>
        <v>0</v>
      </c>
      <c r="D373" s="37"/>
      <c r="E373" s="37"/>
      <c r="F373" s="37">
        <f>+VLOOKUP(A373,Composición!C:J,8,FALSE)</f>
        <v>0</v>
      </c>
      <c r="G373" s="37">
        <f t="shared" si="34"/>
        <v>0</v>
      </c>
      <c r="H373" s="37"/>
      <c r="I373" s="37"/>
      <c r="J373" s="37"/>
      <c r="K373" s="37"/>
      <c r="L373" s="37"/>
      <c r="M373" s="37"/>
      <c r="N373" s="37"/>
      <c r="O373" s="37"/>
      <c r="P373" s="37"/>
      <c r="Q373" s="37"/>
      <c r="R373" s="37"/>
      <c r="S373" s="37"/>
      <c r="T373" s="37"/>
      <c r="U373" s="37"/>
      <c r="V373" s="37"/>
      <c r="W373" s="37"/>
      <c r="X373" s="37"/>
      <c r="Y373" s="37"/>
      <c r="Z373" s="37"/>
      <c r="AA373" s="37">
        <f t="shared" si="33"/>
        <v>0</v>
      </c>
      <c r="AB373" s="37">
        <f t="shared" si="30"/>
        <v>0</v>
      </c>
    </row>
    <row r="374" spans="1:28" ht="14.4">
      <c r="A374" s="117">
        <v>1140224224</v>
      </c>
      <c r="B374" s="117" t="s">
        <v>755</v>
      </c>
      <c r="C374" s="37">
        <f>+VLOOKUP(A374,Composición!C:G,5,FALSE)</f>
        <v>0</v>
      </c>
      <c r="D374" s="37"/>
      <c r="E374" s="37"/>
      <c r="F374" s="37">
        <f>+VLOOKUP(A374,Composición!C:J,8,FALSE)</f>
        <v>0</v>
      </c>
      <c r="G374" s="37">
        <f t="shared" si="34"/>
        <v>0</v>
      </c>
      <c r="H374" s="37"/>
      <c r="I374" s="37"/>
      <c r="J374" s="37"/>
      <c r="K374" s="37"/>
      <c r="L374" s="37"/>
      <c r="M374" s="37"/>
      <c r="N374" s="37"/>
      <c r="O374" s="37"/>
      <c r="P374" s="37"/>
      <c r="Q374" s="37"/>
      <c r="R374" s="37"/>
      <c r="S374" s="37"/>
      <c r="T374" s="37">
        <f>-G374</f>
        <v>0</v>
      </c>
      <c r="U374" s="37"/>
      <c r="V374" s="37"/>
      <c r="W374" s="37"/>
      <c r="X374" s="37"/>
      <c r="Y374" s="37"/>
      <c r="Z374" s="37"/>
      <c r="AA374" s="37">
        <f t="shared" si="33"/>
        <v>0</v>
      </c>
      <c r="AB374" s="37">
        <f t="shared" si="30"/>
        <v>0</v>
      </c>
    </row>
    <row r="375" spans="1:28" ht="14.4">
      <c r="A375" s="117">
        <v>1140224225</v>
      </c>
      <c r="B375" s="117" t="s">
        <v>756</v>
      </c>
      <c r="C375" s="37">
        <f>+VLOOKUP(A375,Composición!C:G,5,FALSE)</f>
        <v>0</v>
      </c>
      <c r="D375" s="37"/>
      <c r="E375" s="37"/>
      <c r="F375" s="37">
        <f>+VLOOKUP(A375,Composición!C:J,8,FALSE)</f>
        <v>0</v>
      </c>
      <c r="G375" s="37">
        <f t="shared" si="34"/>
        <v>0</v>
      </c>
      <c r="H375" s="37"/>
      <c r="I375" s="37"/>
      <c r="J375" s="37"/>
      <c r="K375" s="37"/>
      <c r="L375" s="37"/>
      <c r="M375" s="37"/>
      <c r="N375" s="37"/>
      <c r="O375" s="37"/>
      <c r="P375" s="37"/>
      <c r="Q375" s="37"/>
      <c r="R375" s="37"/>
      <c r="S375" s="37"/>
      <c r="T375" s="37"/>
      <c r="U375" s="37"/>
      <c r="V375" s="37"/>
      <c r="W375" s="37"/>
      <c r="X375" s="37"/>
      <c r="Y375" s="37"/>
      <c r="Z375" s="37"/>
      <c r="AA375" s="37">
        <f t="shared" si="33"/>
        <v>0</v>
      </c>
      <c r="AB375" s="37">
        <f t="shared" si="30"/>
        <v>0</v>
      </c>
    </row>
    <row r="376" spans="1:28" ht="14.4">
      <c r="A376" s="117">
        <v>1140224226</v>
      </c>
      <c r="B376" s="117" t="s">
        <v>757</v>
      </c>
      <c r="C376" s="37">
        <f>+VLOOKUP(A376,Composición!C:G,5,FALSE)</f>
        <v>0</v>
      </c>
      <c r="D376" s="37"/>
      <c r="E376" s="37"/>
      <c r="F376" s="37">
        <f>+VLOOKUP(A376,Composición!C:J,8,FALSE)</f>
        <v>0</v>
      </c>
      <c r="G376" s="37">
        <f t="shared" si="34"/>
        <v>0</v>
      </c>
      <c r="H376" s="37"/>
      <c r="I376" s="37"/>
      <c r="J376" s="37"/>
      <c r="K376" s="37"/>
      <c r="L376" s="37"/>
      <c r="M376" s="37"/>
      <c r="N376" s="37"/>
      <c r="O376" s="37"/>
      <c r="P376" s="37"/>
      <c r="Q376" s="37"/>
      <c r="R376" s="37"/>
      <c r="S376" s="37"/>
      <c r="T376" s="37"/>
      <c r="U376" s="37"/>
      <c r="V376" s="37"/>
      <c r="W376" s="37"/>
      <c r="X376" s="37"/>
      <c r="Y376" s="37"/>
      <c r="Z376" s="37"/>
      <c r="AA376" s="37">
        <f t="shared" si="33"/>
        <v>0</v>
      </c>
      <c r="AB376" s="37">
        <f t="shared" si="30"/>
        <v>0</v>
      </c>
    </row>
    <row r="377" spans="1:28" ht="14.4">
      <c r="A377" s="117">
        <v>1140224227</v>
      </c>
      <c r="B377" s="117" t="s">
        <v>758</v>
      </c>
      <c r="C377" s="37">
        <f>+VLOOKUP(A377,Composición!C:G,5,FALSE)</f>
        <v>0</v>
      </c>
      <c r="D377" s="37"/>
      <c r="E377" s="37"/>
      <c r="F377" s="37">
        <f>+VLOOKUP(A377,Composición!C:J,8,FALSE)</f>
        <v>0</v>
      </c>
      <c r="G377" s="37">
        <f t="shared" si="34"/>
        <v>0</v>
      </c>
      <c r="H377" s="37"/>
      <c r="I377" s="37"/>
      <c r="J377" s="37"/>
      <c r="K377" s="37"/>
      <c r="L377" s="37"/>
      <c r="M377" s="37"/>
      <c r="N377" s="37"/>
      <c r="O377" s="37"/>
      <c r="P377" s="37"/>
      <c r="Q377" s="37"/>
      <c r="R377" s="37"/>
      <c r="S377" s="37"/>
      <c r="T377" s="37"/>
      <c r="U377" s="37"/>
      <c r="V377" s="37"/>
      <c r="W377" s="37"/>
      <c r="X377" s="37"/>
      <c r="Y377" s="37"/>
      <c r="Z377" s="37"/>
      <c r="AA377" s="37">
        <f t="shared" si="33"/>
        <v>0</v>
      </c>
      <c r="AB377" s="37">
        <f t="shared" si="30"/>
        <v>0</v>
      </c>
    </row>
    <row r="378" spans="1:28" ht="14.4">
      <c r="A378" s="117">
        <v>1140224228</v>
      </c>
      <c r="B378" s="117" t="s">
        <v>759</v>
      </c>
      <c r="C378" s="37">
        <f>+VLOOKUP(A378,Composición!C:G,5,FALSE)</f>
        <v>0</v>
      </c>
      <c r="D378" s="37"/>
      <c r="E378" s="37"/>
      <c r="F378" s="37">
        <f>+VLOOKUP(A378,Composición!C:J,8,FALSE)</f>
        <v>0</v>
      </c>
      <c r="G378" s="37">
        <f t="shared" si="34"/>
        <v>0</v>
      </c>
      <c r="H378" s="37"/>
      <c r="I378" s="37"/>
      <c r="J378" s="37"/>
      <c r="K378" s="37"/>
      <c r="L378" s="37"/>
      <c r="M378" s="37"/>
      <c r="N378" s="37"/>
      <c r="O378" s="37"/>
      <c r="P378" s="37"/>
      <c r="Q378" s="37"/>
      <c r="R378" s="37"/>
      <c r="S378" s="37"/>
      <c r="T378" s="37"/>
      <c r="U378" s="37"/>
      <c r="V378" s="37"/>
      <c r="W378" s="37"/>
      <c r="X378" s="37"/>
      <c r="Y378" s="37"/>
      <c r="Z378" s="37"/>
      <c r="AA378" s="37">
        <f t="shared" si="33"/>
        <v>0</v>
      </c>
      <c r="AB378" s="37">
        <f t="shared" si="30"/>
        <v>0</v>
      </c>
    </row>
    <row r="379" spans="1:28" ht="14.4">
      <c r="A379" s="117">
        <v>1140224229</v>
      </c>
      <c r="B379" s="117" t="s">
        <v>532</v>
      </c>
      <c r="C379" s="37">
        <f>+VLOOKUP(A379,Composición!C:G,5,FALSE)</f>
        <v>-411179112</v>
      </c>
      <c r="D379" s="37"/>
      <c r="E379" s="37"/>
      <c r="F379" s="37">
        <f>+VLOOKUP(A379,Composición!C:J,8,FALSE)</f>
        <v>0</v>
      </c>
      <c r="G379" s="37">
        <f t="shared" si="34"/>
        <v>-411179112</v>
      </c>
      <c r="H379" s="37"/>
      <c r="I379" s="37"/>
      <c r="J379" s="37"/>
      <c r="K379" s="37"/>
      <c r="L379" s="37"/>
      <c r="M379" s="37"/>
      <c r="N379" s="37"/>
      <c r="O379" s="37"/>
      <c r="P379" s="37"/>
      <c r="Q379" s="37"/>
      <c r="R379" s="37"/>
      <c r="S379" s="37"/>
      <c r="T379" s="37">
        <f>-G379</f>
        <v>411179112</v>
      </c>
      <c r="U379" s="37"/>
      <c r="V379" s="37"/>
      <c r="W379" s="37"/>
      <c r="X379" s="37"/>
      <c r="Y379" s="37"/>
      <c r="Z379" s="37"/>
      <c r="AA379" s="37">
        <f t="shared" si="33"/>
        <v>0</v>
      </c>
      <c r="AB379" s="37">
        <f t="shared" si="30"/>
        <v>0</v>
      </c>
    </row>
    <row r="380" spans="1:28" ht="14.4">
      <c r="A380" s="117">
        <v>1140224230</v>
      </c>
      <c r="B380" s="117" t="s">
        <v>760</v>
      </c>
      <c r="C380" s="37">
        <f>+VLOOKUP(A380,Composición!C:G,5,FALSE)</f>
        <v>0</v>
      </c>
      <c r="D380" s="37"/>
      <c r="E380" s="37"/>
      <c r="F380" s="37">
        <f>+VLOOKUP(A380,Composición!C:J,8,FALSE)</f>
        <v>0</v>
      </c>
      <c r="G380" s="37">
        <f t="shared" si="34"/>
        <v>0</v>
      </c>
      <c r="H380" s="37"/>
      <c r="I380" s="37"/>
      <c r="J380" s="37"/>
      <c r="K380" s="37"/>
      <c r="L380" s="37"/>
      <c r="M380" s="37"/>
      <c r="N380" s="37"/>
      <c r="O380" s="37"/>
      <c r="P380" s="37"/>
      <c r="Q380" s="37"/>
      <c r="R380" s="37"/>
      <c r="S380" s="37"/>
      <c r="T380" s="37"/>
      <c r="U380" s="37"/>
      <c r="V380" s="37"/>
      <c r="W380" s="37"/>
      <c r="X380" s="37"/>
      <c r="Y380" s="37"/>
      <c r="Z380" s="37"/>
      <c r="AA380" s="37">
        <f t="shared" si="33"/>
        <v>0</v>
      </c>
      <c r="AB380" s="37">
        <f t="shared" ref="AB380:AB445" si="38">SUM(G380:Z380)</f>
        <v>0</v>
      </c>
    </row>
    <row r="381" spans="1:28" ht="14.4">
      <c r="A381" s="117">
        <v>1140225</v>
      </c>
      <c r="B381" s="117" t="s">
        <v>761</v>
      </c>
      <c r="C381" s="37">
        <f>+VLOOKUP(A381,Composición!C:G,5,FALSE)</f>
        <v>0</v>
      </c>
      <c r="D381" s="37"/>
      <c r="E381" s="37"/>
      <c r="F381" s="37">
        <f>+VLOOKUP(A381,Composición!C:J,8,FALSE)</f>
        <v>0</v>
      </c>
      <c r="G381" s="37">
        <f t="shared" si="34"/>
        <v>0</v>
      </c>
      <c r="H381" s="37"/>
      <c r="I381" s="37"/>
      <c r="J381" s="37"/>
      <c r="K381" s="37"/>
      <c r="L381" s="37"/>
      <c r="M381" s="37"/>
      <c r="N381" s="37"/>
      <c r="O381" s="37"/>
      <c r="P381" s="37"/>
      <c r="Q381" s="37"/>
      <c r="R381" s="37"/>
      <c r="S381" s="37"/>
      <c r="T381" s="37"/>
      <c r="U381" s="37"/>
      <c r="V381" s="37"/>
      <c r="W381" s="37"/>
      <c r="X381" s="37"/>
      <c r="Y381" s="37"/>
      <c r="Z381" s="37"/>
      <c r="AA381" s="37">
        <f t="shared" si="33"/>
        <v>0</v>
      </c>
      <c r="AB381" s="37">
        <f t="shared" si="38"/>
        <v>0</v>
      </c>
    </row>
    <row r="382" spans="1:28" ht="14.4">
      <c r="A382" s="117">
        <v>11402251</v>
      </c>
      <c r="B382" s="117" t="s">
        <v>761</v>
      </c>
      <c r="C382" s="37">
        <f>+VLOOKUP(A382,Composición!C:G,5,FALSE)</f>
        <v>0</v>
      </c>
      <c r="D382" s="37"/>
      <c r="E382" s="37"/>
      <c r="F382" s="37">
        <f>+VLOOKUP(A382,Composición!C:J,8,FALSE)</f>
        <v>0</v>
      </c>
      <c r="G382" s="37">
        <f t="shared" si="34"/>
        <v>0</v>
      </c>
      <c r="H382" s="37"/>
      <c r="I382" s="37"/>
      <c r="J382" s="37"/>
      <c r="K382" s="37"/>
      <c r="L382" s="37"/>
      <c r="M382" s="37"/>
      <c r="N382" s="37"/>
      <c r="O382" s="37"/>
      <c r="P382" s="37"/>
      <c r="Q382" s="37"/>
      <c r="R382" s="37"/>
      <c r="S382" s="37"/>
      <c r="T382" s="37"/>
      <c r="U382" s="37"/>
      <c r="V382" s="37"/>
      <c r="W382" s="37"/>
      <c r="X382" s="37"/>
      <c r="Y382" s="37"/>
      <c r="Z382" s="37"/>
      <c r="AA382" s="37">
        <f t="shared" si="33"/>
        <v>0</v>
      </c>
      <c r="AB382" s="37">
        <f t="shared" si="38"/>
        <v>0</v>
      </c>
    </row>
    <row r="383" spans="1:28" ht="14.4">
      <c r="A383" s="117">
        <v>1140225101</v>
      </c>
      <c r="B383" s="117" t="s">
        <v>762</v>
      </c>
      <c r="C383" s="37">
        <f>+VLOOKUP(A383,Composición!C:G,5,FALSE)</f>
        <v>0</v>
      </c>
      <c r="D383" s="37"/>
      <c r="E383" s="37"/>
      <c r="F383" s="37">
        <f>+VLOOKUP(A383,Composición!C:J,8,FALSE)</f>
        <v>0</v>
      </c>
      <c r="G383" s="37">
        <f t="shared" si="34"/>
        <v>0</v>
      </c>
      <c r="H383" s="37"/>
      <c r="I383" s="37"/>
      <c r="J383" s="37"/>
      <c r="K383" s="37"/>
      <c r="L383" s="37"/>
      <c r="M383" s="37"/>
      <c r="N383" s="37"/>
      <c r="O383" s="37"/>
      <c r="P383" s="37"/>
      <c r="Q383" s="37"/>
      <c r="R383" s="37"/>
      <c r="S383" s="37"/>
      <c r="T383" s="37"/>
      <c r="U383" s="37"/>
      <c r="V383" s="37"/>
      <c r="W383" s="37"/>
      <c r="X383" s="37"/>
      <c r="Y383" s="37"/>
      <c r="Z383" s="37"/>
      <c r="AA383" s="37">
        <f t="shared" si="33"/>
        <v>0</v>
      </c>
      <c r="AB383" s="37">
        <f t="shared" si="38"/>
        <v>0</v>
      </c>
    </row>
    <row r="384" spans="1:28" ht="14.4">
      <c r="A384" s="117">
        <v>1140225102</v>
      </c>
      <c r="B384" s="117" t="s">
        <v>763</v>
      </c>
      <c r="C384" s="37">
        <f>+VLOOKUP(A384,Composición!C:G,5,FALSE)</f>
        <v>0</v>
      </c>
      <c r="D384" s="37"/>
      <c r="E384" s="37"/>
      <c r="F384" s="37">
        <f>+VLOOKUP(A384,Composición!C:J,8,FALSE)</f>
        <v>0</v>
      </c>
      <c r="G384" s="37">
        <f t="shared" si="34"/>
        <v>0</v>
      </c>
      <c r="H384" s="37"/>
      <c r="I384" s="37"/>
      <c r="J384" s="37"/>
      <c r="K384" s="37"/>
      <c r="L384" s="37"/>
      <c r="M384" s="37"/>
      <c r="N384" s="37"/>
      <c r="O384" s="37"/>
      <c r="P384" s="37"/>
      <c r="Q384" s="37"/>
      <c r="R384" s="37"/>
      <c r="S384" s="37"/>
      <c r="T384" s="37"/>
      <c r="U384" s="37"/>
      <c r="V384" s="37"/>
      <c r="W384" s="37"/>
      <c r="X384" s="37"/>
      <c r="Y384" s="37"/>
      <c r="Z384" s="37"/>
      <c r="AA384" s="37">
        <f t="shared" si="33"/>
        <v>0</v>
      </c>
      <c r="AB384" s="37">
        <f t="shared" si="38"/>
        <v>0</v>
      </c>
    </row>
    <row r="385" spans="1:28" ht="14.4">
      <c r="A385" s="117">
        <v>1140225103</v>
      </c>
      <c r="B385" s="117" t="s">
        <v>764</v>
      </c>
      <c r="C385" s="37">
        <f>+VLOOKUP(A385,Composición!C:G,5,FALSE)</f>
        <v>0</v>
      </c>
      <c r="D385" s="37">
        <f>-C385</f>
        <v>0</v>
      </c>
      <c r="E385" s="37"/>
      <c r="F385" s="37">
        <f>+VLOOKUP(A385,Composición!C:J,8,FALSE)</f>
        <v>0</v>
      </c>
      <c r="G385" s="37">
        <f t="shared" si="34"/>
        <v>0</v>
      </c>
      <c r="H385" s="37"/>
      <c r="I385" s="37"/>
      <c r="J385" s="37"/>
      <c r="K385" s="37"/>
      <c r="L385" s="37"/>
      <c r="M385" s="37"/>
      <c r="N385" s="37"/>
      <c r="O385" s="37"/>
      <c r="P385" s="37"/>
      <c r="Q385" s="37"/>
      <c r="R385" s="37"/>
      <c r="S385" s="37"/>
      <c r="T385" s="37"/>
      <c r="U385" s="37"/>
      <c r="V385" s="37"/>
      <c r="W385" s="37"/>
      <c r="X385" s="37"/>
      <c r="Y385" s="37"/>
      <c r="Z385" s="37"/>
      <c r="AA385" s="37">
        <f t="shared" si="33"/>
        <v>0</v>
      </c>
      <c r="AB385" s="37">
        <f t="shared" si="38"/>
        <v>0</v>
      </c>
    </row>
    <row r="386" spans="1:28" ht="14.4">
      <c r="A386" s="117">
        <v>1140225104</v>
      </c>
      <c r="B386" s="117" t="s">
        <v>765</v>
      </c>
      <c r="C386" s="37">
        <f>+VLOOKUP(A386,Composición!C:G,5,FALSE)</f>
        <v>0</v>
      </c>
      <c r="D386" s="37"/>
      <c r="E386" s="37"/>
      <c r="F386" s="37">
        <f>+VLOOKUP(A386,Composición!C:J,8,FALSE)</f>
        <v>0</v>
      </c>
      <c r="G386" s="37">
        <f t="shared" si="34"/>
        <v>0</v>
      </c>
      <c r="H386" s="37"/>
      <c r="I386" s="37"/>
      <c r="J386" s="37"/>
      <c r="K386" s="37"/>
      <c r="L386" s="37"/>
      <c r="M386" s="37"/>
      <c r="N386" s="37"/>
      <c r="O386" s="37"/>
      <c r="P386" s="37"/>
      <c r="Q386" s="37"/>
      <c r="R386" s="37"/>
      <c r="S386" s="37"/>
      <c r="T386" s="37"/>
      <c r="U386" s="37"/>
      <c r="V386" s="37"/>
      <c r="W386" s="37"/>
      <c r="X386" s="37"/>
      <c r="Y386" s="37"/>
      <c r="Z386" s="37"/>
      <c r="AA386" s="37">
        <f t="shared" si="33"/>
        <v>0</v>
      </c>
      <c r="AB386" s="37">
        <f t="shared" si="38"/>
        <v>0</v>
      </c>
    </row>
    <row r="387" spans="1:28" ht="14.4">
      <c r="A387" s="117">
        <v>1140225105</v>
      </c>
      <c r="B387" s="117" t="s">
        <v>766</v>
      </c>
      <c r="C387" s="37">
        <f>+VLOOKUP(A387,Composición!C:G,5,FALSE)</f>
        <v>0</v>
      </c>
      <c r="D387" s="37"/>
      <c r="E387" s="37"/>
      <c r="F387" s="37">
        <f>+VLOOKUP(A387,Composición!C:J,8,FALSE)</f>
        <v>0</v>
      </c>
      <c r="G387" s="37">
        <f t="shared" si="34"/>
        <v>0</v>
      </c>
      <c r="H387" s="37"/>
      <c r="I387" s="37"/>
      <c r="J387" s="37"/>
      <c r="K387" s="37"/>
      <c r="L387" s="37"/>
      <c r="M387" s="37"/>
      <c r="N387" s="37"/>
      <c r="O387" s="37"/>
      <c r="P387" s="37"/>
      <c r="Q387" s="37"/>
      <c r="R387" s="37"/>
      <c r="S387" s="37"/>
      <c r="T387" s="37"/>
      <c r="U387" s="37"/>
      <c r="V387" s="37"/>
      <c r="W387" s="37"/>
      <c r="X387" s="37"/>
      <c r="Y387" s="37"/>
      <c r="Z387" s="37"/>
      <c r="AA387" s="37">
        <f t="shared" si="33"/>
        <v>0</v>
      </c>
      <c r="AB387" s="37">
        <f t="shared" si="38"/>
        <v>0</v>
      </c>
    </row>
    <row r="388" spans="1:28" ht="14.4">
      <c r="A388" s="117">
        <v>1140225106</v>
      </c>
      <c r="B388" s="117" t="s">
        <v>767</v>
      </c>
      <c r="C388" s="37">
        <f>+VLOOKUP(A388,Composición!C:G,5,FALSE)</f>
        <v>0</v>
      </c>
      <c r="D388" s="37"/>
      <c r="E388" s="37"/>
      <c r="F388" s="37">
        <f>+VLOOKUP(A388,Composición!C:J,8,FALSE)</f>
        <v>0</v>
      </c>
      <c r="G388" s="37">
        <f t="shared" si="34"/>
        <v>0</v>
      </c>
      <c r="H388" s="37"/>
      <c r="I388" s="37"/>
      <c r="J388" s="37"/>
      <c r="K388" s="37"/>
      <c r="L388" s="37"/>
      <c r="M388" s="37"/>
      <c r="N388" s="37"/>
      <c r="O388" s="37"/>
      <c r="P388" s="37"/>
      <c r="Q388" s="37"/>
      <c r="R388" s="37"/>
      <c r="S388" s="37"/>
      <c r="T388" s="37"/>
      <c r="U388" s="37"/>
      <c r="V388" s="37"/>
      <c r="W388" s="37"/>
      <c r="X388" s="37"/>
      <c r="Y388" s="37"/>
      <c r="Z388" s="37"/>
      <c r="AA388" s="37">
        <f t="shared" si="33"/>
        <v>0</v>
      </c>
      <c r="AB388" s="37">
        <f t="shared" si="38"/>
        <v>0</v>
      </c>
    </row>
    <row r="389" spans="1:28" ht="14.4">
      <c r="A389" s="117">
        <v>1140225107</v>
      </c>
      <c r="B389" s="117" t="s">
        <v>768</v>
      </c>
      <c r="C389" s="37">
        <f>+VLOOKUP(A389,Composición!C:G,5,FALSE)</f>
        <v>0</v>
      </c>
      <c r="D389" s="37"/>
      <c r="E389" s="37"/>
      <c r="F389" s="37">
        <f>+VLOOKUP(A389,Composición!C:J,8,FALSE)</f>
        <v>0</v>
      </c>
      <c r="G389" s="37">
        <f t="shared" si="34"/>
        <v>0</v>
      </c>
      <c r="H389" s="37"/>
      <c r="I389" s="37"/>
      <c r="J389" s="37"/>
      <c r="K389" s="37"/>
      <c r="L389" s="37"/>
      <c r="M389" s="37"/>
      <c r="N389" s="37"/>
      <c r="O389" s="37"/>
      <c r="P389" s="37"/>
      <c r="Q389" s="37"/>
      <c r="R389" s="37"/>
      <c r="S389" s="37"/>
      <c r="T389" s="37"/>
      <c r="U389" s="37"/>
      <c r="V389" s="37"/>
      <c r="W389" s="37"/>
      <c r="X389" s="37"/>
      <c r="Y389" s="37"/>
      <c r="Z389" s="37"/>
      <c r="AA389" s="37">
        <f t="shared" si="33"/>
        <v>0</v>
      </c>
      <c r="AB389" s="37">
        <f t="shared" si="38"/>
        <v>0</v>
      </c>
    </row>
    <row r="390" spans="1:28" ht="14.4">
      <c r="A390" s="117">
        <v>1140225108</v>
      </c>
      <c r="B390" s="117" t="s">
        <v>107</v>
      </c>
      <c r="C390" s="37">
        <f>+VLOOKUP(A390,Composición!C:G,5,FALSE)</f>
        <v>0</v>
      </c>
      <c r="D390" s="734"/>
      <c r="E390" s="733">
        <v>108757733</v>
      </c>
      <c r="F390" s="37">
        <f>+VLOOKUP(A390,Composición!C:J,8,FALSE)</f>
        <v>-108757733</v>
      </c>
      <c r="G390" s="37">
        <f t="shared" si="34"/>
        <v>0</v>
      </c>
      <c r="H390" s="37"/>
      <c r="I390" s="37"/>
      <c r="J390" s="37"/>
      <c r="K390" s="37"/>
      <c r="L390" s="37"/>
      <c r="M390" s="37"/>
      <c r="N390" s="37"/>
      <c r="O390" s="37"/>
      <c r="P390" s="37"/>
      <c r="Q390" s="37"/>
      <c r="R390" s="37"/>
      <c r="S390" s="37">
        <f>-G390</f>
        <v>0</v>
      </c>
      <c r="T390" s="37"/>
      <c r="U390" s="37"/>
      <c r="V390" s="37"/>
      <c r="W390" s="37"/>
      <c r="X390" s="37"/>
      <c r="Y390" s="37"/>
      <c r="Z390" s="37"/>
      <c r="AA390" s="37">
        <f t="shared" si="33"/>
        <v>0</v>
      </c>
      <c r="AB390" s="37">
        <f t="shared" si="38"/>
        <v>0</v>
      </c>
    </row>
    <row r="391" spans="1:28" ht="14.4">
      <c r="A391" s="117">
        <v>1140225109</v>
      </c>
      <c r="B391" s="117" t="s">
        <v>770</v>
      </c>
      <c r="C391" s="37">
        <f>+VLOOKUP(A391,Composición!C:G,5,FALSE)</f>
        <v>0</v>
      </c>
      <c r="D391" s="37"/>
      <c r="E391" s="37"/>
      <c r="F391" s="37">
        <f>+VLOOKUP(A391,Composición!C:J,8,FALSE)</f>
        <v>0</v>
      </c>
      <c r="G391" s="37">
        <f t="shared" si="34"/>
        <v>0</v>
      </c>
      <c r="H391" s="37"/>
      <c r="I391" s="37"/>
      <c r="J391" s="37"/>
      <c r="K391" s="37"/>
      <c r="L391" s="37"/>
      <c r="M391" s="37"/>
      <c r="N391" s="37"/>
      <c r="O391" s="37"/>
      <c r="P391" s="37"/>
      <c r="Q391" s="37"/>
      <c r="R391" s="37"/>
      <c r="S391" s="37"/>
      <c r="T391" s="37"/>
      <c r="U391" s="37"/>
      <c r="V391" s="37"/>
      <c r="W391" s="37"/>
      <c r="X391" s="37"/>
      <c r="Y391" s="37"/>
      <c r="Z391" s="37"/>
      <c r="AA391" s="37">
        <f t="shared" si="33"/>
        <v>0</v>
      </c>
      <c r="AB391" s="37">
        <f t="shared" si="38"/>
        <v>0</v>
      </c>
    </row>
    <row r="392" spans="1:28" ht="14.4">
      <c r="A392" s="117">
        <v>1140225110</v>
      </c>
      <c r="B392" s="117" t="s">
        <v>771</v>
      </c>
      <c r="C392" s="37">
        <f>+VLOOKUP(A392,Composición!C:G,5,FALSE)</f>
        <v>0</v>
      </c>
      <c r="D392" s="37"/>
      <c r="E392" s="37"/>
      <c r="F392" s="37">
        <f>+VLOOKUP(A392,Composición!C:J,8,FALSE)</f>
        <v>0</v>
      </c>
      <c r="G392" s="37">
        <f t="shared" si="34"/>
        <v>0</v>
      </c>
      <c r="H392" s="37"/>
      <c r="I392" s="37"/>
      <c r="J392" s="37"/>
      <c r="K392" s="37"/>
      <c r="L392" s="37"/>
      <c r="M392" s="37"/>
      <c r="N392" s="37"/>
      <c r="O392" s="37"/>
      <c r="P392" s="37"/>
      <c r="Q392" s="37"/>
      <c r="R392" s="37"/>
      <c r="S392" s="37"/>
      <c r="T392" s="37"/>
      <c r="U392" s="37"/>
      <c r="V392" s="37"/>
      <c r="W392" s="37"/>
      <c r="X392" s="37"/>
      <c r="Y392" s="37"/>
      <c r="Z392" s="37"/>
      <c r="AA392" s="37">
        <f t="shared" si="33"/>
        <v>0</v>
      </c>
      <c r="AB392" s="37">
        <f t="shared" si="38"/>
        <v>0</v>
      </c>
    </row>
    <row r="393" spans="1:28" ht="14.4">
      <c r="A393" s="117">
        <v>1140225111</v>
      </c>
      <c r="B393" s="117" t="s">
        <v>772</v>
      </c>
      <c r="C393" s="37">
        <f>+VLOOKUP(A393,Composición!C:G,5,FALSE)</f>
        <v>0</v>
      </c>
      <c r="D393" s="37"/>
      <c r="E393" s="37"/>
      <c r="F393" s="37">
        <f>+VLOOKUP(A393,Composición!C:J,8,FALSE)</f>
        <v>0</v>
      </c>
      <c r="G393" s="37">
        <f t="shared" si="34"/>
        <v>0</v>
      </c>
      <c r="H393" s="37"/>
      <c r="I393" s="37"/>
      <c r="J393" s="37"/>
      <c r="K393" s="37"/>
      <c r="L393" s="37"/>
      <c r="M393" s="37"/>
      <c r="N393" s="37"/>
      <c r="O393" s="37"/>
      <c r="P393" s="37"/>
      <c r="Q393" s="37"/>
      <c r="R393" s="37"/>
      <c r="S393" s="37"/>
      <c r="T393" s="37"/>
      <c r="U393" s="37"/>
      <c r="V393" s="37"/>
      <c r="W393" s="37"/>
      <c r="X393" s="37"/>
      <c r="Y393" s="37"/>
      <c r="Z393" s="37"/>
      <c r="AA393" s="37">
        <f t="shared" si="33"/>
        <v>0</v>
      </c>
      <c r="AB393" s="37">
        <f t="shared" si="38"/>
        <v>0</v>
      </c>
    </row>
    <row r="394" spans="1:28" ht="14.4">
      <c r="A394" s="117">
        <v>1140225112</v>
      </c>
      <c r="B394" s="117" t="s">
        <v>773</v>
      </c>
      <c r="C394" s="37">
        <f>+VLOOKUP(A394,Composición!C:G,5,FALSE)</f>
        <v>0</v>
      </c>
      <c r="D394" s="37"/>
      <c r="E394" s="37"/>
      <c r="F394" s="37">
        <f>+VLOOKUP(A394,Composición!C:J,8,FALSE)</f>
        <v>0</v>
      </c>
      <c r="G394" s="37">
        <f t="shared" si="34"/>
        <v>0</v>
      </c>
      <c r="H394" s="37"/>
      <c r="I394" s="37"/>
      <c r="J394" s="37"/>
      <c r="K394" s="37"/>
      <c r="L394" s="37"/>
      <c r="M394" s="37"/>
      <c r="N394" s="37"/>
      <c r="O394" s="37"/>
      <c r="P394" s="37"/>
      <c r="Q394" s="37"/>
      <c r="R394" s="37"/>
      <c r="S394" s="37"/>
      <c r="T394" s="37"/>
      <c r="U394" s="37"/>
      <c r="V394" s="37"/>
      <c r="W394" s="37"/>
      <c r="X394" s="37"/>
      <c r="Y394" s="37"/>
      <c r="Z394" s="37"/>
      <c r="AA394" s="37">
        <f t="shared" si="33"/>
        <v>0</v>
      </c>
      <c r="AB394" s="37">
        <f t="shared" si="38"/>
        <v>0</v>
      </c>
    </row>
    <row r="395" spans="1:28" ht="14.4">
      <c r="A395" s="117">
        <v>1140225113</v>
      </c>
      <c r="B395" s="117" t="s">
        <v>774</v>
      </c>
      <c r="C395" s="37">
        <f>+VLOOKUP(A395,Composición!C:G,5,FALSE)</f>
        <v>0</v>
      </c>
      <c r="D395" s="37"/>
      <c r="E395" s="37"/>
      <c r="F395" s="37">
        <f>+VLOOKUP(A395,Composición!C:J,8,FALSE)</f>
        <v>0</v>
      </c>
      <c r="G395" s="37">
        <f t="shared" si="34"/>
        <v>0</v>
      </c>
      <c r="H395" s="37"/>
      <c r="I395" s="37"/>
      <c r="J395" s="37"/>
      <c r="K395" s="37"/>
      <c r="L395" s="37"/>
      <c r="M395" s="37"/>
      <c r="N395" s="37"/>
      <c r="O395" s="37"/>
      <c r="P395" s="37"/>
      <c r="Q395" s="37"/>
      <c r="R395" s="37"/>
      <c r="S395" s="37"/>
      <c r="T395" s="37"/>
      <c r="U395" s="37"/>
      <c r="V395" s="37"/>
      <c r="W395" s="37"/>
      <c r="X395" s="37"/>
      <c r="Y395" s="37"/>
      <c r="Z395" s="37"/>
      <c r="AA395" s="37">
        <f t="shared" si="33"/>
        <v>0</v>
      </c>
      <c r="AB395" s="37">
        <f t="shared" si="38"/>
        <v>0</v>
      </c>
    </row>
    <row r="396" spans="1:28" ht="14.4">
      <c r="A396" s="117">
        <v>1140225114</v>
      </c>
      <c r="B396" s="117" t="s">
        <v>775</v>
      </c>
      <c r="C396" s="37">
        <f>+VLOOKUP(A396,Composición!C:G,5,FALSE)</f>
        <v>0</v>
      </c>
      <c r="D396" s="37"/>
      <c r="E396" s="37"/>
      <c r="F396" s="37">
        <f>+VLOOKUP(A396,Composición!C:J,8,FALSE)</f>
        <v>0</v>
      </c>
      <c r="G396" s="37">
        <f t="shared" si="34"/>
        <v>0</v>
      </c>
      <c r="H396" s="37"/>
      <c r="I396" s="37"/>
      <c r="J396" s="37"/>
      <c r="K396" s="37"/>
      <c r="L396" s="37"/>
      <c r="M396" s="37"/>
      <c r="N396" s="37"/>
      <c r="O396" s="37"/>
      <c r="P396" s="37"/>
      <c r="Q396" s="37"/>
      <c r="R396" s="37"/>
      <c r="S396" s="37"/>
      <c r="T396" s="37"/>
      <c r="U396" s="37"/>
      <c r="V396" s="37"/>
      <c r="W396" s="37"/>
      <c r="X396" s="37"/>
      <c r="Y396" s="37"/>
      <c r="Z396" s="37"/>
      <c r="AA396" s="37">
        <f t="shared" si="33"/>
        <v>0</v>
      </c>
      <c r="AB396" s="37">
        <f t="shared" si="38"/>
        <v>0</v>
      </c>
    </row>
    <row r="397" spans="1:28" ht="14.4">
      <c r="A397" s="117">
        <v>1140225115</v>
      </c>
      <c r="B397" s="117" t="s">
        <v>776</v>
      </c>
      <c r="C397" s="37">
        <f>+VLOOKUP(A397,Composición!C:G,5,FALSE)</f>
        <v>0</v>
      </c>
      <c r="D397" s="37"/>
      <c r="E397" s="37"/>
      <c r="F397" s="37">
        <f>+VLOOKUP(A397,Composición!C:J,8,FALSE)</f>
        <v>0</v>
      </c>
      <c r="G397" s="37">
        <f t="shared" si="34"/>
        <v>0</v>
      </c>
      <c r="H397" s="37"/>
      <c r="I397" s="37"/>
      <c r="J397" s="37"/>
      <c r="K397" s="37"/>
      <c r="L397" s="37"/>
      <c r="M397" s="37"/>
      <c r="N397" s="37"/>
      <c r="O397" s="37"/>
      <c r="P397" s="37"/>
      <c r="Q397" s="37"/>
      <c r="R397" s="37"/>
      <c r="S397" s="37"/>
      <c r="T397" s="37"/>
      <c r="U397" s="37"/>
      <c r="V397" s="37"/>
      <c r="W397" s="37"/>
      <c r="X397" s="37"/>
      <c r="Y397" s="37"/>
      <c r="Z397" s="37"/>
      <c r="AA397" s="37">
        <f t="shared" si="33"/>
        <v>0</v>
      </c>
      <c r="AB397" s="37">
        <f t="shared" si="38"/>
        <v>0</v>
      </c>
    </row>
    <row r="398" spans="1:28" ht="14.4">
      <c r="A398" s="117">
        <v>1140225116</v>
      </c>
      <c r="B398" s="117" t="s">
        <v>777</v>
      </c>
      <c r="C398" s="37">
        <f>+VLOOKUP(A398,Composición!C:G,5,FALSE)</f>
        <v>0</v>
      </c>
      <c r="D398" s="37"/>
      <c r="E398" s="37"/>
      <c r="F398" s="37">
        <f>+VLOOKUP(A398,Composición!C:J,8,FALSE)</f>
        <v>0</v>
      </c>
      <c r="G398" s="37">
        <f t="shared" si="34"/>
        <v>0</v>
      </c>
      <c r="H398" s="37"/>
      <c r="I398" s="37"/>
      <c r="J398" s="37"/>
      <c r="K398" s="37"/>
      <c r="L398" s="37"/>
      <c r="M398" s="37"/>
      <c r="N398" s="37"/>
      <c r="O398" s="37"/>
      <c r="P398" s="37"/>
      <c r="Q398" s="37"/>
      <c r="R398" s="37"/>
      <c r="S398" s="37"/>
      <c r="T398" s="37"/>
      <c r="U398" s="37"/>
      <c r="V398" s="37"/>
      <c r="W398" s="37"/>
      <c r="X398" s="37"/>
      <c r="Y398" s="37"/>
      <c r="Z398" s="37"/>
      <c r="AA398" s="37">
        <f t="shared" si="33"/>
        <v>0</v>
      </c>
      <c r="AB398" s="37">
        <f t="shared" si="38"/>
        <v>0</v>
      </c>
    </row>
    <row r="399" spans="1:28" ht="14.4">
      <c r="A399" s="117">
        <v>1140225117</v>
      </c>
      <c r="B399" s="117" t="s">
        <v>778</v>
      </c>
      <c r="C399" s="37">
        <f>+VLOOKUP(A399,Composición!C:G,5,FALSE)</f>
        <v>0</v>
      </c>
      <c r="D399" s="37"/>
      <c r="E399" s="37"/>
      <c r="F399" s="37">
        <f>+VLOOKUP(A399,Composición!C:J,8,FALSE)</f>
        <v>0</v>
      </c>
      <c r="G399" s="37">
        <f t="shared" si="34"/>
        <v>0</v>
      </c>
      <c r="H399" s="37"/>
      <c r="I399" s="37"/>
      <c r="J399" s="37"/>
      <c r="K399" s="37"/>
      <c r="L399" s="37"/>
      <c r="M399" s="37"/>
      <c r="N399" s="37"/>
      <c r="O399" s="37"/>
      <c r="P399" s="37"/>
      <c r="Q399" s="37"/>
      <c r="R399" s="37"/>
      <c r="S399" s="37"/>
      <c r="T399" s="37"/>
      <c r="U399" s="37"/>
      <c r="V399" s="37"/>
      <c r="W399" s="37"/>
      <c r="X399" s="37"/>
      <c r="Y399" s="37"/>
      <c r="Z399" s="37"/>
      <c r="AA399" s="37">
        <f t="shared" si="33"/>
        <v>0</v>
      </c>
      <c r="AB399" s="37">
        <f t="shared" si="38"/>
        <v>0</v>
      </c>
    </row>
    <row r="400" spans="1:28" ht="14.4">
      <c r="A400" s="117">
        <v>1140225118</v>
      </c>
      <c r="B400" s="117" t="s">
        <v>779</v>
      </c>
      <c r="C400" s="37">
        <f>+VLOOKUP(A400,Composición!C:G,5,FALSE)</f>
        <v>0</v>
      </c>
      <c r="D400" s="37"/>
      <c r="E400" s="37"/>
      <c r="F400" s="37">
        <f>+VLOOKUP(A400,Composición!C:J,8,FALSE)</f>
        <v>0</v>
      </c>
      <c r="G400" s="37">
        <f t="shared" si="34"/>
        <v>0</v>
      </c>
      <c r="H400" s="37"/>
      <c r="I400" s="37"/>
      <c r="J400" s="37"/>
      <c r="K400" s="37"/>
      <c r="L400" s="37"/>
      <c r="M400" s="37"/>
      <c r="N400" s="37"/>
      <c r="O400" s="37"/>
      <c r="P400" s="37"/>
      <c r="Q400" s="37"/>
      <c r="R400" s="37"/>
      <c r="S400" s="37"/>
      <c r="T400" s="37"/>
      <c r="U400" s="37"/>
      <c r="V400" s="37"/>
      <c r="W400" s="37"/>
      <c r="X400" s="37"/>
      <c r="Y400" s="37"/>
      <c r="Z400" s="37"/>
      <c r="AA400" s="37">
        <f t="shared" si="33"/>
        <v>0</v>
      </c>
      <c r="AB400" s="37">
        <f t="shared" si="38"/>
        <v>0</v>
      </c>
    </row>
    <row r="401" spans="1:28" ht="14.4">
      <c r="A401" s="117">
        <v>1140225119</v>
      </c>
      <c r="B401" s="117" t="s">
        <v>780</v>
      </c>
      <c r="C401" s="37">
        <f>+VLOOKUP(A401,Composición!C:G,5,FALSE)</f>
        <v>0</v>
      </c>
      <c r="D401" s="37"/>
      <c r="E401" s="37"/>
      <c r="F401" s="37">
        <f>+VLOOKUP(A401,Composición!C:J,8,FALSE)</f>
        <v>0</v>
      </c>
      <c r="G401" s="37">
        <f t="shared" si="34"/>
        <v>0</v>
      </c>
      <c r="H401" s="37"/>
      <c r="I401" s="37"/>
      <c r="J401" s="37"/>
      <c r="K401" s="37"/>
      <c r="L401" s="37"/>
      <c r="M401" s="37"/>
      <c r="N401" s="37"/>
      <c r="O401" s="37"/>
      <c r="P401" s="37"/>
      <c r="Q401" s="37"/>
      <c r="R401" s="37"/>
      <c r="S401" s="37"/>
      <c r="T401" s="37"/>
      <c r="U401" s="37"/>
      <c r="V401" s="37"/>
      <c r="W401" s="37"/>
      <c r="X401" s="37"/>
      <c r="Y401" s="37"/>
      <c r="Z401" s="37"/>
      <c r="AA401" s="37">
        <f t="shared" si="33"/>
        <v>0</v>
      </c>
      <c r="AB401" s="37">
        <f t="shared" si="38"/>
        <v>0</v>
      </c>
    </row>
    <row r="402" spans="1:28" ht="14.4">
      <c r="A402" s="117">
        <v>1140225120</v>
      </c>
      <c r="B402" s="117" t="s">
        <v>781</v>
      </c>
      <c r="C402" s="37">
        <f>+VLOOKUP(A402,Composición!C:G,5,FALSE)</f>
        <v>0</v>
      </c>
      <c r="D402" s="37"/>
      <c r="E402" s="37"/>
      <c r="F402" s="37">
        <f>+VLOOKUP(A402,Composición!C:J,8,FALSE)</f>
        <v>0</v>
      </c>
      <c r="G402" s="37">
        <f t="shared" si="34"/>
        <v>0</v>
      </c>
      <c r="H402" s="37"/>
      <c r="I402" s="37"/>
      <c r="J402" s="37"/>
      <c r="K402" s="37"/>
      <c r="L402" s="37"/>
      <c r="M402" s="37"/>
      <c r="N402" s="37"/>
      <c r="O402" s="37"/>
      <c r="P402" s="37"/>
      <c r="Q402" s="37"/>
      <c r="R402" s="37"/>
      <c r="S402" s="37"/>
      <c r="T402" s="37"/>
      <c r="U402" s="37"/>
      <c r="V402" s="37"/>
      <c r="W402" s="37"/>
      <c r="X402" s="37"/>
      <c r="Y402" s="37"/>
      <c r="Z402" s="37"/>
      <c r="AA402" s="37">
        <f t="shared" si="33"/>
        <v>0</v>
      </c>
      <c r="AB402" s="37">
        <f t="shared" si="38"/>
        <v>0</v>
      </c>
    </row>
    <row r="403" spans="1:28" ht="14.4">
      <c r="A403" s="117">
        <v>1140225121</v>
      </c>
      <c r="B403" s="117" t="s">
        <v>782</v>
      </c>
      <c r="C403" s="37">
        <f>+VLOOKUP(A403,Composición!C:G,5,FALSE)</f>
        <v>0</v>
      </c>
      <c r="D403" s="37"/>
      <c r="E403" s="37"/>
      <c r="F403" s="37">
        <f>+VLOOKUP(A403,Composición!C:J,8,FALSE)</f>
        <v>0</v>
      </c>
      <c r="G403" s="37">
        <f t="shared" si="34"/>
        <v>0</v>
      </c>
      <c r="H403" s="37"/>
      <c r="I403" s="37"/>
      <c r="J403" s="37"/>
      <c r="K403" s="37"/>
      <c r="L403" s="37"/>
      <c r="M403" s="37"/>
      <c r="N403" s="37"/>
      <c r="O403" s="37"/>
      <c r="P403" s="37"/>
      <c r="Q403" s="37"/>
      <c r="R403" s="37"/>
      <c r="S403" s="37"/>
      <c r="T403" s="37"/>
      <c r="U403" s="37"/>
      <c r="V403" s="37"/>
      <c r="W403" s="37"/>
      <c r="X403" s="37"/>
      <c r="Y403" s="37"/>
      <c r="Z403" s="37"/>
      <c r="AA403" s="37">
        <f t="shared" si="33"/>
        <v>0</v>
      </c>
      <c r="AB403" s="37">
        <f t="shared" si="38"/>
        <v>0</v>
      </c>
    </row>
    <row r="404" spans="1:28" ht="14.4">
      <c r="A404" s="117">
        <v>1140225122</v>
      </c>
      <c r="B404" s="117" t="s">
        <v>783</v>
      </c>
      <c r="C404" s="37">
        <f>+VLOOKUP(A404,Composición!C:G,5,FALSE)</f>
        <v>0</v>
      </c>
      <c r="D404" s="37"/>
      <c r="E404" s="37"/>
      <c r="F404" s="37">
        <f>+VLOOKUP(A404,Composición!C:J,8,FALSE)</f>
        <v>0</v>
      </c>
      <c r="G404" s="37">
        <f t="shared" si="34"/>
        <v>0</v>
      </c>
      <c r="H404" s="37"/>
      <c r="I404" s="37"/>
      <c r="J404" s="37"/>
      <c r="K404" s="37"/>
      <c r="L404" s="37"/>
      <c r="M404" s="37"/>
      <c r="N404" s="37"/>
      <c r="O404" s="37"/>
      <c r="P404" s="37"/>
      <c r="Q404" s="37"/>
      <c r="R404" s="37"/>
      <c r="S404" s="37"/>
      <c r="T404" s="37"/>
      <c r="U404" s="37"/>
      <c r="V404" s="37"/>
      <c r="W404" s="37"/>
      <c r="X404" s="37"/>
      <c r="Y404" s="37"/>
      <c r="Z404" s="37"/>
      <c r="AA404" s="37">
        <f t="shared" si="33"/>
        <v>0</v>
      </c>
      <c r="AB404" s="37">
        <f t="shared" si="38"/>
        <v>0</v>
      </c>
    </row>
    <row r="405" spans="1:28" ht="14.4">
      <c r="A405" s="117">
        <v>1140225123</v>
      </c>
      <c r="B405" s="117" t="s">
        <v>784</v>
      </c>
      <c r="C405" s="37">
        <f>+VLOOKUP(A405,Composición!C:G,5,FALSE)</f>
        <v>0</v>
      </c>
      <c r="D405" s="37"/>
      <c r="E405" s="37"/>
      <c r="F405" s="37">
        <f>+VLOOKUP(A405,Composición!C:J,8,FALSE)</f>
        <v>0</v>
      </c>
      <c r="G405" s="37">
        <f t="shared" si="34"/>
        <v>0</v>
      </c>
      <c r="H405" s="37"/>
      <c r="I405" s="37"/>
      <c r="J405" s="37"/>
      <c r="K405" s="37"/>
      <c r="L405" s="37"/>
      <c r="M405" s="37"/>
      <c r="N405" s="37"/>
      <c r="O405" s="37"/>
      <c r="P405" s="37"/>
      <c r="Q405" s="37"/>
      <c r="R405" s="37"/>
      <c r="S405" s="37"/>
      <c r="T405" s="37"/>
      <c r="U405" s="37"/>
      <c r="V405" s="37"/>
      <c r="W405" s="37"/>
      <c r="X405" s="37"/>
      <c r="Y405" s="37"/>
      <c r="Z405" s="37"/>
      <c r="AA405" s="37">
        <f t="shared" si="33"/>
        <v>0</v>
      </c>
      <c r="AB405" s="37">
        <f t="shared" si="38"/>
        <v>0</v>
      </c>
    </row>
    <row r="406" spans="1:28" ht="14.4">
      <c r="A406" s="117">
        <v>1140225124</v>
      </c>
      <c r="B406" s="117" t="s">
        <v>785</v>
      </c>
      <c r="C406" s="37">
        <f>+VLOOKUP(A406,Composición!C:G,5,FALSE)</f>
        <v>0</v>
      </c>
      <c r="D406" s="37"/>
      <c r="E406" s="37"/>
      <c r="F406" s="37">
        <f>+VLOOKUP(A406,Composición!C:J,8,FALSE)</f>
        <v>0</v>
      </c>
      <c r="G406" s="37">
        <f t="shared" si="34"/>
        <v>0</v>
      </c>
      <c r="H406" s="37"/>
      <c r="I406" s="37"/>
      <c r="J406" s="37"/>
      <c r="K406" s="37"/>
      <c r="L406" s="37"/>
      <c r="M406" s="37"/>
      <c r="N406" s="37"/>
      <c r="O406" s="37"/>
      <c r="P406" s="37"/>
      <c r="Q406" s="37"/>
      <c r="R406" s="37"/>
      <c r="S406" s="37"/>
      <c r="T406" s="37"/>
      <c r="U406" s="37"/>
      <c r="V406" s="37"/>
      <c r="W406" s="37"/>
      <c r="X406" s="37"/>
      <c r="Y406" s="37"/>
      <c r="Z406" s="37"/>
      <c r="AA406" s="37">
        <f t="shared" si="33"/>
        <v>0</v>
      </c>
      <c r="AB406" s="37">
        <f t="shared" si="38"/>
        <v>0</v>
      </c>
    </row>
    <row r="407" spans="1:28" ht="14.4">
      <c r="A407" s="117">
        <v>1140225125</v>
      </c>
      <c r="B407" s="117" t="s">
        <v>786</v>
      </c>
      <c r="C407" s="37">
        <f>+VLOOKUP(A407,Composición!C:G,5,FALSE)</f>
        <v>0</v>
      </c>
      <c r="D407" s="37"/>
      <c r="E407" s="37"/>
      <c r="F407" s="37">
        <f>+VLOOKUP(A407,Composición!C:J,8,FALSE)</f>
        <v>0</v>
      </c>
      <c r="G407" s="37">
        <f t="shared" si="34"/>
        <v>0</v>
      </c>
      <c r="H407" s="37"/>
      <c r="I407" s="37"/>
      <c r="J407" s="37"/>
      <c r="K407" s="37"/>
      <c r="L407" s="37"/>
      <c r="M407" s="37"/>
      <c r="N407" s="37"/>
      <c r="O407" s="37"/>
      <c r="P407" s="37"/>
      <c r="Q407" s="37"/>
      <c r="R407" s="37"/>
      <c r="S407" s="37"/>
      <c r="T407" s="37"/>
      <c r="U407" s="37"/>
      <c r="V407" s="37"/>
      <c r="W407" s="37"/>
      <c r="X407" s="37"/>
      <c r="Y407" s="37"/>
      <c r="Z407" s="37"/>
      <c r="AA407" s="37">
        <f t="shared" si="33"/>
        <v>0</v>
      </c>
      <c r="AB407" s="37">
        <f t="shared" si="38"/>
        <v>0</v>
      </c>
    </row>
    <row r="408" spans="1:28" ht="14.4">
      <c r="A408" s="117">
        <v>1140225126</v>
      </c>
      <c r="B408" s="117" t="s">
        <v>787</v>
      </c>
      <c r="C408" s="37">
        <f>+VLOOKUP(A408,Composición!C:G,5,FALSE)</f>
        <v>0</v>
      </c>
      <c r="D408" s="37"/>
      <c r="E408" s="37"/>
      <c r="F408" s="37">
        <f>+VLOOKUP(A408,Composición!C:J,8,FALSE)</f>
        <v>0</v>
      </c>
      <c r="G408" s="37">
        <f t="shared" si="34"/>
        <v>0</v>
      </c>
      <c r="H408" s="37"/>
      <c r="I408" s="37"/>
      <c r="J408" s="37"/>
      <c r="K408" s="37"/>
      <c r="L408" s="37"/>
      <c r="M408" s="37"/>
      <c r="N408" s="37"/>
      <c r="O408" s="37"/>
      <c r="P408" s="37"/>
      <c r="Q408" s="37"/>
      <c r="R408" s="37"/>
      <c r="S408" s="37"/>
      <c r="T408" s="37"/>
      <c r="U408" s="37"/>
      <c r="V408" s="37"/>
      <c r="W408" s="37"/>
      <c r="X408" s="37"/>
      <c r="Y408" s="37"/>
      <c r="Z408" s="37"/>
      <c r="AA408" s="37">
        <f t="shared" si="33"/>
        <v>0</v>
      </c>
      <c r="AB408" s="37">
        <f t="shared" si="38"/>
        <v>0</v>
      </c>
    </row>
    <row r="409" spans="1:28" ht="14.4">
      <c r="A409" s="117">
        <v>1140225127</v>
      </c>
      <c r="B409" s="117" t="s">
        <v>788</v>
      </c>
      <c r="C409" s="37">
        <f>+VLOOKUP(A409,Composición!C:G,5,FALSE)</f>
        <v>0</v>
      </c>
      <c r="D409" s="37">
        <f>-C409</f>
        <v>0</v>
      </c>
      <c r="E409" s="37"/>
      <c r="F409" s="37">
        <f>+VLOOKUP(A409,Composición!C:J,8,FALSE)</f>
        <v>0</v>
      </c>
      <c r="G409" s="37">
        <f t="shared" si="34"/>
        <v>0</v>
      </c>
      <c r="H409" s="37"/>
      <c r="I409" s="37"/>
      <c r="J409" s="37"/>
      <c r="K409" s="37"/>
      <c r="L409" s="37"/>
      <c r="M409" s="37"/>
      <c r="N409" s="37"/>
      <c r="O409" s="37"/>
      <c r="P409" s="37"/>
      <c r="Q409" s="37"/>
      <c r="R409" s="37"/>
      <c r="S409" s="37"/>
      <c r="T409" s="37"/>
      <c r="U409" s="37"/>
      <c r="V409" s="37"/>
      <c r="W409" s="37"/>
      <c r="X409" s="37"/>
      <c r="Y409" s="37"/>
      <c r="Z409" s="37"/>
      <c r="AA409" s="37">
        <f t="shared" si="33"/>
        <v>0</v>
      </c>
      <c r="AB409" s="37">
        <f t="shared" si="38"/>
        <v>0</v>
      </c>
    </row>
    <row r="410" spans="1:28" ht="14.4">
      <c r="A410" s="117">
        <v>1140225128</v>
      </c>
      <c r="B410" s="117" t="s">
        <v>789</v>
      </c>
      <c r="C410" s="37">
        <f>+VLOOKUP(A410,Composición!C:G,5,FALSE)</f>
        <v>0</v>
      </c>
      <c r="D410" s="37"/>
      <c r="E410" s="37"/>
      <c r="F410" s="37">
        <f>+VLOOKUP(A410,Composición!C:J,8,FALSE)</f>
        <v>0</v>
      </c>
      <c r="G410" s="37">
        <f t="shared" si="34"/>
        <v>0</v>
      </c>
      <c r="H410" s="37"/>
      <c r="I410" s="37"/>
      <c r="J410" s="37"/>
      <c r="K410" s="37"/>
      <c r="L410" s="37"/>
      <c r="M410" s="37"/>
      <c r="N410" s="37"/>
      <c r="O410" s="37"/>
      <c r="P410" s="37"/>
      <c r="Q410" s="37"/>
      <c r="R410" s="37"/>
      <c r="S410" s="37"/>
      <c r="T410" s="37"/>
      <c r="U410" s="37"/>
      <c r="V410" s="37"/>
      <c r="W410" s="37"/>
      <c r="X410" s="37"/>
      <c r="Y410" s="37"/>
      <c r="Z410" s="37"/>
      <c r="AA410" s="37">
        <f t="shared" si="33"/>
        <v>0</v>
      </c>
      <c r="AB410" s="37">
        <f t="shared" si="38"/>
        <v>0</v>
      </c>
    </row>
    <row r="411" spans="1:28" ht="14.4">
      <c r="A411" s="117">
        <v>1140225129</v>
      </c>
      <c r="B411" s="117" t="s">
        <v>790</v>
      </c>
      <c r="C411" s="37">
        <f>+VLOOKUP(A411,Composición!C:G,5,FALSE)</f>
        <v>0</v>
      </c>
      <c r="D411" s="37"/>
      <c r="E411" s="37"/>
      <c r="F411" s="37">
        <f>+VLOOKUP(A411,Composición!C:J,8,FALSE)</f>
        <v>0</v>
      </c>
      <c r="G411" s="37">
        <f t="shared" si="34"/>
        <v>0</v>
      </c>
      <c r="H411" s="37"/>
      <c r="I411" s="37"/>
      <c r="J411" s="37"/>
      <c r="K411" s="37"/>
      <c r="L411" s="37"/>
      <c r="M411" s="37"/>
      <c r="N411" s="37"/>
      <c r="O411" s="37"/>
      <c r="P411" s="37"/>
      <c r="Q411" s="37"/>
      <c r="R411" s="37"/>
      <c r="S411" s="37"/>
      <c r="T411" s="37"/>
      <c r="U411" s="37"/>
      <c r="V411" s="37"/>
      <c r="W411" s="37"/>
      <c r="X411" s="37"/>
      <c r="Y411" s="37"/>
      <c r="Z411" s="37"/>
      <c r="AA411" s="37">
        <f t="shared" ref="AA411:AA431" si="39">SUM(G411:Z411)</f>
        <v>0</v>
      </c>
      <c r="AB411" s="37">
        <f t="shared" si="38"/>
        <v>0</v>
      </c>
    </row>
    <row r="412" spans="1:28" ht="14.4">
      <c r="A412" s="117">
        <v>1140225130</v>
      </c>
      <c r="B412" s="117" t="s">
        <v>791</v>
      </c>
      <c r="C412" s="37">
        <f>+VLOOKUP(A412,Composición!C:G,5,FALSE)</f>
        <v>0</v>
      </c>
      <c r="D412" s="37"/>
      <c r="E412" s="37"/>
      <c r="F412" s="37">
        <f>+VLOOKUP(A412,Composición!C:J,8,FALSE)</f>
        <v>0</v>
      </c>
      <c r="G412" s="37">
        <f t="shared" si="34"/>
        <v>0</v>
      </c>
      <c r="H412" s="37"/>
      <c r="I412" s="37"/>
      <c r="J412" s="37"/>
      <c r="K412" s="37"/>
      <c r="L412" s="37"/>
      <c r="M412" s="37"/>
      <c r="N412" s="37"/>
      <c r="O412" s="37"/>
      <c r="P412" s="37"/>
      <c r="Q412" s="37"/>
      <c r="R412" s="37"/>
      <c r="S412" s="37"/>
      <c r="T412" s="37"/>
      <c r="U412" s="37"/>
      <c r="V412" s="37"/>
      <c r="W412" s="37"/>
      <c r="X412" s="37"/>
      <c r="Y412" s="37"/>
      <c r="Z412" s="37"/>
      <c r="AA412" s="37">
        <f t="shared" si="39"/>
        <v>0</v>
      </c>
      <c r="AB412" s="37">
        <f t="shared" si="38"/>
        <v>0</v>
      </c>
    </row>
    <row r="413" spans="1:28" ht="14.4">
      <c r="A413" s="117">
        <v>11402252</v>
      </c>
      <c r="B413" s="117" t="s">
        <v>108</v>
      </c>
      <c r="C413" s="37">
        <f>+VLOOKUP(A413,Composición!C:G,5,FALSE)</f>
        <v>0</v>
      </c>
      <c r="D413" s="37"/>
      <c r="E413" s="37"/>
      <c r="F413" s="37">
        <f>+VLOOKUP(A413,Composición!C:J,8,FALSE)</f>
        <v>0</v>
      </c>
      <c r="G413" s="37">
        <f t="shared" ref="G413:G478" si="40">C413+D413-E413-F413</f>
        <v>0</v>
      </c>
      <c r="H413" s="37"/>
      <c r="I413" s="37"/>
      <c r="J413" s="37"/>
      <c r="K413" s="37"/>
      <c r="L413" s="37"/>
      <c r="M413" s="37"/>
      <c r="N413" s="37"/>
      <c r="O413" s="37"/>
      <c r="P413" s="37"/>
      <c r="Q413" s="37"/>
      <c r="R413" s="37"/>
      <c r="S413" s="37"/>
      <c r="T413" s="37"/>
      <c r="U413" s="37"/>
      <c r="V413" s="37"/>
      <c r="W413" s="37"/>
      <c r="X413" s="37"/>
      <c r="Y413" s="37"/>
      <c r="Z413" s="37"/>
      <c r="AA413" s="37">
        <f t="shared" si="39"/>
        <v>0</v>
      </c>
      <c r="AB413" s="37">
        <f t="shared" si="38"/>
        <v>0</v>
      </c>
    </row>
    <row r="414" spans="1:28" ht="14.4">
      <c r="A414" s="117">
        <v>1140225202</v>
      </c>
      <c r="B414" s="117" t="s">
        <v>109</v>
      </c>
      <c r="C414" s="37">
        <f>+VLOOKUP(A414,Composición!C:G,5,FALSE)</f>
        <v>-693820112</v>
      </c>
      <c r="D414" s="734">
        <f>125088818+19343403+E1306</f>
        <v>372833571</v>
      </c>
      <c r="E414" s="733"/>
      <c r="F414" s="37">
        <f>+VLOOKUP(A414,Composición!C:J,8,FALSE)</f>
        <v>-320986541</v>
      </c>
      <c r="G414" s="37">
        <f>C414+D414-E414-F414</f>
        <v>0</v>
      </c>
      <c r="H414" s="37"/>
      <c r="I414" s="37"/>
      <c r="J414" s="37"/>
      <c r="K414" s="37"/>
      <c r="L414" s="37"/>
      <c r="M414" s="37"/>
      <c r="N414" s="37"/>
      <c r="O414" s="37"/>
      <c r="P414" s="37"/>
      <c r="Q414" s="37"/>
      <c r="R414" s="37"/>
      <c r="S414" s="37">
        <f>-G414</f>
        <v>0</v>
      </c>
      <c r="T414" s="37"/>
      <c r="U414" s="37"/>
      <c r="V414" s="37"/>
      <c r="W414" s="37"/>
      <c r="X414" s="37"/>
      <c r="Y414" s="37"/>
      <c r="Z414" s="37"/>
      <c r="AA414" s="37">
        <f t="shared" si="39"/>
        <v>0</v>
      </c>
      <c r="AB414" s="37">
        <f t="shared" si="38"/>
        <v>0</v>
      </c>
    </row>
    <row r="415" spans="1:28" ht="14.4">
      <c r="A415" s="117">
        <v>114023</v>
      </c>
      <c r="B415" s="117" t="s">
        <v>792</v>
      </c>
      <c r="C415" s="37">
        <f>+VLOOKUP(A415,Composición!C:G,5,FALSE)</f>
        <v>0</v>
      </c>
      <c r="D415" s="37"/>
      <c r="E415" s="37"/>
      <c r="F415" s="37">
        <f>+VLOOKUP(A415,Composición!C:J,8,FALSE)</f>
        <v>0</v>
      </c>
      <c r="G415" s="37">
        <f t="shared" si="40"/>
        <v>0</v>
      </c>
      <c r="H415" s="37"/>
      <c r="I415" s="37"/>
      <c r="J415" s="37"/>
      <c r="K415" s="37"/>
      <c r="L415" s="37"/>
      <c r="M415" s="37"/>
      <c r="N415" s="37"/>
      <c r="O415" s="37"/>
      <c r="P415" s="37"/>
      <c r="Q415" s="37"/>
      <c r="R415" s="37"/>
      <c r="S415" s="37"/>
      <c r="T415" s="37"/>
      <c r="U415" s="37"/>
      <c r="V415" s="37"/>
      <c r="W415" s="37"/>
      <c r="X415" s="37"/>
      <c r="Y415" s="37"/>
      <c r="Z415" s="37"/>
      <c r="AA415" s="37">
        <f t="shared" si="39"/>
        <v>0</v>
      </c>
      <c r="AB415" s="37">
        <f t="shared" si="38"/>
        <v>0</v>
      </c>
    </row>
    <row r="416" spans="1:28" ht="14.4">
      <c r="A416" s="117">
        <v>1140231</v>
      </c>
      <c r="B416" s="117" t="s">
        <v>793</v>
      </c>
      <c r="C416" s="37">
        <f>+VLOOKUP(A416,Composición!C:G,5,FALSE)</f>
        <v>0</v>
      </c>
      <c r="D416" s="37"/>
      <c r="E416" s="37"/>
      <c r="F416" s="37">
        <f>+VLOOKUP(A416,Composición!C:J,8,FALSE)</f>
        <v>0</v>
      </c>
      <c r="G416" s="37">
        <f t="shared" si="40"/>
        <v>0</v>
      </c>
      <c r="H416" s="37"/>
      <c r="I416" s="37"/>
      <c r="J416" s="37"/>
      <c r="K416" s="37"/>
      <c r="L416" s="37"/>
      <c r="M416" s="37"/>
      <c r="N416" s="37"/>
      <c r="O416" s="37"/>
      <c r="P416" s="37"/>
      <c r="Q416" s="37"/>
      <c r="R416" s="37"/>
      <c r="S416" s="37"/>
      <c r="T416" s="37"/>
      <c r="U416" s="37"/>
      <c r="V416" s="37"/>
      <c r="W416" s="37"/>
      <c r="X416" s="37"/>
      <c r="Y416" s="37"/>
      <c r="Z416" s="37"/>
      <c r="AA416" s="37">
        <f t="shared" si="39"/>
        <v>0</v>
      </c>
      <c r="AB416" s="37">
        <f t="shared" si="38"/>
        <v>0</v>
      </c>
    </row>
    <row r="417" spans="1:28" ht="14.4">
      <c r="A417" s="117">
        <v>11402311</v>
      </c>
      <c r="B417" s="117" t="s">
        <v>525</v>
      </c>
      <c r="C417" s="37">
        <f>+VLOOKUP(A417,Composición!C:G,5,FALSE)</f>
        <v>0</v>
      </c>
      <c r="D417" s="37"/>
      <c r="E417" s="37"/>
      <c r="F417" s="37">
        <f>+VLOOKUP(A417,Composición!C:J,8,FALSE)</f>
        <v>0</v>
      </c>
      <c r="G417" s="37">
        <f t="shared" si="40"/>
        <v>0</v>
      </c>
      <c r="H417" s="37"/>
      <c r="I417" s="37"/>
      <c r="J417" s="37"/>
      <c r="K417" s="37"/>
      <c r="L417" s="37"/>
      <c r="M417" s="37"/>
      <c r="N417" s="37"/>
      <c r="O417" s="37"/>
      <c r="P417" s="37"/>
      <c r="Q417" s="37"/>
      <c r="R417" s="37"/>
      <c r="S417" s="37"/>
      <c r="T417" s="37"/>
      <c r="U417" s="37"/>
      <c r="V417" s="37"/>
      <c r="W417" s="37"/>
      <c r="X417" s="37"/>
      <c r="Y417" s="37"/>
      <c r="Z417" s="37"/>
      <c r="AA417" s="37">
        <f t="shared" si="39"/>
        <v>0</v>
      </c>
      <c r="AB417" s="37">
        <f t="shared" si="38"/>
        <v>0</v>
      </c>
    </row>
    <row r="418" spans="1:28" ht="14.4">
      <c r="A418" s="117">
        <v>1140231101</v>
      </c>
      <c r="B418" s="117" t="s">
        <v>279</v>
      </c>
      <c r="C418" s="37">
        <f>+VLOOKUP(A418,Composición!C:G,5,FALSE)</f>
        <v>0</v>
      </c>
      <c r="D418" s="37"/>
      <c r="E418" s="37"/>
      <c r="F418" s="37">
        <f>+VLOOKUP(A418,Composición!C:J,8,FALSE)</f>
        <v>0</v>
      </c>
      <c r="G418" s="37">
        <f t="shared" si="40"/>
        <v>0</v>
      </c>
      <c r="H418" s="37"/>
      <c r="I418" s="37"/>
      <c r="J418" s="37"/>
      <c r="K418" s="37"/>
      <c r="L418" s="37"/>
      <c r="M418" s="37"/>
      <c r="N418" s="37"/>
      <c r="O418" s="37"/>
      <c r="P418" s="37"/>
      <c r="Q418" s="37"/>
      <c r="R418" s="37"/>
      <c r="S418" s="37"/>
      <c r="T418" s="37"/>
      <c r="U418" s="37"/>
      <c r="V418" s="37"/>
      <c r="W418" s="37"/>
      <c r="X418" s="37"/>
      <c r="Y418" s="37"/>
      <c r="Z418" s="37"/>
      <c r="AA418" s="37">
        <f t="shared" si="39"/>
        <v>0</v>
      </c>
      <c r="AB418" s="37">
        <f t="shared" si="38"/>
        <v>0</v>
      </c>
    </row>
    <row r="419" spans="1:28" ht="14.4">
      <c r="A419" s="117">
        <v>1140231102</v>
      </c>
      <c r="B419" s="117" t="s">
        <v>689</v>
      </c>
      <c r="C419" s="37">
        <f>+VLOOKUP(A419,Composición!C:G,5,FALSE)</f>
        <v>0</v>
      </c>
      <c r="D419" s="37"/>
      <c r="E419" s="37"/>
      <c r="F419" s="37">
        <f>+VLOOKUP(A419,Composición!C:J,8,FALSE)</f>
        <v>0</v>
      </c>
      <c r="G419" s="37">
        <f t="shared" si="40"/>
        <v>0</v>
      </c>
      <c r="H419" s="37"/>
      <c r="I419" s="37"/>
      <c r="J419" s="37"/>
      <c r="K419" s="37"/>
      <c r="L419" s="37"/>
      <c r="M419" s="37"/>
      <c r="N419" s="37"/>
      <c r="O419" s="37"/>
      <c r="P419" s="37"/>
      <c r="Q419" s="37"/>
      <c r="R419" s="37"/>
      <c r="S419" s="37"/>
      <c r="T419" s="37"/>
      <c r="U419" s="37"/>
      <c r="V419" s="37"/>
      <c r="W419" s="37"/>
      <c r="X419" s="37"/>
      <c r="Y419" s="37"/>
      <c r="Z419" s="37"/>
      <c r="AA419" s="37">
        <f t="shared" si="39"/>
        <v>0</v>
      </c>
      <c r="AB419" s="37">
        <f t="shared" si="38"/>
        <v>0</v>
      </c>
    </row>
    <row r="420" spans="1:28" ht="14.4">
      <c r="A420" s="117">
        <v>11402312</v>
      </c>
      <c r="B420" s="117" t="s">
        <v>56</v>
      </c>
      <c r="C420" s="37">
        <f>+VLOOKUP(A420,Composición!C:G,5,FALSE)</f>
        <v>0</v>
      </c>
      <c r="D420" s="37"/>
      <c r="E420" s="37"/>
      <c r="F420" s="37">
        <f>+VLOOKUP(A420,Composición!C:J,8,FALSE)</f>
        <v>0</v>
      </c>
      <c r="G420" s="37">
        <f t="shared" si="40"/>
        <v>0</v>
      </c>
      <c r="H420" s="37"/>
      <c r="I420" s="37"/>
      <c r="J420" s="37"/>
      <c r="K420" s="37"/>
      <c r="L420" s="37"/>
      <c r="M420" s="37"/>
      <c r="N420" s="37"/>
      <c r="O420" s="37"/>
      <c r="P420" s="37"/>
      <c r="Q420" s="37"/>
      <c r="R420" s="37"/>
      <c r="S420" s="37"/>
      <c r="T420" s="37"/>
      <c r="U420" s="37"/>
      <c r="V420" s="37"/>
      <c r="W420" s="37"/>
      <c r="X420" s="37"/>
      <c r="Y420" s="37"/>
      <c r="Z420" s="37"/>
      <c r="AA420" s="37">
        <f t="shared" si="39"/>
        <v>0</v>
      </c>
      <c r="AB420" s="37">
        <f t="shared" si="38"/>
        <v>0</v>
      </c>
    </row>
    <row r="421" spans="1:28" ht="14.4">
      <c r="A421" s="117">
        <v>1140231201</v>
      </c>
      <c r="B421" s="117" t="s">
        <v>57</v>
      </c>
      <c r="C421" s="37">
        <f>+VLOOKUP(A421,Composición!C:G,5,FALSE)</f>
        <v>0</v>
      </c>
      <c r="D421" s="37"/>
      <c r="E421" s="37"/>
      <c r="F421" s="37">
        <f>+VLOOKUP(A421,Composición!C:J,8,FALSE)</f>
        <v>0</v>
      </c>
      <c r="G421" s="37">
        <f t="shared" si="40"/>
        <v>0</v>
      </c>
      <c r="H421" s="37"/>
      <c r="I421" s="37"/>
      <c r="J421" s="37"/>
      <c r="K421" s="37"/>
      <c r="L421" s="37"/>
      <c r="M421" s="37"/>
      <c r="N421" s="37"/>
      <c r="O421" s="37"/>
      <c r="P421" s="37"/>
      <c r="Q421" s="37"/>
      <c r="R421" s="37"/>
      <c r="S421" s="37"/>
      <c r="T421" s="37"/>
      <c r="U421" s="37"/>
      <c r="V421" s="37"/>
      <c r="W421" s="37"/>
      <c r="X421" s="37"/>
      <c r="Y421" s="37"/>
      <c r="Z421" s="37"/>
      <c r="AA421" s="37">
        <f t="shared" si="39"/>
        <v>0</v>
      </c>
      <c r="AB421" s="37">
        <f t="shared" si="38"/>
        <v>0</v>
      </c>
    </row>
    <row r="422" spans="1:28" ht="14.4">
      <c r="A422" s="117">
        <v>1140231202</v>
      </c>
      <c r="B422" s="117" t="s">
        <v>254</v>
      </c>
      <c r="C422" s="37">
        <f>+VLOOKUP(A422,Composición!C:G,5,FALSE)</f>
        <v>0</v>
      </c>
      <c r="D422" s="37"/>
      <c r="E422" s="37"/>
      <c r="F422" s="37">
        <f>+VLOOKUP(A422,Composición!C:J,8,FALSE)</f>
        <v>0</v>
      </c>
      <c r="G422" s="37">
        <f t="shared" si="40"/>
        <v>0</v>
      </c>
      <c r="H422" s="37"/>
      <c r="I422" s="37"/>
      <c r="J422" s="37"/>
      <c r="K422" s="37"/>
      <c r="L422" s="37"/>
      <c r="M422" s="37"/>
      <c r="N422" s="37"/>
      <c r="O422" s="37"/>
      <c r="P422" s="37"/>
      <c r="Q422" s="37"/>
      <c r="R422" s="37"/>
      <c r="S422" s="37"/>
      <c r="T422" s="37"/>
      <c r="U422" s="37"/>
      <c r="V422" s="37"/>
      <c r="W422" s="37"/>
      <c r="X422" s="37"/>
      <c r="Y422" s="37"/>
      <c r="Z422" s="37"/>
      <c r="AA422" s="37">
        <f t="shared" si="39"/>
        <v>0</v>
      </c>
      <c r="AB422" s="37">
        <f t="shared" si="38"/>
        <v>0</v>
      </c>
    </row>
    <row r="423" spans="1:28" ht="14.4">
      <c r="A423" s="117">
        <v>11402313</v>
      </c>
      <c r="B423" s="117" t="s">
        <v>526</v>
      </c>
      <c r="C423" s="37">
        <f>+VLOOKUP(A423,Composición!C:G,5,FALSE)</f>
        <v>0</v>
      </c>
      <c r="D423" s="37"/>
      <c r="E423" s="37"/>
      <c r="F423" s="37">
        <f>+VLOOKUP(A423,Composición!C:J,8,FALSE)</f>
        <v>0</v>
      </c>
      <c r="G423" s="37">
        <f t="shared" si="40"/>
        <v>0</v>
      </c>
      <c r="H423" s="37"/>
      <c r="I423" s="37"/>
      <c r="J423" s="37"/>
      <c r="K423" s="37"/>
      <c r="L423" s="37"/>
      <c r="M423" s="37"/>
      <c r="N423" s="37"/>
      <c r="O423" s="37"/>
      <c r="P423" s="37"/>
      <c r="Q423" s="37"/>
      <c r="R423" s="37"/>
      <c r="S423" s="37"/>
      <c r="T423" s="37"/>
      <c r="U423" s="37"/>
      <c r="V423" s="37"/>
      <c r="W423" s="37"/>
      <c r="X423" s="37"/>
      <c r="Y423" s="37"/>
      <c r="Z423" s="37"/>
      <c r="AA423" s="37">
        <f t="shared" si="39"/>
        <v>0</v>
      </c>
      <c r="AB423" s="37">
        <f t="shared" si="38"/>
        <v>0</v>
      </c>
    </row>
    <row r="424" spans="1:28" ht="14.4">
      <c r="A424" s="117">
        <v>1140231301</v>
      </c>
      <c r="B424" s="117" t="s">
        <v>256</v>
      </c>
      <c r="C424" s="37">
        <f>+VLOOKUP(A424,Composición!C:G,5,FALSE)</f>
        <v>0</v>
      </c>
      <c r="D424" s="37"/>
      <c r="E424" s="37"/>
      <c r="F424" s="37">
        <f>+VLOOKUP(A424,Composición!C:J,8,FALSE)</f>
        <v>0</v>
      </c>
      <c r="G424" s="37">
        <f t="shared" si="40"/>
        <v>0</v>
      </c>
      <c r="H424" s="37"/>
      <c r="I424" s="37"/>
      <c r="J424" s="37"/>
      <c r="K424" s="37"/>
      <c r="L424" s="37"/>
      <c r="M424" s="37"/>
      <c r="N424" s="37"/>
      <c r="O424" s="37"/>
      <c r="P424" s="37"/>
      <c r="Q424" s="37"/>
      <c r="R424" s="37"/>
      <c r="S424" s="37"/>
      <c r="T424" s="37"/>
      <c r="U424" s="37"/>
      <c r="V424" s="37"/>
      <c r="W424" s="37"/>
      <c r="X424" s="37"/>
      <c r="Y424" s="37"/>
      <c r="Z424" s="37"/>
      <c r="AA424" s="37">
        <f t="shared" si="39"/>
        <v>0</v>
      </c>
      <c r="AB424" s="37">
        <f t="shared" si="38"/>
        <v>0</v>
      </c>
    </row>
    <row r="425" spans="1:28" ht="14.4">
      <c r="A425" s="117">
        <v>1140231302</v>
      </c>
      <c r="B425" s="117" t="s">
        <v>258</v>
      </c>
      <c r="C425" s="37">
        <f>+VLOOKUP(A425,Composición!C:G,5,FALSE)</f>
        <v>0</v>
      </c>
      <c r="D425" s="37"/>
      <c r="E425" s="37"/>
      <c r="F425" s="37">
        <f>+VLOOKUP(A425,Composición!C:J,8,FALSE)</f>
        <v>0</v>
      </c>
      <c r="G425" s="37">
        <f t="shared" si="40"/>
        <v>0</v>
      </c>
      <c r="H425" s="37"/>
      <c r="I425" s="37"/>
      <c r="J425" s="37"/>
      <c r="K425" s="37"/>
      <c r="L425" s="37"/>
      <c r="M425" s="37"/>
      <c r="N425" s="37"/>
      <c r="O425" s="37"/>
      <c r="P425" s="37"/>
      <c r="Q425" s="37"/>
      <c r="R425" s="37"/>
      <c r="S425" s="37"/>
      <c r="T425" s="37"/>
      <c r="U425" s="37"/>
      <c r="V425" s="37"/>
      <c r="W425" s="37"/>
      <c r="X425" s="37"/>
      <c r="Y425" s="37"/>
      <c r="Z425" s="37"/>
      <c r="AA425" s="37">
        <f t="shared" si="39"/>
        <v>0</v>
      </c>
      <c r="AB425" s="37">
        <f t="shared" si="38"/>
        <v>0</v>
      </c>
    </row>
    <row r="426" spans="1:28" ht="14.4">
      <c r="A426" s="117">
        <v>11402314</v>
      </c>
      <c r="B426" s="117" t="s">
        <v>58</v>
      </c>
      <c r="C426" s="37">
        <f>+VLOOKUP(A426,Composición!C:G,5,FALSE)</f>
        <v>0</v>
      </c>
      <c r="D426" s="37"/>
      <c r="E426" s="37"/>
      <c r="F426" s="37">
        <f>+VLOOKUP(A426,Composición!C:J,8,FALSE)</f>
        <v>0</v>
      </c>
      <c r="G426" s="37">
        <f t="shared" si="40"/>
        <v>0</v>
      </c>
      <c r="H426" s="37"/>
      <c r="I426" s="37"/>
      <c r="J426" s="37"/>
      <c r="K426" s="37"/>
      <c r="L426" s="37"/>
      <c r="M426" s="37"/>
      <c r="N426" s="37"/>
      <c r="O426" s="37"/>
      <c r="P426" s="37"/>
      <c r="Q426" s="37"/>
      <c r="R426" s="37"/>
      <c r="S426" s="37"/>
      <c r="T426" s="37"/>
      <c r="U426" s="37"/>
      <c r="V426" s="37"/>
      <c r="W426" s="37"/>
      <c r="X426" s="37"/>
      <c r="Y426" s="37"/>
      <c r="Z426" s="37"/>
      <c r="AA426" s="37">
        <f t="shared" si="39"/>
        <v>0</v>
      </c>
      <c r="AB426" s="37">
        <f t="shared" si="38"/>
        <v>0</v>
      </c>
    </row>
    <row r="427" spans="1:28" ht="14.4">
      <c r="A427" s="117">
        <v>1140231401</v>
      </c>
      <c r="B427" s="117" t="s">
        <v>59</v>
      </c>
      <c r="C427" s="37">
        <f>+VLOOKUP(A427,Composición!C:G,5,FALSE)</f>
        <v>0</v>
      </c>
      <c r="D427" s="37"/>
      <c r="E427" s="37"/>
      <c r="F427" s="37">
        <f>+VLOOKUP(A427,Composición!C:J,8,FALSE)</f>
        <v>0</v>
      </c>
      <c r="G427" s="37">
        <f t="shared" si="40"/>
        <v>0</v>
      </c>
      <c r="H427" s="37"/>
      <c r="I427" s="37"/>
      <c r="J427" s="37"/>
      <c r="K427" s="37"/>
      <c r="L427" s="37"/>
      <c r="M427" s="37"/>
      <c r="N427" s="37"/>
      <c r="O427" s="37"/>
      <c r="P427" s="37"/>
      <c r="Q427" s="37"/>
      <c r="R427" s="37"/>
      <c r="S427" s="37"/>
      <c r="T427" s="37"/>
      <c r="U427" s="37"/>
      <c r="V427" s="37"/>
      <c r="W427" s="37"/>
      <c r="X427" s="37"/>
      <c r="Y427" s="37"/>
      <c r="Z427" s="37"/>
      <c r="AA427" s="37">
        <f t="shared" si="39"/>
        <v>0</v>
      </c>
      <c r="AB427" s="37">
        <f t="shared" si="38"/>
        <v>0</v>
      </c>
    </row>
    <row r="428" spans="1:28" ht="14.4">
      <c r="A428" s="117">
        <v>1140231402</v>
      </c>
      <c r="B428" s="117" t="s">
        <v>60</v>
      </c>
      <c r="C428" s="37">
        <f>+VLOOKUP(A428,Composición!C:G,5,FALSE)</f>
        <v>0</v>
      </c>
      <c r="D428" s="37"/>
      <c r="E428" s="37"/>
      <c r="F428" s="37">
        <f>+VLOOKUP(A428,Composición!C:J,8,FALSE)</f>
        <v>0</v>
      </c>
      <c r="G428" s="37">
        <f t="shared" si="40"/>
        <v>0</v>
      </c>
      <c r="H428" s="37"/>
      <c r="I428" s="37"/>
      <c r="J428" s="37"/>
      <c r="K428" s="37"/>
      <c r="L428" s="37"/>
      <c r="M428" s="37"/>
      <c r="N428" s="37"/>
      <c r="O428" s="37"/>
      <c r="P428" s="37"/>
      <c r="Q428" s="37"/>
      <c r="R428" s="37"/>
      <c r="S428" s="37">
        <f>-G428</f>
        <v>0</v>
      </c>
      <c r="T428" s="37"/>
      <c r="U428" s="37"/>
      <c r="V428" s="37"/>
      <c r="W428" s="37"/>
      <c r="X428" s="37"/>
      <c r="Y428" s="37"/>
      <c r="Z428" s="37"/>
      <c r="AA428" s="37">
        <f t="shared" si="39"/>
        <v>0</v>
      </c>
      <c r="AB428" s="37">
        <f t="shared" si="38"/>
        <v>0</v>
      </c>
    </row>
    <row r="429" spans="1:28" ht="14.4">
      <c r="A429" s="117">
        <v>11403</v>
      </c>
      <c r="B429" s="117" t="s">
        <v>110</v>
      </c>
      <c r="C429" s="37">
        <f>+VLOOKUP(A429,Composición!C:G,5,FALSE)</f>
        <v>0</v>
      </c>
      <c r="D429" s="37"/>
      <c r="E429" s="37"/>
      <c r="F429" s="37">
        <f>+VLOOKUP(A429,Composición!C:J,8,FALSE)</f>
        <v>0</v>
      </c>
      <c r="G429" s="37">
        <f t="shared" si="40"/>
        <v>0</v>
      </c>
      <c r="H429" s="37"/>
      <c r="I429" s="37"/>
      <c r="J429" s="37"/>
      <c r="K429" s="12"/>
      <c r="L429" s="37"/>
      <c r="M429" s="37"/>
      <c r="N429" s="37"/>
      <c r="O429" s="12"/>
      <c r="P429" s="37"/>
      <c r="Q429" s="37"/>
      <c r="R429" s="37"/>
      <c r="S429" s="37">
        <f>-G429</f>
        <v>0</v>
      </c>
      <c r="T429" s="37"/>
      <c r="U429" s="37"/>
      <c r="V429" s="37"/>
      <c r="W429" s="37"/>
      <c r="X429" s="37"/>
      <c r="Y429" s="37"/>
      <c r="Z429" s="37"/>
      <c r="AA429" s="37">
        <f t="shared" si="39"/>
        <v>0</v>
      </c>
      <c r="AB429" s="37">
        <f t="shared" si="38"/>
        <v>0</v>
      </c>
    </row>
    <row r="430" spans="1:28" ht="14.4">
      <c r="A430" s="117">
        <v>114031</v>
      </c>
      <c r="B430" s="117" t="s">
        <v>111</v>
      </c>
      <c r="C430" s="37">
        <f>+VLOOKUP(A430,Composición!C:G,5,FALSE)</f>
        <v>0</v>
      </c>
      <c r="D430" s="37"/>
      <c r="E430" s="37"/>
      <c r="F430" s="37">
        <f>+VLOOKUP(A430,Composición!C:J,8,FALSE)</f>
        <v>0</v>
      </c>
      <c r="G430" s="37">
        <f t="shared" si="40"/>
        <v>0</v>
      </c>
      <c r="H430" s="37"/>
      <c r="I430" s="37"/>
      <c r="J430" s="37"/>
      <c r="K430" s="12"/>
      <c r="L430" s="37"/>
      <c r="M430" s="37"/>
      <c r="N430" s="37"/>
      <c r="O430" s="12"/>
      <c r="P430" s="37"/>
      <c r="Q430" s="37"/>
      <c r="R430" s="37"/>
      <c r="S430" s="37">
        <f t="shared" ref="S430:S431" si="41">-G430</f>
        <v>0</v>
      </c>
      <c r="T430" s="37"/>
      <c r="U430" s="37"/>
      <c r="V430" s="37"/>
      <c r="W430" s="37"/>
      <c r="X430" s="37"/>
      <c r="Y430" s="37"/>
      <c r="Z430" s="37"/>
      <c r="AA430" s="37">
        <f t="shared" si="39"/>
        <v>0</v>
      </c>
      <c r="AB430" s="37">
        <f t="shared" si="38"/>
        <v>0</v>
      </c>
    </row>
    <row r="431" spans="1:28" ht="14.4">
      <c r="A431" s="117">
        <v>1140311</v>
      </c>
      <c r="B431" s="117" t="s">
        <v>112</v>
      </c>
      <c r="C431" s="37">
        <f>+VLOOKUP(A431,Composición!C:G,5,FALSE)</f>
        <v>0</v>
      </c>
      <c r="D431" s="37"/>
      <c r="E431" s="37"/>
      <c r="F431" s="37">
        <f>+VLOOKUP(A431,Composición!C:J,8,FALSE)</f>
        <v>0</v>
      </c>
      <c r="G431" s="37">
        <f t="shared" si="40"/>
        <v>0</v>
      </c>
      <c r="H431" s="37"/>
      <c r="I431" s="37"/>
      <c r="J431" s="37"/>
      <c r="K431" s="12"/>
      <c r="L431" s="37"/>
      <c r="M431" s="37"/>
      <c r="N431" s="37"/>
      <c r="O431" s="12"/>
      <c r="P431" s="37"/>
      <c r="Q431" s="37"/>
      <c r="R431" s="37"/>
      <c r="S431" s="37">
        <f t="shared" si="41"/>
        <v>0</v>
      </c>
      <c r="T431" s="37"/>
      <c r="U431" s="37"/>
      <c r="V431" s="37"/>
      <c r="W431" s="37"/>
      <c r="X431" s="37"/>
      <c r="Y431" s="37"/>
      <c r="Z431" s="37"/>
      <c r="AA431" s="37">
        <f t="shared" si="39"/>
        <v>0</v>
      </c>
      <c r="AB431" s="37">
        <f t="shared" si="38"/>
        <v>0</v>
      </c>
    </row>
    <row r="432" spans="1:28" ht="14.4">
      <c r="A432" s="117">
        <v>11403111</v>
      </c>
      <c r="B432" s="117" t="s">
        <v>113</v>
      </c>
      <c r="C432" s="37">
        <f>+VLOOKUP(A432,Composición!C:G,5,FALSE)</f>
        <v>0</v>
      </c>
      <c r="D432" s="37"/>
      <c r="E432" s="37"/>
      <c r="F432" s="37">
        <f>+VLOOKUP(A432,Composición!C:J,8,FALSE)</f>
        <v>0</v>
      </c>
      <c r="G432" s="37">
        <f t="shared" si="40"/>
        <v>0</v>
      </c>
      <c r="H432" s="37"/>
      <c r="I432" s="37"/>
      <c r="J432" s="37"/>
      <c r="K432" s="37"/>
      <c r="L432" s="37"/>
      <c r="M432" s="37"/>
      <c r="N432" s="37"/>
      <c r="O432" s="37"/>
      <c r="P432" s="37"/>
      <c r="Q432" s="37"/>
      <c r="R432" s="37"/>
      <c r="S432" s="37"/>
      <c r="T432" s="37"/>
      <c r="U432" s="37"/>
      <c r="V432" s="37"/>
      <c r="W432" s="37"/>
      <c r="X432" s="37"/>
      <c r="Y432" s="37"/>
      <c r="Z432" s="37"/>
      <c r="AA432" s="37">
        <f t="shared" ref="AA432:AA477" si="42">SUM(G432:Z432)</f>
        <v>0</v>
      </c>
      <c r="AB432" s="37">
        <f t="shared" si="38"/>
        <v>0</v>
      </c>
    </row>
    <row r="433" spans="1:28" ht="14.4">
      <c r="A433" s="117">
        <v>1140311101</v>
      </c>
      <c r="B433" s="117" t="s">
        <v>795</v>
      </c>
      <c r="C433" s="37">
        <f>+VLOOKUP(A433,Composición!C:G,5,FALSE)</f>
        <v>2449000000</v>
      </c>
      <c r="D433" s="37"/>
      <c r="E433" s="37"/>
      <c r="F433" s="37">
        <f>+VLOOKUP(A433,Composición!C:J,8,FALSE)</f>
        <v>0</v>
      </c>
      <c r="G433" s="37">
        <f t="shared" si="40"/>
        <v>2449000000</v>
      </c>
      <c r="H433" s="37"/>
      <c r="I433" s="37"/>
      <c r="J433" s="37"/>
      <c r="K433" s="37"/>
      <c r="L433" s="37"/>
      <c r="M433" s="37"/>
      <c r="N433" s="37"/>
      <c r="O433" s="37"/>
      <c r="P433" s="37"/>
      <c r="Q433" s="37"/>
      <c r="R433" s="37"/>
      <c r="S433" s="37">
        <f>-G433</f>
        <v>-2449000000</v>
      </c>
      <c r="T433" s="37"/>
      <c r="U433" s="37"/>
      <c r="V433" s="37"/>
      <c r="W433" s="37"/>
      <c r="X433" s="37"/>
      <c r="Y433" s="37"/>
      <c r="Z433" s="37"/>
      <c r="AA433" s="37">
        <f t="shared" si="42"/>
        <v>0</v>
      </c>
      <c r="AB433" s="37">
        <f t="shared" si="38"/>
        <v>0</v>
      </c>
    </row>
    <row r="434" spans="1:28" ht="14.4">
      <c r="A434" s="117">
        <v>1140311102</v>
      </c>
      <c r="B434" s="117" t="s">
        <v>114</v>
      </c>
      <c r="C434" s="37">
        <f>+VLOOKUP(A434,Composición!C:G,5,FALSE)</f>
        <v>10282444380</v>
      </c>
      <c r="D434" s="37"/>
      <c r="E434" s="37"/>
      <c r="F434" s="37">
        <f>+VLOOKUP(A434,Composición!C:J,8,FALSE)</f>
        <v>7837413610</v>
      </c>
      <c r="G434" s="37">
        <f t="shared" si="40"/>
        <v>2445030770</v>
      </c>
      <c r="H434" s="37"/>
      <c r="I434" s="37"/>
      <c r="J434" s="37"/>
      <c r="K434" s="37"/>
      <c r="L434" s="37"/>
      <c r="M434" s="37"/>
      <c r="N434" s="37"/>
      <c r="O434" s="37"/>
      <c r="P434" s="37"/>
      <c r="Q434" s="37"/>
      <c r="R434" s="37"/>
      <c r="S434" s="37">
        <f>-G434</f>
        <v>-2445030770</v>
      </c>
      <c r="T434" s="37"/>
      <c r="U434" s="37"/>
      <c r="V434" s="37"/>
      <c r="W434" s="37"/>
      <c r="X434" s="37"/>
      <c r="Y434" s="37"/>
      <c r="Z434" s="37"/>
      <c r="AA434" s="37">
        <f t="shared" si="42"/>
        <v>0</v>
      </c>
      <c r="AB434" s="37">
        <f t="shared" si="38"/>
        <v>0</v>
      </c>
    </row>
    <row r="435" spans="1:28" ht="14.4">
      <c r="A435" s="117">
        <v>1140311103</v>
      </c>
      <c r="B435" s="117" t="s">
        <v>796</v>
      </c>
      <c r="C435" s="37">
        <f>+VLOOKUP(A435,Composición!C:G,5,FALSE)</f>
        <v>1000000000</v>
      </c>
      <c r="D435" s="37"/>
      <c r="E435" s="37"/>
      <c r="F435" s="37">
        <f>+VLOOKUP(A435,Composición!C:J,8,FALSE)</f>
        <v>0</v>
      </c>
      <c r="G435" s="37">
        <f t="shared" si="40"/>
        <v>1000000000</v>
      </c>
      <c r="H435" s="37"/>
      <c r="I435" s="37"/>
      <c r="J435" s="37"/>
      <c r="K435" s="37"/>
      <c r="L435" s="37"/>
      <c r="M435" s="37"/>
      <c r="N435" s="37"/>
      <c r="O435" s="37"/>
      <c r="P435" s="37"/>
      <c r="Q435" s="37"/>
      <c r="R435" s="37"/>
      <c r="S435" s="37">
        <f>-G435</f>
        <v>-1000000000</v>
      </c>
      <c r="T435" s="37"/>
      <c r="U435" s="37"/>
      <c r="V435" s="37"/>
      <c r="W435" s="37"/>
      <c r="X435" s="37"/>
      <c r="Y435" s="37"/>
      <c r="Z435" s="37"/>
      <c r="AA435" s="37">
        <f t="shared" si="42"/>
        <v>0</v>
      </c>
      <c r="AB435" s="37">
        <f t="shared" si="38"/>
        <v>0</v>
      </c>
    </row>
    <row r="436" spans="1:28" ht="14.4">
      <c r="A436" s="117">
        <v>1140311104</v>
      </c>
      <c r="B436" s="117" t="s">
        <v>797</v>
      </c>
      <c r="C436" s="37">
        <f>+VLOOKUP(A436,Composición!C:G,5,FALSE)</f>
        <v>0</v>
      </c>
      <c r="D436" s="37"/>
      <c r="E436" s="37"/>
      <c r="F436" s="37">
        <f>+VLOOKUP(A436,Composición!C:J,8,FALSE)</f>
        <v>0</v>
      </c>
      <c r="G436" s="37">
        <f t="shared" si="40"/>
        <v>0</v>
      </c>
      <c r="H436" s="37"/>
      <c r="I436" s="37"/>
      <c r="J436" s="37"/>
      <c r="K436" s="37"/>
      <c r="L436" s="37"/>
      <c r="M436" s="37"/>
      <c r="N436" s="37"/>
      <c r="O436" s="37"/>
      <c r="P436" s="37"/>
      <c r="Q436" s="37"/>
      <c r="R436" s="37"/>
      <c r="S436" s="37"/>
      <c r="T436" s="37">
        <f>-G436</f>
        <v>0</v>
      </c>
      <c r="U436" s="37"/>
      <c r="V436" s="37"/>
      <c r="W436" s="37"/>
      <c r="X436" s="37"/>
      <c r="Y436" s="37"/>
      <c r="Z436" s="37"/>
      <c r="AA436" s="37">
        <f t="shared" si="42"/>
        <v>0</v>
      </c>
      <c r="AB436" s="37">
        <f t="shared" si="38"/>
        <v>0</v>
      </c>
    </row>
    <row r="437" spans="1:28" ht="14.4">
      <c r="A437" s="117">
        <v>11403112</v>
      </c>
      <c r="B437" s="117" t="s">
        <v>115</v>
      </c>
      <c r="C437" s="37">
        <f>+VLOOKUP(A437,Composición!C:G,5,FALSE)</f>
        <v>0</v>
      </c>
      <c r="D437" s="37"/>
      <c r="E437" s="37"/>
      <c r="F437" s="37">
        <f>+VLOOKUP(A437,Composición!C:J,8,FALSE)</f>
        <v>0</v>
      </c>
      <c r="G437" s="37">
        <f t="shared" si="40"/>
        <v>0</v>
      </c>
      <c r="H437" s="37"/>
      <c r="I437" s="37"/>
      <c r="J437" s="37"/>
      <c r="K437" s="37"/>
      <c r="L437" s="37"/>
      <c r="M437" s="37"/>
      <c r="N437" s="37"/>
      <c r="O437" s="37"/>
      <c r="P437" s="37"/>
      <c r="Q437" s="37"/>
      <c r="R437" s="37"/>
      <c r="S437" s="37"/>
      <c r="T437" s="37">
        <f>-G437</f>
        <v>0</v>
      </c>
      <c r="U437" s="37"/>
      <c r="V437" s="37"/>
      <c r="W437" s="37"/>
      <c r="X437" s="37"/>
      <c r="Y437" s="37"/>
      <c r="Z437" s="37"/>
      <c r="AA437" s="37">
        <f t="shared" si="42"/>
        <v>0</v>
      </c>
      <c r="AB437" s="37">
        <f t="shared" si="38"/>
        <v>0</v>
      </c>
    </row>
    <row r="438" spans="1:28" ht="14.4">
      <c r="A438" s="117">
        <v>1140311201</v>
      </c>
      <c r="B438" s="117" t="s">
        <v>115</v>
      </c>
      <c r="C438" s="37">
        <f>+VLOOKUP(A438,Composición!C:G,5,FALSE)</f>
        <v>905101766</v>
      </c>
      <c r="D438" s="37"/>
      <c r="E438" s="37"/>
      <c r="F438" s="37">
        <f>+VLOOKUP(A438,Composición!C:J,8,FALSE)</f>
        <v>0</v>
      </c>
      <c r="G438" s="37">
        <f t="shared" si="40"/>
        <v>905101766</v>
      </c>
      <c r="H438" s="37"/>
      <c r="I438" s="37"/>
      <c r="J438" s="37"/>
      <c r="K438" s="37"/>
      <c r="L438" s="37"/>
      <c r="M438" s="37"/>
      <c r="N438" s="37"/>
      <c r="O438" s="37"/>
      <c r="P438" s="37"/>
      <c r="Q438" s="37"/>
      <c r="R438" s="37"/>
      <c r="S438" s="37"/>
      <c r="T438" s="37">
        <f>-G438</f>
        <v>-905101766</v>
      </c>
      <c r="U438" s="37"/>
      <c r="V438" s="37"/>
      <c r="W438" s="37"/>
      <c r="X438" s="37"/>
      <c r="Y438" s="37"/>
      <c r="Z438" s="37"/>
      <c r="AA438" s="37">
        <f t="shared" si="42"/>
        <v>0</v>
      </c>
      <c r="AB438" s="37">
        <f t="shared" si="38"/>
        <v>0</v>
      </c>
    </row>
    <row r="439" spans="1:28" ht="14.4">
      <c r="A439" s="117">
        <v>1140311202</v>
      </c>
      <c r="B439" s="117" t="s">
        <v>116</v>
      </c>
      <c r="C439" s="37">
        <f>+VLOOKUP(A439,Composición!C:G,5,FALSE)</f>
        <v>2469254151</v>
      </c>
      <c r="D439" s="37"/>
      <c r="E439" s="37"/>
      <c r="F439" s="37">
        <f>+VLOOKUP(A439,Composición!C:J,8,FALSE)</f>
        <v>2493044516</v>
      </c>
      <c r="G439" s="37">
        <f t="shared" si="40"/>
        <v>-23790365</v>
      </c>
      <c r="H439" s="37"/>
      <c r="I439" s="37"/>
      <c r="J439" s="37"/>
      <c r="K439" s="37"/>
      <c r="L439" s="37"/>
      <c r="M439" s="37"/>
      <c r="N439" s="37"/>
      <c r="O439" s="37"/>
      <c r="P439" s="37"/>
      <c r="Q439" s="37"/>
      <c r="R439" s="37"/>
      <c r="S439" s="37"/>
      <c r="T439" s="37">
        <f>-G439</f>
        <v>23790365</v>
      </c>
      <c r="U439" s="37"/>
      <c r="V439" s="37"/>
      <c r="W439" s="37"/>
      <c r="X439" s="37"/>
      <c r="Y439" s="37"/>
      <c r="Z439" s="37"/>
      <c r="AA439" s="37">
        <f t="shared" si="42"/>
        <v>0</v>
      </c>
      <c r="AB439" s="37">
        <f t="shared" si="38"/>
        <v>0</v>
      </c>
    </row>
    <row r="440" spans="1:28" ht="14.4">
      <c r="A440" s="1218">
        <v>1140311203</v>
      </c>
      <c r="B440" s="1218" t="s">
        <v>2704</v>
      </c>
      <c r="C440" s="37">
        <f>+VLOOKUP(A440,Composición!C:G,5,FALSE)</f>
        <v>206712329</v>
      </c>
      <c r="D440" s="37"/>
      <c r="E440" s="37"/>
      <c r="F440" s="37">
        <f>+VLOOKUP(A440,Composición!C:J,8,FALSE)</f>
        <v>0</v>
      </c>
      <c r="G440" s="37">
        <f t="shared" ref="G440" si="43">C440+D440-E440-F440</f>
        <v>206712329</v>
      </c>
      <c r="H440" s="37"/>
      <c r="I440" s="37"/>
      <c r="J440" s="37"/>
      <c r="K440" s="37"/>
      <c r="L440" s="37"/>
      <c r="M440" s="37"/>
      <c r="N440" s="37"/>
      <c r="O440" s="37"/>
      <c r="P440" s="37"/>
      <c r="Q440" s="37"/>
      <c r="R440" s="37"/>
      <c r="S440" s="37"/>
      <c r="T440" s="37">
        <f>-G440</f>
        <v>-206712329</v>
      </c>
      <c r="U440" s="37"/>
      <c r="V440" s="37"/>
      <c r="W440" s="37"/>
      <c r="X440" s="37"/>
      <c r="Y440" s="37"/>
      <c r="Z440" s="37"/>
      <c r="AA440" s="37">
        <f t="shared" si="42"/>
        <v>0</v>
      </c>
      <c r="AB440" s="37"/>
    </row>
    <row r="441" spans="1:28" ht="14.4">
      <c r="A441" s="117">
        <v>11403113</v>
      </c>
      <c r="B441" s="117" t="s">
        <v>117</v>
      </c>
      <c r="C441" s="37">
        <f>+VLOOKUP(A441,Composición!C:G,5,FALSE)</f>
        <v>0</v>
      </c>
      <c r="D441" s="37"/>
      <c r="E441" s="37"/>
      <c r="F441" s="37">
        <f>+VLOOKUP(A441,Composición!C:J,8,FALSE)</f>
        <v>0</v>
      </c>
      <c r="G441" s="37">
        <f t="shared" si="40"/>
        <v>0</v>
      </c>
      <c r="H441" s="37"/>
      <c r="I441" s="37"/>
      <c r="J441" s="37"/>
      <c r="K441" s="37"/>
      <c r="L441" s="37"/>
      <c r="M441" s="37"/>
      <c r="N441" s="37"/>
      <c r="O441" s="37"/>
      <c r="P441" s="37"/>
      <c r="Q441" s="37"/>
      <c r="R441" s="37"/>
      <c r="S441" s="37">
        <f>-G441</f>
        <v>0</v>
      </c>
      <c r="T441" s="37"/>
      <c r="U441" s="37"/>
      <c r="V441" s="37"/>
      <c r="W441" s="37"/>
      <c r="X441" s="37"/>
      <c r="Y441" s="37"/>
      <c r="Z441" s="37"/>
      <c r="AA441" s="37">
        <f t="shared" si="42"/>
        <v>0</v>
      </c>
      <c r="AB441" s="37">
        <f t="shared" si="38"/>
        <v>0</v>
      </c>
    </row>
    <row r="442" spans="1:28" ht="14.4">
      <c r="A442" s="117">
        <v>1140311301</v>
      </c>
      <c r="B442" s="117" t="s">
        <v>117</v>
      </c>
      <c r="C442" s="37">
        <f>+VLOOKUP(A442,Composición!C:G,5,FALSE)</f>
        <v>-824405077</v>
      </c>
      <c r="D442" s="37"/>
      <c r="E442" s="37"/>
      <c r="F442" s="37">
        <f>+VLOOKUP(A442,Composición!C:J,8,FALSE)</f>
        <v>0</v>
      </c>
      <c r="G442" s="37">
        <f t="shared" si="40"/>
        <v>-824405077</v>
      </c>
      <c r="H442" s="37"/>
      <c r="I442" s="37"/>
      <c r="J442" s="37"/>
      <c r="K442" s="37"/>
      <c r="L442" s="37"/>
      <c r="M442" s="37"/>
      <c r="N442" s="37"/>
      <c r="O442" s="37"/>
      <c r="P442" s="37"/>
      <c r="Q442" s="37"/>
      <c r="R442" s="37"/>
      <c r="S442" s="37"/>
      <c r="T442" s="37">
        <f>-G442</f>
        <v>824405077</v>
      </c>
      <c r="U442" s="37"/>
      <c r="V442" s="37"/>
      <c r="W442" s="37"/>
      <c r="X442" s="37"/>
      <c r="Y442" s="37"/>
      <c r="Z442" s="37"/>
      <c r="AA442" s="37">
        <f t="shared" si="42"/>
        <v>0</v>
      </c>
      <c r="AB442" s="37">
        <f t="shared" si="38"/>
        <v>0</v>
      </c>
    </row>
    <row r="443" spans="1:28" ht="14.4">
      <c r="A443" s="117">
        <v>1140311302</v>
      </c>
      <c r="B443" s="117" t="s">
        <v>118</v>
      </c>
      <c r="C443" s="37">
        <f>+VLOOKUP(A443,Composición!C:G,5,FALSE)</f>
        <v>-2358763608</v>
      </c>
      <c r="D443" s="37"/>
      <c r="E443" s="37"/>
      <c r="F443" s="37">
        <f>+VLOOKUP(A443,Composición!C:J,8,FALSE)</f>
        <v>-2409845743</v>
      </c>
      <c r="G443" s="37">
        <f t="shared" si="40"/>
        <v>51082135</v>
      </c>
      <c r="H443" s="37"/>
      <c r="I443" s="37"/>
      <c r="J443" s="37"/>
      <c r="K443" s="12"/>
      <c r="L443" s="37"/>
      <c r="M443" s="37"/>
      <c r="N443" s="37"/>
      <c r="O443" s="12"/>
      <c r="P443" s="37"/>
      <c r="Q443" s="37"/>
      <c r="R443" s="37"/>
      <c r="S443" s="37"/>
      <c r="T443" s="37">
        <f>-G443</f>
        <v>-51082135</v>
      </c>
      <c r="U443" s="37"/>
      <c r="V443" s="37"/>
      <c r="W443" s="37"/>
      <c r="X443" s="37"/>
      <c r="Y443" s="37"/>
      <c r="Z443" s="37"/>
      <c r="AA443" s="37">
        <f t="shared" si="42"/>
        <v>0</v>
      </c>
      <c r="AB443" s="37">
        <f t="shared" si="38"/>
        <v>0</v>
      </c>
    </row>
    <row r="444" spans="1:28" ht="14.4">
      <c r="A444" s="1218">
        <v>1140311303</v>
      </c>
      <c r="B444" s="1218" t="s">
        <v>2706</v>
      </c>
      <c r="C444" s="37">
        <f>+VLOOKUP(A444,Composición!C:G,5,FALSE)</f>
        <v>-215547945</v>
      </c>
      <c r="D444" s="37"/>
      <c r="E444" s="37"/>
      <c r="F444" s="37">
        <f>+VLOOKUP(A444,Composición!C:J,8,FALSE)</f>
        <v>0</v>
      </c>
      <c r="G444" s="37">
        <f t="shared" ref="G444" si="44">C444+D444-E444-F444</f>
        <v>-215547945</v>
      </c>
      <c r="H444" s="37"/>
      <c r="I444" s="37"/>
      <c r="J444" s="37"/>
      <c r="K444" s="12"/>
      <c r="L444" s="37"/>
      <c r="M444" s="37"/>
      <c r="N444" s="37"/>
      <c r="O444" s="12"/>
      <c r="P444" s="37"/>
      <c r="Q444" s="37"/>
      <c r="R444" s="37"/>
      <c r="S444" s="37"/>
      <c r="T444" s="37">
        <f>-G444</f>
        <v>215547945</v>
      </c>
      <c r="U444" s="37"/>
      <c r="V444" s="37"/>
      <c r="W444" s="37"/>
      <c r="X444" s="37"/>
      <c r="Y444" s="37"/>
      <c r="Z444" s="37"/>
      <c r="AA444" s="37">
        <f t="shared" si="42"/>
        <v>0</v>
      </c>
      <c r="AB444" s="37">
        <f t="shared" si="38"/>
        <v>0</v>
      </c>
    </row>
    <row r="445" spans="1:28" ht="14.4">
      <c r="A445" s="117">
        <v>11403114</v>
      </c>
      <c r="B445" s="117" t="s">
        <v>798</v>
      </c>
      <c r="C445" s="37">
        <f>+VLOOKUP(A445,Composición!C:G,5,FALSE)</f>
        <v>0</v>
      </c>
      <c r="D445" s="37"/>
      <c r="E445" s="37"/>
      <c r="F445" s="37">
        <f>+VLOOKUP(A445,Composición!C:J,8,FALSE)</f>
        <v>0</v>
      </c>
      <c r="G445" s="37">
        <f t="shared" si="40"/>
        <v>0</v>
      </c>
      <c r="H445" s="37"/>
      <c r="I445" s="37"/>
      <c r="J445" s="37"/>
      <c r="K445" s="37"/>
      <c r="L445" s="37"/>
      <c r="M445" s="37"/>
      <c r="N445" s="37"/>
      <c r="O445" s="37"/>
      <c r="P445" s="37"/>
      <c r="Q445" s="37"/>
      <c r="R445" s="37"/>
      <c r="S445" s="37">
        <f>-G445</f>
        <v>0</v>
      </c>
      <c r="T445" s="37"/>
      <c r="U445" s="37"/>
      <c r="V445" s="37"/>
      <c r="W445" s="37"/>
      <c r="X445" s="37"/>
      <c r="Y445" s="37"/>
      <c r="Z445" s="37"/>
      <c r="AA445" s="37">
        <f t="shared" si="42"/>
        <v>0</v>
      </c>
      <c r="AB445" s="37">
        <f t="shared" si="38"/>
        <v>0</v>
      </c>
    </row>
    <row r="446" spans="1:28" ht="14.4">
      <c r="A446" s="117">
        <v>1140311401</v>
      </c>
      <c r="B446" s="117" t="s">
        <v>799</v>
      </c>
      <c r="C446" s="37">
        <f>+VLOOKUP(A446,Composición!C:G,5,FALSE)</f>
        <v>7157704</v>
      </c>
      <c r="D446" s="37"/>
      <c r="E446" s="37"/>
      <c r="F446" s="37">
        <f>+VLOOKUP(A446,Composición!C:J,8,FALSE)</f>
        <v>0</v>
      </c>
      <c r="G446" s="37">
        <f t="shared" si="40"/>
        <v>7157704</v>
      </c>
      <c r="H446" s="37"/>
      <c r="I446" s="37"/>
      <c r="J446" s="37"/>
      <c r="K446" s="37"/>
      <c r="L446" s="37"/>
      <c r="M446" s="37"/>
      <c r="N446" s="37"/>
      <c r="O446" s="37"/>
      <c r="P446" s="37"/>
      <c r="Q446" s="37"/>
      <c r="R446" s="37"/>
      <c r="S446" s="37">
        <f>-G446</f>
        <v>-7157704</v>
      </c>
      <c r="T446" s="37"/>
      <c r="U446" s="37"/>
      <c r="V446" s="37"/>
      <c r="W446" s="37"/>
      <c r="X446" s="37"/>
      <c r="Y446" s="37"/>
      <c r="Z446" s="37"/>
      <c r="AA446" s="37">
        <f t="shared" si="42"/>
        <v>0</v>
      </c>
      <c r="AB446" s="37">
        <f t="shared" ref="AB446:AB509" si="45">SUM(G446:Z446)</f>
        <v>0</v>
      </c>
    </row>
    <row r="447" spans="1:28" ht="14.4">
      <c r="A447" s="117">
        <v>1140311402</v>
      </c>
      <c r="B447" s="117" t="s">
        <v>120</v>
      </c>
      <c r="C447" s="37">
        <f>+VLOOKUP(A447,Composición!C:G,5,FALSE)</f>
        <v>23209662</v>
      </c>
      <c r="D447" s="37"/>
      <c r="E447" s="37"/>
      <c r="F447" s="37">
        <f>+VLOOKUP(A447,Composición!C:J,8,FALSE)</f>
        <v>22147761</v>
      </c>
      <c r="G447" s="37">
        <f t="shared" si="40"/>
        <v>1061901</v>
      </c>
      <c r="H447" s="37"/>
      <c r="I447" s="37"/>
      <c r="J447" s="37"/>
      <c r="K447" s="37"/>
      <c r="L447" s="37"/>
      <c r="M447" s="37"/>
      <c r="N447" s="37"/>
      <c r="O447" s="37"/>
      <c r="P447" s="37"/>
      <c r="Q447" s="37"/>
      <c r="R447" s="37"/>
      <c r="S447" s="37">
        <f>-G447</f>
        <v>-1061901</v>
      </c>
      <c r="T447" s="37"/>
      <c r="U447" s="37"/>
      <c r="V447" s="37"/>
      <c r="W447" s="37"/>
      <c r="X447" s="37"/>
      <c r="Y447" s="37"/>
      <c r="Z447" s="37"/>
      <c r="AA447" s="37">
        <f t="shared" si="42"/>
        <v>0</v>
      </c>
      <c r="AB447" s="37">
        <f t="shared" si="45"/>
        <v>0</v>
      </c>
    </row>
    <row r="448" spans="1:28" ht="14.4">
      <c r="A448" s="117">
        <v>1140311403</v>
      </c>
      <c r="B448" s="117" t="s">
        <v>800</v>
      </c>
      <c r="C448" s="37">
        <f>+VLOOKUP(A448,Composición!C:G,5,FALSE)</f>
        <v>0</v>
      </c>
      <c r="D448" s="37"/>
      <c r="E448" s="37"/>
      <c r="F448" s="37">
        <f>+VLOOKUP(A448,Composición!C:J,8,FALSE)</f>
        <v>0</v>
      </c>
      <c r="G448" s="37">
        <f t="shared" si="40"/>
        <v>0</v>
      </c>
      <c r="H448" s="37"/>
      <c r="I448" s="37"/>
      <c r="J448" s="37"/>
      <c r="K448" s="37"/>
      <c r="L448" s="37"/>
      <c r="M448" s="37"/>
      <c r="N448" s="37"/>
      <c r="O448" s="37"/>
      <c r="P448" s="37"/>
      <c r="Q448" s="37"/>
      <c r="R448" s="37"/>
      <c r="S448" s="37"/>
      <c r="T448" s="37">
        <f>-G448</f>
        <v>0</v>
      </c>
      <c r="U448" s="37"/>
      <c r="V448" s="37"/>
      <c r="W448" s="37"/>
      <c r="X448" s="37"/>
      <c r="Y448" s="37"/>
      <c r="Z448" s="37"/>
      <c r="AA448" s="37">
        <f t="shared" si="42"/>
        <v>0</v>
      </c>
      <c r="AB448" s="37">
        <f t="shared" si="45"/>
        <v>0</v>
      </c>
    </row>
    <row r="449" spans="1:28" ht="14.4">
      <c r="A449" s="117">
        <v>11403115</v>
      </c>
      <c r="B449" s="117" t="s">
        <v>121</v>
      </c>
      <c r="C449" s="37">
        <f>+VLOOKUP(A449,Composición!C:G,5,FALSE)</f>
        <v>0</v>
      </c>
      <c r="D449" s="37"/>
      <c r="E449" s="37"/>
      <c r="F449" s="37">
        <f>+VLOOKUP(A449,Composición!C:J,8,FALSE)</f>
        <v>0</v>
      </c>
      <c r="G449" s="37">
        <f t="shared" si="40"/>
        <v>0</v>
      </c>
      <c r="H449" s="37"/>
      <c r="I449" s="37"/>
      <c r="J449" s="37"/>
      <c r="K449" s="37"/>
      <c r="L449" s="37"/>
      <c r="M449" s="37"/>
      <c r="N449" s="37"/>
      <c r="O449" s="37"/>
      <c r="P449" s="37"/>
      <c r="Q449" s="37"/>
      <c r="R449" s="37"/>
      <c r="S449" s="37"/>
      <c r="T449" s="37"/>
      <c r="U449" s="37"/>
      <c r="V449" s="37"/>
      <c r="W449" s="37"/>
      <c r="X449" s="37"/>
      <c r="Y449" s="37"/>
      <c r="Z449" s="37"/>
      <c r="AA449" s="37">
        <f t="shared" si="42"/>
        <v>0</v>
      </c>
      <c r="AB449" s="37">
        <f t="shared" si="45"/>
        <v>0</v>
      </c>
    </row>
    <row r="450" spans="1:28" ht="14.4">
      <c r="A450" s="117">
        <v>1140311501</v>
      </c>
      <c r="B450" s="117" t="s">
        <v>801</v>
      </c>
      <c r="C450" s="37">
        <f>+VLOOKUP(A450,Composición!C:G,5,FALSE)</f>
        <v>0</v>
      </c>
      <c r="D450" s="37"/>
      <c r="E450" s="37"/>
      <c r="F450" s="37">
        <f>+VLOOKUP(A450,Composición!C:J,8,FALSE)</f>
        <v>0</v>
      </c>
      <c r="G450" s="37">
        <f t="shared" si="40"/>
        <v>0</v>
      </c>
      <c r="H450" s="37"/>
      <c r="I450" s="37"/>
      <c r="J450" s="37"/>
      <c r="K450" s="37"/>
      <c r="L450" s="37"/>
      <c r="M450" s="37"/>
      <c r="N450" s="37"/>
      <c r="O450" s="37"/>
      <c r="P450" s="37"/>
      <c r="Q450" s="37"/>
      <c r="R450" s="37"/>
      <c r="S450" s="37">
        <f>-G450</f>
        <v>0</v>
      </c>
      <c r="T450" s="37"/>
      <c r="U450" s="37"/>
      <c r="V450" s="37"/>
      <c r="W450" s="37"/>
      <c r="X450" s="37"/>
      <c r="Y450" s="37"/>
      <c r="Z450" s="37"/>
      <c r="AA450" s="37">
        <f t="shared" si="42"/>
        <v>0</v>
      </c>
      <c r="AB450" s="37">
        <f t="shared" si="45"/>
        <v>0</v>
      </c>
    </row>
    <row r="451" spans="1:28" ht="14.4">
      <c r="A451" s="990">
        <v>1140311502</v>
      </c>
      <c r="B451" s="990" t="s">
        <v>122</v>
      </c>
      <c r="C451" s="991">
        <f>-+VLOOKUP(A451,Composición!C:G,5,FALSE)</f>
        <v>0</v>
      </c>
      <c r="D451" s="991"/>
      <c r="E451" s="991"/>
      <c r="F451" s="991">
        <f>-+VLOOKUP(A451,Composición!C:J,8,FALSE)</f>
        <v>-1816</v>
      </c>
      <c r="G451" s="37">
        <f t="shared" si="40"/>
        <v>1816</v>
      </c>
      <c r="H451" s="37"/>
      <c r="I451" s="37"/>
      <c r="J451" s="37"/>
      <c r="K451" s="37"/>
      <c r="L451" s="37"/>
      <c r="M451" s="37"/>
      <c r="N451" s="37"/>
      <c r="O451" s="37"/>
      <c r="P451" s="37"/>
      <c r="Q451" s="37"/>
      <c r="R451" s="37"/>
      <c r="S451" s="37">
        <f>-G451</f>
        <v>-1816</v>
      </c>
      <c r="T451" s="37"/>
      <c r="U451" s="37"/>
      <c r="V451" s="37"/>
      <c r="W451" s="37"/>
      <c r="X451" s="37"/>
      <c r="Y451" s="37"/>
      <c r="Z451" s="37"/>
      <c r="AA451" s="37">
        <f t="shared" si="42"/>
        <v>0</v>
      </c>
      <c r="AB451" s="37">
        <f t="shared" si="45"/>
        <v>0</v>
      </c>
    </row>
    <row r="452" spans="1:28" ht="14.4">
      <c r="A452" s="117">
        <v>1140312</v>
      </c>
      <c r="B452" s="117" t="s">
        <v>123</v>
      </c>
      <c r="C452" s="37">
        <f>+VLOOKUP(A452,Composición!C:G,5,FALSE)</f>
        <v>0</v>
      </c>
      <c r="D452" s="37"/>
      <c r="E452" s="37"/>
      <c r="F452" s="37">
        <f>+VLOOKUP(A452,Composición!C:J,8,FALSE)</f>
        <v>0</v>
      </c>
      <c r="G452" s="37">
        <f t="shared" si="40"/>
        <v>0</v>
      </c>
      <c r="H452" s="37"/>
      <c r="I452" s="37"/>
      <c r="J452" s="37"/>
      <c r="K452" s="37"/>
      <c r="L452" s="37"/>
      <c r="M452" s="37"/>
      <c r="N452" s="37"/>
      <c r="O452" s="37"/>
      <c r="P452" s="37"/>
      <c r="Q452" s="37"/>
      <c r="R452" s="37"/>
      <c r="S452" s="37"/>
      <c r="T452" s="37"/>
      <c r="U452" s="37"/>
      <c r="V452" s="37"/>
      <c r="W452" s="37"/>
      <c r="X452" s="37"/>
      <c r="Y452" s="37"/>
      <c r="Z452" s="37"/>
      <c r="AA452" s="37">
        <f t="shared" si="42"/>
        <v>0</v>
      </c>
      <c r="AB452" s="37">
        <f t="shared" si="45"/>
        <v>0</v>
      </c>
    </row>
    <row r="453" spans="1:28" ht="14.4">
      <c r="A453" s="117">
        <v>11403121</v>
      </c>
      <c r="B453" s="117" t="s">
        <v>123</v>
      </c>
      <c r="C453" s="37">
        <f>+VLOOKUP(A453,Composición!C:G,5,FALSE)</f>
        <v>0</v>
      </c>
      <c r="D453" s="37"/>
      <c r="E453" s="37"/>
      <c r="F453" s="37">
        <f>+VLOOKUP(A453,Composición!C:J,8,FALSE)</f>
        <v>0</v>
      </c>
      <c r="G453" s="37">
        <f t="shared" si="40"/>
        <v>0</v>
      </c>
      <c r="H453" s="37"/>
      <c r="I453" s="37"/>
      <c r="J453" s="37"/>
      <c r="K453" s="37"/>
      <c r="L453" s="37"/>
      <c r="M453" s="37"/>
      <c r="N453" s="37"/>
      <c r="O453" s="37"/>
      <c r="P453" s="37"/>
      <c r="Q453" s="37"/>
      <c r="R453" s="37"/>
      <c r="S453" s="37"/>
      <c r="T453" s="37"/>
      <c r="U453" s="37"/>
      <c r="V453" s="37"/>
      <c r="W453" s="37"/>
      <c r="X453" s="37"/>
      <c r="Y453" s="37"/>
      <c r="Z453" s="37"/>
      <c r="AA453" s="37">
        <f t="shared" si="42"/>
        <v>0</v>
      </c>
      <c r="AB453" s="37">
        <f t="shared" si="45"/>
        <v>0</v>
      </c>
    </row>
    <row r="454" spans="1:28" ht="14.4">
      <c r="A454" s="117">
        <v>1140312101</v>
      </c>
      <c r="B454" s="117" t="s">
        <v>57</v>
      </c>
      <c r="C454" s="37">
        <f>+VLOOKUP(A454,Composición!C:G,5,FALSE)</f>
        <v>0</v>
      </c>
      <c r="D454" s="37"/>
      <c r="E454" s="37"/>
      <c r="F454" s="37">
        <f>+VLOOKUP(A454,Composición!C:J,8,FALSE)</f>
        <v>0</v>
      </c>
      <c r="G454" s="37">
        <f t="shared" si="40"/>
        <v>0</v>
      </c>
      <c r="H454" s="37"/>
      <c r="I454" s="37"/>
      <c r="J454" s="37"/>
      <c r="K454" s="37"/>
      <c r="L454" s="37"/>
      <c r="M454" s="37"/>
      <c r="N454" s="37"/>
      <c r="O454" s="37"/>
      <c r="P454" s="37"/>
      <c r="Q454" s="37"/>
      <c r="R454" s="37"/>
      <c r="S454" s="37"/>
      <c r="T454" s="37"/>
      <c r="U454" s="37"/>
      <c r="V454" s="37"/>
      <c r="W454" s="37"/>
      <c r="X454" s="37"/>
      <c r="Y454" s="37"/>
      <c r="Z454" s="37"/>
      <c r="AA454" s="37">
        <f t="shared" si="42"/>
        <v>0</v>
      </c>
      <c r="AB454" s="37">
        <f t="shared" si="45"/>
        <v>0</v>
      </c>
    </row>
    <row r="455" spans="1:28" ht="14.4">
      <c r="A455" s="117">
        <v>1140312102</v>
      </c>
      <c r="B455" s="117" t="s">
        <v>254</v>
      </c>
      <c r="C455" s="37">
        <f>+VLOOKUP(A455,Composición!C:G,5,FALSE)</f>
        <v>0</v>
      </c>
      <c r="D455" s="37"/>
      <c r="E455" s="37"/>
      <c r="F455" s="37">
        <f>+VLOOKUP(A455,Composición!C:J,8,FALSE)</f>
        <v>0</v>
      </c>
      <c r="G455" s="37">
        <f t="shared" si="40"/>
        <v>0</v>
      </c>
      <c r="H455" s="37"/>
      <c r="I455" s="37"/>
      <c r="J455" s="37"/>
      <c r="K455" s="37"/>
      <c r="L455" s="37"/>
      <c r="M455" s="37"/>
      <c r="N455" s="37"/>
      <c r="O455" s="37"/>
      <c r="P455" s="37"/>
      <c r="Q455" s="37"/>
      <c r="R455" s="37"/>
      <c r="S455" s="37"/>
      <c r="T455" s="37"/>
      <c r="U455" s="37"/>
      <c r="V455" s="37"/>
      <c r="W455" s="37"/>
      <c r="X455" s="37"/>
      <c r="Y455" s="37"/>
      <c r="Z455" s="37"/>
      <c r="AA455" s="37">
        <f t="shared" si="42"/>
        <v>0</v>
      </c>
      <c r="AB455" s="37">
        <f t="shared" si="45"/>
        <v>0</v>
      </c>
    </row>
    <row r="456" spans="1:28" ht="14.4">
      <c r="A456" s="117">
        <v>1140312103</v>
      </c>
      <c r="B456" s="117" t="s">
        <v>256</v>
      </c>
      <c r="C456" s="37">
        <f>+VLOOKUP(A456,Composición!C:G,5,FALSE)</f>
        <v>0</v>
      </c>
      <c r="D456" s="37"/>
      <c r="E456" s="37"/>
      <c r="F456" s="37">
        <f>+VLOOKUP(A456,Composición!C:J,8,FALSE)</f>
        <v>0</v>
      </c>
      <c r="G456" s="37">
        <f t="shared" si="40"/>
        <v>0</v>
      </c>
      <c r="H456" s="37"/>
      <c r="I456" s="37"/>
      <c r="J456" s="37"/>
      <c r="K456" s="37"/>
      <c r="L456" s="37"/>
      <c r="M456" s="37"/>
      <c r="N456" s="37"/>
      <c r="O456" s="37"/>
      <c r="P456" s="37"/>
      <c r="Q456" s="37"/>
      <c r="R456" s="37"/>
      <c r="S456" s="37"/>
      <c r="T456" s="37"/>
      <c r="U456" s="37"/>
      <c r="V456" s="37"/>
      <c r="W456" s="37"/>
      <c r="X456" s="37"/>
      <c r="Y456" s="37"/>
      <c r="Z456" s="37"/>
      <c r="AA456" s="37">
        <f t="shared" si="42"/>
        <v>0</v>
      </c>
      <c r="AB456" s="37">
        <f t="shared" si="45"/>
        <v>0</v>
      </c>
    </row>
    <row r="457" spans="1:28" ht="14.4">
      <c r="A457" s="117">
        <v>1140312104</v>
      </c>
      <c r="B457" s="117" t="s">
        <v>258</v>
      </c>
      <c r="C457" s="37">
        <f>+VLOOKUP(A457,Composición!C:G,5,FALSE)</f>
        <v>0</v>
      </c>
      <c r="D457" s="37"/>
      <c r="E457" s="37"/>
      <c r="F457" s="37">
        <f>+VLOOKUP(A457,Composición!C:J,8,FALSE)</f>
        <v>0</v>
      </c>
      <c r="G457" s="37">
        <f t="shared" si="40"/>
        <v>0</v>
      </c>
      <c r="H457" s="37"/>
      <c r="I457" s="37"/>
      <c r="J457" s="37"/>
      <c r="K457" s="37"/>
      <c r="L457" s="37"/>
      <c r="M457" s="37"/>
      <c r="N457" s="37"/>
      <c r="O457" s="37"/>
      <c r="P457" s="37"/>
      <c r="Q457" s="37"/>
      <c r="R457" s="37"/>
      <c r="S457" s="37"/>
      <c r="T457" s="37"/>
      <c r="U457" s="37"/>
      <c r="V457" s="37"/>
      <c r="W457" s="37"/>
      <c r="X457" s="37"/>
      <c r="Y457" s="37"/>
      <c r="Z457" s="37"/>
      <c r="AA457" s="37">
        <f t="shared" si="42"/>
        <v>0</v>
      </c>
      <c r="AB457" s="37">
        <f t="shared" si="45"/>
        <v>0</v>
      </c>
    </row>
    <row r="458" spans="1:28" ht="14.4">
      <c r="A458" s="117">
        <v>1140312105</v>
      </c>
      <c r="B458" s="117" t="s">
        <v>59</v>
      </c>
      <c r="C458" s="37">
        <f>+VLOOKUP(A458,Composición!C:G,5,FALSE)</f>
        <v>0</v>
      </c>
      <c r="D458" s="37"/>
      <c r="E458" s="37"/>
      <c r="F458" s="37">
        <f>+VLOOKUP(A458,Composición!C:J,8,FALSE)</f>
        <v>0</v>
      </c>
      <c r="G458" s="37">
        <f t="shared" si="40"/>
        <v>0</v>
      </c>
      <c r="H458" s="37"/>
      <c r="I458" s="37"/>
      <c r="J458" s="37"/>
      <c r="K458" s="37"/>
      <c r="L458" s="37"/>
      <c r="M458" s="37"/>
      <c r="N458" s="37"/>
      <c r="O458" s="37"/>
      <c r="P458" s="37"/>
      <c r="Q458" s="37"/>
      <c r="R458" s="37"/>
      <c r="S458" s="37"/>
      <c r="T458" s="37"/>
      <c r="U458" s="37"/>
      <c r="V458" s="37"/>
      <c r="W458" s="37"/>
      <c r="X458" s="37"/>
      <c r="Y458" s="37"/>
      <c r="Z458" s="37"/>
      <c r="AA458" s="37">
        <f t="shared" si="42"/>
        <v>0</v>
      </c>
      <c r="AB458" s="37">
        <f t="shared" si="45"/>
        <v>0</v>
      </c>
    </row>
    <row r="459" spans="1:28" ht="14.4">
      <c r="A459" s="117">
        <v>1140312106</v>
      </c>
      <c r="B459" s="117" t="s">
        <v>60</v>
      </c>
      <c r="C459" s="37">
        <f>+VLOOKUP(A459,Composición!C:G,5,FALSE)</f>
        <v>0</v>
      </c>
      <c r="D459" s="37"/>
      <c r="E459" s="37"/>
      <c r="F459" s="37">
        <f>+VLOOKUP(A459,Composición!C:J,8,FALSE)</f>
        <v>0</v>
      </c>
      <c r="G459" s="37">
        <f t="shared" si="40"/>
        <v>0</v>
      </c>
      <c r="H459" s="37"/>
      <c r="I459" s="37"/>
      <c r="J459" s="37"/>
      <c r="K459" s="37"/>
      <c r="L459" s="37"/>
      <c r="M459" s="37"/>
      <c r="N459" s="37"/>
      <c r="O459" s="37"/>
      <c r="P459" s="37"/>
      <c r="Q459" s="37"/>
      <c r="R459" s="37"/>
      <c r="S459" s="37"/>
      <c r="T459" s="37"/>
      <c r="U459" s="37"/>
      <c r="V459" s="37"/>
      <c r="W459" s="37"/>
      <c r="X459" s="37"/>
      <c r="Y459" s="37"/>
      <c r="Z459" s="37"/>
      <c r="AA459" s="37">
        <f t="shared" si="42"/>
        <v>0</v>
      </c>
      <c r="AB459" s="37">
        <f t="shared" si="45"/>
        <v>0</v>
      </c>
    </row>
    <row r="460" spans="1:28" ht="14.4">
      <c r="A460" s="117">
        <v>1140312107</v>
      </c>
      <c r="B460" s="117" t="s">
        <v>63</v>
      </c>
      <c r="C460" s="37">
        <f>+VLOOKUP(A460,Composición!C:G,5,FALSE)</f>
        <v>0</v>
      </c>
      <c r="D460" s="37"/>
      <c r="E460" s="37"/>
      <c r="F460" s="37">
        <f>+VLOOKUP(A460,Composición!C:J,8,FALSE)</f>
        <v>0</v>
      </c>
      <c r="G460" s="37">
        <f t="shared" si="40"/>
        <v>0</v>
      </c>
      <c r="H460" s="37"/>
      <c r="I460" s="37"/>
      <c r="J460" s="37"/>
      <c r="K460" s="37"/>
      <c r="L460" s="37"/>
      <c r="M460" s="37"/>
      <c r="N460" s="37"/>
      <c r="O460" s="37"/>
      <c r="P460" s="37"/>
      <c r="Q460" s="37"/>
      <c r="R460" s="37"/>
      <c r="S460" s="37"/>
      <c r="T460" s="37"/>
      <c r="U460" s="37"/>
      <c r="V460" s="37"/>
      <c r="W460" s="37"/>
      <c r="X460" s="37"/>
      <c r="Y460" s="37"/>
      <c r="Z460" s="37"/>
      <c r="AA460" s="37">
        <f t="shared" si="42"/>
        <v>0</v>
      </c>
      <c r="AB460" s="37">
        <f t="shared" si="45"/>
        <v>0</v>
      </c>
    </row>
    <row r="461" spans="1:28" ht="14.4">
      <c r="A461" s="117">
        <v>1140312108</v>
      </c>
      <c r="B461" s="117" t="s">
        <v>64</v>
      </c>
      <c r="C461" s="37">
        <f>+VLOOKUP(A461,Composición!C:G,5,FALSE)</f>
        <v>0</v>
      </c>
      <c r="D461" s="37"/>
      <c r="E461" s="37"/>
      <c r="F461" s="37">
        <f>+VLOOKUP(A461,Composición!C:J,8,FALSE)</f>
        <v>0</v>
      </c>
      <c r="G461" s="37">
        <f t="shared" si="40"/>
        <v>0</v>
      </c>
      <c r="H461" s="37"/>
      <c r="I461" s="37"/>
      <c r="J461" s="37"/>
      <c r="K461" s="37"/>
      <c r="L461" s="37"/>
      <c r="M461" s="37"/>
      <c r="N461" s="37"/>
      <c r="O461" s="37"/>
      <c r="P461" s="37"/>
      <c r="Q461" s="37"/>
      <c r="R461" s="37"/>
      <c r="S461" s="37"/>
      <c r="T461" s="37"/>
      <c r="U461" s="37"/>
      <c r="V461" s="37"/>
      <c r="W461" s="37"/>
      <c r="X461" s="37"/>
      <c r="Y461" s="37"/>
      <c r="Z461" s="37"/>
      <c r="AA461" s="37">
        <f t="shared" si="42"/>
        <v>0</v>
      </c>
      <c r="AB461" s="37">
        <f t="shared" si="45"/>
        <v>0</v>
      </c>
    </row>
    <row r="462" spans="1:28" ht="14.4">
      <c r="A462" s="117">
        <v>1140312109</v>
      </c>
      <c r="B462" s="117" t="s">
        <v>66</v>
      </c>
      <c r="C462" s="37">
        <f>+VLOOKUP(A462,Composición!C:G,5,FALSE)</f>
        <v>0</v>
      </c>
      <c r="D462" s="37"/>
      <c r="E462" s="37"/>
      <c r="F462" s="37">
        <f>+VLOOKUP(A462,Composición!C:J,8,FALSE)</f>
        <v>0</v>
      </c>
      <c r="G462" s="37">
        <f t="shared" si="40"/>
        <v>0</v>
      </c>
      <c r="H462" s="37"/>
      <c r="I462" s="37"/>
      <c r="J462" s="37"/>
      <c r="K462" s="37"/>
      <c r="L462" s="37"/>
      <c r="M462" s="37"/>
      <c r="N462" s="37"/>
      <c r="O462" s="37"/>
      <c r="P462" s="37"/>
      <c r="Q462" s="37"/>
      <c r="R462" s="37"/>
      <c r="S462" s="37"/>
      <c r="T462" s="37"/>
      <c r="U462" s="37"/>
      <c r="V462" s="37"/>
      <c r="W462" s="37"/>
      <c r="X462" s="37"/>
      <c r="Y462" s="37"/>
      <c r="Z462" s="37"/>
      <c r="AA462" s="37">
        <f t="shared" si="42"/>
        <v>0</v>
      </c>
      <c r="AB462" s="37">
        <f t="shared" si="45"/>
        <v>0</v>
      </c>
    </row>
    <row r="463" spans="1:28" ht="14.4">
      <c r="A463" s="117">
        <v>1140312110</v>
      </c>
      <c r="B463" s="117" t="s">
        <v>690</v>
      </c>
      <c r="C463" s="37">
        <f>+VLOOKUP(A463,Composición!C:G,5,FALSE)</f>
        <v>0</v>
      </c>
      <c r="D463" s="37"/>
      <c r="E463" s="37"/>
      <c r="F463" s="37">
        <f>+VLOOKUP(A463,Composición!C:J,8,FALSE)</f>
        <v>0</v>
      </c>
      <c r="G463" s="37">
        <f t="shared" si="40"/>
        <v>0</v>
      </c>
      <c r="H463" s="37"/>
      <c r="I463" s="37"/>
      <c r="J463" s="37"/>
      <c r="K463" s="37"/>
      <c r="L463" s="37"/>
      <c r="M463" s="37"/>
      <c r="N463" s="37"/>
      <c r="O463" s="37"/>
      <c r="P463" s="37"/>
      <c r="Q463" s="37"/>
      <c r="R463" s="37"/>
      <c r="S463" s="37"/>
      <c r="T463" s="37"/>
      <c r="U463" s="37"/>
      <c r="V463" s="37"/>
      <c r="W463" s="37"/>
      <c r="X463" s="37"/>
      <c r="Y463" s="37"/>
      <c r="Z463" s="37"/>
      <c r="AA463" s="37">
        <f t="shared" si="42"/>
        <v>0</v>
      </c>
      <c r="AB463" s="37">
        <f t="shared" si="45"/>
        <v>0</v>
      </c>
    </row>
    <row r="464" spans="1:28" ht="14.4">
      <c r="A464" s="117">
        <v>1140312111</v>
      </c>
      <c r="B464" s="117" t="s">
        <v>692</v>
      </c>
      <c r="C464" s="37">
        <f>+VLOOKUP(A464,Composición!C:G,5,FALSE)</f>
        <v>0</v>
      </c>
      <c r="D464" s="37"/>
      <c r="E464" s="37"/>
      <c r="F464" s="37">
        <f>+VLOOKUP(A464,Composición!C:J,8,FALSE)</f>
        <v>0</v>
      </c>
      <c r="G464" s="37">
        <f t="shared" si="40"/>
        <v>0</v>
      </c>
      <c r="H464" s="37"/>
      <c r="I464" s="37"/>
      <c r="J464" s="37"/>
      <c r="K464" s="37"/>
      <c r="L464" s="37"/>
      <c r="M464" s="37"/>
      <c r="N464" s="37"/>
      <c r="O464" s="37"/>
      <c r="P464" s="37"/>
      <c r="Q464" s="37"/>
      <c r="R464" s="37"/>
      <c r="S464" s="37"/>
      <c r="T464" s="37"/>
      <c r="U464" s="37"/>
      <c r="V464" s="37"/>
      <c r="W464" s="37"/>
      <c r="X464" s="37"/>
      <c r="Y464" s="37"/>
      <c r="Z464" s="37"/>
      <c r="AA464" s="37">
        <f t="shared" si="42"/>
        <v>0</v>
      </c>
      <c r="AB464" s="37">
        <f t="shared" si="45"/>
        <v>0</v>
      </c>
    </row>
    <row r="465" spans="1:28" ht="14.4">
      <c r="A465" s="117">
        <v>1140312112</v>
      </c>
      <c r="B465" s="117" t="s">
        <v>693</v>
      </c>
      <c r="C465" s="37">
        <f>+VLOOKUP(A465,Composición!C:G,5,FALSE)</f>
        <v>0</v>
      </c>
      <c r="D465" s="37"/>
      <c r="E465" s="37"/>
      <c r="F465" s="37">
        <f>+VLOOKUP(A465,Composición!C:J,8,FALSE)</f>
        <v>0</v>
      </c>
      <c r="G465" s="37">
        <f t="shared" si="40"/>
        <v>0</v>
      </c>
      <c r="H465" s="37"/>
      <c r="I465" s="37"/>
      <c r="J465" s="37"/>
      <c r="K465" s="37"/>
      <c r="L465" s="37"/>
      <c r="M465" s="37"/>
      <c r="N465" s="37"/>
      <c r="O465" s="37"/>
      <c r="P465" s="37"/>
      <c r="Q465" s="37"/>
      <c r="R465" s="37"/>
      <c r="S465" s="37"/>
      <c r="T465" s="37"/>
      <c r="U465" s="37"/>
      <c r="V465" s="37"/>
      <c r="W465" s="37"/>
      <c r="X465" s="37"/>
      <c r="Y465" s="37"/>
      <c r="Z465" s="37"/>
      <c r="AA465" s="37">
        <f t="shared" si="42"/>
        <v>0</v>
      </c>
      <c r="AB465" s="37">
        <f t="shared" si="45"/>
        <v>0</v>
      </c>
    </row>
    <row r="466" spans="1:28" ht="14.4">
      <c r="A466" s="117">
        <v>1140312113</v>
      </c>
      <c r="B466" s="117" t="s">
        <v>803</v>
      </c>
      <c r="C466" s="37">
        <f>+VLOOKUP(A466,Composición!C:G,5,FALSE)</f>
        <v>0</v>
      </c>
      <c r="D466" s="37"/>
      <c r="E466" s="37"/>
      <c r="F466" s="37">
        <f>+VLOOKUP(A466,Composición!C:J,8,FALSE)</f>
        <v>0</v>
      </c>
      <c r="G466" s="37">
        <f t="shared" si="40"/>
        <v>0</v>
      </c>
      <c r="H466" s="37"/>
      <c r="I466" s="37"/>
      <c r="J466" s="37"/>
      <c r="K466" s="37"/>
      <c r="L466" s="37"/>
      <c r="M466" s="37"/>
      <c r="N466" s="37"/>
      <c r="O466" s="37"/>
      <c r="P466" s="37"/>
      <c r="Q466" s="37"/>
      <c r="R466" s="37"/>
      <c r="S466" s="37"/>
      <c r="T466" s="37"/>
      <c r="U466" s="37"/>
      <c r="V466" s="37"/>
      <c r="W466" s="37"/>
      <c r="X466" s="37"/>
      <c r="Y466" s="37"/>
      <c r="Z466" s="37"/>
      <c r="AA466" s="37">
        <f t="shared" si="42"/>
        <v>0</v>
      </c>
      <c r="AB466" s="37">
        <f t="shared" si="45"/>
        <v>0</v>
      </c>
    </row>
    <row r="467" spans="1:28" ht="14.4">
      <c r="A467" s="117">
        <v>1140312114</v>
      </c>
      <c r="B467" s="117" t="s">
        <v>254</v>
      </c>
      <c r="C467" s="37">
        <f>+VLOOKUP(A467,Composición!C:G,5,FALSE)</f>
        <v>0</v>
      </c>
      <c r="D467" s="37"/>
      <c r="E467" s="37"/>
      <c r="F467" s="37">
        <f>+VLOOKUP(A467,Composición!C:J,8,FALSE)</f>
        <v>0</v>
      </c>
      <c r="G467" s="37">
        <f t="shared" si="40"/>
        <v>0</v>
      </c>
      <c r="H467" s="37"/>
      <c r="I467" s="37"/>
      <c r="J467" s="37"/>
      <c r="K467" s="37"/>
      <c r="L467" s="37"/>
      <c r="M467" s="37"/>
      <c r="N467" s="37"/>
      <c r="O467" s="37"/>
      <c r="P467" s="37"/>
      <c r="Q467" s="37"/>
      <c r="R467" s="37"/>
      <c r="S467" s="37"/>
      <c r="T467" s="37"/>
      <c r="U467" s="37"/>
      <c r="V467" s="37"/>
      <c r="W467" s="37"/>
      <c r="X467" s="37"/>
      <c r="Y467" s="37"/>
      <c r="Z467" s="37"/>
      <c r="AA467" s="37">
        <f t="shared" si="42"/>
        <v>0</v>
      </c>
      <c r="AB467" s="37">
        <f t="shared" si="45"/>
        <v>0</v>
      </c>
    </row>
    <row r="468" spans="1:28" ht="14.4">
      <c r="A468" s="117">
        <v>1140312115</v>
      </c>
      <c r="B468" s="117" t="s">
        <v>256</v>
      </c>
      <c r="C468" s="37">
        <f>+VLOOKUP(A468,Composición!C:G,5,FALSE)</f>
        <v>0</v>
      </c>
      <c r="D468" s="37"/>
      <c r="E468" s="37"/>
      <c r="F468" s="37">
        <f>+VLOOKUP(A468,Composición!C:J,8,FALSE)</f>
        <v>0</v>
      </c>
      <c r="G468" s="37">
        <f t="shared" si="40"/>
        <v>0</v>
      </c>
      <c r="H468" s="37"/>
      <c r="I468" s="37"/>
      <c r="J468" s="37"/>
      <c r="K468" s="37"/>
      <c r="L468" s="37"/>
      <c r="M468" s="37"/>
      <c r="N468" s="37"/>
      <c r="O468" s="37"/>
      <c r="P468" s="37"/>
      <c r="Q468" s="37"/>
      <c r="R468" s="37"/>
      <c r="S468" s="37"/>
      <c r="T468" s="37"/>
      <c r="U468" s="37"/>
      <c r="V468" s="37"/>
      <c r="W468" s="37"/>
      <c r="X468" s="37"/>
      <c r="Y468" s="37"/>
      <c r="Z468" s="37"/>
      <c r="AA468" s="37">
        <f t="shared" si="42"/>
        <v>0</v>
      </c>
      <c r="AB468" s="37">
        <f t="shared" si="45"/>
        <v>0</v>
      </c>
    </row>
    <row r="469" spans="1:28" ht="14.4">
      <c r="A469" s="117">
        <v>1140312116</v>
      </c>
      <c r="B469" s="117" t="s">
        <v>258</v>
      </c>
      <c r="C469" s="37">
        <f>+VLOOKUP(A469,Composición!C:G,5,FALSE)</f>
        <v>0</v>
      </c>
      <c r="D469" s="37"/>
      <c r="E469" s="37"/>
      <c r="F469" s="37">
        <f>+VLOOKUP(A469,Composición!C:J,8,FALSE)</f>
        <v>0</v>
      </c>
      <c r="G469" s="37">
        <f t="shared" si="40"/>
        <v>0</v>
      </c>
      <c r="H469" s="37"/>
      <c r="I469" s="37"/>
      <c r="J469" s="37"/>
      <c r="K469" s="37"/>
      <c r="L469" s="37"/>
      <c r="M469" s="37"/>
      <c r="N469" s="37"/>
      <c r="O469" s="37"/>
      <c r="P469" s="37"/>
      <c r="Q469" s="37"/>
      <c r="R469" s="37"/>
      <c r="S469" s="37"/>
      <c r="T469" s="37"/>
      <c r="U469" s="37"/>
      <c r="V469" s="37"/>
      <c r="W469" s="37"/>
      <c r="X469" s="37"/>
      <c r="Y469" s="37"/>
      <c r="Z469" s="37"/>
      <c r="AA469" s="37">
        <f t="shared" si="42"/>
        <v>0</v>
      </c>
      <c r="AB469" s="37">
        <f t="shared" si="45"/>
        <v>0</v>
      </c>
    </row>
    <row r="470" spans="1:28" ht="14.4">
      <c r="A470" s="117">
        <v>1140312117</v>
      </c>
      <c r="B470" s="117" t="s">
        <v>271</v>
      </c>
      <c r="C470" s="37">
        <f>+VLOOKUP(A470,Composición!C:G,5,FALSE)</f>
        <v>0</v>
      </c>
      <c r="D470" s="37"/>
      <c r="E470" s="37"/>
      <c r="F470" s="37">
        <f>+VLOOKUP(A470,Composición!C:J,8,FALSE)</f>
        <v>0</v>
      </c>
      <c r="G470" s="37">
        <f t="shared" si="40"/>
        <v>0</v>
      </c>
      <c r="H470" s="37"/>
      <c r="I470" s="37"/>
      <c r="J470" s="37"/>
      <c r="K470" s="37"/>
      <c r="L470" s="37"/>
      <c r="M470" s="37"/>
      <c r="N470" s="37"/>
      <c r="O470" s="37"/>
      <c r="P470" s="37"/>
      <c r="Q470" s="37"/>
      <c r="R470" s="37"/>
      <c r="S470" s="37"/>
      <c r="T470" s="37"/>
      <c r="U470" s="37"/>
      <c r="V470" s="37"/>
      <c r="W470" s="37"/>
      <c r="X470" s="37"/>
      <c r="Y470" s="37"/>
      <c r="Z470" s="37"/>
      <c r="AA470" s="37">
        <f t="shared" si="42"/>
        <v>0</v>
      </c>
      <c r="AB470" s="37">
        <f t="shared" si="45"/>
        <v>0</v>
      </c>
    </row>
    <row r="471" spans="1:28" ht="14.4">
      <c r="A471" s="117">
        <v>1140312118</v>
      </c>
      <c r="B471" s="117" t="s">
        <v>274</v>
      </c>
      <c r="C471" s="37">
        <f>+VLOOKUP(A471,Composición!C:G,5,FALSE)</f>
        <v>0</v>
      </c>
      <c r="D471" s="37"/>
      <c r="E471" s="37"/>
      <c r="F471" s="37">
        <f>+VLOOKUP(A471,Composición!C:J,8,FALSE)</f>
        <v>0</v>
      </c>
      <c r="G471" s="37">
        <f t="shared" si="40"/>
        <v>0</v>
      </c>
      <c r="H471" s="37"/>
      <c r="I471" s="37"/>
      <c r="J471" s="37"/>
      <c r="K471" s="37"/>
      <c r="L471" s="37"/>
      <c r="M471" s="37"/>
      <c r="N471" s="37"/>
      <c r="O471" s="37"/>
      <c r="P471" s="37"/>
      <c r="Q471" s="37"/>
      <c r="R471" s="37"/>
      <c r="S471" s="37"/>
      <c r="T471" s="37"/>
      <c r="U471" s="37"/>
      <c r="V471" s="37"/>
      <c r="W471" s="37"/>
      <c r="X471" s="37"/>
      <c r="Y471" s="37"/>
      <c r="Z471" s="37"/>
      <c r="AA471" s="37">
        <f t="shared" si="42"/>
        <v>0</v>
      </c>
      <c r="AB471" s="37">
        <f t="shared" si="45"/>
        <v>0</v>
      </c>
    </row>
    <row r="472" spans="1:28" ht="14.4">
      <c r="A472" s="836">
        <v>1140312119</v>
      </c>
      <c r="B472" s="836" t="s">
        <v>63</v>
      </c>
      <c r="C472" s="37">
        <f>+VLOOKUP(A472,Composición!C:G,5,FALSE)</f>
        <v>0</v>
      </c>
      <c r="D472" s="37"/>
      <c r="E472" s="37"/>
      <c r="F472" s="37">
        <f>+VLOOKUP(A472,Composición!C:J,8,FALSE)</f>
        <v>2002394670</v>
      </c>
      <c r="G472" s="37">
        <f t="shared" si="40"/>
        <v>-2002394670</v>
      </c>
      <c r="H472" s="37"/>
      <c r="I472" s="37"/>
      <c r="J472" s="37"/>
      <c r="K472" s="37"/>
      <c r="L472" s="37"/>
      <c r="M472" s="37"/>
      <c r="N472" s="37"/>
      <c r="O472" s="37"/>
      <c r="P472" s="37"/>
      <c r="Q472" s="37"/>
      <c r="R472" s="37"/>
      <c r="S472" s="37">
        <f>-G472</f>
        <v>2002394670</v>
      </c>
      <c r="T472" s="37"/>
      <c r="U472" s="37"/>
      <c r="V472" s="37"/>
      <c r="W472" s="37"/>
      <c r="X472" s="37"/>
      <c r="Y472" s="37"/>
      <c r="Z472" s="37"/>
      <c r="AA472" s="37">
        <f t="shared" si="42"/>
        <v>0</v>
      </c>
      <c r="AB472" s="37">
        <f t="shared" si="45"/>
        <v>0</v>
      </c>
    </row>
    <row r="473" spans="1:28" ht="14.4">
      <c r="A473" s="117">
        <v>1140312120</v>
      </c>
      <c r="B473" s="117" t="s">
        <v>64</v>
      </c>
      <c r="C473" s="37">
        <f>+VLOOKUP(A473,Composición!C:G,5,FALSE)</f>
        <v>0</v>
      </c>
      <c r="D473" s="37"/>
      <c r="E473" s="37"/>
      <c r="F473" s="37">
        <f>+VLOOKUP(A473,Composición!C:J,8,FALSE)</f>
        <v>0</v>
      </c>
      <c r="G473" s="37">
        <f t="shared" si="40"/>
        <v>0</v>
      </c>
      <c r="H473" s="37"/>
      <c r="I473" s="37"/>
      <c r="J473" s="37"/>
      <c r="K473" s="37"/>
      <c r="L473" s="37"/>
      <c r="M473" s="37"/>
      <c r="N473" s="37"/>
      <c r="O473" s="37"/>
      <c r="P473" s="37"/>
      <c r="Q473" s="37"/>
      <c r="R473" s="37"/>
      <c r="S473" s="37"/>
      <c r="T473" s="37"/>
      <c r="U473" s="37"/>
      <c r="V473" s="37"/>
      <c r="W473" s="37"/>
      <c r="X473" s="37"/>
      <c r="Y473" s="37"/>
      <c r="Z473" s="37"/>
      <c r="AA473" s="37">
        <f t="shared" si="42"/>
        <v>0</v>
      </c>
      <c r="AB473" s="37">
        <f t="shared" si="45"/>
        <v>0</v>
      </c>
    </row>
    <row r="474" spans="1:28" ht="14.4">
      <c r="A474" s="117">
        <v>1140312121</v>
      </c>
      <c r="B474" s="117" t="s">
        <v>804</v>
      </c>
      <c r="C474" s="37">
        <f>+VLOOKUP(A474,Composición!C:G,5,FALSE)</f>
        <v>0</v>
      </c>
      <c r="D474" s="37"/>
      <c r="E474" s="37"/>
      <c r="F474" s="37">
        <f>+VLOOKUP(A474,Composición!C:J,8,FALSE)</f>
        <v>0</v>
      </c>
      <c r="G474" s="37">
        <f t="shared" si="40"/>
        <v>0</v>
      </c>
      <c r="H474" s="37"/>
      <c r="I474" s="37"/>
      <c r="J474" s="37"/>
      <c r="K474" s="37"/>
      <c r="L474" s="37"/>
      <c r="M474" s="37"/>
      <c r="N474" s="37"/>
      <c r="O474" s="37"/>
      <c r="P474" s="37"/>
      <c r="Q474" s="37"/>
      <c r="R474" s="37"/>
      <c r="S474" s="37"/>
      <c r="T474" s="37"/>
      <c r="U474" s="37"/>
      <c r="V474" s="37"/>
      <c r="W474" s="37"/>
      <c r="X474" s="37"/>
      <c r="Y474" s="37"/>
      <c r="Z474" s="37"/>
      <c r="AA474" s="37">
        <f t="shared" si="42"/>
        <v>0</v>
      </c>
      <c r="AB474" s="37">
        <f t="shared" si="45"/>
        <v>0</v>
      </c>
    </row>
    <row r="475" spans="1:28" ht="14.4">
      <c r="A475" s="117">
        <v>1140312122</v>
      </c>
      <c r="B475" s="117" t="s">
        <v>805</v>
      </c>
      <c r="C475" s="37">
        <f>+VLOOKUP(A475,Composición!C:G,5,FALSE)</f>
        <v>0</v>
      </c>
      <c r="D475" s="37"/>
      <c r="E475" s="37"/>
      <c r="F475" s="37">
        <f>+VLOOKUP(A475,Composición!C:J,8,FALSE)</f>
        <v>0</v>
      </c>
      <c r="G475" s="37">
        <f t="shared" si="40"/>
        <v>0</v>
      </c>
      <c r="H475" s="37"/>
      <c r="I475" s="37"/>
      <c r="J475" s="37"/>
      <c r="K475" s="37"/>
      <c r="L475" s="37"/>
      <c r="M475" s="37"/>
      <c r="N475" s="37"/>
      <c r="O475" s="37"/>
      <c r="P475" s="37"/>
      <c r="Q475" s="37"/>
      <c r="R475" s="37"/>
      <c r="S475" s="37"/>
      <c r="T475" s="37"/>
      <c r="U475" s="37"/>
      <c r="V475" s="37"/>
      <c r="W475" s="37"/>
      <c r="X475" s="37"/>
      <c r="Y475" s="37"/>
      <c r="Z475" s="37"/>
      <c r="AA475" s="37">
        <f t="shared" si="42"/>
        <v>0</v>
      </c>
      <c r="AB475" s="37">
        <f t="shared" si="45"/>
        <v>0</v>
      </c>
    </row>
    <row r="476" spans="1:28" ht="14.4">
      <c r="A476" s="117">
        <v>1140312123</v>
      </c>
      <c r="B476" s="117" t="s">
        <v>692</v>
      </c>
      <c r="C476" s="37">
        <f>+VLOOKUP(A476,Composición!C:G,5,FALSE)</f>
        <v>0</v>
      </c>
      <c r="D476" s="37"/>
      <c r="E476" s="37"/>
      <c r="F476" s="37">
        <f>+VLOOKUP(A476,Composición!C:J,8,FALSE)</f>
        <v>0</v>
      </c>
      <c r="G476" s="37">
        <f t="shared" si="40"/>
        <v>0</v>
      </c>
      <c r="H476" s="37"/>
      <c r="I476" s="37"/>
      <c r="J476" s="37"/>
      <c r="K476" s="37"/>
      <c r="L476" s="37"/>
      <c r="M476" s="37"/>
      <c r="N476" s="37"/>
      <c r="O476" s="37"/>
      <c r="P476" s="37"/>
      <c r="Q476" s="37"/>
      <c r="R476" s="37"/>
      <c r="S476" s="37"/>
      <c r="T476" s="37"/>
      <c r="U476" s="37"/>
      <c r="V476" s="37"/>
      <c r="W476" s="37"/>
      <c r="X476" s="37"/>
      <c r="Y476" s="37"/>
      <c r="Z476" s="37"/>
      <c r="AA476" s="37">
        <f t="shared" si="42"/>
        <v>0</v>
      </c>
      <c r="AB476" s="37">
        <f t="shared" si="45"/>
        <v>0</v>
      </c>
    </row>
    <row r="477" spans="1:28" ht="14.4">
      <c r="A477" s="117">
        <v>1140312124</v>
      </c>
      <c r="B477" s="117" t="s">
        <v>693</v>
      </c>
      <c r="C477" s="37">
        <f>+VLOOKUP(A477,Composición!C:G,5,FALSE)</f>
        <v>0</v>
      </c>
      <c r="D477" s="37"/>
      <c r="E477" s="37"/>
      <c r="F477" s="37">
        <f>+VLOOKUP(A477,Composición!C:J,8,FALSE)</f>
        <v>0</v>
      </c>
      <c r="G477" s="37">
        <f t="shared" si="40"/>
        <v>0</v>
      </c>
      <c r="H477" s="37"/>
      <c r="I477" s="37"/>
      <c r="J477" s="37"/>
      <c r="K477" s="37"/>
      <c r="L477" s="37"/>
      <c r="M477" s="37"/>
      <c r="N477" s="37"/>
      <c r="O477" s="37"/>
      <c r="P477" s="37"/>
      <c r="Q477" s="37"/>
      <c r="R477" s="37"/>
      <c r="S477" s="37"/>
      <c r="T477" s="37"/>
      <c r="U477" s="37"/>
      <c r="V477" s="37"/>
      <c r="W477" s="37"/>
      <c r="X477" s="37"/>
      <c r="Y477" s="37"/>
      <c r="Z477" s="37"/>
      <c r="AA477" s="37">
        <f t="shared" si="42"/>
        <v>0</v>
      </c>
      <c r="AB477" s="37">
        <f t="shared" si="45"/>
        <v>0</v>
      </c>
    </row>
    <row r="478" spans="1:28" ht="14.4">
      <c r="A478" s="117">
        <v>1140312125</v>
      </c>
      <c r="B478" s="117" t="s">
        <v>279</v>
      </c>
      <c r="C478" s="37">
        <f>+VLOOKUP(A478,Composición!C:G,5,FALSE)</f>
        <v>0</v>
      </c>
      <c r="D478" s="37"/>
      <c r="E478" s="37"/>
      <c r="F478" s="37">
        <f>+VLOOKUP(A478,Composición!C:J,8,FALSE)</f>
        <v>0</v>
      </c>
      <c r="G478" s="37">
        <f t="shared" si="40"/>
        <v>0</v>
      </c>
      <c r="H478" s="37"/>
      <c r="I478" s="37"/>
      <c r="J478" s="37"/>
      <c r="K478" s="37"/>
      <c r="L478" s="37"/>
      <c r="M478" s="37"/>
      <c r="N478" s="37"/>
      <c r="O478" s="37">
        <f>-G478</f>
        <v>0</v>
      </c>
      <c r="P478" s="37"/>
      <c r="Q478" s="37"/>
      <c r="R478" s="37"/>
      <c r="S478" s="37"/>
      <c r="T478" s="37"/>
      <c r="U478" s="37"/>
      <c r="V478" s="37"/>
      <c r="W478" s="37"/>
      <c r="X478" s="37"/>
      <c r="Y478" s="37"/>
      <c r="Z478" s="37"/>
      <c r="AA478" s="37">
        <f t="shared" ref="AA478:AA587" si="46">SUM(G478:Z478)</f>
        <v>0</v>
      </c>
      <c r="AB478" s="37">
        <f t="shared" si="45"/>
        <v>0</v>
      </c>
    </row>
    <row r="479" spans="1:28" ht="14.4">
      <c r="A479" s="117">
        <v>1140312126</v>
      </c>
      <c r="B479" s="117" t="s">
        <v>689</v>
      </c>
      <c r="C479" s="37">
        <f>+VLOOKUP(A479,Composición!C:G,5,FALSE)</f>
        <v>0</v>
      </c>
      <c r="D479" s="37"/>
      <c r="E479" s="37"/>
      <c r="F479" s="37">
        <f>+VLOOKUP(A479,Composición!C:J,8,FALSE)</f>
        <v>0</v>
      </c>
      <c r="G479" s="37">
        <f t="shared" ref="G479:G588" si="47">C479+D479-E479-F479</f>
        <v>0</v>
      </c>
      <c r="H479" s="37"/>
      <c r="I479" s="37"/>
      <c r="J479" s="37"/>
      <c r="K479" s="37"/>
      <c r="L479" s="37"/>
      <c r="M479" s="37"/>
      <c r="N479" s="37"/>
      <c r="O479" s="37"/>
      <c r="P479" s="37"/>
      <c r="Q479" s="37"/>
      <c r="R479" s="37"/>
      <c r="S479" s="37"/>
      <c r="T479" s="37"/>
      <c r="U479" s="37"/>
      <c r="V479" s="37"/>
      <c r="W479" s="37"/>
      <c r="X479" s="37"/>
      <c r="Y479" s="37"/>
      <c r="Z479" s="37"/>
      <c r="AA479" s="37">
        <f t="shared" si="46"/>
        <v>0</v>
      </c>
      <c r="AB479" s="37">
        <f t="shared" si="45"/>
        <v>0</v>
      </c>
    </row>
    <row r="480" spans="1:28" ht="14.4">
      <c r="A480" s="117">
        <v>11403122</v>
      </c>
      <c r="B480" s="117" t="s">
        <v>806</v>
      </c>
      <c r="C480" s="37">
        <f>+VLOOKUP(A480,Composición!C:G,5,FALSE)</f>
        <v>0</v>
      </c>
      <c r="D480" s="37"/>
      <c r="E480" s="37"/>
      <c r="F480" s="37">
        <f>+VLOOKUP(A480,Composición!C:J,8,FALSE)</f>
        <v>0</v>
      </c>
      <c r="G480" s="37">
        <f t="shared" si="47"/>
        <v>0</v>
      </c>
      <c r="H480" s="37"/>
      <c r="I480" s="37"/>
      <c r="J480" s="37"/>
      <c r="K480" s="37"/>
      <c r="L480" s="37"/>
      <c r="M480" s="37"/>
      <c r="N480" s="37"/>
      <c r="O480" s="37"/>
      <c r="P480" s="37"/>
      <c r="Q480" s="37"/>
      <c r="R480" s="37"/>
      <c r="S480" s="37"/>
      <c r="T480" s="37"/>
      <c r="U480" s="37"/>
      <c r="V480" s="37"/>
      <c r="W480" s="37"/>
      <c r="X480" s="37"/>
      <c r="Y480" s="37"/>
      <c r="Z480" s="37"/>
      <c r="AA480" s="37">
        <f t="shared" si="46"/>
        <v>0</v>
      </c>
      <c r="AB480" s="37">
        <f t="shared" si="45"/>
        <v>0</v>
      </c>
    </row>
    <row r="481" spans="1:28" ht="14.4">
      <c r="A481" s="117">
        <v>1140312201</v>
      </c>
      <c r="B481" s="117" t="s">
        <v>806</v>
      </c>
      <c r="C481" s="37">
        <f>+VLOOKUP(A481,Composición!C:G,5,FALSE)</f>
        <v>0</v>
      </c>
      <c r="D481" s="37"/>
      <c r="E481" s="37"/>
      <c r="F481" s="37">
        <f>+VLOOKUP(A481,Composición!C:J,8,FALSE)</f>
        <v>3168172</v>
      </c>
      <c r="G481" s="37">
        <f t="shared" si="47"/>
        <v>-3168172</v>
      </c>
      <c r="H481" s="37"/>
      <c r="I481" s="37"/>
      <c r="J481" s="37"/>
      <c r="K481" s="37"/>
      <c r="L481" s="37"/>
      <c r="M481" s="37"/>
      <c r="N481" s="37"/>
      <c r="O481" s="37"/>
      <c r="P481" s="37"/>
      <c r="Q481" s="37"/>
      <c r="R481" s="37"/>
      <c r="S481" s="37">
        <f>-G481</f>
        <v>3168172</v>
      </c>
      <c r="T481" s="37"/>
      <c r="U481" s="37"/>
      <c r="V481" s="37"/>
      <c r="W481" s="37"/>
      <c r="X481" s="37"/>
      <c r="Y481" s="37"/>
      <c r="Z481" s="37"/>
      <c r="AA481" s="37">
        <f t="shared" si="46"/>
        <v>0</v>
      </c>
      <c r="AB481" s="37">
        <f t="shared" si="45"/>
        <v>0</v>
      </c>
    </row>
    <row r="482" spans="1:28" ht="14.4">
      <c r="A482" s="117">
        <v>1140312202</v>
      </c>
      <c r="B482" s="117" t="s">
        <v>806</v>
      </c>
      <c r="C482" s="37">
        <f>+VLOOKUP(A482,Composición!C:G,5,FALSE)</f>
        <v>0</v>
      </c>
      <c r="D482" s="37"/>
      <c r="E482" s="37"/>
      <c r="F482" s="37">
        <f>+VLOOKUP(A482,Composición!C:J,8,FALSE)</f>
        <v>0</v>
      </c>
      <c r="G482" s="37">
        <f t="shared" si="47"/>
        <v>0</v>
      </c>
      <c r="H482" s="37"/>
      <c r="I482" s="37"/>
      <c r="J482" s="37"/>
      <c r="K482" s="37"/>
      <c r="L482" s="37"/>
      <c r="M482" s="37"/>
      <c r="N482" s="37"/>
      <c r="O482" s="37"/>
      <c r="P482" s="37"/>
      <c r="Q482" s="37"/>
      <c r="R482" s="37"/>
      <c r="S482" s="37"/>
      <c r="T482" s="37"/>
      <c r="U482" s="37"/>
      <c r="V482" s="37"/>
      <c r="W482" s="37"/>
      <c r="X482" s="37"/>
      <c r="Y482" s="37"/>
      <c r="Z482" s="37"/>
      <c r="AA482" s="37">
        <f t="shared" si="46"/>
        <v>0</v>
      </c>
      <c r="AB482" s="37">
        <f t="shared" si="45"/>
        <v>0</v>
      </c>
    </row>
    <row r="483" spans="1:28" ht="14.4">
      <c r="A483" s="117">
        <v>11403123</v>
      </c>
      <c r="B483" s="117" t="s">
        <v>125</v>
      </c>
      <c r="C483" s="37">
        <f>+VLOOKUP(A483,Composición!C:G,5,FALSE)</f>
        <v>0</v>
      </c>
      <c r="D483" s="37"/>
      <c r="E483" s="37"/>
      <c r="F483" s="37">
        <f>+VLOOKUP(A483,Composición!C:J,8,FALSE)</f>
        <v>0</v>
      </c>
      <c r="G483" s="37">
        <f t="shared" si="47"/>
        <v>0</v>
      </c>
      <c r="H483" s="37"/>
      <c r="I483" s="37"/>
      <c r="J483" s="37"/>
      <c r="K483" s="37"/>
      <c r="L483" s="37"/>
      <c r="M483" s="37"/>
      <c r="N483" s="37"/>
      <c r="O483" s="37"/>
      <c r="P483" s="37"/>
      <c r="Q483" s="37"/>
      <c r="R483" s="37"/>
      <c r="S483" s="37"/>
      <c r="T483" s="37"/>
      <c r="U483" s="37"/>
      <c r="V483" s="37"/>
      <c r="W483" s="37"/>
      <c r="X483" s="37"/>
      <c r="Y483" s="37"/>
      <c r="Z483" s="37"/>
      <c r="AA483" s="37">
        <f t="shared" si="46"/>
        <v>0</v>
      </c>
      <c r="AB483" s="37">
        <f t="shared" si="45"/>
        <v>0</v>
      </c>
    </row>
    <row r="484" spans="1:28" ht="14.4">
      <c r="A484" s="117">
        <v>1140312301</v>
      </c>
      <c r="B484" s="117" t="s">
        <v>125</v>
      </c>
      <c r="C484" s="37">
        <f>+VLOOKUP(A484,Composición!C:G,5,FALSE)</f>
        <v>0</v>
      </c>
      <c r="D484" s="37"/>
      <c r="E484" s="37"/>
      <c r="F484" s="37">
        <f>+VLOOKUP(A484,Composición!C:J,8,FALSE)</f>
        <v>-905192</v>
      </c>
      <c r="G484" s="37">
        <f t="shared" si="47"/>
        <v>905192</v>
      </c>
      <c r="H484" s="37"/>
      <c r="I484" s="37"/>
      <c r="J484" s="37"/>
      <c r="K484" s="37"/>
      <c r="L484" s="37"/>
      <c r="M484" s="37"/>
      <c r="N484" s="37"/>
      <c r="O484" s="37"/>
      <c r="P484" s="37"/>
      <c r="Q484" s="37"/>
      <c r="R484" s="37"/>
      <c r="S484" s="37">
        <f>-G484</f>
        <v>-905192</v>
      </c>
      <c r="T484" s="37"/>
      <c r="U484" s="37"/>
      <c r="V484" s="37"/>
      <c r="W484" s="37"/>
      <c r="X484" s="37"/>
      <c r="Y484" s="37"/>
      <c r="Z484" s="37"/>
      <c r="AA484" s="37">
        <f t="shared" si="46"/>
        <v>0</v>
      </c>
      <c r="AB484" s="37">
        <f t="shared" si="45"/>
        <v>0</v>
      </c>
    </row>
    <row r="485" spans="1:28" ht="14.4">
      <c r="A485" s="117">
        <v>1140312302</v>
      </c>
      <c r="B485" s="117" t="s">
        <v>125</v>
      </c>
      <c r="C485" s="37">
        <f>+VLOOKUP(A485,Composición!C:G,5,FALSE)</f>
        <v>0</v>
      </c>
      <c r="D485" s="37">
        <f>+F485</f>
        <v>0</v>
      </c>
      <c r="E485" s="37"/>
      <c r="F485" s="37">
        <f>+VLOOKUP(A485,Composición!C:J,8,FALSE)</f>
        <v>0</v>
      </c>
      <c r="G485" s="37">
        <f t="shared" si="47"/>
        <v>0</v>
      </c>
      <c r="H485" s="37"/>
      <c r="I485" s="37"/>
      <c r="J485" s="37"/>
      <c r="K485" s="37"/>
      <c r="L485" s="37"/>
      <c r="M485" s="37"/>
      <c r="N485" s="37"/>
      <c r="O485" s="37"/>
      <c r="P485" s="37"/>
      <c r="Q485" s="37"/>
      <c r="R485" s="37"/>
      <c r="S485" s="37"/>
      <c r="T485" s="37"/>
      <c r="U485" s="37"/>
      <c r="V485" s="37"/>
      <c r="W485" s="37">
        <f>-G485</f>
        <v>0</v>
      </c>
      <c r="X485" s="37"/>
      <c r="Y485" s="37"/>
      <c r="Z485" s="37"/>
      <c r="AA485" s="37">
        <f t="shared" si="46"/>
        <v>0</v>
      </c>
      <c r="AB485" s="37">
        <f t="shared" si="45"/>
        <v>0</v>
      </c>
    </row>
    <row r="486" spans="1:28" ht="14.4">
      <c r="A486" s="117">
        <v>115</v>
      </c>
      <c r="B486" s="117" t="s">
        <v>126</v>
      </c>
      <c r="C486" s="37">
        <f>+VLOOKUP(A486,Composición!C:G,5,FALSE)</f>
        <v>0</v>
      </c>
      <c r="D486" s="37"/>
      <c r="E486" s="37"/>
      <c r="F486" s="37">
        <f>+VLOOKUP(A486,Composición!C:J,8,FALSE)</f>
        <v>0</v>
      </c>
      <c r="G486" s="37">
        <f t="shared" si="47"/>
        <v>0</v>
      </c>
      <c r="H486" s="37"/>
      <c r="I486" s="37"/>
      <c r="J486" s="37"/>
      <c r="K486" s="37"/>
      <c r="L486" s="37"/>
      <c r="M486" s="37"/>
      <c r="N486" s="37"/>
      <c r="O486" s="37"/>
      <c r="P486" s="37"/>
      <c r="Q486" s="37"/>
      <c r="R486" s="37"/>
      <c r="S486" s="37"/>
      <c r="T486" s="37"/>
      <c r="U486" s="37"/>
      <c r="V486" s="37"/>
      <c r="W486" s="37"/>
      <c r="X486" s="37"/>
      <c r="Y486" s="37"/>
      <c r="Z486" s="37"/>
      <c r="AA486" s="37">
        <f t="shared" si="46"/>
        <v>0</v>
      </c>
      <c r="AB486" s="37">
        <f t="shared" si="45"/>
        <v>0</v>
      </c>
    </row>
    <row r="487" spans="1:28" ht="14.4">
      <c r="A487" s="117">
        <v>11502</v>
      </c>
      <c r="B487" s="117" t="s">
        <v>127</v>
      </c>
      <c r="C487" s="37">
        <f>+VLOOKUP(A487,Composición!C:G,5,FALSE)</f>
        <v>0</v>
      </c>
      <c r="D487" s="37"/>
      <c r="E487" s="37"/>
      <c r="F487" s="37">
        <f>+VLOOKUP(A487,Composición!C:J,8,FALSE)</f>
        <v>0</v>
      </c>
      <c r="G487" s="37">
        <f t="shared" si="47"/>
        <v>0</v>
      </c>
      <c r="H487" s="37"/>
      <c r="I487" s="37"/>
      <c r="J487" s="37"/>
      <c r="K487" s="37"/>
      <c r="L487" s="37"/>
      <c r="M487" s="37"/>
      <c r="N487" s="37"/>
      <c r="O487" s="37"/>
      <c r="P487" s="37"/>
      <c r="Q487" s="37"/>
      <c r="R487" s="37"/>
      <c r="S487" s="37"/>
      <c r="T487" s="37"/>
      <c r="U487" s="37"/>
      <c r="V487" s="37"/>
      <c r="W487" s="37"/>
      <c r="X487" s="37"/>
      <c r="Y487" s="37"/>
      <c r="Z487" s="37"/>
      <c r="AA487" s="37">
        <f t="shared" si="46"/>
        <v>0</v>
      </c>
      <c r="AB487" s="37">
        <f t="shared" si="45"/>
        <v>0</v>
      </c>
    </row>
    <row r="488" spans="1:28" ht="14.4">
      <c r="A488" s="117">
        <v>115021</v>
      </c>
      <c r="B488" s="117" t="s">
        <v>128</v>
      </c>
      <c r="C488" s="37">
        <f>+VLOOKUP(A488,Composición!C:G,5,FALSE)</f>
        <v>0</v>
      </c>
      <c r="D488" s="37"/>
      <c r="E488" s="37"/>
      <c r="F488" s="37">
        <f>+VLOOKUP(A488,Composición!C:J,8,FALSE)</f>
        <v>0</v>
      </c>
      <c r="G488" s="37">
        <f t="shared" si="47"/>
        <v>0</v>
      </c>
      <c r="H488" s="37"/>
      <c r="I488" s="37"/>
      <c r="J488" s="37"/>
      <c r="K488" s="37"/>
      <c r="L488" s="37"/>
      <c r="M488" s="37"/>
      <c r="N488" s="37"/>
      <c r="O488" s="37"/>
      <c r="P488" s="37"/>
      <c r="Q488" s="37"/>
      <c r="R488" s="37"/>
      <c r="S488" s="37"/>
      <c r="T488" s="37"/>
      <c r="U488" s="37"/>
      <c r="V488" s="37"/>
      <c r="W488" s="37"/>
      <c r="X488" s="37"/>
      <c r="Y488" s="37"/>
      <c r="Z488" s="37"/>
      <c r="AA488" s="37">
        <f t="shared" si="46"/>
        <v>0</v>
      </c>
      <c r="AB488" s="37">
        <f t="shared" si="45"/>
        <v>0</v>
      </c>
    </row>
    <row r="489" spans="1:28" ht="14.4">
      <c r="A489" s="117">
        <v>1150211</v>
      </c>
      <c r="B489" s="117" t="s">
        <v>129</v>
      </c>
      <c r="C489" s="37">
        <f>+VLOOKUP(A489,Composición!C:G,5,FALSE)</f>
        <v>0</v>
      </c>
      <c r="D489" s="37"/>
      <c r="E489" s="37"/>
      <c r="F489" s="37">
        <f>+VLOOKUP(A489,Composición!C:J,8,FALSE)</f>
        <v>0</v>
      </c>
      <c r="G489" s="37">
        <f t="shared" si="47"/>
        <v>0</v>
      </c>
      <c r="H489" s="37"/>
      <c r="I489" s="37"/>
      <c r="J489" s="37"/>
      <c r="K489" s="37"/>
      <c r="L489" s="37"/>
      <c r="M489" s="37"/>
      <c r="N489" s="37"/>
      <c r="O489" s="37"/>
      <c r="P489" s="37"/>
      <c r="Q489" s="37"/>
      <c r="R489" s="37"/>
      <c r="S489" s="37"/>
      <c r="T489" s="37"/>
      <c r="U489" s="37"/>
      <c r="V489" s="37"/>
      <c r="W489" s="37"/>
      <c r="X489" s="37"/>
      <c r="Y489" s="37"/>
      <c r="Z489" s="37"/>
      <c r="AA489" s="37">
        <f t="shared" si="46"/>
        <v>0</v>
      </c>
      <c r="AB489" s="37">
        <f t="shared" si="45"/>
        <v>0</v>
      </c>
    </row>
    <row r="490" spans="1:28" ht="14.4">
      <c r="A490" s="117">
        <v>11502111</v>
      </c>
      <c r="B490" s="117" t="s">
        <v>130</v>
      </c>
      <c r="C490" s="37">
        <f>+VLOOKUP(A490,Composición!C:G,5,FALSE)</f>
        <v>0</v>
      </c>
      <c r="D490" s="37"/>
      <c r="E490" s="37"/>
      <c r="F490" s="37">
        <f>+VLOOKUP(A490,Composición!C:J,8,FALSE)</f>
        <v>0</v>
      </c>
      <c r="G490" s="37">
        <f t="shared" si="47"/>
        <v>0</v>
      </c>
      <c r="H490" s="37"/>
      <c r="I490" s="37"/>
      <c r="J490" s="37"/>
      <c r="K490" s="37"/>
      <c r="L490" s="37"/>
      <c r="M490" s="37"/>
      <c r="N490" s="37"/>
      <c r="O490" s="37"/>
      <c r="P490" s="37"/>
      <c r="Q490" s="37"/>
      <c r="R490" s="37">
        <f t="shared" ref="R490" si="48">-G490</f>
        <v>0</v>
      </c>
      <c r="S490" s="37"/>
      <c r="T490" s="37"/>
      <c r="U490" s="37"/>
      <c r="V490" s="37"/>
      <c r="W490" s="37"/>
      <c r="X490" s="37"/>
      <c r="Y490" s="37"/>
      <c r="Z490" s="37"/>
      <c r="AA490" s="37">
        <f t="shared" si="46"/>
        <v>0</v>
      </c>
      <c r="AB490" s="37">
        <f t="shared" si="45"/>
        <v>0</v>
      </c>
    </row>
    <row r="491" spans="1:28" ht="14.4">
      <c r="A491" s="117">
        <v>1150211101</v>
      </c>
      <c r="B491" s="117" t="s">
        <v>131</v>
      </c>
      <c r="C491" s="37">
        <f>+VLOOKUP(A491,Composición!C:G,5,FALSE)</f>
        <v>2501000000</v>
      </c>
      <c r="D491" s="37"/>
      <c r="E491" s="37"/>
      <c r="F491" s="37">
        <f>+VLOOKUP(A491,Composición!C:J,8,FALSE)</f>
        <v>1350000000</v>
      </c>
      <c r="G491" s="37">
        <f t="shared" si="47"/>
        <v>1151000000</v>
      </c>
      <c r="H491" s="37"/>
      <c r="I491" s="37"/>
      <c r="J491" s="37"/>
      <c r="K491" s="37"/>
      <c r="L491" s="37"/>
      <c r="M491" s="37"/>
      <c r="N491" s="37"/>
      <c r="O491" s="37"/>
      <c r="P491" s="37"/>
      <c r="Q491" s="37"/>
      <c r="R491" s="37"/>
      <c r="S491" s="37">
        <f>-G491</f>
        <v>-1151000000</v>
      </c>
      <c r="T491" s="37"/>
      <c r="U491" s="37"/>
      <c r="V491" s="37"/>
      <c r="W491" s="37"/>
      <c r="X491" s="37"/>
      <c r="Y491" s="37"/>
      <c r="Z491" s="37"/>
      <c r="AA491" s="37">
        <f t="shared" si="46"/>
        <v>0</v>
      </c>
      <c r="AB491" s="37">
        <f t="shared" si="45"/>
        <v>0</v>
      </c>
    </row>
    <row r="492" spans="1:28" ht="14.4">
      <c r="A492" s="117">
        <v>11502112</v>
      </c>
      <c r="B492" s="117" t="s">
        <v>132</v>
      </c>
      <c r="C492" s="37">
        <f>+VLOOKUP(A492,Composición!C:G,5,FALSE)</f>
        <v>0</v>
      </c>
      <c r="D492" s="37"/>
      <c r="E492" s="37"/>
      <c r="F492" s="37">
        <f>+VLOOKUP(A492,Composición!C:J,8,FALSE)</f>
        <v>0</v>
      </c>
      <c r="G492" s="37">
        <f t="shared" si="47"/>
        <v>0</v>
      </c>
      <c r="H492" s="37"/>
      <c r="I492" s="37"/>
      <c r="J492" s="37"/>
      <c r="K492" s="37"/>
      <c r="L492" s="37"/>
      <c r="M492" s="37"/>
      <c r="N492" s="37"/>
      <c r="O492" s="37"/>
      <c r="P492" s="37"/>
      <c r="Q492" s="37"/>
      <c r="R492" s="37"/>
      <c r="S492" s="37"/>
      <c r="T492" s="37"/>
      <c r="U492" s="37"/>
      <c r="V492" s="37"/>
      <c r="W492" s="37"/>
      <c r="X492" s="37"/>
      <c r="Y492" s="37"/>
      <c r="Z492" s="37"/>
      <c r="AA492" s="37">
        <f t="shared" si="46"/>
        <v>0</v>
      </c>
      <c r="AB492" s="37">
        <f t="shared" si="45"/>
        <v>0</v>
      </c>
    </row>
    <row r="493" spans="1:28" ht="14.4">
      <c r="A493" s="117">
        <v>1150211201</v>
      </c>
      <c r="B493" s="117" t="s">
        <v>132</v>
      </c>
      <c r="C493" s="37">
        <f>+VLOOKUP(A493,Composición!C:G,5,FALSE)</f>
        <v>800000000</v>
      </c>
      <c r="D493" s="37"/>
      <c r="E493" s="37"/>
      <c r="F493" s="37">
        <f>+VLOOKUP(A493,Composición!C:J,8,FALSE)</f>
        <v>9500000000</v>
      </c>
      <c r="G493" s="37">
        <f t="shared" si="47"/>
        <v>-8700000000</v>
      </c>
      <c r="H493" s="37"/>
      <c r="I493" s="37"/>
      <c r="J493" s="37"/>
      <c r="K493" s="37"/>
      <c r="L493" s="37"/>
      <c r="M493" s="37"/>
      <c r="N493" s="37"/>
      <c r="O493" s="37"/>
      <c r="P493" s="37"/>
      <c r="Q493" s="37"/>
      <c r="R493" s="37"/>
      <c r="S493" s="37">
        <f>-G493</f>
        <v>8700000000</v>
      </c>
      <c r="T493" s="37"/>
      <c r="U493" s="37"/>
      <c r="V493" s="37"/>
      <c r="W493" s="37"/>
      <c r="X493" s="37"/>
      <c r="Y493" s="37"/>
      <c r="Z493" s="37"/>
      <c r="AA493" s="37">
        <f t="shared" si="46"/>
        <v>0</v>
      </c>
      <c r="AB493" s="37">
        <f t="shared" si="45"/>
        <v>0</v>
      </c>
    </row>
    <row r="494" spans="1:28" ht="14.4">
      <c r="A494" s="117">
        <v>1150212201</v>
      </c>
      <c r="B494" s="117" t="s">
        <v>577</v>
      </c>
      <c r="C494" s="37">
        <f>+VLOOKUP(A494,Composición!C:G,5,FALSE)</f>
        <v>0</v>
      </c>
      <c r="D494" s="37"/>
      <c r="E494" s="37"/>
      <c r="F494" s="37">
        <f>+VLOOKUP(A494,Composición!C:J,8,FALSE)</f>
        <v>0</v>
      </c>
      <c r="G494" s="37">
        <f t="shared" si="47"/>
        <v>0</v>
      </c>
      <c r="H494" s="37"/>
      <c r="I494" s="37"/>
      <c r="J494" s="37"/>
      <c r="K494" s="37"/>
      <c r="L494" s="37"/>
      <c r="M494" s="37"/>
      <c r="N494" s="37"/>
      <c r="O494" s="37"/>
      <c r="P494" s="37"/>
      <c r="Q494" s="37"/>
      <c r="R494" s="37"/>
      <c r="S494" s="37">
        <f>-G494</f>
        <v>0</v>
      </c>
      <c r="T494" s="37"/>
      <c r="U494" s="37"/>
      <c r="V494" s="37"/>
      <c r="W494" s="37"/>
      <c r="X494" s="37"/>
      <c r="Y494" s="37"/>
      <c r="Z494" s="37"/>
      <c r="AA494" s="37">
        <f t="shared" si="46"/>
        <v>0</v>
      </c>
      <c r="AB494" s="37">
        <f t="shared" si="45"/>
        <v>0</v>
      </c>
    </row>
    <row r="495" spans="1:28" ht="14.4">
      <c r="A495" s="117">
        <v>1150212</v>
      </c>
      <c r="B495" s="117" t="s">
        <v>133</v>
      </c>
      <c r="C495" s="37">
        <f>+VLOOKUP(A495,Composición!C:G,5,FALSE)</f>
        <v>0</v>
      </c>
      <c r="D495" s="37"/>
      <c r="E495" s="37"/>
      <c r="F495" s="37">
        <f>+VLOOKUP(A495,Composición!C:J,8,FALSE)</f>
        <v>0</v>
      </c>
      <c r="G495" s="37">
        <f t="shared" si="47"/>
        <v>0</v>
      </c>
      <c r="H495" s="37"/>
      <c r="I495" s="37"/>
      <c r="J495" s="37"/>
      <c r="K495" s="37"/>
      <c r="L495" s="37"/>
      <c r="M495" s="37"/>
      <c r="N495" s="37"/>
      <c r="O495" s="37"/>
      <c r="P495" s="37"/>
      <c r="Q495" s="37"/>
      <c r="R495" s="37"/>
      <c r="S495" s="37"/>
      <c r="T495" s="37"/>
      <c r="U495" s="37"/>
      <c r="V495" s="37"/>
      <c r="W495" s="37"/>
      <c r="X495" s="37"/>
      <c r="Y495" s="37"/>
      <c r="Z495" s="37"/>
      <c r="AA495" s="37">
        <f t="shared" si="46"/>
        <v>0</v>
      </c>
      <c r="AB495" s="37">
        <f t="shared" si="45"/>
        <v>0</v>
      </c>
    </row>
    <row r="496" spans="1:28" ht="14.4">
      <c r="A496" s="117">
        <v>11502123</v>
      </c>
      <c r="B496" s="117" t="s">
        <v>134</v>
      </c>
      <c r="C496" s="37">
        <f>+VLOOKUP(A496,Composición!C:G,5,FALSE)</f>
        <v>0</v>
      </c>
      <c r="D496" s="37"/>
      <c r="E496" s="37"/>
      <c r="F496" s="37">
        <f>+VLOOKUP(A496,Composición!C:J,8,FALSE)</f>
        <v>0</v>
      </c>
      <c r="G496" s="37">
        <f t="shared" si="47"/>
        <v>0</v>
      </c>
      <c r="H496" s="37"/>
      <c r="I496" s="37"/>
      <c r="J496" s="37"/>
      <c r="K496" s="37"/>
      <c r="L496" s="37"/>
      <c r="M496" s="37"/>
      <c r="N496" s="37"/>
      <c r="O496" s="37"/>
      <c r="P496" s="37"/>
      <c r="Q496" s="37"/>
      <c r="R496" s="37"/>
      <c r="S496" s="37"/>
      <c r="T496" s="37"/>
      <c r="U496" s="37"/>
      <c r="V496" s="37"/>
      <c r="W496" s="37"/>
      <c r="X496" s="37"/>
      <c r="Y496" s="37"/>
      <c r="Z496" s="37"/>
      <c r="AA496" s="37">
        <f t="shared" si="46"/>
        <v>0</v>
      </c>
      <c r="AB496" s="37">
        <f t="shared" si="45"/>
        <v>0</v>
      </c>
    </row>
    <row r="497" spans="1:28" ht="14.4">
      <c r="A497" s="117">
        <v>1150212301</v>
      </c>
      <c r="B497" s="117" t="s">
        <v>135</v>
      </c>
      <c r="C497" s="37">
        <f>+VLOOKUP(A497,Composición!C:G,5,FALSE)</f>
        <v>30310000000</v>
      </c>
      <c r="D497" s="37"/>
      <c r="E497" s="37"/>
      <c r="F497" s="37">
        <f>+VLOOKUP(A497,Composición!C:J,8,FALSE)</f>
        <v>11277000000</v>
      </c>
      <c r="G497" s="37">
        <f t="shared" si="47"/>
        <v>19033000000</v>
      </c>
      <c r="H497" s="37"/>
      <c r="I497" s="37"/>
      <c r="J497" s="37"/>
      <c r="K497" s="37"/>
      <c r="L497" s="37"/>
      <c r="M497" s="37"/>
      <c r="N497" s="37"/>
      <c r="O497" s="37"/>
      <c r="P497" s="37"/>
      <c r="Q497" s="37"/>
      <c r="R497" s="37"/>
      <c r="S497" s="37">
        <f>-G497</f>
        <v>-19033000000</v>
      </c>
      <c r="T497" s="37"/>
      <c r="U497" s="37"/>
      <c r="V497" s="37"/>
      <c r="W497" s="37"/>
      <c r="X497" s="37"/>
      <c r="Y497" s="37"/>
      <c r="Z497" s="37"/>
      <c r="AA497" s="37">
        <f t="shared" si="46"/>
        <v>0</v>
      </c>
      <c r="AB497" s="37">
        <f t="shared" si="45"/>
        <v>0</v>
      </c>
    </row>
    <row r="498" spans="1:28" ht="14.4">
      <c r="A498" s="117">
        <v>1150213</v>
      </c>
      <c r="B498" s="117" t="s">
        <v>136</v>
      </c>
      <c r="C498" s="37">
        <f>+VLOOKUP(A498,Composición!C:G,5,FALSE)</f>
        <v>0</v>
      </c>
      <c r="D498" s="37"/>
      <c r="E498" s="37"/>
      <c r="F498" s="37">
        <f>+VLOOKUP(A498,Composición!C:J,8,FALSE)</f>
        <v>0</v>
      </c>
      <c r="G498" s="37">
        <f t="shared" si="47"/>
        <v>0</v>
      </c>
      <c r="H498" s="37"/>
      <c r="I498" s="37"/>
      <c r="J498" s="37"/>
      <c r="K498" s="37"/>
      <c r="L498" s="37"/>
      <c r="M498" s="37"/>
      <c r="N498" s="37"/>
      <c r="O498" s="37"/>
      <c r="P498" s="37"/>
      <c r="Q498" s="37"/>
      <c r="R498" s="37"/>
      <c r="S498" s="37"/>
      <c r="T498" s="37"/>
      <c r="U498" s="37"/>
      <c r="V498" s="37"/>
      <c r="W498" s="37"/>
      <c r="X498" s="37"/>
      <c r="Y498" s="37"/>
      <c r="Z498" s="37"/>
      <c r="AA498" s="37">
        <f t="shared" si="46"/>
        <v>0</v>
      </c>
      <c r="AB498" s="37">
        <f t="shared" si="45"/>
        <v>0</v>
      </c>
    </row>
    <row r="499" spans="1:28" ht="14.4">
      <c r="A499" s="117">
        <v>11502131</v>
      </c>
      <c r="B499" s="117" t="s">
        <v>137</v>
      </c>
      <c r="C499" s="37">
        <f>+VLOOKUP(A499,Composición!C:G,5,FALSE)</f>
        <v>0</v>
      </c>
      <c r="D499" s="37"/>
      <c r="E499" s="37"/>
      <c r="F499" s="37">
        <f>+VLOOKUP(A499,Composición!C:J,8,FALSE)</f>
        <v>0</v>
      </c>
      <c r="G499" s="37">
        <f t="shared" si="47"/>
        <v>0</v>
      </c>
      <c r="H499" s="37"/>
      <c r="I499" s="37"/>
      <c r="J499" s="37"/>
      <c r="K499" s="37"/>
      <c r="L499" s="37"/>
      <c r="M499" s="37"/>
      <c r="N499" s="37"/>
      <c r="O499" s="37"/>
      <c r="P499" s="37"/>
      <c r="Q499" s="37"/>
      <c r="R499" s="37">
        <f t="shared" ref="R499" si="49">-G499</f>
        <v>0</v>
      </c>
      <c r="S499" s="37"/>
      <c r="T499" s="37"/>
      <c r="U499" s="37"/>
      <c r="V499" s="37"/>
      <c r="W499" s="37"/>
      <c r="X499" s="37"/>
      <c r="Y499" s="37"/>
      <c r="Z499" s="37"/>
      <c r="AA499" s="37">
        <f t="shared" si="46"/>
        <v>0</v>
      </c>
      <c r="AB499" s="37">
        <f t="shared" si="45"/>
        <v>0</v>
      </c>
    </row>
    <row r="500" spans="1:28" ht="14.4">
      <c r="A500" s="117">
        <v>1150213101</v>
      </c>
      <c r="B500" s="117" t="s">
        <v>138</v>
      </c>
      <c r="C500" s="37">
        <f>+VLOOKUP(A500,Composición!C:G,5,FALSE)</f>
        <v>1500000000</v>
      </c>
      <c r="D500" s="37"/>
      <c r="E500" s="37"/>
      <c r="F500" s="37">
        <f>+VLOOKUP(A500,Composición!C:J,8,FALSE)</f>
        <v>50000000</v>
      </c>
      <c r="G500" s="37">
        <f t="shared" si="47"/>
        <v>1450000000</v>
      </c>
      <c r="H500" s="37"/>
      <c r="I500" s="37"/>
      <c r="J500" s="37"/>
      <c r="K500" s="37"/>
      <c r="L500" s="37"/>
      <c r="M500" s="37"/>
      <c r="N500" s="37"/>
      <c r="O500" s="37"/>
      <c r="P500" s="37"/>
      <c r="Q500" s="37"/>
      <c r="R500" s="37"/>
      <c r="S500" s="37">
        <f>-G500</f>
        <v>-1450000000</v>
      </c>
      <c r="T500" s="37"/>
      <c r="U500" s="37"/>
      <c r="V500" s="37"/>
      <c r="W500" s="37"/>
      <c r="X500" s="37"/>
      <c r="Y500" s="37"/>
      <c r="Z500" s="37"/>
      <c r="AA500" s="37">
        <f t="shared" si="46"/>
        <v>0</v>
      </c>
      <c r="AB500" s="37">
        <f t="shared" si="45"/>
        <v>0</v>
      </c>
    </row>
    <row r="501" spans="1:28" ht="14.4">
      <c r="A501" s="117">
        <v>1150214</v>
      </c>
      <c r="B501" s="117" t="s">
        <v>139</v>
      </c>
      <c r="C501" s="37">
        <f>+VLOOKUP(A501,Composición!C:G,5,FALSE)</f>
        <v>0</v>
      </c>
      <c r="D501" s="37"/>
      <c r="E501" s="37"/>
      <c r="F501" s="37">
        <f>+VLOOKUP(A501,Composición!C:J,8,FALSE)</f>
        <v>0</v>
      </c>
      <c r="G501" s="37">
        <f t="shared" si="47"/>
        <v>0</v>
      </c>
      <c r="H501" s="37"/>
      <c r="I501" s="37"/>
      <c r="J501" s="37"/>
      <c r="K501" s="37"/>
      <c r="L501" s="37"/>
      <c r="M501" s="37"/>
      <c r="N501" s="37"/>
      <c r="O501" s="37"/>
      <c r="P501" s="37"/>
      <c r="Q501" s="37"/>
      <c r="R501" s="37"/>
      <c r="S501" s="37"/>
      <c r="T501" s="37"/>
      <c r="U501" s="37"/>
      <c r="V501" s="37"/>
      <c r="W501" s="37"/>
      <c r="X501" s="37"/>
      <c r="Y501" s="37"/>
      <c r="Z501" s="37"/>
      <c r="AA501" s="37">
        <f t="shared" si="46"/>
        <v>0</v>
      </c>
      <c r="AB501" s="37">
        <f t="shared" si="45"/>
        <v>0</v>
      </c>
    </row>
    <row r="502" spans="1:28" ht="14.4">
      <c r="A502" s="117">
        <v>11502141</v>
      </c>
      <c r="B502" s="117" t="s">
        <v>140</v>
      </c>
      <c r="C502" s="37">
        <f>+VLOOKUP(A502,Composición!C:G,5,FALSE)</f>
        <v>0</v>
      </c>
      <c r="D502" s="37"/>
      <c r="E502" s="37"/>
      <c r="F502" s="37">
        <f>+VLOOKUP(A502,Composición!C:J,8,FALSE)</f>
        <v>0</v>
      </c>
      <c r="G502" s="37">
        <f t="shared" si="47"/>
        <v>0</v>
      </c>
      <c r="H502" s="37"/>
      <c r="I502" s="37"/>
      <c r="J502" s="37"/>
      <c r="K502" s="37"/>
      <c r="L502" s="37"/>
      <c r="M502" s="37"/>
      <c r="N502" s="37"/>
      <c r="O502" s="37"/>
      <c r="P502" s="37"/>
      <c r="Q502" s="37"/>
      <c r="R502" s="37">
        <f t="shared" ref="R502" si="50">-G502</f>
        <v>0</v>
      </c>
      <c r="S502" s="37"/>
      <c r="T502" s="37"/>
      <c r="U502" s="37"/>
      <c r="V502" s="37"/>
      <c r="W502" s="37"/>
      <c r="X502" s="37"/>
      <c r="Y502" s="37"/>
      <c r="Z502" s="37"/>
      <c r="AA502" s="37">
        <f t="shared" si="46"/>
        <v>0</v>
      </c>
      <c r="AB502" s="37">
        <f t="shared" si="45"/>
        <v>0</v>
      </c>
    </row>
    <row r="503" spans="1:28" ht="14.4">
      <c r="A503" s="117">
        <v>1150214101</v>
      </c>
      <c r="B503" s="117" t="s">
        <v>141</v>
      </c>
      <c r="C503" s="37">
        <f>+VLOOKUP(A503,Composición!C:G,5,FALSE)</f>
        <v>355000000</v>
      </c>
      <c r="D503" s="37"/>
      <c r="E503" s="37"/>
      <c r="F503" s="37">
        <f>+VLOOKUP(A503,Composición!C:J,8,FALSE)</f>
        <v>3500000000</v>
      </c>
      <c r="G503" s="37">
        <f t="shared" si="47"/>
        <v>-3145000000</v>
      </c>
      <c r="H503" s="37"/>
      <c r="I503" s="37"/>
      <c r="J503" s="37"/>
      <c r="K503" s="37"/>
      <c r="L503" s="37"/>
      <c r="M503" s="37"/>
      <c r="N503" s="37"/>
      <c r="O503" s="37"/>
      <c r="P503" s="37"/>
      <c r="Q503" s="37"/>
      <c r="R503" s="37"/>
      <c r="S503" s="37">
        <f>-G503</f>
        <v>3145000000</v>
      </c>
      <c r="T503" s="37"/>
      <c r="U503" s="37"/>
      <c r="V503" s="37"/>
      <c r="W503" s="37"/>
      <c r="X503" s="37"/>
      <c r="Y503" s="37"/>
      <c r="Z503" s="37"/>
      <c r="AA503" s="37">
        <f t="shared" si="46"/>
        <v>0</v>
      </c>
      <c r="AB503" s="37">
        <f t="shared" si="45"/>
        <v>0</v>
      </c>
    </row>
    <row r="504" spans="1:28" ht="14.4">
      <c r="A504" s="1218">
        <v>1150214201</v>
      </c>
      <c r="B504" s="1218" t="s">
        <v>2708</v>
      </c>
      <c r="C504" s="37">
        <f>+VLOOKUP(A504,Composición!C:G,5,FALSE)</f>
        <v>1000000000</v>
      </c>
      <c r="D504" s="37"/>
      <c r="E504" s="37"/>
      <c r="F504" s="37">
        <f>+VLOOKUP(A504,Composición!C:J,8,FALSE)</f>
        <v>0</v>
      </c>
      <c r="G504" s="37">
        <f t="shared" ref="G504" si="51">C504+D504-E504-F504</f>
        <v>1000000000</v>
      </c>
      <c r="H504" s="37"/>
      <c r="I504" s="37"/>
      <c r="J504" s="37"/>
      <c r="K504" s="37"/>
      <c r="L504" s="37"/>
      <c r="M504" s="37"/>
      <c r="N504" s="37"/>
      <c r="O504" s="37"/>
      <c r="P504" s="37"/>
      <c r="Q504" s="37"/>
      <c r="R504" s="37"/>
      <c r="S504" s="37">
        <f>-G504</f>
        <v>-1000000000</v>
      </c>
      <c r="T504" s="37"/>
      <c r="U504" s="37"/>
      <c r="V504" s="37"/>
      <c r="W504" s="37"/>
      <c r="X504" s="37"/>
      <c r="Y504" s="37"/>
      <c r="Z504" s="37"/>
      <c r="AA504" s="37">
        <f t="shared" si="46"/>
        <v>0</v>
      </c>
      <c r="AB504" s="37">
        <f t="shared" si="45"/>
        <v>0</v>
      </c>
    </row>
    <row r="505" spans="1:28" ht="14.4">
      <c r="A505" s="117">
        <v>1150219</v>
      </c>
      <c r="B505" s="117" t="s">
        <v>71</v>
      </c>
      <c r="C505" s="37">
        <f>+VLOOKUP(A505,Composición!C:G,5,FALSE)</f>
        <v>0</v>
      </c>
      <c r="D505" s="37"/>
      <c r="E505" s="37"/>
      <c r="F505" s="37">
        <f>+VLOOKUP(A505,Composición!C:J,8,FALSE)</f>
        <v>0</v>
      </c>
      <c r="G505" s="37">
        <f t="shared" si="47"/>
        <v>0</v>
      </c>
      <c r="H505" s="37"/>
      <c r="I505" s="37"/>
      <c r="J505" s="37"/>
      <c r="K505" s="37"/>
      <c r="L505" s="37"/>
      <c r="M505" s="37"/>
      <c r="N505" s="37"/>
      <c r="O505" s="37"/>
      <c r="P505" s="37"/>
      <c r="Q505" s="37"/>
      <c r="R505" s="37"/>
      <c r="S505" s="37"/>
      <c r="T505" s="37"/>
      <c r="U505" s="37"/>
      <c r="V505" s="37"/>
      <c r="W505" s="37"/>
      <c r="X505" s="37"/>
      <c r="Y505" s="37"/>
      <c r="Z505" s="37"/>
      <c r="AA505" s="37">
        <f t="shared" si="46"/>
        <v>0</v>
      </c>
      <c r="AB505" s="37">
        <f t="shared" si="45"/>
        <v>0</v>
      </c>
    </row>
    <row r="506" spans="1:28" ht="14.4">
      <c r="A506" s="117">
        <v>11502191</v>
      </c>
      <c r="B506" s="117" t="s">
        <v>142</v>
      </c>
      <c r="C506" s="37">
        <f>+VLOOKUP(A506,Composición!C:G,5,FALSE)</f>
        <v>0</v>
      </c>
      <c r="D506" s="37"/>
      <c r="E506" s="37"/>
      <c r="F506" s="37">
        <f>+VLOOKUP(A506,Composición!C:J,8,FALSE)</f>
        <v>0</v>
      </c>
      <c r="G506" s="37">
        <f t="shared" si="47"/>
        <v>0</v>
      </c>
      <c r="H506" s="37"/>
      <c r="I506" s="37"/>
      <c r="J506" s="37"/>
      <c r="K506" s="37"/>
      <c r="L506" s="37"/>
      <c r="M506" s="37"/>
      <c r="N506" s="37"/>
      <c r="O506" s="37"/>
      <c r="P506" s="37"/>
      <c r="Q506" s="37"/>
      <c r="R506" s="37"/>
      <c r="S506" s="37"/>
      <c r="T506" s="37"/>
      <c r="U506" s="37"/>
      <c r="V506" s="37"/>
      <c r="W506" s="37"/>
      <c r="X506" s="37"/>
      <c r="Y506" s="37"/>
      <c r="Z506" s="37"/>
      <c r="AA506" s="37">
        <f t="shared" si="46"/>
        <v>0</v>
      </c>
      <c r="AB506" s="37">
        <f t="shared" si="45"/>
        <v>0</v>
      </c>
    </row>
    <row r="507" spans="1:28" ht="14.4">
      <c r="A507" s="990">
        <v>1150219105</v>
      </c>
      <c r="B507" s="990" t="s">
        <v>143</v>
      </c>
      <c r="C507" s="991">
        <f>+-VLOOKUP(A507,Composición!C:G,5,FALSE)</f>
        <v>0</v>
      </c>
      <c r="D507" s="991"/>
      <c r="E507" s="991"/>
      <c r="F507" s="991">
        <f>+-VLOOKUP(A507,Composición!C:J,8,FALSE)</f>
        <v>-33711796</v>
      </c>
      <c r="G507" s="37">
        <f t="shared" si="47"/>
        <v>33711796</v>
      </c>
      <c r="H507" s="37"/>
      <c r="I507" s="37"/>
      <c r="J507" s="37"/>
      <c r="K507" s="37"/>
      <c r="L507" s="37"/>
      <c r="M507" s="37"/>
      <c r="N507" s="37"/>
      <c r="O507" s="37"/>
      <c r="P507" s="37"/>
      <c r="Q507" s="37"/>
      <c r="R507" s="37"/>
      <c r="S507" s="37">
        <f>-G507</f>
        <v>-33711796</v>
      </c>
      <c r="T507" s="37"/>
      <c r="U507" s="37"/>
      <c r="V507" s="37"/>
      <c r="W507" s="37"/>
      <c r="X507" s="37"/>
      <c r="Y507" s="37"/>
      <c r="Z507" s="37"/>
      <c r="AA507" s="37">
        <f t="shared" si="46"/>
        <v>0</v>
      </c>
      <c r="AB507" s="37">
        <f t="shared" si="45"/>
        <v>0</v>
      </c>
    </row>
    <row r="508" spans="1:28" ht="14.4">
      <c r="A508" s="990">
        <v>1150219107</v>
      </c>
      <c r="B508" s="990" t="s">
        <v>144</v>
      </c>
      <c r="C508" s="991">
        <f>+-VLOOKUP(A508,Composición!C:G,5,FALSE)</f>
        <v>0</v>
      </c>
      <c r="D508" s="991"/>
      <c r="E508" s="991"/>
      <c r="F508" s="991">
        <f>+-VLOOKUP(A508,Composición!C:J,8,FALSE)</f>
        <v>-5538932</v>
      </c>
      <c r="G508" s="37">
        <f t="shared" si="47"/>
        <v>5538932</v>
      </c>
      <c r="H508" s="37"/>
      <c r="I508" s="37"/>
      <c r="J508" s="37"/>
      <c r="K508" s="37"/>
      <c r="L508" s="37"/>
      <c r="M508" s="37"/>
      <c r="N508" s="37"/>
      <c r="O508" s="37"/>
      <c r="P508" s="37"/>
      <c r="Q508" s="37"/>
      <c r="R508" s="37"/>
      <c r="S508" s="37">
        <f>-G508</f>
        <v>-5538932</v>
      </c>
      <c r="T508" s="37"/>
      <c r="U508" s="37"/>
      <c r="V508" s="37"/>
      <c r="W508" s="37"/>
      <c r="X508" s="37"/>
      <c r="Y508" s="37"/>
      <c r="Z508" s="37"/>
      <c r="AA508" s="37">
        <f t="shared" si="46"/>
        <v>0</v>
      </c>
      <c r="AB508" s="37">
        <f t="shared" si="45"/>
        <v>0</v>
      </c>
    </row>
    <row r="509" spans="1:28" ht="14.4">
      <c r="A509" s="990">
        <v>1150224108</v>
      </c>
      <c r="B509" s="990" t="s">
        <v>2710</v>
      </c>
      <c r="C509" s="991">
        <f>+VLOOKUP(A509,Composición!C:G,5,FALSE)</f>
        <v>269993973</v>
      </c>
      <c r="D509" s="991"/>
      <c r="E509" s="991"/>
      <c r="F509" s="991">
        <f>+-VLOOKUP(A509,Composición!C:J,8,FALSE)</f>
        <v>0</v>
      </c>
      <c r="G509" s="37">
        <f t="shared" ref="G509" si="52">C509+D509-E509-F509</f>
        <v>269993973</v>
      </c>
      <c r="H509" s="37"/>
      <c r="I509" s="37"/>
      <c r="J509" s="37"/>
      <c r="K509" s="37"/>
      <c r="L509" s="37"/>
      <c r="M509" s="37"/>
      <c r="N509" s="37"/>
      <c r="O509" s="37"/>
      <c r="P509" s="37"/>
      <c r="Q509" s="37"/>
      <c r="R509" s="37"/>
      <c r="S509" s="37">
        <f>-G509</f>
        <v>-269993973</v>
      </c>
      <c r="T509" s="37"/>
      <c r="U509" s="37"/>
      <c r="V509" s="37"/>
      <c r="W509" s="37"/>
      <c r="X509" s="37"/>
      <c r="Y509" s="37"/>
      <c r="Z509" s="37"/>
      <c r="AA509" s="37">
        <f t="shared" si="46"/>
        <v>0</v>
      </c>
      <c r="AB509" s="37">
        <f t="shared" si="45"/>
        <v>0</v>
      </c>
    </row>
    <row r="510" spans="1:28" ht="14.4">
      <c r="A510" s="990">
        <v>1150219113</v>
      </c>
      <c r="B510" s="990" t="s">
        <v>145</v>
      </c>
      <c r="C510" s="991">
        <f>+-VLOOKUP(A510,Composición!C:G,5,FALSE)</f>
        <v>0</v>
      </c>
      <c r="D510" s="991"/>
      <c r="E510" s="991"/>
      <c r="F510" s="991">
        <f>+-VLOOKUP(A510,Composición!C:J,8,FALSE)</f>
        <v>-74950851</v>
      </c>
      <c r="G510" s="37">
        <f t="shared" si="47"/>
        <v>74950851</v>
      </c>
      <c r="H510" s="37"/>
      <c r="I510" s="37"/>
      <c r="J510" s="37"/>
      <c r="K510" s="37"/>
      <c r="L510" s="37"/>
      <c r="M510" s="37"/>
      <c r="N510" s="37"/>
      <c r="O510" s="37"/>
      <c r="P510" s="37"/>
      <c r="Q510" s="37"/>
      <c r="R510" s="37"/>
      <c r="S510" s="37">
        <f>-G510</f>
        <v>-74950851</v>
      </c>
      <c r="T510" s="37"/>
      <c r="U510" s="37"/>
      <c r="V510" s="37"/>
      <c r="W510" s="37"/>
      <c r="X510" s="37"/>
      <c r="Y510" s="37"/>
      <c r="Z510" s="37"/>
      <c r="AA510" s="37">
        <f t="shared" si="46"/>
        <v>0</v>
      </c>
      <c r="AB510" s="37">
        <f t="shared" ref="AB510:AB568" si="53">SUM(G510:Z510)</f>
        <v>0</v>
      </c>
    </row>
    <row r="511" spans="1:28" ht="14.4">
      <c r="A511" s="990">
        <v>1150219131</v>
      </c>
      <c r="B511" s="990" t="s">
        <v>146</v>
      </c>
      <c r="C511" s="991">
        <f>-+VLOOKUP(A511,Composición!C:G,5,FALSE)</f>
        <v>0</v>
      </c>
      <c r="D511" s="991"/>
      <c r="E511" s="991"/>
      <c r="F511" s="991">
        <f>-+VLOOKUP(A511,Composición!C:J,8,FALSE)</f>
        <v>-461394478</v>
      </c>
      <c r="G511" s="37">
        <f t="shared" si="47"/>
        <v>461394478</v>
      </c>
      <c r="H511" s="37"/>
      <c r="I511" s="37"/>
      <c r="J511" s="37"/>
      <c r="K511" s="37"/>
      <c r="L511" s="37"/>
      <c r="M511" s="37"/>
      <c r="N511" s="37"/>
      <c r="O511" s="37"/>
      <c r="P511" s="37"/>
      <c r="Q511" s="37"/>
      <c r="R511" s="37"/>
      <c r="S511" s="37">
        <f>-G511</f>
        <v>-461394478</v>
      </c>
      <c r="T511" s="37"/>
      <c r="U511" s="37"/>
      <c r="V511" s="37"/>
      <c r="W511" s="37"/>
      <c r="X511" s="37"/>
      <c r="Y511" s="37"/>
      <c r="Z511" s="37"/>
      <c r="AA511" s="37">
        <f t="shared" si="46"/>
        <v>0</v>
      </c>
      <c r="AB511" s="37">
        <f t="shared" si="53"/>
        <v>0</v>
      </c>
    </row>
    <row r="512" spans="1:28" ht="14.4">
      <c r="A512" s="117">
        <v>11502192</v>
      </c>
      <c r="B512" s="117" t="s">
        <v>147</v>
      </c>
      <c r="C512" s="37">
        <f>+VLOOKUP(A512,Composición!C:G,5,FALSE)</f>
        <v>0</v>
      </c>
      <c r="D512" s="37"/>
      <c r="E512" s="37"/>
      <c r="F512" s="37">
        <f>+VLOOKUP(A512,Composición!C:J,8,FALSE)</f>
        <v>0</v>
      </c>
      <c r="G512" s="37">
        <f t="shared" si="47"/>
        <v>0</v>
      </c>
      <c r="H512" s="37"/>
      <c r="I512" s="37"/>
      <c r="J512" s="37"/>
      <c r="K512" s="37"/>
      <c r="L512" s="37"/>
      <c r="M512" s="37"/>
      <c r="N512" s="37"/>
      <c r="O512" s="37"/>
      <c r="P512" s="37"/>
      <c r="Q512" s="37"/>
      <c r="R512" s="37"/>
      <c r="S512" s="37"/>
      <c r="T512" s="37"/>
      <c r="U512" s="37"/>
      <c r="V512" s="37"/>
      <c r="W512" s="37"/>
      <c r="X512" s="37"/>
      <c r="Y512" s="37"/>
      <c r="Z512" s="37"/>
      <c r="AA512" s="37">
        <f t="shared" si="46"/>
        <v>0</v>
      </c>
      <c r="AB512" s="37">
        <f t="shared" si="53"/>
        <v>0</v>
      </c>
    </row>
    <row r="513" spans="1:28" ht="14.4">
      <c r="A513" s="952">
        <v>1150219203</v>
      </c>
      <c r="B513" s="949" t="s">
        <v>578</v>
      </c>
      <c r="C513" s="37">
        <f>+VLOOKUP(A513,Composición!C:G,5,FALSE)</f>
        <v>0</v>
      </c>
      <c r="D513" s="37"/>
      <c r="E513" s="37"/>
      <c r="F513" s="37">
        <f>+VLOOKUP(A513,Composición!C:J,8,FALSE)</f>
        <v>0</v>
      </c>
      <c r="G513" s="37">
        <f t="shared" si="47"/>
        <v>0</v>
      </c>
      <c r="H513" s="37"/>
      <c r="I513" s="37"/>
      <c r="J513" s="37"/>
      <c r="K513" s="37"/>
      <c r="L513" s="37"/>
      <c r="M513" s="37"/>
      <c r="N513" s="37"/>
      <c r="O513" s="37"/>
      <c r="P513" s="37"/>
      <c r="Q513" s="37"/>
      <c r="R513" s="37"/>
      <c r="S513" s="37">
        <f>-G513</f>
        <v>0</v>
      </c>
      <c r="T513" s="37"/>
      <c r="U513" s="37"/>
      <c r="V513" s="37"/>
      <c r="W513" s="37"/>
      <c r="X513" s="37"/>
      <c r="Y513" s="37"/>
      <c r="Z513" s="37"/>
      <c r="AA513" s="37">
        <f t="shared" si="46"/>
        <v>0</v>
      </c>
      <c r="AB513" s="37">
        <f t="shared" si="53"/>
        <v>0</v>
      </c>
    </row>
    <row r="514" spans="1:28" ht="14.4">
      <c r="A514" s="117">
        <v>1150219205</v>
      </c>
      <c r="B514" s="117" t="s">
        <v>148</v>
      </c>
      <c r="C514" s="37">
        <f>+VLOOKUP(A514,Composición!C:G,5,FALSE)</f>
        <v>274548887</v>
      </c>
      <c r="D514" s="37"/>
      <c r="E514" s="37"/>
      <c r="F514" s="37">
        <f>+VLOOKUP(A514,Composición!C:J,8,FALSE)</f>
        <v>45776005</v>
      </c>
      <c r="G514" s="37">
        <f t="shared" si="47"/>
        <v>228772882</v>
      </c>
      <c r="H514" s="37"/>
      <c r="I514" s="37"/>
      <c r="J514" s="37"/>
      <c r="K514" s="37"/>
      <c r="L514" s="37"/>
      <c r="M514" s="37"/>
      <c r="N514" s="37"/>
      <c r="O514" s="37"/>
      <c r="P514" s="37"/>
      <c r="Q514" s="37"/>
      <c r="R514" s="37"/>
      <c r="S514" s="37">
        <f>-G514</f>
        <v>-228772882</v>
      </c>
      <c r="T514" s="37"/>
      <c r="U514" s="37"/>
      <c r="V514" s="37"/>
      <c r="W514" s="37"/>
      <c r="X514" s="37"/>
      <c r="Y514" s="37"/>
      <c r="Z514" s="37"/>
      <c r="AA514" s="37">
        <f t="shared" si="46"/>
        <v>0</v>
      </c>
      <c r="AB514" s="37">
        <f t="shared" si="53"/>
        <v>0</v>
      </c>
    </row>
    <row r="515" spans="1:28" ht="14.4">
      <c r="A515" s="1218">
        <v>1150224208</v>
      </c>
      <c r="B515" s="1218" t="s">
        <v>2711</v>
      </c>
      <c r="C515" s="37">
        <f>+VLOOKUP(A515,Composición!C:G,5,FALSE)</f>
        <v>-268754521</v>
      </c>
      <c r="D515" s="37"/>
      <c r="E515" s="37"/>
      <c r="F515" s="37">
        <f>+VLOOKUP(A515,Composición!C:J,8,FALSE)</f>
        <v>0</v>
      </c>
      <c r="G515" s="37">
        <f t="shared" ref="G515" si="54">C515+D515-E515-F515</f>
        <v>-268754521</v>
      </c>
      <c r="H515" s="37"/>
      <c r="I515" s="37"/>
      <c r="J515" s="37"/>
      <c r="K515" s="37"/>
      <c r="L515" s="37"/>
      <c r="M515" s="37"/>
      <c r="N515" s="37"/>
      <c r="O515" s="37"/>
      <c r="P515" s="37"/>
      <c r="Q515" s="37"/>
      <c r="R515" s="37"/>
      <c r="S515" s="37">
        <f>-G515</f>
        <v>268754521</v>
      </c>
      <c r="T515" s="37"/>
      <c r="U515" s="37"/>
      <c r="V515" s="37"/>
      <c r="W515" s="37"/>
      <c r="X515" s="37"/>
      <c r="Y515" s="37"/>
      <c r="Z515" s="37"/>
      <c r="AA515" s="37">
        <f t="shared" si="46"/>
        <v>0</v>
      </c>
      <c r="AB515" s="37">
        <f t="shared" si="53"/>
        <v>0</v>
      </c>
    </row>
    <row r="516" spans="1:28" ht="14.4">
      <c r="A516" s="117">
        <v>1150219213</v>
      </c>
      <c r="B516" s="117" t="s">
        <v>149</v>
      </c>
      <c r="C516" s="37">
        <f>+VLOOKUP(A516,Composición!C:G,5,FALSE)</f>
        <v>0</v>
      </c>
      <c r="D516" s="37"/>
      <c r="E516" s="37"/>
      <c r="F516" s="37">
        <f>+VLOOKUP(A516,Composición!C:J,8,FALSE)</f>
        <v>7396789</v>
      </c>
      <c r="G516" s="37">
        <f t="shared" si="47"/>
        <v>-7396789</v>
      </c>
      <c r="H516" s="37"/>
      <c r="I516" s="37"/>
      <c r="J516" s="37"/>
      <c r="K516" s="37"/>
      <c r="L516" s="37"/>
      <c r="M516" s="37"/>
      <c r="N516" s="37"/>
      <c r="O516" s="37"/>
      <c r="P516" s="37"/>
      <c r="Q516" s="37"/>
      <c r="R516" s="37"/>
      <c r="S516" s="37">
        <f t="shared" ref="S516:S517" si="55">-G516</f>
        <v>7396789</v>
      </c>
      <c r="T516" s="37"/>
      <c r="U516" s="37"/>
      <c r="V516" s="37"/>
      <c r="W516" s="37"/>
      <c r="X516" s="37"/>
      <c r="Y516" s="37"/>
      <c r="Z516" s="37"/>
      <c r="AA516" s="37">
        <f t="shared" si="46"/>
        <v>0</v>
      </c>
      <c r="AB516" s="37">
        <f t="shared" si="53"/>
        <v>0</v>
      </c>
    </row>
    <row r="517" spans="1:28" ht="14.4">
      <c r="A517" s="117">
        <v>1150219229</v>
      </c>
      <c r="B517" s="117" t="s">
        <v>150</v>
      </c>
      <c r="C517" s="37">
        <f>+VLOOKUP(A517,Composición!C:G,5,FALSE)</f>
        <v>163964599</v>
      </c>
      <c r="D517" s="37"/>
      <c r="E517" s="37"/>
      <c r="F517" s="37">
        <f>+VLOOKUP(A517,Composición!C:J,8,FALSE)</f>
        <v>4585773</v>
      </c>
      <c r="G517" s="37">
        <f t="shared" si="47"/>
        <v>159378826</v>
      </c>
      <c r="H517" s="37"/>
      <c r="I517" s="37"/>
      <c r="J517" s="37"/>
      <c r="K517" s="37"/>
      <c r="L517" s="37"/>
      <c r="M517" s="37"/>
      <c r="N517" s="37"/>
      <c r="O517" s="37"/>
      <c r="P517" s="37"/>
      <c r="Q517" s="37"/>
      <c r="R517" s="37"/>
      <c r="S517" s="37">
        <f t="shared" si="55"/>
        <v>-159378826</v>
      </c>
      <c r="T517" s="37"/>
      <c r="U517" s="37"/>
      <c r="V517" s="37"/>
      <c r="W517" s="37"/>
      <c r="X517" s="37"/>
      <c r="Y517" s="37"/>
      <c r="Z517" s="37"/>
      <c r="AA517" s="37">
        <f t="shared" si="46"/>
        <v>0</v>
      </c>
      <c r="AB517" s="37">
        <f t="shared" si="53"/>
        <v>0</v>
      </c>
    </row>
    <row r="518" spans="1:28" ht="14.4">
      <c r="A518" s="117">
        <v>1150224</v>
      </c>
      <c r="B518" s="117" t="s">
        <v>151</v>
      </c>
      <c r="C518" s="37">
        <f>+VLOOKUP(A518,Composición!C:G,5,FALSE)</f>
        <v>0</v>
      </c>
      <c r="D518" s="37"/>
      <c r="E518" s="37"/>
      <c r="F518" s="37">
        <f>+VLOOKUP(A518,Composición!C:J,8,FALSE)</f>
        <v>0</v>
      </c>
      <c r="G518" s="37">
        <f t="shared" si="47"/>
        <v>0</v>
      </c>
      <c r="H518" s="37"/>
      <c r="I518" s="37"/>
      <c r="J518" s="37"/>
      <c r="K518" s="37"/>
      <c r="L518" s="37"/>
      <c r="M518" s="37"/>
      <c r="N518" s="37"/>
      <c r="O518" s="37"/>
      <c r="P518" s="37"/>
      <c r="Q518" s="37"/>
      <c r="R518" s="37"/>
      <c r="S518" s="37"/>
      <c r="T518" s="37"/>
      <c r="U518" s="37"/>
      <c r="V518" s="37"/>
      <c r="W518" s="37"/>
      <c r="X518" s="37"/>
      <c r="Y518" s="37"/>
      <c r="Z518" s="37"/>
      <c r="AA518" s="37">
        <f t="shared" si="46"/>
        <v>0</v>
      </c>
      <c r="AB518" s="37">
        <f t="shared" si="53"/>
        <v>0</v>
      </c>
    </row>
    <row r="519" spans="1:28" ht="14.4">
      <c r="A519" s="117">
        <v>11502241</v>
      </c>
      <c r="B519" s="117" t="s">
        <v>152</v>
      </c>
      <c r="C519" s="37">
        <f>+VLOOKUP(A519,Composición!C:G,5,FALSE)</f>
        <v>0</v>
      </c>
      <c r="D519" s="37"/>
      <c r="E519" s="37"/>
      <c r="F519" s="37">
        <f>+VLOOKUP(A519,Composición!C:J,8,FALSE)</f>
        <v>0</v>
      </c>
      <c r="G519" s="37">
        <f t="shared" si="47"/>
        <v>0</v>
      </c>
      <c r="H519" s="37"/>
      <c r="I519" s="37"/>
      <c r="J519" s="37"/>
      <c r="K519" s="37"/>
      <c r="L519" s="37"/>
      <c r="M519" s="37"/>
      <c r="N519" s="37"/>
      <c r="O519" s="37"/>
      <c r="P519" s="37"/>
      <c r="Q519" s="37"/>
      <c r="R519" s="37"/>
      <c r="S519" s="37"/>
      <c r="T519" s="37"/>
      <c r="U519" s="37"/>
      <c r="V519" s="37"/>
      <c r="W519" s="37"/>
      <c r="X519" s="37"/>
      <c r="Y519" s="37"/>
      <c r="Z519" s="37"/>
      <c r="AA519" s="37">
        <f t="shared" si="46"/>
        <v>0</v>
      </c>
      <c r="AB519" s="37">
        <f t="shared" si="53"/>
        <v>0</v>
      </c>
    </row>
    <row r="520" spans="1:28" ht="14.4">
      <c r="A520" s="952">
        <v>1150224103</v>
      </c>
      <c r="B520" s="949" t="s">
        <v>579</v>
      </c>
      <c r="C520" s="37">
        <f>+VLOOKUP(A520,Composición!C:G,5,FALSE)</f>
        <v>0</v>
      </c>
      <c r="D520" s="37"/>
      <c r="E520" s="37"/>
      <c r="F520" s="37">
        <f>+VLOOKUP(A520,Composición!C:J,8,FALSE)</f>
        <v>0</v>
      </c>
      <c r="G520" s="37">
        <f t="shared" si="47"/>
        <v>0</v>
      </c>
      <c r="H520" s="37"/>
      <c r="I520" s="37"/>
      <c r="J520" s="37"/>
      <c r="K520" s="37"/>
      <c r="L520" s="37"/>
      <c r="M520" s="37"/>
      <c r="N520" s="37"/>
      <c r="O520" s="37"/>
      <c r="P520" s="37"/>
      <c r="Q520" s="37"/>
      <c r="R520" s="37"/>
      <c r="S520" s="37"/>
      <c r="T520" s="37">
        <f>-G520</f>
        <v>0</v>
      </c>
      <c r="U520" s="37"/>
      <c r="V520" s="37"/>
      <c r="W520" s="37"/>
      <c r="X520" s="37"/>
      <c r="Y520" s="37"/>
      <c r="Z520" s="37"/>
      <c r="AA520" s="37">
        <f t="shared" si="46"/>
        <v>0</v>
      </c>
      <c r="AB520" s="37">
        <f t="shared" si="53"/>
        <v>0</v>
      </c>
    </row>
    <row r="521" spans="1:28" ht="14.4">
      <c r="A521" s="117">
        <v>1150224105</v>
      </c>
      <c r="B521" s="117" t="s">
        <v>153</v>
      </c>
      <c r="C521" s="37">
        <f>+VLOOKUP(A521,Composición!C:G,5,FALSE)</f>
        <v>4426317953</v>
      </c>
      <c r="D521" s="37"/>
      <c r="E521" s="37"/>
      <c r="F521" s="37">
        <f>+VLOOKUP(A521,Composición!C:J,8,FALSE)</f>
        <v>1395814328</v>
      </c>
      <c r="G521" s="37">
        <f t="shared" si="47"/>
        <v>3030503625</v>
      </c>
      <c r="H521" s="37"/>
      <c r="I521" s="37"/>
      <c r="J521" s="37"/>
      <c r="K521" s="37"/>
      <c r="L521" s="37"/>
      <c r="M521" s="37"/>
      <c r="N521" s="37"/>
      <c r="O521" s="37"/>
      <c r="P521" s="37"/>
      <c r="Q521" s="37"/>
      <c r="R521" s="37"/>
      <c r="S521" s="37"/>
      <c r="T521" s="37">
        <f>-G521</f>
        <v>-3030503625</v>
      </c>
      <c r="U521" s="37"/>
      <c r="V521" s="37"/>
      <c r="W521" s="37"/>
      <c r="X521" s="37"/>
      <c r="Y521" s="37"/>
      <c r="Z521" s="37"/>
      <c r="AA521" s="37">
        <f t="shared" si="46"/>
        <v>0</v>
      </c>
      <c r="AB521" s="37">
        <f t="shared" si="53"/>
        <v>0</v>
      </c>
    </row>
    <row r="522" spans="1:28" ht="14.4">
      <c r="A522" s="117">
        <v>1150224107</v>
      </c>
      <c r="B522" s="117" t="s">
        <v>154</v>
      </c>
      <c r="C522" s="37">
        <f>+VLOOKUP(A522,Composición!C:G,5,FALSE)</f>
        <v>355167123</v>
      </c>
      <c r="D522" s="37"/>
      <c r="E522" s="37"/>
      <c r="F522" s="37">
        <f>+VLOOKUP(A522,Composición!C:J,8,FALSE)</f>
        <v>29578082</v>
      </c>
      <c r="G522" s="37">
        <f t="shared" si="47"/>
        <v>325589041</v>
      </c>
      <c r="H522" s="37"/>
      <c r="I522" s="37"/>
      <c r="J522" s="37"/>
      <c r="K522" s="37"/>
      <c r="L522" s="37"/>
      <c r="M522" s="37"/>
      <c r="N522" s="37"/>
      <c r="O522" s="37"/>
      <c r="P522" s="37"/>
      <c r="Q522" s="37"/>
      <c r="R522" s="37"/>
      <c r="S522" s="37"/>
      <c r="T522" s="37">
        <f>-G522</f>
        <v>-325589041</v>
      </c>
      <c r="U522" s="37"/>
      <c r="V522" s="37"/>
      <c r="W522" s="37"/>
      <c r="X522" s="37"/>
      <c r="Y522" s="37"/>
      <c r="Z522" s="37"/>
      <c r="AA522" s="37">
        <f t="shared" si="46"/>
        <v>0</v>
      </c>
      <c r="AB522" s="37">
        <f t="shared" si="53"/>
        <v>0</v>
      </c>
    </row>
    <row r="523" spans="1:28" ht="14.4">
      <c r="A523" s="117">
        <v>1150224113</v>
      </c>
      <c r="B523" s="117" t="s">
        <v>155</v>
      </c>
      <c r="C523" s="37">
        <f>+VLOOKUP(A523,Composición!C:G,5,FALSE)</f>
        <v>79254966</v>
      </c>
      <c r="D523" s="37"/>
      <c r="E523" s="37"/>
      <c r="F523" s="37">
        <f>+VLOOKUP(A523,Composición!C:J,8,FALSE)</f>
        <v>493469863</v>
      </c>
      <c r="G523" s="37">
        <f t="shared" si="47"/>
        <v>-414214897</v>
      </c>
      <c r="H523" s="37"/>
      <c r="I523" s="37"/>
      <c r="J523" s="37"/>
      <c r="K523" s="37"/>
      <c r="L523" s="37"/>
      <c r="M523" s="37"/>
      <c r="N523" s="37"/>
      <c r="O523" s="37"/>
      <c r="P523" s="37"/>
      <c r="Q523" s="37"/>
      <c r="R523" s="37"/>
      <c r="S523" s="37"/>
      <c r="T523" s="37">
        <f t="shared" ref="T523:T524" si="56">-G523</f>
        <v>414214897</v>
      </c>
      <c r="U523" s="37"/>
      <c r="V523" s="37"/>
      <c r="W523" s="37"/>
      <c r="X523" s="37"/>
      <c r="Y523" s="37"/>
      <c r="Z523" s="37"/>
      <c r="AA523" s="37">
        <f t="shared" si="46"/>
        <v>0</v>
      </c>
      <c r="AB523" s="37">
        <f t="shared" si="53"/>
        <v>0</v>
      </c>
    </row>
    <row r="524" spans="1:28" ht="14.4">
      <c r="A524" s="117">
        <v>1150224129</v>
      </c>
      <c r="B524" s="117" t="s">
        <v>156</v>
      </c>
      <c r="C524" s="37">
        <f>+VLOOKUP(A524,Composición!C:G,5,FALSE)</f>
        <v>1227984450</v>
      </c>
      <c r="D524" s="37"/>
      <c r="E524" s="37"/>
      <c r="F524" s="37">
        <f>+VLOOKUP(A524,Composición!C:J,8,FALSE)</f>
        <v>158897260</v>
      </c>
      <c r="G524" s="37">
        <f t="shared" si="47"/>
        <v>1069087190</v>
      </c>
      <c r="H524" s="37"/>
      <c r="I524" s="37"/>
      <c r="J524" s="37"/>
      <c r="K524" s="37"/>
      <c r="L524" s="37"/>
      <c r="M524" s="37"/>
      <c r="N524" s="37"/>
      <c r="O524" s="37"/>
      <c r="P524" s="37"/>
      <c r="Q524" s="37"/>
      <c r="R524" s="37"/>
      <c r="S524" s="37"/>
      <c r="T524" s="37">
        <f t="shared" si="56"/>
        <v>-1069087190</v>
      </c>
      <c r="U524" s="37"/>
      <c r="V524" s="37"/>
      <c r="W524" s="37"/>
      <c r="X524" s="37"/>
      <c r="Y524" s="37"/>
      <c r="Z524" s="37"/>
      <c r="AA524" s="37">
        <f t="shared" si="46"/>
        <v>0</v>
      </c>
      <c r="AB524" s="37">
        <f t="shared" si="53"/>
        <v>0</v>
      </c>
    </row>
    <row r="525" spans="1:28" ht="14.4">
      <c r="A525" s="117">
        <v>11502242</v>
      </c>
      <c r="B525" s="117" t="s">
        <v>157</v>
      </c>
      <c r="C525" s="37">
        <f>+VLOOKUP(A525,Composición!C:G,5,FALSE)</f>
        <v>0</v>
      </c>
      <c r="D525" s="37"/>
      <c r="E525" s="37"/>
      <c r="F525" s="37">
        <f>+VLOOKUP(A525,Composición!C:J,8,FALSE)</f>
        <v>0</v>
      </c>
      <c r="G525" s="37">
        <f t="shared" si="47"/>
        <v>0</v>
      </c>
      <c r="H525" s="37"/>
      <c r="I525" s="37"/>
      <c r="J525" s="37"/>
      <c r="K525" s="37"/>
      <c r="L525" s="37"/>
      <c r="M525" s="37"/>
      <c r="N525" s="37"/>
      <c r="O525" s="37"/>
      <c r="P525" s="37"/>
      <c r="Q525" s="37"/>
      <c r="R525" s="37"/>
      <c r="S525" s="37"/>
      <c r="T525" s="37"/>
      <c r="U525" s="37"/>
      <c r="V525" s="37"/>
      <c r="W525" s="37"/>
      <c r="X525" s="37"/>
      <c r="Y525" s="37"/>
      <c r="Z525" s="37"/>
      <c r="AA525" s="37">
        <f t="shared" si="46"/>
        <v>0</v>
      </c>
      <c r="AB525" s="37">
        <f t="shared" si="53"/>
        <v>0</v>
      </c>
    </row>
    <row r="526" spans="1:28" ht="14.4">
      <c r="A526" s="952">
        <v>1150224203</v>
      </c>
      <c r="B526" s="949" t="s">
        <v>580</v>
      </c>
      <c r="C526" s="37">
        <f>+VLOOKUP(A526,Composición!C:G,5,FALSE)</f>
        <v>0</v>
      </c>
      <c r="D526" s="37"/>
      <c r="E526" s="37"/>
      <c r="F526" s="37">
        <f>+VLOOKUP(A526,Composición!C:J,8,FALSE)</f>
        <v>0</v>
      </c>
      <c r="G526" s="37">
        <f t="shared" si="47"/>
        <v>0</v>
      </c>
      <c r="H526" s="37"/>
      <c r="I526" s="37"/>
      <c r="J526" s="37"/>
      <c r="K526" s="37"/>
      <c r="L526" s="37"/>
      <c r="M526" s="37"/>
      <c r="N526" s="37"/>
      <c r="O526" s="37"/>
      <c r="P526" s="37"/>
      <c r="Q526" s="37"/>
      <c r="R526" s="37"/>
      <c r="S526" s="37"/>
      <c r="T526" s="37">
        <f t="shared" ref="T526:T530" si="57">-G526</f>
        <v>0</v>
      </c>
      <c r="U526" s="37"/>
      <c r="V526" s="37"/>
      <c r="W526" s="37"/>
      <c r="X526" s="37"/>
      <c r="Y526" s="37"/>
      <c r="Z526" s="37"/>
      <c r="AA526" s="37">
        <f t="shared" si="46"/>
        <v>0</v>
      </c>
      <c r="AB526" s="37">
        <f t="shared" si="53"/>
        <v>0</v>
      </c>
    </row>
    <row r="527" spans="1:28" ht="14.4">
      <c r="A527" s="117">
        <v>1150224205</v>
      </c>
      <c r="B527" s="117" t="s">
        <v>158</v>
      </c>
      <c r="C527" s="37">
        <f>+VLOOKUP(A527,Composición!C:G,5,FALSE)</f>
        <v>-3421132884</v>
      </c>
      <c r="D527" s="37"/>
      <c r="E527" s="37"/>
      <c r="F527" s="37">
        <f>+VLOOKUP(A527,Composición!C:J,8,FALSE)</f>
        <v>-1277230400</v>
      </c>
      <c r="G527" s="37">
        <f t="shared" si="47"/>
        <v>-2143902484</v>
      </c>
      <c r="H527" s="37"/>
      <c r="I527" s="37"/>
      <c r="J527" s="37"/>
      <c r="K527" s="37"/>
      <c r="L527" s="37"/>
      <c r="M527" s="37"/>
      <c r="N527" s="37"/>
      <c r="O527" s="37"/>
      <c r="P527" s="37"/>
      <c r="Q527" s="37"/>
      <c r="R527" s="37"/>
      <c r="S527" s="37"/>
      <c r="T527" s="37">
        <f t="shared" si="57"/>
        <v>2143902484</v>
      </c>
      <c r="U527" s="37"/>
      <c r="V527" s="37"/>
      <c r="W527" s="37"/>
      <c r="X527" s="37"/>
      <c r="Y527" s="37"/>
      <c r="Z527" s="37"/>
      <c r="AA527" s="37">
        <f t="shared" si="46"/>
        <v>0</v>
      </c>
      <c r="AB527" s="37">
        <f t="shared" si="53"/>
        <v>0</v>
      </c>
    </row>
    <row r="528" spans="1:28" ht="14.4">
      <c r="A528" s="117">
        <v>1150224207</v>
      </c>
      <c r="B528" s="117" t="s">
        <v>159</v>
      </c>
      <c r="C528" s="37">
        <f>+VLOOKUP(A528,Composición!C:G,5,FALSE)</f>
        <v>-350679452</v>
      </c>
      <c r="D528" s="37"/>
      <c r="E528" s="37"/>
      <c r="F528" s="37">
        <f>+VLOOKUP(A528,Composición!C:J,8,FALSE)</f>
        <v>-28208219</v>
      </c>
      <c r="G528" s="37">
        <f t="shared" si="47"/>
        <v>-322471233</v>
      </c>
      <c r="H528" s="37"/>
      <c r="I528" s="37"/>
      <c r="J528" s="37"/>
      <c r="K528" s="37"/>
      <c r="L528" s="37"/>
      <c r="M528" s="37"/>
      <c r="N528" s="37"/>
      <c r="O528" s="37"/>
      <c r="P528" s="37"/>
      <c r="Q528" s="37"/>
      <c r="R528" s="37"/>
      <c r="S528" s="37"/>
      <c r="T528" s="37">
        <f t="shared" si="57"/>
        <v>322471233</v>
      </c>
      <c r="U528" s="37"/>
      <c r="V528" s="37"/>
      <c r="W528" s="37"/>
      <c r="X528" s="37"/>
      <c r="Y528" s="37"/>
      <c r="Z528" s="37"/>
      <c r="AA528" s="37">
        <f t="shared" si="46"/>
        <v>0</v>
      </c>
      <c r="AB528" s="37">
        <f t="shared" si="53"/>
        <v>0</v>
      </c>
    </row>
    <row r="529" spans="1:28" ht="14.4">
      <c r="A529" s="117">
        <v>1150224213</v>
      </c>
      <c r="B529" s="117" t="s">
        <v>160</v>
      </c>
      <c r="C529" s="37">
        <f>+VLOOKUP(A529,Composición!C:G,5,FALSE)</f>
        <v>-76563288</v>
      </c>
      <c r="D529" s="37"/>
      <c r="E529" s="37"/>
      <c r="F529" s="37">
        <f>+VLOOKUP(A529,Composición!C:J,8,FALSE)</f>
        <v>-442682192</v>
      </c>
      <c r="G529" s="37">
        <f t="shared" si="47"/>
        <v>366118904</v>
      </c>
      <c r="H529" s="37"/>
      <c r="I529" s="37"/>
      <c r="J529" s="37"/>
      <c r="K529" s="37"/>
      <c r="L529" s="37"/>
      <c r="M529" s="37"/>
      <c r="N529" s="37"/>
      <c r="O529" s="37"/>
      <c r="P529" s="37"/>
      <c r="Q529" s="37"/>
      <c r="R529" s="37"/>
      <c r="S529" s="37"/>
      <c r="T529" s="37">
        <f t="shared" si="57"/>
        <v>-366118904</v>
      </c>
      <c r="U529" s="37"/>
      <c r="V529" s="37"/>
      <c r="W529" s="37"/>
      <c r="X529" s="37"/>
      <c r="Y529" s="37"/>
      <c r="Z529" s="37"/>
      <c r="AA529" s="37">
        <f t="shared" si="46"/>
        <v>0</v>
      </c>
      <c r="AB529" s="37">
        <f t="shared" si="53"/>
        <v>0</v>
      </c>
    </row>
    <row r="530" spans="1:28" ht="14.4">
      <c r="A530" s="117">
        <v>1150224229</v>
      </c>
      <c r="B530" s="117" t="s">
        <v>161</v>
      </c>
      <c r="C530" s="37">
        <f>+VLOOKUP(A530,Composición!C:G,5,FALSE)</f>
        <v>-1143351717</v>
      </c>
      <c r="D530" s="37"/>
      <c r="E530" s="37"/>
      <c r="F530" s="37">
        <f>+VLOOKUP(A530,Composición!C:J,8,FALSE)</f>
        <v>-148914695</v>
      </c>
      <c r="G530" s="37">
        <f t="shared" si="47"/>
        <v>-994437022</v>
      </c>
      <c r="H530" s="37"/>
      <c r="I530" s="37"/>
      <c r="J530" s="37"/>
      <c r="K530" s="37"/>
      <c r="L530" s="37"/>
      <c r="M530" s="37"/>
      <c r="N530" s="37"/>
      <c r="O530" s="37"/>
      <c r="P530" s="37"/>
      <c r="Q530" s="37"/>
      <c r="R530" s="37"/>
      <c r="S530" s="37"/>
      <c r="T530" s="37">
        <f t="shared" si="57"/>
        <v>994437022</v>
      </c>
      <c r="U530" s="37"/>
      <c r="V530" s="37"/>
      <c r="W530" s="37"/>
      <c r="X530" s="37"/>
      <c r="Y530" s="37"/>
      <c r="Z530" s="37"/>
      <c r="AA530" s="37">
        <f t="shared" si="46"/>
        <v>0</v>
      </c>
      <c r="AB530" s="37">
        <f t="shared" si="53"/>
        <v>0</v>
      </c>
    </row>
    <row r="531" spans="1:28" ht="14.4">
      <c r="A531" s="117">
        <v>11404</v>
      </c>
      <c r="B531" s="117" t="s">
        <v>809</v>
      </c>
      <c r="C531" s="37">
        <f>+VLOOKUP(A531,Composición!C:G,5,FALSE)</f>
        <v>0</v>
      </c>
      <c r="D531" s="37"/>
      <c r="E531" s="37"/>
      <c r="F531" s="37">
        <f>+VLOOKUP(A531,Composición!C:J,8,FALSE)</f>
        <v>0</v>
      </c>
      <c r="G531" s="37">
        <f t="shared" si="47"/>
        <v>0</v>
      </c>
      <c r="H531" s="37"/>
      <c r="I531" s="37"/>
      <c r="J531" s="37"/>
      <c r="K531" s="37"/>
      <c r="L531" s="37"/>
      <c r="M531" s="37"/>
      <c r="N531" s="37"/>
      <c r="O531" s="37"/>
      <c r="P531" s="37"/>
      <c r="Q531" s="37"/>
      <c r="R531" s="37"/>
      <c r="S531" s="37"/>
      <c r="T531" s="37"/>
      <c r="U531" s="37"/>
      <c r="V531" s="37"/>
      <c r="W531" s="37"/>
      <c r="X531" s="37"/>
      <c r="Y531" s="37"/>
      <c r="Z531" s="37"/>
      <c r="AA531" s="37">
        <f t="shared" si="46"/>
        <v>0</v>
      </c>
      <c r="AB531" s="37">
        <f t="shared" si="53"/>
        <v>0</v>
      </c>
    </row>
    <row r="532" spans="1:28" ht="14.4">
      <c r="A532" s="117">
        <v>114041</v>
      </c>
      <c r="B532" s="117" t="s">
        <v>810</v>
      </c>
      <c r="C532" s="37">
        <f>+VLOOKUP(A532,Composición!C:G,5,FALSE)</f>
        <v>0</v>
      </c>
      <c r="D532" s="37"/>
      <c r="E532" s="37"/>
      <c r="F532" s="37">
        <f>+VLOOKUP(A532,Composición!C:J,8,FALSE)</f>
        <v>0</v>
      </c>
      <c r="G532" s="37">
        <f t="shared" si="47"/>
        <v>0</v>
      </c>
      <c r="H532" s="37"/>
      <c r="I532" s="37"/>
      <c r="J532" s="37"/>
      <c r="K532" s="37"/>
      <c r="L532" s="37"/>
      <c r="M532" s="37"/>
      <c r="N532" s="37"/>
      <c r="O532" s="37"/>
      <c r="P532" s="37"/>
      <c r="Q532" s="37"/>
      <c r="R532" s="37"/>
      <c r="S532" s="37"/>
      <c r="T532" s="37"/>
      <c r="U532" s="37"/>
      <c r="V532" s="37"/>
      <c r="W532" s="37"/>
      <c r="X532" s="37"/>
      <c r="Y532" s="37"/>
      <c r="Z532" s="37"/>
      <c r="AA532" s="37">
        <f t="shared" si="46"/>
        <v>0</v>
      </c>
      <c r="AB532" s="37">
        <f t="shared" si="53"/>
        <v>0</v>
      </c>
    </row>
    <row r="533" spans="1:28" ht="14.4">
      <c r="A533" s="117">
        <v>1140411</v>
      </c>
      <c r="B533" s="117" t="s">
        <v>811</v>
      </c>
      <c r="C533" s="37">
        <f>+VLOOKUP(A533,Composición!C:G,5,FALSE)</f>
        <v>0</v>
      </c>
      <c r="D533" s="37"/>
      <c r="E533" s="37"/>
      <c r="F533" s="37">
        <f>+VLOOKUP(A533,Composición!C:J,8,FALSE)</f>
        <v>0</v>
      </c>
      <c r="G533" s="37">
        <f t="shared" si="47"/>
        <v>0</v>
      </c>
      <c r="H533" s="37"/>
      <c r="I533" s="37"/>
      <c r="J533" s="37"/>
      <c r="K533" s="37"/>
      <c r="L533" s="37"/>
      <c r="M533" s="37"/>
      <c r="N533" s="37"/>
      <c r="O533" s="37"/>
      <c r="P533" s="37"/>
      <c r="Q533" s="37"/>
      <c r="R533" s="37"/>
      <c r="S533" s="37"/>
      <c r="T533" s="37"/>
      <c r="U533" s="37"/>
      <c r="V533" s="37"/>
      <c r="W533" s="37"/>
      <c r="X533" s="37"/>
      <c r="Y533" s="37"/>
      <c r="Z533" s="37"/>
      <c r="AA533" s="37">
        <f t="shared" si="46"/>
        <v>0</v>
      </c>
      <c r="AB533" s="37">
        <f t="shared" si="53"/>
        <v>0</v>
      </c>
    </row>
    <row r="534" spans="1:28" ht="14.4">
      <c r="A534" s="117">
        <v>11404111</v>
      </c>
      <c r="B534" s="117" t="s">
        <v>812</v>
      </c>
      <c r="C534" s="37">
        <f>+VLOOKUP(A534,Composición!C:G,5,FALSE)</f>
        <v>0</v>
      </c>
      <c r="D534" s="37"/>
      <c r="E534" s="37"/>
      <c r="F534" s="37">
        <f>+VLOOKUP(A534,Composición!C:J,8,FALSE)</f>
        <v>0</v>
      </c>
      <c r="G534" s="37">
        <f t="shared" si="47"/>
        <v>0</v>
      </c>
      <c r="H534" s="37"/>
      <c r="I534" s="37"/>
      <c r="J534" s="37"/>
      <c r="K534" s="37"/>
      <c r="L534" s="37"/>
      <c r="M534" s="37"/>
      <c r="N534" s="37"/>
      <c r="O534" s="37"/>
      <c r="P534" s="37"/>
      <c r="Q534" s="37"/>
      <c r="R534" s="37"/>
      <c r="S534" s="37"/>
      <c r="T534" s="37"/>
      <c r="U534" s="37"/>
      <c r="V534" s="37"/>
      <c r="W534" s="37"/>
      <c r="X534" s="37"/>
      <c r="Y534" s="37"/>
      <c r="Z534" s="37"/>
      <c r="AA534" s="37">
        <f t="shared" si="46"/>
        <v>0</v>
      </c>
      <c r="AB534" s="37">
        <f t="shared" si="53"/>
        <v>0</v>
      </c>
    </row>
    <row r="535" spans="1:28" ht="14.4">
      <c r="A535" s="117">
        <v>1140411101</v>
      </c>
      <c r="B535" s="117" t="s">
        <v>813</v>
      </c>
      <c r="C535" s="765">
        <f>+VLOOKUP(A535,Composición!C:G,5,FALSE)</f>
        <v>0</v>
      </c>
      <c r="D535" s="37">
        <f>+F535</f>
        <v>0</v>
      </c>
      <c r="E535" s="37"/>
      <c r="F535" s="37">
        <f>+VLOOKUP(A535,Composición!C:J,8,FALSE)</f>
        <v>0</v>
      </c>
      <c r="G535" s="37">
        <f t="shared" si="47"/>
        <v>0</v>
      </c>
      <c r="H535" s="765"/>
      <c r="I535" s="765">
        <f>-G535</f>
        <v>0</v>
      </c>
      <c r="J535" s="765"/>
      <c r="K535" s="765"/>
      <c r="L535" s="765"/>
      <c r="M535" s="765"/>
      <c r="N535" s="765"/>
      <c r="O535" s="765"/>
      <c r="P535" s="765"/>
      <c r="Q535" s="765"/>
      <c r="R535" s="765"/>
      <c r="S535" s="765"/>
      <c r="T535" s="765"/>
      <c r="U535" s="765"/>
      <c r="V535" s="765"/>
      <c r="W535" s="765"/>
      <c r="X535" s="765"/>
      <c r="Y535" s="765"/>
      <c r="Z535" s="765"/>
      <c r="AA535" s="765">
        <f t="shared" si="46"/>
        <v>0</v>
      </c>
      <c r="AB535" s="37">
        <f t="shared" si="53"/>
        <v>0</v>
      </c>
    </row>
    <row r="536" spans="1:28" ht="14.4">
      <c r="A536" s="117">
        <v>119</v>
      </c>
      <c r="B536" s="117" t="s">
        <v>162</v>
      </c>
      <c r="C536" s="37">
        <f>+VLOOKUP(A536,Composición!C:G,5,FALSE)</f>
        <v>0</v>
      </c>
      <c r="D536" s="37"/>
      <c r="E536" s="37"/>
      <c r="F536" s="37">
        <f>+VLOOKUP(A536,Composición!C:J,8,FALSE)</f>
        <v>0</v>
      </c>
      <c r="G536" s="37">
        <f t="shared" si="47"/>
        <v>0</v>
      </c>
      <c r="H536" s="37"/>
      <c r="I536" s="37"/>
      <c r="J536" s="37"/>
      <c r="K536" s="37"/>
      <c r="L536" s="37"/>
      <c r="M536" s="37"/>
      <c r="N536" s="37"/>
      <c r="O536" s="37"/>
      <c r="P536" s="37"/>
      <c r="Q536" s="37"/>
      <c r="R536" s="37"/>
      <c r="S536" s="37"/>
      <c r="T536" s="37"/>
      <c r="U536" s="37"/>
      <c r="V536" s="37"/>
      <c r="W536" s="37"/>
      <c r="X536" s="37"/>
      <c r="Y536" s="37"/>
      <c r="Z536" s="37"/>
      <c r="AA536" s="37">
        <f t="shared" si="46"/>
        <v>0</v>
      </c>
      <c r="AB536" s="37">
        <f t="shared" si="53"/>
        <v>0</v>
      </c>
    </row>
    <row r="537" spans="1:28" ht="14.4">
      <c r="A537" s="117">
        <v>11901</v>
      </c>
      <c r="B537" s="117" t="s">
        <v>163</v>
      </c>
      <c r="C537" s="37">
        <f>+VLOOKUP(A537,Composición!C:G,5,FALSE)</f>
        <v>0</v>
      </c>
      <c r="D537" s="37"/>
      <c r="E537" s="37"/>
      <c r="F537" s="37">
        <f>+VLOOKUP(A537,Composición!C:J,8,FALSE)</f>
        <v>0</v>
      </c>
      <c r="G537" s="37">
        <f t="shared" si="47"/>
        <v>0</v>
      </c>
      <c r="H537" s="37"/>
      <c r="I537" s="37"/>
      <c r="J537" s="37"/>
      <c r="K537" s="37"/>
      <c r="L537" s="37"/>
      <c r="M537" s="37"/>
      <c r="N537" s="37"/>
      <c r="O537" s="37"/>
      <c r="P537" s="37"/>
      <c r="Q537" s="37"/>
      <c r="R537" s="37"/>
      <c r="S537" s="37"/>
      <c r="T537" s="37"/>
      <c r="U537" s="37"/>
      <c r="V537" s="37"/>
      <c r="W537" s="37"/>
      <c r="X537" s="37"/>
      <c r="Y537" s="37"/>
      <c r="Z537" s="37"/>
      <c r="AA537" s="37">
        <f t="shared" si="46"/>
        <v>0</v>
      </c>
      <c r="AB537" s="37">
        <f t="shared" si="53"/>
        <v>0</v>
      </c>
    </row>
    <row r="538" spans="1:28" ht="14.4">
      <c r="A538" s="117">
        <v>119011</v>
      </c>
      <c r="B538" s="117" t="s">
        <v>163</v>
      </c>
      <c r="C538" s="37">
        <f>+VLOOKUP(A538,Composición!C:G,5,FALSE)</f>
        <v>0</v>
      </c>
      <c r="D538" s="37"/>
      <c r="E538" s="37"/>
      <c r="F538" s="37">
        <f>+VLOOKUP(A538,Composición!C:J,8,FALSE)</f>
        <v>0</v>
      </c>
      <c r="G538" s="37">
        <f t="shared" si="47"/>
        <v>0</v>
      </c>
      <c r="H538" s="37"/>
      <c r="I538" s="37"/>
      <c r="J538" s="37"/>
      <c r="K538" s="37"/>
      <c r="L538" s="37"/>
      <c r="M538" s="37"/>
      <c r="N538" s="37"/>
      <c r="O538" s="37"/>
      <c r="P538" s="37"/>
      <c r="Q538" s="37"/>
      <c r="R538" s="37"/>
      <c r="S538" s="37"/>
      <c r="T538" s="37"/>
      <c r="U538" s="37"/>
      <c r="V538" s="37"/>
      <c r="W538" s="37"/>
      <c r="X538" s="37"/>
      <c r="Y538" s="37"/>
      <c r="Z538" s="37"/>
      <c r="AA538" s="37">
        <f t="shared" si="46"/>
        <v>0</v>
      </c>
      <c r="AB538" s="37">
        <f t="shared" si="53"/>
        <v>0</v>
      </c>
    </row>
    <row r="539" spans="1:28" ht="14.4">
      <c r="A539" s="117">
        <v>1190111</v>
      </c>
      <c r="B539" s="117" t="s">
        <v>163</v>
      </c>
      <c r="C539" s="37">
        <f>+VLOOKUP(A539,Composición!C:G,5,FALSE)</f>
        <v>0</v>
      </c>
      <c r="D539" s="37"/>
      <c r="E539" s="37"/>
      <c r="F539" s="37">
        <f>+VLOOKUP(A539,Composición!C:J,8,FALSE)</f>
        <v>0</v>
      </c>
      <c r="G539" s="37">
        <f t="shared" si="47"/>
        <v>0</v>
      </c>
      <c r="H539" s="37"/>
      <c r="I539" s="37"/>
      <c r="J539" s="37"/>
      <c r="K539" s="37"/>
      <c r="L539" s="37"/>
      <c r="M539" s="37"/>
      <c r="N539" s="37"/>
      <c r="O539" s="37"/>
      <c r="P539" s="37"/>
      <c r="Q539" s="37"/>
      <c r="R539" s="37"/>
      <c r="S539" s="37"/>
      <c r="T539" s="37"/>
      <c r="U539" s="37"/>
      <c r="V539" s="37"/>
      <c r="W539" s="37"/>
      <c r="X539" s="37"/>
      <c r="Y539" s="37"/>
      <c r="Z539" s="37"/>
      <c r="AA539" s="37">
        <f t="shared" si="46"/>
        <v>0</v>
      </c>
      <c r="AB539" s="37">
        <f t="shared" si="53"/>
        <v>0</v>
      </c>
    </row>
    <row r="540" spans="1:28" ht="14.4">
      <c r="A540" s="117">
        <v>11901111</v>
      </c>
      <c r="B540" s="117" t="s">
        <v>814</v>
      </c>
      <c r="C540" s="37">
        <f>+VLOOKUP(A540,Composición!C:G,5,FALSE)</f>
        <v>0</v>
      </c>
      <c r="D540" s="37"/>
      <c r="E540" s="37"/>
      <c r="F540" s="37">
        <f>+VLOOKUP(A540,Composición!C:J,8,FALSE)</f>
        <v>0</v>
      </c>
      <c r="G540" s="37">
        <f t="shared" si="47"/>
        <v>0</v>
      </c>
      <c r="H540" s="37"/>
      <c r="I540" s="37"/>
      <c r="J540" s="37"/>
      <c r="K540" s="37"/>
      <c r="L540" s="37"/>
      <c r="M540" s="37"/>
      <c r="N540" s="37"/>
      <c r="O540" s="37"/>
      <c r="P540" s="37"/>
      <c r="Q540" s="37"/>
      <c r="R540" s="37"/>
      <c r="S540" s="37"/>
      <c r="T540" s="37"/>
      <c r="U540" s="37"/>
      <c r="V540" s="37"/>
      <c r="W540" s="37"/>
      <c r="X540" s="37"/>
      <c r="Y540" s="37"/>
      <c r="Z540" s="37"/>
      <c r="AA540" s="37">
        <f t="shared" si="46"/>
        <v>0</v>
      </c>
      <c r="AB540" s="37">
        <f t="shared" si="53"/>
        <v>0</v>
      </c>
    </row>
    <row r="541" spans="1:28" ht="14.4">
      <c r="A541" s="117">
        <v>1190111101</v>
      </c>
      <c r="B541" s="117" t="s">
        <v>815</v>
      </c>
      <c r="C541" s="37">
        <f>+VLOOKUP(A541,Composición!C:G,5,FALSE)</f>
        <v>0</v>
      </c>
      <c r="D541" s="37"/>
      <c r="E541" s="37"/>
      <c r="F541" s="37">
        <f>+VLOOKUP(A541,Composición!C:J,8,FALSE)</f>
        <v>0</v>
      </c>
      <c r="G541" s="37">
        <f t="shared" si="47"/>
        <v>0</v>
      </c>
      <c r="H541" s="37"/>
      <c r="I541" s="37"/>
      <c r="J541" s="37"/>
      <c r="K541" s="37"/>
      <c r="L541" s="37"/>
      <c r="M541" s="37"/>
      <c r="N541" s="37"/>
      <c r="O541" s="37"/>
      <c r="P541" s="37"/>
      <c r="Q541" s="37"/>
      <c r="R541" s="37"/>
      <c r="S541" s="37"/>
      <c r="T541" s="37"/>
      <c r="U541" s="37"/>
      <c r="V541" s="37"/>
      <c r="W541" s="37"/>
      <c r="X541" s="37"/>
      <c r="Y541" s="37"/>
      <c r="Z541" s="37"/>
      <c r="AA541" s="37">
        <f t="shared" si="46"/>
        <v>0</v>
      </c>
      <c r="AB541" s="37">
        <f t="shared" si="53"/>
        <v>0</v>
      </c>
    </row>
    <row r="542" spans="1:28" ht="14.4">
      <c r="A542" s="117">
        <v>1190111102</v>
      </c>
      <c r="B542" s="117" t="s">
        <v>816</v>
      </c>
      <c r="C542" s="37">
        <f>+VLOOKUP(A542,Composición!C:G,5,FALSE)</f>
        <v>0</v>
      </c>
      <c r="D542" s="37"/>
      <c r="E542" s="37"/>
      <c r="F542" s="37">
        <f>+VLOOKUP(A542,Composición!C:J,8,FALSE)</f>
        <v>0</v>
      </c>
      <c r="G542" s="37">
        <f t="shared" si="47"/>
        <v>0</v>
      </c>
      <c r="H542" s="37"/>
      <c r="I542" s="37"/>
      <c r="J542" s="37"/>
      <c r="K542" s="37"/>
      <c r="L542" s="37">
        <f>-G542</f>
        <v>0</v>
      </c>
      <c r="M542" s="37"/>
      <c r="N542" s="37"/>
      <c r="O542" s="37"/>
      <c r="P542" s="37"/>
      <c r="Q542" s="37"/>
      <c r="R542" s="37"/>
      <c r="S542" s="37"/>
      <c r="T542" s="37"/>
      <c r="U542" s="37"/>
      <c r="V542" s="37"/>
      <c r="W542" s="37"/>
      <c r="X542" s="37"/>
      <c r="Y542" s="37"/>
      <c r="Z542" s="37"/>
      <c r="AA542" s="37">
        <f t="shared" si="46"/>
        <v>0</v>
      </c>
      <c r="AB542" s="37">
        <f t="shared" si="53"/>
        <v>0</v>
      </c>
    </row>
    <row r="543" spans="1:28" ht="14.4">
      <c r="A543" s="117">
        <v>1190111103</v>
      </c>
      <c r="B543" s="117" t="s">
        <v>482</v>
      </c>
      <c r="C543" s="37">
        <f>+VLOOKUP(A543,Composición!C:G,5,FALSE)</f>
        <v>0</v>
      </c>
      <c r="D543" s="37"/>
      <c r="E543" s="37"/>
      <c r="F543" s="37">
        <f>+VLOOKUP(A543,Composición!C:J,8,FALSE)</f>
        <v>0</v>
      </c>
      <c r="G543" s="37">
        <f t="shared" si="47"/>
        <v>0</v>
      </c>
      <c r="H543" s="37"/>
      <c r="I543" s="37"/>
      <c r="J543" s="37"/>
      <c r="K543" s="37"/>
      <c r="L543" s="37"/>
      <c r="M543" s="37"/>
      <c r="N543" s="37"/>
      <c r="O543" s="37"/>
      <c r="P543" s="37"/>
      <c r="Q543" s="37"/>
      <c r="R543" s="37"/>
      <c r="S543" s="37"/>
      <c r="T543" s="37"/>
      <c r="U543" s="37"/>
      <c r="V543" s="37"/>
      <c r="W543" s="37"/>
      <c r="X543" s="37"/>
      <c r="Y543" s="37"/>
      <c r="Z543" s="37"/>
      <c r="AA543" s="37">
        <f t="shared" si="46"/>
        <v>0</v>
      </c>
      <c r="AB543" s="37">
        <f t="shared" si="53"/>
        <v>0</v>
      </c>
    </row>
    <row r="544" spans="1:28" ht="14.4">
      <c r="A544" s="117">
        <v>11901112</v>
      </c>
      <c r="B544" s="117" t="s">
        <v>164</v>
      </c>
      <c r="C544" s="37">
        <f>+VLOOKUP(A544,Composición!C:G,5,FALSE)</f>
        <v>0</v>
      </c>
      <c r="D544" s="37"/>
      <c r="E544" s="37"/>
      <c r="F544" s="37">
        <f>+VLOOKUP(A544,Composición!C:J,8,FALSE)</f>
        <v>0</v>
      </c>
      <c r="G544" s="37">
        <f t="shared" si="47"/>
        <v>0</v>
      </c>
      <c r="H544" s="37"/>
      <c r="I544" s="37"/>
      <c r="J544" s="37"/>
      <c r="K544" s="37"/>
      <c r="L544" s="37"/>
      <c r="M544" s="37"/>
      <c r="N544" s="37"/>
      <c r="O544" s="37"/>
      <c r="P544" s="37"/>
      <c r="Q544" s="37"/>
      <c r="R544" s="37"/>
      <c r="S544" s="37"/>
      <c r="T544" s="37"/>
      <c r="U544" s="37"/>
      <c r="V544" s="37"/>
      <c r="W544" s="37"/>
      <c r="X544" s="37"/>
      <c r="Y544" s="37"/>
      <c r="Z544" s="37"/>
      <c r="AA544" s="37">
        <f t="shared" si="46"/>
        <v>0</v>
      </c>
      <c r="AB544" s="37">
        <f t="shared" si="53"/>
        <v>0</v>
      </c>
    </row>
    <row r="545" spans="1:28" ht="14.4">
      <c r="A545" s="117">
        <v>1190111201</v>
      </c>
      <c r="B545" s="117" t="s">
        <v>817</v>
      </c>
      <c r="C545" s="37">
        <f>+VLOOKUP(A545,Composición!C:G,5,FALSE)</f>
        <v>0</v>
      </c>
      <c r="D545" s="37"/>
      <c r="E545" s="37"/>
      <c r="F545" s="37">
        <f>+VLOOKUP(A545,Composición!C:J,8,FALSE)</f>
        <v>0</v>
      </c>
      <c r="G545" s="37">
        <f t="shared" si="47"/>
        <v>0</v>
      </c>
      <c r="H545" s="37"/>
      <c r="I545" s="37"/>
      <c r="J545" s="37"/>
      <c r="K545" s="37"/>
      <c r="L545" s="37">
        <f>-G545</f>
        <v>0</v>
      </c>
      <c r="M545" s="37"/>
      <c r="N545" s="37"/>
      <c r="O545" s="37"/>
      <c r="P545" s="37"/>
      <c r="Q545" s="37"/>
      <c r="R545" s="37"/>
      <c r="S545" s="37"/>
      <c r="T545" s="37"/>
      <c r="U545" s="37"/>
      <c r="V545" s="37"/>
      <c r="W545" s="37"/>
      <c r="X545" s="37"/>
      <c r="Y545" s="37"/>
      <c r="Z545" s="37"/>
      <c r="AA545" s="37">
        <f t="shared" si="46"/>
        <v>0</v>
      </c>
      <c r="AB545" s="37">
        <f t="shared" si="53"/>
        <v>0</v>
      </c>
    </row>
    <row r="546" spans="1:28" ht="14.4">
      <c r="A546" s="117">
        <v>1190111202</v>
      </c>
      <c r="B546" s="117" t="s">
        <v>818</v>
      </c>
      <c r="C546" s="37">
        <f>+VLOOKUP(A546,Composición!C:G,5,FALSE)</f>
        <v>0</v>
      </c>
      <c r="D546" s="37"/>
      <c r="E546" s="37"/>
      <c r="F546" s="37">
        <f>+VLOOKUP(A546,Composición!C:J,8,FALSE)</f>
        <v>0</v>
      </c>
      <c r="G546" s="37">
        <f t="shared" si="47"/>
        <v>0</v>
      </c>
      <c r="H546" s="37"/>
      <c r="I546" s="37"/>
      <c r="J546" s="37"/>
      <c r="K546" s="37"/>
      <c r="L546" s="37">
        <f>-G546</f>
        <v>0</v>
      </c>
      <c r="M546" s="37"/>
      <c r="N546" s="37"/>
      <c r="O546" s="37"/>
      <c r="P546" s="37"/>
      <c r="Q546" s="37"/>
      <c r="R546" s="37"/>
      <c r="S546" s="37"/>
      <c r="T546" s="37"/>
      <c r="U546" s="37"/>
      <c r="V546" s="37"/>
      <c r="W546" s="37"/>
      <c r="X546" s="37"/>
      <c r="Y546" s="37"/>
      <c r="Z546" s="37"/>
      <c r="AA546" s="37">
        <f t="shared" si="46"/>
        <v>0</v>
      </c>
      <c r="AB546" s="37">
        <f t="shared" si="53"/>
        <v>0</v>
      </c>
    </row>
    <row r="547" spans="1:28" ht="14.4">
      <c r="A547" s="117">
        <v>1190111203</v>
      </c>
      <c r="B547" s="117" t="s">
        <v>165</v>
      </c>
      <c r="C547" s="37">
        <f>+VLOOKUP(A547,Composición!C:G,5,FALSE)</f>
        <v>2629222</v>
      </c>
      <c r="D547" s="37"/>
      <c r="E547" s="37"/>
      <c r="F547" s="37">
        <f>+VLOOKUP(A547,Composición!C:J,8,FALSE)</f>
        <v>4430349</v>
      </c>
      <c r="G547" s="37">
        <f t="shared" si="47"/>
        <v>-1801127</v>
      </c>
      <c r="H547" s="37"/>
      <c r="I547" s="37"/>
      <c r="J547" s="37"/>
      <c r="K547" s="37"/>
      <c r="L547" s="37">
        <f>-G547</f>
        <v>1801127</v>
      </c>
      <c r="M547" s="37"/>
      <c r="N547" s="37"/>
      <c r="O547" s="37"/>
      <c r="P547" s="37"/>
      <c r="Q547" s="37"/>
      <c r="R547" s="37"/>
      <c r="S547" s="37"/>
      <c r="T547" s="37"/>
      <c r="U547" s="37"/>
      <c r="V547" s="37"/>
      <c r="W547" s="37"/>
      <c r="X547" s="37"/>
      <c r="Y547" s="37"/>
      <c r="Z547" s="37"/>
      <c r="AA547" s="37">
        <f t="shared" si="46"/>
        <v>0</v>
      </c>
      <c r="AB547" s="37">
        <f t="shared" si="53"/>
        <v>0</v>
      </c>
    </row>
    <row r="548" spans="1:28" ht="14.4">
      <c r="A548" s="117">
        <v>1190111204</v>
      </c>
      <c r="B548" s="117" t="s">
        <v>819</v>
      </c>
      <c r="C548" s="37">
        <f>+VLOOKUP(A548,Composición!C:G,5,FALSE)</f>
        <v>0</v>
      </c>
      <c r="D548" s="37"/>
      <c r="E548" s="37"/>
      <c r="F548" s="37">
        <f>+VLOOKUP(A548,Composición!C:J,8,FALSE)</f>
        <v>0</v>
      </c>
      <c r="G548" s="37">
        <f t="shared" si="47"/>
        <v>0</v>
      </c>
      <c r="H548" s="37"/>
      <c r="I548" s="37"/>
      <c r="J548" s="37"/>
      <c r="K548" s="37"/>
      <c r="L548" s="37">
        <f>-G548</f>
        <v>0</v>
      </c>
      <c r="M548" s="37"/>
      <c r="N548" s="37"/>
      <c r="O548" s="37"/>
      <c r="P548" s="37"/>
      <c r="Q548" s="37"/>
      <c r="R548" s="37"/>
      <c r="S548" s="37"/>
      <c r="T548" s="37"/>
      <c r="U548" s="37"/>
      <c r="V548" s="37"/>
      <c r="W548" s="37"/>
      <c r="X548" s="37"/>
      <c r="Y548" s="37"/>
      <c r="Z548" s="37"/>
      <c r="AA548" s="37">
        <f t="shared" si="46"/>
        <v>0</v>
      </c>
      <c r="AB548" s="37">
        <f t="shared" si="53"/>
        <v>0</v>
      </c>
    </row>
    <row r="549" spans="1:28" ht="14.4">
      <c r="A549" s="117">
        <v>1190111205</v>
      </c>
      <c r="B549" s="117" t="s">
        <v>820</v>
      </c>
      <c r="C549" s="37">
        <f>+VLOOKUP(A549,Composición!C:G,5,FALSE)</f>
        <v>0</v>
      </c>
      <c r="D549" s="37"/>
      <c r="E549" s="37"/>
      <c r="F549" s="37">
        <f>+VLOOKUP(A549,Composición!C:J,8,FALSE)</f>
        <v>0</v>
      </c>
      <c r="G549" s="37">
        <f t="shared" si="47"/>
        <v>0</v>
      </c>
      <c r="H549" s="37"/>
      <c r="I549" s="37"/>
      <c r="J549" s="37"/>
      <c r="K549" s="37"/>
      <c r="L549" s="37"/>
      <c r="M549" s="37"/>
      <c r="N549" s="37"/>
      <c r="O549" s="37"/>
      <c r="P549" s="37"/>
      <c r="Q549" s="37"/>
      <c r="R549" s="37"/>
      <c r="S549" s="37"/>
      <c r="T549" s="37"/>
      <c r="U549" s="37"/>
      <c r="V549" s="37"/>
      <c r="W549" s="37"/>
      <c r="X549" s="37"/>
      <c r="Y549" s="37"/>
      <c r="Z549" s="37"/>
      <c r="AA549" s="37">
        <f t="shared" si="46"/>
        <v>0</v>
      </c>
      <c r="AB549" s="37">
        <f t="shared" si="53"/>
        <v>0</v>
      </c>
    </row>
    <row r="550" spans="1:28" ht="14.4">
      <c r="A550" s="117">
        <v>1190111206</v>
      </c>
      <c r="B550" s="117" t="s">
        <v>166</v>
      </c>
      <c r="C550" s="37">
        <f>+VLOOKUP(A550,Composición!C:G,5,FALSE)</f>
        <v>300400</v>
      </c>
      <c r="D550" s="37"/>
      <c r="E550" s="37"/>
      <c r="F550" s="37">
        <f>+VLOOKUP(A550,Composición!C:J,8,FALSE)</f>
        <v>490130</v>
      </c>
      <c r="G550" s="37">
        <f t="shared" si="47"/>
        <v>-189730</v>
      </c>
      <c r="H550" s="37"/>
      <c r="I550" s="37"/>
      <c r="J550" s="37"/>
      <c r="K550" s="37"/>
      <c r="L550" s="37">
        <f>-G550</f>
        <v>189730</v>
      </c>
      <c r="M550" s="37"/>
      <c r="N550" s="37"/>
      <c r="O550" s="37"/>
      <c r="P550" s="37"/>
      <c r="Q550" s="37"/>
      <c r="R550" s="37"/>
      <c r="S550" s="37"/>
      <c r="T550" s="37"/>
      <c r="U550" s="37"/>
      <c r="V550" s="37"/>
      <c r="W550" s="37"/>
      <c r="X550" s="37"/>
      <c r="Y550" s="37"/>
      <c r="Z550" s="37"/>
      <c r="AA550" s="37">
        <f t="shared" si="46"/>
        <v>0</v>
      </c>
      <c r="AB550" s="37">
        <f t="shared" si="53"/>
        <v>0</v>
      </c>
    </row>
    <row r="551" spans="1:28" ht="14.4">
      <c r="A551" s="117">
        <v>1190111207</v>
      </c>
      <c r="B551" s="117" t="s">
        <v>167</v>
      </c>
      <c r="C551" s="37">
        <f>+VLOOKUP(A551,Composición!C:G,5,FALSE)</f>
        <v>2109379</v>
      </c>
      <c r="D551" s="37"/>
      <c r="E551" s="37"/>
      <c r="F551" s="37">
        <f>+VLOOKUP(A551,Composición!C:J,8,FALSE)</f>
        <v>2397438</v>
      </c>
      <c r="G551" s="37">
        <f t="shared" si="47"/>
        <v>-288059</v>
      </c>
      <c r="H551" s="37"/>
      <c r="I551" s="37"/>
      <c r="J551" s="37"/>
      <c r="K551" s="37"/>
      <c r="L551" s="37">
        <f>-G551</f>
        <v>288059</v>
      </c>
      <c r="M551" s="37"/>
      <c r="N551" s="37"/>
      <c r="O551" s="37"/>
      <c r="P551" s="37"/>
      <c r="Q551" s="37"/>
      <c r="R551" s="37"/>
      <c r="S551" s="37"/>
      <c r="T551" s="37"/>
      <c r="U551" s="37"/>
      <c r="V551" s="37"/>
      <c r="W551" s="37"/>
      <c r="X551" s="37"/>
      <c r="Y551" s="37"/>
      <c r="Z551" s="37"/>
      <c r="AA551" s="37">
        <f t="shared" si="46"/>
        <v>0</v>
      </c>
      <c r="AB551" s="37">
        <f t="shared" si="53"/>
        <v>0</v>
      </c>
    </row>
    <row r="552" spans="1:28" ht="14.4">
      <c r="A552" s="117">
        <v>11901113</v>
      </c>
      <c r="B552" s="117" t="s">
        <v>533</v>
      </c>
      <c r="C552" s="37">
        <f>+VLOOKUP(A552,Composición!C:G,5,FALSE)</f>
        <v>0</v>
      </c>
      <c r="D552" s="37"/>
      <c r="E552" s="37"/>
      <c r="F552" s="37">
        <f>+VLOOKUP(A552,Composición!C:J,8,FALSE)</f>
        <v>0</v>
      </c>
      <c r="G552" s="37">
        <f t="shared" si="47"/>
        <v>0</v>
      </c>
      <c r="H552" s="37"/>
      <c r="I552" s="37"/>
      <c r="J552" s="37"/>
      <c r="K552" s="37"/>
      <c r="L552" s="37">
        <f>-G552</f>
        <v>0</v>
      </c>
      <c r="M552" s="37"/>
      <c r="N552" s="37"/>
      <c r="O552" s="37"/>
      <c r="P552" s="37"/>
      <c r="Q552" s="37"/>
      <c r="R552" s="37"/>
      <c r="S552" s="37"/>
      <c r="T552" s="37"/>
      <c r="U552" s="37"/>
      <c r="V552" s="37"/>
      <c r="W552" s="37"/>
      <c r="X552" s="37"/>
      <c r="Y552" s="37"/>
      <c r="Z552" s="37"/>
      <c r="AA552" s="37">
        <f t="shared" si="46"/>
        <v>0</v>
      </c>
      <c r="AB552" s="37">
        <f t="shared" si="53"/>
        <v>0</v>
      </c>
    </row>
    <row r="553" spans="1:28" ht="14.4">
      <c r="A553" s="117">
        <v>1190111302</v>
      </c>
      <c r="B553" s="117" t="s">
        <v>359</v>
      </c>
      <c r="C553" s="37">
        <f>+VLOOKUP(A553,Composición!C:G,5,FALSE)</f>
        <v>0</v>
      </c>
      <c r="D553" s="37"/>
      <c r="E553" s="37"/>
      <c r="F553" s="37">
        <f>+VLOOKUP(A553,Composición!C:J,8,FALSE)</f>
        <v>0</v>
      </c>
      <c r="G553" s="37">
        <f t="shared" si="47"/>
        <v>0</v>
      </c>
      <c r="H553" s="37"/>
      <c r="I553" s="37"/>
      <c r="J553" s="37"/>
      <c r="K553" s="37"/>
      <c r="L553" s="37">
        <f>-G553</f>
        <v>0</v>
      </c>
      <c r="M553" s="37"/>
      <c r="N553" s="37"/>
      <c r="O553" s="37"/>
      <c r="P553" s="37"/>
      <c r="Q553" s="37"/>
      <c r="R553" s="37"/>
      <c r="S553" s="37"/>
      <c r="T553" s="37"/>
      <c r="U553" s="37"/>
      <c r="V553" s="37"/>
      <c r="W553" s="37"/>
      <c r="X553" s="37"/>
      <c r="Y553" s="37"/>
      <c r="Z553" s="37"/>
      <c r="AA553" s="37">
        <f t="shared" si="46"/>
        <v>0</v>
      </c>
      <c r="AB553" s="37">
        <f t="shared" si="53"/>
        <v>0</v>
      </c>
    </row>
    <row r="554" spans="1:28" ht="14.4">
      <c r="A554" s="117">
        <v>11901114</v>
      </c>
      <c r="B554" s="117" t="s">
        <v>168</v>
      </c>
      <c r="C554" s="37">
        <f>+VLOOKUP(A554,Composición!C:G,5,FALSE)</f>
        <v>0</v>
      </c>
      <c r="D554" s="37"/>
      <c r="E554" s="37"/>
      <c r="F554" s="37">
        <f>+VLOOKUP(A554,Composición!C:J,8,FALSE)</f>
        <v>0</v>
      </c>
      <c r="G554" s="37">
        <f t="shared" si="47"/>
        <v>0</v>
      </c>
      <c r="H554" s="37"/>
      <c r="I554" s="37"/>
      <c r="J554" s="37"/>
      <c r="K554" s="37"/>
      <c r="L554" s="37">
        <f>-G554</f>
        <v>0</v>
      </c>
      <c r="M554" s="37"/>
      <c r="N554" s="37"/>
      <c r="O554" s="37"/>
      <c r="P554" s="37"/>
      <c r="Q554" s="37"/>
      <c r="R554" s="37"/>
      <c r="S554" s="37"/>
      <c r="T554" s="37"/>
      <c r="U554" s="37"/>
      <c r="V554" s="37"/>
      <c r="W554" s="37"/>
      <c r="X554" s="37"/>
      <c r="Y554" s="37"/>
      <c r="Z554" s="37"/>
      <c r="AA554" s="37">
        <f t="shared" si="46"/>
        <v>0</v>
      </c>
      <c r="AB554" s="37">
        <f t="shared" si="53"/>
        <v>0</v>
      </c>
    </row>
    <row r="555" spans="1:28" ht="14.4">
      <c r="A555" s="117">
        <v>1190111401</v>
      </c>
      <c r="B555" s="117" t="s">
        <v>821</v>
      </c>
      <c r="C555" s="37">
        <f>+VLOOKUP(A555,Composición!C:G,5,FALSE)</f>
        <v>0</v>
      </c>
      <c r="D555" s="37"/>
      <c r="E555" s="37"/>
      <c r="F555" s="37">
        <f>+VLOOKUP(A555,Composición!C:J,8,FALSE)</f>
        <v>0</v>
      </c>
      <c r="G555" s="37">
        <f t="shared" si="47"/>
        <v>0</v>
      </c>
      <c r="H555" s="37"/>
      <c r="I555" s="37"/>
      <c r="J555" s="37"/>
      <c r="K555" s="37"/>
      <c r="L555" s="37"/>
      <c r="M555" s="37"/>
      <c r="N555" s="37"/>
      <c r="O555" s="37"/>
      <c r="P555" s="37"/>
      <c r="Q555" s="37"/>
      <c r="R555" s="37"/>
      <c r="S555" s="37"/>
      <c r="T555" s="37"/>
      <c r="U555" s="37"/>
      <c r="V555" s="37"/>
      <c r="W555" s="37"/>
      <c r="X555" s="37"/>
      <c r="Y555" s="37"/>
      <c r="Z555" s="37"/>
      <c r="AA555" s="37">
        <f t="shared" si="46"/>
        <v>0</v>
      </c>
      <c r="AB555" s="37">
        <f t="shared" si="53"/>
        <v>0</v>
      </c>
    </row>
    <row r="556" spans="1:28" ht="14.4">
      <c r="A556" s="117">
        <v>1190111403</v>
      </c>
      <c r="B556" s="117" t="s">
        <v>534</v>
      </c>
      <c r="C556" s="37">
        <f>+VLOOKUP(A556,Composición!C:G,5,FALSE)</f>
        <v>0</v>
      </c>
      <c r="D556" s="37"/>
      <c r="E556" s="37"/>
      <c r="F556" s="37">
        <f>+VLOOKUP(A556,Composición!C:J,8,FALSE)</f>
        <v>0</v>
      </c>
      <c r="G556" s="37">
        <f t="shared" si="47"/>
        <v>0</v>
      </c>
      <c r="H556" s="37"/>
      <c r="I556" s="37"/>
      <c r="J556" s="37"/>
      <c r="K556" s="37"/>
      <c r="L556" s="37">
        <f>-G556</f>
        <v>0</v>
      </c>
      <c r="M556" s="37"/>
      <c r="N556" s="37"/>
      <c r="O556" s="37"/>
      <c r="P556" s="37"/>
      <c r="Q556" s="37"/>
      <c r="R556" s="37"/>
      <c r="S556" s="37"/>
      <c r="T556" s="37"/>
      <c r="U556" s="37"/>
      <c r="V556" s="37"/>
      <c r="W556" s="37"/>
      <c r="X556" s="37"/>
      <c r="Y556" s="37"/>
      <c r="Z556" s="37"/>
      <c r="AA556" s="37">
        <f t="shared" si="46"/>
        <v>0</v>
      </c>
      <c r="AB556" s="37">
        <f t="shared" si="53"/>
        <v>0</v>
      </c>
    </row>
    <row r="557" spans="1:28" ht="14.4">
      <c r="A557" s="117">
        <v>1190111404</v>
      </c>
      <c r="B557" s="117" t="s">
        <v>822</v>
      </c>
      <c r="C557" s="37">
        <f>+VLOOKUP(A557,Composición!C:G,5,FALSE)</f>
        <v>0</v>
      </c>
      <c r="D557" s="37"/>
      <c r="E557" s="37"/>
      <c r="F557" s="37">
        <f>+VLOOKUP(A557,Composición!C:J,8,FALSE)</f>
        <v>0</v>
      </c>
      <c r="G557" s="37">
        <f t="shared" si="47"/>
        <v>0</v>
      </c>
      <c r="H557" s="37"/>
      <c r="I557" s="37"/>
      <c r="J557" s="37"/>
      <c r="K557" s="37"/>
      <c r="L557" s="37"/>
      <c r="M557" s="37"/>
      <c r="N557" s="37"/>
      <c r="O557" s="37"/>
      <c r="P557" s="37"/>
      <c r="Q557" s="37"/>
      <c r="R557" s="37"/>
      <c r="S557" s="37"/>
      <c r="T557" s="37"/>
      <c r="U557" s="37"/>
      <c r="V557" s="37"/>
      <c r="W557" s="37"/>
      <c r="X557" s="37"/>
      <c r="Y557" s="37"/>
      <c r="Z557" s="37"/>
      <c r="AA557" s="37">
        <f t="shared" si="46"/>
        <v>0</v>
      </c>
      <c r="AB557" s="37">
        <f t="shared" si="53"/>
        <v>0</v>
      </c>
    </row>
    <row r="558" spans="1:28" ht="14.4">
      <c r="A558" s="117">
        <v>1190111406</v>
      </c>
      <c r="B558" s="117" t="s">
        <v>169</v>
      </c>
      <c r="C558" s="37">
        <f>+VLOOKUP(A558,Composición!C:G,5,FALSE)</f>
        <v>49054883</v>
      </c>
      <c r="D558" s="37"/>
      <c r="E558" s="37"/>
      <c r="F558" s="37">
        <f>+VLOOKUP(A558,Composición!C:J,8,FALSE)</f>
        <v>10883676</v>
      </c>
      <c r="G558" s="37">
        <f t="shared" si="47"/>
        <v>38171207</v>
      </c>
      <c r="H558" s="37"/>
      <c r="I558" s="37"/>
      <c r="J558" s="37"/>
      <c r="K558" s="37"/>
      <c r="L558" s="37">
        <f>-G558</f>
        <v>-38171207</v>
      </c>
      <c r="M558" s="37"/>
      <c r="N558" s="37"/>
      <c r="O558" s="37"/>
      <c r="P558" s="37"/>
      <c r="Q558" s="37"/>
      <c r="R558" s="37"/>
      <c r="S558" s="37"/>
      <c r="T558" s="37"/>
      <c r="U558" s="37"/>
      <c r="V558" s="37"/>
      <c r="W558" s="37"/>
      <c r="X558" s="37"/>
      <c r="Y558" s="37"/>
      <c r="Z558" s="37"/>
      <c r="AA558" s="37">
        <f t="shared" si="46"/>
        <v>0</v>
      </c>
      <c r="AB558" s="37">
        <f t="shared" si="53"/>
        <v>0</v>
      </c>
    </row>
    <row r="559" spans="1:28" ht="14.4">
      <c r="A559" s="953">
        <v>1190111408</v>
      </c>
      <c r="B559" s="953" t="s">
        <v>581</v>
      </c>
      <c r="C559" s="37">
        <f>+VLOOKUP(A559,Composición!C:G,5,FALSE)</f>
        <v>0</v>
      </c>
      <c r="D559" s="37"/>
      <c r="E559" s="37"/>
      <c r="F559" s="37">
        <f>+VLOOKUP(A559,Composición!C:J,8,FALSE)</f>
        <v>0</v>
      </c>
      <c r="G559" s="37">
        <f t="shared" si="47"/>
        <v>0</v>
      </c>
      <c r="H559" s="37"/>
      <c r="I559" s="37"/>
      <c r="J559" s="37"/>
      <c r="K559" s="37"/>
      <c r="L559" s="37">
        <f>-G559</f>
        <v>0</v>
      </c>
      <c r="M559" s="37"/>
      <c r="N559" s="37"/>
      <c r="O559" s="37"/>
      <c r="P559" s="37"/>
      <c r="Q559" s="37"/>
      <c r="R559" s="37"/>
      <c r="S559" s="37"/>
      <c r="T559" s="37"/>
      <c r="U559" s="37"/>
      <c r="V559" s="37"/>
      <c r="W559" s="37"/>
      <c r="X559" s="37"/>
      <c r="Y559" s="37"/>
      <c r="Z559" s="37"/>
      <c r="AA559" s="37">
        <f t="shared" si="46"/>
        <v>0</v>
      </c>
      <c r="AB559" s="37">
        <f t="shared" si="53"/>
        <v>0</v>
      </c>
    </row>
    <row r="560" spans="1:28" ht="14.4">
      <c r="A560" s="117">
        <v>1190111407</v>
      </c>
      <c r="B560" s="117" t="s">
        <v>170</v>
      </c>
      <c r="C560" s="37">
        <f>+VLOOKUP(A560,Composición!C:G,5,FALSE)</f>
        <v>3550700</v>
      </c>
      <c r="D560" s="37"/>
      <c r="E560" s="37"/>
      <c r="F560" s="37">
        <f>+VLOOKUP(A560,Composición!C:J,8,FALSE)</f>
        <v>416504</v>
      </c>
      <c r="G560" s="37">
        <f t="shared" si="47"/>
        <v>3134196</v>
      </c>
      <c r="H560" s="37"/>
      <c r="I560" s="37"/>
      <c r="J560" s="37"/>
      <c r="K560" s="37"/>
      <c r="L560" s="37">
        <f>-G560</f>
        <v>-3134196</v>
      </c>
      <c r="M560" s="37"/>
      <c r="N560" s="37"/>
      <c r="O560" s="37"/>
      <c r="P560" s="37"/>
      <c r="Q560" s="37"/>
      <c r="R560" s="37"/>
      <c r="S560" s="37"/>
      <c r="T560" s="37"/>
      <c r="U560" s="37"/>
      <c r="V560" s="37"/>
      <c r="W560" s="37"/>
      <c r="X560" s="37"/>
      <c r="Y560" s="37"/>
      <c r="Z560" s="37"/>
      <c r="AA560" s="37">
        <f t="shared" si="46"/>
        <v>0</v>
      </c>
      <c r="AB560" s="37">
        <f t="shared" si="53"/>
        <v>0</v>
      </c>
    </row>
    <row r="561" spans="1:28" ht="14.4">
      <c r="A561" s="117">
        <v>12</v>
      </c>
      <c r="B561" s="117" t="s">
        <v>171</v>
      </c>
      <c r="C561" s="37">
        <f>+VLOOKUP(A561,Composición!C:G,5,FALSE)</f>
        <v>0</v>
      </c>
      <c r="D561" s="37"/>
      <c r="E561" s="37"/>
      <c r="F561" s="37">
        <f>+VLOOKUP(A561,Composición!C:J,8,FALSE)</f>
        <v>0</v>
      </c>
      <c r="G561" s="37">
        <f t="shared" si="47"/>
        <v>0</v>
      </c>
      <c r="H561" s="37"/>
      <c r="I561" s="37"/>
      <c r="J561" s="37"/>
      <c r="K561" s="37"/>
      <c r="L561" s="37"/>
      <c r="M561" s="37"/>
      <c r="N561" s="37"/>
      <c r="O561" s="37"/>
      <c r="P561" s="37"/>
      <c r="Q561" s="37"/>
      <c r="R561" s="37"/>
      <c r="S561" s="37"/>
      <c r="T561" s="37"/>
      <c r="U561" s="37"/>
      <c r="V561" s="37"/>
      <c r="W561" s="37"/>
      <c r="X561" s="37"/>
      <c r="Y561" s="37"/>
      <c r="Z561" s="37"/>
      <c r="AA561" s="37">
        <f t="shared" si="46"/>
        <v>0</v>
      </c>
      <c r="AB561" s="37">
        <f t="shared" si="53"/>
        <v>0</v>
      </c>
    </row>
    <row r="562" spans="1:28" ht="14.4">
      <c r="A562" s="117">
        <v>121</v>
      </c>
      <c r="B562" s="117" t="s">
        <v>172</v>
      </c>
      <c r="C562" s="37">
        <f>+VLOOKUP(A562,Composición!C:G,5,FALSE)</f>
        <v>0</v>
      </c>
      <c r="D562" s="37"/>
      <c r="E562" s="37"/>
      <c r="F562" s="37">
        <f>+VLOOKUP(A562,Composición!C:J,8,FALSE)</f>
        <v>0</v>
      </c>
      <c r="G562" s="37">
        <f t="shared" si="47"/>
        <v>0</v>
      </c>
      <c r="H562" s="37"/>
      <c r="I562" s="37"/>
      <c r="J562" s="37"/>
      <c r="K562" s="37"/>
      <c r="L562" s="37"/>
      <c r="M562" s="37"/>
      <c r="N562" s="37"/>
      <c r="O562" s="37"/>
      <c r="P562" s="37"/>
      <c r="Q562" s="37"/>
      <c r="R562" s="37"/>
      <c r="S562" s="37"/>
      <c r="T562" s="37"/>
      <c r="U562" s="37"/>
      <c r="V562" s="37"/>
      <c r="W562" s="37"/>
      <c r="X562" s="37"/>
      <c r="Y562" s="37"/>
      <c r="Z562" s="37"/>
      <c r="AA562" s="37">
        <f t="shared" si="46"/>
        <v>0</v>
      </c>
      <c r="AB562" s="37">
        <f t="shared" si="53"/>
        <v>0</v>
      </c>
    </row>
    <row r="563" spans="1:28" ht="14.4">
      <c r="A563" s="117">
        <v>12101</v>
      </c>
      <c r="B563" s="117" t="s">
        <v>49</v>
      </c>
      <c r="C563" s="37">
        <f>+VLOOKUP(A563,Composición!C:G,5,FALSE)</f>
        <v>0</v>
      </c>
      <c r="D563" s="37"/>
      <c r="E563" s="37"/>
      <c r="F563" s="37">
        <f>+VLOOKUP(A563,Composición!C:J,8,FALSE)</f>
        <v>0</v>
      </c>
      <c r="G563" s="37">
        <f t="shared" si="47"/>
        <v>0</v>
      </c>
      <c r="H563" s="37"/>
      <c r="I563" s="37"/>
      <c r="J563" s="37"/>
      <c r="K563" s="37"/>
      <c r="L563" s="37"/>
      <c r="M563" s="37"/>
      <c r="N563" s="37"/>
      <c r="O563" s="37"/>
      <c r="P563" s="37"/>
      <c r="Q563" s="37"/>
      <c r="R563" s="37"/>
      <c r="S563" s="37"/>
      <c r="T563" s="37"/>
      <c r="U563" s="37"/>
      <c r="V563" s="37"/>
      <c r="W563" s="37"/>
      <c r="X563" s="37"/>
      <c r="Y563" s="37"/>
      <c r="Z563" s="37"/>
      <c r="AA563" s="37">
        <f t="shared" si="46"/>
        <v>0</v>
      </c>
      <c r="AB563" s="37">
        <f t="shared" si="53"/>
        <v>0</v>
      </c>
    </row>
    <row r="564" spans="1:28" ht="14.4">
      <c r="A564" s="117">
        <v>121011</v>
      </c>
      <c r="B564" s="117" t="s">
        <v>50</v>
      </c>
      <c r="C564" s="37">
        <f>+VLOOKUP(A564,Composición!C:G,5,FALSE)</f>
        <v>0</v>
      </c>
      <c r="D564" s="37"/>
      <c r="E564" s="37"/>
      <c r="F564" s="37">
        <f>+VLOOKUP(A564,Composición!C:J,8,FALSE)</f>
        <v>0</v>
      </c>
      <c r="G564" s="37">
        <f t="shared" si="47"/>
        <v>0</v>
      </c>
      <c r="H564" s="37"/>
      <c r="I564" s="37"/>
      <c r="J564" s="37"/>
      <c r="K564" s="37"/>
      <c r="L564" s="37"/>
      <c r="M564" s="37"/>
      <c r="N564" s="37"/>
      <c r="O564" s="37"/>
      <c r="P564" s="37"/>
      <c r="Q564" s="37"/>
      <c r="R564" s="37"/>
      <c r="S564" s="37"/>
      <c r="T564" s="37"/>
      <c r="U564" s="37"/>
      <c r="V564" s="37"/>
      <c r="W564" s="37"/>
      <c r="X564" s="37"/>
      <c r="Y564" s="37"/>
      <c r="Z564" s="37"/>
      <c r="AA564" s="37">
        <f t="shared" si="46"/>
        <v>0</v>
      </c>
      <c r="AB564" s="37">
        <f t="shared" si="53"/>
        <v>0</v>
      </c>
    </row>
    <row r="565" spans="1:28" ht="14.4">
      <c r="A565" s="117">
        <v>1210111</v>
      </c>
      <c r="B565" s="117" t="s">
        <v>51</v>
      </c>
      <c r="C565" s="37">
        <f>+VLOOKUP(A565,Composición!C:G,5,FALSE)</f>
        <v>0</v>
      </c>
      <c r="D565" s="37"/>
      <c r="E565" s="37"/>
      <c r="F565" s="37">
        <f>+VLOOKUP(A565,Composición!C:J,8,FALSE)</f>
        <v>0</v>
      </c>
      <c r="G565" s="37">
        <f t="shared" si="47"/>
        <v>0</v>
      </c>
      <c r="H565" s="37"/>
      <c r="I565" s="37"/>
      <c r="J565" s="37"/>
      <c r="K565" s="37"/>
      <c r="L565" s="37"/>
      <c r="M565" s="37"/>
      <c r="N565" s="37"/>
      <c r="O565" s="37"/>
      <c r="P565" s="37"/>
      <c r="Q565" s="37"/>
      <c r="R565" s="37"/>
      <c r="S565" s="37"/>
      <c r="T565" s="37"/>
      <c r="U565" s="37"/>
      <c r="V565" s="37"/>
      <c r="W565" s="37"/>
      <c r="X565" s="37"/>
      <c r="Y565" s="37"/>
      <c r="Z565" s="37"/>
      <c r="AA565" s="37">
        <f t="shared" si="46"/>
        <v>0</v>
      </c>
      <c r="AB565" s="37">
        <f t="shared" si="53"/>
        <v>0</v>
      </c>
    </row>
    <row r="566" spans="1:28" ht="14.4">
      <c r="A566" s="117">
        <v>1210112</v>
      </c>
      <c r="B566" s="117" t="s">
        <v>61</v>
      </c>
      <c r="C566" s="37">
        <f>+VLOOKUP(A566,Composición!C:G,5,FALSE)</f>
        <v>0</v>
      </c>
      <c r="D566" s="37"/>
      <c r="E566" s="37"/>
      <c r="F566" s="37">
        <f>+VLOOKUP(A566,Composición!C:J,8,FALSE)</f>
        <v>0</v>
      </c>
      <c r="G566" s="37">
        <f t="shared" si="47"/>
        <v>0</v>
      </c>
      <c r="H566" s="37"/>
      <c r="I566" s="37"/>
      <c r="J566" s="37"/>
      <c r="K566" s="37"/>
      <c r="L566" s="37"/>
      <c r="M566" s="37"/>
      <c r="N566" s="37"/>
      <c r="O566" s="37"/>
      <c r="P566" s="37"/>
      <c r="Q566" s="37"/>
      <c r="R566" s="37"/>
      <c r="S566" s="37"/>
      <c r="T566" s="37"/>
      <c r="U566" s="37"/>
      <c r="V566" s="37"/>
      <c r="W566" s="37"/>
      <c r="X566" s="37"/>
      <c r="Y566" s="37"/>
      <c r="Z566" s="37"/>
      <c r="AA566" s="37">
        <f t="shared" si="46"/>
        <v>0</v>
      </c>
      <c r="AB566" s="37">
        <f t="shared" si="53"/>
        <v>0</v>
      </c>
    </row>
    <row r="567" spans="1:28" ht="14.4">
      <c r="A567" s="117">
        <v>12101121</v>
      </c>
      <c r="B567" s="117" t="s">
        <v>823</v>
      </c>
      <c r="C567" s="37">
        <f>+VLOOKUP(A567,Composición!C:G,5,FALSE)</f>
        <v>0</v>
      </c>
      <c r="D567" s="37"/>
      <c r="E567" s="37"/>
      <c r="F567" s="37">
        <f>+VLOOKUP(A567,Composición!C:J,8,FALSE)</f>
        <v>0</v>
      </c>
      <c r="G567" s="37">
        <f t="shared" si="47"/>
        <v>0</v>
      </c>
      <c r="H567" s="37"/>
      <c r="I567" s="37"/>
      <c r="J567" s="37"/>
      <c r="K567" s="37"/>
      <c r="L567" s="37"/>
      <c r="M567" s="37"/>
      <c r="N567" s="37"/>
      <c r="O567" s="37"/>
      <c r="P567" s="37"/>
      <c r="Q567" s="37"/>
      <c r="R567" s="37"/>
      <c r="S567" s="37"/>
      <c r="T567" s="37"/>
      <c r="U567" s="37"/>
      <c r="V567" s="37"/>
      <c r="W567" s="37"/>
      <c r="X567" s="37"/>
      <c r="Y567" s="37"/>
      <c r="Z567" s="37"/>
      <c r="AA567" s="37">
        <f t="shared" si="46"/>
        <v>0</v>
      </c>
      <c r="AB567" s="37">
        <f t="shared" si="53"/>
        <v>0</v>
      </c>
    </row>
    <row r="568" spans="1:28" ht="14.4">
      <c r="A568" s="117">
        <v>1210112101</v>
      </c>
      <c r="B568" s="117" t="s">
        <v>824</v>
      </c>
      <c r="C568" s="37">
        <f>+VLOOKUP(A568,Composición!C:G,5,FALSE)</f>
        <v>0</v>
      </c>
      <c r="D568" s="37"/>
      <c r="E568" s="37"/>
      <c r="F568" s="37">
        <f>+VLOOKUP(A568,Composición!C:J,8,FALSE)</f>
        <v>0</v>
      </c>
      <c r="G568" s="37">
        <f t="shared" si="47"/>
        <v>0</v>
      </c>
      <c r="H568" s="37"/>
      <c r="I568" s="37"/>
      <c r="J568" s="37"/>
      <c r="K568" s="37"/>
      <c r="L568" s="37"/>
      <c r="M568" s="37"/>
      <c r="N568" s="37"/>
      <c r="O568" s="37"/>
      <c r="P568" s="37"/>
      <c r="Q568" s="37"/>
      <c r="R568" s="37"/>
      <c r="S568" s="37"/>
      <c r="T568" s="37"/>
      <c r="U568" s="37"/>
      <c r="V568" s="37"/>
      <c r="W568" s="37"/>
      <c r="X568" s="37"/>
      <c r="Y568" s="37"/>
      <c r="Z568" s="37"/>
      <c r="AA568" s="37">
        <f t="shared" si="46"/>
        <v>0</v>
      </c>
      <c r="AB568" s="37">
        <f t="shared" si="53"/>
        <v>0</v>
      </c>
    </row>
    <row r="569" spans="1:28" ht="14.4">
      <c r="A569" s="117">
        <v>1210113</v>
      </c>
      <c r="B569" s="117" t="s">
        <v>67</v>
      </c>
      <c r="C569" s="37">
        <f>+VLOOKUP(A569,Composición!C:G,5,FALSE)</f>
        <v>0</v>
      </c>
      <c r="D569" s="37"/>
      <c r="E569" s="37"/>
      <c r="F569" s="37">
        <f>+VLOOKUP(A569,Composición!C:J,8,FALSE)</f>
        <v>0</v>
      </c>
      <c r="G569" s="37">
        <f t="shared" si="47"/>
        <v>0</v>
      </c>
      <c r="H569" s="37"/>
      <c r="I569" s="37"/>
      <c r="J569" s="37"/>
      <c r="K569" s="37"/>
      <c r="L569" s="37"/>
      <c r="M569" s="37"/>
      <c r="N569" s="37"/>
      <c r="O569" s="37"/>
      <c r="P569" s="37"/>
      <c r="Q569" s="37"/>
      <c r="R569" s="37"/>
      <c r="S569" s="37"/>
      <c r="T569" s="37"/>
      <c r="U569" s="37"/>
      <c r="V569" s="37"/>
      <c r="W569" s="37"/>
      <c r="X569" s="37"/>
      <c r="Y569" s="37"/>
      <c r="Z569" s="37"/>
      <c r="AA569" s="37">
        <f t="shared" si="46"/>
        <v>0</v>
      </c>
      <c r="AB569" s="37">
        <f t="shared" ref="AB569:AB574" si="58">SUM(G569:Z569)</f>
        <v>0</v>
      </c>
    </row>
    <row r="570" spans="1:28" ht="14.4">
      <c r="A570" s="117">
        <v>1210114</v>
      </c>
      <c r="B570" s="117" t="s">
        <v>684</v>
      </c>
      <c r="C570" s="37">
        <f>+VLOOKUP(A570,Composición!C:G,5,FALSE)</f>
        <v>0</v>
      </c>
      <c r="D570" s="37"/>
      <c r="E570" s="37"/>
      <c r="F570" s="37">
        <f>+VLOOKUP(A570,Composición!C:J,8,FALSE)</f>
        <v>0</v>
      </c>
      <c r="G570" s="37">
        <f t="shared" si="47"/>
        <v>0</v>
      </c>
      <c r="H570" s="37"/>
      <c r="I570" s="37"/>
      <c r="J570" s="37"/>
      <c r="K570" s="37"/>
      <c r="L570" s="37"/>
      <c r="M570" s="37"/>
      <c r="N570" s="37"/>
      <c r="O570" s="37"/>
      <c r="P570" s="37"/>
      <c r="Q570" s="37"/>
      <c r="R570" s="37"/>
      <c r="S570" s="37"/>
      <c r="T570" s="37"/>
      <c r="U570" s="37"/>
      <c r="V570" s="37"/>
      <c r="W570" s="37"/>
      <c r="X570" s="37"/>
      <c r="Y570" s="37"/>
      <c r="Z570" s="37"/>
      <c r="AA570" s="37">
        <f t="shared" si="46"/>
        <v>0</v>
      </c>
      <c r="AB570" s="37">
        <f t="shared" si="58"/>
        <v>0</v>
      </c>
    </row>
    <row r="571" spans="1:28" ht="14.4">
      <c r="A571" s="117">
        <v>1210115</v>
      </c>
      <c r="B571" s="117" t="s">
        <v>825</v>
      </c>
      <c r="C571" s="37">
        <f>+VLOOKUP(A571,Composición!C:G,5,FALSE)</f>
        <v>0</v>
      </c>
      <c r="D571" s="37"/>
      <c r="E571" s="37"/>
      <c r="F571" s="37">
        <f>+VLOOKUP(A571,Composición!C:J,8,FALSE)</f>
        <v>0</v>
      </c>
      <c r="G571" s="37">
        <f t="shared" si="47"/>
        <v>0</v>
      </c>
      <c r="H571" s="37"/>
      <c r="I571" s="37"/>
      <c r="J571" s="37"/>
      <c r="K571" s="37"/>
      <c r="L571" s="37"/>
      <c r="M571" s="37"/>
      <c r="N571" s="37"/>
      <c r="O571" s="37"/>
      <c r="P571" s="37"/>
      <c r="Q571" s="37"/>
      <c r="R571" s="37"/>
      <c r="S571" s="37"/>
      <c r="T571" s="37"/>
      <c r="U571" s="37"/>
      <c r="V571" s="37"/>
      <c r="W571" s="37"/>
      <c r="X571" s="37"/>
      <c r="Y571" s="37"/>
      <c r="Z571" s="37"/>
      <c r="AA571" s="37">
        <f t="shared" si="46"/>
        <v>0</v>
      </c>
      <c r="AB571" s="37">
        <f t="shared" si="58"/>
        <v>0</v>
      </c>
    </row>
    <row r="572" spans="1:28" ht="14.4">
      <c r="A572" s="117">
        <v>1210116</v>
      </c>
      <c r="B572" s="117" t="s">
        <v>826</v>
      </c>
      <c r="C572" s="37">
        <f>+VLOOKUP(A572,Composición!C:G,5,FALSE)</f>
        <v>0</v>
      </c>
      <c r="D572" s="37"/>
      <c r="E572" s="37"/>
      <c r="F572" s="37">
        <f>+VLOOKUP(A572,Composición!C:J,8,FALSE)</f>
        <v>0</v>
      </c>
      <c r="G572" s="37">
        <f t="shared" si="47"/>
        <v>0</v>
      </c>
      <c r="H572" s="37"/>
      <c r="I572" s="37"/>
      <c r="J572" s="37"/>
      <c r="K572" s="37"/>
      <c r="L572" s="37"/>
      <c r="M572" s="37"/>
      <c r="N572" s="37"/>
      <c r="O572" s="37"/>
      <c r="P572" s="37"/>
      <c r="Q572" s="37"/>
      <c r="R572" s="37"/>
      <c r="S572" s="37"/>
      <c r="T572" s="37"/>
      <c r="U572" s="37"/>
      <c r="V572" s="37"/>
      <c r="W572" s="37"/>
      <c r="X572" s="37"/>
      <c r="Y572" s="37"/>
      <c r="Z572" s="37"/>
      <c r="AA572" s="37">
        <f t="shared" si="46"/>
        <v>0</v>
      </c>
      <c r="AB572" s="37">
        <f t="shared" si="58"/>
        <v>0</v>
      </c>
    </row>
    <row r="573" spans="1:28" ht="14.4">
      <c r="A573" s="117">
        <v>1210117</v>
      </c>
      <c r="B573" s="117" t="s">
        <v>827</v>
      </c>
      <c r="C573" s="37">
        <f>+VLOOKUP(A573,Composición!C:G,5,FALSE)</f>
        <v>0</v>
      </c>
      <c r="D573" s="37"/>
      <c r="E573" s="37"/>
      <c r="F573" s="37">
        <f>+VLOOKUP(A573,Composición!C:J,8,FALSE)</f>
        <v>0</v>
      </c>
      <c r="G573" s="37">
        <f t="shared" si="47"/>
        <v>0</v>
      </c>
      <c r="H573" s="37"/>
      <c r="I573" s="37"/>
      <c r="J573" s="37"/>
      <c r="K573" s="37"/>
      <c r="L573" s="37"/>
      <c r="M573" s="37"/>
      <c r="N573" s="37"/>
      <c r="O573" s="37"/>
      <c r="P573" s="37"/>
      <c r="Q573" s="37"/>
      <c r="R573" s="37"/>
      <c r="S573" s="37"/>
      <c r="T573" s="37"/>
      <c r="U573" s="37"/>
      <c r="V573" s="37"/>
      <c r="W573" s="37"/>
      <c r="X573" s="37"/>
      <c r="Y573" s="37"/>
      <c r="Z573" s="37"/>
      <c r="AA573" s="37">
        <f t="shared" si="46"/>
        <v>0</v>
      </c>
      <c r="AB573" s="37">
        <f t="shared" si="58"/>
        <v>0</v>
      </c>
    </row>
    <row r="574" spans="1:28" ht="14.4">
      <c r="A574" s="117">
        <v>1210118</v>
      </c>
      <c r="B574" s="117" t="s">
        <v>828</v>
      </c>
      <c r="C574" s="37">
        <f>+VLOOKUP(A574,Composición!C:G,5,FALSE)</f>
        <v>0</v>
      </c>
      <c r="D574" s="37"/>
      <c r="E574" s="37"/>
      <c r="F574" s="37">
        <f>+VLOOKUP(A574,Composición!C:J,8,FALSE)</f>
        <v>0</v>
      </c>
      <c r="G574" s="37">
        <f t="shared" si="47"/>
        <v>0</v>
      </c>
      <c r="H574" s="37"/>
      <c r="I574" s="37"/>
      <c r="J574" s="37"/>
      <c r="K574" s="37"/>
      <c r="L574" s="37"/>
      <c r="M574" s="37"/>
      <c r="N574" s="37"/>
      <c r="O574" s="37"/>
      <c r="P574" s="37"/>
      <c r="Q574" s="37"/>
      <c r="R574" s="37"/>
      <c r="S574" s="37"/>
      <c r="T574" s="37"/>
      <c r="U574" s="37"/>
      <c r="V574" s="37"/>
      <c r="W574" s="37"/>
      <c r="X574" s="37"/>
      <c r="Y574" s="37"/>
      <c r="Z574" s="37"/>
      <c r="AA574" s="37">
        <f t="shared" si="46"/>
        <v>0</v>
      </c>
      <c r="AB574" s="37">
        <f t="shared" si="58"/>
        <v>0</v>
      </c>
    </row>
    <row r="575" spans="1:28" ht="14.4">
      <c r="A575" s="117">
        <v>121012</v>
      </c>
      <c r="B575" s="117" t="s">
        <v>687</v>
      </c>
      <c r="C575" s="37">
        <f>+VLOOKUP(A575,Composición!C:G,5,FALSE)</f>
        <v>0</v>
      </c>
      <c r="D575" s="37"/>
      <c r="E575" s="37"/>
      <c r="F575" s="37">
        <f>+VLOOKUP(A575,Composición!C:J,8,FALSE)</f>
        <v>0</v>
      </c>
      <c r="G575" s="37">
        <f t="shared" si="47"/>
        <v>0</v>
      </c>
      <c r="H575" s="37"/>
      <c r="I575" s="37"/>
      <c r="J575" s="37"/>
      <c r="K575" s="37"/>
      <c r="L575" s="37"/>
      <c r="M575" s="37"/>
      <c r="N575" s="37"/>
      <c r="O575" s="37"/>
      <c r="P575" s="37"/>
      <c r="Q575" s="37"/>
      <c r="R575" s="37"/>
      <c r="S575" s="37"/>
      <c r="T575" s="37"/>
      <c r="U575" s="37"/>
      <c r="V575" s="37"/>
      <c r="W575" s="37"/>
      <c r="X575" s="37"/>
      <c r="Y575" s="37"/>
      <c r="Z575" s="37"/>
      <c r="AA575" s="37">
        <f t="shared" si="46"/>
        <v>0</v>
      </c>
      <c r="AB575" s="37">
        <f t="shared" ref="AB575:AB638" si="59">SUM(G575:Z575)</f>
        <v>0</v>
      </c>
    </row>
    <row r="576" spans="1:28" ht="14.4">
      <c r="A576" s="117">
        <v>1210121</v>
      </c>
      <c r="B576" s="117" t="s">
        <v>51</v>
      </c>
      <c r="C576" s="37">
        <f>+VLOOKUP(A576,Composición!C:G,5,FALSE)</f>
        <v>0</v>
      </c>
      <c r="D576" s="37"/>
      <c r="E576" s="37"/>
      <c r="F576" s="37">
        <f>+VLOOKUP(A576,Composición!C:J,8,FALSE)</f>
        <v>0</v>
      </c>
      <c r="G576" s="37">
        <f t="shared" si="47"/>
        <v>0</v>
      </c>
      <c r="H576" s="37"/>
      <c r="I576" s="37"/>
      <c r="J576" s="37"/>
      <c r="K576" s="37"/>
      <c r="L576" s="37"/>
      <c r="M576" s="37"/>
      <c r="N576" s="37"/>
      <c r="O576" s="37"/>
      <c r="P576" s="37"/>
      <c r="Q576" s="37"/>
      <c r="R576" s="37"/>
      <c r="S576" s="37"/>
      <c r="T576" s="37"/>
      <c r="U576" s="37"/>
      <c r="V576" s="37"/>
      <c r="W576" s="37"/>
      <c r="X576" s="37"/>
      <c r="Y576" s="37"/>
      <c r="Z576" s="37"/>
      <c r="AA576" s="37">
        <f t="shared" si="46"/>
        <v>0</v>
      </c>
      <c r="AB576" s="37">
        <f t="shared" si="59"/>
        <v>0</v>
      </c>
    </row>
    <row r="577" spans="1:28" ht="14.4">
      <c r="A577" s="117">
        <v>1210122</v>
      </c>
      <c r="B577" s="117" t="s">
        <v>61</v>
      </c>
      <c r="C577" s="37">
        <f>+VLOOKUP(A577,Composición!C:G,5,FALSE)</f>
        <v>0</v>
      </c>
      <c r="D577" s="37"/>
      <c r="E577" s="37"/>
      <c r="F577" s="37">
        <f>+VLOOKUP(A577,Composición!C:J,8,FALSE)</f>
        <v>0</v>
      </c>
      <c r="G577" s="37">
        <f t="shared" si="47"/>
        <v>0</v>
      </c>
      <c r="H577" s="37"/>
      <c r="I577" s="37"/>
      <c r="J577" s="37"/>
      <c r="K577" s="37"/>
      <c r="L577" s="37"/>
      <c r="M577" s="37"/>
      <c r="N577" s="37"/>
      <c r="O577" s="37"/>
      <c r="P577" s="37"/>
      <c r="Q577" s="37"/>
      <c r="R577" s="37"/>
      <c r="S577" s="37"/>
      <c r="T577" s="37"/>
      <c r="U577" s="37"/>
      <c r="V577" s="37"/>
      <c r="W577" s="37"/>
      <c r="X577" s="37"/>
      <c r="Y577" s="37"/>
      <c r="Z577" s="37"/>
      <c r="AA577" s="37">
        <f t="shared" si="46"/>
        <v>0</v>
      </c>
      <c r="AB577" s="37">
        <f t="shared" si="59"/>
        <v>0</v>
      </c>
    </row>
    <row r="578" spans="1:28" ht="14.4">
      <c r="A578" s="117">
        <v>1210123</v>
      </c>
      <c r="B578" s="117" t="s">
        <v>67</v>
      </c>
      <c r="C578" s="37">
        <f>+VLOOKUP(A578,Composición!C:G,5,FALSE)</f>
        <v>0</v>
      </c>
      <c r="D578" s="37"/>
      <c r="E578" s="37"/>
      <c r="F578" s="37">
        <f>+VLOOKUP(A578,Composición!C:J,8,FALSE)</f>
        <v>0</v>
      </c>
      <c r="G578" s="37">
        <f t="shared" si="47"/>
        <v>0</v>
      </c>
      <c r="H578" s="37"/>
      <c r="I578" s="37"/>
      <c r="J578" s="37"/>
      <c r="K578" s="37"/>
      <c r="L578" s="37"/>
      <c r="M578" s="37"/>
      <c r="N578" s="37"/>
      <c r="O578" s="37"/>
      <c r="P578" s="37"/>
      <c r="Q578" s="37"/>
      <c r="R578" s="37"/>
      <c r="S578" s="37"/>
      <c r="T578" s="37"/>
      <c r="U578" s="37"/>
      <c r="V578" s="37"/>
      <c r="W578" s="37"/>
      <c r="X578" s="37"/>
      <c r="Y578" s="37"/>
      <c r="Z578" s="37"/>
      <c r="AA578" s="37">
        <f t="shared" si="46"/>
        <v>0</v>
      </c>
      <c r="AB578" s="37">
        <f t="shared" si="59"/>
        <v>0</v>
      </c>
    </row>
    <row r="579" spans="1:28" ht="14.4">
      <c r="A579" s="117">
        <v>1210124</v>
      </c>
      <c r="B579" s="117" t="s">
        <v>684</v>
      </c>
      <c r="C579" s="37">
        <f>+VLOOKUP(A579,Composición!C:G,5,FALSE)</f>
        <v>0</v>
      </c>
      <c r="D579" s="37"/>
      <c r="E579" s="37"/>
      <c r="F579" s="37">
        <f>+VLOOKUP(A579,Composición!C:J,8,FALSE)</f>
        <v>0</v>
      </c>
      <c r="G579" s="37">
        <f t="shared" si="47"/>
        <v>0</v>
      </c>
      <c r="H579" s="37"/>
      <c r="I579" s="37"/>
      <c r="J579" s="37"/>
      <c r="K579" s="37"/>
      <c r="L579" s="37"/>
      <c r="M579" s="37"/>
      <c r="N579" s="37"/>
      <c r="O579" s="37"/>
      <c r="P579" s="37"/>
      <c r="Q579" s="37"/>
      <c r="R579" s="37"/>
      <c r="S579" s="37"/>
      <c r="T579" s="37"/>
      <c r="U579" s="37"/>
      <c r="V579" s="37"/>
      <c r="W579" s="37"/>
      <c r="X579" s="37"/>
      <c r="Y579" s="37"/>
      <c r="Z579" s="37"/>
      <c r="AA579" s="37">
        <f t="shared" si="46"/>
        <v>0</v>
      </c>
      <c r="AB579" s="37">
        <f t="shared" si="59"/>
        <v>0</v>
      </c>
    </row>
    <row r="580" spans="1:28" ht="14.4">
      <c r="A580" s="117">
        <v>1210125</v>
      </c>
      <c r="B580" s="117" t="s">
        <v>685</v>
      </c>
      <c r="C580" s="37">
        <f>+VLOOKUP(A580,Composición!C:G,5,FALSE)</f>
        <v>0</v>
      </c>
      <c r="D580" s="37"/>
      <c r="E580" s="37"/>
      <c r="F580" s="37">
        <f>+VLOOKUP(A580,Composición!C:J,8,FALSE)</f>
        <v>0</v>
      </c>
      <c r="G580" s="37">
        <f t="shared" si="47"/>
        <v>0</v>
      </c>
      <c r="H580" s="37"/>
      <c r="I580" s="37"/>
      <c r="J580" s="37"/>
      <c r="K580" s="37"/>
      <c r="L580" s="37"/>
      <c r="M580" s="37"/>
      <c r="N580" s="37"/>
      <c r="O580" s="37"/>
      <c r="P580" s="37"/>
      <c r="Q580" s="37"/>
      <c r="R580" s="37"/>
      <c r="S580" s="37"/>
      <c r="T580" s="37"/>
      <c r="U580" s="37"/>
      <c r="V580" s="37"/>
      <c r="W580" s="37"/>
      <c r="X580" s="37"/>
      <c r="Y580" s="37"/>
      <c r="Z580" s="37"/>
      <c r="AA580" s="37">
        <f t="shared" si="46"/>
        <v>0</v>
      </c>
      <c r="AB580" s="37">
        <f t="shared" si="59"/>
        <v>0</v>
      </c>
    </row>
    <row r="581" spans="1:28" ht="14.4">
      <c r="A581" s="117">
        <v>1210126</v>
      </c>
      <c r="B581" s="117" t="s">
        <v>761</v>
      </c>
      <c r="C581" s="37">
        <f>+VLOOKUP(A581,Composición!C:G,5,FALSE)</f>
        <v>0</v>
      </c>
      <c r="D581" s="37"/>
      <c r="E581" s="37"/>
      <c r="F581" s="37">
        <f>+VLOOKUP(A581,Composición!C:J,8,FALSE)</f>
        <v>0</v>
      </c>
      <c r="G581" s="37">
        <f t="shared" si="47"/>
        <v>0</v>
      </c>
      <c r="H581" s="37"/>
      <c r="I581" s="37"/>
      <c r="J581" s="37"/>
      <c r="K581" s="37"/>
      <c r="L581" s="37"/>
      <c r="M581" s="37"/>
      <c r="N581" s="37"/>
      <c r="O581" s="37"/>
      <c r="P581" s="37"/>
      <c r="Q581" s="37"/>
      <c r="R581" s="37"/>
      <c r="S581" s="37"/>
      <c r="T581" s="37"/>
      <c r="U581" s="37"/>
      <c r="V581" s="37"/>
      <c r="W581" s="37"/>
      <c r="X581" s="37"/>
      <c r="Y581" s="37"/>
      <c r="Z581" s="37"/>
      <c r="AA581" s="37">
        <f t="shared" si="46"/>
        <v>0</v>
      </c>
      <c r="AB581" s="37">
        <f t="shared" si="59"/>
        <v>0</v>
      </c>
    </row>
    <row r="582" spans="1:28" ht="14.4">
      <c r="A582" s="117">
        <v>12102</v>
      </c>
      <c r="B582" s="117" t="s">
        <v>54</v>
      </c>
      <c r="C582" s="37">
        <f>+VLOOKUP(A582,Composición!C:G,5,FALSE)</f>
        <v>0</v>
      </c>
      <c r="D582" s="37"/>
      <c r="E582" s="37"/>
      <c r="F582" s="37">
        <f>+VLOOKUP(A582,Composición!C:J,8,FALSE)</f>
        <v>0</v>
      </c>
      <c r="G582" s="37">
        <f t="shared" si="47"/>
        <v>0</v>
      </c>
      <c r="H582" s="37"/>
      <c r="I582" s="37"/>
      <c r="J582" s="37"/>
      <c r="K582" s="37"/>
      <c r="L582" s="37"/>
      <c r="M582" s="37"/>
      <c r="N582" s="37"/>
      <c r="O582" s="37"/>
      <c r="P582" s="37"/>
      <c r="Q582" s="37"/>
      <c r="R582" s="37"/>
      <c r="S582" s="37"/>
      <c r="T582" s="37"/>
      <c r="U582" s="37"/>
      <c r="V582" s="37"/>
      <c r="W582" s="37"/>
      <c r="X582" s="37"/>
      <c r="Y582" s="37"/>
      <c r="Z582" s="37"/>
      <c r="AA582" s="37">
        <f t="shared" si="46"/>
        <v>0</v>
      </c>
      <c r="AB582" s="37">
        <f t="shared" si="59"/>
        <v>0</v>
      </c>
    </row>
    <row r="583" spans="1:28" ht="14.4">
      <c r="A583" s="117">
        <v>121021</v>
      </c>
      <c r="B583" s="117" t="s">
        <v>55</v>
      </c>
      <c r="C583" s="37">
        <f>+VLOOKUP(A583,Composición!C:G,5,FALSE)</f>
        <v>0</v>
      </c>
      <c r="D583" s="37"/>
      <c r="E583" s="37"/>
      <c r="F583" s="37">
        <f>+VLOOKUP(A583,Composición!C:J,8,FALSE)</f>
        <v>0</v>
      </c>
      <c r="G583" s="37">
        <f t="shared" si="47"/>
        <v>0</v>
      </c>
      <c r="H583" s="37"/>
      <c r="I583" s="37"/>
      <c r="J583" s="37"/>
      <c r="K583" s="37"/>
      <c r="L583" s="37"/>
      <c r="M583" s="37"/>
      <c r="N583" s="37"/>
      <c r="O583" s="37"/>
      <c r="P583" s="37"/>
      <c r="Q583" s="37"/>
      <c r="R583" s="37"/>
      <c r="S583" s="37"/>
      <c r="T583" s="37"/>
      <c r="U583" s="37"/>
      <c r="V583" s="37"/>
      <c r="W583" s="37"/>
      <c r="X583" s="37"/>
      <c r="Y583" s="37"/>
      <c r="Z583" s="37"/>
      <c r="AA583" s="37">
        <f t="shared" si="46"/>
        <v>0</v>
      </c>
      <c r="AB583" s="37">
        <f t="shared" si="59"/>
        <v>0</v>
      </c>
    </row>
    <row r="584" spans="1:28" ht="14.4">
      <c r="A584" s="117">
        <v>1210211</v>
      </c>
      <c r="B584" s="117" t="s">
        <v>129</v>
      </c>
      <c r="C584" s="37">
        <f>+VLOOKUP(A584,Composición!C:G,5,FALSE)</f>
        <v>0</v>
      </c>
      <c r="D584" s="37"/>
      <c r="E584" s="37"/>
      <c r="F584" s="37">
        <f>+VLOOKUP(A584,Composición!C:J,8,FALSE)</f>
        <v>0</v>
      </c>
      <c r="G584" s="37">
        <f t="shared" si="47"/>
        <v>0</v>
      </c>
      <c r="H584" s="37"/>
      <c r="I584" s="37"/>
      <c r="J584" s="37"/>
      <c r="K584" s="37"/>
      <c r="L584" s="37"/>
      <c r="M584" s="37"/>
      <c r="N584" s="37"/>
      <c r="O584" s="37"/>
      <c r="P584" s="37"/>
      <c r="Q584" s="37"/>
      <c r="R584" s="37"/>
      <c r="S584" s="37"/>
      <c r="T584" s="37"/>
      <c r="U584" s="37"/>
      <c r="V584" s="37"/>
      <c r="W584" s="37"/>
      <c r="X584" s="37"/>
      <c r="Y584" s="37"/>
      <c r="Z584" s="37"/>
      <c r="AA584" s="37">
        <f t="shared" si="46"/>
        <v>0</v>
      </c>
      <c r="AB584" s="37">
        <f t="shared" si="59"/>
        <v>0</v>
      </c>
    </row>
    <row r="585" spans="1:28" ht="14.4">
      <c r="A585" s="117">
        <v>1210212</v>
      </c>
      <c r="B585" s="117" t="s">
        <v>51</v>
      </c>
      <c r="C585" s="37">
        <f>+VLOOKUP(A585,Composición!C:G,5,FALSE)</f>
        <v>0</v>
      </c>
      <c r="D585" s="37"/>
      <c r="E585" s="37"/>
      <c r="F585" s="37">
        <f>+VLOOKUP(A585,Composición!C:J,8,FALSE)</f>
        <v>0</v>
      </c>
      <c r="G585" s="37">
        <f t="shared" si="47"/>
        <v>0</v>
      </c>
      <c r="H585" s="37"/>
      <c r="I585" s="37"/>
      <c r="J585" s="37"/>
      <c r="K585" s="37"/>
      <c r="L585" s="37"/>
      <c r="M585" s="37"/>
      <c r="N585" s="37"/>
      <c r="O585" s="37"/>
      <c r="P585" s="37"/>
      <c r="Q585" s="37"/>
      <c r="R585" s="37"/>
      <c r="S585" s="37"/>
      <c r="T585" s="37"/>
      <c r="U585" s="37"/>
      <c r="V585" s="37"/>
      <c r="W585" s="37"/>
      <c r="X585" s="37"/>
      <c r="Y585" s="37"/>
      <c r="Z585" s="37"/>
      <c r="AA585" s="37">
        <f t="shared" si="46"/>
        <v>0</v>
      </c>
      <c r="AB585" s="37">
        <f t="shared" si="59"/>
        <v>0</v>
      </c>
    </row>
    <row r="586" spans="1:28" ht="14.4">
      <c r="A586" s="117">
        <v>1210213</v>
      </c>
      <c r="B586" s="117" t="s">
        <v>61</v>
      </c>
      <c r="C586" s="37">
        <f>+VLOOKUP(A586,Composición!C:G,5,FALSE)</f>
        <v>0</v>
      </c>
      <c r="D586" s="37"/>
      <c r="E586" s="37"/>
      <c r="F586" s="37">
        <f>+VLOOKUP(A586,Composición!C:J,8,FALSE)</f>
        <v>0</v>
      </c>
      <c r="G586" s="37">
        <f t="shared" si="47"/>
        <v>0</v>
      </c>
      <c r="H586" s="37"/>
      <c r="I586" s="37"/>
      <c r="J586" s="37"/>
      <c r="K586" s="37"/>
      <c r="L586" s="37"/>
      <c r="M586" s="37"/>
      <c r="N586" s="37"/>
      <c r="O586" s="37"/>
      <c r="P586" s="37"/>
      <c r="Q586" s="12"/>
      <c r="R586" s="37"/>
      <c r="S586" s="37"/>
      <c r="T586" s="37">
        <f>-G586</f>
        <v>0</v>
      </c>
      <c r="U586" s="37"/>
      <c r="V586" s="37"/>
      <c r="W586" s="37"/>
      <c r="X586" s="37"/>
      <c r="Y586" s="37"/>
      <c r="Z586" s="37"/>
      <c r="AA586" s="37">
        <f t="shared" si="46"/>
        <v>0</v>
      </c>
      <c r="AB586" s="37">
        <f t="shared" si="59"/>
        <v>0</v>
      </c>
    </row>
    <row r="587" spans="1:28" ht="14.4">
      <c r="A587" s="117">
        <v>1210214</v>
      </c>
      <c r="B587" s="117" t="s">
        <v>67</v>
      </c>
      <c r="C587" s="37">
        <f>+VLOOKUP(A587,Composición!C:G,5,FALSE)</f>
        <v>0</v>
      </c>
      <c r="D587" s="37"/>
      <c r="E587" s="37"/>
      <c r="F587" s="37">
        <f>+VLOOKUP(A587,Composición!C:J,8,FALSE)</f>
        <v>0</v>
      </c>
      <c r="G587" s="37">
        <f t="shared" si="47"/>
        <v>0</v>
      </c>
      <c r="H587" s="37"/>
      <c r="I587" s="37"/>
      <c r="J587" s="37"/>
      <c r="K587" s="37"/>
      <c r="L587" s="37"/>
      <c r="M587" s="37"/>
      <c r="N587" s="37"/>
      <c r="O587" s="37"/>
      <c r="P587" s="37"/>
      <c r="Q587" s="37"/>
      <c r="R587" s="37"/>
      <c r="S587" s="37"/>
      <c r="T587" s="37">
        <f>-G587</f>
        <v>0</v>
      </c>
      <c r="U587" s="37"/>
      <c r="V587" s="37"/>
      <c r="W587" s="37"/>
      <c r="X587" s="37"/>
      <c r="Y587" s="37"/>
      <c r="Z587" s="37"/>
      <c r="AA587" s="37">
        <f t="shared" si="46"/>
        <v>0</v>
      </c>
      <c r="AB587" s="37">
        <f t="shared" si="59"/>
        <v>0</v>
      </c>
    </row>
    <row r="588" spans="1:28" ht="14.4">
      <c r="A588" s="117">
        <v>1210215</v>
      </c>
      <c r="B588" s="117" t="s">
        <v>698</v>
      </c>
      <c r="C588" s="37">
        <f>+VLOOKUP(A588,Composición!C:G,5,FALSE)</f>
        <v>0</v>
      </c>
      <c r="D588" s="37"/>
      <c r="E588" s="37"/>
      <c r="F588" s="37">
        <f>+VLOOKUP(A588,Composición!C:J,8,FALSE)</f>
        <v>0</v>
      </c>
      <c r="G588" s="37">
        <f t="shared" si="47"/>
        <v>0</v>
      </c>
      <c r="H588" s="37"/>
      <c r="I588" s="37"/>
      <c r="J588" s="37"/>
      <c r="K588" s="37"/>
      <c r="L588" s="37"/>
      <c r="M588" s="37"/>
      <c r="N588" s="37"/>
      <c r="O588" s="37"/>
      <c r="P588" s="37"/>
      <c r="Q588" s="37"/>
      <c r="R588" s="37"/>
      <c r="S588" s="37"/>
      <c r="T588" s="37"/>
      <c r="U588" s="37"/>
      <c r="V588" s="37"/>
      <c r="W588" s="37"/>
      <c r="X588" s="37"/>
      <c r="Y588" s="37"/>
      <c r="Z588" s="37"/>
      <c r="AA588" s="37">
        <f t="shared" ref="AA588:AA654" si="60">SUM(G588:Z588)</f>
        <v>0</v>
      </c>
      <c r="AB588" s="37">
        <f t="shared" si="59"/>
        <v>0</v>
      </c>
    </row>
    <row r="589" spans="1:28" ht="14.4">
      <c r="A589" s="117">
        <v>12102152</v>
      </c>
      <c r="B589" s="117" t="s">
        <v>174</v>
      </c>
      <c r="C589" s="37">
        <f>+VLOOKUP(A589,Composición!C:G,5,FALSE)</f>
        <v>0</v>
      </c>
      <c r="D589" s="37"/>
      <c r="E589" s="37"/>
      <c r="F589" s="37">
        <f>+VLOOKUP(A589,Composición!C:J,8,FALSE)</f>
        <v>0</v>
      </c>
      <c r="G589" s="37">
        <f t="shared" ref="G589:G655" si="61">C589+D589-E589-F589</f>
        <v>0</v>
      </c>
      <c r="H589" s="37"/>
      <c r="I589" s="37"/>
      <c r="J589" s="37"/>
      <c r="K589" s="37"/>
      <c r="L589" s="37"/>
      <c r="M589" s="37"/>
      <c r="N589" s="37"/>
      <c r="O589" s="37"/>
      <c r="P589" s="37"/>
      <c r="Q589" s="37"/>
      <c r="R589" s="37"/>
      <c r="S589" s="37"/>
      <c r="T589" s="37"/>
      <c r="U589" s="37"/>
      <c r="V589" s="37"/>
      <c r="W589" s="37"/>
      <c r="X589" s="37"/>
      <c r="Y589" s="37"/>
      <c r="Z589" s="37"/>
      <c r="AA589" s="37">
        <f t="shared" si="60"/>
        <v>0</v>
      </c>
      <c r="AB589" s="37">
        <f t="shared" si="59"/>
        <v>0</v>
      </c>
    </row>
    <row r="590" spans="1:28" ht="14.4">
      <c r="A590" s="117">
        <v>1210215104</v>
      </c>
      <c r="B590" s="117" t="s">
        <v>583</v>
      </c>
      <c r="C590" s="37">
        <f>+VLOOKUP(A590,Composición!C:G,5,FALSE)</f>
        <v>700000000</v>
      </c>
      <c r="D590" s="37"/>
      <c r="E590" s="37"/>
      <c r="F590" s="37">
        <f>+VLOOKUP(A590,Composición!C:J,8,FALSE)</f>
        <v>0</v>
      </c>
      <c r="G590" s="37">
        <f t="shared" ref="G590:G592" si="62">C590+D590-E590-F590</f>
        <v>700000000</v>
      </c>
      <c r="H590" s="37"/>
      <c r="I590" s="37"/>
      <c r="J590" s="37"/>
      <c r="K590" s="37"/>
      <c r="L590" s="37"/>
      <c r="M590" s="37"/>
      <c r="N590" s="37"/>
      <c r="O590" s="37"/>
      <c r="P590" s="37"/>
      <c r="Q590" s="37"/>
      <c r="R590" s="37"/>
      <c r="S590" s="37">
        <f>-G590</f>
        <v>-700000000</v>
      </c>
      <c r="T590" s="37"/>
      <c r="U590" s="37"/>
      <c r="V590" s="37"/>
      <c r="W590" s="37"/>
      <c r="X590" s="37"/>
      <c r="Y590" s="37"/>
      <c r="Z590" s="37"/>
      <c r="AA590" s="37">
        <f t="shared" si="60"/>
        <v>0</v>
      </c>
      <c r="AB590" s="37">
        <f t="shared" si="59"/>
        <v>0</v>
      </c>
    </row>
    <row r="591" spans="1:28" ht="14.4">
      <c r="A591" s="117">
        <v>1210215105</v>
      </c>
      <c r="B591" s="117" t="s">
        <v>90</v>
      </c>
      <c r="C591" s="37">
        <f>+VLOOKUP(A591,Composición!C:G,5,FALSE)</f>
        <v>196910959</v>
      </c>
      <c r="D591" s="37"/>
      <c r="E591" s="37"/>
      <c r="F591" s="37">
        <f>+VLOOKUP(A591,Composición!C:J,8,FALSE)</f>
        <v>0</v>
      </c>
      <c r="G591" s="37">
        <f t="shared" si="62"/>
        <v>196910959</v>
      </c>
      <c r="H591" s="37"/>
      <c r="I591" s="37"/>
      <c r="J591" s="37"/>
      <c r="K591" s="37"/>
      <c r="L591" s="37"/>
      <c r="M591" s="37"/>
      <c r="N591" s="37"/>
      <c r="O591" s="37"/>
      <c r="P591" s="37"/>
      <c r="Q591" s="37"/>
      <c r="R591" s="37"/>
      <c r="S591" s="37"/>
      <c r="T591" s="37">
        <f t="shared" ref="T591:T592" si="63">-G591</f>
        <v>-196910959</v>
      </c>
      <c r="U591" s="37"/>
      <c r="V591" s="37"/>
      <c r="W591" s="37"/>
      <c r="X591" s="37"/>
      <c r="Y591" s="37"/>
      <c r="Z591" s="37"/>
      <c r="AA591" s="37">
        <f t="shared" si="60"/>
        <v>0</v>
      </c>
      <c r="AB591" s="37">
        <f t="shared" si="59"/>
        <v>0</v>
      </c>
    </row>
    <row r="592" spans="1:28" ht="14.4">
      <c r="A592" s="117">
        <v>1210215106</v>
      </c>
      <c r="B592" s="117" t="s">
        <v>584</v>
      </c>
      <c r="C592" s="37">
        <f>+VLOOKUP(A592,Composición!C:G,5,FALSE)</f>
        <v>-160952055</v>
      </c>
      <c r="D592" s="37"/>
      <c r="E592" s="37"/>
      <c r="F592" s="37">
        <f>+VLOOKUP(A592,Composición!C:J,8,FALSE)</f>
        <v>0</v>
      </c>
      <c r="G592" s="37">
        <f t="shared" si="62"/>
        <v>-160952055</v>
      </c>
      <c r="H592" s="37"/>
      <c r="I592" s="37"/>
      <c r="J592" s="37"/>
      <c r="K592" s="37"/>
      <c r="L592" s="37"/>
      <c r="M592" s="37"/>
      <c r="N592" s="37"/>
      <c r="O592" s="37"/>
      <c r="P592" s="37"/>
      <c r="Q592" s="37"/>
      <c r="R592" s="37"/>
      <c r="S592" s="37"/>
      <c r="T592" s="37">
        <f t="shared" si="63"/>
        <v>160952055</v>
      </c>
      <c r="U592" s="37"/>
      <c r="V592" s="37"/>
      <c r="W592" s="37"/>
      <c r="X592" s="37"/>
      <c r="Y592" s="37"/>
      <c r="Z592" s="37"/>
      <c r="AA592" s="37">
        <f t="shared" si="60"/>
        <v>0</v>
      </c>
      <c r="AB592" s="37">
        <f t="shared" si="59"/>
        <v>0</v>
      </c>
    </row>
    <row r="593" spans="1:28" ht="14.4">
      <c r="A593" s="117">
        <v>1210215201</v>
      </c>
      <c r="B593" s="117" t="s">
        <v>830</v>
      </c>
      <c r="C593" s="37">
        <f>+VLOOKUP(A593,Composición!C:G,5,FALSE)</f>
        <v>0</v>
      </c>
      <c r="D593" s="37"/>
      <c r="E593" s="37"/>
      <c r="F593" s="37">
        <f>+VLOOKUP(A593,Composición!C:J,8,FALSE)</f>
        <v>650000000</v>
      </c>
      <c r="G593" s="37">
        <f t="shared" si="61"/>
        <v>-650000000</v>
      </c>
      <c r="H593" s="37"/>
      <c r="I593" s="37"/>
      <c r="J593" s="37"/>
      <c r="K593" s="37"/>
      <c r="L593" s="37"/>
      <c r="M593" s="37"/>
      <c r="N593" s="37"/>
      <c r="O593" s="37"/>
      <c r="P593" s="37"/>
      <c r="Q593" s="37"/>
      <c r="R593" s="37"/>
      <c r="S593" s="37">
        <f>-G593</f>
        <v>650000000</v>
      </c>
      <c r="T593" s="37"/>
      <c r="U593" s="37"/>
      <c r="V593" s="37"/>
      <c r="W593" s="37"/>
      <c r="X593" s="37"/>
      <c r="Y593" s="37"/>
      <c r="Z593" s="37"/>
      <c r="AA593" s="37">
        <f t="shared" si="60"/>
        <v>0</v>
      </c>
      <c r="AB593" s="37">
        <f t="shared" si="59"/>
        <v>0</v>
      </c>
    </row>
    <row r="594" spans="1:28" ht="14.4">
      <c r="A594" s="117">
        <v>1210215202</v>
      </c>
      <c r="B594" s="117" t="s">
        <v>831</v>
      </c>
      <c r="C594" s="37">
        <f>+VLOOKUP(A594,Composición!C:G,5,FALSE)</f>
        <v>0</v>
      </c>
      <c r="D594" s="37"/>
      <c r="E594" s="37"/>
      <c r="F594" s="37">
        <f>+VLOOKUP(A594,Composición!C:J,8,FALSE)</f>
        <v>337884247</v>
      </c>
      <c r="G594" s="37">
        <f t="shared" si="61"/>
        <v>-337884247</v>
      </c>
      <c r="H594" s="37"/>
      <c r="I594" s="37"/>
      <c r="J594" s="37"/>
      <c r="K594" s="37"/>
      <c r="L594" s="37"/>
      <c r="M594" s="37"/>
      <c r="N594" s="37"/>
      <c r="O594" s="37"/>
      <c r="P594" s="37"/>
      <c r="Q594" s="37"/>
      <c r="R594" s="37"/>
      <c r="S594" s="37"/>
      <c r="T594" s="37">
        <f>-G594</f>
        <v>337884247</v>
      </c>
      <c r="U594" s="37"/>
      <c r="V594" s="37"/>
      <c r="W594" s="37"/>
      <c r="X594" s="37"/>
      <c r="Y594" s="37"/>
      <c r="Z594" s="37"/>
      <c r="AA594" s="37">
        <f t="shared" si="60"/>
        <v>0</v>
      </c>
      <c r="AB594" s="37">
        <f t="shared" si="59"/>
        <v>0</v>
      </c>
    </row>
    <row r="595" spans="1:28" ht="14.4">
      <c r="A595" s="117">
        <v>1210215203</v>
      </c>
      <c r="B595" s="117" t="s">
        <v>832</v>
      </c>
      <c r="C595" s="37">
        <f>+VLOOKUP(A595,Composición!C:G,5,FALSE)</f>
        <v>0</v>
      </c>
      <c r="D595" s="37"/>
      <c r="E595" s="37"/>
      <c r="F595" s="37">
        <f>+VLOOKUP(A595,Composición!C:J,8,FALSE)</f>
        <v>-322141781</v>
      </c>
      <c r="G595" s="37">
        <f t="shared" si="61"/>
        <v>322141781</v>
      </c>
      <c r="H595" s="37"/>
      <c r="I595" s="37"/>
      <c r="J595" s="37"/>
      <c r="K595" s="37"/>
      <c r="L595" s="37"/>
      <c r="M595" s="37"/>
      <c r="N595" s="37"/>
      <c r="O595" s="37"/>
      <c r="P595" s="37"/>
      <c r="Q595" s="37"/>
      <c r="R595" s="37"/>
      <c r="S595" s="37"/>
      <c r="T595" s="37">
        <f>-G595</f>
        <v>-322141781</v>
      </c>
      <c r="U595" s="37"/>
      <c r="V595" s="37"/>
      <c r="W595" s="37"/>
      <c r="X595" s="37"/>
      <c r="Y595" s="37"/>
      <c r="Z595" s="37"/>
      <c r="AA595" s="37">
        <f t="shared" si="60"/>
        <v>0</v>
      </c>
      <c r="AB595" s="37">
        <f t="shared" si="59"/>
        <v>0</v>
      </c>
    </row>
    <row r="596" spans="1:28" ht="14.4">
      <c r="A596" s="117">
        <v>1210215101</v>
      </c>
      <c r="B596" s="117" t="s">
        <v>833</v>
      </c>
      <c r="C596" s="37">
        <f>+VLOOKUP(A596,Composición!C:G,5,FALSE)</f>
        <v>0</v>
      </c>
      <c r="D596" s="37"/>
      <c r="E596" s="37"/>
      <c r="F596" s="37">
        <f>+VLOOKUP(A596,Composición!C:J,8,FALSE)</f>
        <v>0</v>
      </c>
      <c r="G596" s="37">
        <f t="shared" si="61"/>
        <v>0</v>
      </c>
      <c r="H596" s="37"/>
      <c r="I596" s="37"/>
      <c r="J596" s="37"/>
      <c r="K596" s="37"/>
      <c r="L596" s="37"/>
      <c r="M596" s="37"/>
      <c r="N596" s="37"/>
      <c r="O596" s="37"/>
      <c r="P596" s="37"/>
      <c r="Q596" s="37"/>
      <c r="R596" s="37"/>
      <c r="S596" s="37"/>
      <c r="T596" s="37"/>
      <c r="U596" s="37"/>
      <c r="V596" s="37"/>
      <c r="W596" s="37"/>
      <c r="X596" s="37"/>
      <c r="Y596" s="37"/>
      <c r="Z596" s="37"/>
      <c r="AA596" s="37">
        <f t="shared" si="60"/>
        <v>0</v>
      </c>
      <c r="AB596" s="37">
        <f t="shared" si="59"/>
        <v>0</v>
      </c>
    </row>
    <row r="597" spans="1:28" ht="14.4">
      <c r="A597" s="117">
        <v>1210215102</v>
      </c>
      <c r="B597" s="117" t="s">
        <v>92</v>
      </c>
      <c r="C597" s="37">
        <f>+VLOOKUP(A597,Composición!C:G,5,FALSE)</f>
        <v>0</v>
      </c>
      <c r="D597" s="37"/>
      <c r="E597" s="37"/>
      <c r="F597" s="37">
        <f>+VLOOKUP(A597,Composición!C:J,8,FALSE)</f>
        <v>0</v>
      </c>
      <c r="G597" s="37">
        <f t="shared" si="61"/>
        <v>0</v>
      </c>
      <c r="H597" s="37"/>
      <c r="I597" s="37"/>
      <c r="J597" s="37"/>
      <c r="K597" s="37"/>
      <c r="L597" s="37"/>
      <c r="M597" s="37"/>
      <c r="N597" s="37"/>
      <c r="O597" s="37"/>
      <c r="P597" s="37"/>
      <c r="Q597" s="37"/>
      <c r="R597" s="37"/>
      <c r="S597" s="37"/>
      <c r="T597" s="37"/>
      <c r="U597" s="37"/>
      <c r="V597" s="37"/>
      <c r="W597" s="37"/>
      <c r="X597" s="37"/>
      <c r="Y597" s="37"/>
      <c r="Z597" s="37"/>
      <c r="AA597" s="37">
        <f t="shared" si="60"/>
        <v>0</v>
      </c>
      <c r="AB597" s="37">
        <f t="shared" si="59"/>
        <v>0</v>
      </c>
    </row>
    <row r="598" spans="1:28" ht="14.4">
      <c r="A598" s="117">
        <v>1210215103</v>
      </c>
      <c r="B598" s="117" t="s">
        <v>834</v>
      </c>
      <c r="C598" s="37">
        <f>+VLOOKUP(A598,Composición!C:G,5,FALSE)</f>
        <v>0</v>
      </c>
      <c r="D598" s="37"/>
      <c r="E598" s="37"/>
      <c r="F598" s="37">
        <f>+VLOOKUP(A598,Composición!C:J,8,FALSE)</f>
        <v>0</v>
      </c>
      <c r="G598" s="37">
        <f t="shared" si="61"/>
        <v>0</v>
      </c>
      <c r="H598" s="37"/>
      <c r="I598" s="37"/>
      <c r="J598" s="37"/>
      <c r="K598" s="37"/>
      <c r="L598" s="37"/>
      <c r="M598" s="37"/>
      <c r="N598" s="37"/>
      <c r="O598" s="37"/>
      <c r="P598" s="37"/>
      <c r="Q598" s="37"/>
      <c r="R598" s="37"/>
      <c r="S598" s="37"/>
      <c r="T598" s="37"/>
      <c r="U598" s="37"/>
      <c r="V598" s="37"/>
      <c r="W598" s="37"/>
      <c r="X598" s="37"/>
      <c r="Y598" s="37"/>
      <c r="Z598" s="37"/>
      <c r="AA598" s="37">
        <f t="shared" si="60"/>
        <v>0</v>
      </c>
      <c r="AB598" s="37">
        <f t="shared" si="59"/>
        <v>0</v>
      </c>
    </row>
    <row r="599" spans="1:28" ht="14.4">
      <c r="A599" s="117">
        <v>1210216</v>
      </c>
      <c r="B599" s="117" t="s">
        <v>684</v>
      </c>
      <c r="C599" s="37">
        <f>+VLOOKUP(A599,Composición!C:G,5,FALSE)</f>
        <v>0</v>
      </c>
      <c r="D599" s="37"/>
      <c r="E599" s="37"/>
      <c r="F599" s="37">
        <f>+VLOOKUP(A599,Composición!C:J,8,FALSE)</f>
        <v>0</v>
      </c>
      <c r="G599" s="37">
        <f t="shared" si="61"/>
        <v>0</v>
      </c>
      <c r="H599" s="37"/>
      <c r="I599" s="37"/>
      <c r="J599" s="37"/>
      <c r="K599" s="37"/>
      <c r="L599" s="37"/>
      <c r="M599" s="37"/>
      <c r="N599" s="37"/>
      <c r="O599" s="37"/>
      <c r="P599" s="37"/>
      <c r="Q599" s="37"/>
      <c r="R599" s="37"/>
      <c r="S599" s="37"/>
      <c r="T599" s="37"/>
      <c r="U599" s="37"/>
      <c r="V599" s="37"/>
      <c r="W599" s="37"/>
      <c r="X599" s="37"/>
      <c r="Y599" s="37"/>
      <c r="Z599" s="37"/>
      <c r="AA599" s="37">
        <f t="shared" si="60"/>
        <v>0</v>
      </c>
      <c r="AB599" s="37">
        <f t="shared" si="59"/>
        <v>0</v>
      </c>
    </row>
    <row r="600" spans="1:28" ht="14.4">
      <c r="A600" s="117">
        <v>1210217</v>
      </c>
      <c r="B600" s="117" t="s">
        <v>71</v>
      </c>
      <c r="C600" s="37">
        <f>+VLOOKUP(A600,Composición!C:G,5,FALSE)</f>
        <v>0</v>
      </c>
      <c r="D600" s="37"/>
      <c r="E600" s="37"/>
      <c r="F600" s="37">
        <f>+VLOOKUP(A600,Composición!C:J,8,FALSE)</f>
        <v>0</v>
      </c>
      <c r="G600" s="37">
        <f t="shared" si="61"/>
        <v>0</v>
      </c>
      <c r="H600" s="37"/>
      <c r="I600" s="37"/>
      <c r="J600" s="37"/>
      <c r="K600" s="37"/>
      <c r="L600" s="37"/>
      <c r="M600" s="37"/>
      <c r="N600" s="37"/>
      <c r="O600" s="37"/>
      <c r="P600" s="37"/>
      <c r="Q600" s="37"/>
      <c r="R600" s="37"/>
      <c r="S600" s="37"/>
      <c r="T600" s="37"/>
      <c r="U600" s="37"/>
      <c r="V600" s="37"/>
      <c r="W600" s="37"/>
      <c r="X600" s="37"/>
      <c r="Y600" s="37"/>
      <c r="Z600" s="37"/>
      <c r="AA600" s="37">
        <f t="shared" si="60"/>
        <v>0</v>
      </c>
      <c r="AB600" s="37">
        <f t="shared" si="59"/>
        <v>0</v>
      </c>
    </row>
    <row r="601" spans="1:28" ht="14.4">
      <c r="A601" s="117">
        <v>12102171</v>
      </c>
      <c r="B601" s="117" t="s">
        <v>336</v>
      </c>
      <c r="C601" s="37">
        <f>+VLOOKUP(A601,Composición!C:G,5,FALSE)</f>
        <v>0</v>
      </c>
      <c r="D601" s="37"/>
      <c r="E601" s="37"/>
      <c r="F601" s="37">
        <f>+VLOOKUP(A601,Composición!C:J,8,FALSE)</f>
        <v>0</v>
      </c>
      <c r="G601" s="37">
        <f t="shared" si="61"/>
        <v>0</v>
      </c>
      <c r="H601" s="37"/>
      <c r="I601" s="37"/>
      <c r="J601" s="37"/>
      <c r="K601" s="37"/>
      <c r="L601" s="37"/>
      <c r="M601" s="37"/>
      <c r="N601" s="37"/>
      <c r="O601" s="37"/>
      <c r="P601" s="37"/>
      <c r="Q601" s="37"/>
      <c r="R601" s="37"/>
      <c r="S601" s="37"/>
      <c r="T601" s="37"/>
      <c r="U601" s="37"/>
      <c r="V601" s="37"/>
      <c r="W601" s="37"/>
      <c r="X601" s="37"/>
      <c r="Y601" s="37"/>
      <c r="Z601" s="37"/>
      <c r="AA601" s="37">
        <f t="shared" si="60"/>
        <v>0</v>
      </c>
      <c r="AB601" s="37">
        <f t="shared" si="59"/>
        <v>0</v>
      </c>
    </row>
    <row r="602" spans="1:28" ht="14.4">
      <c r="A602" s="117">
        <v>1210218</v>
      </c>
      <c r="B602" s="117" t="s">
        <v>87</v>
      </c>
      <c r="C602" s="37">
        <f>+VLOOKUP(A602,Composición!C:G,5,FALSE)</f>
        <v>0</v>
      </c>
      <c r="D602" s="37"/>
      <c r="E602" s="37"/>
      <c r="F602" s="37">
        <f>+VLOOKUP(A602,Composición!C:J,8,FALSE)</f>
        <v>0</v>
      </c>
      <c r="G602" s="37">
        <f t="shared" si="61"/>
        <v>0</v>
      </c>
      <c r="H602" s="37"/>
      <c r="I602" s="37"/>
      <c r="J602" s="37"/>
      <c r="K602" s="37"/>
      <c r="L602" s="37"/>
      <c r="M602" s="37"/>
      <c r="N602" s="37"/>
      <c r="O602" s="37"/>
      <c r="P602" s="37"/>
      <c r="Q602" s="37"/>
      <c r="R602" s="37"/>
      <c r="S602" s="37"/>
      <c r="T602" s="37"/>
      <c r="U602" s="37"/>
      <c r="V602" s="37"/>
      <c r="W602" s="37"/>
      <c r="X602" s="37"/>
      <c r="Y602" s="37"/>
      <c r="Z602" s="37"/>
      <c r="AA602" s="37">
        <f t="shared" si="60"/>
        <v>0</v>
      </c>
      <c r="AB602" s="37">
        <f t="shared" si="59"/>
        <v>0</v>
      </c>
    </row>
    <row r="603" spans="1:28" ht="14.4">
      <c r="A603" s="117">
        <v>12102181</v>
      </c>
      <c r="B603" s="117" t="s">
        <v>88</v>
      </c>
      <c r="C603" s="37">
        <f>+VLOOKUP(A603,Composición!C:G,5,FALSE)</f>
        <v>0</v>
      </c>
      <c r="D603" s="37"/>
      <c r="E603" s="37"/>
      <c r="F603" s="37">
        <f>+VLOOKUP(A603,Composición!C:J,8,FALSE)</f>
        <v>0</v>
      </c>
      <c r="G603" s="37">
        <f t="shared" si="61"/>
        <v>0</v>
      </c>
      <c r="H603" s="37"/>
      <c r="I603" s="37"/>
      <c r="J603" s="37"/>
      <c r="K603" s="37"/>
      <c r="L603" s="37"/>
      <c r="M603" s="37"/>
      <c r="N603" s="37"/>
      <c r="O603" s="37"/>
      <c r="P603" s="37"/>
      <c r="Q603" s="37"/>
      <c r="R603" s="37"/>
      <c r="S603" s="37"/>
      <c r="T603" s="37"/>
      <c r="U603" s="37"/>
      <c r="V603" s="37"/>
      <c r="W603" s="37"/>
      <c r="X603" s="37"/>
      <c r="Y603" s="37"/>
      <c r="Z603" s="37"/>
      <c r="AA603" s="37">
        <f t="shared" si="60"/>
        <v>0</v>
      </c>
      <c r="AB603" s="37">
        <f t="shared" si="59"/>
        <v>0</v>
      </c>
    </row>
    <row r="604" spans="1:28" ht="14.4">
      <c r="A604" s="117">
        <v>12102182</v>
      </c>
      <c r="B604" s="117" t="s">
        <v>97</v>
      </c>
      <c r="C604" s="37">
        <f>+VLOOKUP(A604,Composición!C:G,5,FALSE)</f>
        <v>0</v>
      </c>
      <c r="D604" s="37"/>
      <c r="E604" s="37"/>
      <c r="F604" s="37">
        <f>+VLOOKUP(A604,Composición!C:J,8,FALSE)</f>
        <v>0</v>
      </c>
      <c r="G604" s="37">
        <f t="shared" si="61"/>
        <v>0</v>
      </c>
      <c r="H604" s="37"/>
      <c r="I604" s="37"/>
      <c r="J604" s="37"/>
      <c r="K604" s="37"/>
      <c r="L604" s="37"/>
      <c r="M604" s="37"/>
      <c r="N604" s="37"/>
      <c r="O604" s="37"/>
      <c r="P604" s="37"/>
      <c r="Q604" s="37"/>
      <c r="R604" s="37"/>
      <c r="S604" s="37"/>
      <c r="T604" s="37"/>
      <c r="U604" s="37"/>
      <c r="V604" s="37"/>
      <c r="W604" s="37"/>
      <c r="X604" s="37"/>
      <c r="Y604" s="37"/>
      <c r="Z604" s="37"/>
      <c r="AA604" s="37">
        <f t="shared" si="60"/>
        <v>0</v>
      </c>
      <c r="AB604" s="37">
        <f t="shared" si="59"/>
        <v>0</v>
      </c>
    </row>
    <row r="605" spans="1:28" ht="14.4">
      <c r="A605" s="117">
        <v>1210219</v>
      </c>
      <c r="B605" s="117" t="s">
        <v>761</v>
      </c>
      <c r="C605" s="37">
        <f>+VLOOKUP(A605,Composición!C:G,5,FALSE)</f>
        <v>0</v>
      </c>
      <c r="D605" s="37"/>
      <c r="E605" s="37"/>
      <c r="F605" s="37">
        <f>+VLOOKUP(A605,Composición!C:J,8,FALSE)</f>
        <v>0</v>
      </c>
      <c r="G605" s="37">
        <f t="shared" si="61"/>
        <v>0</v>
      </c>
      <c r="H605" s="37"/>
      <c r="I605" s="37"/>
      <c r="J605" s="37"/>
      <c r="K605" s="37"/>
      <c r="L605" s="37"/>
      <c r="M605" s="37"/>
      <c r="N605" s="37"/>
      <c r="O605" s="37"/>
      <c r="P605" s="37"/>
      <c r="Q605" s="37"/>
      <c r="R605" s="37"/>
      <c r="S605" s="37"/>
      <c r="T605" s="37"/>
      <c r="U605" s="37"/>
      <c r="V605" s="37"/>
      <c r="W605" s="37"/>
      <c r="X605" s="37"/>
      <c r="Y605" s="37"/>
      <c r="Z605" s="37"/>
      <c r="AA605" s="37">
        <f t="shared" si="60"/>
        <v>0</v>
      </c>
      <c r="AB605" s="37">
        <f t="shared" si="59"/>
        <v>0</v>
      </c>
    </row>
    <row r="606" spans="1:28" ht="14.4">
      <c r="A606" s="117">
        <v>121022</v>
      </c>
      <c r="B606" s="117" t="s">
        <v>792</v>
      </c>
      <c r="C606" s="37">
        <f>+VLOOKUP(A606,Composición!C:G,5,FALSE)</f>
        <v>0</v>
      </c>
      <c r="D606" s="37"/>
      <c r="E606" s="37"/>
      <c r="F606" s="37">
        <f>+VLOOKUP(A606,Composición!C:J,8,FALSE)</f>
        <v>0</v>
      </c>
      <c r="G606" s="37">
        <f t="shared" si="61"/>
        <v>0</v>
      </c>
      <c r="H606" s="37"/>
      <c r="I606" s="37"/>
      <c r="J606" s="37"/>
      <c r="K606" s="37"/>
      <c r="L606" s="37"/>
      <c r="M606" s="37"/>
      <c r="N606" s="37"/>
      <c r="O606" s="37"/>
      <c r="P606" s="37"/>
      <c r="Q606" s="37"/>
      <c r="R606" s="37"/>
      <c r="S606" s="37"/>
      <c r="T606" s="37"/>
      <c r="U606" s="37"/>
      <c r="V606" s="37"/>
      <c r="W606" s="37"/>
      <c r="X606" s="37"/>
      <c r="Y606" s="37"/>
      <c r="Z606" s="37"/>
      <c r="AA606" s="37">
        <f t="shared" si="60"/>
        <v>0</v>
      </c>
      <c r="AB606" s="37">
        <f t="shared" si="59"/>
        <v>0</v>
      </c>
    </row>
    <row r="607" spans="1:28" ht="14.4">
      <c r="A607" s="117">
        <v>1210221</v>
      </c>
      <c r="B607" s="117" t="s">
        <v>129</v>
      </c>
      <c r="C607" s="37">
        <f>+VLOOKUP(A607,Composición!C:G,5,FALSE)</f>
        <v>0</v>
      </c>
      <c r="D607" s="37"/>
      <c r="E607" s="37"/>
      <c r="F607" s="37">
        <f>+VLOOKUP(A607,Composición!C:J,8,FALSE)</f>
        <v>0</v>
      </c>
      <c r="G607" s="37">
        <f t="shared" si="61"/>
        <v>0</v>
      </c>
      <c r="H607" s="37"/>
      <c r="I607" s="37"/>
      <c r="J607" s="37"/>
      <c r="K607" s="37"/>
      <c r="L607" s="37"/>
      <c r="M607" s="37"/>
      <c r="N607" s="37"/>
      <c r="O607" s="37"/>
      <c r="P607" s="37"/>
      <c r="Q607" s="37"/>
      <c r="R607" s="37"/>
      <c r="S607" s="37"/>
      <c r="T607" s="37"/>
      <c r="U607" s="37"/>
      <c r="V607" s="37"/>
      <c r="W607" s="37"/>
      <c r="X607" s="37"/>
      <c r="Y607" s="37"/>
      <c r="Z607" s="37"/>
      <c r="AA607" s="37">
        <f t="shared" si="60"/>
        <v>0</v>
      </c>
      <c r="AB607" s="37">
        <f t="shared" si="59"/>
        <v>0</v>
      </c>
    </row>
    <row r="608" spans="1:28" ht="14.4">
      <c r="A608" s="117">
        <v>1210222</v>
      </c>
      <c r="B608" s="117" t="s">
        <v>51</v>
      </c>
      <c r="C608" s="37">
        <f>+VLOOKUP(A608,Composición!C:G,5,FALSE)</f>
        <v>0</v>
      </c>
      <c r="D608" s="37"/>
      <c r="E608" s="37"/>
      <c r="F608" s="37">
        <f>+VLOOKUP(A608,Composición!C:J,8,FALSE)</f>
        <v>0</v>
      </c>
      <c r="G608" s="37">
        <f t="shared" si="61"/>
        <v>0</v>
      </c>
      <c r="H608" s="37"/>
      <c r="I608" s="37"/>
      <c r="J608" s="37"/>
      <c r="K608" s="37"/>
      <c r="L608" s="37"/>
      <c r="M608" s="37"/>
      <c r="N608" s="37"/>
      <c r="O608" s="37"/>
      <c r="P608" s="37"/>
      <c r="Q608" s="37"/>
      <c r="R608" s="37"/>
      <c r="S608" s="37"/>
      <c r="T608" s="37"/>
      <c r="U608" s="37"/>
      <c r="V608" s="37"/>
      <c r="W608" s="37"/>
      <c r="X608" s="37"/>
      <c r="Y608" s="37"/>
      <c r="Z608" s="37"/>
      <c r="AA608" s="37">
        <f t="shared" si="60"/>
        <v>0</v>
      </c>
      <c r="AB608" s="37">
        <f t="shared" si="59"/>
        <v>0</v>
      </c>
    </row>
    <row r="609" spans="1:28" ht="14.4">
      <c r="A609" s="117">
        <v>1210223</v>
      </c>
      <c r="B609" s="117" t="s">
        <v>61</v>
      </c>
      <c r="C609" s="37">
        <f>+VLOOKUP(A609,Composición!C:G,5,FALSE)</f>
        <v>0</v>
      </c>
      <c r="D609" s="37"/>
      <c r="E609" s="37"/>
      <c r="F609" s="37">
        <f>+VLOOKUP(A609,Composición!C:J,8,FALSE)</f>
        <v>0</v>
      </c>
      <c r="G609" s="37">
        <f t="shared" si="61"/>
        <v>0</v>
      </c>
      <c r="H609" s="37"/>
      <c r="I609" s="37"/>
      <c r="J609" s="37"/>
      <c r="K609" s="37"/>
      <c r="L609" s="37"/>
      <c r="M609" s="37"/>
      <c r="N609" s="37"/>
      <c r="O609" s="37"/>
      <c r="P609" s="37"/>
      <c r="Q609" s="37"/>
      <c r="R609" s="37"/>
      <c r="S609" s="37"/>
      <c r="T609" s="37"/>
      <c r="U609" s="37"/>
      <c r="V609" s="37"/>
      <c r="W609" s="37"/>
      <c r="X609" s="37"/>
      <c r="Y609" s="37"/>
      <c r="Z609" s="37"/>
      <c r="AA609" s="37">
        <f t="shared" si="60"/>
        <v>0</v>
      </c>
      <c r="AB609" s="37">
        <f t="shared" si="59"/>
        <v>0</v>
      </c>
    </row>
    <row r="610" spans="1:28" ht="14.4">
      <c r="A610" s="117">
        <v>1210224</v>
      </c>
      <c r="B610" s="117" t="s">
        <v>67</v>
      </c>
      <c r="C610" s="37">
        <f>+VLOOKUP(A610,Composición!C:G,5,FALSE)</f>
        <v>0</v>
      </c>
      <c r="D610" s="37"/>
      <c r="E610" s="37"/>
      <c r="F610" s="37">
        <f>+VLOOKUP(A610,Composición!C:J,8,FALSE)</f>
        <v>0</v>
      </c>
      <c r="G610" s="37">
        <f t="shared" si="61"/>
        <v>0</v>
      </c>
      <c r="H610" s="37"/>
      <c r="I610" s="37"/>
      <c r="J610" s="37"/>
      <c r="K610" s="37"/>
      <c r="L610" s="37"/>
      <c r="M610" s="37"/>
      <c r="N610" s="37"/>
      <c r="O610" s="37"/>
      <c r="P610" s="37"/>
      <c r="Q610" s="37"/>
      <c r="R610" s="37"/>
      <c r="S610" s="37"/>
      <c r="T610" s="37"/>
      <c r="U610" s="37"/>
      <c r="V610" s="37"/>
      <c r="W610" s="37"/>
      <c r="X610" s="37"/>
      <c r="Y610" s="37"/>
      <c r="Z610" s="37"/>
      <c r="AA610" s="37">
        <f t="shared" si="60"/>
        <v>0</v>
      </c>
      <c r="AB610" s="37">
        <f t="shared" si="59"/>
        <v>0</v>
      </c>
    </row>
    <row r="611" spans="1:28" ht="14.4">
      <c r="A611" s="117">
        <v>1210225</v>
      </c>
      <c r="B611" s="117" t="s">
        <v>684</v>
      </c>
      <c r="C611" s="37">
        <f>+VLOOKUP(A611,Composición!C:G,5,FALSE)</f>
        <v>0</v>
      </c>
      <c r="D611" s="37"/>
      <c r="E611" s="37"/>
      <c r="F611" s="37">
        <f>+VLOOKUP(A611,Composición!C:J,8,FALSE)</f>
        <v>0</v>
      </c>
      <c r="G611" s="37">
        <f t="shared" si="61"/>
        <v>0</v>
      </c>
      <c r="H611" s="37"/>
      <c r="I611" s="37"/>
      <c r="J611" s="37"/>
      <c r="K611" s="37"/>
      <c r="L611" s="37"/>
      <c r="M611" s="37"/>
      <c r="N611" s="37"/>
      <c r="O611" s="37"/>
      <c r="P611" s="37"/>
      <c r="Q611" s="37"/>
      <c r="R611" s="37"/>
      <c r="S611" s="37"/>
      <c r="T611" s="37"/>
      <c r="U611" s="37"/>
      <c r="V611" s="37"/>
      <c r="W611" s="37"/>
      <c r="X611" s="37"/>
      <c r="Y611" s="37"/>
      <c r="Z611" s="37"/>
      <c r="AA611" s="37">
        <f t="shared" si="60"/>
        <v>0</v>
      </c>
      <c r="AB611" s="37">
        <f t="shared" si="59"/>
        <v>0</v>
      </c>
    </row>
    <row r="612" spans="1:28" ht="14.4">
      <c r="A612" s="117">
        <v>1210226</v>
      </c>
      <c r="B612" s="117" t="s">
        <v>71</v>
      </c>
      <c r="C612" s="37">
        <f>+VLOOKUP(A612,Composición!C:G,5,FALSE)</f>
        <v>0</v>
      </c>
      <c r="D612" s="37"/>
      <c r="E612" s="37"/>
      <c r="F612" s="37">
        <f>+VLOOKUP(A612,Composición!C:J,8,FALSE)</f>
        <v>0</v>
      </c>
      <c r="G612" s="37">
        <f t="shared" si="61"/>
        <v>0</v>
      </c>
      <c r="H612" s="37"/>
      <c r="I612" s="37"/>
      <c r="J612" s="37"/>
      <c r="K612" s="37"/>
      <c r="L612" s="37"/>
      <c r="M612" s="37"/>
      <c r="N612" s="37"/>
      <c r="O612" s="37"/>
      <c r="P612" s="37"/>
      <c r="Q612" s="37"/>
      <c r="R612" s="37"/>
      <c r="S612" s="37"/>
      <c r="T612" s="37"/>
      <c r="U612" s="37"/>
      <c r="V612" s="37"/>
      <c r="W612" s="37"/>
      <c r="X612" s="37"/>
      <c r="Y612" s="37"/>
      <c r="Z612" s="37"/>
      <c r="AA612" s="37">
        <f t="shared" si="60"/>
        <v>0</v>
      </c>
      <c r="AB612" s="37">
        <f t="shared" si="59"/>
        <v>0</v>
      </c>
    </row>
    <row r="613" spans="1:28" ht="14.4">
      <c r="A613" s="117">
        <v>1210227</v>
      </c>
      <c r="B613" s="117" t="s">
        <v>87</v>
      </c>
      <c r="C613" s="37">
        <f>+VLOOKUP(A613,Composición!C:G,5,FALSE)</f>
        <v>0</v>
      </c>
      <c r="D613" s="37"/>
      <c r="E613" s="37"/>
      <c r="F613" s="37">
        <f>+VLOOKUP(A613,Composición!C:J,8,FALSE)</f>
        <v>0</v>
      </c>
      <c r="G613" s="37">
        <f t="shared" si="61"/>
        <v>0</v>
      </c>
      <c r="H613" s="37"/>
      <c r="I613" s="37"/>
      <c r="J613" s="37"/>
      <c r="K613" s="37"/>
      <c r="L613" s="37"/>
      <c r="M613" s="37"/>
      <c r="N613" s="37"/>
      <c r="O613" s="37"/>
      <c r="P613" s="37"/>
      <c r="Q613" s="37"/>
      <c r="R613" s="37"/>
      <c r="S613" s="37"/>
      <c r="T613" s="37"/>
      <c r="U613" s="37"/>
      <c r="V613" s="37"/>
      <c r="W613" s="37"/>
      <c r="X613" s="37"/>
      <c r="Y613" s="37"/>
      <c r="Z613" s="37"/>
      <c r="AA613" s="37">
        <f t="shared" si="60"/>
        <v>0</v>
      </c>
      <c r="AB613" s="37">
        <f t="shared" si="59"/>
        <v>0</v>
      </c>
    </row>
    <row r="614" spans="1:28" ht="14.4">
      <c r="A614" s="117">
        <v>12102271</v>
      </c>
      <c r="B614" s="117" t="s">
        <v>88</v>
      </c>
      <c r="C614" s="37">
        <f>+VLOOKUP(A614,Composición!C:G,5,FALSE)</f>
        <v>0</v>
      </c>
      <c r="D614" s="37"/>
      <c r="E614" s="37"/>
      <c r="F614" s="37">
        <f>+VLOOKUP(A614,Composición!C:J,8,FALSE)</f>
        <v>0</v>
      </c>
      <c r="G614" s="37">
        <f t="shared" si="61"/>
        <v>0</v>
      </c>
      <c r="H614" s="37"/>
      <c r="I614" s="37"/>
      <c r="J614" s="37"/>
      <c r="K614" s="37"/>
      <c r="L614" s="37"/>
      <c r="M614" s="37"/>
      <c r="N614" s="37"/>
      <c r="O614" s="37"/>
      <c r="P614" s="37"/>
      <c r="Q614" s="37"/>
      <c r="R614" s="37"/>
      <c r="S614" s="37"/>
      <c r="T614" s="37"/>
      <c r="U614" s="37"/>
      <c r="V614" s="37"/>
      <c r="W614" s="37"/>
      <c r="X614" s="37"/>
      <c r="Y614" s="37"/>
      <c r="Z614" s="37"/>
      <c r="AA614" s="37">
        <f t="shared" si="60"/>
        <v>0</v>
      </c>
      <c r="AB614" s="37">
        <f t="shared" si="59"/>
        <v>0</v>
      </c>
    </row>
    <row r="615" spans="1:28" ht="14.4">
      <c r="A615" s="117">
        <v>12102272</v>
      </c>
      <c r="B615" s="117" t="s">
        <v>97</v>
      </c>
      <c r="C615" s="37">
        <f>+VLOOKUP(A615,Composición!C:G,5,FALSE)</f>
        <v>0</v>
      </c>
      <c r="D615" s="37"/>
      <c r="E615" s="37"/>
      <c r="F615" s="37">
        <f>+VLOOKUP(A615,Composición!C:J,8,FALSE)</f>
        <v>0</v>
      </c>
      <c r="G615" s="37">
        <f t="shared" si="61"/>
        <v>0</v>
      </c>
      <c r="H615" s="37"/>
      <c r="I615" s="37"/>
      <c r="J615" s="37"/>
      <c r="K615" s="37"/>
      <c r="L615" s="37"/>
      <c r="M615" s="37"/>
      <c r="N615" s="37"/>
      <c r="O615" s="37"/>
      <c r="P615" s="37"/>
      <c r="Q615" s="37"/>
      <c r="R615" s="37"/>
      <c r="S615" s="37"/>
      <c r="T615" s="37"/>
      <c r="U615" s="37"/>
      <c r="V615" s="37"/>
      <c r="W615" s="37"/>
      <c r="X615" s="37"/>
      <c r="Y615" s="37"/>
      <c r="Z615" s="37"/>
      <c r="AA615" s="37">
        <f t="shared" si="60"/>
        <v>0</v>
      </c>
      <c r="AB615" s="37">
        <f t="shared" si="59"/>
        <v>0</v>
      </c>
    </row>
    <row r="616" spans="1:28" ht="14.4">
      <c r="A616" s="117">
        <v>1210228</v>
      </c>
      <c r="B616" s="117" t="s">
        <v>761</v>
      </c>
      <c r="C616" s="37">
        <f>+VLOOKUP(A616,Composición!C:G,5,FALSE)</f>
        <v>0</v>
      </c>
      <c r="D616" s="37"/>
      <c r="E616" s="37"/>
      <c r="F616" s="37">
        <f>+VLOOKUP(A616,Composición!C:J,8,FALSE)</f>
        <v>0</v>
      </c>
      <c r="G616" s="37">
        <f t="shared" si="61"/>
        <v>0</v>
      </c>
      <c r="H616" s="37"/>
      <c r="I616" s="37"/>
      <c r="J616" s="37"/>
      <c r="K616" s="37"/>
      <c r="L616" s="37"/>
      <c r="M616" s="37"/>
      <c r="N616" s="37"/>
      <c r="O616" s="37"/>
      <c r="P616" s="37"/>
      <c r="Q616" s="37"/>
      <c r="R616" s="37"/>
      <c r="S616" s="37"/>
      <c r="T616" s="37"/>
      <c r="U616" s="37"/>
      <c r="V616" s="37"/>
      <c r="W616" s="37"/>
      <c r="X616" s="37"/>
      <c r="Y616" s="37"/>
      <c r="Z616" s="37"/>
      <c r="AA616" s="37">
        <f t="shared" si="60"/>
        <v>0</v>
      </c>
      <c r="AB616" s="37">
        <f t="shared" si="59"/>
        <v>0</v>
      </c>
    </row>
    <row r="617" spans="1:28" ht="14.4">
      <c r="A617" s="117">
        <v>12103</v>
      </c>
      <c r="B617" s="117" t="s">
        <v>178</v>
      </c>
      <c r="C617" s="37">
        <f>+VLOOKUP(A617,Composición!C:G,5,FALSE)</f>
        <v>0</v>
      </c>
      <c r="D617" s="37"/>
      <c r="E617" s="37"/>
      <c r="F617" s="37">
        <f>+VLOOKUP(A617,Composición!C:J,8,FALSE)</f>
        <v>0</v>
      </c>
      <c r="G617" s="37">
        <f t="shared" si="61"/>
        <v>0</v>
      </c>
      <c r="H617" s="37"/>
      <c r="I617" s="37"/>
      <c r="J617" s="37"/>
      <c r="K617" s="37"/>
      <c r="L617" s="37"/>
      <c r="M617" s="37"/>
      <c r="N617" s="37"/>
      <c r="O617" s="37"/>
      <c r="P617" s="37"/>
      <c r="Q617" s="37"/>
      <c r="R617" s="37"/>
      <c r="S617" s="37"/>
      <c r="T617" s="37"/>
      <c r="U617" s="37"/>
      <c r="V617" s="37"/>
      <c r="W617" s="37"/>
      <c r="X617" s="37"/>
      <c r="Y617" s="37"/>
      <c r="Z617" s="37"/>
      <c r="AA617" s="37">
        <f t="shared" si="60"/>
        <v>0</v>
      </c>
      <c r="AB617" s="37">
        <f t="shared" si="59"/>
        <v>0</v>
      </c>
    </row>
    <row r="618" spans="1:28" ht="14.4">
      <c r="A618" s="117">
        <v>121031</v>
      </c>
      <c r="B618" s="117" t="s">
        <v>178</v>
      </c>
      <c r="C618" s="37">
        <f>+VLOOKUP(A618,Composición!C:G,5,FALSE)</f>
        <v>0</v>
      </c>
      <c r="D618" s="37"/>
      <c r="E618" s="37"/>
      <c r="F618" s="37">
        <f>+VLOOKUP(A618,Composición!C:J,8,FALSE)</f>
        <v>0</v>
      </c>
      <c r="G618" s="37">
        <f t="shared" si="61"/>
        <v>0</v>
      </c>
      <c r="H618" s="37"/>
      <c r="I618" s="37"/>
      <c r="J618" s="37"/>
      <c r="K618" s="37"/>
      <c r="L618" s="37"/>
      <c r="M618" s="37"/>
      <c r="N618" s="37"/>
      <c r="O618" s="37"/>
      <c r="P618" s="37"/>
      <c r="Q618" s="37"/>
      <c r="R618" s="37"/>
      <c r="S618" s="37"/>
      <c r="T618" s="37"/>
      <c r="U618" s="37"/>
      <c r="V618" s="37"/>
      <c r="W618" s="37"/>
      <c r="X618" s="37"/>
      <c r="Y618" s="37"/>
      <c r="Z618" s="37"/>
      <c r="AA618" s="37">
        <f t="shared" si="60"/>
        <v>0</v>
      </c>
      <c r="AB618" s="37">
        <f t="shared" si="59"/>
        <v>0</v>
      </c>
    </row>
    <row r="619" spans="1:28" ht="14.4">
      <c r="A619" s="117">
        <v>1210311</v>
      </c>
      <c r="B619" s="117" t="s">
        <v>178</v>
      </c>
      <c r="C619" s="37">
        <f>+VLOOKUP(A619,Composición!C:G,5,FALSE)</f>
        <v>0</v>
      </c>
      <c r="D619" s="37"/>
      <c r="E619" s="37"/>
      <c r="F619" s="37">
        <f>+VLOOKUP(A619,Composición!C:J,8,FALSE)</f>
        <v>0</v>
      </c>
      <c r="G619" s="37">
        <f t="shared" si="61"/>
        <v>0</v>
      </c>
      <c r="H619" s="37"/>
      <c r="I619" s="37"/>
      <c r="J619" s="37"/>
      <c r="K619" s="37"/>
      <c r="L619" s="37"/>
      <c r="M619" s="37"/>
      <c r="N619" s="37"/>
      <c r="O619" s="37"/>
      <c r="P619" s="37"/>
      <c r="Q619" s="37"/>
      <c r="R619" s="37"/>
      <c r="S619" s="37"/>
      <c r="T619" s="37"/>
      <c r="U619" s="37"/>
      <c r="V619" s="37"/>
      <c r="W619" s="37"/>
      <c r="X619" s="37"/>
      <c r="Y619" s="37"/>
      <c r="Z619" s="37"/>
      <c r="AA619" s="37">
        <f t="shared" si="60"/>
        <v>0</v>
      </c>
      <c r="AB619" s="37">
        <f t="shared" si="59"/>
        <v>0</v>
      </c>
    </row>
    <row r="620" spans="1:28" ht="14.4">
      <c r="A620" s="117">
        <v>12103111</v>
      </c>
      <c r="B620" s="117" t="s">
        <v>178</v>
      </c>
      <c r="C620" s="37">
        <f>+VLOOKUP(A620,Composición!C:G,5,FALSE)</f>
        <v>0</v>
      </c>
      <c r="D620" s="37"/>
      <c r="E620" s="37"/>
      <c r="F620" s="37">
        <f>+VLOOKUP(A620,Composición!C:J,8,FALSE)</f>
        <v>0</v>
      </c>
      <c r="G620" s="37">
        <f t="shared" si="61"/>
        <v>0</v>
      </c>
      <c r="H620" s="37"/>
      <c r="I620" s="37"/>
      <c r="J620" s="37"/>
      <c r="K620" s="37"/>
      <c r="L620" s="37"/>
      <c r="M620" s="37"/>
      <c r="N620" s="37"/>
      <c r="O620" s="37"/>
      <c r="P620" s="37"/>
      <c r="Q620" s="37"/>
      <c r="R620" s="37"/>
      <c r="S620" s="37"/>
      <c r="T620" s="37"/>
      <c r="U620" s="37"/>
      <c r="V620" s="37"/>
      <c r="W620" s="37"/>
      <c r="X620" s="37"/>
      <c r="Y620" s="37"/>
      <c r="Z620" s="37"/>
      <c r="AA620" s="37">
        <f t="shared" si="60"/>
        <v>0</v>
      </c>
      <c r="AB620" s="37">
        <f t="shared" si="59"/>
        <v>0</v>
      </c>
    </row>
    <row r="621" spans="1:28" ht="14.4">
      <c r="A621" s="117">
        <v>1210311101</v>
      </c>
      <c r="B621" s="117" t="s">
        <v>179</v>
      </c>
      <c r="C621" s="37">
        <f>+VLOOKUP(A621,Composición!C:G,5,FALSE)</f>
        <v>262142322</v>
      </c>
      <c r="D621" s="37"/>
      <c r="E621" s="37"/>
      <c r="F621" s="37">
        <f>+VLOOKUP(A621,Composición!C:J,8,FALSE)</f>
        <v>262142322</v>
      </c>
      <c r="G621" s="37">
        <f t="shared" si="61"/>
        <v>0</v>
      </c>
      <c r="H621" s="37"/>
      <c r="I621" s="37"/>
      <c r="J621" s="37"/>
      <c r="K621" s="37"/>
      <c r="L621" s="37"/>
      <c r="M621" s="37"/>
      <c r="N621" s="37"/>
      <c r="O621" s="37"/>
      <c r="P621" s="37"/>
      <c r="Q621" s="37"/>
      <c r="R621" s="37"/>
      <c r="S621" s="37"/>
      <c r="T621" s="37"/>
      <c r="U621" s="37"/>
      <c r="V621" s="37"/>
      <c r="W621" s="37"/>
      <c r="X621" s="37"/>
      <c r="Y621" s="37"/>
      <c r="Z621" s="37"/>
      <c r="AA621" s="37">
        <f t="shared" si="60"/>
        <v>0</v>
      </c>
      <c r="AB621" s="37">
        <f t="shared" si="59"/>
        <v>0</v>
      </c>
    </row>
    <row r="622" spans="1:28" ht="14.4">
      <c r="A622" s="117">
        <v>1210311102</v>
      </c>
      <c r="B622" s="117" t="s">
        <v>180</v>
      </c>
      <c r="C622" s="37">
        <f>+VLOOKUP(A622,Composición!C:G,5,FALSE)</f>
        <v>740857678</v>
      </c>
      <c r="D622" s="37"/>
      <c r="E622" s="37"/>
      <c r="F622" s="37">
        <f>+VLOOKUP(A622,Composición!C:J,8,FALSE)</f>
        <v>740857678</v>
      </c>
      <c r="G622" s="37">
        <f t="shared" si="61"/>
        <v>0</v>
      </c>
      <c r="H622" s="37"/>
      <c r="I622" s="37"/>
      <c r="J622" s="37"/>
      <c r="K622" s="37"/>
      <c r="L622" s="37"/>
      <c r="M622" s="37"/>
      <c r="N622" s="37"/>
      <c r="O622" s="37"/>
      <c r="P622" s="37"/>
      <c r="Q622" s="37"/>
      <c r="R622" s="37"/>
      <c r="S622" s="37"/>
      <c r="T622" s="37"/>
      <c r="U622" s="37"/>
      <c r="V622" s="37"/>
      <c r="W622" s="37"/>
      <c r="X622" s="37"/>
      <c r="Y622" s="37"/>
      <c r="Z622" s="37"/>
      <c r="AA622" s="37">
        <f t="shared" si="60"/>
        <v>0</v>
      </c>
      <c r="AB622" s="37">
        <f t="shared" si="59"/>
        <v>0</v>
      </c>
    </row>
    <row r="623" spans="1:28" ht="14.4">
      <c r="A623" s="117">
        <v>127</v>
      </c>
      <c r="B623" s="117" t="s">
        <v>836</v>
      </c>
      <c r="C623" s="37">
        <f>+VLOOKUP(A623,Composición!C:G,5,FALSE)</f>
        <v>0</v>
      </c>
      <c r="D623" s="37"/>
      <c r="E623" s="37"/>
      <c r="F623" s="37">
        <f>+VLOOKUP(A623,Composición!C:J,8,FALSE)</f>
        <v>0</v>
      </c>
      <c r="G623" s="37">
        <f t="shared" si="61"/>
        <v>0</v>
      </c>
      <c r="H623" s="37"/>
      <c r="I623" s="37"/>
      <c r="J623" s="37"/>
      <c r="K623" s="37"/>
      <c r="L623" s="37"/>
      <c r="M623" s="37"/>
      <c r="N623" s="37"/>
      <c r="O623" s="37"/>
      <c r="P623" s="37"/>
      <c r="Q623" s="37"/>
      <c r="R623" s="37"/>
      <c r="S623" s="37"/>
      <c r="T623" s="37"/>
      <c r="U623" s="37"/>
      <c r="V623" s="37"/>
      <c r="W623" s="37"/>
      <c r="X623" s="37"/>
      <c r="Y623" s="37"/>
      <c r="Z623" s="37"/>
      <c r="AA623" s="37">
        <f t="shared" si="60"/>
        <v>0</v>
      </c>
      <c r="AB623" s="37">
        <f t="shared" si="59"/>
        <v>0</v>
      </c>
    </row>
    <row r="624" spans="1:28" ht="14.4">
      <c r="A624" s="117">
        <v>12701</v>
      </c>
      <c r="B624" s="117" t="s">
        <v>837</v>
      </c>
      <c r="C624" s="37">
        <f>+VLOOKUP(A624,Composición!C:G,5,FALSE)</f>
        <v>0</v>
      </c>
      <c r="D624" s="37"/>
      <c r="E624" s="37"/>
      <c r="F624" s="37">
        <f>+VLOOKUP(A624,Composición!C:J,8,FALSE)</f>
        <v>0</v>
      </c>
      <c r="G624" s="37">
        <f t="shared" si="61"/>
        <v>0</v>
      </c>
      <c r="H624" s="37"/>
      <c r="I624" s="37"/>
      <c r="J624" s="37"/>
      <c r="K624" s="37"/>
      <c r="L624" s="37"/>
      <c r="M624" s="37"/>
      <c r="N624" s="37"/>
      <c r="O624" s="37"/>
      <c r="P624" s="37"/>
      <c r="Q624" s="37"/>
      <c r="R624" s="37"/>
      <c r="S624" s="37"/>
      <c r="T624" s="37"/>
      <c r="U624" s="37"/>
      <c r="V624" s="37"/>
      <c r="W624" s="37"/>
      <c r="X624" s="37"/>
      <c r="Y624" s="37"/>
      <c r="Z624" s="37"/>
      <c r="AA624" s="37">
        <f t="shared" si="60"/>
        <v>0</v>
      </c>
      <c r="AB624" s="37">
        <f t="shared" si="59"/>
        <v>0</v>
      </c>
    </row>
    <row r="625" spans="1:28" ht="14.4">
      <c r="A625" s="117">
        <v>127011</v>
      </c>
      <c r="B625" s="117" t="s">
        <v>838</v>
      </c>
      <c r="C625" s="37">
        <f>+VLOOKUP(A625,Composición!C:G,5,FALSE)</f>
        <v>0</v>
      </c>
      <c r="D625" s="37"/>
      <c r="E625" s="37"/>
      <c r="F625" s="37">
        <f>+VLOOKUP(A625,Composición!C:J,8,FALSE)</f>
        <v>0</v>
      </c>
      <c r="G625" s="37">
        <f t="shared" si="61"/>
        <v>0</v>
      </c>
      <c r="H625" s="37"/>
      <c r="I625" s="37"/>
      <c r="J625" s="37"/>
      <c r="K625" s="37"/>
      <c r="L625" s="37"/>
      <c r="M625" s="37"/>
      <c r="N625" s="37"/>
      <c r="O625" s="37"/>
      <c r="P625" s="37"/>
      <c r="Q625" s="37"/>
      <c r="R625" s="37"/>
      <c r="S625" s="37"/>
      <c r="T625" s="37"/>
      <c r="U625" s="37"/>
      <c r="V625" s="37"/>
      <c r="W625" s="37"/>
      <c r="X625" s="37"/>
      <c r="Y625" s="37"/>
      <c r="Z625" s="37"/>
      <c r="AA625" s="37">
        <f t="shared" si="60"/>
        <v>0</v>
      </c>
      <c r="AB625" s="37">
        <f t="shared" si="59"/>
        <v>0</v>
      </c>
    </row>
    <row r="626" spans="1:28" ht="14.4">
      <c r="A626" s="117">
        <v>1270111</v>
      </c>
      <c r="B626" s="117" t="s">
        <v>839</v>
      </c>
      <c r="C626" s="37">
        <f>+VLOOKUP(A626,Composición!C:G,5,FALSE)</f>
        <v>0</v>
      </c>
      <c r="D626" s="37"/>
      <c r="E626" s="37"/>
      <c r="F626" s="37">
        <f>+VLOOKUP(A626,Composición!C:J,8,FALSE)</f>
        <v>0</v>
      </c>
      <c r="G626" s="37">
        <f t="shared" si="61"/>
        <v>0</v>
      </c>
      <c r="H626" s="37"/>
      <c r="I626" s="37"/>
      <c r="J626" s="37"/>
      <c r="K626" s="37"/>
      <c r="L626" s="37"/>
      <c r="M626" s="37"/>
      <c r="N626" s="37"/>
      <c r="O626" s="37"/>
      <c r="P626" s="37"/>
      <c r="Q626" s="37"/>
      <c r="R626" s="37"/>
      <c r="S626" s="37"/>
      <c r="T626" s="37"/>
      <c r="U626" s="37"/>
      <c r="V626" s="37"/>
      <c r="W626" s="37"/>
      <c r="X626" s="37"/>
      <c r="Y626" s="37"/>
      <c r="Z626" s="37"/>
      <c r="AA626" s="37">
        <f t="shared" si="60"/>
        <v>0</v>
      </c>
      <c r="AB626" s="37">
        <f t="shared" si="59"/>
        <v>0</v>
      </c>
    </row>
    <row r="627" spans="1:28" ht="14.4">
      <c r="A627" s="117">
        <v>12701111</v>
      </c>
      <c r="B627" s="117" t="s">
        <v>839</v>
      </c>
      <c r="C627" s="37">
        <f>+VLOOKUP(A627,Composición!C:G,5,FALSE)</f>
        <v>0</v>
      </c>
      <c r="D627" s="37"/>
      <c r="E627" s="37"/>
      <c r="F627" s="37">
        <f>+VLOOKUP(A627,Composición!C:J,8,FALSE)</f>
        <v>0</v>
      </c>
      <c r="G627" s="37">
        <f t="shared" si="61"/>
        <v>0</v>
      </c>
      <c r="H627" s="37"/>
      <c r="I627" s="37"/>
      <c r="J627" s="37"/>
      <c r="K627" s="37"/>
      <c r="L627" s="37"/>
      <c r="M627" s="37"/>
      <c r="N627" s="37"/>
      <c r="O627" s="37"/>
      <c r="P627" s="37"/>
      <c r="Q627" s="37"/>
      <c r="R627" s="37"/>
      <c r="S627" s="37"/>
      <c r="T627" s="37"/>
      <c r="U627" s="37"/>
      <c r="V627" s="37"/>
      <c r="W627" s="37"/>
      <c r="X627" s="37"/>
      <c r="Y627" s="37"/>
      <c r="Z627" s="37"/>
      <c r="AA627" s="37">
        <f t="shared" si="60"/>
        <v>0</v>
      </c>
      <c r="AB627" s="37">
        <f t="shared" si="59"/>
        <v>0</v>
      </c>
    </row>
    <row r="628" spans="1:28" ht="14.4">
      <c r="A628" s="117">
        <v>1270111101</v>
      </c>
      <c r="B628" s="117" t="s">
        <v>840</v>
      </c>
      <c r="C628" s="37">
        <f>+VLOOKUP(A628,Composición!C:G,5,FALSE)</f>
        <v>0</v>
      </c>
      <c r="D628" s="37"/>
      <c r="E628" s="37"/>
      <c r="F628" s="37">
        <f>+VLOOKUP(A628,Composición!C:J,8,FALSE)</f>
        <v>0</v>
      </c>
      <c r="G628" s="37">
        <f t="shared" si="61"/>
        <v>0</v>
      </c>
      <c r="H628" s="37"/>
      <c r="I628" s="37"/>
      <c r="J628" s="37"/>
      <c r="K628" s="37"/>
      <c r="L628" s="37"/>
      <c r="M628" s="37"/>
      <c r="N628" s="37"/>
      <c r="O628" s="37"/>
      <c r="P628" s="37"/>
      <c r="Q628" s="37"/>
      <c r="R628" s="37"/>
      <c r="S628" s="37"/>
      <c r="T628" s="37"/>
      <c r="U628" s="37"/>
      <c r="V628" s="37"/>
      <c r="W628" s="37"/>
      <c r="X628" s="37"/>
      <c r="Y628" s="37"/>
      <c r="Z628" s="37"/>
      <c r="AA628" s="37">
        <f t="shared" si="60"/>
        <v>0</v>
      </c>
      <c r="AB628" s="37">
        <f t="shared" si="59"/>
        <v>0</v>
      </c>
    </row>
    <row r="629" spans="1:28" ht="14.4">
      <c r="A629" s="117">
        <v>1270111102</v>
      </c>
      <c r="B629" s="117" t="s">
        <v>841</v>
      </c>
      <c r="C629" s="37">
        <f>+VLOOKUP(A629,Composición!C:G,5,FALSE)</f>
        <v>0</v>
      </c>
      <c r="D629" s="37"/>
      <c r="E629" s="37"/>
      <c r="F629" s="37">
        <f>+VLOOKUP(A629,Composición!C:J,8,FALSE)</f>
        <v>0</v>
      </c>
      <c r="G629" s="37">
        <f t="shared" si="61"/>
        <v>0</v>
      </c>
      <c r="H629" s="37"/>
      <c r="I629" s="37"/>
      <c r="J629" s="37"/>
      <c r="K629" s="37"/>
      <c r="L629" s="37"/>
      <c r="M629" s="37"/>
      <c r="N629" s="37"/>
      <c r="O629" s="37"/>
      <c r="P629" s="37"/>
      <c r="Q629" s="37"/>
      <c r="R629" s="37"/>
      <c r="S629" s="37"/>
      <c r="T629" s="37"/>
      <c r="U629" s="37"/>
      <c r="V629" s="37"/>
      <c r="W629" s="37"/>
      <c r="X629" s="37"/>
      <c r="Y629" s="37"/>
      <c r="Z629" s="37"/>
      <c r="AA629" s="37">
        <f t="shared" si="60"/>
        <v>0</v>
      </c>
      <c r="AB629" s="37">
        <f t="shared" si="59"/>
        <v>0</v>
      </c>
    </row>
    <row r="630" spans="1:28" ht="14.4">
      <c r="A630" s="117">
        <v>1270111103</v>
      </c>
      <c r="B630" s="117" t="s">
        <v>842</v>
      </c>
      <c r="C630" s="37">
        <f>+VLOOKUP(A630,Composición!C:G,5,FALSE)</f>
        <v>0</v>
      </c>
      <c r="D630" s="37"/>
      <c r="E630" s="37"/>
      <c r="F630" s="37">
        <f>+VLOOKUP(A630,Composición!C:J,8,FALSE)</f>
        <v>0</v>
      </c>
      <c r="G630" s="37">
        <f t="shared" si="61"/>
        <v>0</v>
      </c>
      <c r="H630" s="37"/>
      <c r="I630" s="37"/>
      <c r="J630" s="37"/>
      <c r="K630" s="37"/>
      <c r="L630" s="37"/>
      <c r="M630" s="37"/>
      <c r="N630" s="37"/>
      <c r="O630" s="37"/>
      <c r="P630" s="37"/>
      <c r="Q630" s="37"/>
      <c r="R630" s="37"/>
      <c r="S630" s="37"/>
      <c r="T630" s="37"/>
      <c r="U630" s="37"/>
      <c r="V630" s="37"/>
      <c r="W630" s="37"/>
      <c r="X630" s="37"/>
      <c r="Y630" s="37"/>
      <c r="Z630" s="37"/>
      <c r="AA630" s="37">
        <f t="shared" si="60"/>
        <v>0</v>
      </c>
      <c r="AB630" s="37">
        <f t="shared" si="59"/>
        <v>0</v>
      </c>
    </row>
    <row r="631" spans="1:28" ht="14.4">
      <c r="A631" s="117">
        <v>1270111104</v>
      </c>
      <c r="B631" s="117" t="s">
        <v>843</v>
      </c>
      <c r="C631" s="37">
        <f>+VLOOKUP(A631,Composición!C:G,5,FALSE)</f>
        <v>0</v>
      </c>
      <c r="D631" s="37"/>
      <c r="E631" s="37"/>
      <c r="F631" s="37">
        <f>+VLOOKUP(A631,Composición!C:J,8,FALSE)</f>
        <v>0</v>
      </c>
      <c r="G631" s="37">
        <f t="shared" si="61"/>
        <v>0</v>
      </c>
      <c r="H631" s="37"/>
      <c r="I631" s="37"/>
      <c r="J631" s="37"/>
      <c r="K631" s="37"/>
      <c r="L631" s="37"/>
      <c r="M631" s="37"/>
      <c r="N631" s="37"/>
      <c r="O631" s="37"/>
      <c r="P631" s="37"/>
      <c r="Q631" s="37"/>
      <c r="R631" s="37"/>
      <c r="S631" s="37"/>
      <c r="T631" s="37"/>
      <c r="U631" s="37"/>
      <c r="V631" s="37"/>
      <c r="W631" s="37"/>
      <c r="X631" s="37"/>
      <c r="Y631" s="37"/>
      <c r="Z631" s="37"/>
      <c r="AA631" s="37">
        <f t="shared" si="60"/>
        <v>0</v>
      </c>
      <c r="AB631" s="37">
        <f t="shared" si="59"/>
        <v>0</v>
      </c>
    </row>
    <row r="632" spans="1:28" ht="14.4">
      <c r="A632" s="117">
        <v>1270111105</v>
      </c>
      <c r="B632" s="117" t="s">
        <v>844</v>
      </c>
      <c r="C632" s="37">
        <f>+VLOOKUP(A632,Composición!C:G,5,FALSE)</f>
        <v>0</v>
      </c>
      <c r="D632" s="37"/>
      <c r="E632" s="37"/>
      <c r="F632" s="37">
        <f>+VLOOKUP(A632,Composición!C:J,8,FALSE)</f>
        <v>0</v>
      </c>
      <c r="G632" s="37">
        <f t="shared" si="61"/>
        <v>0</v>
      </c>
      <c r="H632" s="37"/>
      <c r="I632" s="37"/>
      <c r="J632" s="37"/>
      <c r="K632" s="37"/>
      <c r="L632" s="37"/>
      <c r="M632" s="37"/>
      <c r="N632" s="37"/>
      <c r="O632" s="37"/>
      <c r="P632" s="37"/>
      <c r="Q632" s="37"/>
      <c r="R632" s="37"/>
      <c r="S632" s="37"/>
      <c r="T632" s="37"/>
      <c r="U632" s="37"/>
      <c r="V632" s="37"/>
      <c r="W632" s="37"/>
      <c r="X632" s="37"/>
      <c r="Y632" s="37"/>
      <c r="Z632" s="37"/>
      <c r="AA632" s="37">
        <f t="shared" si="60"/>
        <v>0</v>
      </c>
      <c r="AB632" s="37">
        <f t="shared" si="59"/>
        <v>0</v>
      </c>
    </row>
    <row r="633" spans="1:28" ht="14.4">
      <c r="A633" s="117">
        <v>1270111106</v>
      </c>
      <c r="B633" s="117" t="s">
        <v>845</v>
      </c>
      <c r="C633" s="37">
        <f>+VLOOKUP(A633,Composición!C:G,5,FALSE)</f>
        <v>0</v>
      </c>
      <c r="D633" s="37"/>
      <c r="E633" s="37"/>
      <c r="F633" s="37">
        <f>+VLOOKUP(A633,Composición!C:J,8,FALSE)</f>
        <v>0</v>
      </c>
      <c r="G633" s="37">
        <f t="shared" si="61"/>
        <v>0</v>
      </c>
      <c r="H633" s="37"/>
      <c r="I633" s="37"/>
      <c r="J633" s="37"/>
      <c r="K633" s="37"/>
      <c r="L633" s="37"/>
      <c r="M633" s="37"/>
      <c r="N633" s="37"/>
      <c r="O633" s="37"/>
      <c r="P633" s="37"/>
      <c r="Q633" s="37"/>
      <c r="R633" s="37"/>
      <c r="S633" s="37"/>
      <c r="T633" s="37"/>
      <c r="U633" s="37"/>
      <c r="V633" s="37"/>
      <c r="W633" s="37"/>
      <c r="X633" s="37"/>
      <c r="Y633" s="37"/>
      <c r="Z633" s="37"/>
      <c r="AA633" s="37">
        <f t="shared" si="60"/>
        <v>0</v>
      </c>
      <c r="AB633" s="37">
        <f t="shared" si="59"/>
        <v>0</v>
      </c>
    </row>
    <row r="634" spans="1:28" ht="14.4">
      <c r="A634" s="117">
        <v>1270112</v>
      </c>
      <c r="B634" s="117" t="s">
        <v>846</v>
      </c>
      <c r="C634" s="37">
        <f>+VLOOKUP(A634,Composición!C:G,5,FALSE)</f>
        <v>0</v>
      </c>
      <c r="D634" s="37"/>
      <c r="E634" s="37"/>
      <c r="F634" s="37">
        <f>+VLOOKUP(A634,Composición!C:J,8,FALSE)</f>
        <v>0</v>
      </c>
      <c r="G634" s="37">
        <f t="shared" si="61"/>
        <v>0</v>
      </c>
      <c r="H634" s="37"/>
      <c r="I634" s="37"/>
      <c r="J634" s="37"/>
      <c r="K634" s="37"/>
      <c r="L634" s="37"/>
      <c r="M634" s="37"/>
      <c r="N634" s="37"/>
      <c r="O634" s="37"/>
      <c r="P634" s="37"/>
      <c r="Q634" s="37"/>
      <c r="R634" s="37"/>
      <c r="S634" s="37"/>
      <c r="T634" s="37"/>
      <c r="U634" s="37"/>
      <c r="V634" s="37"/>
      <c r="W634" s="37"/>
      <c r="X634" s="37"/>
      <c r="Y634" s="37"/>
      <c r="Z634" s="37"/>
      <c r="AA634" s="37">
        <f t="shared" si="60"/>
        <v>0</v>
      </c>
      <c r="AB634" s="37">
        <f t="shared" si="59"/>
        <v>0</v>
      </c>
    </row>
    <row r="635" spans="1:28" ht="14.4">
      <c r="A635" s="117">
        <v>12701121</v>
      </c>
      <c r="B635" s="117" t="s">
        <v>846</v>
      </c>
      <c r="C635" s="37">
        <f>+VLOOKUP(A635,Composición!C:G,5,FALSE)</f>
        <v>0</v>
      </c>
      <c r="D635" s="37"/>
      <c r="E635" s="37"/>
      <c r="F635" s="37">
        <f>+VLOOKUP(A635,Composición!C:J,8,FALSE)</f>
        <v>0</v>
      </c>
      <c r="G635" s="37">
        <f t="shared" si="61"/>
        <v>0</v>
      </c>
      <c r="H635" s="37"/>
      <c r="I635" s="37"/>
      <c r="J635" s="37"/>
      <c r="K635" s="37"/>
      <c r="L635" s="37"/>
      <c r="M635" s="37"/>
      <c r="N635" s="37"/>
      <c r="O635" s="37"/>
      <c r="P635" s="37"/>
      <c r="Q635" s="37"/>
      <c r="R635" s="37"/>
      <c r="S635" s="37"/>
      <c r="T635" s="37"/>
      <c r="U635" s="37"/>
      <c r="V635" s="37"/>
      <c r="W635" s="37"/>
      <c r="X635" s="37"/>
      <c r="Y635" s="37"/>
      <c r="Z635" s="37"/>
      <c r="AA635" s="37">
        <f t="shared" si="60"/>
        <v>0</v>
      </c>
      <c r="AB635" s="37">
        <f t="shared" si="59"/>
        <v>0</v>
      </c>
    </row>
    <row r="636" spans="1:28" ht="14.4">
      <c r="A636" s="117">
        <v>1270112101</v>
      </c>
      <c r="B636" s="117" t="s">
        <v>847</v>
      </c>
      <c r="C636" s="37">
        <f>+VLOOKUP(A636,Composición!C:G,5,FALSE)</f>
        <v>0</v>
      </c>
      <c r="D636" s="37"/>
      <c r="E636" s="37"/>
      <c r="F636" s="37">
        <f>+VLOOKUP(A636,Composición!C:J,8,FALSE)</f>
        <v>0</v>
      </c>
      <c r="G636" s="37">
        <f t="shared" si="61"/>
        <v>0</v>
      </c>
      <c r="H636" s="37"/>
      <c r="I636" s="37"/>
      <c r="J636" s="37"/>
      <c r="K636" s="37"/>
      <c r="L636" s="37"/>
      <c r="M636" s="37"/>
      <c r="N636" s="37"/>
      <c r="O636" s="37"/>
      <c r="P636" s="37"/>
      <c r="Q636" s="37"/>
      <c r="R636" s="37"/>
      <c r="S636" s="37"/>
      <c r="T636" s="37"/>
      <c r="U636" s="37"/>
      <c r="V636" s="37"/>
      <c r="W636" s="37"/>
      <c r="X636" s="37"/>
      <c r="Y636" s="37"/>
      <c r="Z636" s="37"/>
      <c r="AA636" s="37">
        <f t="shared" si="60"/>
        <v>0</v>
      </c>
      <c r="AB636" s="37">
        <f t="shared" si="59"/>
        <v>0</v>
      </c>
    </row>
    <row r="637" spans="1:28" ht="14.4">
      <c r="A637" s="117">
        <v>1270112102</v>
      </c>
      <c r="B637" s="117" t="s">
        <v>848</v>
      </c>
      <c r="C637" s="37">
        <f>+VLOOKUP(A637,Composición!C:G,5,FALSE)</f>
        <v>0</v>
      </c>
      <c r="D637" s="37"/>
      <c r="E637" s="37"/>
      <c r="F637" s="37">
        <f>+VLOOKUP(A637,Composición!C:J,8,FALSE)</f>
        <v>0</v>
      </c>
      <c r="G637" s="37">
        <f t="shared" si="61"/>
        <v>0</v>
      </c>
      <c r="H637" s="37"/>
      <c r="I637" s="37"/>
      <c r="J637" s="37"/>
      <c r="K637" s="37"/>
      <c r="L637" s="37"/>
      <c r="M637" s="37"/>
      <c r="N637" s="37"/>
      <c r="O637" s="37"/>
      <c r="P637" s="37"/>
      <c r="Q637" s="37"/>
      <c r="R637" s="37"/>
      <c r="S637" s="37"/>
      <c r="T637" s="37"/>
      <c r="U637" s="37"/>
      <c r="V637" s="37"/>
      <c r="W637" s="37"/>
      <c r="X637" s="37"/>
      <c r="Y637" s="37"/>
      <c r="Z637" s="37"/>
      <c r="AA637" s="37">
        <f t="shared" si="60"/>
        <v>0</v>
      </c>
      <c r="AB637" s="37">
        <f t="shared" si="59"/>
        <v>0</v>
      </c>
    </row>
    <row r="638" spans="1:28" ht="14.4">
      <c r="A638" s="117">
        <v>1270112103</v>
      </c>
      <c r="B638" s="117" t="s">
        <v>849</v>
      </c>
      <c r="C638" s="37">
        <f>+VLOOKUP(A638,Composición!C:G,5,FALSE)</f>
        <v>0</v>
      </c>
      <c r="D638" s="37"/>
      <c r="E638" s="37"/>
      <c r="F638" s="37">
        <f>+VLOOKUP(A638,Composición!C:J,8,FALSE)</f>
        <v>0</v>
      </c>
      <c r="G638" s="37">
        <f t="shared" si="61"/>
        <v>0</v>
      </c>
      <c r="H638" s="37"/>
      <c r="I638" s="37"/>
      <c r="J638" s="37"/>
      <c r="K638" s="37"/>
      <c r="L638" s="37"/>
      <c r="M638" s="37"/>
      <c r="N638" s="37"/>
      <c r="O638" s="37"/>
      <c r="P638" s="37"/>
      <c r="Q638" s="37"/>
      <c r="R638" s="37"/>
      <c r="S638" s="37"/>
      <c r="T638" s="37"/>
      <c r="U638" s="37"/>
      <c r="V638" s="37"/>
      <c r="W638" s="37"/>
      <c r="X638" s="37"/>
      <c r="Y638" s="37"/>
      <c r="Z638" s="37"/>
      <c r="AA638" s="37">
        <f t="shared" si="60"/>
        <v>0</v>
      </c>
      <c r="AB638" s="37">
        <f t="shared" si="59"/>
        <v>0</v>
      </c>
    </row>
    <row r="639" spans="1:28" ht="14.4">
      <c r="A639" s="117">
        <v>1270112104</v>
      </c>
      <c r="B639" s="117" t="s">
        <v>850</v>
      </c>
      <c r="C639" s="37">
        <f>+VLOOKUP(A639,Composición!C:G,5,FALSE)</f>
        <v>0</v>
      </c>
      <c r="D639" s="37"/>
      <c r="E639" s="37"/>
      <c r="F639" s="37">
        <f>+VLOOKUP(A639,Composición!C:J,8,FALSE)</f>
        <v>0</v>
      </c>
      <c r="G639" s="37">
        <f t="shared" si="61"/>
        <v>0</v>
      </c>
      <c r="H639" s="37"/>
      <c r="I639" s="37"/>
      <c r="J639" s="37"/>
      <c r="K639" s="37"/>
      <c r="L639" s="37"/>
      <c r="M639" s="37"/>
      <c r="N639" s="37"/>
      <c r="O639" s="37"/>
      <c r="P639" s="37"/>
      <c r="Q639" s="37"/>
      <c r="R639" s="37"/>
      <c r="S639" s="37"/>
      <c r="T639" s="37"/>
      <c r="U639" s="37"/>
      <c r="V639" s="37"/>
      <c r="W639" s="37"/>
      <c r="X639" s="37"/>
      <c r="Y639" s="37"/>
      <c r="Z639" s="37"/>
      <c r="AA639" s="37">
        <f t="shared" si="60"/>
        <v>0</v>
      </c>
      <c r="AB639" s="37">
        <f t="shared" ref="AB639:AB701" si="64">SUM(G639:Z639)</f>
        <v>0</v>
      </c>
    </row>
    <row r="640" spans="1:28" ht="14.4">
      <c r="A640" s="117">
        <v>1270112105</v>
      </c>
      <c r="B640" s="117" t="s">
        <v>851</v>
      </c>
      <c r="C640" s="37">
        <f>+VLOOKUP(A640,Composición!C:G,5,FALSE)</f>
        <v>0</v>
      </c>
      <c r="D640" s="37"/>
      <c r="E640" s="37"/>
      <c r="F640" s="37">
        <f>+VLOOKUP(A640,Composición!C:J,8,FALSE)</f>
        <v>0</v>
      </c>
      <c r="G640" s="37">
        <f t="shared" si="61"/>
        <v>0</v>
      </c>
      <c r="H640" s="37"/>
      <c r="I640" s="37"/>
      <c r="J640" s="37"/>
      <c r="K640" s="37"/>
      <c r="L640" s="37"/>
      <c r="M640" s="37"/>
      <c r="N640" s="37"/>
      <c r="O640" s="37"/>
      <c r="P640" s="37"/>
      <c r="Q640" s="37"/>
      <c r="R640" s="37"/>
      <c r="S640" s="37"/>
      <c r="T640" s="37"/>
      <c r="U640" s="37"/>
      <c r="V640" s="37"/>
      <c r="W640" s="37"/>
      <c r="X640" s="37"/>
      <c r="Y640" s="37"/>
      <c r="Z640" s="37"/>
      <c r="AA640" s="37">
        <f t="shared" si="60"/>
        <v>0</v>
      </c>
      <c r="AB640" s="37">
        <f t="shared" si="64"/>
        <v>0</v>
      </c>
    </row>
    <row r="641" spans="1:28" ht="14.4">
      <c r="A641" s="117">
        <v>128</v>
      </c>
      <c r="B641" s="117" t="s">
        <v>181</v>
      </c>
      <c r="C641" s="37">
        <f>+VLOOKUP(A641,Composición!C:G,5,FALSE)</f>
        <v>0</v>
      </c>
      <c r="D641" s="37"/>
      <c r="E641" s="37"/>
      <c r="F641" s="37">
        <f>+VLOOKUP(A641,Composición!C:J,8,FALSE)</f>
        <v>0</v>
      </c>
      <c r="G641" s="37">
        <f t="shared" si="61"/>
        <v>0</v>
      </c>
      <c r="H641" s="37"/>
      <c r="I641" s="37"/>
      <c r="J641" s="37"/>
      <c r="K641" s="37"/>
      <c r="L641" s="37">
        <f>-G641</f>
        <v>0</v>
      </c>
      <c r="M641" s="37"/>
      <c r="N641" s="37"/>
      <c r="O641" s="37"/>
      <c r="P641" s="37"/>
      <c r="Q641" s="37"/>
      <c r="R641" s="37"/>
      <c r="S641" s="37"/>
      <c r="T641" s="37"/>
      <c r="U641" s="37"/>
      <c r="V641" s="37"/>
      <c r="W641" s="37"/>
      <c r="X641" s="37"/>
      <c r="Y641" s="37"/>
      <c r="Z641" s="37"/>
      <c r="AA641" s="37">
        <f t="shared" si="60"/>
        <v>0</v>
      </c>
      <c r="AB641" s="37">
        <f t="shared" si="64"/>
        <v>0</v>
      </c>
    </row>
    <row r="642" spans="1:28" ht="14.4">
      <c r="A642" s="117">
        <v>12801</v>
      </c>
      <c r="B642" s="117" t="s">
        <v>182</v>
      </c>
      <c r="C642" s="37">
        <f>+VLOOKUP(A642,Composición!C:G,5,FALSE)</f>
        <v>0</v>
      </c>
      <c r="D642" s="37"/>
      <c r="E642" s="37"/>
      <c r="F642" s="37">
        <f>+VLOOKUP(A642,Composición!C:J,8,FALSE)</f>
        <v>0</v>
      </c>
      <c r="G642" s="37">
        <f t="shared" si="61"/>
        <v>0</v>
      </c>
      <c r="H642" s="37"/>
      <c r="I642" s="37"/>
      <c r="J642" s="37"/>
      <c r="K642" s="37"/>
      <c r="L642" s="37"/>
      <c r="M642" s="37"/>
      <c r="N642" s="37"/>
      <c r="O642" s="37"/>
      <c r="P642" s="37"/>
      <c r="Q642" s="37"/>
      <c r="R642" s="37">
        <f>-G642</f>
        <v>0</v>
      </c>
      <c r="S642" s="37"/>
      <c r="T642" s="37"/>
      <c r="U642" s="37"/>
      <c r="V642" s="37"/>
      <c r="W642" s="37"/>
      <c r="X642" s="37"/>
      <c r="Y642" s="37"/>
      <c r="Z642" s="37"/>
      <c r="AA642" s="37">
        <f t="shared" si="60"/>
        <v>0</v>
      </c>
      <c r="AB642" s="37">
        <f t="shared" si="64"/>
        <v>0</v>
      </c>
    </row>
    <row r="643" spans="1:28" ht="14.4">
      <c r="A643" s="117">
        <v>128011</v>
      </c>
      <c r="B643" s="117" t="s">
        <v>182</v>
      </c>
      <c r="C643" s="37">
        <f>+VLOOKUP(A643,Composición!C:G,5,FALSE)</f>
        <v>0</v>
      </c>
      <c r="D643" s="37"/>
      <c r="E643" s="37"/>
      <c r="F643" s="37">
        <f>+VLOOKUP(A643,Composición!C:J,8,FALSE)</f>
        <v>0</v>
      </c>
      <c r="G643" s="37">
        <f t="shared" si="61"/>
        <v>0</v>
      </c>
      <c r="H643" s="37"/>
      <c r="I643" s="37"/>
      <c r="J643" s="37"/>
      <c r="K643" s="37"/>
      <c r="L643" s="37"/>
      <c r="M643" s="37"/>
      <c r="N643" s="37"/>
      <c r="O643" s="37"/>
      <c r="P643" s="37"/>
      <c r="Q643" s="37"/>
      <c r="R643" s="37"/>
      <c r="S643" s="37"/>
      <c r="T643" s="37"/>
      <c r="U643" s="37"/>
      <c r="V643" s="37"/>
      <c r="W643" s="37"/>
      <c r="X643" s="37"/>
      <c r="Y643" s="37"/>
      <c r="Z643" s="37"/>
      <c r="AA643" s="37">
        <f t="shared" si="60"/>
        <v>0</v>
      </c>
      <c r="AB643" s="37">
        <f t="shared" si="64"/>
        <v>0</v>
      </c>
    </row>
    <row r="644" spans="1:28" ht="14.4">
      <c r="A644" s="117">
        <v>1280111</v>
      </c>
      <c r="B644" s="117" t="s">
        <v>183</v>
      </c>
      <c r="C644" s="37">
        <f>+VLOOKUP(A644,Composición!C:G,5,FALSE)</f>
        <v>0</v>
      </c>
      <c r="D644" s="37"/>
      <c r="E644" s="37"/>
      <c r="F644" s="37">
        <f>+VLOOKUP(A644,Composición!C:J,8,FALSE)</f>
        <v>0</v>
      </c>
      <c r="G644" s="37">
        <f t="shared" si="61"/>
        <v>0</v>
      </c>
      <c r="H644" s="37"/>
      <c r="I644" s="37"/>
      <c r="J644" s="37"/>
      <c r="K644" s="37"/>
      <c r="L644" s="37"/>
      <c r="M644" s="37"/>
      <c r="N644" s="37"/>
      <c r="O644" s="37"/>
      <c r="P644" s="37"/>
      <c r="Q644" s="37"/>
      <c r="R644" s="37"/>
      <c r="S644" s="37"/>
      <c r="T644" s="37"/>
      <c r="U644" s="37"/>
      <c r="V644" s="37"/>
      <c r="W644" s="37"/>
      <c r="X644" s="37"/>
      <c r="Y644" s="37"/>
      <c r="Z644" s="37"/>
      <c r="AA644" s="37">
        <f t="shared" si="60"/>
        <v>0</v>
      </c>
      <c r="AB644" s="37">
        <f t="shared" si="64"/>
        <v>0</v>
      </c>
    </row>
    <row r="645" spans="1:28" ht="14.4">
      <c r="A645" s="117">
        <v>12801111</v>
      </c>
      <c r="B645" s="117" t="s">
        <v>184</v>
      </c>
      <c r="C645" s="37">
        <f>+VLOOKUP(A645,Composición!C:G,5,FALSE)</f>
        <v>0</v>
      </c>
      <c r="D645" s="37"/>
      <c r="E645" s="37"/>
      <c r="F645" s="37">
        <f>+VLOOKUP(A645,Composición!C:J,8,FALSE)</f>
        <v>0</v>
      </c>
      <c r="G645" s="37">
        <f t="shared" si="61"/>
        <v>0</v>
      </c>
      <c r="H645" s="37"/>
      <c r="I645" s="37"/>
      <c r="J645" s="37"/>
      <c r="K645" s="37"/>
      <c r="L645" s="37">
        <f>-G645</f>
        <v>0</v>
      </c>
      <c r="M645" s="37"/>
      <c r="N645" s="37"/>
      <c r="O645" s="37"/>
      <c r="P645" s="37"/>
      <c r="Q645" s="37"/>
      <c r="R645" s="37"/>
      <c r="S645" s="37"/>
      <c r="T645" s="37"/>
      <c r="U645" s="37"/>
      <c r="V645" s="37"/>
      <c r="W645" s="37"/>
      <c r="X645" s="37"/>
      <c r="Y645" s="37"/>
      <c r="Z645" s="37"/>
      <c r="AA645" s="37">
        <f t="shared" si="60"/>
        <v>0</v>
      </c>
      <c r="AB645" s="37">
        <f t="shared" si="64"/>
        <v>0</v>
      </c>
    </row>
    <row r="646" spans="1:28" ht="14.4">
      <c r="A646" s="117">
        <v>1280111101</v>
      </c>
      <c r="B646" s="117" t="s">
        <v>535</v>
      </c>
      <c r="C646" s="37">
        <f>+VLOOKUP(A646,Composición!C:G,5,FALSE)</f>
        <v>0</v>
      </c>
      <c r="D646" s="37"/>
      <c r="E646" s="37"/>
      <c r="F646" s="37">
        <f>+VLOOKUP(A646,Composición!C:J,8,FALSE)</f>
        <v>0</v>
      </c>
      <c r="G646" s="37">
        <f t="shared" si="61"/>
        <v>0</v>
      </c>
      <c r="H646" s="37"/>
      <c r="I646" s="37"/>
      <c r="J646" s="37"/>
      <c r="K646" s="37"/>
      <c r="L646" s="37"/>
      <c r="M646" s="37"/>
      <c r="N646" s="37"/>
      <c r="O646" s="37"/>
      <c r="P646" s="37"/>
      <c r="Q646" s="37"/>
      <c r="R646" s="37">
        <f>-G646</f>
        <v>0</v>
      </c>
      <c r="S646" s="37"/>
      <c r="T646" s="37"/>
      <c r="U646" s="37"/>
      <c r="V646" s="37"/>
      <c r="W646" s="37"/>
      <c r="X646" s="37"/>
      <c r="Y646" s="37"/>
      <c r="Z646" s="37"/>
      <c r="AA646" s="37">
        <f t="shared" si="60"/>
        <v>0</v>
      </c>
      <c r="AB646" s="37">
        <f t="shared" si="64"/>
        <v>0</v>
      </c>
    </row>
    <row r="647" spans="1:28" ht="14.4">
      <c r="A647" s="117">
        <v>1280111102</v>
      </c>
      <c r="B647" s="117" t="s">
        <v>853</v>
      </c>
      <c r="C647" s="37">
        <f>+VLOOKUP(A647,Composición!C:G,5,FALSE)</f>
        <v>2905069770</v>
      </c>
      <c r="D647" s="37">
        <f>+E1401</f>
        <v>0</v>
      </c>
      <c r="E647" s="37"/>
      <c r="F647" s="37">
        <f>+VLOOKUP(A647,Composición!C:J,8,FALSE)</f>
        <v>1849633864</v>
      </c>
      <c r="G647" s="37">
        <f t="shared" si="61"/>
        <v>1055435906</v>
      </c>
      <c r="H647" s="37"/>
      <c r="I647" s="37"/>
      <c r="J647" s="37"/>
      <c r="K647" s="37"/>
      <c r="L647" s="37"/>
      <c r="M647" s="37"/>
      <c r="N647" s="37"/>
      <c r="O647" s="37"/>
      <c r="P647" s="37"/>
      <c r="Q647" s="37"/>
      <c r="R647" s="37">
        <f>-G647</f>
        <v>-1055435906</v>
      </c>
      <c r="S647" s="37"/>
      <c r="T647" s="37"/>
      <c r="U647" s="37"/>
      <c r="V647" s="37"/>
      <c r="W647" s="37"/>
      <c r="X647" s="37"/>
      <c r="Y647" s="37"/>
      <c r="Z647" s="37"/>
      <c r="AA647" s="37">
        <f t="shared" si="60"/>
        <v>0</v>
      </c>
      <c r="AB647" s="37">
        <f t="shared" si="64"/>
        <v>0</v>
      </c>
    </row>
    <row r="648" spans="1:28" ht="14.4">
      <c r="A648" s="117">
        <v>1280112</v>
      </c>
      <c r="B648" s="117" t="s">
        <v>187</v>
      </c>
      <c r="C648" s="37">
        <f>+VLOOKUP(A648,Composición!C:G,5,FALSE)</f>
        <v>0</v>
      </c>
      <c r="D648" s="37"/>
      <c r="E648" s="37"/>
      <c r="F648" s="37">
        <f>+VLOOKUP(A648,Composición!C:J,8,FALSE)</f>
        <v>0</v>
      </c>
      <c r="G648" s="37">
        <f t="shared" si="61"/>
        <v>0</v>
      </c>
      <c r="H648" s="37"/>
      <c r="I648" s="37"/>
      <c r="J648" s="37"/>
      <c r="K648" s="37"/>
      <c r="L648" s="37"/>
      <c r="M648" s="37"/>
      <c r="N648" s="37"/>
      <c r="O648" s="37"/>
      <c r="P648" s="37"/>
      <c r="Q648" s="37"/>
      <c r="R648" s="37"/>
      <c r="S648" s="37"/>
      <c r="T648" s="37"/>
      <c r="U648" s="37"/>
      <c r="V648" s="37"/>
      <c r="W648" s="37"/>
      <c r="X648" s="37"/>
      <c r="Y648" s="37"/>
      <c r="Z648" s="37"/>
      <c r="AA648" s="37">
        <f t="shared" si="60"/>
        <v>0</v>
      </c>
      <c r="AB648" s="37">
        <f t="shared" si="64"/>
        <v>0</v>
      </c>
    </row>
    <row r="649" spans="1:28" ht="14.4">
      <c r="A649" s="117">
        <v>12801121</v>
      </c>
      <c r="B649" s="117" t="s">
        <v>188</v>
      </c>
      <c r="C649" s="37">
        <f>+VLOOKUP(A649,Composición!C:G,5,FALSE)</f>
        <v>0</v>
      </c>
      <c r="D649" s="37"/>
      <c r="E649" s="37"/>
      <c r="F649" s="37">
        <f>+VLOOKUP(A649,Composición!C:J,8,FALSE)</f>
        <v>0</v>
      </c>
      <c r="G649" s="37">
        <f t="shared" si="61"/>
        <v>0</v>
      </c>
      <c r="H649" s="37"/>
      <c r="I649" s="37"/>
      <c r="J649" s="37"/>
      <c r="K649" s="37"/>
      <c r="L649" s="37"/>
      <c r="M649" s="37"/>
      <c r="N649" s="37"/>
      <c r="O649" s="37"/>
      <c r="P649" s="37"/>
      <c r="Q649" s="37"/>
      <c r="R649" s="37"/>
      <c r="S649" s="37"/>
      <c r="T649" s="37"/>
      <c r="U649" s="37"/>
      <c r="V649" s="37"/>
      <c r="W649" s="37"/>
      <c r="X649" s="37"/>
      <c r="Y649" s="37"/>
      <c r="Z649" s="37"/>
      <c r="AA649" s="37">
        <f t="shared" si="60"/>
        <v>0</v>
      </c>
      <c r="AB649" s="37">
        <f t="shared" si="64"/>
        <v>0</v>
      </c>
    </row>
    <row r="650" spans="1:28" ht="14.4">
      <c r="A650" s="117">
        <v>1280112102</v>
      </c>
      <c r="B650" s="838" t="s">
        <v>189</v>
      </c>
      <c r="C650" s="37">
        <f>+VLOOKUP(A650,Composición!C:G,5,FALSE)</f>
        <v>777258485</v>
      </c>
      <c r="D650" s="37"/>
      <c r="E650" s="37"/>
      <c r="F650" s="37">
        <f>+VLOOKUP(A650,Composición!C:J,8,FALSE)</f>
        <v>363399500</v>
      </c>
      <c r="G650" s="37">
        <f t="shared" si="61"/>
        <v>413858985</v>
      </c>
      <c r="H650" s="37"/>
      <c r="I650" s="37"/>
      <c r="J650" s="37"/>
      <c r="K650" s="37"/>
      <c r="L650" s="37"/>
      <c r="M650" s="37"/>
      <c r="N650" s="37"/>
      <c r="O650" s="37"/>
      <c r="P650" s="37"/>
      <c r="Q650" s="37"/>
      <c r="R650" s="837">
        <f>-G650</f>
        <v>-413858985</v>
      </c>
      <c r="S650" s="37"/>
      <c r="T650" s="37"/>
      <c r="U650" s="37"/>
      <c r="V650" s="37"/>
      <c r="W650" s="37"/>
      <c r="X650" s="37"/>
      <c r="Y650" s="37"/>
      <c r="Z650" s="37"/>
      <c r="AA650" s="37">
        <f t="shared" si="60"/>
        <v>0</v>
      </c>
      <c r="AB650" s="37">
        <f t="shared" si="64"/>
        <v>0</v>
      </c>
    </row>
    <row r="651" spans="1:28" ht="14.4">
      <c r="A651" s="117">
        <v>12801122</v>
      </c>
      <c r="B651" s="117" t="s">
        <v>186</v>
      </c>
      <c r="C651" s="37">
        <f>+VLOOKUP(A651,Composición!C:G,5,FALSE)</f>
        <v>0</v>
      </c>
      <c r="D651" s="37"/>
      <c r="E651" s="37"/>
      <c r="F651" s="37">
        <f>+VLOOKUP(A651,Composición!C:J,8,FALSE)</f>
        <v>0</v>
      </c>
      <c r="G651" s="37">
        <f t="shared" si="61"/>
        <v>0</v>
      </c>
      <c r="H651" s="37"/>
      <c r="I651" s="37"/>
      <c r="J651" s="37"/>
      <c r="K651" s="37"/>
      <c r="L651" s="37"/>
      <c r="M651" s="37"/>
      <c r="N651" s="37"/>
      <c r="O651" s="37"/>
      <c r="P651" s="37"/>
      <c r="Q651" s="37"/>
      <c r="R651" s="37"/>
      <c r="S651" s="37"/>
      <c r="T651" s="37"/>
      <c r="U651" s="37"/>
      <c r="V651" s="37"/>
      <c r="W651" s="37"/>
      <c r="X651" s="37"/>
      <c r="Y651" s="37"/>
      <c r="Z651" s="37"/>
      <c r="AA651" s="37">
        <f t="shared" si="60"/>
        <v>0</v>
      </c>
      <c r="AB651" s="37">
        <f t="shared" si="64"/>
        <v>0</v>
      </c>
    </row>
    <row r="652" spans="1:28" ht="14.4">
      <c r="A652" s="117">
        <v>1280112201</v>
      </c>
      <c r="B652" s="117" t="s">
        <v>190</v>
      </c>
      <c r="C652" s="37">
        <f>+VLOOKUP(A652,Composición!C:G,5,FALSE)</f>
        <v>-418553068</v>
      </c>
      <c r="D652" s="131">
        <f>+C1402</f>
        <v>388269778</v>
      </c>
      <c r="E652" s="37"/>
      <c r="F652" s="37">
        <f>+VLOOKUP(A652,Composición!C:J,8,FALSE)</f>
        <v>-30283292</v>
      </c>
      <c r="G652" s="37">
        <f t="shared" si="61"/>
        <v>2</v>
      </c>
      <c r="H652" s="37"/>
      <c r="I652" s="37"/>
      <c r="J652" s="37"/>
      <c r="K652" s="37"/>
      <c r="L652" s="37"/>
      <c r="M652" s="37"/>
      <c r="N652" s="37"/>
      <c r="O652" s="37"/>
      <c r="P652" s="37"/>
      <c r="Q652" s="37"/>
      <c r="R652" s="37">
        <f>-G652</f>
        <v>-2</v>
      </c>
      <c r="S652" s="37"/>
      <c r="T652" s="37"/>
      <c r="U652" s="37"/>
      <c r="V652" s="37"/>
      <c r="W652" s="37"/>
      <c r="X652" s="37"/>
      <c r="Y652" s="37"/>
      <c r="Z652" s="37"/>
      <c r="AA652" s="37">
        <f t="shared" si="60"/>
        <v>0</v>
      </c>
      <c r="AB652" s="37">
        <f t="shared" si="64"/>
        <v>0</v>
      </c>
    </row>
    <row r="653" spans="1:28" ht="14.4">
      <c r="A653" s="117">
        <v>12801113</v>
      </c>
      <c r="B653" s="117" t="s">
        <v>855</v>
      </c>
      <c r="C653" s="37">
        <f>+VLOOKUP(A653,Composición!C:G,5,FALSE)</f>
        <v>0</v>
      </c>
      <c r="D653" s="37"/>
      <c r="E653" s="37"/>
      <c r="F653" s="37">
        <f>+VLOOKUP(A653,Composición!C:J,8,FALSE)</f>
        <v>0</v>
      </c>
      <c r="G653" s="37">
        <f t="shared" si="61"/>
        <v>0</v>
      </c>
      <c r="H653" s="37"/>
      <c r="I653" s="37"/>
      <c r="J653" s="37"/>
      <c r="K653" s="37"/>
      <c r="L653" s="37"/>
      <c r="M653" s="37"/>
      <c r="N653" s="37"/>
      <c r="O653" s="37"/>
      <c r="P653" s="37"/>
      <c r="Q653" s="37"/>
      <c r="R653" s="37"/>
      <c r="S653" s="37"/>
      <c r="T653" s="37"/>
      <c r="U653" s="37"/>
      <c r="V653" s="37"/>
      <c r="W653" s="37"/>
      <c r="X653" s="37"/>
      <c r="Y653" s="37"/>
      <c r="Z653" s="37"/>
      <c r="AA653" s="37">
        <f t="shared" si="60"/>
        <v>0</v>
      </c>
      <c r="AB653" s="37">
        <f t="shared" si="64"/>
        <v>0</v>
      </c>
    </row>
    <row r="654" spans="1:28" ht="14.4">
      <c r="A654" s="117">
        <v>1280111301</v>
      </c>
      <c r="B654" s="117" t="s">
        <v>856</v>
      </c>
      <c r="C654" s="37">
        <f>+VLOOKUP(A654,Composición!C:G,5,FALSE)</f>
        <v>0</v>
      </c>
      <c r="D654" s="37"/>
      <c r="E654" s="37"/>
      <c r="F654" s="37">
        <f>+VLOOKUP(A654,Composición!C:J,8,FALSE)</f>
        <v>0</v>
      </c>
      <c r="G654" s="37">
        <f t="shared" si="61"/>
        <v>0</v>
      </c>
      <c r="H654" s="37"/>
      <c r="I654" s="37"/>
      <c r="J654" s="37"/>
      <c r="K654" s="37"/>
      <c r="L654" s="37"/>
      <c r="M654" s="37"/>
      <c r="N654" s="37"/>
      <c r="O654" s="37"/>
      <c r="P654" s="37"/>
      <c r="Q654" s="37"/>
      <c r="R654" s="37"/>
      <c r="S654" s="37"/>
      <c r="T654" s="37"/>
      <c r="U654" s="37"/>
      <c r="V654" s="37"/>
      <c r="W654" s="37"/>
      <c r="X654" s="37"/>
      <c r="Y654" s="37"/>
      <c r="Z654" s="37"/>
      <c r="AA654" s="37">
        <f t="shared" si="60"/>
        <v>0</v>
      </c>
      <c r="AB654" s="37">
        <f t="shared" si="64"/>
        <v>0</v>
      </c>
    </row>
    <row r="655" spans="1:28" ht="14.4">
      <c r="A655" s="117">
        <v>1280111302</v>
      </c>
      <c r="B655" s="117" t="s">
        <v>857</v>
      </c>
      <c r="C655" s="37">
        <f>+VLOOKUP(A655,Composición!C:G,5,FALSE)</f>
        <v>0</v>
      </c>
      <c r="D655" s="37"/>
      <c r="E655" s="37"/>
      <c r="F655" s="37">
        <f>+VLOOKUP(A655,Composición!C:J,8,FALSE)</f>
        <v>0</v>
      </c>
      <c r="G655" s="37">
        <f t="shared" si="61"/>
        <v>0</v>
      </c>
      <c r="H655" s="37"/>
      <c r="I655" s="37"/>
      <c r="J655" s="37"/>
      <c r="K655" s="37"/>
      <c r="L655" s="37"/>
      <c r="M655" s="37"/>
      <c r="N655" s="37"/>
      <c r="O655" s="37"/>
      <c r="P655" s="37"/>
      <c r="Q655" s="37"/>
      <c r="R655" s="37"/>
      <c r="S655" s="37"/>
      <c r="T655" s="37"/>
      <c r="U655" s="37"/>
      <c r="V655" s="37"/>
      <c r="W655" s="37"/>
      <c r="X655" s="37"/>
      <c r="Y655" s="37"/>
      <c r="Z655" s="37"/>
      <c r="AA655" s="37">
        <f t="shared" ref="AA655:AA663" si="65">SUM(G655:Z655)</f>
        <v>0</v>
      </c>
      <c r="AB655" s="37">
        <f t="shared" si="64"/>
        <v>0</v>
      </c>
    </row>
    <row r="656" spans="1:28" ht="14.4">
      <c r="A656" s="117">
        <v>12801114</v>
      </c>
      <c r="B656" s="117" t="s">
        <v>536</v>
      </c>
      <c r="C656" s="37">
        <f>+VLOOKUP(A656,Composición!C:G,5,FALSE)</f>
        <v>0</v>
      </c>
      <c r="D656" s="37">
        <f>+E1403</f>
        <v>0</v>
      </c>
      <c r="E656" s="37"/>
      <c r="F656" s="37">
        <f>+VLOOKUP(A656,Composición!C:J,8,FALSE)</f>
        <v>0</v>
      </c>
      <c r="G656" s="37">
        <f t="shared" ref="G656:G669" si="66">C656+D656-E656-F656</f>
        <v>0</v>
      </c>
      <c r="H656" s="37">
        <f>-G656</f>
        <v>0</v>
      </c>
      <c r="I656" s="37"/>
      <c r="J656" s="37"/>
      <c r="K656" s="37"/>
      <c r="L656" s="37"/>
      <c r="M656" s="37"/>
      <c r="N656" s="37"/>
      <c r="O656" s="37"/>
      <c r="P656" s="37"/>
      <c r="Q656" s="37"/>
      <c r="R656" s="37"/>
      <c r="S656" s="37"/>
      <c r="T656" s="37"/>
      <c r="U656" s="37"/>
      <c r="V656" s="37"/>
      <c r="W656" s="37"/>
      <c r="X656" s="37"/>
      <c r="Y656" s="37"/>
      <c r="Z656" s="37"/>
      <c r="AA656" s="37">
        <f t="shared" si="65"/>
        <v>0</v>
      </c>
      <c r="AB656" s="37">
        <f t="shared" si="64"/>
        <v>0</v>
      </c>
    </row>
    <row r="657" spans="1:28" ht="14.4">
      <c r="A657" s="117">
        <v>1280111402</v>
      </c>
      <c r="B657" s="117" t="s">
        <v>537</v>
      </c>
      <c r="C657" s="37">
        <f>+VLOOKUP(A657,Composición!C:G,5,FALSE)</f>
        <v>0</v>
      </c>
      <c r="D657" s="12"/>
      <c r="E657" s="37"/>
      <c r="F657" s="37">
        <f>+VLOOKUP(A657,Composición!C:J,8,FALSE)</f>
        <v>0</v>
      </c>
      <c r="G657" s="37">
        <f t="shared" si="66"/>
        <v>0</v>
      </c>
      <c r="H657" s="37"/>
      <c r="I657" s="37"/>
      <c r="J657" s="37"/>
      <c r="K657" s="37"/>
      <c r="L657" s="37"/>
      <c r="M657" s="37"/>
      <c r="N657" s="37"/>
      <c r="O657" s="37"/>
      <c r="P657" s="37"/>
      <c r="Q657" s="37"/>
      <c r="R657" s="37">
        <f>-G657</f>
        <v>0</v>
      </c>
      <c r="S657" s="37"/>
      <c r="T657" s="37"/>
      <c r="U657" s="37"/>
      <c r="V657" s="37"/>
      <c r="W657" s="37"/>
      <c r="X657" s="37"/>
      <c r="Y657" s="37"/>
      <c r="Z657" s="37"/>
      <c r="AA657" s="37">
        <f t="shared" si="65"/>
        <v>0</v>
      </c>
      <c r="AB657" s="37">
        <f t="shared" si="64"/>
        <v>0</v>
      </c>
    </row>
    <row r="658" spans="1:28" ht="14.4">
      <c r="A658" s="117">
        <v>12801115</v>
      </c>
      <c r="B658" s="117" t="s">
        <v>858</v>
      </c>
      <c r="C658" s="37">
        <f>+VLOOKUP(A658,Composición!C:G,5,FALSE)</f>
        <v>0</v>
      </c>
      <c r="D658" s="37"/>
      <c r="E658" s="37"/>
      <c r="F658" s="37">
        <f>+VLOOKUP(A658,Composición!C:J,8,FALSE)</f>
        <v>0</v>
      </c>
      <c r="G658" s="37">
        <f t="shared" si="66"/>
        <v>0</v>
      </c>
      <c r="H658" s="37">
        <f>-G658</f>
        <v>0</v>
      </c>
      <c r="I658" s="37"/>
      <c r="J658" s="37"/>
      <c r="K658" s="37"/>
      <c r="L658" s="37"/>
      <c r="M658" s="37"/>
      <c r="N658" s="37"/>
      <c r="O658" s="37"/>
      <c r="P658" s="37"/>
      <c r="Q658" s="37"/>
      <c r="R658" s="37"/>
      <c r="S658" s="37"/>
      <c r="T658" s="37"/>
      <c r="U658" s="37"/>
      <c r="V658" s="37"/>
      <c r="W658" s="37"/>
      <c r="X658" s="37"/>
      <c r="Y658" s="37"/>
      <c r="Z658" s="37"/>
      <c r="AA658" s="37">
        <f t="shared" si="65"/>
        <v>0</v>
      </c>
      <c r="AB658" s="37">
        <f t="shared" si="64"/>
        <v>0</v>
      </c>
    </row>
    <row r="659" spans="1:28" ht="14.4">
      <c r="A659" s="117">
        <v>12801116</v>
      </c>
      <c r="B659" s="117" t="s">
        <v>859</v>
      </c>
      <c r="C659" s="37">
        <f>+VLOOKUP(A659,Composición!C:G,5,FALSE)</f>
        <v>0</v>
      </c>
      <c r="D659" s="37"/>
      <c r="E659" s="37"/>
      <c r="F659" s="37">
        <f>+VLOOKUP(A659,Composición!C:J,8,FALSE)</f>
        <v>0</v>
      </c>
      <c r="G659" s="37">
        <f t="shared" si="66"/>
        <v>0</v>
      </c>
      <c r="H659" s="37"/>
      <c r="I659" s="37"/>
      <c r="J659" s="37"/>
      <c r="K659" s="37"/>
      <c r="L659" s="37"/>
      <c r="M659" s="37"/>
      <c r="N659" s="37"/>
      <c r="O659" s="37"/>
      <c r="P659" s="37"/>
      <c r="Q659" s="37"/>
      <c r="R659" s="37"/>
      <c r="S659" s="37"/>
      <c r="T659" s="37"/>
      <c r="U659" s="37"/>
      <c r="V659" s="37"/>
      <c r="W659" s="37"/>
      <c r="X659" s="37"/>
      <c r="Y659" s="37"/>
      <c r="Z659" s="37"/>
      <c r="AA659" s="37">
        <f t="shared" si="65"/>
        <v>0</v>
      </c>
      <c r="AB659" s="37">
        <f t="shared" si="64"/>
        <v>0</v>
      </c>
    </row>
    <row r="660" spans="1:28" ht="14.4">
      <c r="A660" s="117">
        <v>12801117</v>
      </c>
      <c r="B660" s="138" t="s">
        <v>186</v>
      </c>
      <c r="C660" s="37">
        <f>+VLOOKUP(A660,Composición!C:G,5,FALSE)</f>
        <v>0</v>
      </c>
      <c r="D660" s="38"/>
      <c r="E660" s="38"/>
      <c r="F660" s="37">
        <f>+VLOOKUP(A660,Composición!C:J,8,FALSE)</f>
        <v>0</v>
      </c>
      <c r="G660" s="37">
        <f t="shared" si="66"/>
        <v>0</v>
      </c>
      <c r="H660" s="38"/>
      <c r="I660" s="38"/>
      <c r="J660" s="38"/>
      <c r="K660" s="38"/>
      <c r="L660" s="38"/>
      <c r="M660" s="38"/>
      <c r="N660" s="38"/>
      <c r="O660" s="38"/>
      <c r="P660" s="38"/>
      <c r="Q660" s="38"/>
      <c r="R660" s="38"/>
      <c r="S660" s="38"/>
      <c r="T660" s="38"/>
      <c r="U660" s="38"/>
      <c r="V660" s="38"/>
      <c r="W660" s="38"/>
      <c r="X660" s="38"/>
      <c r="Y660" s="38"/>
      <c r="Z660" s="38"/>
      <c r="AA660" s="38">
        <f t="shared" si="65"/>
        <v>0</v>
      </c>
      <c r="AB660" s="37">
        <f t="shared" si="64"/>
        <v>0</v>
      </c>
    </row>
    <row r="661" spans="1:28" ht="14.4">
      <c r="A661" s="117">
        <v>1280111701</v>
      </c>
      <c r="B661" s="138" t="s">
        <v>184</v>
      </c>
      <c r="C661" s="37">
        <f>+VLOOKUP(A661,Composición!C:G,5,FALSE)</f>
        <v>-745430960</v>
      </c>
      <c r="D661" s="1173">
        <f>+C1404</f>
        <v>596516932</v>
      </c>
      <c r="E661" s="38"/>
      <c r="F661" s="37">
        <f>+VLOOKUP(A661,Composición!C:J,8,FALSE)</f>
        <v>-148914030</v>
      </c>
      <c r="G661" s="37">
        <f t="shared" si="66"/>
        <v>2</v>
      </c>
      <c r="H661" s="38"/>
      <c r="I661" s="38"/>
      <c r="J661" s="38"/>
      <c r="K661" s="38"/>
      <c r="L661" s="37"/>
      <c r="M661" s="38"/>
      <c r="N661" s="38"/>
      <c r="O661" s="38"/>
      <c r="P661" s="38"/>
      <c r="Q661" s="38"/>
      <c r="R661" s="38">
        <f>-G661</f>
        <v>-2</v>
      </c>
      <c r="S661" s="38"/>
      <c r="T661" s="38"/>
      <c r="U661" s="38"/>
      <c r="V661" s="38"/>
      <c r="W661" s="38"/>
      <c r="X661" s="38"/>
      <c r="Y661" s="38"/>
      <c r="Z661" s="38"/>
      <c r="AA661" s="38">
        <f t="shared" si="65"/>
        <v>0</v>
      </c>
      <c r="AB661" s="37">
        <f t="shared" si="64"/>
        <v>0</v>
      </c>
    </row>
    <row r="662" spans="1:28" ht="14.4">
      <c r="A662" s="117">
        <v>1280111702</v>
      </c>
      <c r="B662" s="138" t="s">
        <v>855</v>
      </c>
      <c r="C662" s="37">
        <f>+VLOOKUP(A662,Composición!C:G,5,FALSE)</f>
        <v>0</v>
      </c>
      <c r="D662" s="38"/>
      <c r="E662" s="38"/>
      <c r="F662" s="37">
        <f>+VLOOKUP(A662,Composición!C:J,8,FALSE)</f>
        <v>0</v>
      </c>
      <c r="G662" s="37">
        <f t="shared" si="66"/>
        <v>0</v>
      </c>
      <c r="H662" s="38"/>
      <c r="I662" s="38"/>
      <c r="J662" s="38"/>
      <c r="K662" s="38"/>
      <c r="L662" s="38"/>
      <c r="M662" s="38"/>
      <c r="N662" s="38"/>
      <c r="O662" s="38"/>
      <c r="P662" s="38"/>
      <c r="Q662" s="38"/>
      <c r="R662" s="38"/>
      <c r="S662" s="38"/>
      <c r="T662" s="38"/>
      <c r="U662" s="38"/>
      <c r="V662" s="38"/>
      <c r="W662" s="38"/>
      <c r="X662" s="38"/>
      <c r="Y662" s="38"/>
      <c r="Z662" s="38"/>
      <c r="AA662" s="38">
        <f t="shared" si="65"/>
        <v>0</v>
      </c>
      <c r="AB662" s="37">
        <f t="shared" si="64"/>
        <v>0</v>
      </c>
    </row>
    <row r="663" spans="1:28" ht="14.4">
      <c r="A663" s="117">
        <v>1280111703</v>
      </c>
      <c r="B663" s="138" t="s">
        <v>538</v>
      </c>
      <c r="C663" s="37">
        <f>+VLOOKUP(A663,Composición!C:G,5,FALSE)</f>
        <v>0</v>
      </c>
      <c r="D663" s="38">
        <f>+C1405</f>
        <v>0</v>
      </c>
      <c r="E663" s="38"/>
      <c r="F663" s="37">
        <f>+VLOOKUP(A663,Composición!C:J,8,FALSE)</f>
        <v>0</v>
      </c>
      <c r="G663" s="37">
        <f t="shared" si="66"/>
        <v>0</v>
      </c>
      <c r="H663" s="38"/>
      <c r="I663" s="38"/>
      <c r="J663" s="38"/>
      <c r="K663" s="38"/>
      <c r="L663" s="37"/>
      <c r="M663" s="38"/>
      <c r="N663" s="38"/>
      <c r="O663" s="38"/>
      <c r="P663" s="38"/>
      <c r="Q663" s="38"/>
      <c r="R663" s="38">
        <f>-G663</f>
        <v>0</v>
      </c>
      <c r="S663" s="38"/>
      <c r="T663" s="38"/>
      <c r="U663" s="38"/>
      <c r="V663" s="38"/>
      <c r="W663" s="38"/>
      <c r="X663" s="38"/>
      <c r="Y663" s="38"/>
      <c r="Z663" s="38"/>
      <c r="AA663" s="38">
        <f t="shared" si="65"/>
        <v>0</v>
      </c>
      <c r="AB663" s="37">
        <f t="shared" si="64"/>
        <v>0</v>
      </c>
    </row>
    <row r="664" spans="1:28" ht="12" customHeight="1">
      <c r="A664" s="117">
        <v>1280111704</v>
      </c>
      <c r="B664" s="138" t="s">
        <v>858</v>
      </c>
      <c r="C664" s="37">
        <f>+VLOOKUP(A664,Composición!C:G,5,FALSE)</f>
        <v>0</v>
      </c>
      <c r="D664" s="38"/>
      <c r="E664" s="38"/>
      <c r="F664" s="37">
        <f>+VLOOKUP(A664,Composición!C:J,8,FALSE)</f>
        <v>0</v>
      </c>
      <c r="G664" s="37">
        <f t="shared" si="66"/>
        <v>0</v>
      </c>
      <c r="H664" s="38"/>
      <c r="I664" s="38"/>
      <c r="J664" s="38"/>
      <c r="K664" s="38"/>
      <c r="L664" s="37">
        <f t="shared" ref="L664:L668" si="67">-G664</f>
        <v>0</v>
      </c>
      <c r="M664" s="38"/>
      <c r="N664" s="38"/>
      <c r="O664" s="38"/>
      <c r="P664" s="38"/>
      <c r="Q664" s="38"/>
      <c r="R664" s="38"/>
      <c r="S664" s="38"/>
      <c r="T664" s="38"/>
      <c r="U664" s="38"/>
      <c r="V664" s="38"/>
      <c r="W664" s="38"/>
      <c r="X664" s="38"/>
      <c r="Y664" s="38"/>
      <c r="Z664" s="38"/>
      <c r="AA664" s="38">
        <f t="shared" ref="AA664" si="68">SUM(G664:Z664)</f>
        <v>0</v>
      </c>
      <c r="AB664" s="37">
        <f t="shared" si="64"/>
        <v>0</v>
      </c>
    </row>
    <row r="665" spans="1:28" ht="12" customHeight="1">
      <c r="A665" s="117">
        <v>1280111705</v>
      </c>
      <c r="B665" s="138" t="s">
        <v>859</v>
      </c>
      <c r="C665" s="37">
        <f>+VLOOKUP(A665,Composición!C:G,5,FALSE)</f>
        <v>0</v>
      </c>
      <c r="D665" s="38"/>
      <c r="E665" s="38"/>
      <c r="F665" s="37">
        <f>+VLOOKUP(A665,Composición!C:J,8,FALSE)</f>
        <v>0</v>
      </c>
      <c r="G665" s="37">
        <f t="shared" si="66"/>
        <v>0</v>
      </c>
      <c r="H665" s="38"/>
      <c r="I665" s="38"/>
      <c r="J665" s="38"/>
      <c r="K665" s="38"/>
      <c r="L665" s="37">
        <f t="shared" si="67"/>
        <v>0</v>
      </c>
      <c r="M665" s="38"/>
      <c r="N665" s="38"/>
      <c r="O665" s="38"/>
      <c r="P665" s="38"/>
      <c r="Q665" s="38"/>
      <c r="R665" s="38"/>
      <c r="S665" s="38"/>
      <c r="T665" s="38"/>
      <c r="U665" s="38"/>
      <c r="V665" s="38"/>
      <c r="W665" s="38"/>
      <c r="X665" s="38"/>
      <c r="Y665" s="38"/>
      <c r="Z665" s="38"/>
      <c r="AA665" s="38">
        <f t="shared" ref="AA665" si="69">SUM(G665:Z665)</f>
        <v>0</v>
      </c>
      <c r="AB665" s="37">
        <f t="shared" si="64"/>
        <v>0</v>
      </c>
    </row>
    <row r="666" spans="1:28" ht="12" customHeight="1">
      <c r="A666" s="117">
        <v>129</v>
      </c>
      <c r="B666" s="138" t="s">
        <v>191</v>
      </c>
      <c r="C666" s="37">
        <f>+VLOOKUP(A666,Composición!C:G,5,FALSE)</f>
        <v>0</v>
      </c>
      <c r="D666" s="38"/>
      <c r="E666" s="38"/>
      <c r="F666" s="37">
        <f>+VLOOKUP(A666,Composición!C:J,8,FALSE)</f>
        <v>0</v>
      </c>
      <c r="G666" s="37">
        <f t="shared" si="66"/>
        <v>0</v>
      </c>
      <c r="H666" s="38"/>
      <c r="I666" s="38"/>
      <c r="J666" s="38"/>
      <c r="K666" s="38"/>
      <c r="L666" s="37">
        <f t="shared" si="67"/>
        <v>0</v>
      </c>
      <c r="M666" s="38"/>
      <c r="N666" s="38"/>
      <c r="O666" s="38"/>
      <c r="P666" s="38"/>
      <c r="Q666" s="38"/>
      <c r="R666" s="38"/>
      <c r="S666" s="38"/>
      <c r="T666" s="38"/>
      <c r="U666" s="38"/>
      <c r="V666" s="38"/>
      <c r="W666" s="38"/>
      <c r="X666" s="38"/>
      <c r="Y666" s="38"/>
      <c r="Z666" s="38"/>
      <c r="AA666" s="38">
        <f t="shared" ref="AA666" si="70">SUM(G666:Z666)</f>
        <v>0</v>
      </c>
      <c r="AB666" s="37">
        <f t="shared" si="64"/>
        <v>0</v>
      </c>
    </row>
    <row r="667" spans="1:28" ht="12" customHeight="1">
      <c r="A667" s="117">
        <v>12901</v>
      </c>
      <c r="B667" s="138" t="s">
        <v>860</v>
      </c>
      <c r="C667" s="37">
        <f>+VLOOKUP(A667,Composición!C:G,5,FALSE)</f>
        <v>0</v>
      </c>
      <c r="D667" s="38"/>
      <c r="E667" s="38"/>
      <c r="F667" s="37">
        <f>+VLOOKUP(A667,Composición!C:J,8,FALSE)</f>
        <v>0</v>
      </c>
      <c r="G667" s="37">
        <f t="shared" si="66"/>
        <v>0</v>
      </c>
      <c r="H667" s="38"/>
      <c r="I667" s="38"/>
      <c r="J667" s="38"/>
      <c r="K667" s="38"/>
      <c r="L667" s="37">
        <f t="shared" si="67"/>
        <v>0</v>
      </c>
      <c r="M667" s="38"/>
      <c r="N667" s="38"/>
      <c r="O667" s="38"/>
      <c r="P667" s="38"/>
      <c r="Q667" s="38"/>
      <c r="R667" s="38"/>
      <c r="S667" s="38"/>
      <c r="T667" s="38"/>
      <c r="U667" s="38"/>
      <c r="V667" s="38"/>
      <c r="W667" s="38"/>
      <c r="X667" s="38"/>
      <c r="Y667" s="38"/>
      <c r="Z667" s="38"/>
      <c r="AA667" s="38">
        <f t="shared" ref="AA667" si="71">SUM(G667:Z667)</f>
        <v>0</v>
      </c>
      <c r="AB667" s="37">
        <f t="shared" si="64"/>
        <v>0</v>
      </c>
    </row>
    <row r="668" spans="1:28" ht="12" customHeight="1">
      <c r="A668" s="117">
        <v>1290111</v>
      </c>
      <c r="B668" s="138" t="s">
        <v>860</v>
      </c>
      <c r="C668" s="37">
        <f>+VLOOKUP(A668,Composición!C:G,5,FALSE)</f>
        <v>0</v>
      </c>
      <c r="D668" s="38"/>
      <c r="E668" s="38"/>
      <c r="F668" s="37">
        <f>+VLOOKUP(A668,Composición!C:J,8,FALSE)</f>
        <v>0</v>
      </c>
      <c r="G668" s="37">
        <f t="shared" si="66"/>
        <v>0</v>
      </c>
      <c r="H668" s="38"/>
      <c r="I668" s="38"/>
      <c r="J668" s="38"/>
      <c r="K668" s="38"/>
      <c r="L668" s="37">
        <f t="shared" si="67"/>
        <v>0</v>
      </c>
      <c r="M668" s="38"/>
      <c r="N668" s="38"/>
      <c r="O668" s="38"/>
      <c r="P668" s="38"/>
      <c r="Q668" s="38"/>
      <c r="R668" s="38"/>
      <c r="S668" s="38"/>
      <c r="T668" s="38"/>
      <c r="U668" s="38"/>
      <c r="V668" s="38"/>
      <c r="W668" s="38"/>
      <c r="X668" s="38"/>
      <c r="Y668" s="38"/>
      <c r="Z668" s="38"/>
      <c r="AA668" s="38">
        <f t="shared" ref="AA668" si="72">SUM(G668:Z668)</f>
        <v>0</v>
      </c>
      <c r="AB668" s="37">
        <f t="shared" si="64"/>
        <v>0</v>
      </c>
    </row>
    <row r="669" spans="1:28" ht="12" customHeight="1">
      <c r="A669" s="117">
        <v>1290111101</v>
      </c>
      <c r="B669" s="138" t="s">
        <v>192</v>
      </c>
      <c r="C669" s="37">
        <f>+VLOOKUP(A669,Composición!C:G,5,FALSE)</f>
        <v>0</v>
      </c>
      <c r="D669" s="38"/>
      <c r="E669" s="38"/>
      <c r="F669" s="37">
        <f>+VLOOKUP(A669,Composición!C:J,8,FALSE)</f>
        <v>45194720</v>
      </c>
      <c r="G669" s="37">
        <f t="shared" si="66"/>
        <v>-45194720</v>
      </c>
      <c r="H669" s="38"/>
      <c r="I669" s="38"/>
      <c r="J669" s="38"/>
      <c r="K669" s="38"/>
      <c r="L669" s="37"/>
      <c r="M669" s="38"/>
      <c r="N669" s="38"/>
      <c r="O669" s="38"/>
      <c r="P669" s="38"/>
      <c r="Q669" s="38"/>
      <c r="R669" s="38">
        <f>-G669</f>
        <v>45194720</v>
      </c>
      <c r="S669" s="38"/>
      <c r="T669" s="38"/>
      <c r="U669" s="38"/>
      <c r="V669" s="38"/>
      <c r="W669" s="38"/>
      <c r="X669" s="38"/>
      <c r="Y669" s="38"/>
      <c r="Z669" s="38"/>
      <c r="AA669" s="38">
        <f t="shared" ref="AA669:AA682" si="73">SUM(G669:Z669)</f>
        <v>0</v>
      </c>
      <c r="AB669" s="37">
        <f t="shared" si="64"/>
        <v>0</v>
      </c>
    </row>
    <row r="670" spans="1:28" ht="14.4">
      <c r="A670" s="12"/>
      <c r="B670" s="137"/>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c r="AA670" s="37">
        <f t="shared" si="73"/>
        <v>0</v>
      </c>
      <c r="AB670" s="37">
        <f t="shared" si="64"/>
        <v>0</v>
      </c>
    </row>
    <row r="671" spans="1:28" ht="14.4">
      <c r="A671" s="130">
        <v>2</v>
      </c>
      <c r="B671" s="140" t="s">
        <v>193</v>
      </c>
      <c r="C671" s="141">
        <f>-Composición!$G$1771-SUM('CA FE'!C672:C874)</f>
        <v>0</v>
      </c>
      <c r="D671" s="141"/>
      <c r="E671" s="141"/>
      <c r="F671" s="141">
        <f>-Composición!$J$1771-SUM('CA FE'!F672:F874)</f>
        <v>-680741973</v>
      </c>
      <c r="G671" s="141">
        <f t="shared" ref="G671:G737" si="74">C671+D671-E671-F671</f>
        <v>680741973</v>
      </c>
      <c r="H671" s="141"/>
      <c r="I671" s="141"/>
      <c r="J671" s="141"/>
      <c r="K671" s="141"/>
      <c r="L671" s="141"/>
      <c r="M671" s="141"/>
      <c r="N671" s="141"/>
      <c r="O671" s="141"/>
      <c r="P671" s="141"/>
      <c r="Q671" s="141"/>
      <c r="R671" s="141"/>
      <c r="S671" s="141"/>
      <c r="T671" s="141"/>
      <c r="U671" s="141"/>
      <c r="V671" s="141"/>
      <c r="W671" s="141"/>
      <c r="X671" s="141"/>
      <c r="Y671" s="141"/>
      <c r="Z671" s="141"/>
      <c r="AA671" s="141">
        <v>0</v>
      </c>
      <c r="AB671" s="37">
        <f t="shared" si="64"/>
        <v>680741973</v>
      </c>
    </row>
    <row r="672" spans="1:28" ht="14.4">
      <c r="A672" s="117">
        <v>21</v>
      </c>
      <c r="B672" s="117" t="s">
        <v>194</v>
      </c>
      <c r="C672" s="37">
        <f>-VLOOKUP(A672,Composición!C:G,5,FALSE)</f>
        <v>0</v>
      </c>
      <c r="D672" s="37"/>
      <c r="E672" s="37"/>
      <c r="F672" s="37">
        <f>-VLOOKUP(A672,Composición!C:J,8,FALSE)</f>
        <v>0</v>
      </c>
      <c r="G672" s="37">
        <f t="shared" si="74"/>
        <v>0</v>
      </c>
      <c r="H672" s="37"/>
      <c r="I672" s="37"/>
      <c r="J672" s="37"/>
      <c r="K672" s="37"/>
      <c r="L672" s="37"/>
      <c r="M672" s="37"/>
      <c r="N672" s="37"/>
      <c r="O672" s="37"/>
      <c r="P672" s="37"/>
      <c r="Q672" s="37"/>
      <c r="R672" s="37"/>
      <c r="S672" s="37"/>
      <c r="T672" s="37"/>
      <c r="U672" s="37"/>
      <c r="V672" s="37"/>
      <c r="W672" s="37"/>
      <c r="X672" s="37"/>
      <c r="Y672" s="37"/>
      <c r="Z672" s="37"/>
      <c r="AA672" s="37">
        <f t="shared" si="73"/>
        <v>0</v>
      </c>
      <c r="AB672" s="37">
        <f t="shared" si="64"/>
        <v>0</v>
      </c>
    </row>
    <row r="673" spans="1:28" ht="14.4">
      <c r="A673" s="117">
        <v>211</v>
      </c>
      <c r="B673" s="117" t="s">
        <v>195</v>
      </c>
      <c r="C673" s="37">
        <f>-VLOOKUP(A673,Composición!C:G,5,FALSE)</f>
        <v>0</v>
      </c>
      <c r="D673" s="37"/>
      <c r="E673" s="37"/>
      <c r="F673" s="37">
        <f>-VLOOKUP(A673,Composición!C:J,8,FALSE)</f>
        <v>0</v>
      </c>
      <c r="G673" s="37">
        <f t="shared" si="74"/>
        <v>0</v>
      </c>
      <c r="H673" s="37"/>
      <c r="I673" s="37"/>
      <c r="J673" s="37"/>
      <c r="K673" s="37"/>
      <c r="L673" s="37"/>
      <c r="M673" s="37"/>
      <c r="N673" s="37"/>
      <c r="O673" s="37"/>
      <c r="P673" s="37"/>
      <c r="Q673" s="37"/>
      <c r="R673" s="37"/>
      <c r="S673" s="37"/>
      <c r="T673" s="37"/>
      <c r="U673" s="37"/>
      <c r="V673" s="37"/>
      <c r="W673" s="37"/>
      <c r="X673" s="37"/>
      <c r="Y673" s="37"/>
      <c r="Z673" s="37"/>
      <c r="AA673" s="37">
        <f t="shared" si="73"/>
        <v>0</v>
      </c>
      <c r="AB673" s="37">
        <f t="shared" si="64"/>
        <v>0</v>
      </c>
    </row>
    <row r="674" spans="1:28" ht="14.4">
      <c r="A674" s="117">
        <v>21101</v>
      </c>
      <c r="B674" s="117" t="s">
        <v>196</v>
      </c>
      <c r="C674" s="37">
        <f>-VLOOKUP(A674,Composición!C:G,5,FALSE)</f>
        <v>0</v>
      </c>
      <c r="D674" s="37"/>
      <c r="E674" s="37"/>
      <c r="F674" s="37">
        <f>-VLOOKUP(A674,Composición!C:J,8,FALSE)</f>
        <v>0</v>
      </c>
      <c r="G674" s="37">
        <f t="shared" si="74"/>
        <v>0</v>
      </c>
      <c r="H674" s="37"/>
      <c r="I674" s="37"/>
      <c r="J674" s="37"/>
      <c r="K674" s="37"/>
      <c r="L674" s="37"/>
      <c r="M674" s="37"/>
      <c r="N674" s="37"/>
      <c r="O674" s="37"/>
      <c r="P674" s="37"/>
      <c r="Q674" s="37"/>
      <c r="R674" s="37"/>
      <c r="S674" s="37">
        <f>-G674</f>
        <v>0</v>
      </c>
      <c r="T674" s="37"/>
      <c r="U674" s="37"/>
      <c r="V674" s="37"/>
      <c r="W674" s="37"/>
      <c r="X674" s="37"/>
      <c r="Y674" s="37"/>
      <c r="Z674" s="37"/>
      <c r="AA674" s="37">
        <f t="shared" si="73"/>
        <v>0</v>
      </c>
      <c r="AB674" s="37">
        <f t="shared" si="64"/>
        <v>0</v>
      </c>
    </row>
    <row r="675" spans="1:28" ht="14.4">
      <c r="A675" s="117">
        <v>211011</v>
      </c>
      <c r="B675" s="117" t="s">
        <v>196</v>
      </c>
      <c r="C675" s="37">
        <f>-VLOOKUP(A675,Composición!C:G,5,FALSE)</f>
        <v>0</v>
      </c>
      <c r="D675" s="37"/>
      <c r="E675" s="37"/>
      <c r="F675" s="37">
        <f>-VLOOKUP(A675,Composición!C:J,8,FALSE)</f>
        <v>0</v>
      </c>
      <c r="G675" s="37">
        <f t="shared" si="74"/>
        <v>0</v>
      </c>
      <c r="H675" s="37"/>
      <c r="I675" s="37"/>
      <c r="J675" s="37"/>
      <c r="K675" s="37"/>
      <c r="L675" s="37"/>
      <c r="M675" s="37"/>
      <c r="N675" s="37"/>
      <c r="O675" s="37"/>
      <c r="P675" s="37"/>
      <c r="Q675" s="37"/>
      <c r="R675" s="37"/>
      <c r="S675" s="37">
        <f>-G675</f>
        <v>0</v>
      </c>
      <c r="T675" s="37"/>
      <c r="U675" s="37"/>
      <c r="V675" s="37"/>
      <c r="W675" s="37"/>
      <c r="X675" s="37"/>
      <c r="Y675" s="37"/>
      <c r="Z675" s="37"/>
      <c r="AA675" s="37">
        <f t="shared" si="73"/>
        <v>0</v>
      </c>
      <c r="AB675" s="37">
        <f t="shared" si="64"/>
        <v>0</v>
      </c>
    </row>
    <row r="676" spans="1:28" ht="14.4">
      <c r="A676" s="117">
        <v>2110111</v>
      </c>
      <c r="B676" s="117" t="s">
        <v>197</v>
      </c>
      <c r="C676" s="37">
        <f>-VLOOKUP(A676,Composición!C:G,5,FALSE)</f>
        <v>0</v>
      </c>
      <c r="D676" s="37"/>
      <c r="E676" s="37"/>
      <c r="F676" s="37">
        <f>-VLOOKUP(A676,Composición!C:J,8,FALSE)</f>
        <v>0</v>
      </c>
      <c r="G676" s="37">
        <f t="shared" si="74"/>
        <v>0</v>
      </c>
      <c r="H676" s="37"/>
      <c r="I676" s="37"/>
      <c r="J676" s="37"/>
      <c r="K676" s="37"/>
      <c r="L676" s="37"/>
      <c r="M676" s="37"/>
      <c r="N676" s="37"/>
      <c r="O676" s="37"/>
      <c r="P676" s="37"/>
      <c r="Q676" s="37"/>
      <c r="R676" s="37"/>
      <c r="S676" s="37">
        <f>-G676</f>
        <v>0</v>
      </c>
      <c r="T676" s="37"/>
      <c r="U676" s="37"/>
      <c r="V676" s="37"/>
      <c r="W676" s="37"/>
      <c r="X676" s="37"/>
      <c r="Y676" s="37"/>
      <c r="Z676" s="37"/>
      <c r="AA676" s="37">
        <f t="shared" si="73"/>
        <v>0</v>
      </c>
      <c r="AB676" s="37">
        <f t="shared" si="64"/>
        <v>0</v>
      </c>
    </row>
    <row r="677" spans="1:28" ht="14.4">
      <c r="A677" s="117">
        <v>21101111</v>
      </c>
      <c r="B677" s="117" t="s">
        <v>520</v>
      </c>
      <c r="C677" s="1365">
        <f>-VLOOKUP(A677,Composición!C:G,5,FALSE)</f>
        <v>0</v>
      </c>
      <c r="D677" s="37"/>
      <c r="E677" s="37"/>
      <c r="F677" s="37">
        <f>-VLOOKUP(A677,Composición!C:J,8,FALSE)</f>
        <v>0</v>
      </c>
      <c r="G677" s="37">
        <f t="shared" si="74"/>
        <v>0</v>
      </c>
      <c r="H677" s="37"/>
      <c r="I677" s="37"/>
      <c r="J677" s="37"/>
      <c r="K677" s="37"/>
      <c r="L677" s="37"/>
      <c r="M677" s="37"/>
      <c r="N677" s="37"/>
      <c r="O677" s="37"/>
      <c r="P677" s="37"/>
      <c r="Q677" s="37"/>
      <c r="R677" s="37"/>
      <c r="S677" s="37"/>
      <c r="T677" s="37">
        <f>-G677</f>
        <v>0</v>
      </c>
      <c r="U677" s="37"/>
      <c r="V677" s="37"/>
      <c r="W677" s="37"/>
      <c r="X677" s="37"/>
      <c r="Y677" s="37"/>
      <c r="Z677" s="37"/>
      <c r="AA677" s="37">
        <f t="shared" si="73"/>
        <v>0</v>
      </c>
      <c r="AB677" s="37">
        <f t="shared" si="64"/>
        <v>0</v>
      </c>
    </row>
    <row r="678" spans="1:28" ht="14.4">
      <c r="A678" s="117">
        <v>2110111101</v>
      </c>
      <c r="B678" s="117" t="s">
        <v>539</v>
      </c>
      <c r="C678" s="1365">
        <f>-Composición!G681</f>
        <v>-591981</v>
      </c>
      <c r="D678" s="764"/>
      <c r="E678" s="37">
        <f>+D535</f>
        <v>0</v>
      </c>
      <c r="F678" s="37">
        <f>-VLOOKUP(A678,Composición!C:J,8,FALSE)</f>
        <v>0</v>
      </c>
      <c r="G678" s="37">
        <f t="shared" si="74"/>
        <v>-591981</v>
      </c>
      <c r="H678" s="37"/>
      <c r="I678" s="37">
        <f>-G678</f>
        <v>591981</v>
      </c>
      <c r="J678" s="37"/>
      <c r="K678" s="37"/>
      <c r="L678" s="37"/>
      <c r="M678" s="37"/>
      <c r="N678" s="37"/>
      <c r="O678" s="37"/>
      <c r="P678" s="37"/>
      <c r="Q678" s="37"/>
      <c r="R678" s="37"/>
      <c r="S678" s="37"/>
      <c r="T678" s="37"/>
      <c r="U678" s="37"/>
      <c r="V678" s="37"/>
      <c r="W678" s="37"/>
      <c r="X678" s="37"/>
      <c r="Y678" s="37"/>
      <c r="Z678" s="37"/>
      <c r="AA678" s="37">
        <f t="shared" ref="AA678:AA679" si="75">SUM(G678:Z678)</f>
        <v>0</v>
      </c>
      <c r="AB678" s="37">
        <f t="shared" si="64"/>
        <v>0</v>
      </c>
    </row>
    <row r="679" spans="1:28" ht="14.4">
      <c r="A679" s="117">
        <v>2110111102</v>
      </c>
      <c r="B679" s="117" t="s">
        <v>585</v>
      </c>
      <c r="C679" s="1365">
        <f>-VLOOKUP(A679,Composición!C:G,5,FALSE)</f>
        <v>-24405652</v>
      </c>
      <c r="D679" s="37"/>
      <c r="E679" s="37"/>
      <c r="F679" s="37">
        <f>-VLOOKUP(A679,Composición!C:J,8,FALSE)</f>
        <v>0</v>
      </c>
      <c r="G679" s="37">
        <f t="shared" si="74"/>
        <v>-24405652</v>
      </c>
      <c r="H679" s="37"/>
      <c r="I679" s="37"/>
      <c r="J679" s="37">
        <f>-G679</f>
        <v>24405652</v>
      </c>
      <c r="K679" s="37"/>
      <c r="L679" s="37"/>
      <c r="M679" s="37"/>
      <c r="N679" s="37"/>
      <c r="O679" s="37"/>
      <c r="P679" s="37"/>
      <c r="Q679" s="37"/>
      <c r="R679" s="37"/>
      <c r="S679" s="37"/>
      <c r="T679" s="37"/>
      <c r="U679" s="37"/>
      <c r="V679" s="37"/>
      <c r="W679" s="37"/>
      <c r="X679" s="37"/>
      <c r="Y679" s="37"/>
      <c r="Z679" s="37"/>
      <c r="AA679" s="37">
        <f t="shared" si="75"/>
        <v>0</v>
      </c>
      <c r="AB679" s="37">
        <f t="shared" si="64"/>
        <v>0</v>
      </c>
    </row>
    <row r="680" spans="1:28" ht="14.4">
      <c r="A680" s="117">
        <v>21101112</v>
      </c>
      <c r="B680" s="117" t="s">
        <v>198</v>
      </c>
      <c r="C680" s="1365">
        <f>-VLOOKUP(A680,Composición!C:G,5,FALSE)</f>
        <v>0</v>
      </c>
      <c r="D680" s="37"/>
      <c r="E680" s="37"/>
      <c r="F680" s="37">
        <f>-VLOOKUP(A680,Composición!C:J,8,FALSE)</f>
        <v>0</v>
      </c>
      <c r="G680" s="37">
        <f t="shared" si="74"/>
        <v>0</v>
      </c>
      <c r="H680" s="37"/>
      <c r="I680" s="37"/>
      <c r="J680" s="37"/>
      <c r="K680" s="37"/>
      <c r="L680" s="37"/>
      <c r="M680" s="37"/>
      <c r="N680" s="37"/>
      <c r="O680" s="37"/>
      <c r="P680" s="37"/>
      <c r="Q680" s="37"/>
      <c r="R680" s="37"/>
      <c r="S680" s="37"/>
      <c r="T680" s="37"/>
      <c r="U680" s="37"/>
      <c r="V680" s="37"/>
      <c r="W680" s="37"/>
      <c r="X680" s="37"/>
      <c r="Y680" s="37"/>
      <c r="Z680" s="37"/>
      <c r="AA680" s="37">
        <f t="shared" si="73"/>
        <v>0</v>
      </c>
      <c r="AB680" s="37">
        <f t="shared" si="64"/>
        <v>0</v>
      </c>
    </row>
    <row r="681" spans="1:28" ht="14.4">
      <c r="A681" s="117">
        <v>2110111201</v>
      </c>
      <c r="B681" s="117" t="s">
        <v>586</v>
      </c>
      <c r="C681" s="1365">
        <f>-VLOOKUP(A681,Composición!C:G,5,FALSE)</f>
        <v>0</v>
      </c>
      <c r="D681" s="37"/>
      <c r="E681" s="37"/>
      <c r="F681" s="37">
        <f>-VLOOKUP(A681,Composición!C:J,8,FALSE)</f>
        <v>0</v>
      </c>
      <c r="G681" s="37">
        <f t="shared" si="74"/>
        <v>0</v>
      </c>
      <c r="H681" s="37"/>
      <c r="I681" s="37"/>
      <c r="J681" s="37"/>
      <c r="K681" s="37"/>
      <c r="L681" s="37">
        <f>-G681</f>
        <v>0</v>
      </c>
      <c r="M681" s="37"/>
      <c r="N681" s="37"/>
      <c r="O681" s="37"/>
      <c r="P681" s="37"/>
      <c r="Q681" s="37"/>
      <c r="R681" s="37"/>
      <c r="S681" s="37"/>
      <c r="T681" s="37"/>
      <c r="U681" s="37"/>
      <c r="V681" s="37"/>
      <c r="W681" s="37"/>
      <c r="X681" s="37"/>
      <c r="Y681" s="37"/>
      <c r="Z681" s="37"/>
      <c r="AA681" s="37">
        <f t="shared" si="73"/>
        <v>0</v>
      </c>
      <c r="AB681" s="37">
        <f t="shared" si="64"/>
        <v>0</v>
      </c>
    </row>
    <row r="682" spans="1:28" ht="14.4">
      <c r="A682" s="117">
        <v>2110111202</v>
      </c>
      <c r="B682" s="117" t="s">
        <v>199</v>
      </c>
      <c r="C682" s="1365">
        <f>-VLOOKUP(A682,Composición!C:G,5,FALSE)</f>
        <v>-220213</v>
      </c>
      <c r="D682" s="37"/>
      <c r="E682" s="37"/>
      <c r="F682" s="37">
        <f>-VLOOKUP(A682,Composición!C:J,8,FALSE)</f>
        <v>-805726</v>
      </c>
      <c r="G682" s="37">
        <f t="shared" si="74"/>
        <v>585513</v>
      </c>
      <c r="H682" s="37"/>
      <c r="I682" s="37"/>
      <c r="J682" s="37"/>
      <c r="K682" s="37"/>
      <c r="L682" s="37">
        <f>-G682</f>
        <v>-585513</v>
      </c>
      <c r="M682" s="37"/>
      <c r="N682" s="37"/>
      <c r="O682" s="37"/>
      <c r="P682" s="37"/>
      <c r="Q682" s="37"/>
      <c r="R682" s="37"/>
      <c r="S682" s="37"/>
      <c r="T682" s="37"/>
      <c r="U682" s="37"/>
      <c r="V682" s="37"/>
      <c r="W682" s="37"/>
      <c r="X682" s="37"/>
      <c r="Y682" s="37"/>
      <c r="Z682" s="37"/>
      <c r="AA682" s="37">
        <f t="shared" si="73"/>
        <v>0</v>
      </c>
      <c r="AB682" s="37">
        <f t="shared" si="64"/>
        <v>0</v>
      </c>
    </row>
    <row r="683" spans="1:28" ht="14.4">
      <c r="A683" s="117">
        <v>21101113</v>
      </c>
      <c r="B683" s="117" t="s">
        <v>864</v>
      </c>
      <c r="C683" s="1365">
        <f>-VLOOKUP(A683,Composición!C:G,5,FALSE)</f>
        <v>0</v>
      </c>
      <c r="D683" s="37"/>
      <c r="E683" s="37"/>
      <c r="F683" s="37">
        <f>-VLOOKUP(A683,Composición!C:J,8,FALSE)</f>
        <v>0</v>
      </c>
      <c r="G683" s="37">
        <f t="shared" si="74"/>
        <v>0</v>
      </c>
      <c r="H683" s="37"/>
      <c r="I683" s="37"/>
      <c r="J683" s="37"/>
      <c r="K683" s="37"/>
      <c r="L683" s="37"/>
      <c r="M683" s="37"/>
      <c r="N683" s="37"/>
      <c r="O683" s="37"/>
      <c r="P683" s="37"/>
      <c r="Q683" s="37"/>
      <c r="R683" s="37"/>
      <c r="S683" s="37"/>
      <c r="T683" s="37"/>
      <c r="U683" s="37"/>
      <c r="V683" s="37"/>
      <c r="W683" s="37"/>
      <c r="X683" s="37"/>
      <c r="Y683" s="37"/>
      <c r="Z683" s="37"/>
      <c r="AA683" s="37">
        <f t="shared" ref="AA683:AA750" si="76">SUM(G683:Z683)</f>
        <v>0</v>
      </c>
      <c r="AB683" s="37">
        <f t="shared" si="64"/>
        <v>0</v>
      </c>
    </row>
    <row r="684" spans="1:28" ht="14.4">
      <c r="A684" s="117">
        <v>2110111301</v>
      </c>
      <c r="B684" s="117" t="s">
        <v>865</v>
      </c>
      <c r="C684" s="1365">
        <f>-VLOOKUP(A684,Composición!C:G,5,FALSE)</f>
        <v>0</v>
      </c>
      <c r="D684" s="37"/>
      <c r="E684" s="37"/>
      <c r="F684" s="37">
        <f>-VLOOKUP(A684,Composición!C:J,8,FALSE)</f>
        <v>0</v>
      </c>
      <c r="G684" s="37">
        <f t="shared" si="74"/>
        <v>0</v>
      </c>
      <c r="H684" s="37"/>
      <c r="I684" s="37"/>
      <c r="J684" s="37"/>
      <c r="K684" s="37"/>
      <c r="L684" s="37"/>
      <c r="M684" s="37"/>
      <c r="N684" s="37"/>
      <c r="O684" s="37"/>
      <c r="P684" s="37"/>
      <c r="Q684" s="37"/>
      <c r="R684" s="37"/>
      <c r="S684" s="37"/>
      <c r="T684" s="37"/>
      <c r="U684" s="37"/>
      <c r="V684" s="37"/>
      <c r="W684" s="37"/>
      <c r="X684" s="37"/>
      <c r="Y684" s="37"/>
      <c r="Z684" s="37"/>
      <c r="AA684" s="37">
        <f t="shared" si="76"/>
        <v>0</v>
      </c>
      <c r="AB684" s="37">
        <f t="shared" si="64"/>
        <v>0</v>
      </c>
    </row>
    <row r="685" spans="1:28" ht="14.4">
      <c r="A685" s="117">
        <v>2110111302</v>
      </c>
      <c r="B685" s="117" t="s">
        <v>865</v>
      </c>
      <c r="C685" s="1365">
        <f>-VLOOKUP(A685,Composición!C:G,5,FALSE)</f>
        <v>0</v>
      </c>
      <c r="D685" s="37"/>
      <c r="E685" s="37"/>
      <c r="F685" s="37">
        <f>-VLOOKUP(A685,Composición!C:J,8,FALSE)</f>
        <v>0</v>
      </c>
      <c r="G685" s="37">
        <f t="shared" si="74"/>
        <v>0</v>
      </c>
      <c r="H685" s="37"/>
      <c r="I685" s="37"/>
      <c r="J685" s="37"/>
      <c r="K685" s="37"/>
      <c r="L685" s="37"/>
      <c r="M685" s="37"/>
      <c r="N685" s="37"/>
      <c r="O685" s="37"/>
      <c r="P685" s="37"/>
      <c r="Q685" s="37"/>
      <c r="R685" s="37"/>
      <c r="S685" s="37"/>
      <c r="T685" s="37"/>
      <c r="U685" s="37"/>
      <c r="V685" s="37"/>
      <c r="W685" s="37"/>
      <c r="X685" s="37"/>
      <c r="Y685" s="37"/>
      <c r="Z685" s="37"/>
      <c r="AA685" s="37">
        <f t="shared" si="76"/>
        <v>0</v>
      </c>
      <c r="AB685" s="37">
        <f t="shared" si="64"/>
        <v>0</v>
      </c>
    </row>
    <row r="686" spans="1:28" ht="14.4">
      <c r="A686" s="117">
        <v>21101114</v>
      </c>
      <c r="B686" s="117" t="s">
        <v>200</v>
      </c>
      <c r="C686" s="1365">
        <f>-VLOOKUP(A686,Composición!C:G,5,FALSE)</f>
        <v>0</v>
      </c>
      <c r="D686" s="37"/>
      <c r="E686" s="37"/>
      <c r="F686" s="37">
        <f>-VLOOKUP(A686,Composición!C:J,8,FALSE)</f>
        <v>0</v>
      </c>
      <c r="G686" s="37">
        <f t="shared" si="74"/>
        <v>0</v>
      </c>
      <c r="H686" s="37"/>
      <c r="I686" s="37"/>
      <c r="J686" s="37"/>
      <c r="K686" s="37"/>
      <c r="L686" s="37"/>
      <c r="M686" s="37"/>
      <c r="N686" s="37"/>
      <c r="O686" s="37"/>
      <c r="P686" s="37"/>
      <c r="Q686" s="37"/>
      <c r="R686" s="37"/>
      <c r="S686" s="37"/>
      <c r="T686" s="37"/>
      <c r="U686" s="37"/>
      <c r="V686" s="37"/>
      <c r="W686" s="37"/>
      <c r="X686" s="37"/>
      <c r="Y686" s="37"/>
      <c r="Z686" s="37"/>
      <c r="AA686" s="37">
        <f t="shared" si="76"/>
        <v>0</v>
      </c>
      <c r="AB686" s="37">
        <f t="shared" si="64"/>
        <v>0</v>
      </c>
    </row>
    <row r="687" spans="1:28" ht="14.4">
      <c r="A687" s="117">
        <v>2110111402</v>
      </c>
      <c r="B687" s="117" t="s">
        <v>201</v>
      </c>
      <c r="C687" s="1365">
        <f>-VLOOKUP(A687,Composición!C:G,5,FALSE)</f>
        <v>-488815659</v>
      </c>
      <c r="D687" s="37"/>
      <c r="E687" s="37"/>
      <c r="F687" s="37">
        <f>-VLOOKUP(A687,Composición!C:J,8,FALSE)</f>
        <v>-128518091</v>
      </c>
      <c r="G687" s="37">
        <f t="shared" si="74"/>
        <v>-360297568</v>
      </c>
      <c r="H687" s="37"/>
      <c r="I687" s="37"/>
      <c r="J687" s="37">
        <f>-G687</f>
        <v>360297568</v>
      </c>
      <c r="K687" s="37"/>
      <c r="L687" s="37"/>
      <c r="M687" s="37"/>
      <c r="N687" s="37"/>
      <c r="O687" s="37"/>
      <c r="P687" s="37"/>
      <c r="Q687" s="37"/>
      <c r="R687" s="37"/>
      <c r="S687" s="37"/>
      <c r="T687" s="37"/>
      <c r="U687" s="37"/>
      <c r="V687" s="37"/>
      <c r="W687" s="37"/>
      <c r="X687" s="37"/>
      <c r="Y687" s="37"/>
      <c r="Z687" s="37"/>
      <c r="AA687" s="37">
        <f t="shared" si="76"/>
        <v>0</v>
      </c>
      <c r="AB687" s="37">
        <f t="shared" si="64"/>
        <v>0</v>
      </c>
    </row>
    <row r="688" spans="1:28" ht="14.4">
      <c r="A688" s="117">
        <v>211012</v>
      </c>
      <c r="B688" s="117" t="s">
        <v>202</v>
      </c>
      <c r="C688" s="37">
        <f>-VLOOKUP(A688,Composición!C:G,5,FALSE)</f>
        <v>0</v>
      </c>
      <c r="D688" s="37"/>
      <c r="E688" s="37"/>
      <c r="F688" s="37">
        <f>-VLOOKUP(A688,Composición!C:J,8,FALSE)</f>
        <v>0</v>
      </c>
      <c r="G688" s="37">
        <f t="shared" si="74"/>
        <v>0</v>
      </c>
      <c r="H688" s="37"/>
      <c r="I688" s="37"/>
      <c r="J688" s="37"/>
      <c r="K688" s="37"/>
      <c r="L688" s="37"/>
      <c r="M688" s="37"/>
      <c r="N688" s="37"/>
      <c r="O688" s="37"/>
      <c r="P688" s="37"/>
      <c r="Q688" s="37"/>
      <c r="R688" s="37"/>
      <c r="S688" s="37"/>
      <c r="T688" s="37"/>
      <c r="U688" s="37"/>
      <c r="V688" s="37"/>
      <c r="W688" s="37"/>
      <c r="X688" s="37"/>
      <c r="Y688" s="37"/>
      <c r="Z688" s="37"/>
      <c r="AA688" s="37">
        <f t="shared" si="76"/>
        <v>0</v>
      </c>
      <c r="AB688" s="37">
        <f t="shared" si="64"/>
        <v>0</v>
      </c>
    </row>
    <row r="689" spans="1:28" ht="14.4">
      <c r="A689" s="117">
        <v>2110121</v>
      </c>
      <c r="B689" s="117" t="s">
        <v>202</v>
      </c>
      <c r="C689" s="37">
        <f>-VLOOKUP(A689,Composición!C:G,5,FALSE)</f>
        <v>0</v>
      </c>
      <c r="D689" s="37"/>
      <c r="E689" s="37"/>
      <c r="F689" s="37">
        <f>-VLOOKUP(A689,Composición!C:J,8,FALSE)</f>
        <v>0</v>
      </c>
      <c r="G689" s="37">
        <f t="shared" si="74"/>
        <v>0</v>
      </c>
      <c r="H689" s="37"/>
      <c r="I689" s="37"/>
      <c r="J689" s="37"/>
      <c r="K689" s="37"/>
      <c r="L689" s="37"/>
      <c r="M689" s="37"/>
      <c r="N689" s="37"/>
      <c r="O689" s="37"/>
      <c r="P689" s="37"/>
      <c r="Q689" s="37"/>
      <c r="R689" s="37"/>
      <c r="S689" s="37"/>
      <c r="T689" s="37"/>
      <c r="U689" s="37"/>
      <c r="V689" s="37"/>
      <c r="W689" s="37"/>
      <c r="X689" s="37"/>
      <c r="Y689" s="37"/>
      <c r="Z689" s="37"/>
      <c r="AA689" s="37">
        <f t="shared" si="76"/>
        <v>0</v>
      </c>
      <c r="AB689" s="37">
        <f t="shared" si="64"/>
        <v>0</v>
      </c>
    </row>
    <row r="690" spans="1:28" ht="14.4">
      <c r="A690" s="117">
        <v>21101211</v>
      </c>
      <c r="B690" s="117" t="s">
        <v>202</v>
      </c>
      <c r="C690" s="37">
        <f>-VLOOKUP(A690,Composición!C:G,5,FALSE)</f>
        <v>0</v>
      </c>
      <c r="D690" s="37"/>
      <c r="E690" s="37"/>
      <c r="F690" s="37">
        <f>-VLOOKUP(A690,Composición!C:J,8,FALSE)</f>
        <v>0</v>
      </c>
      <c r="G690" s="37">
        <f t="shared" si="74"/>
        <v>0</v>
      </c>
      <c r="H690" s="37"/>
      <c r="I690" s="37"/>
      <c r="J690" s="37"/>
      <c r="K690" s="37"/>
      <c r="L690" s="37"/>
      <c r="M690" s="37"/>
      <c r="N690" s="37"/>
      <c r="O690" s="37"/>
      <c r="P690" s="37"/>
      <c r="Q690" s="37"/>
      <c r="R690" s="37"/>
      <c r="S690" s="37"/>
      <c r="T690" s="37"/>
      <c r="U690" s="37"/>
      <c r="V690" s="37"/>
      <c r="W690" s="37"/>
      <c r="X690" s="37"/>
      <c r="Y690" s="37"/>
      <c r="Z690" s="37"/>
      <c r="AA690" s="37">
        <f t="shared" si="76"/>
        <v>0</v>
      </c>
      <c r="AB690" s="37">
        <f t="shared" si="64"/>
        <v>0</v>
      </c>
    </row>
    <row r="691" spans="1:28" ht="14.4">
      <c r="A691" s="117">
        <v>2110121101</v>
      </c>
      <c r="B691" s="117" t="s">
        <v>202</v>
      </c>
      <c r="C691" s="37">
        <f>-VLOOKUP(A691,Composición!C:G,5,FALSE)</f>
        <v>0</v>
      </c>
      <c r="D691" s="37"/>
      <c r="E691" s="37"/>
      <c r="F691" s="37">
        <f>-VLOOKUP(A691,Composición!C:J,8,FALSE)</f>
        <v>0</v>
      </c>
      <c r="G691" s="37">
        <f t="shared" si="74"/>
        <v>0</v>
      </c>
      <c r="H691" s="37"/>
      <c r="I691" s="37"/>
      <c r="J691" s="37"/>
      <c r="K691" s="37"/>
      <c r="L691" s="37">
        <f>-G691</f>
        <v>0</v>
      </c>
      <c r="M691" s="37"/>
      <c r="N691" s="37"/>
      <c r="O691" s="37"/>
      <c r="P691" s="37"/>
      <c r="Q691" s="37"/>
      <c r="R691" s="37"/>
      <c r="S691" s="37"/>
      <c r="T691" s="37"/>
      <c r="U691" s="37"/>
      <c r="V691" s="37"/>
      <c r="W691" s="37"/>
      <c r="X691" s="37"/>
      <c r="Y691" s="37"/>
      <c r="Z691" s="37"/>
      <c r="AA691" s="37">
        <f t="shared" si="76"/>
        <v>0</v>
      </c>
      <c r="AB691" s="37">
        <f t="shared" si="64"/>
        <v>0</v>
      </c>
    </row>
    <row r="692" spans="1:28" ht="14.4">
      <c r="A692" s="117">
        <v>2110121102</v>
      </c>
      <c r="B692" s="117" t="s">
        <v>202</v>
      </c>
      <c r="C692" s="37">
        <f>-VLOOKUP(A692,Composición!C:G,5,FALSE)</f>
        <v>0</v>
      </c>
      <c r="D692" s="37"/>
      <c r="E692" s="37"/>
      <c r="F692" s="37">
        <f>-VLOOKUP(A692,Composición!C:J,8,FALSE)</f>
        <v>0</v>
      </c>
      <c r="G692" s="37">
        <f t="shared" si="74"/>
        <v>0</v>
      </c>
      <c r="H692" s="37"/>
      <c r="I692" s="37"/>
      <c r="J692" s="37"/>
      <c r="K692" s="37"/>
      <c r="L692" s="37"/>
      <c r="M692" s="37"/>
      <c r="N692" s="37"/>
      <c r="O692" s="37"/>
      <c r="P692" s="37"/>
      <c r="Q692" s="37"/>
      <c r="R692" s="37"/>
      <c r="S692" s="37"/>
      <c r="T692" s="37"/>
      <c r="U692" s="37"/>
      <c r="V692" s="37"/>
      <c r="W692" s="37"/>
      <c r="X692" s="37"/>
      <c r="Y692" s="37"/>
      <c r="Z692" s="37"/>
      <c r="AA692" s="37">
        <f t="shared" si="76"/>
        <v>0</v>
      </c>
      <c r="AB692" s="37">
        <f t="shared" si="64"/>
        <v>0</v>
      </c>
    </row>
    <row r="693" spans="1:28" ht="14.4">
      <c r="A693" s="117">
        <v>2110121103</v>
      </c>
      <c r="B693" s="117" t="s">
        <v>203</v>
      </c>
      <c r="C693" s="1365">
        <f>-VLOOKUP(A693,Composición!C:G,5,FALSE)</f>
        <v>-4018500</v>
      </c>
      <c r="D693" s="37"/>
      <c r="E693" s="37"/>
      <c r="F693" s="37">
        <f>-VLOOKUP(A693,Composición!C:J,8,FALSE)</f>
        <v>-1456210</v>
      </c>
      <c r="G693" s="37">
        <f t="shared" si="74"/>
        <v>-2562290</v>
      </c>
      <c r="H693" s="37"/>
      <c r="I693" s="37"/>
      <c r="J693" s="37"/>
      <c r="K693" s="37"/>
      <c r="L693" s="37">
        <f>-G693</f>
        <v>2562290</v>
      </c>
      <c r="M693" s="37"/>
      <c r="N693" s="37"/>
      <c r="O693" s="37"/>
      <c r="P693" s="37"/>
      <c r="Q693" s="37"/>
      <c r="R693" s="37"/>
      <c r="S693" s="37"/>
      <c r="T693" s="37"/>
      <c r="U693" s="37"/>
      <c r="V693" s="37"/>
      <c r="W693" s="37"/>
      <c r="X693" s="37"/>
      <c r="Y693" s="37"/>
      <c r="Z693" s="37"/>
      <c r="AA693" s="37">
        <f t="shared" si="76"/>
        <v>0</v>
      </c>
      <c r="AB693" s="37">
        <f t="shared" si="64"/>
        <v>0</v>
      </c>
    </row>
    <row r="694" spans="1:28" ht="14.4">
      <c r="A694" s="1172">
        <v>2110121104</v>
      </c>
      <c r="B694" s="1172" t="s">
        <v>587</v>
      </c>
      <c r="C694" s="1365">
        <f>-VLOOKUP(A694,Composición!C:G,5,FALSE)</f>
        <v>0</v>
      </c>
      <c r="D694" s="37"/>
      <c r="E694" s="37"/>
      <c r="F694" s="37">
        <f>-VLOOKUP(A694,Composición!C:J,8,FALSE)</f>
        <v>0</v>
      </c>
      <c r="G694" s="37">
        <f t="shared" ref="G694" si="77">C694+D694-E694-F694</f>
        <v>0</v>
      </c>
      <c r="H694" s="37"/>
      <c r="I694" s="37"/>
      <c r="J694" s="37"/>
      <c r="K694" s="37"/>
      <c r="L694" s="37">
        <f>-G694</f>
        <v>0</v>
      </c>
      <c r="M694" s="37"/>
      <c r="N694" s="37"/>
      <c r="O694" s="37"/>
      <c r="P694" s="37"/>
      <c r="Q694" s="37"/>
      <c r="R694" s="37"/>
      <c r="S694" s="37"/>
      <c r="T694" s="37"/>
      <c r="U694" s="37"/>
      <c r="V694" s="37"/>
      <c r="W694" s="37"/>
      <c r="X694" s="37"/>
      <c r="Y694" s="37"/>
      <c r="Z694" s="37"/>
      <c r="AA694" s="37">
        <f t="shared" si="76"/>
        <v>0</v>
      </c>
      <c r="AB694" s="37">
        <f t="shared" si="64"/>
        <v>0</v>
      </c>
    </row>
    <row r="695" spans="1:28" ht="14.4">
      <c r="A695" s="117">
        <v>211015</v>
      </c>
      <c r="B695" s="117" t="s">
        <v>204</v>
      </c>
      <c r="C695" s="1365">
        <f>-VLOOKUP(A695,Composición!C:G,5,FALSE)</f>
        <v>0</v>
      </c>
      <c r="D695" s="37"/>
      <c r="E695" s="37"/>
      <c r="F695" s="37">
        <f>-VLOOKUP(A695,Composición!C:J,8,FALSE)</f>
        <v>0</v>
      </c>
      <c r="G695" s="37">
        <f t="shared" si="74"/>
        <v>0</v>
      </c>
      <c r="H695" s="37"/>
      <c r="I695" s="37"/>
      <c r="J695" s="37"/>
      <c r="K695" s="37"/>
      <c r="L695" s="37"/>
      <c r="M695" s="37"/>
      <c r="N695" s="37"/>
      <c r="O695" s="37"/>
      <c r="P695" s="37"/>
      <c r="Q695" s="37"/>
      <c r="R695" s="37"/>
      <c r="S695" s="37"/>
      <c r="T695" s="37"/>
      <c r="U695" s="37"/>
      <c r="V695" s="37"/>
      <c r="W695" s="37"/>
      <c r="X695" s="37"/>
      <c r="Y695" s="37"/>
      <c r="Z695" s="37"/>
      <c r="AA695" s="37">
        <f t="shared" si="76"/>
        <v>0</v>
      </c>
      <c r="AB695" s="37">
        <f t="shared" si="64"/>
        <v>0</v>
      </c>
    </row>
    <row r="696" spans="1:28" ht="14.4">
      <c r="A696" s="117">
        <v>2110151</v>
      </c>
      <c r="B696" s="117" t="s">
        <v>204</v>
      </c>
      <c r="C696" s="1365">
        <f>-VLOOKUP(A696,Composición!C:G,5,FALSE)</f>
        <v>0</v>
      </c>
      <c r="D696" s="37"/>
      <c r="E696" s="37"/>
      <c r="F696" s="37">
        <f>-VLOOKUP(A696,Composición!C:J,8,FALSE)</f>
        <v>0</v>
      </c>
      <c r="G696" s="37">
        <f t="shared" si="74"/>
        <v>0</v>
      </c>
      <c r="H696" s="37"/>
      <c r="I696" s="37"/>
      <c r="J696" s="37"/>
      <c r="K696" s="37"/>
      <c r="L696" s="37"/>
      <c r="M696" s="37"/>
      <c r="N696" s="37"/>
      <c r="O696" s="37"/>
      <c r="P696" s="37"/>
      <c r="Q696" s="37"/>
      <c r="R696" s="37"/>
      <c r="S696" s="37"/>
      <c r="T696" s="37"/>
      <c r="U696" s="37"/>
      <c r="V696" s="37"/>
      <c r="W696" s="37"/>
      <c r="X696" s="37"/>
      <c r="Y696" s="37"/>
      <c r="Z696" s="37"/>
      <c r="AA696" s="37">
        <f t="shared" si="76"/>
        <v>0</v>
      </c>
      <c r="AB696" s="37">
        <f t="shared" si="64"/>
        <v>0</v>
      </c>
    </row>
    <row r="697" spans="1:28" ht="14.4">
      <c r="A697" s="117">
        <v>21101511</v>
      </c>
      <c r="B697" s="117" t="s">
        <v>204</v>
      </c>
      <c r="C697" s="1365">
        <f>-VLOOKUP(A697,Composición!C:G,5,FALSE)</f>
        <v>0</v>
      </c>
      <c r="D697" s="37"/>
      <c r="E697" s="37"/>
      <c r="F697" s="37">
        <f>-VLOOKUP(A697,Composición!C:J,8,FALSE)</f>
        <v>0</v>
      </c>
      <c r="G697" s="37">
        <f t="shared" si="74"/>
        <v>0</v>
      </c>
      <c r="H697" s="37"/>
      <c r="I697" s="37"/>
      <c r="J697" s="37"/>
      <c r="K697" s="37"/>
      <c r="L697" s="37"/>
      <c r="M697" s="37"/>
      <c r="N697" s="37"/>
      <c r="O697" s="37"/>
      <c r="P697" s="37"/>
      <c r="Q697" s="37"/>
      <c r="R697" s="37"/>
      <c r="S697" s="37"/>
      <c r="T697" s="37"/>
      <c r="U697" s="37"/>
      <c r="V697" s="37"/>
      <c r="W697" s="37"/>
      <c r="X697" s="37"/>
      <c r="Y697" s="37"/>
      <c r="Z697" s="37"/>
      <c r="AA697" s="37">
        <f t="shared" si="76"/>
        <v>0</v>
      </c>
      <c r="AB697" s="37">
        <f t="shared" si="64"/>
        <v>0</v>
      </c>
    </row>
    <row r="698" spans="1:28" ht="14.4">
      <c r="A698" s="117">
        <v>2110151101</v>
      </c>
      <c r="B698" s="117" t="s">
        <v>205</v>
      </c>
      <c r="C698" s="1365">
        <f>-VLOOKUP(A698,Composición!C:G,5,FALSE)</f>
        <v>-27679936</v>
      </c>
      <c r="D698" s="37"/>
      <c r="E698" s="37"/>
      <c r="F698" s="37">
        <f>-VLOOKUP(A698,Composición!C:J,8,FALSE)</f>
        <v>-35682034</v>
      </c>
      <c r="G698" s="37">
        <f t="shared" si="74"/>
        <v>8002098</v>
      </c>
      <c r="H698" s="37"/>
      <c r="I698" s="37"/>
      <c r="J698" s="37"/>
      <c r="K698" s="37"/>
      <c r="L698" s="37">
        <f>-G698</f>
        <v>-8002098</v>
      </c>
      <c r="M698" s="37"/>
      <c r="N698" s="37"/>
      <c r="O698" s="37"/>
      <c r="P698" s="37"/>
      <c r="Q698" s="37"/>
      <c r="R698" s="37"/>
      <c r="S698" s="37"/>
      <c r="T698" s="37"/>
      <c r="U698" s="37"/>
      <c r="V698" s="37"/>
      <c r="W698" s="37"/>
      <c r="X698" s="37"/>
      <c r="Y698" s="37"/>
      <c r="Z698" s="37"/>
      <c r="AA698" s="37">
        <f t="shared" si="76"/>
        <v>0</v>
      </c>
      <c r="AB698" s="37">
        <f t="shared" si="64"/>
        <v>0</v>
      </c>
    </row>
    <row r="699" spans="1:28" ht="14.4">
      <c r="A699" s="117">
        <v>2110151102</v>
      </c>
      <c r="B699" s="117" t="s">
        <v>206</v>
      </c>
      <c r="C699" s="1365">
        <f>-VLOOKUP(A699,Composición!C:G,5,FALSE)</f>
        <v>-65588525</v>
      </c>
      <c r="D699" s="37"/>
      <c r="E699" s="37"/>
      <c r="F699" s="37">
        <f>-VLOOKUP(A699,Composición!C:J,8,FALSE)</f>
        <v>-12575461</v>
      </c>
      <c r="G699" s="37">
        <f t="shared" si="74"/>
        <v>-53013064</v>
      </c>
      <c r="H699" s="37"/>
      <c r="I699" s="37"/>
      <c r="J699" s="37"/>
      <c r="K699" s="37"/>
      <c r="L699" s="37">
        <f>-G699</f>
        <v>53013064</v>
      </c>
      <c r="M699" s="37"/>
      <c r="N699" s="37"/>
      <c r="O699" s="37"/>
      <c r="P699" s="37"/>
      <c r="Q699" s="37"/>
      <c r="R699" s="37"/>
      <c r="S699" s="37"/>
      <c r="T699" s="37"/>
      <c r="U699" s="37"/>
      <c r="V699" s="37"/>
      <c r="W699" s="37"/>
      <c r="X699" s="37"/>
      <c r="Y699" s="37"/>
      <c r="Z699" s="37"/>
      <c r="AA699" s="37">
        <f t="shared" si="76"/>
        <v>0</v>
      </c>
      <c r="AB699" s="37">
        <f t="shared" si="64"/>
        <v>0</v>
      </c>
    </row>
    <row r="700" spans="1:28" ht="14.4">
      <c r="A700" s="117">
        <v>2110151103</v>
      </c>
      <c r="B700" s="117" t="s">
        <v>207</v>
      </c>
      <c r="C700" s="1365">
        <f>-VLOOKUP(A700,Composición!C:G,5,FALSE)</f>
        <v>-500879558</v>
      </c>
      <c r="D700" s="37"/>
      <c r="E700" s="37"/>
      <c r="F700" s="37">
        <f>-VLOOKUP(A700,Composición!C:J,8,FALSE)</f>
        <v>-396957290</v>
      </c>
      <c r="G700" s="37">
        <f t="shared" si="74"/>
        <v>-103922268</v>
      </c>
      <c r="H700" s="37"/>
      <c r="I700" s="37"/>
      <c r="J700" s="37"/>
      <c r="K700" s="37"/>
      <c r="L700" s="37">
        <f>-G700</f>
        <v>103922268</v>
      </c>
      <c r="M700" s="37"/>
      <c r="N700" s="37"/>
      <c r="O700" s="37"/>
      <c r="P700" s="37"/>
      <c r="Q700" s="37"/>
      <c r="R700" s="37"/>
      <c r="S700" s="37"/>
      <c r="T700" s="37"/>
      <c r="U700" s="37"/>
      <c r="V700" s="37"/>
      <c r="W700" s="37"/>
      <c r="X700" s="37"/>
      <c r="Y700" s="37"/>
      <c r="Z700" s="37"/>
      <c r="AA700" s="37">
        <f t="shared" si="76"/>
        <v>0</v>
      </c>
      <c r="AB700" s="37">
        <f t="shared" si="64"/>
        <v>0</v>
      </c>
    </row>
    <row r="701" spans="1:28" ht="14.4">
      <c r="A701" s="117">
        <v>211016</v>
      </c>
      <c r="B701" s="117" t="s">
        <v>540</v>
      </c>
      <c r="C701" s="1365">
        <f>-VLOOKUP(A701,Composición!C:G,5,FALSE)</f>
        <v>0</v>
      </c>
      <c r="D701" s="37"/>
      <c r="E701" s="37"/>
      <c r="F701" s="37">
        <f>-VLOOKUP(A701,Composición!C:J,8,FALSE)</f>
        <v>0</v>
      </c>
      <c r="G701" s="37">
        <f t="shared" si="74"/>
        <v>0</v>
      </c>
      <c r="H701" s="37"/>
      <c r="I701" s="37"/>
      <c r="J701" s="37"/>
      <c r="K701" s="37"/>
      <c r="L701" s="37"/>
      <c r="M701" s="37"/>
      <c r="N701" s="37"/>
      <c r="O701" s="37"/>
      <c r="P701" s="37"/>
      <c r="Q701" s="37"/>
      <c r="R701" s="37"/>
      <c r="S701" s="37"/>
      <c r="T701" s="37"/>
      <c r="U701" s="37"/>
      <c r="V701" s="37"/>
      <c r="W701" s="37"/>
      <c r="X701" s="37"/>
      <c r="Y701" s="37"/>
      <c r="Z701" s="37"/>
      <c r="AA701" s="37">
        <f t="shared" si="76"/>
        <v>0</v>
      </c>
      <c r="AB701" s="37">
        <f t="shared" si="64"/>
        <v>0</v>
      </c>
    </row>
    <row r="702" spans="1:28" ht="14.4">
      <c r="A702" s="117">
        <v>2110161</v>
      </c>
      <c r="B702" s="117" t="s">
        <v>541</v>
      </c>
      <c r="C702" s="1365">
        <f>-VLOOKUP(A702,Composición!C:G,5,FALSE)</f>
        <v>0</v>
      </c>
      <c r="D702" s="37"/>
      <c r="E702" s="37"/>
      <c r="F702" s="37">
        <f>-VLOOKUP(A702,Composición!C:J,8,FALSE)</f>
        <v>0</v>
      </c>
      <c r="G702" s="37">
        <f t="shared" si="74"/>
        <v>0</v>
      </c>
      <c r="H702" s="37"/>
      <c r="I702" s="37"/>
      <c r="J702" s="37"/>
      <c r="K702" s="37"/>
      <c r="L702" s="37"/>
      <c r="M702" s="37"/>
      <c r="N702" s="37"/>
      <c r="O702" s="37"/>
      <c r="P702" s="37"/>
      <c r="Q702" s="37"/>
      <c r="R702" s="37"/>
      <c r="S702" s="37"/>
      <c r="T702" s="37"/>
      <c r="U702" s="37"/>
      <c r="V702" s="37"/>
      <c r="W702" s="37"/>
      <c r="X702" s="37"/>
      <c r="Y702" s="37"/>
      <c r="Z702" s="37"/>
      <c r="AA702" s="37">
        <f t="shared" si="76"/>
        <v>0</v>
      </c>
      <c r="AB702" s="37">
        <f t="shared" ref="AB702:AB772" si="78">SUM(G702:Z702)</f>
        <v>0</v>
      </c>
    </row>
    <row r="703" spans="1:28" ht="14.4">
      <c r="A703" s="117">
        <v>21101611</v>
      </c>
      <c r="B703" s="117" t="s">
        <v>541</v>
      </c>
      <c r="C703" s="37">
        <f>-VLOOKUP(A703,Composición!C:G,5,FALSE)</f>
        <v>0</v>
      </c>
      <c r="D703" s="37"/>
      <c r="E703" s="37"/>
      <c r="F703" s="37">
        <f>-VLOOKUP(A703,Composición!C:J,8,FALSE)</f>
        <v>0</v>
      </c>
      <c r="G703" s="37">
        <f t="shared" si="74"/>
        <v>0</v>
      </c>
      <c r="H703" s="37"/>
      <c r="I703" s="37"/>
      <c r="J703" s="37"/>
      <c r="K703" s="37"/>
      <c r="L703" s="37">
        <f>-G703</f>
        <v>0</v>
      </c>
      <c r="M703" s="37"/>
      <c r="N703" s="37"/>
      <c r="O703" s="37"/>
      <c r="P703" s="37"/>
      <c r="Q703" s="37"/>
      <c r="R703" s="37"/>
      <c r="S703" s="37"/>
      <c r="T703" s="37"/>
      <c r="U703" s="37"/>
      <c r="V703" s="37"/>
      <c r="W703" s="37"/>
      <c r="X703" s="37"/>
      <c r="Y703" s="37"/>
      <c r="Z703" s="37"/>
      <c r="AA703" s="37">
        <f t="shared" si="76"/>
        <v>0</v>
      </c>
      <c r="AB703" s="37">
        <f t="shared" si="78"/>
        <v>0</v>
      </c>
    </row>
    <row r="704" spans="1:28" ht="14.4">
      <c r="A704" s="117">
        <v>2110161101</v>
      </c>
      <c r="B704" s="117" t="s">
        <v>542</v>
      </c>
      <c r="C704" s="37">
        <f>-VLOOKUP(A704,Composición!C:G,5,FALSE)</f>
        <v>0</v>
      </c>
      <c r="D704" s="37"/>
      <c r="E704" s="37"/>
      <c r="F704" s="37">
        <f>-VLOOKUP(A704,Composición!C:J,8,FALSE)</f>
        <v>0</v>
      </c>
      <c r="G704" s="37">
        <f t="shared" si="74"/>
        <v>0</v>
      </c>
      <c r="H704" s="37"/>
      <c r="I704" s="37"/>
      <c r="J704" s="37"/>
      <c r="K704" s="37"/>
      <c r="L704" s="37">
        <f>-G704</f>
        <v>0</v>
      </c>
      <c r="M704" s="37"/>
      <c r="N704" s="37"/>
      <c r="O704" s="37"/>
      <c r="P704" s="37"/>
      <c r="Q704" s="37"/>
      <c r="R704" s="37"/>
      <c r="S704" s="37"/>
      <c r="T704" s="37"/>
      <c r="U704" s="37"/>
      <c r="V704" s="37"/>
      <c r="W704" s="37"/>
      <c r="X704" s="37"/>
      <c r="Y704" s="37"/>
      <c r="Z704" s="37"/>
      <c r="AA704" s="37">
        <f t="shared" si="76"/>
        <v>0</v>
      </c>
      <c r="AB704" s="37">
        <f t="shared" si="78"/>
        <v>0</v>
      </c>
    </row>
    <row r="705" spans="1:28" ht="14.4">
      <c r="A705" s="117">
        <v>2110161102</v>
      </c>
      <c r="B705" s="117" t="s">
        <v>868</v>
      </c>
      <c r="C705" s="37">
        <f>-VLOOKUP(A705,Composición!C:G,5,FALSE)</f>
        <v>0</v>
      </c>
      <c r="D705" s="37"/>
      <c r="E705" s="37"/>
      <c r="F705" s="37">
        <f>-VLOOKUP(A705,Composición!C:J,8,FALSE)</f>
        <v>0</v>
      </c>
      <c r="G705" s="37">
        <f t="shared" si="74"/>
        <v>0</v>
      </c>
      <c r="H705" s="37"/>
      <c r="I705" s="37"/>
      <c r="J705" s="37"/>
      <c r="K705" s="37"/>
      <c r="L705" s="37"/>
      <c r="M705" s="37"/>
      <c r="N705" s="37"/>
      <c r="O705" s="37"/>
      <c r="P705" s="37"/>
      <c r="Q705" s="37"/>
      <c r="R705" s="37"/>
      <c r="S705" s="37"/>
      <c r="T705" s="37"/>
      <c r="U705" s="37"/>
      <c r="V705" s="37"/>
      <c r="W705" s="37"/>
      <c r="X705" s="37"/>
      <c r="Y705" s="37"/>
      <c r="Z705" s="37"/>
      <c r="AA705" s="37">
        <f t="shared" si="76"/>
        <v>0</v>
      </c>
      <c r="AB705" s="37">
        <f t="shared" si="78"/>
        <v>0</v>
      </c>
    </row>
    <row r="706" spans="1:28" ht="14.4">
      <c r="A706" s="117">
        <v>21102</v>
      </c>
      <c r="B706" s="117" t="s">
        <v>867</v>
      </c>
      <c r="C706" s="37">
        <f>-VLOOKUP(A706,Composición!C:G,5,FALSE)</f>
        <v>0</v>
      </c>
      <c r="D706" s="37"/>
      <c r="E706" s="37"/>
      <c r="F706" s="37">
        <f>-VLOOKUP(A706,Composición!C:J,8,FALSE)</f>
        <v>0</v>
      </c>
      <c r="G706" s="37">
        <f t="shared" si="74"/>
        <v>0</v>
      </c>
      <c r="H706" s="37"/>
      <c r="I706" s="37"/>
      <c r="J706" s="37"/>
      <c r="K706" s="37"/>
      <c r="L706" s="37"/>
      <c r="M706" s="37"/>
      <c r="N706" s="37"/>
      <c r="O706" s="37"/>
      <c r="P706" s="37"/>
      <c r="Q706" s="37"/>
      <c r="R706" s="37"/>
      <c r="S706" s="37"/>
      <c r="T706" s="37"/>
      <c r="U706" s="37"/>
      <c r="V706" s="37"/>
      <c r="W706" s="37"/>
      <c r="X706" s="37"/>
      <c r="Y706" s="37"/>
      <c r="Z706" s="37"/>
      <c r="AA706" s="37">
        <f t="shared" si="76"/>
        <v>0</v>
      </c>
      <c r="AB706" s="37">
        <f t="shared" si="78"/>
        <v>0</v>
      </c>
    </row>
    <row r="707" spans="1:28" ht="14.4">
      <c r="A707" s="117">
        <v>211021</v>
      </c>
      <c r="B707" s="117" t="s">
        <v>867</v>
      </c>
      <c r="C707" s="37">
        <f>-VLOOKUP(A707,Composición!C:G,5,FALSE)</f>
        <v>0</v>
      </c>
      <c r="D707" s="37"/>
      <c r="E707" s="37"/>
      <c r="F707" s="37">
        <f>-VLOOKUP(A707,Composición!C:J,8,FALSE)</f>
        <v>0</v>
      </c>
      <c r="G707" s="37">
        <f t="shared" si="74"/>
        <v>0</v>
      </c>
      <c r="H707" s="37"/>
      <c r="I707" s="37"/>
      <c r="J707" s="37"/>
      <c r="K707" s="37"/>
      <c r="L707" s="37"/>
      <c r="M707" s="37"/>
      <c r="N707" s="37"/>
      <c r="O707" s="37"/>
      <c r="P707" s="37"/>
      <c r="Q707" s="37"/>
      <c r="R707" s="37"/>
      <c r="S707" s="37"/>
      <c r="T707" s="37"/>
      <c r="U707" s="37"/>
      <c r="V707" s="37"/>
      <c r="W707" s="37"/>
      <c r="X707" s="37"/>
      <c r="Y707" s="37"/>
      <c r="Z707" s="37"/>
      <c r="AA707" s="37">
        <f t="shared" si="76"/>
        <v>0</v>
      </c>
      <c r="AB707" s="37">
        <f t="shared" si="78"/>
        <v>0</v>
      </c>
    </row>
    <row r="708" spans="1:28" ht="14.4">
      <c r="A708" s="117">
        <v>2110211</v>
      </c>
      <c r="B708" s="117" t="s">
        <v>867</v>
      </c>
      <c r="C708" s="37">
        <f>-VLOOKUP(A708,Composición!C:G,5,FALSE)</f>
        <v>0</v>
      </c>
      <c r="D708" s="37"/>
      <c r="E708" s="37"/>
      <c r="F708" s="37">
        <f>-VLOOKUP(A708,Composición!C:J,8,FALSE)</f>
        <v>0</v>
      </c>
      <c r="G708" s="37">
        <f t="shared" si="74"/>
        <v>0</v>
      </c>
      <c r="H708" s="37"/>
      <c r="I708" s="37"/>
      <c r="J708" s="37"/>
      <c r="K708" s="37"/>
      <c r="L708" s="37"/>
      <c r="M708" s="37"/>
      <c r="N708" s="37"/>
      <c r="O708" s="37"/>
      <c r="P708" s="37"/>
      <c r="Q708" s="37"/>
      <c r="R708" s="37"/>
      <c r="S708" s="37"/>
      <c r="T708" s="37"/>
      <c r="U708" s="37"/>
      <c r="V708" s="37"/>
      <c r="W708" s="37"/>
      <c r="X708" s="37"/>
      <c r="Y708" s="37"/>
      <c r="Z708" s="37"/>
      <c r="AA708" s="37">
        <f t="shared" si="76"/>
        <v>0</v>
      </c>
      <c r="AB708" s="37">
        <f t="shared" si="78"/>
        <v>0</v>
      </c>
    </row>
    <row r="709" spans="1:28" ht="14.4">
      <c r="A709" s="117">
        <v>21102111</v>
      </c>
      <c r="B709" s="117" t="s">
        <v>867</v>
      </c>
      <c r="C709" s="37">
        <f>-VLOOKUP(A709,Composición!C:G,5,FALSE)</f>
        <v>0</v>
      </c>
      <c r="D709" s="37"/>
      <c r="E709" s="37"/>
      <c r="F709" s="37">
        <f>-VLOOKUP(A709,Composición!C:J,8,FALSE)</f>
        <v>0</v>
      </c>
      <c r="G709" s="37">
        <f t="shared" si="74"/>
        <v>0</v>
      </c>
      <c r="H709" s="37"/>
      <c r="I709" s="37"/>
      <c r="J709" s="37"/>
      <c r="K709" s="37"/>
      <c r="L709" s="37"/>
      <c r="M709" s="37"/>
      <c r="N709" s="37"/>
      <c r="O709" s="37"/>
      <c r="P709" s="37"/>
      <c r="Q709" s="37"/>
      <c r="R709" s="37"/>
      <c r="S709" s="37"/>
      <c r="T709" s="37"/>
      <c r="U709" s="37"/>
      <c r="V709" s="37"/>
      <c r="W709" s="37"/>
      <c r="X709" s="37"/>
      <c r="Y709" s="37"/>
      <c r="Z709" s="37"/>
      <c r="AA709" s="37">
        <f t="shared" si="76"/>
        <v>0</v>
      </c>
      <c r="AB709" s="37">
        <f t="shared" si="78"/>
        <v>0</v>
      </c>
    </row>
    <row r="710" spans="1:28" ht="14.4">
      <c r="A710" s="117">
        <v>2110211101</v>
      </c>
      <c r="B710" s="117" t="s">
        <v>869</v>
      </c>
      <c r="C710" s="37">
        <f>-VLOOKUP(A710,Composición!C:G,5,FALSE)</f>
        <v>0</v>
      </c>
      <c r="D710" s="37"/>
      <c r="E710" s="37"/>
      <c r="F710" s="37">
        <f>-VLOOKUP(A710,Composición!C:J,8,FALSE)</f>
        <v>0</v>
      </c>
      <c r="G710" s="37">
        <f t="shared" si="74"/>
        <v>0</v>
      </c>
      <c r="H710" s="37"/>
      <c r="I710" s="37"/>
      <c r="J710" s="37"/>
      <c r="K710" s="37"/>
      <c r="L710" s="37"/>
      <c r="M710" s="37"/>
      <c r="N710" s="37"/>
      <c r="O710" s="37"/>
      <c r="P710" s="37"/>
      <c r="Q710" s="37"/>
      <c r="R710" s="37"/>
      <c r="S710" s="37"/>
      <c r="T710" s="37"/>
      <c r="U710" s="37"/>
      <c r="V710" s="37"/>
      <c r="W710" s="37"/>
      <c r="X710" s="37"/>
      <c r="Y710" s="37"/>
      <c r="Z710" s="37"/>
      <c r="AA710" s="37">
        <f t="shared" si="76"/>
        <v>0</v>
      </c>
      <c r="AB710" s="37">
        <f t="shared" si="78"/>
        <v>0</v>
      </c>
    </row>
    <row r="711" spans="1:28" ht="14.4">
      <c r="A711" s="117">
        <v>2110211102</v>
      </c>
      <c r="B711" s="117" t="s">
        <v>870</v>
      </c>
      <c r="C711" s="37">
        <f>-VLOOKUP(A711,Composición!C:G,5,FALSE)</f>
        <v>0</v>
      </c>
      <c r="D711" s="37"/>
      <c r="E711" s="37"/>
      <c r="F711" s="37">
        <f>-VLOOKUP(A711,Composición!C:J,8,FALSE)</f>
        <v>0</v>
      </c>
      <c r="G711" s="37">
        <f t="shared" si="74"/>
        <v>0</v>
      </c>
      <c r="H711" s="37"/>
      <c r="I711" s="37"/>
      <c r="J711" s="37"/>
      <c r="K711" s="37"/>
      <c r="L711" s="37"/>
      <c r="M711" s="37"/>
      <c r="N711" s="37"/>
      <c r="O711" s="37"/>
      <c r="P711" s="37"/>
      <c r="Q711" s="37"/>
      <c r="R711" s="37"/>
      <c r="S711" s="37"/>
      <c r="T711" s="37"/>
      <c r="U711" s="37"/>
      <c r="V711" s="37"/>
      <c r="W711" s="37"/>
      <c r="X711" s="37"/>
      <c r="Y711" s="37"/>
      <c r="Z711" s="37"/>
      <c r="AA711" s="37">
        <f t="shared" si="76"/>
        <v>0</v>
      </c>
      <c r="AB711" s="37">
        <f t="shared" si="78"/>
        <v>0</v>
      </c>
    </row>
    <row r="712" spans="1:28" ht="14.4">
      <c r="A712" s="117">
        <v>213</v>
      </c>
      <c r="B712" s="117" t="s">
        <v>208</v>
      </c>
      <c r="C712" s="37">
        <f>-VLOOKUP(A712,Composición!C:G,5,FALSE)</f>
        <v>0</v>
      </c>
      <c r="D712" s="37"/>
      <c r="E712" s="37"/>
      <c r="F712" s="37">
        <f>-VLOOKUP(A712,Composición!C:J,8,FALSE)</f>
        <v>0</v>
      </c>
      <c r="G712" s="37">
        <f t="shared" si="74"/>
        <v>0</v>
      </c>
      <c r="H712" s="37"/>
      <c r="I712" s="37"/>
      <c r="J712" s="37"/>
      <c r="K712" s="37"/>
      <c r="L712" s="37"/>
      <c r="M712" s="37"/>
      <c r="N712" s="37"/>
      <c r="O712" s="37"/>
      <c r="P712" s="37"/>
      <c r="Q712" s="37"/>
      <c r="R712" s="37"/>
      <c r="S712" s="37"/>
      <c r="T712" s="37"/>
      <c r="U712" s="37"/>
      <c r="V712" s="37"/>
      <c r="W712" s="37"/>
      <c r="X712" s="37"/>
      <c r="Y712" s="37"/>
      <c r="Z712" s="37"/>
      <c r="AA712" s="37">
        <f t="shared" si="76"/>
        <v>0</v>
      </c>
      <c r="AB712" s="37">
        <f t="shared" si="78"/>
        <v>0</v>
      </c>
    </row>
    <row r="713" spans="1:28" ht="14.4">
      <c r="A713" s="117">
        <v>21301</v>
      </c>
      <c r="B713" s="117" t="s">
        <v>871</v>
      </c>
      <c r="C713" s="37">
        <f>-VLOOKUP(A713,Composición!C:G,5,FALSE)</f>
        <v>0</v>
      </c>
      <c r="D713" s="37"/>
      <c r="E713" s="37"/>
      <c r="F713" s="37">
        <f>-VLOOKUP(A713,Composición!C:J,8,FALSE)</f>
        <v>0</v>
      </c>
      <c r="G713" s="37">
        <f t="shared" si="74"/>
        <v>0</v>
      </c>
      <c r="H713" s="37"/>
      <c r="I713" s="37"/>
      <c r="J713" s="37"/>
      <c r="K713" s="37"/>
      <c r="L713" s="37"/>
      <c r="M713" s="37"/>
      <c r="N713" s="37"/>
      <c r="O713" s="37"/>
      <c r="P713" s="37"/>
      <c r="Q713" s="37"/>
      <c r="R713" s="37"/>
      <c r="S713" s="37"/>
      <c r="T713" s="37"/>
      <c r="U713" s="37"/>
      <c r="V713" s="37"/>
      <c r="W713" s="37"/>
      <c r="X713" s="37"/>
      <c r="Y713" s="37"/>
      <c r="Z713" s="37"/>
      <c r="AA713" s="37">
        <f t="shared" si="76"/>
        <v>0</v>
      </c>
      <c r="AB713" s="37">
        <f t="shared" si="78"/>
        <v>0</v>
      </c>
    </row>
    <row r="714" spans="1:28" ht="14.4">
      <c r="A714" s="117">
        <v>213011</v>
      </c>
      <c r="B714" s="117" t="s">
        <v>209</v>
      </c>
      <c r="C714" s="37">
        <f>-VLOOKUP(A714,Composición!C:G,5,FALSE)</f>
        <v>0</v>
      </c>
      <c r="D714" s="37"/>
      <c r="E714" s="37"/>
      <c r="F714" s="37">
        <f>-VLOOKUP(A714,Composición!C:J,8,FALSE)</f>
        <v>0</v>
      </c>
      <c r="G714" s="37">
        <f t="shared" si="74"/>
        <v>0</v>
      </c>
      <c r="H714" s="37"/>
      <c r="I714" s="37"/>
      <c r="J714" s="37"/>
      <c r="K714" s="37"/>
      <c r="L714" s="37"/>
      <c r="M714" s="37"/>
      <c r="N714" s="37"/>
      <c r="O714" s="37"/>
      <c r="P714" s="37"/>
      <c r="Q714" s="37"/>
      <c r="R714" s="37"/>
      <c r="S714" s="37"/>
      <c r="T714" s="37"/>
      <c r="U714" s="37"/>
      <c r="V714" s="37"/>
      <c r="W714" s="37"/>
      <c r="X714" s="37"/>
      <c r="Y714" s="37"/>
      <c r="Z714" s="37"/>
      <c r="AA714" s="37">
        <f t="shared" si="76"/>
        <v>0</v>
      </c>
      <c r="AB714" s="37">
        <f t="shared" si="78"/>
        <v>0</v>
      </c>
    </row>
    <row r="715" spans="1:28" ht="14.4">
      <c r="A715" s="117">
        <v>2130111</v>
      </c>
      <c r="B715" s="117" t="s">
        <v>211</v>
      </c>
      <c r="C715" s="37">
        <f>-VLOOKUP(A715,Composición!C:G,5,FALSE)</f>
        <v>0</v>
      </c>
      <c r="D715" s="37"/>
      <c r="E715" s="37"/>
      <c r="F715" s="37">
        <f>-VLOOKUP(A715,Composición!C:J,8,FALSE)</f>
        <v>0</v>
      </c>
      <c r="G715" s="37">
        <f t="shared" si="74"/>
        <v>0</v>
      </c>
      <c r="H715" s="37"/>
      <c r="I715" s="37"/>
      <c r="J715" s="37"/>
      <c r="K715" s="37"/>
      <c r="L715" s="37"/>
      <c r="M715" s="37"/>
      <c r="N715" s="37"/>
      <c r="O715" s="37"/>
      <c r="P715" s="37"/>
      <c r="Q715" s="37"/>
      <c r="R715" s="37"/>
      <c r="S715" s="37"/>
      <c r="T715" s="37"/>
      <c r="U715" s="37"/>
      <c r="V715" s="37"/>
      <c r="W715" s="37"/>
      <c r="X715" s="37"/>
      <c r="Y715" s="37"/>
      <c r="Z715" s="37"/>
      <c r="AA715" s="37">
        <f t="shared" si="76"/>
        <v>0</v>
      </c>
      <c r="AB715" s="37">
        <f t="shared" si="78"/>
        <v>0</v>
      </c>
    </row>
    <row r="716" spans="1:28" ht="14.4">
      <c r="A716" s="117">
        <v>21301111</v>
      </c>
      <c r="B716" s="117" t="s">
        <v>872</v>
      </c>
      <c r="C716" s="37">
        <f>-VLOOKUP(A716,Composición!C:G,5,FALSE)</f>
        <v>0</v>
      </c>
      <c r="D716" s="37"/>
      <c r="E716" s="37"/>
      <c r="F716" s="37">
        <f>-VLOOKUP(A716,Composición!C:J,8,FALSE)</f>
        <v>0</v>
      </c>
      <c r="G716" s="37">
        <f t="shared" si="74"/>
        <v>0</v>
      </c>
      <c r="H716" s="37"/>
      <c r="I716" s="37"/>
      <c r="J716" s="37"/>
      <c r="K716" s="37"/>
      <c r="L716" s="37"/>
      <c r="M716" s="37"/>
      <c r="N716" s="37"/>
      <c r="O716" s="37"/>
      <c r="P716" s="37"/>
      <c r="Q716" s="37"/>
      <c r="R716" s="37"/>
      <c r="S716" s="37"/>
      <c r="T716" s="37"/>
      <c r="U716" s="37"/>
      <c r="V716" s="37"/>
      <c r="W716" s="37"/>
      <c r="X716" s="37"/>
      <c r="Y716" s="37"/>
      <c r="Z716" s="37"/>
      <c r="AA716" s="37">
        <f t="shared" si="76"/>
        <v>0</v>
      </c>
      <c r="AB716" s="37">
        <f t="shared" si="78"/>
        <v>0</v>
      </c>
    </row>
    <row r="717" spans="1:28" ht="14.4">
      <c r="A717" s="117">
        <v>2130111101</v>
      </c>
      <c r="B717" s="117" t="s">
        <v>17</v>
      </c>
      <c r="C717" s="37">
        <f>-VLOOKUP(A717,Composición!C:G,5,FALSE)</f>
        <v>0</v>
      </c>
      <c r="D717" s="37"/>
      <c r="E717" s="37"/>
      <c r="F717" s="37">
        <f>-VLOOKUP(A717,Composición!C:J,8,FALSE)</f>
        <v>0</v>
      </c>
      <c r="G717" s="37">
        <f t="shared" si="74"/>
        <v>0</v>
      </c>
      <c r="H717" s="37"/>
      <c r="I717" s="37"/>
      <c r="J717" s="37"/>
      <c r="K717" s="37"/>
      <c r="L717" s="37"/>
      <c r="M717" s="37"/>
      <c r="N717" s="37"/>
      <c r="O717" s="37"/>
      <c r="P717" s="37"/>
      <c r="Q717" s="37"/>
      <c r="R717" s="37"/>
      <c r="S717" s="37"/>
      <c r="T717" s="37"/>
      <c r="U717" s="37"/>
      <c r="V717" s="37"/>
      <c r="W717" s="37"/>
      <c r="X717" s="37"/>
      <c r="Y717" s="37"/>
      <c r="Z717" s="37"/>
      <c r="AA717" s="37">
        <f t="shared" si="76"/>
        <v>0</v>
      </c>
      <c r="AB717" s="37">
        <f t="shared" si="78"/>
        <v>0</v>
      </c>
    </row>
    <row r="718" spans="1:28" ht="14.4">
      <c r="A718" s="117">
        <v>2130111102</v>
      </c>
      <c r="B718" s="117" t="s">
        <v>18</v>
      </c>
      <c r="C718" s="37">
        <f>-VLOOKUP(A718,Composición!C:G,5,FALSE)</f>
        <v>0</v>
      </c>
      <c r="D718" s="37"/>
      <c r="E718" s="37"/>
      <c r="F718" s="37">
        <f>-VLOOKUP(A718,Composición!C:J,8,FALSE)</f>
        <v>0</v>
      </c>
      <c r="G718" s="37">
        <f t="shared" si="74"/>
        <v>0</v>
      </c>
      <c r="H718" s="37"/>
      <c r="I718" s="37"/>
      <c r="J718" s="37"/>
      <c r="K718" s="37"/>
      <c r="L718" s="37"/>
      <c r="M718" s="37"/>
      <c r="N718" s="37"/>
      <c r="O718" s="37"/>
      <c r="P718" s="37"/>
      <c r="Q718" s="37"/>
      <c r="R718" s="37"/>
      <c r="S718" s="37"/>
      <c r="T718" s="37"/>
      <c r="U718" s="37"/>
      <c r="V718" s="37"/>
      <c r="W718" s="37"/>
      <c r="X718" s="37"/>
      <c r="Y718" s="37"/>
      <c r="Z718" s="37"/>
      <c r="AA718" s="37">
        <f t="shared" si="76"/>
        <v>0</v>
      </c>
      <c r="AB718" s="37">
        <f t="shared" si="78"/>
        <v>0</v>
      </c>
    </row>
    <row r="719" spans="1:28" ht="14.4">
      <c r="A719" s="117">
        <v>21301112</v>
      </c>
      <c r="B719" s="117" t="s">
        <v>873</v>
      </c>
      <c r="C719" s="37">
        <f>-VLOOKUP(A719,Composición!C:G,5,FALSE)</f>
        <v>0</v>
      </c>
      <c r="D719" s="37"/>
      <c r="E719" s="37"/>
      <c r="F719" s="37">
        <f>-VLOOKUP(A719,Composición!C:J,8,FALSE)</f>
        <v>0</v>
      </c>
      <c r="G719" s="37">
        <f t="shared" si="74"/>
        <v>0</v>
      </c>
      <c r="H719" s="37"/>
      <c r="I719" s="37"/>
      <c r="J719" s="37"/>
      <c r="K719" s="37"/>
      <c r="L719" s="37"/>
      <c r="M719" s="37"/>
      <c r="N719" s="37"/>
      <c r="O719" s="37"/>
      <c r="P719" s="37"/>
      <c r="Q719" s="37"/>
      <c r="R719" s="37"/>
      <c r="S719" s="37"/>
      <c r="T719" s="37"/>
      <c r="U719" s="37"/>
      <c r="V719" s="37"/>
      <c r="W719" s="37"/>
      <c r="X719" s="37"/>
      <c r="Y719" s="37"/>
      <c r="Z719" s="37"/>
      <c r="AA719" s="37">
        <f t="shared" si="76"/>
        <v>0</v>
      </c>
      <c r="AB719" s="37">
        <f t="shared" si="78"/>
        <v>0</v>
      </c>
    </row>
    <row r="720" spans="1:28" ht="14.4">
      <c r="A720" s="117">
        <v>2130111201</v>
      </c>
      <c r="B720" s="117" t="s">
        <v>17</v>
      </c>
      <c r="C720" s="37">
        <f>-VLOOKUP(A720,Composición!C:G,5,FALSE)</f>
        <v>0</v>
      </c>
      <c r="D720" s="37"/>
      <c r="E720" s="37"/>
      <c r="F720" s="37">
        <f>-VLOOKUP(A720,Composición!C:J,8,FALSE)</f>
        <v>0</v>
      </c>
      <c r="G720" s="37">
        <f t="shared" si="74"/>
        <v>0</v>
      </c>
      <c r="H720" s="37"/>
      <c r="I720" s="37"/>
      <c r="J720" s="37"/>
      <c r="K720" s="37"/>
      <c r="L720" s="37"/>
      <c r="M720" s="37"/>
      <c r="N720" s="37"/>
      <c r="O720" s="37"/>
      <c r="P720" s="37"/>
      <c r="Q720" s="37"/>
      <c r="R720" s="37"/>
      <c r="S720" s="37"/>
      <c r="T720" s="37"/>
      <c r="U720" s="37"/>
      <c r="V720" s="37"/>
      <c r="W720" s="37"/>
      <c r="X720" s="37"/>
      <c r="Y720" s="37"/>
      <c r="Z720" s="37"/>
      <c r="AA720" s="37">
        <f t="shared" si="76"/>
        <v>0</v>
      </c>
      <c r="AB720" s="37">
        <f t="shared" si="78"/>
        <v>0</v>
      </c>
    </row>
    <row r="721" spans="1:28" ht="14.4">
      <c r="A721" s="117">
        <v>2130111202</v>
      </c>
      <c r="B721" s="117" t="s">
        <v>18</v>
      </c>
      <c r="C721" s="37">
        <f>-VLOOKUP(A721,Composición!C:G,5,FALSE)</f>
        <v>0</v>
      </c>
      <c r="D721" s="37"/>
      <c r="E721" s="37"/>
      <c r="F721" s="37">
        <f>-VLOOKUP(A721,Composición!C:J,8,FALSE)</f>
        <v>0</v>
      </c>
      <c r="G721" s="37">
        <f t="shared" si="74"/>
        <v>0</v>
      </c>
      <c r="H721" s="37"/>
      <c r="I721" s="37"/>
      <c r="J721" s="37"/>
      <c r="K721" s="37"/>
      <c r="L721" s="37"/>
      <c r="M721" s="37"/>
      <c r="N721" s="37"/>
      <c r="O721" s="37"/>
      <c r="P721" s="37"/>
      <c r="Q721" s="37"/>
      <c r="R721" s="37"/>
      <c r="S721" s="37"/>
      <c r="T721" s="37"/>
      <c r="U721" s="37"/>
      <c r="V721" s="37"/>
      <c r="W721" s="37"/>
      <c r="X721" s="37"/>
      <c r="Y721" s="37"/>
      <c r="Z721" s="37"/>
      <c r="AA721" s="37">
        <f t="shared" si="76"/>
        <v>0</v>
      </c>
      <c r="AB721" s="37">
        <f t="shared" si="78"/>
        <v>0</v>
      </c>
    </row>
    <row r="722" spans="1:28" ht="14.4">
      <c r="A722" s="117">
        <v>21301113</v>
      </c>
      <c r="B722" s="117" t="s">
        <v>212</v>
      </c>
      <c r="C722" s="37">
        <f>-VLOOKUP(A722,Composición!C:G,5,FALSE)</f>
        <v>0</v>
      </c>
      <c r="D722" s="37"/>
      <c r="E722" s="37"/>
      <c r="F722" s="37">
        <f>-VLOOKUP(A722,Composición!C:J,8,FALSE)</f>
        <v>0</v>
      </c>
      <c r="G722" s="37">
        <f t="shared" si="74"/>
        <v>0</v>
      </c>
      <c r="H722" s="37"/>
      <c r="I722" s="37"/>
      <c r="J722" s="37"/>
      <c r="K722" s="37"/>
      <c r="L722" s="37"/>
      <c r="M722" s="37"/>
      <c r="N722" s="37"/>
      <c r="O722" s="37"/>
      <c r="P722" s="37"/>
      <c r="Q722" s="37"/>
      <c r="R722" s="37"/>
      <c r="S722" s="37"/>
      <c r="T722" s="37"/>
      <c r="U722" s="37"/>
      <c r="V722" s="37"/>
      <c r="W722" s="37">
        <f>-G722</f>
        <v>0</v>
      </c>
      <c r="X722" s="37"/>
      <c r="Y722" s="37"/>
      <c r="Z722" s="37"/>
      <c r="AA722" s="37">
        <f t="shared" si="76"/>
        <v>0</v>
      </c>
      <c r="AB722" s="37">
        <f t="shared" si="78"/>
        <v>0</v>
      </c>
    </row>
    <row r="723" spans="1:28" ht="14.4">
      <c r="A723" s="117">
        <v>2130111301</v>
      </c>
      <c r="B723" s="117" t="s">
        <v>17</v>
      </c>
      <c r="C723" s="1365">
        <f>-VLOOKUP(A723,Composición!C:G,5,FALSE)</f>
        <v>-20903410257</v>
      </c>
      <c r="D723" s="37"/>
      <c r="E723" s="37"/>
      <c r="F723" s="37">
        <f>-VLOOKUP(A723,Composición!C:J,8,FALSE)</f>
        <v>-10370861769</v>
      </c>
      <c r="G723" s="37">
        <f t="shared" si="74"/>
        <v>-10532548488</v>
      </c>
      <c r="H723" s="37"/>
      <c r="I723" s="37"/>
      <c r="J723" s="37"/>
      <c r="K723" s="37"/>
      <c r="L723" s="37"/>
      <c r="M723" s="37"/>
      <c r="N723" s="37"/>
      <c r="O723" s="37"/>
      <c r="P723" s="37"/>
      <c r="Q723" s="37"/>
      <c r="R723" s="37"/>
      <c r="S723" s="37"/>
      <c r="T723" s="37"/>
      <c r="U723" s="37"/>
      <c r="V723" s="37"/>
      <c r="W723" s="37">
        <f>-G723</f>
        <v>10532548488</v>
      </c>
      <c r="X723" s="37"/>
      <c r="Y723" s="37"/>
      <c r="Z723" s="37"/>
      <c r="AA723" s="37">
        <f t="shared" si="76"/>
        <v>0</v>
      </c>
      <c r="AB723" s="37">
        <f t="shared" si="78"/>
        <v>0</v>
      </c>
    </row>
    <row r="724" spans="1:28" ht="14.4">
      <c r="A724" s="117">
        <v>2130111302</v>
      </c>
      <c r="B724" s="117" t="s">
        <v>18</v>
      </c>
      <c r="C724" s="1365">
        <f>-VLOOKUP(A724,Composición!C:G,5,FALSE)</f>
        <v>-5073432611</v>
      </c>
      <c r="D724" s="37"/>
      <c r="E724" s="37"/>
      <c r="F724" s="37">
        <f>-VLOOKUP(A724,Composición!C:J,8,FALSE)</f>
        <v>0</v>
      </c>
      <c r="G724" s="37">
        <f t="shared" si="74"/>
        <v>-5073432611</v>
      </c>
      <c r="H724" s="37"/>
      <c r="I724" s="37"/>
      <c r="J724" s="37"/>
      <c r="K724" s="37"/>
      <c r="L724" s="37"/>
      <c r="M724" s="37"/>
      <c r="N724" s="37"/>
      <c r="O724" s="37"/>
      <c r="P724" s="37"/>
      <c r="Q724" s="37"/>
      <c r="R724" s="37"/>
      <c r="S724" s="37"/>
      <c r="T724" s="37"/>
      <c r="U724" s="37"/>
      <c r="V724" s="37"/>
      <c r="W724" s="37">
        <f>-G724</f>
        <v>5073432611</v>
      </c>
      <c r="X724" s="37"/>
      <c r="Y724" s="37"/>
      <c r="Z724" s="37"/>
      <c r="AA724" s="37">
        <f t="shared" si="76"/>
        <v>0</v>
      </c>
      <c r="AB724" s="37">
        <f t="shared" si="78"/>
        <v>0</v>
      </c>
    </row>
    <row r="725" spans="1:28" ht="14.4">
      <c r="A725" s="117">
        <v>2130112</v>
      </c>
      <c r="B725" s="117" t="s">
        <v>1327</v>
      </c>
      <c r="C725" s="37">
        <f>-VLOOKUP(A725,Composición!C:G,5,FALSE)</f>
        <v>0</v>
      </c>
      <c r="D725" s="37"/>
      <c r="E725" s="37"/>
      <c r="F725" s="37">
        <f>-VLOOKUP(A725,Composición!C:J,8,FALSE)</f>
        <v>0</v>
      </c>
      <c r="G725" s="37">
        <f t="shared" si="74"/>
        <v>0</v>
      </c>
      <c r="H725" s="37"/>
      <c r="I725" s="37"/>
      <c r="J725" s="37"/>
      <c r="K725" s="37"/>
      <c r="L725" s="37"/>
      <c r="M725" s="37"/>
      <c r="N725" s="37"/>
      <c r="O725" s="37"/>
      <c r="P725" s="37"/>
      <c r="Q725" s="37"/>
      <c r="R725" s="37"/>
      <c r="S725" s="37"/>
      <c r="T725" s="37"/>
      <c r="U725" s="37"/>
      <c r="V725" s="37"/>
      <c r="W725" s="37"/>
      <c r="X725" s="37"/>
      <c r="Y725" s="37"/>
      <c r="Z725" s="37"/>
      <c r="AA725" s="37">
        <f t="shared" si="76"/>
        <v>0</v>
      </c>
      <c r="AB725" s="37">
        <f t="shared" si="78"/>
        <v>0</v>
      </c>
    </row>
    <row r="726" spans="1:28" ht="14.4">
      <c r="A726" s="117">
        <v>21301123</v>
      </c>
      <c r="B726" s="117" t="s">
        <v>19</v>
      </c>
      <c r="C726" s="37">
        <f>-VLOOKUP(A726,Composición!C:G,5,FALSE)</f>
        <v>0</v>
      </c>
      <c r="D726" s="37"/>
      <c r="E726" s="37"/>
      <c r="F726" s="37">
        <f>-VLOOKUP(A726,Composición!C:J,8,FALSE)</f>
        <v>0</v>
      </c>
      <c r="G726" s="37">
        <f t="shared" si="74"/>
        <v>0</v>
      </c>
      <c r="H726" s="37"/>
      <c r="I726" s="37"/>
      <c r="J726" s="37"/>
      <c r="K726" s="37"/>
      <c r="L726" s="37"/>
      <c r="M726" s="37"/>
      <c r="N726" s="37"/>
      <c r="O726" s="37"/>
      <c r="P726" s="37"/>
      <c r="Q726" s="37"/>
      <c r="R726" s="37"/>
      <c r="S726" s="37"/>
      <c r="T726" s="37"/>
      <c r="U726" s="37"/>
      <c r="V726" s="37"/>
      <c r="W726" s="37"/>
      <c r="X726" s="37"/>
      <c r="Y726" s="37"/>
      <c r="Z726" s="37"/>
      <c r="AA726" s="37">
        <f t="shared" si="76"/>
        <v>0</v>
      </c>
      <c r="AB726" s="37">
        <f t="shared" si="78"/>
        <v>0</v>
      </c>
    </row>
    <row r="727" spans="1:28" ht="14.4">
      <c r="A727" s="117">
        <v>2130112301</v>
      </c>
      <c r="B727" s="117" t="s">
        <v>17</v>
      </c>
      <c r="C727" s="37">
        <f>-VLOOKUP(A727,Composición!C:G,5,FALSE)</f>
        <v>0</v>
      </c>
      <c r="D727" s="37"/>
      <c r="E727" s="37"/>
      <c r="F727" s="37">
        <f>-VLOOKUP(A727,Composición!C:J,8,FALSE)</f>
        <v>-2413973</v>
      </c>
      <c r="G727" s="37">
        <f t="shared" si="74"/>
        <v>2413973</v>
      </c>
      <c r="H727" s="37"/>
      <c r="I727" s="37"/>
      <c r="J727" s="37"/>
      <c r="K727" s="37"/>
      <c r="L727" s="37"/>
      <c r="M727" s="37"/>
      <c r="N727" s="37"/>
      <c r="O727" s="37"/>
      <c r="P727" s="37"/>
      <c r="Q727" s="37"/>
      <c r="R727" s="37"/>
      <c r="S727" s="37"/>
      <c r="T727" s="37"/>
      <c r="U727" s="37"/>
      <c r="V727" s="37"/>
      <c r="W727" s="37">
        <f>-G727</f>
        <v>-2413973</v>
      </c>
      <c r="X727" s="37"/>
      <c r="Y727" s="37"/>
      <c r="Z727" s="37"/>
      <c r="AA727" s="37">
        <f t="shared" si="76"/>
        <v>0</v>
      </c>
      <c r="AB727" s="37">
        <f t="shared" si="78"/>
        <v>0</v>
      </c>
    </row>
    <row r="728" spans="1:28" ht="14.4">
      <c r="A728" s="117">
        <v>21301121</v>
      </c>
      <c r="B728" s="117" t="s">
        <v>872</v>
      </c>
      <c r="C728" s="37">
        <f>-VLOOKUP(A728,Composición!C:G,5,FALSE)</f>
        <v>0</v>
      </c>
      <c r="D728" s="37"/>
      <c r="E728" s="37"/>
      <c r="F728" s="37">
        <f>-VLOOKUP(A728,Composición!C:J,8,FALSE)</f>
        <v>0</v>
      </c>
      <c r="G728" s="37">
        <f t="shared" si="74"/>
        <v>0</v>
      </c>
      <c r="H728" s="37"/>
      <c r="I728" s="37"/>
      <c r="J728" s="37"/>
      <c r="K728" s="37"/>
      <c r="L728" s="37"/>
      <c r="M728" s="37"/>
      <c r="N728" s="37"/>
      <c r="O728" s="37"/>
      <c r="P728" s="37"/>
      <c r="Q728" s="37"/>
      <c r="R728" s="37"/>
      <c r="S728" s="37"/>
      <c r="T728" s="37"/>
      <c r="U728" s="37"/>
      <c r="V728" s="37"/>
      <c r="W728" s="37"/>
      <c r="X728" s="37"/>
      <c r="Y728" s="37"/>
      <c r="Z728" s="37"/>
      <c r="AA728" s="37">
        <f t="shared" si="76"/>
        <v>0</v>
      </c>
      <c r="AB728" s="37">
        <f t="shared" si="78"/>
        <v>0</v>
      </c>
    </row>
    <row r="729" spans="1:28" ht="14.4">
      <c r="A729" s="117">
        <v>2130112101</v>
      </c>
      <c r="B729" s="117" t="s">
        <v>17</v>
      </c>
      <c r="C729" s="37">
        <f>-VLOOKUP(A729,Composición!C:G,5,FALSE)</f>
        <v>0</v>
      </c>
      <c r="D729" s="37"/>
      <c r="E729" s="37"/>
      <c r="F729" s="37">
        <f>-VLOOKUP(A729,Composición!C:J,8,FALSE)</f>
        <v>0</v>
      </c>
      <c r="G729" s="37">
        <f t="shared" si="74"/>
        <v>0</v>
      </c>
      <c r="H729" s="37"/>
      <c r="I729" s="37"/>
      <c r="J729" s="37"/>
      <c r="K729" s="37"/>
      <c r="L729" s="37"/>
      <c r="M729" s="37"/>
      <c r="N729" s="37"/>
      <c r="O729" s="37"/>
      <c r="P729" s="37"/>
      <c r="Q729" s="37"/>
      <c r="R729" s="37"/>
      <c r="S729" s="37"/>
      <c r="T729" s="37"/>
      <c r="U729" s="37"/>
      <c r="V729" s="37"/>
      <c r="W729" s="37"/>
      <c r="X729" s="37"/>
      <c r="Y729" s="37"/>
      <c r="Z729" s="37"/>
      <c r="AA729" s="37">
        <f t="shared" si="76"/>
        <v>0</v>
      </c>
      <c r="AB729" s="37">
        <f t="shared" si="78"/>
        <v>0</v>
      </c>
    </row>
    <row r="730" spans="1:28" ht="14.4">
      <c r="A730" s="117">
        <v>2130112102</v>
      </c>
      <c r="B730" s="117" t="s">
        <v>18</v>
      </c>
      <c r="C730" s="37">
        <f>-VLOOKUP(A730,Composición!C:G,5,FALSE)</f>
        <v>0</v>
      </c>
      <c r="D730" s="37"/>
      <c r="E730" s="37"/>
      <c r="F730" s="37">
        <f>-VLOOKUP(A730,Composición!C:J,8,FALSE)</f>
        <v>0</v>
      </c>
      <c r="G730" s="37">
        <f t="shared" si="74"/>
        <v>0</v>
      </c>
      <c r="H730" s="37"/>
      <c r="I730" s="37"/>
      <c r="J730" s="37"/>
      <c r="K730" s="37"/>
      <c r="L730" s="37"/>
      <c r="M730" s="37"/>
      <c r="N730" s="37"/>
      <c r="O730" s="37"/>
      <c r="P730" s="37"/>
      <c r="Q730" s="37"/>
      <c r="R730" s="37"/>
      <c r="S730" s="37"/>
      <c r="T730" s="37"/>
      <c r="U730" s="37"/>
      <c r="V730" s="37"/>
      <c r="W730" s="37"/>
      <c r="X730" s="37"/>
      <c r="Y730" s="37"/>
      <c r="Z730" s="37"/>
      <c r="AA730" s="37">
        <f t="shared" si="76"/>
        <v>0</v>
      </c>
      <c r="AB730" s="37">
        <f t="shared" si="78"/>
        <v>0</v>
      </c>
    </row>
    <row r="731" spans="1:28" ht="14.4">
      <c r="A731" s="117">
        <v>21301122</v>
      </c>
      <c r="B731" s="117" t="s">
        <v>873</v>
      </c>
      <c r="C731" s="37">
        <f>-VLOOKUP(A731,Composición!C:G,5,FALSE)</f>
        <v>0</v>
      </c>
      <c r="D731" s="37"/>
      <c r="E731" s="37"/>
      <c r="F731" s="37">
        <f>-VLOOKUP(A731,Composición!C:J,8,FALSE)</f>
        <v>0</v>
      </c>
      <c r="G731" s="37">
        <f t="shared" si="74"/>
        <v>0</v>
      </c>
      <c r="H731" s="37"/>
      <c r="I731" s="37"/>
      <c r="J731" s="37"/>
      <c r="K731" s="37"/>
      <c r="L731" s="37"/>
      <c r="M731" s="37"/>
      <c r="N731" s="37"/>
      <c r="O731" s="37"/>
      <c r="P731" s="37"/>
      <c r="Q731" s="37"/>
      <c r="R731" s="37"/>
      <c r="S731" s="37"/>
      <c r="T731" s="37"/>
      <c r="U731" s="37"/>
      <c r="V731" s="37"/>
      <c r="W731" s="37"/>
      <c r="X731" s="37"/>
      <c r="Y731" s="37"/>
      <c r="Z731" s="37"/>
      <c r="AA731" s="37">
        <f t="shared" si="76"/>
        <v>0</v>
      </c>
      <c r="AB731" s="37">
        <f t="shared" si="78"/>
        <v>0</v>
      </c>
    </row>
    <row r="732" spans="1:28" ht="14.4">
      <c r="A732" s="117">
        <v>2130112201</v>
      </c>
      <c r="B732" s="117" t="s">
        <v>17</v>
      </c>
      <c r="C732" s="37">
        <f>-VLOOKUP(A732,Composición!C:G,5,FALSE)</f>
        <v>0</v>
      </c>
      <c r="D732" s="37"/>
      <c r="E732" s="37"/>
      <c r="F732" s="37">
        <f>-VLOOKUP(A732,Composición!C:J,8,FALSE)</f>
        <v>0</v>
      </c>
      <c r="G732" s="37">
        <f t="shared" si="74"/>
        <v>0</v>
      </c>
      <c r="H732" s="37"/>
      <c r="I732" s="37"/>
      <c r="J732" s="37"/>
      <c r="K732" s="37"/>
      <c r="L732" s="37"/>
      <c r="M732" s="37"/>
      <c r="N732" s="37"/>
      <c r="O732" s="37"/>
      <c r="P732" s="37"/>
      <c r="Q732" s="37"/>
      <c r="R732" s="37"/>
      <c r="S732" s="37"/>
      <c r="T732" s="37"/>
      <c r="U732" s="37"/>
      <c r="V732" s="37"/>
      <c r="W732" s="37"/>
      <c r="X732" s="37"/>
      <c r="Y732" s="37"/>
      <c r="Z732" s="37"/>
      <c r="AA732" s="37">
        <f t="shared" si="76"/>
        <v>0</v>
      </c>
      <c r="AB732" s="37">
        <f t="shared" si="78"/>
        <v>0</v>
      </c>
    </row>
    <row r="733" spans="1:28" ht="14.4">
      <c r="A733" s="117">
        <v>2130112202</v>
      </c>
      <c r="B733" s="117" t="s">
        <v>18</v>
      </c>
      <c r="C733" s="37">
        <f>-VLOOKUP(A733,Composición!C:G,5,FALSE)</f>
        <v>0</v>
      </c>
      <c r="D733" s="37"/>
      <c r="E733" s="37"/>
      <c r="F733" s="37">
        <f>-VLOOKUP(A733,Composición!C:J,8,FALSE)</f>
        <v>0</v>
      </c>
      <c r="G733" s="37">
        <f t="shared" si="74"/>
        <v>0</v>
      </c>
      <c r="H733" s="37"/>
      <c r="I733" s="37"/>
      <c r="J733" s="37"/>
      <c r="K733" s="37"/>
      <c r="L733" s="37"/>
      <c r="M733" s="37"/>
      <c r="N733" s="37"/>
      <c r="O733" s="37"/>
      <c r="P733" s="37"/>
      <c r="Q733" s="37"/>
      <c r="R733" s="37"/>
      <c r="S733" s="37"/>
      <c r="T733" s="37"/>
      <c r="U733" s="37"/>
      <c r="V733" s="37"/>
      <c r="W733" s="37"/>
      <c r="X733" s="37"/>
      <c r="Y733" s="37"/>
      <c r="Z733" s="37"/>
      <c r="AA733" s="37">
        <f t="shared" si="76"/>
        <v>0</v>
      </c>
      <c r="AB733" s="37">
        <f t="shared" si="78"/>
        <v>0</v>
      </c>
    </row>
    <row r="734" spans="1:28" ht="14.4">
      <c r="A734" s="117">
        <v>21302</v>
      </c>
      <c r="B734" s="117" t="s">
        <v>874</v>
      </c>
      <c r="C734" s="37">
        <f>-VLOOKUP(A734,Composición!C:G,5,FALSE)</f>
        <v>0</v>
      </c>
      <c r="D734" s="37"/>
      <c r="E734" s="37"/>
      <c r="F734" s="37">
        <f>-VLOOKUP(A734,Composición!C:J,8,FALSE)</f>
        <v>0</v>
      </c>
      <c r="G734" s="37">
        <f t="shared" si="74"/>
        <v>0</v>
      </c>
      <c r="H734" s="37"/>
      <c r="I734" s="37"/>
      <c r="J734" s="37"/>
      <c r="K734" s="37"/>
      <c r="L734" s="37"/>
      <c r="M734" s="37"/>
      <c r="N734" s="37"/>
      <c r="O734" s="37"/>
      <c r="P734" s="37"/>
      <c r="Q734" s="37"/>
      <c r="R734" s="37"/>
      <c r="S734" s="37"/>
      <c r="T734" s="37"/>
      <c r="U734" s="37"/>
      <c r="V734" s="37"/>
      <c r="W734" s="37"/>
      <c r="X734" s="37"/>
      <c r="Y734" s="37"/>
      <c r="Z734" s="37"/>
      <c r="AA734" s="37">
        <f t="shared" si="76"/>
        <v>0</v>
      </c>
      <c r="AB734" s="37">
        <f t="shared" si="78"/>
        <v>0</v>
      </c>
    </row>
    <row r="735" spans="1:28" ht="14.4">
      <c r="A735" s="117">
        <v>213021</v>
      </c>
      <c r="B735" s="117" t="s">
        <v>874</v>
      </c>
      <c r="C735" s="37">
        <f>-VLOOKUP(A735,Composición!C:G,5,FALSE)</f>
        <v>0</v>
      </c>
      <c r="D735" s="37"/>
      <c r="E735" s="37"/>
      <c r="F735" s="37">
        <f>-VLOOKUP(A735,Composición!C:J,8,FALSE)</f>
        <v>0</v>
      </c>
      <c r="G735" s="37">
        <f t="shared" si="74"/>
        <v>0</v>
      </c>
      <c r="H735" s="37"/>
      <c r="I735" s="37"/>
      <c r="J735" s="37"/>
      <c r="K735" s="37"/>
      <c r="L735" s="37"/>
      <c r="M735" s="37"/>
      <c r="N735" s="37"/>
      <c r="O735" s="37"/>
      <c r="P735" s="37"/>
      <c r="Q735" s="37"/>
      <c r="R735" s="37"/>
      <c r="S735" s="37"/>
      <c r="T735" s="37"/>
      <c r="U735" s="37"/>
      <c r="V735" s="37"/>
      <c r="W735" s="37"/>
      <c r="X735" s="37"/>
      <c r="Y735" s="37"/>
      <c r="Z735" s="37"/>
      <c r="AA735" s="37">
        <f t="shared" si="76"/>
        <v>0</v>
      </c>
      <c r="AB735" s="37">
        <f t="shared" si="78"/>
        <v>0</v>
      </c>
    </row>
    <row r="736" spans="1:28" ht="14.4">
      <c r="A736" s="117">
        <v>2130211</v>
      </c>
      <c r="B736" s="117" t="s">
        <v>875</v>
      </c>
      <c r="C736" s="37">
        <f>-VLOOKUP(A736,Composición!C:G,5,FALSE)</f>
        <v>0</v>
      </c>
      <c r="D736" s="37"/>
      <c r="E736" s="37"/>
      <c r="F736" s="37">
        <f>-VLOOKUP(A736,Composición!C:J,8,FALSE)</f>
        <v>0</v>
      </c>
      <c r="G736" s="37">
        <f t="shared" si="74"/>
        <v>0</v>
      </c>
      <c r="H736" s="37"/>
      <c r="I736" s="37"/>
      <c r="J736" s="37"/>
      <c r="K736" s="37"/>
      <c r="L736" s="37"/>
      <c r="M736" s="37"/>
      <c r="N736" s="37"/>
      <c r="O736" s="37"/>
      <c r="P736" s="37"/>
      <c r="Q736" s="37"/>
      <c r="R736" s="37"/>
      <c r="S736" s="37"/>
      <c r="T736" s="37"/>
      <c r="U736" s="37"/>
      <c r="V736" s="37"/>
      <c r="W736" s="37"/>
      <c r="X736" s="37"/>
      <c r="Y736" s="37"/>
      <c r="Z736" s="37"/>
      <c r="AA736" s="37">
        <f t="shared" si="76"/>
        <v>0</v>
      </c>
      <c r="AB736" s="37">
        <f t="shared" si="78"/>
        <v>0</v>
      </c>
    </row>
    <row r="737" spans="1:28" ht="14.4">
      <c r="A737" s="117">
        <v>21302111</v>
      </c>
      <c r="B737" s="117" t="s">
        <v>875</v>
      </c>
      <c r="C737" s="37">
        <f>-VLOOKUP(A737,Composición!C:G,5,FALSE)</f>
        <v>0</v>
      </c>
      <c r="D737" s="37"/>
      <c r="E737" s="37"/>
      <c r="F737" s="37">
        <f>-VLOOKUP(A737,Composición!C:J,8,FALSE)</f>
        <v>0</v>
      </c>
      <c r="G737" s="37">
        <f t="shared" si="74"/>
        <v>0</v>
      </c>
      <c r="H737" s="37"/>
      <c r="I737" s="37"/>
      <c r="J737" s="37"/>
      <c r="K737" s="37"/>
      <c r="L737" s="37"/>
      <c r="M737" s="37"/>
      <c r="N737" s="37"/>
      <c r="O737" s="37"/>
      <c r="P737" s="37"/>
      <c r="Q737" s="37"/>
      <c r="R737" s="37"/>
      <c r="S737" s="37"/>
      <c r="T737" s="37"/>
      <c r="U737" s="37"/>
      <c r="V737" s="37"/>
      <c r="W737" s="37"/>
      <c r="X737" s="37"/>
      <c r="Y737" s="37"/>
      <c r="Z737" s="37"/>
      <c r="AA737" s="37">
        <f t="shared" si="76"/>
        <v>0</v>
      </c>
      <c r="AB737" s="37">
        <f t="shared" si="78"/>
        <v>0</v>
      </c>
    </row>
    <row r="738" spans="1:28" ht="14.4">
      <c r="A738" s="117">
        <v>2130211101</v>
      </c>
      <c r="B738" s="117" t="s">
        <v>876</v>
      </c>
      <c r="C738" s="37">
        <f>-VLOOKUP(A738,Composición!C:G,5,FALSE)</f>
        <v>0</v>
      </c>
      <c r="D738" s="37"/>
      <c r="E738" s="37"/>
      <c r="F738" s="37">
        <f>-VLOOKUP(A738,Composición!C:J,8,FALSE)</f>
        <v>0</v>
      </c>
      <c r="G738" s="37">
        <f t="shared" ref="G738:G824" si="79">C738+D738-E738-F738</f>
        <v>0</v>
      </c>
      <c r="H738" s="37"/>
      <c r="I738" s="37"/>
      <c r="J738" s="37"/>
      <c r="K738" s="37"/>
      <c r="L738" s="37"/>
      <c r="M738" s="37"/>
      <c r="N738" s="37"/>
      <c r="O738" s="37"/>
      <c r="P738" s="37"/>
      <c r="Q738" s="37"/>
      <c r="R738" s="37"/>
      <c r="S738" s="37"/>
      <c r="T738" s="37"/>
      <c r="U738" s="37"/>
      <c r="V738" s="37"/>
      <c r="W738" s="37"/>
      <c r="X738" s="37"/>
      <c r="Y738" s="37"/>
      <c r="Z738" s="37"/>
      <c r="AA738" s="37">
        <f t="shared" si="76"/>
        <v>0</v>
      </c>
      <c r="AB738" s="37">
        <f t="shared" si="78"/>
        <v>0</v>
      </c>
    </row>
    <row r="739" spans="1:28" ht="14.4">
      <c r="A739" s="117">
        <v>2130211102</v>
      </c>
      <c r="B739" s="117" t="s">
        <v>877</v>
      </c>
      <c r="C739" s="37">
        <f>-VLOOKUP(A739,Composición!C:G,5,FALSE)</f>
        <v>0</v>
      </c>
      <c r="D739" s="37"/>
      <c r="E739" s="37"/>
      <c r="F739" s="37">
        <f>-VLOOKUP(A739,Composición!C:J,8,FALSE)</f>
        <v>0</v>
      </c>
      <c r="G739" s="37">
        <f t="shared" si="79"/>
        <v>0</v>
      </c>
      <c r="H739" s="37"/>
      <c r="I739" s="37"/>
      <c r="J739" s="37"/>
      <c r="K739" s="37"/>
      <c r="L739" s="37"/>
      <c r="M739" s="37"/>
      <c r="N739" s="37"/>
      <c r="O739" s="37"/>
      <c r="P739" s="37"/>
      <c r="Q739" s="37"/>
      <c r="R739" s="37"/>
      <c r="S739" s="37"/>
      <c r="T739" s="37"/>
      <c r="U739" s="37"/>
      <c r="V739" s="37"/>
      <c r="W739" s="37"/>
      <c r="X739" s="37"/>
      <c r="Y739" s="37"/>
      <c r="Z739" s="37"/>
      <c r="AA739" s="37">
        <f t="shared" si="76"/>
        <v>0</v>
      </c>
      <c r="AB739" s="37">
        <f t="shared" si="78"/>
        <v>0</v>
      </c>
    </row>
    <row r="740" spans="1:28" ht="14.4">
      <c r="A740" s="117">
        <v>2130212</v>
      </c>
      <c r="B740" s="117" t="s">
        <v>878</v>
      </c>
      <c r="C740" s="37">
        <f>-VLOOKUP(A740,Composición!C:G,5,FALSE)</f>
        <v>0</v>
      </c>
      <c r="D740" s="37"/>
      <c r="E740" s="37"/>
      <c r="F740" s="37">
        <f>-VLOOKUP(A740,Composición!C:J,8,FALSE)</f>
        <v>0</v>
      </c>
      <c r="G740" s="37">
        <f t="shared" si="79"/>
        <v>0</v>
      </c>
      <c r="H740" s="37"/>
      <c r="I740" s="37"/>
      <c r="J740" s="37"/>
      <c r="K740" s="37"/>
      <c r="L740" s="37"/>
      <c r="M740" s="37"/>
      <c r="N740" s="37"/>
      <c r="O740" s="37"/>
      <c r="P740" s="37"/>
      <c r="Q740" s="37"/>
      <c r="R740" s="37"/>
      <c r="S740" s="37"/>
      <c r="T740" s="37"/>
      <c r="U740" s="37"/>
      <c r="V740" s="37"/>
      <c r="W740" s="37"/>
      <c r="X740" s="37"/>
      <c r="Y740" s="37"/>
      <c r="Z740" s="37"/>
      <c r="AA740" s="37">
        <f t="shared" si="76"/>
        <v>0</v>
      </c>
      <c r="AB740" s="37">
        <f t="shared" si="78"/>
        <v>0</v>
      </c>
    </row>
    <row r="741" spans="1:28" ht="14.4">
      <c r="A741" s="117">
        <v>21302121</v>
      </c>
      <c r="B741" s="117" t="s">
        <v>879</v>
      </c>
      <c r="C741" s="37">
        <f>-VLOOKUP(A741,Composición!C:G,5,FALSE)</f>
        <v>0</v>
      </c>
      <c r="D741" s="37"/>
      <c r="E741" s="37"/>
      <c r="F741" s="37">
        <f>-VLOOKUP(A741,Composición!C:J,8,FALSE)</f>
        <v>0</v>
      </c>
      <c r="G741" s="37">
        <f t="shared" si="79"/>
        <v>0</v>
      </c>
      <c r="H741" s="37"/>
      <c r="I741" s="37"/>
      <c r="J741" s="37"/>
      <c r="K741" s="37"/>
      <c r="L741" s="37"/>
      <c r="M741" s="37"/>
      <c r="N741" s="37"/>
      <c r="O741" s="37"/>
      <c r="P741" s="37"/>
      <c r="Q741" s="37"/>
      <c r="R741" s="37"/>
      <c r="S741" s="37"/>
      <c r="T741" s="37"/>
      <c r="U741" s="37"/>
      <c r="V741" s="37"/>
      <c r="W741" s="37"/>
      <c r="X741" s="37"/>
      <c r="Y741" s="37"/>
      <c r="Z741" s="37"/>
      <c r="AA741" s="37">
        <f t="shared" si="76"/>
        <v>0</v>
      </c>
      <c r="AB741" s="37">
        <f t="shared" si="78"/>
        <v>0</v>
      </c>
    </row>
    <row r="742" spans="1:28" ht="14.4">
      <c r="A742" s="117">
        <v>2130212101</v>
      </c>
      <c r="B742" s="117" t="s">
        <v>879</v>
      </c>
      <c r="C742" s="37">
        <f>-VLOOKUP(A742,Composición!C:G,5,FALSE)</f>
        <v>0</v>
      </c>
      <c r="D742" s="37"/>
      <c r="E742" s="37"/>
      <c r="F742" s="37">
        <f>-VLOOKUP(A742,Composición!C:J,8,FALSE)</f>
        <v>0</v>
      </c>
      <c r="G742" s="37">
        <f t="shared" si="79"/>
        <v>0</v>
      </c>
      <c r="H742" s="37"/>
      <c r="I742" s="37"/>
      <c r="J742" s="37"/>
      <c r="K742" s="37"/>
      <c r="L742" s="37"/>
      <c r="M742" s="37"/>
      <c r="N742" s="37"/>
      <c r="O742" s="37"/>
      <c r="P742" s="37"/>
      <c r="Q742" s="37"/>
      <c r="R742" s="37"/>
      <c r="S742" s="37"/>
      <c r="T742" s="37"/>
      <c r="U742" s="37"/>
      <c r="V742" s="37"/>
      <c r="W742" s="37"/>
      <c r="X742" s="37"/>
      <c r="Y742" s="37"/>
      <c r="Z742" s="37"/>
      <c r="AA742" s="37">
        <f t="shared" si="76"/>
        <v>0</v>
      </c>
      <c r="AB742" s="37">
        <f t="shared" si="78"/>
        <v>0</v>
      </c>
    </row>
    <row r="743" spans="1:28" ht="14.4">
      <c r="A743" s="117">
        <v>2130212102</v>
      </c>
      <c r="B743" s="117" t="s">
        <v>879</v>
      </c>
      <c r="C743" s="37">
        <f>-VLOOKUP(A743,Composición!C:G,5,FALSE)</f>
        <v>0</v>
      </c>
      <c r="D743" s="37"/>
      <c r="E743" s="37"/>
      <c r="F743" s="37">
        <f>-VLOOKUP(A743,Composición!C:J,8,FALSE)</f>
        <v>0</v>
      </c>
      <c r="G743" s="37">
        <f t="shared" si="79"/>
        <v>0</v>
      </c>
      <c r="H743" s="37"/>
      <c r="I743" s="37"/>
      <c r="J743" s="37"/>
      <c r="K743" s="37"/>
      <c r="L743" s="37"/>
      <c r="M743" s="37"/>
      <c r="N743" s="37"/>
      <c r="O743" s="37"/>
      <c r="P743" s="37"/>
      <c r="Q743" s="37"/>
      <c r="R743" s="37"/>
      <c r="S743" s="37"/>
      <c r="T743" s="37"/>
      <c r="U743" s="37"/>
      <c r="V743" s="37"/>
      <c r="W743" s="37"/>
      <c r="X743" s="37"/>
      <c r="Y743" s="37"/>
      <c r="Z743" s="37"/>
      <c r="AA743" s="37">
        <f t="shared" si="76"/>
        <v>0</v>
      </c>
      <c r="AB743" s="37">
        <f t="shared" si="78"/>
        <v>0</v>
      </c>
    </row>
    <row r="744" spans="1:28" ht="14.4">
      <c r="A744" s="117">
        <v>21302122</v>
      </c>
      <c r="B744" s="117" t="s">
        <v>880</v>
      </c>
      <c r="C744" s="37">
        <f>-VLOOKUP(A744,Composición!C:G,5,FALSE)</f>
        <v>0</v>
      </c>
      <c r="D744" s="37"/>
      <c r="E744" s="37"/>
      <c r="F744" s="37">
        <f>-VLOOKUP(A744,Composición!C:J,8,FALSE)</f>
        <v>0</v>
      </c>
      <c r="G744" s="37">
        <f t="shared" si="79"/>
        <v>0</v>
      </c>
      <c r="H744" s="37"/>
      <c r="I744" s="37"/>
      <c r="J744" s="37"/>
      <c r="K744" s="37"/>
      <c r="L744" s="37"/>
      <c r="M744" s="37"/>
      <c r="N744" s="37"/>
      <c r="O744" s="37"/>
      <c r="P744" s="37"/>
      <c r="Q744" s="37"/>
      <c r="R744" s="37"/>
      <c r="S744" s="37"/>
      <c r="T744" s="37"/>
      <c r="U744" s="37"/>
      <c r="V744" s="37"/>
      <c r="W744" s="37"/>
      <c r="X744" s="37"/>
      <c r="Y744" s="37"/>
      <c r="Z744" s="37"/>
      <c r="AA744" s="37">
        <f t="shared" si="76"/>
        <v>0</v>
      </c>
      <c r="AB744" s="37">
        <f t="shared" si="78"/>
        <v>0</v>
      </c>
    </row>
    <row r="745" spans="1:28" ht="14.4">
      <c r="A745" s="117">
        <v>2130212201</v>
      </c>
      <c r="B745" s="117" t="s">
        <v>880</v>
      </c>
      <c r="C745" s="37">
        <f>-VLOOKUP(A745,Composición!C:G,5,FALSE)</f>
        <v>0</v>
      </c>
      <c r="D745" s="37"/>
      <c r="E745" s="37"/>
      <c r="F745" s="37">
        <f>-VLOOKUP(A745,Composición!C:J,8,FALSE)</f>
        <v>0</v>
      </c>
      <c r="G745" s="37">
        <f t="shared" si="79"/>
        <v>0</v>
      </c>
      <c r="H745" s="37"/>
      <c r="I745" s="37"/>
      <c r="J745" s="37"/>
      <c r="K745" s="37"/>
      <c r="L745" s="37"/>
      <c r="M745" s="37"/>
      <c r="N745" s="37"/>
      <c r="O745" s="37"/>
      <c r="P745" s="37"/>
      <c r="Q745" s="37"/>
      <c r="R745" s="37"/>
      <c r="S745" s="37"/>
      <c r="T745" s="37"/>
      <c r="U745" s="37"/>
      <c r="V745" s="37"/>
      <c r="W745" s="37"/>
      <c r="X745" s="37"/>
      <c r="Y745" s="37"/>
      <c r="Z745" s="37"/>
      <c r="AA745" s="37">
        <f t="shared" si="76"/>
        <v>0</v>
      </c>
      <c r="AB745" s="37">
        <f t="shared" si="78"/>
        <v>0</v>
      </c>
    </row>
    <row r="746" spans="1:28" ht="14.4">
      <c r="A746" s="117">
        <v>2130212202</v>
      </c>
      <c r="B746" s="117" t="s">
        <v>880</v>
      </c>
      <c r="C746" s="37">
        <f>-VLOOKUP(A746,Composición!C:G,5,FALSE)</f>
        <v>0</v>
      </c>
      <c r="D746" s="37"/>
      <c r="E746" s="37"/>
      <c r="F746" s="37">
        <f>-VLOOKUP(A746,Composición!C:J,8,FALSE)</f>
        <v>0</v>
      </c>
      <c r="G746" s="37">
        <f t="shared" si="79"/>
        <v>0</v>
      </c>
      <c r="H746" s="37"/>
      <c r="I746" s="37"/>
      <c r="J746" s="37"/>
      <c r="K746" s="37"/>
      <c r="L746" s="37"/>
      <c r="M746" s="37"/>
      <c r="N746" s="37"/>
      <c r="O746" s="37"/>
      <c r="P746" s="37"/>
      <c r="Q746" s="37"/>
      <c r="R746" s="37"/>
      <c r="S746" s="37"/>
      <c r="T746" s="37"/>
      <c r="U746" s="37"/>
      <c r="V746" s="37"/>
      <c r="W746" s="37"/>
      <c r="X746" s="37"/>
      <c r="Y746" s="37"/>
      <c r="Z746" s="37"/>
      <c r="AA746" s="37">
        <f t="shared" si="76"/>
        <v>0</v>
      </c>
      <c r="AB746" s="37">
        <f t="shared" si="78"/>
        <v>0</v>
      </c>
    </row>
    <row r="747" spans="1:28" ht="14.4">
      <c r="A747" s="117">
        <v>2130311103</v>
      </c>
      <c r="B747" s="1218" t="s">
        <v>2712</v>
      </c>
      <c r="C747" s="1365">
        <f>-VLOOKUP(A747,Composición!C:G,5,FALSE)</f>
        <v>-17281554</v>
      </c>
      <c r="D747" s="37"/>
      <c r="E747" s="37"/>
      <c r="F747" s="37">
        <f>-VLOOKUP(A747,Composición!C:J,8,FALSE)</f>
        <v>0</v>
      </c>
      <c r="G747" s="37">
        <f t="shared" ref="G747" si="80">C747+D747-E747-F747</f>
        <v>-17281554</v>
      </c>
      <c r="H747" s="37"/>
      <c r="I747" s="37"/>
      <c r="J747" s="37"/>
      <c r="K747" s="37"/>
      <c r="L747" s="37"/>
      <c r="M747" s="37"/>
      <c r="N747" s="37"/>
      <c r="O747" s="37"/>
      <c r="P747" s="37"/>
      <c r="Q747" s="37"/>
      <c r="R747" s="37"/>
      <c r="S747" s="37">
        <f>-G747</f>
        <v>17281554</v>
      </c>
      <c r="T747" s="37"/>
      <c r="U747" s="37"/>
      <c r="V747" s="37"/>
      <c r="W747" s="37"/>
      <c r="X747" s="37"/>
      <c r="Y747" s="37"/>
      <c r="Z747" s="37"/>
      <c r="AA747" s="37">
        <f t="shared" si="76"/>
        <v>0</v>
      </c>
      <c r="AB747" s="37"/>
    </row>
    <row r="748" spans="1:28" ht="14.4">
      <c r="A748" s="117">
        <v>21303</v>
      </c>
      <c r="B748" s="117" t="s">
        <v>110</v>
      </c>
      <c r="C748" s="37">
        <f>-VLOOKUP(A748,Composición!C:G,5,FALSE)</f>
        <v>0</v>
      </c>
      <c r="D748" s="37"/>
      <c r="E748" s="37"/>
      <c r="F748" s="37">
        <f>-VLOOKUP(A748,Composición!C:J,8,FALSE)</f>
        <v>0</v>
      </c>
      <c r="G748" s="37">
        <f t="shared" si="79"/>
        <v>0</v>
      </c>
      <c r="H748" s="37"/>
      <c r="I748" s="37"/>
      <c r="J748" s="37"/>
      <c r="K748" s="37"/>
      <c r="L748" s="37"/>
      <c r="M748" s="37"/>
      <c r="N748" s="37"/>
      <c r="O748" s="37"/>
      <c r="P748" s="37"/>
      <c r="Q748" s="37"/>
      <c r="R748" s="37"/>
      <c r="S748" s="37"/>
      <c r="T748" s="37"/>
      <c r="U748" s="37"/>
      <c r="V748" s="37"/>
      <c r="W748" s="37"/>
      <c r="X748" s="37"/>
      <c r="Y748" s="37"/>
      <c r="Z748" s="37"/>
      <c r="AA748" s="37">
        <f t="shared" si="76"/>
        <v>0</v>
      </c>
      <c r="AB748" s="37">
        <f t="shared" si="78"/>
        <v>0</v>
      </c>
    </row>
    <row r="749" spans="1:28" ht="14.4">
      <c r="A749" s="117">
        <v>213031</v>
      </c>
      <c r="B749" s="117" t="s">
        <v>213</v>
      </c>
      <c r="C749" s="37">
        <f>-VLOOKUP(A749,Composición!C:G,5,FALSE)</f>
        <v>0</v>
      </c>
      <c r="D749" s="37"/>
      <c r="E749" s="37"/>
      <c r="F749" s="37">
        <f>-VLOOKUP(A749,Composición!C:J,8,FALSE)</f>
        <v>0</v>
      </c>
      <c r="G749" s="37">
        <f t="shared" si="79"/>
        <v>0</v>
      </c>
      <c r="H749" s="37"/>
      <c r="I749" s="37"/>
      <c r="J749" s="37"/>
      <c r="K749" s="37"/>
      <c r="L749" s="37"/>
      <c r="M749" s="37"/>
      <c r="N749" s="37"/>
      <c r="O749" s="37"/>
      <c r="P749" s="37"/>
      <c r="Q749" s="37"/>
      <c r="R749" s="37"/>
      <c r="S749" s="37"/>
      <c r="T749" s="37"/>
      <c r="U749" s="37"/>
      <c r="V749" s="37"/>
      <c r="W749" s="37"/>
      <c r="X749" s="37"/>
      <c r="Y749" s="37"/>
      <c r="Z749" s="37"/>
      <c r="AA749" s="37">
        <f t="shared" si="76"/>
        <v>0</v>
      </c>
      <c r="AB749" s="37">
        <f t="shared" si="78"/>
        <v>0</v>
      </c>
    </row>
    <row r="750" spans="1:28" ht="14.4">
      <c r="A750" s="117">
        <v>2130311</v>
      </c>
      <c r="B750" s="117" t="s">
        <v>214</v>
      </c>
      <c r="C750" s="37">
        <f>-VLOOKUP(A750,Composición!C:G,5,FALSE)</f>
        <v>0</v>
      </c>
      <c r="D750" s="37"/>
      <c r="E750" s="37"/>
      <c r="F750" s="37">
        <f>-VLOOKUP(A750,Composición!C:J,8,FALSE)</f>
        <v>0</v>
      </c>
      <c r="G750" s="37">
        <f t="shared" si="79"/>
        <v>0</v>
      </c>
      <c r="H750" s="37"/>
      <c r="I750" s="37"/>
      <c r="J750" s="37"/>
      <c r="K750" s="37"/>
      <c r="L750" s="37"/>
      <c r="M750" s="37"/>
      <c r="N750" s="37"/>
      <c r="O750" s="37"/>
      <c r="P750" s="37"/>
      <c r="Q750" s="37"/>
      <c r="R750" s="37"/>
      <c r="S750" s="37"/>
      <c r="T750" s="37"/>
      <c r="U750" s="37"/>
      <c r="V750" s="37"/>
      <c r="W750" s="37"/>
      <c r="X750" s="37"/>
      <c r="Y750" s="37"/>
      <c r="Z750" s="37"/>
      <c r="AA750" s="37">
        <f t="shared" si="76"/>
        <v>0</v>
      </c>
      <c r="AB750" s="37">
        <f t="shared" si="78"/>
        <v>0</v>
      </c>
    </row>
    <row r="751" spans="1:28" ht="14.4">
      <c r="A751" s="117">
        <v>21303111</v>
      </c>
      <c r="B751" s="117" t="s">
        <v>215</v>
      </c>
      <c r="C751" s="37">
        <f>-VLOOKUP(A751,Composición!C:G,5,FALSE)</f>
        <v>0</v>
      </c>
      <c r="D751" s="37"/>
      <c r="E751" s="37"/>
      <c r="F751" s="37">
        <f>-VLOOKUP(A751,Composición!C:J,8,FALSE)</f>
        <v>0</v>
      </c>
      <c r="G751" s="37">
        <f t="shared" si="79"/>
        <v>0</v>
      </c>
      <c r="H751" s="37"/>
      <c r="I751" s="37"/>
      <c r="J751" s="37"/>
      <c r="K751" s="37"/>
      <c r="L751" s="37"/>
      <c r="M751" s="37"/>
      <c r="N751" s="37"/>
      <c r="O751" s="37"/>
      <c r="P751" s="37"/>
      <c r="Q751" s="37"/>
      <c r="R751" s="37"/>
      <c r="S751" s="37">
        <f t="shared" ref="S751:S763" si="81">-G751</f>
        <v>0</v>
      </c>
      <c r="T751" s="37"/>
      <c r="U751" s="37"/>
      <c r="V751" s="37"/>
      <c r="W751" s="37"/>
      <c r="X751" s="37"/>
      <c r="Y751" s="37"/>
      <c r="Z751" s="37"/>
      <c r="AA751" s="37">
        <f t="shared" ref="AA751:AA829" si="82">SUM(G751:Z751)</f>
        <v>0</v>
      </c>
      <c r="AB751" s="37">
        <f t="shared" si="78"/>
        <v>0</v>
      </c>
    </row>
    <row r="752" spans="1:28" ht="14.4">
      <c r="A752" s="117">
        <v>2130311101</v>
      </c>
      <c r="B752" s="117" t="s">
        <v>882</v>
      </c>
      <c r="C752" s="1365">
        <f>-VLOOKUP(A752,Composición!C:G,5,FALSE)</f>
        <v>-43895506</v>
      </c>
      <c r="D752" s="37"/>
      <c r="E752" s="37"/>
      <c r="F752" s="37">
        <f>-VLOOKUP(A752,Composición!C:J,8,FALSE)</f>
        <v>0</v>
      </c>
      <c r="G752" s="37">
        <f t="shared" si="79"/>
        <v>-43895506</v>
      </c>
      <c r="H752" s="37"/>
      <c r="I752" s="37"/>
      <c r="J752" s="37"/>
      <c r="K752" s="37"/>
      <c r="L752" s="37"/>
      <c r="M752" s="37"/>
      <c r="N752" s="37"/>
      <c r="O752" s="37"/>
      <c r="P752" s="37"/>
      <c r="Q752" s="37"/>
      <c r="R752" s="37"/>
      <c r="S752" s="37">
        <f t="shared" si="81"/>
        <v>43895506</v>
      </c>
      <c r="T752" s="37"/>
      <c r="U752" s="37"/>
      <c r="V752" s="37"/>
      <c r="W752" s="37"/>
      <c r="X752" s="37"/>
      <c r="Y752" s="37"/>
      <c r="Z752" s="37"/>
      <c r="AA752" s="37">
        <f t="shared" si="82"/>
        <v>0</v>
      </c>
      <c r="AB752" s="37">
        <f t="shared" si="78"/>
        <v>0</v>
      </c>
    </row>
    <row r="753" spans="1:28" ht="14.4">
      <c r="A753" s="117">
        <v>2130311102</v>
      </c>
      <c r="B753" s="117" t="s">
        <v>883</v>
      </c>
      <c r="C753" s="1365">
        <f>-VLOOKUP(A753,Composición!C:G,5,FALSE)</f>
        <v>-232878179</v>
      </c>
      <c r="D753" s="37"/>
      <c r="E753" s="37"/>
      <c r="F753" s="37">
        <f>-VLOOKUP(A753,Composición!C:J,8,FALSE)</f>
        <v>-197328124</v>
      </c>
      <c r="G753" s="37">
        <f t="shared" si="79"/>
        <v>-35550055</v>
      </c>
      <c r="H753" s="37"/>
      <c r="I753" s="37"/>
      <c r="J753" s="37"/>
      <c r="K753" s="37"/>
      <c r="L753" s="37"/>
      <c r="M753" s="37"/>
      <c r="N753" s="37"/>
      <c r="O753" s="37"/>
      <c r="P753" s="37"/>
      <c r="Q753" s="37"/>
      <c r="R753" s="37"/>
      <c r="S753" s="37">
        <f t="shared" si="81"/>
        <v>35550055</v>
      </c>
      <c r="T753" s="37"/>
      <c r="U753" s="37"/>
      <c r="V753" s="37"/>
      <c r="W753" s="37"/>
      <c r="X753" s="37"/>
      <c r="Y753" s="37"/>
      <c r="Z753" s="37"/>
      <c r="AA753" s="37">
        <f t="shared" si="82"/>
        <v>0</v>
      </c>
      <c r="AB753" s="37">
        <f t="shared" si="78"/>
        <v>0</v>
      </c>
    </row>
    <row r="754" spans="1:28" ht="14.4">
      <c r="A754" s="117">
        <v>2130311203</v>
      </c>
      <c r="B754" s="1218" t="s">
        <v>2713</v>
      </c>
      <c r="C754" s="1365">
        <f>-VLOOKUP(A754,Composición!C:G,5,FALSE)</f>
        <v>9408846</v>
      </c>
      <c r="D754" s="37"/>
      <c r="E754" s="37"/>
      <c r="F754" s="37">
        <f>-VLOOKUP(A754,Composición!C:J,8,FALSE)</f>
        <v>0</v>
      </c>
      <c r="G754" s="37">
        <f t="shared" si="79"/>
        <v>9408846</v>
      </c>
      <c r="H754" s="37"/>
      <c r="I754" s="37"/>
      <c r="J754" s="37"/>
      <c r="K754" s="37"/>
      <c r="L754" s="37"/>
      <c r="M754" s="37"/>
      <c r="N754" s="37"/>
      <c r="O754" s="37"/>
      <c r="P754" s="37"/>
      <c r="Q754" s="37"/>
      <c r="R754" s="37"/>
      <c r="S754" s="37">
        <f t="shared" si="81"/>
        <v>-9408846</v>
      </c>
      <c r="T754" s="37"/>
      <c r="U754" s="37"/>
      <c r="V754" s="37"/>
      <c r="W754" s="37"/>
      <c r="X754" s="37"/>
      <c r="Y754" s="37"/>
      <c r="Z754" s="37"/>
      <c r="AA754" s="37">
        <f t="shared" si="82"/>
        <v>0</v>
      </c>
      <c r="AB754" s="37"/>
    </row>
    <row r="755" spans="1:28" ht="14.4">
      <c r="A755" s="117">
        <v>21303112</v>
      </c>
      <c r="B755" s="117" t="s">
        <v>217</v>
      </c>
      <c r="C755" s="37">
        <f>-VLOOKUP(A755,Composición!C:G,5,FALSE)</f>
        <v>0</v>
      </c>
      <c r="D755" s="37"/>
      <c r="E755" s="37"/>
      <c r="F755" s="37">
        <f>-VLOOKUP(A755,Composición!C:J,8,FALSE)</f>
        <v>0</v>
      </c>
      <c r="G755" s="37">
        <f t="shared" si="79"/>
        <v>0</v>
      </c>
      <c r="H755" s="37"/>
      <c r="I755" s="37"/>
      <c r="J755" s="37"/>
      <c r="K755" s="37"/>
      <c r="L755" s="37"/>
      <c r="M755" s="37"/>
      <c r="N755" s="37"/>
      <c r="O755" s="37"/>
      <c r="P755" s="37"/>
      <c r="Q755" s="37"/>
      <c r="R755" s="37"/>
      <c r="S755" s="37">
        <f t="shared" si="81"/>
        <v>0</v>
      </c>
      <c r="T755" s="37"/>
      <c r="U755" s="37"/>
      <c r="V755" s="37"/>
      <c r="W755" s="37"/>
      <c r="X755" s="37"/>
      <c r="Y755" s="37"/>
      <c r="Z755" s="37"/>
      <c r="AA755" s="37">
        <f t="shared" si="82"/>
        <v>0</v>
      </c>
      <c r="AB755" s="37">
        <f t="shared" si="78"/>
        <v>0</v>
      </c>
    </row>
    <row r="756" spans="1:28" ht="14.4">
      <c r="A756" s="117">
        <v>2130311201</v>
      </c>
      <c r="B756" s="117" t="s">
        <v>884</v>
      </c>
      <c r="C756" s="1365">
        <f>-VLOOKUP(A756,Composición!C:G,5,FALSE)</f>
        <v>16952441</v>
      </c>
      <c r="D756" s="37"/>
      <c r="E756" s="37"/>
      <c r="F756" s="37">
        <f>-VLOOKUP(A756,Composición!C:J,8,FALSE)</f>
        <v>0</v>
      </c>
      <c r="G756" s="37">
        <f t="shared" si="79"/>
        <v>16952441</v>
      </c>
      <c r="H756" s="37"/>
      <c r="I756" s="37"/>
      <c r="J756" s="37"/>
      <c r="K756" s="37"/>
      <c r="L756" s="37"/>
      <c r="M756" s="37"/>
      <c r="N756" s="37"/>
      <c r="O756" s="37"/>
      <c r="P756" s="37"/>
      <c r="Q756" s="37"/>
      <c r="R756" s="37"/>
      <c r="S756" s="37">
        <f t="shared" si="81"/>
        <v>-16952441</v>
      </c>
      <c r="T756" s="37"/>
      <c r="U756" s="37"/>
      <c r="V756" s="37"/>
      <c r="W756" s="37"/>
      <c r="X756" s="37"/>
      <c r="Y756" s="37"/>
      <c r="Z756" s="37"/>
      <c r="AA756" s="37">
        <f t="shared" si="82"/>
        <v>0</v>
      </c>
      <c r="AB756" s="37">
        <f t="shared" si="78"/>
        <v>0</v>
      </c>
    </row>
    <row r="757" spans="1:28" ht="14.4">
      <c r="A757" s="117">
        <v>2130311202</v>
      </c>
      <c r="B757" s="117" t="s">
        <v>885</v>
      </c>
      <c r="C757" s="1365">
        <f>-VLOOKUP(A757,Composición!C:G,5,FALSE)</f>
        <v>79962960</v>
      </c>
      <c r="D757" s="37"/>
      <c r="E757" s="37"/>
      <c r="F757" s="37">
        <f>-VLOOKUP(A757,Composición!C:J,8,FALSE)</f>
        <v>86466605</v>
      </c>
      <c r="G757" s="37">
        <f t="shared" si="79"/>
        <v>-6503645</v>
      </c>
      <c r="H757" s="37"/>
      <c r="I757" s="37"/>
      <c r="J757" s="37"/>
      <c r="K757" s="37"/>
      <c r="L757" s="37"/>
      <c r="M757" s="37"/>
      <c r="N757" s="37"/>
      <c r="O757" s="37"/>
      <c r="P757" s="37"/>
      <c r="Q757" s="37"/>
      <c r="R757" s="37"/>
      <c r="S757" s="37">
        <f t="shared" si="81"/>
        <v>6503645</v>
      </c>
      <c r="T757" s="37"/>
      <c r="U757" s="37"/>
      <c r="V757" s="37"/>
      <c r="W757" s="37"/>
      <c r="X757" s="37"/>
      <c r="Y757" s="37"/>
      <c r="Z757" s="37"/>
      <c r="AA757" s="37">
        <f t="shared" si="82"/>
        <v>0</v>
      </c>
      <c r="AB757" s="37">
        <f t="shared" si="78"/>
        <v>0</v>
      </c>
    </row>
    <row r="758" spans="1:28" ht="14.4">
      <c r="A758" s="117">
        <v>21303113</v>
      </c>
      <c r="B758" s="117" t="s">
        <v>886</v>
      </c>
      <c r="C758" s="37">
        <f>-VLOOKUP(A758,Composición!C:G,5,FALSE)</f>
        <v>0</v>
      </c>
      <c r="D758" s="37"/>
      <c r="E758" s="37"/>
      <c r="F758" s="37">
        <f>-VLOOKUP(A758,Composición!C:J,8,FALSE)</f>
        <v>0</v>
      </c>
      <c r="G758" s="37">
        <f t="shared" si="79"/>
        <v>0</v>
      </c>
      <c r="H758" s="37"/>
      <c r="I758" s="37"/>
      <c r="J758" s="37"/>
      <c r="K758" s="37"/>
      <c r="L758" s="37"/>
      <c r="M758" s="37"/>
      <c r="N758" s="37"/>
      <c r="O758" s="37"/>
      <c r="P758" s="37"/>
      <c r="Q758" s="37"/>
      <c r="R758" s="37"/>
      <c r="S758" s="37">
        <f t="shared" si="81"/>
        <v>0</v>
      </c>
      <c r="T758" s="37"/>
      <c r="U758" s="37"/>
      <c r="V758" s="37"/>
      <c r="W758" s="37"/>
      <c r="X758" s="37"/>
      <c r="Y758" s="37"/>
      <c r="Z758" s="37"/>
      <c r="AA758" s="37">
        <f t="shared" si="82"/>
        <v>0</v>
      </c>
      <c r="AB758" s="37">
        <f t="shared" si="78"/>
        <v>0</v>
      </c>
    </row>
    <row r="759" spans="1:28" ht="14.4">
      <c r="A759" s="117">
        <v>2130501101</v>
      </c>
      <c r="B759" s="1218" t="s">
        <v>73</v>
      </c>
      <c r="C759" s="37">
        <f>-VLOOKUP(A759,Composición!C:G,5,FALSE)</f>
        <v>-1681407</v>
      </c>
      <c r="D759" s="37"/>
      <c r="E759" s="37"/>
      <c r="F759" s="37">
        <f>-VLOOKUP(A759,Composición!C:J,8,FALSE)</f>
        <v>0</v>
      </c>
      <c r="G759" s="37">
        <f t="shared" si="79"/>
        <v>-1681407</v>
      </c>
      <c r="H759" s="37"/>
      <c r="I759" s="37"/>
      <c r="J759" s="37"/>
      <c r="K759" s="37"/>
      <c r="L759" s="37"/>
      <c r="M759" s="37"/>
      <c r="N759" s="37"/>
      <c r="O759" s="37"/>
      <c r="P759" s="37"/>
      <c r="Q759" s="37"/>
      <c r="R759" s="37"/>
      <c r="S759" s="37">
        <f t="shared" si="81"/>
        <v>1681407</v>
      </c>
      <c r="T759" s="37"/>
      <c r="U759" s="37"/>
      <c r="V759" s="37"/>
      <c r="W759" s="37"/>
      <c r="X759" s="37"/>
      <c r="Y759" s="37"/>
      <c r="Z759" s="37"/>
      <c r="AA759" s="37">
        <f t="shared" si="82"/>
        <v>0</v>
      </c>
      <c r="AB759" s="37"/>
    </row>
    <row r="760" spans="1:28" ht="14.4">
      <c r="A760" s="1351">
        <v>2130501104</v>
      </c>
      <c r="B760" s="1351" t="s">
        <v>527</v>
      </c>
      <c r="C760" s="37">
        <f>-VLOOKUP(A760,Composición!C:G,5,FALSE)</f>
        <v>-313877</v>
      </c>
      <c r="D760" s="37"/>
      <c r="E760" s="37"/>
      <c r="F760" s="37">
        <f>-VLOOKUP(A760,Composición!C:J,8,FALSE)</f>
        <v>0</v>
      </c>
      <c r="G760" s="37">
        <f t="shared" ref="G760" si="83">C760+D760-E760-F760</f>
        <v>-313877</v>
      </c>
      <c r="H760" s="37"/>
      <c r="I760" s="37"/>
      <c r="J760" s="37"/>
      <c r="K760" s="37"/>
      <c r="L760" s="37"/>
      <c r="M760" s="37"/>
      <c r="N760" s="37"/>
      <c r="O760" s="37"/>
      <c r="P760" s="37"/>
      <c r="Q760" s="37"/>
      <c r="R760" s="37"/>
      <c r="S760" s="37">
        <f t="shared" ref="S760" si="84">-G760</f>
        <v>313877</v>
      </c>
      <c r="T760" s="37"/>
      <c r="U760" s="37"/>
      <c r="V760" s="37"/>
      <c r="W760" s="37"/>
      <c r="X760" s="37"/>
      <c r="Y760" s="37"/>
      <c r="Z760" s="37"/>
      <c r="AA760" s="37">
        <f t="shared" ref="AA760" si="85">SUM(G760:Z760)</f>
        <v>0</v>
      </c>
      <c r="AB760" s="37"/>
    </row>
    <row r="761" spans="1:28" ht="14.4">
      <c r="A761" s="117">
        <v>2130311301</v>
      </c>
      <c r="B761" s="117" t="s">
        <v>887</v>
      </c>
      <c r="C761" s="1365">
        <f>-VLOOKUP(A761,Composición!C:G,5,FALSE)</f>
        <v>-2499618130</v>
      </c>
      <c r="D761" s="37"/>
      <c r="E761" s="37"/>
      <c r="F761" s="37">
        <f>-VLOOKUP(A761,Composición!C:J,8,FALSE)</f>
        <v>0</v>
      </c>
      <c r="G761" s="37">
        <f t="shared" si="79"/>
        <v>-2499618130</v>
      </c>
      <c r="H761" s="37"/>
      <c r="I761" s="37"/>
      <c r="J761" s="37"/>
      <c r="K761" s="37"/>
      <c r="L761" s="37"/>
      <c r="M761" s="37"/>
      <c r="N761" s="37"/>
      <c r="O761" s="37"/>
      <c r="P761" s="37"/>
      <c r="Q761" s="37"/>
      <c r="R761" s="37"/>
      <c r="S761" s="37">
        <f t="shared" si="81"/>
        <v>2499618130</v>
      </c>
      <c r="T761" s="37"/>
      <c r="U761" s="37"/>
      <c r="V761" s="37"/>
      <c r="W761" s="37"/>
      <c r="X761" s="37"/>
      <c r="Y761" s="37"/>
      <c r="Z761" s="37"/>
      <c r="AA761" s="37">
        <f t="shared" si="82"/>
        <v>0</v>
      </c>
      <c r="AB761" s="37">
        <f t="shared" si="78"/>
        <v>0</v>
      </c>
    </row>
    <row r="762" spans="1:28" ht="14.4">
      <c r="A762" s="117">
        <v>2130311302</v>
      </c>
      <c r="B762" s="117" t="s">
        <v>888</v>
      </c>
      <c r="C762" s="1365">
        <f>-VLOOKUP(A762,Composición!C:G,5,FALSE)</f>
        <v>-9878260678</v>
      </c>
      <c r="D762" s="37"/>
      <c r="E762" s="37"/>
      <c r="F762" s="37">
        <f>-VLOOKUP(A762,Composición!C:J,8,FALSE)</f>
        <v>-7638007080</v>
      </c>
      <c r="G762" s="37">
        <f t="shared" si="79"/>
        <v>-2240253598</v>
      </c>
      <c r="H762" s="37"/>
      <c r="I762" s="37"/>
      <c r="J762" s="37"/>
      <c r="K762" s="37"/>
      <c r="L762" s="37"/>
      <c r="M762" s="37"/>
      <c r="N762" s="37"/>
      <c r="O762" s="37"/>
      <c r="P762" s="37"/>
      <c r="Q762" s="37"/>
      <c r="R762" s="37"/>
      <c r="S762" s="37">
        <f t="shared" si="81"/>
        <v>2240253598</v>
      </c>
      <c r="T762" s="37"/>
      <c r="U762" s="37"/>
      <c r="V762" s="37"/>
      <c r="W762" s="37"/>
      <c r="X762" s="37"/>
      <c r="Y762" s="37"/>
      <c r="Z762" s="37"/>
      <c r="AA762" s="37">
        <f t="shared" si="82"/>
        <v>0</v>
      </c>
      <c r="AB762" s="37">
        <f t="shared" si="78"/>
        <v>0</v>
      </c>
    </row>
    <row r="763" spans="1:28" ht="14.4">
      <c r="A763" s="117">
        <v>2130311303</v>
      </c>
      <c r="B763" s="117" t="s">
        <v>889</v>
      </c>
      <c r="C763" s="1365">
        <f>-VLOOKUP(A763,Composición!C:G,5,FALSE)</f>
        <v>-982739727</v>
      </c>
      <c r="D763" s="37"/>
      <c r="E763" s="37"/>
      <c r="F763" s="37">
        <f>-VLOOKUP(A763,Composición!C:J,8,FALSE)</f>
        <v>0</v>
      </c>
      <c r="G763" s="37">
        <f t="shared" si="79"/>
        <v>-982739727</v>
      </c>
      <c r="H763" s="37"/>
      <c r="I763" s="37"/>
      <c r="J763" s="37"/>
      <c r="K763" s="37"/>
      <c r="L763" s="37"/>
      <c r="M763" s="37"/>
      <c r="N763" s="37"/>
      <c r="O763" s="37"/>
      <c r="P763" s="37"/>
      <c r="Q763" s="37"/>
      <c r="R763" s="37"/>
      <c r="S763" s="37">
        <f t="shared" si="81"/>
        <v>982739727</v>
      </c>
      <c r="T763" s="37"/>
      <c r="U763" s="37"/>
      <c r="V763" s="37"/>
      <c r="W763" s="37"/>
      <c r="X763" s="37"/>
      <c r="Y763" s="37"/>
      <c r="Z763" s="37"/>
      <c r="AA763" s="37">
        <f t="shared" si="82"/>
        <v>0</v>
      </c>
      <c r="AB763" s="37">
        <f t="shared" si="78"/>
        <v>0</v>
      </c>
    </row>
    <row r="764" spans="1:28" ht="14.4">
      <c r="A764" s="117">
        <v>2130311304</v>
      </c>
      <c r="B764" s="117" t="s">
        <v>890</v>
      </c>
      <c r="C764" s="37">
        <f>-VLOOKUP(A764,Composición!C:G,5,FALSE)</f>
        <v>0</v>
      </c>
      <c r="D764" s="37"/>
      <c r="E764" s="37"/>
      <c r="F764" s="37">
        <f>-VLOOKUP(A764,Composición!C:J,8,FALSE)</f>
        <v>0</v>
      </c>
      <c r="G764" s="37">
        <f t="shared" si="79"/>
        <v>0</v>
      </c>
      <c r="H764" s="37"/>
      <c r="I764" s="37"/>
      <c r="J764" s="37"/>
      <c r="K764" s="37"/>
      <c r="L764" s="37"/>
      <c r="M764" s="37"/>
      <c r="N764" s="37"/>
      <c r="O764" s="37"/>
      <c r="P764" s="37"/>
      <c r="Q764" s="37"/>
      <c r="R764" s="37"/>
      <c r="S764" s="37"/>
      <c r="T764" s="37"/>
      <c r="U764" s="37"/>
      <c r="V764" s="37"/>
      <c r="W764" s="37"/>
      <c r="X764" s="37"/>
      <c r="Y764" s="37"/>
      <c r="Z764" s="37"/>
      <c r="AA764" s="37">
        <f t="shared" ref="AA764:AA787" si="86">SUM(G764:Z764)</f>
        <v>0</v>
      </c>
      <c r="AB764" s="37">
        <f t="shared" si="78"/>
        <v>0</v>
      </c>
    </row>
    <row r="765" spans="1:28" ht="14.4">
      <c r="A765" s="117">
        <v>2130501112</v>
      </c>
      <c r="B765" s="1218" t="s">
        <v>704</v>
      </c>
      <c r="C765" s="37">
        <f>-VLOOKUP(A765,Composición!C:G,5,FALSE)</f>
        <v>0</v>
      </c>
      <c r="D765" s="37"/>
      <c r="E765" s="37"/>
      <c r="F765" s="37">
        <f>-VLOOKUP(A765,Composición!C:J,8,FALSE)</f>
        <v>0</v>
      </c>
      <c r="G765" s="37">
        <f t="shared" si="79"/>
        <v>0</v>
      </c>
      <c r="H765" s="37"/>
      <c r="I765" s="37"/>
      <c r="J765" s="37"/>
      <c r="K765" s="37"/>
      <c r="L765" s="37"/>
      <c r="M765" s="37"/>
      <c r="N765" s="37"/>
      <c r="O765" s="37"/>
      <c r="P765" s="37"/>
      <c r="Q765" s="37"/>
      <c r="R765" s="37"/>
      <c r="S765" s="37">
        <f t="shared" ref="S765:S779" si="87">-G765</f>
        <v>0</v>
      </c>
      <c r="T765" s="37"/>
      <c r="U765" s="37"/>
      <c r="V765" s="37"/>
      <c r="W765" s="37"/>
      <c r="X765" s="37"/>
      <c r="Y765" s="37"/>
      <c r="Z765" s="37"/>
      <c r="AA765" s="37">
        <f t="shared" si="86"/>
        <v>0</v>
      </c>
      <c r="AB765" s="37"/>
    </row>
    <row r="766" spans="1:28" ht="14.4">
      <c r="A766" s="117">
        <v>21305011</v>
      </c>
      <c r="B766" s="1172" t="s">
        <v>72</v>
      </c>
      <c r="C766" s="37">
        <f>-VLOOKUP(A766,Composición!C:G,5,FALSE)</f>
        <v>0</v>
      </c>
      <c r="D766" s="37"/>
      <c r="E766" s="37"/>
      <c r="F766" s="37">
        <f>-VLOOKUP(A766,Composición!C:J,8,FALSE)</f>
        <v>0</v>
      </c>
      <c r="G766" s="37">
        <f t="shared" ref="G766:G779" si="88">C766+D766-E766-F766</f>
        <v>0</v>
      </c>
      <c r="H766" s="37"/>
      <c r="I766" s="37"/>
      <c r="J766" s="37"/>
      <c r="K766" s="37"/>
      <c r="L766" s="37"/>
      <c r="M766" s="37"/>
      <c r="N766" s="37"/>
      <c r="O766" s="37"/>
      <c r="P766" s="37"/>
      <c r="Q766" s="37"/>
      <c r="R766" s="37"/>
      <c r="S766" s="37"/>
      <c r="T766" s="37"/>
      <c r="U766" s="37"/>
      <c r="V766" s="37"/>
      <c r="W766" s="37"/>
      <c r="X766" s="37"/>
      <c r="Y766" s="37"/>
      <c r="Z766" s="37"/>
      <c r="AA766" s="37">
        <f t="shared" si="86"/>
        <v>0</v>
      </c>
      <c r="AB766" s="37">
        <f t="shared" si="78"/>
        <v>0</v>
      </c>
    </row>
    <row r="767" spans="1:28" ht="14.4">
      <c r="A767" s="117">
        <v>2130501105</v>
      </c>
      <c r="B767" s="1172" t="s">
        <v>74</v>
      </c>
      <c r="C767" s="37">
        <f>-VLOOKUP(A767,Composición!C:G,5,FALSE)</f>
        <v>-4448524</v>
      </c>
      <c r="D767" s="37"/>
      <c r="E767" s="37"/>
      <c r="F767" s="37">
        <f>-VLOOKUP(A767,Composición!C:J,8,FALSE)</f>
        <v>0</v>
      </c>
      <c r="G767" s="37">
        <f t="shared" si="88"/>
        <v>-4448524</v>
      </c>
      <c r="H767" s="37"/>
      <c r="I767" s="37"/>
      <c r="J767" s="37"/>
      <c r="K767" s="37"/>
      <c r="L767" s="37"/>
      <c r="M767" s="37"/>
      <c r="N767" s="37"/>
      <c r="O767" s="37"/>
      <c r="P767" s="37"/>
      <c r="Q767" s="37"/>
      <c r="R767" s="37"/>
      <c r="S767" s="37">
        <f t="shared" si="87"/>
        <v>4448524</v>
      </c>
      <c r="T767" s="37"/>
      <c r="U767" s="37"/>
      <c r="V767" s="37"/>
      <c r="W767" s="37"/>
      <c r="X767" s="37"/>
      <c r="Y767" s="37"/>
      <c r="Z767" s="37"/>
      <c r="AA767" s="37">
        <f t="shared" ref="AA767:AA774" si="89">SUM(G767:Z767)</f>
        <v>0</v>
      </c>
      <c r="AB767" s="37">
        <f t="shared" si="78"/>
        <v>0</v>
      </c>
    </row>
    <row r="768" spans="1:28" ht="14.4">
      <c r="A768" s="1351">
        <v>2130501107</v>
      </c>
      <c r="B768" s="1351" t="s">
        <v>707</v>
      </c>
      <c r="C768" s="37">
        <f>-VLOOKUP(A768,Composición!C:G,5,FALSE)</f>
        <v>-2455889</v>
      </c>
      <c r="D768" s="37"/>
      <c r="E768" s="37"/>
      <c r="F768" s="37">
        <f>-VLOOKUP(A768,Composición!C:J,8,FALSE)</f>
        <v>0</v>
      </c>
      <c r="G768" s="37">
        <f t="shared" ref="G768" si="90">C768+D768-E768-F768</f>
        <v>-2455889</v>
      </c>
      <c r="H768" s="37"/>
      <c r="I768" s="37"/>
      <c r="J768" s="37"/>
      <c r="K768" s="37"/>
      <c r="L768" s="37"/>
      <c r="M768" s="37"/>
      <c r="N768" s="37"/>
      <c r="O768" s="37"/>
      <c r="P768" s="37"/>
      <c r="Q768" s="37"/>
      <c r="R768" s="37"/>
      <c r="S768" s="37">
        <f t="shared" ref="S768" si="91">-G768</f>
        <v>2455889</v>
      </c>
      <c r="T768" s="37"/>
      <c r="U768" s="37"/>
      <c r="V768" s="37"/>
      <c r="W768" s="37"/>
      <c r="X768" s="37"/>
      <c r="Y768" s="37"/>
      <c r="Z768" s="37"/>
      <c r="AA768" s="37">
        <f t="shared" ref="AA768" si="92">SUM(G768:Z768)</f>
        <v>0</v>
      </c>
      <c r="AB768" s="37">
        <f t="shared" ref="AB768" si="93">SUM(G768:Z768)</f>
        <v>0</v>
      </c>
    </row>
    <row r="769" spans="1:28" ht="14.4">
      <c r="A769" s="117">
        <v>2130501109</v>
      </c>
      <c r="B769" s="1172" t="s">
        <v>76</v>
      </c>
      <c r="C769" s="37">
        <f>-VLOOKUP(A769,Composición!C:G,5,FALSE)</f>
        <v>0</v>
      </c>
      <c r="D769" s="37"/>
      <c r="E769" s="37"/>
      <c r="F769" s="37">
        <f>-VLOOKUP(A769,Composición!C:J,8,FALSE)</f>
        <v>0</v>
      </c>
      <c r="G769" s="37">
        <f t="shared" si="88"/>
        <v>0</v>
      </c>
      <c r="H769" s="37"/>
      <c r="I769" s="37"/>
      <c r="J769" s="37"/>
      <c r="K769" s="37"/>
      <c r="L769" s="37"/>
      <c r="M769" s="37"/>
      <c r="N769" s="37"/>
      <c r="O769" s="37"/>
      <c r="P769" s="37"/>
      <c r="Q769" s="37"/>
      <c r="R769" s="37"/>
      <c r="S769" s="37">
        <f t="shared" si="87"/>
        <v>0</v>
      </c>
      <c r="T769" s="37"/>
      <c r="U769" s="37"/>
      <c r="V769" s="37"/>
      <c r="W769" s="37"/>
      <c r="X769" s="37"/>
      <c r="Y769" s="37"/>
      <c r="Z769" s="37"/>
      <c r="AA769" s="37">
        <f t="shared" si="89"/>
        <v>0</v>
      </c>
      <c r="AB769" s="37">
        <f t="shared" si="78"/>
        <v>0</v>
      </c>
    </row>
    <row r="770" spans="1:28" ht="14.4">
      <c r="A770" s="117">
        <v>2130501111</v>
      </c>
      <c r="B770" s="1172" t="s">
        <v>77</v>
      </c>
      <c r="C770" s="37">
        <f>-VLOOKUP(A770,Composición!C:G,5,FALSE)</f>
        <v>-105440315</v>
      </c>
      <c r="D770" s="37"/>
      <c r="E770" s="37"/>
      <c r="F770" s="37">
        <f>-VLOOKUP(A770,Composición!C:J,8,FALSE)</f>
        <v>0</v>
      </c>
      <c r="G770" s="37">
        <f t="shared" si="88"/>
        <v>-105440315</v>
      </c>
      <c r="H770" s="37"/>
      <c r="I770" s="37"/>
      <c r="J770" s="37"/>
      <c r="K770" s="37"/>
      <c r="L770" s="37"/>
      <c r="M770" s="37"/>
      <c r="N770" s="37"/>
      <c r="O770" s="37"/>
      <c r="P770" s="37"/>
      <c r="Q770" s="37"/>
      <c r="R770" s="37"/>
      <c r="S770" s="37">
        <f t="shared" si="87"/>
        <v>105440315</v>
      </c>
      <c r="T770" s="37"/>
      <c r="U770" s="37"/>
      <c r="V770" s="37"/>
      <c r="W770" s="37"/>
      <c r="X770" s="37"/>
      <c r="Y770" s="37"/>
      <c r="Z770" s="37"/>
      <c r="AA770" s="37">
        <f t="shared" si="89"/>
        <v>0</v>
      </c>
      <c r="AB770" s="37">
        <f t="shared" si="78"/>
        <v>0</v>
      </c>
    </row>
    <row r="771" spans="1:28" ht="14.4">
      <c r="A771" s="1351">
        <v>2130501117</v>
      </c>
      <c r="B771" s="1351" t="s">
        <v>78</v>
      </c>
      <c r="C771" s="37">
        <f>-VLOOKUP(A771,Composición!C:G,5,FALSE)</f>
        <v>-59628</v>
      </c>
      <c r="D771" s="37"/>
      <c r="E771" s="37"/>
      <c r="F771" s="37">
        <f>-VLOOKUP(A771,Composición!C:J,8,FALSE)</f>
        <v>0</v>
      </c>
      <c r="G771" s="37">
        <f t="shared" ref="G771" si="94">C771+D771-E771-F771</f>
        <v>-59628</v>
      </c>
      <c r="H771" s="37"/>
      <c r="I771" s="37"/>
      <c r="J771" s="37"/>
      <c r="K771" s="37"/>
      <c r="L771" s="37"/>
      <c r="M771" s="37"/>
      <c r="N771" s="37"/>
      <c r="O771" s="37"/>
      <c r="P771" s="37"/>
      <c r="Q771" s="37"/>
      <c r="R771" s="37"/>
      <c r="S771" s="37">
        <f t="shared" ref="S771" si="95">-G771</f>
        <v>59628</v>
      </c>
      <c r="T771" s="37"/>
      <c r="U771" s="37"/>
      <c r="V771" s="37"/>
      <c r="W771" s="37"/>
      <c r="X771" s="37"/>
      <c r="Y771" s="37"/>
      <c r="Z771" s="37"/>
      <c r="AA771" s="37">
        <f t="shared" ref="AA771" si="96">SUM(G771:Z771)</f>
        <v>0</v>
      </c>
      <c r="AB771" s="37">
        <f t="shared" ref="AB771" si="97">SUM(G771:Z771)</f>
        <v>0</v>
      </c>
    </row>
    <row r="772" spans="1:28" ht="14.4">
      <c r="A772" s="117">
        <v>2130501121</v>
      </c>
      <c r="B772" s="1172" t="s">
        <v>528</v>
      </c>
      <c r="C772" s="37">
        <f>-VLOOKUP(A772,Composición!C:G,5,FALSE)</f>
        <v>-3806204</v>
      </c>
      <c r="D772" s="37"/>
      <c r="E772" s="37"/>
      <c r="F772" s="37">
        <f>-VLOOKUP(A772,Composición!C:J,8,FALSE)</f>
        <v>0</v>
      </c>
      <c r="G772" s="37">
        <f t="shared" si="88"/>
        <v>-3806204</v>
      </c>
      <c r="H772" s="37"/>
      <c r="I772" s="37"/>
      <c r="J772" s="37"/>
      <c r="K772" s="37"/>
      <c r="L772" s="37"/>
      <c r="M772" s="37"/>
      <c r="N772" s="37"/>
      <c r="O772" s="37"/>
      <c r="P772" s="37"/>
      <c r="Q772" s="37"/>
      <c r="R772" s="37"/>
      <c r="S772" s="37">
        <f t="shared" si="87"/>
        <v>3806204</v>
      </c>
      <c r="T772" s="37"/>
      <c r="U772" s="37"/>
      <c r="V772" s="37"/>
      <c r="W772" s="37"/>
      <c r="X772" s="37"/>
      <c r="Y772" s="37"/>
      <c r="Z772" s="37"/>
      <c r="AA772" s="37">
        <f t="shared" si="89"/>
        <v>0</v>
      </c>
      <c r="AB772" s="37">
        <f t="shared" si="78"/>
        <v>0</v>
      </c>
    </row>
    <row r="773" spans="1:28" ht="14.4">
      <c r="A773" s="117">
        <v>2130501123</v>
      </c>
      <c r="B773" s="1172" t="s">
        <v>146</v>
      </c>
      <c r="C773" s="37">
        <f>-VLOOKUP(A773,Composición!C:G,5,FALSE)</f>
        <v>0</v>
      </c>
      <c r="D773" s="37"/>
      <c r="E773" s="37"/>
      <c r="F773" s="37">
        <f>-VLOOKUP(A773,Composición!C:J,8,FALSE)</f>
        <v>0</v>
      </c>
      <c r="G773" s="37">
        <f t="shared" si="88"/>
        <v>0</v>
      </c>
      <c r="H773" s="37"/>
      <c r="I773" s="37"/>
      <c r="J773" s="37"/>
      <c r="K773" s="37"/>
      <c r="L773" s="37"/>
      <c r="M773" s="37"/>
      <c r="N773" s="37"/>
      <c r="O773" s="37"/>
      <c r="P773" s="37"/>
      <c r="Q773" s="37"/>
      <c r="R773" s="37"/>
      <c r="S773" s="37">
        <f t="shared" si="87"/>
        <v>0</v>
      </c>
      <c r="T773" s="37"/>
      <c r="U773" s="37"/>
      <c r="V773" s="37"/>
      <c r="W773" s="37"/>
      <c r="X773" s="37"/>
      <c r="Y773" s="37"/>
      <c r="Z773" s="37"/>
      <c r="AA773" s="37">
        <f t="shared" si="89"/>
        <v>0</v>
      </c>
      <c r="AB773" s="37">
        <f t="shared" ref="AB773:AB840" si="98">SUM(G773:Z773)</f>
        <v>0</v>
      </c>
    </row>
    <row r="774" spans="1:28" ht="14.4">
      <c r="A774" s="117">
        <v>21305012</v>
      </c>
      <c r="B774" s="1172" t="s">
        <v>142</v>
      </c>
      <c r="C774" s="37">
        <f>-VLOOKUP(A774,Composición!C:G,5,FALSE)</f>
        <v>0</v>
      </c>
      <c r="D774" s="37"/>
      <c r="E774" s="37"/>
      <c r="F774" s="37">
        <f>-VLOOKUP(A774,Composición!C:J,8,FALSE)</f>
        <v>0</v>
      </c>
      <c r="G774" s="37">
        <f t="shared" si="88"/>
        <v>0</v>
      </c>
      <c r="H774" s="37"/>
      <c r="I774" s="37"/>
      <c r="J774" s="37"/>
      <c r="K774" s="37"/>
      <c r="L774" s="37"/>
      <c r="M774" s="37"/>
      <c r="N774" s="37"/>
      <c r="O774" s="37"/>
      <c r="P774" s="37"/>
      <c r="Q774" s="37"/>
      <c r="R774" s="37"/>
      <c r="S774" s="37">
        <f t="shared" si="87"/>
        <v>0</v>
      </c>
      <c r="T774" s="37"/>
      <c r="U774" s="37"/>
      <c r="V774" s="37"/>
      <c r="W774" s="37"/>
      <c r="X774" s="37"/>
      <c r="Y774" s="37"/>
      <c r="Z774" s="37"/>
      <c r="AA774" s="37">
        <f t="shared" si="89"/>
        <v>0</v>
      </c>
      <c r="AB774" s="37">
        <f t="shared" si="98"/>
        <v>0</v>
      </c>
    </row>
    <row r="775" spans="1:28" ht="14.4">
      <c r="A775" s="117">
        <v>2130501202</v>
      </c>
      <c r="B775" s="1172" t="s">
        <v>143</v>
      </c>
      <c r="C775" s="37">
        <f>-VLOOKUP(A775,Composición!C:G,5,FALSE)</f>
        <v>-2634639</v>
      </c>
      <c r="D775" s="37"/>
      <c r="E775" s="37"/>
      <c r="F775" s="37">
        <f>-VLOOKUP(A775,Composición!C:J,8,FALSE)</f>
        <v>0</v>
      </c>
      <c r="G775" s="37">
        <f t="shared" si="88"/>
        <v>-2634639</v>
      </c>
      <c r="H775" s="37"/>
      <c r="I775" s="37"/>
      <c r="J775" s="37"/>
      <c r="K775" s="37"/>
      <c r="L775" s="37"/>
      <c r="M775" s="37"/>
      <c r="N775" s="37"/>
      <c r="O775" s="37"/>
      <c r="P775" s="37"/>
      <c r="Q775" s="37"/>
      <c r="R775" s="37"/>
      <c r="S775" s="37">
        <f t="shared" si="87"/>
        <v>2634639</v>
      </c>
      <c r="T775" s="37"/>
      <c r="U775" s="37"/>
      <c r="V775" s="37"/>
      <c r="W775" s="37"/>
      <c r="X775" s="37"/>
      <c r="Y775" s="37"/>
      <c r="Z775" s="37"/>
      <c r="AA775" s="37">
        <f t="shared" ref="AA775:AA781" si="99">SUM(G775:Z775)</f>
        <v>0</v>
      </c>
      <c r="AB775" s="37">
        <f t="shared" si="98"/>
        <v>0</v>
      </c>
    </row>
    <row r="776" spans="1:28" ht="14.4">
      <c r="A776" s="117">
        <v>2130501204</v>
      </c>
      <c r="B776" s="1172" t="s">
        <v>144</v>
      </c>
      <c r="C776" s="37">
        <f>-VLOOKUP(A776,Composición!C:G,5,FALSE)</f>
        <v>0</v>
      </c>
      <c r="D776" s="37"/>
      <c r="E776" s="37"/>
      <c r="F776" s="37">
        <f>-VLOOKUP(A776,Composición!C:J,8,FALSE)</f>
        <v>0</v>
      </c>
      <c r="G776" s="37">
        <f t="shared" si="88"/>
        <v>0</v>
      </c>
      <c r="H776" s="37"/>
      <c r="I776" s="37"/>
      <c r="J776" s="37"/>
      <c r="K776" s="37"/>
      <c r="L776" s="37"/>
      <c r="M776" s="37"/>
      <c r="N776" s="37"/>
      <c r="O776" s="37"/>
      <c r="P776" s="37"/>
      <c r="Q776" s="37"/>
      <c r="R776" s="37"/>
      <c r="S776" s="37">
        <f t="shared" si="87"/>
        <v>0</v>
      </c>
      <c r="T776" s="37"/>
      <c r="U776" s="37"/>
      <c r="V776" s="37"/>
      <c r="W776" s="37"/>
      <c r="X776" s="37"/>
      <c r="Y776" s="37"/>
      <c r="Z776" s="37"/>
      <c r="AA776" s="37">
        <f t="shared" si="99"/>
        <v>0</v>
      </c>
      <c r="AB776" s="37">
        <f t="shared" si="98"/>
        <v>0</v>
      </c>
    </row>
    <row r="777" spans="1:28" ht="14.4">
      <c r="A777" s="1218">
        <v>2130501203</v>
      </c>
      <c r="B777" s="1218" t="s">
        <v>2709</v>
      </c>
      <c r="C777" s="37">
        <f>-VLOOKUP(A777,Composición!C:G,5,FALSE)</f>
        <v>-20043236</v>
      </c>
      <c r="D777" s="37"/>
      <c r="E777" s="37"/>
      <c r="F777" s="37"/>
      <c r="G777" s="37">
        <f t="shared" si="88"/>
        <v>-20043236</v>
      </c>
      <c r="H777" s="37"/>
      <c r="I777" s="37"/>
      <c r="J777" s="37"/>
      <c r="K777" s="37"/>
      <c r="L777" s="37"/>
      <c r="M777" s="37"/>
      <c r="N777" s="37"/>
      <c r="O777" s="37"/>
      <c r="P777" s="37"/>
      <c r="Q777" s="37"/>
      <c r="R777" s="37"/>
      <c r="S777" s="37">
        <f t="shared" si="87"/>
        <v>20043236</v>
      </c>
      <c r="T777" s="37"/>
      <c r="U777" s="37"/>
      <c r="V777" s="37"/>
      <c r="W777" s="37"/>
      <c r="X777" s="37"/>
      <c r="Y777" s="37"/>
      <c r="Z777" s="37"/>
      <c r="AA777" s="37">
        <f t="shared" si="99"/>
        <v>0</v>
      </c>
      <c r="AB777" s="37"/>
    </row>
    <row r="778" spans="1:28" ht="14.4">
      <c r="A778" s="117">
        <v>2130501205</v>
      </c>
      <c r="B778" s="1172" t="s">
        <v>590</v>
      </c>
      <c r="C778" s="37">
        <f>-VLOOKUP(A778,Composición!C:G,5,FALSE)</f>
        <v>-20691170</v>
      </c>
      <c r="D778" s="37"/>
      <c r="E778" s="37"/>
      <c r="F778" s="37">
        <f>-VLOOKUP(A778,Composición!C:J,8,FALSE)</f>
        <v>0</v>
      </c>
      <c r="G778" s="37">
        <f t="shared" si="88"/>
        <v>-20691170</v>
      </c>
      <c r="H778" s="37"/>
      <c r="I778" s="37"/>
      <c r="J778" s="37"/>
      <c r="K778" s="37"/>
      <c r="L778" s="37"/>
      <c r="M778" s="37"/>
      <c r="N778" s="37"/>
      <c r="O778" s="37"/>
      <c r="P778" s="37"/>
      <c r="Q778" s="37"/>
      <c r="R778" s="37"/>
      <c r="S778" s="37">
        <f t="shared" si="87"/>
        <v>20691170</v>
      </c>
      <c r="T778" s="37"/>
      <c r="U778" s="37"/>
      <c r="V778" s="37"/>
      <c r="W778" s="37"/>
      <c r="X778" s="37"/>
      <c r="Y778" s="37"/>
      <c r="Z778" s="37"/>
      <c r="AA778" s="37">
        <f t="shared" si="99"/>
        <v>0</v>
      </c>
      <c r="AB778" s="37">
        <f t="shared" si="98"/>
        <v>0</v>
      </c>
    </row>
    <row r="779" spans="1:28" ht="14.4">
      <c r="A779" s="1218">
        <v>2130501207</v>
      </c>
      <c r="B779" s="1218" t="s">
        <v>146</v>
      </c>
      <c r="C779" s="37">
        <f>-VLOOKUP(A779,Composición!C:G,5,FALSE)</f>
        <v>-19400613</v>
      </c>
      <c r="D779" s="37"/>
      <c r="E779" s="37"/>
      <c r="F779" s="37"/>
      <c r="G779" s="37">
        <f t="shared" si="88"/>
        <v>-19400613</v>
      </c>
      <c r="H779" s="37"/>
      <c r="I779" s="37"/>
      <c r="J779" s="37"/>
      <c r="K779" s="37"/>
      <c r="L779" s="37"/>
      <c r="M779" s="37"/>
      <c r="N779" s="37"/>
      <c r="O779" s="37"/>
      <c r="P779" s="37"/>
      <c r="Q779" s="37"/>
      <c r="R779" s="37"/>
      <c r="S779" s="37">
        <f t="shared" si="87"/>
        <v>19400613</v>
      </c>
      <c r="T779" s="37"/>
      <c r="U779" s="37"/>
      <c r="V779" s="37"/>
      <c r="W779" s="37"/>
      <c r="X779" s="37"/>
      <c r="Y779" s="37"/>
      <c r="Z779" s="37"/>
      <c r="AA779" s="37">
        <f t="shared" si="99"/>
        <v>0</v>
      </c>
      <c r="AB779" s="37"/>
    </row>
    <row r="780" spans="1:28" ht="14.4">
      <c r="A780" s="117">
        <v>21305013</v>
      </c>
      <c r="B780" s="1172" t="s">
        <v>121</v>
      </c>
      <c r="C780" s="37">
        <f>-VLOOKUP(A780,Composición!C:G,5,FALSE)</f>
        <v>0</v>
      </c>
      <c r="D780" s="37"/>
      <c r="E780" s="37"/>
      <c r="F780" s="37">
        <f>-VLOOKUP(A780,Composición!C:J,8,FALSE)</f>
        <v>0</v>
      </c>
      <c r="G780" s="37">
        <f t="shared" ref="G780:G782" si="100">C780+D780-E780-F780</f>
        <v>0</v>
      </c>
      <c r="H780" s="37"/>
      <c r="I780" s="37"/>
      <c r="J780" s="37"/>
      <c r="K780" s="37"/>
      <c r="L780" s="37"/>
      <c r="M780" s="37"/>
      <c r="N780" s="37"/>
      <c r="O780" s="37"/>
      <c r="P780" s="37"/>
      <c r="Q780" s="37"/>
      <c r="R780" s="37"/>
      <c r="S780" s="37">
        <f t="shared" ref="S780:S782" si="101">-G780</f>
        <v>0</v>
      </c>
      <c r="T780" s="37"/>
      <c r="U780" s="37"/>
      <c r="V780" s="37"/>
      <c r="W780" s="37"/>
      <c r="X780" s="37"/>
      <c r="Y780" s="37"/>
      <c r="Z780" s="37"/>
      <c r="AA780" s="37">
        <f t="shared" si="99"/>
        <v>0</v>
      </c>
      <c r="AB780" s="37">
        <f t="shared" si="98"/>
        <v>0</v>
      </c>
    </row>
    <row r="781" spans="1:28" ht="14.4">
      <c r="A781" s="117">
        <v>2130501302</v>
      </c>
      <c r="B781" s="1172" t="s">
        <v>122</v>
      </c>
      <c r="C781" s="37">
        <f>-VLOOKUP(A781,Composición!C:G,5,FALSE)</f>
        <v>-2114</v>
      </c>
      <c r="D781" s="37"/>
      <c r="E781" s="37"/>
      <c r="F781" s="37">
        <f>-VLOOKUP(A781,Composición!C:J,8,FALSE)</f>
        <v>0</v>
      </c>
      <c r="G781" s="37">
        <f t="shared" ref="G781" si="102">C781+D781-E781-F781</f>
        <v>-2114</v>
      </c>
      <c r="H781" s="37"/>
      <c r="I781" s="37"/>
      <c r="J781" s="37"/>
      <c r="K781" s="37"/>
      <c r="L781" s="37"/>
      <c r="M781" s="37"/>
      <c r="N781" s="37"/>
      <c r="O781" s="37"/>
      <c r="P781" s="37"/>
      <c r="Q781" s="37"/>
      <c r="R781" s="37"/>
      <c r="S781" s="37">
        <f t="shared" ref="S781" si="103">-G781</f>
        <v>2114</v>
      </c>
      <c r="T781" s="37"/>
      <c r="U781" s="37"/>
      <c r="V781" s="37"/>
      <c r="W781" s="37"/>
      <c r="X781" s="37"/>
      <c r="Y781" s="37"/>
      <c r="Z781" s="37"/>
      <c r="AA781" s="37">
        <f t="shared" si="99"/>
        <v>0</v>
      </c>
      <c r="AB781" s="37">
        <f t="shared" ref="AB781" si="104">SUM(G781:Z781)</f>
        <v>0</v>
      </c>
    </row>
    <row r="782" spans="1:28" ht="14.4">
      <c r="A782" s="1351">
        <v>2130501303</v>
      </c>
      <c r="B782" s="1351" t="s">
        <v>801</v>
      </c>
      <c r="C782" s="37">
        <f>-VLOOKUP(A782,Composición!C:G,5,FALSE)</f>
        <v>-7612427</v>
      </c>
      <c r="D782" s="37"/>
      <c r="E782" s="37"/>
      <c r="F782" s="37">
        <f>-VLOOKUP(A782,Composición!C:J,8,FALSE)</f>
        <v>0</v>
      </c>
      <c r="G782" s="37">
        <f t="shared" si="100"/>
        <v>-7612427</v>
      </c>
      <c r="H782" s="37"/>
      <c r="I782" s="37"/>
      <c r="J782" s="37"/>
      <c r="K782" s="37"/>
      <c r="L782" s="37"/>
      <c r="M782" s="37"/>
      <c r="N782" s="37"/>
      <c r="O782" s="37"/>
      <c r="P782" s="37"/>
      <c r="Q782" s="37"/>
      <c r="R782" s="37"/>
      <c r="S782" s="37">
        <f t="shared" si="101"/>
        <v>7612427</v>
      </c>
      <c r="T782" s="37"/>
      <c r="U782" s="37"/>
      <c r="V782" s="37"/>
      <c r="W782" s="37"/>
      <c r="X782" s="37"/>
      <c r="Y782" s="37"/>
      <c r="Z782" s="37"/>
      <c r="AA782" s="37">
        <f t="shared" ref="AA782" si="105">SUM(G782:Z782)</f>
        <v>0</v>
      </c>
      <c r="AB782" s="37">
        <f t="shared" si="98"/>
        <v>0</v>
      </c>
    </row>
    <row r="783" spans="1:28" ht="14.4">
      <c r="A783" s="117">
        <v>21304</v>
      </c>
      <c r="B783" s="117" t="s">
        <v>809</v>
      </c>
      <c r="C783" s="37">
        <f>-VLOOKUP(A783,Composición!C:G,5,FALSE)</f>
        <v>0</v>
      </c>
      <c r="D783" s="37"/>
      <c r="E783" s="37"/>
      <c r="F783" s="37">
        <f>-VLOOKUP(A783,Composición!C:J,8,FALSE)</f>
        <v>0</v>
      </c>
      <c r="G783" s="37">
        <f t="shared" si="79"/>
        <v>0</v>
      </c>
      <c r="H783" s="37"/>
      <c r="I783" s="37"/>
      <c r="J783" s="37"/>
      <c r="K783" s="37"/>
      <c r="L783" s="37"/>
      <c r="M783" s="37"/>
      <c r="N783" s="37"/>
      <c r="O783" s="37"/>
      <c r="P783" s="37"/>
      <c r="Q783" s="37"/>
      <c r="R783" s="37"/>
      <c r="S783" s="37"/>
      <c r="T783" s="37"/>
      <c r="U783" s="37"/>
      <c r="V783" s="37"/>
      <c r="W783" s="37"/>
      <c r="X783" s="37"/>
      <c r="Y783" s="37"/>
      <c r="Z783" s="37"/>
      <c r="AA783" s="37">
        <f t="shared" si="86"/>
        <v>0</v>
      </c>
      <c r="AB783" s="37">
        <f t="shared" si="98"/>
        <v>0</v>
      </c>
    </row>
    <row r="784" spans="1:28" ht="14.4">
      <c r="A784" s="117">
        <v>213041</v>
      </c>
      <c r="B784" s="117" t="s">
        <v>810</v>
      </c>
      <c r="C784" s="37">
        <f>-VLOOKUP(A784,Composición!C:G,5,FALSE)</f>
        <v>0</v>
      </c>
      <c r="D784" s="37"/>
      <c r="E784" s="37"/>
      <c r="F784" s="37">
        <f>-VLOOKUP(A784,Composición!C:J,8,FALSE)</f>
        <v>0</v>
      </c>
      <c r="G784" s="37">
        <f t="shared" si="79"/>
        <v>0</v>
      </c>
      <c r="H784" s="37"/>
      <c r="I784" s="37"/>
      <c r="J784" s="37"/>
      <c r="K784" s="37"/>
      <c r="L784" s="37"/>
      <c r="M784" s="37"/>
      <c r="N784" s="37"/>
      <c r="O784" s="37"/>
      <c r="P784" s="37"/>
      <c r="Q784" s="37"/>
      <c r="R784" s="37"/>
      <c r="S784" s="37"/>
      <c r="T784" s="37"/>
      <c r="U784" s="37"/>
      <c r="V784" s="37"/>
      <c r="W784" s="37"/>
      <c r="X784" s="37"/>
      <c r="Y784" s="37"/>
      <c r="Z784" s="37"/>
      <c r="AA784" s="37">
        <f t="shared" si="86"/>
        <v>0</v>
      </c>
      <c r="AB784" s="37">
        <f t="shared" si="98"/>
        <v>0</v>
      </c>
    </row>
    <row r="785" spans="1:28" ht="14.4">
      <c r="A785" s="117">
        <v>2130411</v>
      </c>
      <c r="B785" s="117" t="s">
        <v>811</v>
      </c>
      <c r="C785" s="37">
        <f>-VLOOKUP(A785,Composición!C:G,5,FALSE)</f>
        <v>0</v>
      </c>
      <c r="D785" s="37"/>
      <c r="E785" s="37"/>
      <c r="F785" s="37">
        <f>-VLOOKUP(A785,Composición!C:J,8,FALSE)</f>
        <v>0</v>
      </c>
      <c r="G785" s="37">
        <f t="shared" si="79"/>
        <v>0</v>
      </c>
      <c r="H785" s="37"/>
      <c r="I785" s="37"/>
      <c r="J785" s="37"/>
      <c r="K785" s="37"/>
      <c r="L785" s="37"/>
      <c r="M785" s="37"/>
      <c r="N785" s="37"/>
      <c r="O785" s="37"/>
      <c r="P785" s="37"/>
      <c r="Q785" s="37"/>
      <c r="R785" s="37"/>
      <c r="S785" s="37"/>
      <c r="T785" s="37"/>
      <c r="U785" s="37"/>
      <c r="V785" s="37"/>
      <c r="W785" s="37"/>
      <c r="X785" s="37"/>
      <c r="Y785" s="37"/>
      <c r="Z785" s="37"/>
      <c r="AA785" s="37">
        <f t="shared" si="86"/>
        <v>0</v>
      </c>
      <c r="AB785" s="37">
        <f t="shared" si="98"/>
        <v>0</v>
      </c>
    </row>
    <row r="786" spans="1:28" ht="14.4">
      <c r="A786" s="117">
        <v>21304111</v>
      </c>
      <c r="B786" s="117" t="s">
        <v>419</v>
      </c>
      <c r="C786" s="37">
        <f>-VLOOKUP(A786,Composición!C:G,5,FALSE)</f>
        <v>0</v>
      </c>
      <c r="D786" s="37"/>
      <c r="E786" s="37"/>
      <c r="F786" s="37">
        <f>-VLOOKUP(A786,Composición!C:J,8,FALSE)</f>
        <v>0</v>
      </c>
      <c r="G786" s="37">
        <f t="shared" si="79"/>
        <v>0</v>
      </c>
      <c r="H786" s="37"/>
      <c r="I786" s="37"/>
      <c r="J786" s="37"/>
      <c r="K786" s="37"/>
      <c r="L786" s="37"/>
      <c r="M786" s="37"/>
      <c r="N786" s="37"/>
      <c r="O786" s="37"/>
      <c r="P786" s="37"/>
      <c r="Q786" s="37"/>
      <c r="R786" s="37"/>
      <c r="S786" s="37">
        <f>-G786</f>
        <v>0</v>
      </c>
      <c r="T786" s="37"/>
      <c r="U786" s="37"/>
      <c r="V786" s="37"/>
      <c r="W786" s="37"/>
      <c r="X786" s="37"/>
      <c r="Y786" s="37"/>
      <c r="Z786" s="37"/>
      <c r="AA786" s="37">
        <f t="shared" si="86"/>
        <v>0</v>
      </c>
      <c r="AB786" s="37">
        <f t="shared" si="98"/>
        <v>0</v>
      </c>
    </row>
    <row r="787" spans="1:28" ht="14.4">
      <c r="A787" s="117">
        <v>2130411101</v>
      </c>
      <c r="B787" s="117" t="s">
        <v>891</v>
      </c>
      <c r="C787" s="37">
        <f>-VLOOKUP(A787,Composición!C:G,5,FALSE)</f>
        <v>0</v>
      </c>
      <c r="D787" s="37"/>
      <c r="E787" s="37"/>
      <c r="F787" s="37">
        <f>-VLOOKUP(A787,Composición!C:J,8,FALSE)</f>
        <v>0</v>
      </c>
      <c r="G787" s="37">
        <f t="shared" si="79"/>
        <v>0</v>
      </c>
      <c r="H787" s="37"/>
      <c r="I787" s="37"/>
      <c r="J787" s="37"/>
      <c r="K787" s="37"/>
      <c r="L787" s="37"/>
      <c r="M787" s="37"/>
      <c r="N787" s="37"/>
      <c r="O787" s="37"/>
      <c r="P787" s="37"/>
      <c r="Q787" s="37"/>
      <c r="R787" s="37"/>
      <c r="S787" s="37">
        <f>-G787</f>
        <v>0</v>
      </c>
      <c r="T787" s="37"/>
      <c r="U787" s="37"/>
      <c r="V787" s="37"/>
      <c r="W787" s="37"/>
      <c r="X787" s="37"/>
      <c r="Y787" s="37"/>
      <c r="Z787" s="37"/>
      <c r="AA787" s="37">
        <f t="shared" si="86"/>
        <v>0</v>
      </c>
      <c r="AB787" s="37">
        <f t="shared" si="98"/>
        <v>0</v>
      </c>
    </row>
    <row r="788" spans="1:28" ht="14.4">
      <c r="A788" s="117">
        <v>2130411102</v>
      </c>
      <c r="B788" s="117" t="s">
        <v>892</v>
      </c>
      <c r="C788" s="37">
        <f>-VLOOKUP(A788,Composición!C:G,5,FALSE)</f>
        <v>0</v>
      </c>
      <c r="D788" s="37"/>
      <c r="E788" s="37"/>
      <c r="F788" s="37">
        <f>-VLOOKUP(A788,Composición!C:J,8,FALSE)</f>
        <v>0</v>
      </c>
      <c r="G788" s="37">
        <f t="shared" si="79"/>
        <v>0</v>
      </c>
      <c r="H788" s="37"/>
      <c r="I788" s="37"/>
      <c r="J788" s="37"/>
      <c r="K788" s="37"/>
      <c r="L788" s="37"/>
      <c r="M788" s="37"/>
      <c r="N788" s="37"/>
      <c r="O788" s="37"/>
      <c r="P788" s="37"/>
      <c r="Q788" s="37"/>
      <c r="R788" s="37"/>
      <c r="S788" s="37">
        <f>-G788</f>
        <v>0</v>
      </c>
      <c r="T788" s="37"/>
      <c r="U788" s="37"/>
      <c r="V788" s="37"/>
      <c r="W788" s="37"/>
      <c r="X788" s="37"/>
      <c r="Y788" s="37"/>
      <c r="Z788" s="37"/>
      <c r="AA788" s="37">
        <f t="shared" si="82"/>
        <v>0</v>
      </c>
      <c r="AB788" s="37">
        <f t="shared" si="98"/>
        <v>0</v>
      </c>
    </row>
    <row r="789" spans="1:28" ht="14.4">
      <c r="A789" s="117">
        <v>214</v>
      </c>
      <c r="B789" s="117" t="s">
        <v>221</v>
      </c>
      <c r="C789" s="37">
        <f>-VLOOKUP(A789,Composición!C:G,5,FALSE)</f>
        <v>0</v>
      </c>
      <c r="D789" s="37"/>
      <c r="E789" s="37"/>
      <c r="F789" s="37">
        <f>-VLOOKUP(A789,Composición!C:J,8,FALSE)</f>
        <v>0</v>
      </c>
      <c r="G789" s="37">
        <f t="shared" si="79"/>
        <v>0</v>
      </c>
      <c r="H789" s="37"/>
      <c r="I789" s="37"/>
      <c r="J789" s="37"/>
      <c r="K789" s="37"/>
      <c r="L789" s="37"/>
      <c r="M789" s="37"/>
      <c r="N789" s="37"/>
      <c r="O789" s="37"/>
      <c r="P789" s="37"/>
      <c r="Q789" s="37"/>
      <c r="R789" s="37"/>
      <c r="S789" s="37"/>
      <c r="T789" s="37"/>
      <c r="U789" s="37"/>
      <c r="V789" s="37"/>
      <c r="W789" s="37"/>
      <c r="X789" s="37"/>
      <c r="Y789" s="37"/>
      <c r="Z789" s="37"/>
      <c r="AA789" s="37">
        <f t="shared" si="82"/>
        <v>0</v>
      </c>
      <c r="AB789" s="37">
        <f t="shared" si="98"/>
        <v>0</v>
      </c>
    </row>
    <row r="790" spans="1:28" ht="14.4">
      <c r="A790" s="117">
        <v>21401</v>
      </c>
      <c r="B790" s="117" t="s">
        <v>222</v>
      </c>
      <c r="C790" s="37">
        <f>-VLOOKUP(A790,Composición!C:G,5,FALSE)</f>
        <v>0</v>
      </c>
      <c r="D790" s="37"/>
      <c r="E790" s="37"/>
      <c r="F790" s="37">
        <f>-VLOOKUP(A790,Composición!C:J,8,FALSE)</f>
        <v>0</v>
      </c>
      <c r="G790" s="37">
        <f t="shared" si="79"/>
        <v>0</v>
      </c>
      <c r="H790" s="37"/>
      <c r="I790" s="37"/>
      <c r="J790" s="37"/>
      <c r="K790" s="37"/>
      <c r="L790" s="37"/>
      <c r="M790" s="37"/>
      <c r="N790" s="37"/>
      <c r="O790" s="37"/>
      <c r="P790" s="37"/>
      <c r="Q790" s="37"/>
      <c r="R790" s="37"/>
      <c r="S790" s="37"/>
      <c r="T790" s="37"/>
      <c r="U790" s="37"/>
      <c r="V790" s="37"/>
      <c r="W790" s="37"/>
      <c r="X790" s="37"/>
      <c r="Y790" s="37"/>
      <c r="Z790" s="37"/>
      <c r="AA790" s="37">
        <f t="shared" si="82"/>
        <v>0</v>
      </c>
      <c r="AB790" s="37">
        <f t="shared" si="98"/>
        <v>0</v>
      </c>
    </row>
    <row r="791" spans="1:28" ht="14.4">
      <c r="A791" s="117">
        <v>214011</v>
      </c>
      <c r="B791" s="117" t="s">
        <v>222</v>
      </c>
      <c r="C791" s="37">
        <f>-VLOOKUP(A791,Composición!C:G,5,FALSE)</f>
        <v>0</v>
      </c>
      <c r="D791" s="37"/>
      <c r="E791" s="37"/>
      <c r="F791" s="37">
        <f>-VLOOKUP(A791,Composición!C:J,8,FALSE)</f>
        <v>0</v>
      </c>
      <c r="G791" s="37">
        <f t="shared" si="79"/>
        <v>0</v>
      </c>
      <c r="H791" s="37"/>
      <c r="I791" s="37"/>
      <c r="J791" s="37"/>
      <c r="K791" s="37"/>
      <c r="L791" s="37"/>
      <c r="M791" s="37"/>
      <c r="N791" s="37"/>
      <c r="O791" s="37"/>
      <c r="P791" s="37"/>
      <c r="Q791" s="37"/>
      <c r="R791" s="37"/>
      <c r="S791" s="37"/>
      <c r="T791" s="37"/>
      <c r="U791" s="37"/>
      <c r="V791" s="37"/>
      <c r="W791" s="37"/>
      <c r="X791" s="37"/>
      <c r="Y791" s="37"/>
      <c r="Z791" s="37"/>
      <c r="AA791" s="37">
        <f t="shared" si="82"/>
        <v>0</v>
      </c>
      <c r="AB791" s="37">
        <f t="shared" si="98"/>
        <v>0</v>
      </c>
    </row>
    <row r="792" spans="1:28" ht="14.4">
      <c r="A792" s="117">
        <v>2140111</v>
      </c>
      <c r="B792" s="117" t="s">
        <v>222</v>
      </c>
      <c r="C792" s="37">
        <f>-VLOOKUP(A792,Composición!C:G,5,FALSE)</f>
        <v>0</v>
      </c>
      <c r="D792" s="37"/>
      <c r="E792" s="37"/>
      <c r="F792" s="37">
        <f>-VLOOKUP(A792,Composición!C:J,8,FALSE)</f>
        <v>0</v>
      </c>
      <c r="G792" s="37">
        <f t="shared" si="79"/>
        <v>0</v>
      </c>
      <c r="H792" s="37"/>
      <c r="I792" s="37"/>
      <c r="J792" s="37"/>
      <c r="K792" s="37"/>
      <c r="L792" s="37"/>
      <c r="M792" s="37"/>
      <c r="N792" s="37"/>
      <c r="O792" s="37"/>
      <c r="P792" s="37"/>
      <c r="Q792" s="37"/>
      <c r="R792" s="37"/>
      <c r="S792" s="37"/>
      <c r="T792" s="37"/>
      <c r="U792" s="37"/>
      <c r="V792" s="37"/>
      <c r="W792" s="37"/>
      <c r="X792" s="37"/>
      <c r="Y792" s="37"/>
      <c r="Z792" s="37"/>
      <c r="AA792" s="37">
        <f t="shared" si="82"/>
        <v>0</v>
      </c>
      <c r="AB792" s="37">
        <f t="shared" si="98"/>
        <v>0</v>
      </c>
    </row>
    <row r="793" spans="1:28" ht="14.4">
      <c r="A793" s="117">
        <v>21401111</v>
      </c>
      <c r="B793" s="117" t="s">
        <v>223</v>
      </c>
      <c r="C793" s="37">
        <f>-VLOOKUP(A793,Composición!C:G,5,FALSE)</f>
        <v>0</v>
      </c>
      <c r="D793" s="37"/>
      <c r="E793" s="37"/>
      <c r="F793" s="37">
        <f>-VLOOKUP(A793,Composición!C:J,8,FALSE)</f>
        <v>0</v>
      </c>
      <c r="G793" s="37">
        <f t="shared" si="79"/>
        <v>0</v>
      </c>
      <c r="H793" s="37"/>
      <c r="I793" s="37"/>
      <c r="J793" s="37"/>
      <c r="K793" s="37"/>
      <c r="L793" s="37"/>
      <c r="M793" s="37"/>
      <c r="N793" s="37"/>
      <c r="O793" s="37"/>
      <c r="P793" s="37"/>
      <c r="Q793" s="37"/>
      <c r="R793" s="37"/>
      <c r="S793" s="37"/>
      <c r="T793" s="37"/>
      <c r="U793" s="37"/>
      <c r="V793" s="37"/>
      <c r="W793" s="37"/>
      <c r="X793" s="37"/>
      <c r="Y793" s="37"/>
      <c r="Z793" s="37"/>
      <c r="AA793" s="37">
        <f t="shared" si="82"/>
        <v>0</v>
      </c>
      <c r="AB793" s="37">
        <f t="shared" si="98"/>
        <v>0</v>
      </c>
    </row>
    <row r="794" spans="1:28" ht="14.4">
      <c r="A794" s="117">
        <v>2140111101</v>
      </c>
      <c r="B794" s="117" t="s">
        <v>893</v>
      </c>
      <c r="C794" s="37">
        <f>-VLOOKUP(A794,Composición!C:G,5,FALSE)</f>
        <v>0</v>
      </c>
      <c r="D794" s="37"/>
      <c r="E794" s="37"/>
      <c r="F794" s="37">
        <f>-VLOOKUP(A794,Composición!C:J,8,FALSE)</f>
        <v>0</v>
      </c>
      <c r="G794" s="37">
        <f t="shared" si="79"/>
        <v>0</v>
      </c>
      <c r="H794" s="37"/>
      <c r="I794" s="37"/>
      <c r="J794" s="37"/>
      <c r="K794" s="37"/>
      <c r="L794" s="37"/>
      <c r="M794" s="37"/>
      <c r="N794" s="37"/>
      <c r="O794" s="37"/>
      <c r="P794" s="37"/>
      <c r="Q794" s="37"/>
      <c r="R794" s="37"/>
      <c r="S794" s="37"/>
      <c r="T794" s="37"/>
      <c r="U794" s="37"/>
      <c r="V794" s="37"/>
      <c r="W794" s="37"/>
      <c r="X794" s="37"/>
      <c r="Y794" s="37"/>
      <c r="Z794" s="37"/>
      <c r="AA794" s="37">
        <f t="shared" si="82"/>
        <v>0</v>
      </c>
      <c r="AB794" s="37">
        <f t="shared" si="98"/>
        <v>0</v>
      </c>
    </row>
    <row r="795" spans="1:28" ht="14.4">
      <c r="A795" s="117">
        <v>2140111102</v>
      </c>
      <c r="B795" s="117" t="s">
        <v>894</v>
      </c>
      <c r="C795" s="37">
        <f>-VLOOKUP(A795,Composición!C:G,5,FALSE)</f>
        <v>0</v>
      </c>
      <c r="D795" s="37"/>
      <c r="E795" s="37"/>
      <c r="F795" s="37">
        <f>-VLOOKUP(A795,Composición!C:J,8,FALSE)</f>
        <v>0</v>
      </c>
      <c r="G795" s="37">
        <f t="shared" si="79"/>
        <v>0</v>
      </c>
      <c r="H795" s="37"/>
      <c r="I795" s="37"/>
      <c r="J795" s="37"/>
      <c r="K795" s="37"/>
      <c r="L795" s="37">
        <f>-G795</f>
        <v>0</v>
      </c>
      <c r="M795" s="37"/>
      <c r="N795" s="37"/>
      <c r="O795" s="37"/>
      <c r="P795" s="37"/>
      <c r="Q795" s="37"/>
      <c r="R795" s="37"/>
      <c r="S795" s="37"/>
      <c r="T795" s="37"/>
      <c r="U795" s="37"/>
      <c r="V795" s="37"/>
      <c r="W795" s="37"/>
      <c r="X795" s="37"/>
      <c r="Y795" s="37"/>
      <c r="Z795" s="37"/>
      <c r="AA795" s="37">
        <f t="shared" si="82"/>
        <v>0</v>
      </c>
      <c r="AB795" s="37">
        <f t="shared" si="98"/>
        <v>0</v>
      </c>
    </row>
    <row r="796" spans="1:28" ht="14.4">
      <c r="A796" s="117">
        <v>2140111103</v>
      </c>
      <c r="B796" s="117" t="s">
        <v>224</v>
      </c>
      <c r="C796" s="1365">
        <f>-VLOOKUP(A796,Composición!C:G,5,FALSE)</f>
        <v>-100739388</v>
      </c>
      <c r="D796" s="37"/>
      <c r="E796" s="37"/>
      <c r="F796" s="37">
        <f>-VLOOKUP(A796,Composición!C:J,8,FALSE)</f>
        <v>-188609064</v>
      </c>
      <c r="G796" s="37">
        <f t="shared" si="79"/>
        <v>87869676</v>
      </c>
      <c r="H796" s="37"/>
      <c r="I796" s="37"/>
      <c r="J796" s="37"/>
      <c r="K796" s="37"/>
      <c r="L796" s="37">
        <f>-G796</f>
        <v>-87869676</v>
      </c>
      <c r="M796" s="37"/>
      <c r="N796" s="37"/>
      <c r="O796" s="37"/>
      <c r="P796" s="37"/>
      <c r="Q796" s="37"/>
      <c r="R796" s="37"/>
      <c r="S796" s="37"/>
      <c r="T796" s="37"/>
      <c r="U796" s="37"/>
      <c r="V796" s="37"/>
      <c r="W796" s="37"/>
      <c r="X796" s="37"/>
      <c r="Y796" s="37"/>
      <c r="Z796" s="37"/>
      <c r="AA796" s="37">
        <f t="shared" si="82"/>
        <v>0</v>
      </c>
      <c r="AB796" s="37">
        <f t="shared" si="98"/>
        <v>0</v>
      </c>
    </row>
    <row r="797" spans="1:28" ht="14.4">
      <c r="A797" s="117">
        <v>2140111104</v>
      </c>
      <c r="B797" s="117" t="s">
        <v>896</v>
      </c>
      <c r="C797" s="37">
        <f>-VLOOKUP(A797,Composición!C:G,5,FALSE)</f>
        <v>0</v>
      </c>
      <c r="D797" s="37"/>
      <c r="E797" s="37"/>
      <c r="F797" s="37">
        <f>-VLOOKUP(A797,Composición!C:J,8,FALSE)</f>
        <v>0</v>
      </c>
      <c r="G797" s="37">
        <f t="shared" si="79"/>
        <v>0</v>
      </c>
      <c r="H797" s="37"/>
      <c r="I797" s="37">
        <f>-G797</f>
        <v>0</v>
      </c>
      <c r="J797" s="37"/>
      <c r="K797" s="37"/>
      <c r="L797" s="37"/>
      <c r="M797" s="37"/>
      <c r="N797" s="37"/>
      <c r="O797" s="37"/>
      <c r="P797" s="37"/>
      <c r="Q797" s="37"/>
      <c r="R797" s="37"/>
      <c r="S797" s="37"/>
      <c r="T797" s="37"/>
      <c r="U797" s="37"/>
      <c r="V797" s="37"/>
      <c r="W797" s="37"/>
      <c r="X797" s="37"/>
      <c r="Y797" s="37"/>
      <c r="Z797" s="37"/>
      <c r="AA797" s="37">
        <f t="shared" si="82"/>
        <v>0</v>
      </c>
      <c r="AB797" s="37">
        <f t="shared" si="98"/>
        <v>0</v>
      </c>
    </row>
    <row r="798" spans="1:28" ht="14.4">
      <c r="A798" s="117">
        <v>2140111105</v>
      </c>
      <c r="B798" s="117" t="s">
        <v>545</v>
      </c>
      <c r="C798" s="37">
        <f>-Composición!G806</f>
        <v>0</v>
      </c>
      <c r="D798" s="37"/>
      <c r="E798" s="37"/>
      <c r="F798" s="37">
        <f>VLOOKUP(A798,Composición!C:J,8,FALSE)</f>
        <v>0</v>
      </c>
      <c r="G798" s="37">
        <f t="shared" si="79"/>
        <v>0</v>
      </c>
      <c r="H798" s="37"/>
      <c r="I798" s="37">
        <f>-G798</f>
        <v>0</v>
      </c>
      <c r="J798" s="37"/>
      <c r="K798" s="37"/>
      <c r="L798" s="37"/>
      <c r="M798" s="37"/>
      <c r="N798" s="37"/>
      <c r="O798" s="37"/>
      <c r="P798" s="37"/>
      <c r="Q798" s="37"/>
      <c r="R798" s="37"/>
      <c r="S798" s="37"/>
      <c r="T798" s="37"/>
      <c r="U798" s="37"/>
      <c r="V798" s="37"/>
      <c r="W798" s="37"/>
      <c r="X798" s="37"/>
      <c r="Y798" s="37"/>
      <c r="Z798" s="37"/>
      <c r="AA798" s="37">
        <f t="shared" si="82"/>
        <v>0</v>
      </c>
      <c r="AB798" s="37">
        <f t="shared" si="98"/>
        <v>0</v>
      </c>
    </row>
    <row r="799" spans="1:28" ht="14.4">
      <c r="A799" s="117">
        <v>2140111105</v>
      </c>
      <c r="B799" s="117" t="s">
        <v>897</v>
      </c>
      <c r="C799" s="37">
        <f>-VLOOKUP(A799,Composición!C:G,5,FALSE)</f>
        <v>0</v>
      </c>
      <c r="D799" s="37"/>
      <c r="E799" s="37"/>
      <c r="F799" s="37">
        <f>+Composición!J806</f>
        <v>0</v>
      </c>
      <c r="G799" s="37">
        <f t="shared" si="79"/>
        <v>0</v>
      </c>
      <c r="H799" s="37"/>
      <c r="I799" s="37">
        <f>-G799</f>
        <v>0</v>
      </c>
      <c r="J799" s="37"/>
      <c r="K799" s="37"/>
      <c r="L799" s="37"/>
      <c r="M799" s="37"/>
      <c r="N799" s="37"/>
      <c r="O799" s="37"/>
      <c r="P799" s="37"/>
      <c r="Q799" s="37"/>
      <c r="R799" s="37"/>
      <c r="S799" s="37"/>
      <c r="T799" s="37"/>
      <c r="U799" s="37"/>
      <c r="V799" s="37"/>
      <c r="W799" s="37"/>
      <c r="X799" s="37"/>
      <c r="Y799" s="37"/>
      <c r="Z799" s="37"/>
      <c r="AA799" s="37">
        <f t="shared" si="82"/>
        <v>0</v>
      </c>
      <c r="AB799" s="37">
        <f t="shared" si="98"/>
        <v>0</v>
      </c>
    </row>
    <row r="800" spans="1:28" ht="14.4">
      <c r="A800" s="117">
        <v>2140111107</v>
      </c>
      <c r="B800" s="117" t="s">
        <v>898</v>
      </c>
      <c r="C800" s="37">
        <f>-VLOOKUP(A800,Composición!C:G,5,FALSE)</f>
        <v>0</v>
      </c>
      <c r="D800" s="37"/>
      <c r="E800" s="37"/>
      <c r="F800" s="37">
        <f>-VLOOKUP(A800,Composición!C:J,8,FALSE)</f>
        <v>0</v>
      </c>
      <c r="G800" s="37">
        <f t="shared" si="79"/>
        <v>0</v>
      </c>
      <c r="H800" s="37"/>
      <c r="I800" s="37"/>
      <c r="J800" s="37"/>
      <c r="K800" s="37"/>
      <c r="L800" s="37"/>
      <c r="M800" s="37"/>
      <c r="N800" s="37"/>
      <c r="O800" s="37"/>
      <c r="P800" s="37"/>
      <c r="Q800" s="37"/>
      <c r="R800" s="37"/>
      <c r="S800" s="37"/>
      <c r="T800" s="37"/>
      <c r="U800" s="37"/>
      <c r="V800" s="37"/>
      <c r="W800" s="37"/>
      <c r="X800" s="37"/>
      <c r="Y800" s="37"/>
      <c r="Z800" s="37"/>
      <c r="AA800" s="37">
        <f t="shared" si="82"/>
        <v>0</v>
      </c>
      <c r="AB800" s="37">
        <f t="shared" si="98"/>
        <v>0</v>
      </c>
    </row>
    <row r="801" spans="1:28" ht="14.4">
      <c r="A801" s="117">
        <v>2140111108</v>
      </c>
      <c r="B801" s="117" t="s">
        <v>899</v>
      </c>
      <c r="C801" s="37">
        <f>-VLOOKUP(A801,Composición!C:G,5,FALSE)</f>
        <v>0</v>
      </c>
      <c r="D801" s="37"/>
      <c r="E801" s="37"/>
      <c r="F801" s="37">
        <f>-VLOOKUP(A801,Composición!C:J,8,FALSE)</f>
        <v>0</v>
      </c>
      <c r="G801" s="37">
        <f t="shared" si="79"/>
        <v>0</v>
      </c>
      <c r="H801" s="37"/>
      <c r="I801" s="37"/>
      <c r="J801" s="37"/>
      <c r="K801" s="37"/>
      <c r="L801" s="37">
        <f>-G801</f>
        <v>0</v>
      </c>
      <c r="M801" s="37"/>
      <c r="N801" s="37"/>
      <c r="O801" s="37"/>
      <c r="P801" s="37"/>
      <c r="Q801" s="37"/>
      <c r="R801" s="37"/>
      <c r="S801" s="37"/>
      <c r="T801" s="37"/>
      <c r="U801" s="37"/>
      <c r="V801" s="37"/>
      <c r="W801" s="37"/>
      <c r="X801" s="37"/>
      <c r="Y801" s="37"/>
      <c r="Z801" s="37"/>
      <c r="AA801" s="37">
        <f t="shared" si="82"/>
        <v>0</v>
      </c>
      <c r="AB801" s="37">
        <f t="shared" si="98"/>
        <v>0</v>
      </c>
    </row>
    <row r="802" spans="1:28" ht="14.4">
      <c r="A802" s="117">
        <v>2140111109</v>
      </c>
      <c r="B802" s="117" t="s">
        <v>547</v>
      </c>
      <c r="C802" s="37">
        <f>-VLOOKUP(A802,Composición!C:G,5,FALSE)</f>
        <v>0</v>
      </c>
      <c r="D802" s="37"/>
      <c r="E802" s="37"/>
      <c r="F802" s="37">
        <f>-VLOOKUP(A802,Composición!C:J,8,FALSE)</f>
        <v>0</v>
      </c>
      <c r="G802" s="37">
        <f t="shared" si="79"/>
        <v>0</v>
      </c>
      <c r="H802" s="37"/>
      <c r="I802" s="37">
        <f t="shared" ref="I802:I807" si="106">-G802</f>
        <v>0</v>
      </c>
      <c r="J802" s="37"/>
      <c r="K802" s="37"/>
      <c r="L802" s="37"/>
      <c r="M802" s="37"/>
      <c r="N802" s="37"/>
      <c r="O802" s="37"/>
      <c r="P802" s="37"/>
      <c r="Q802" s="37"/>
      <c r="R802" s="37"/>
      <c r="S802" s="37"/>
      <c r="T802" s="37"/>
      <c r="U802" s="37"/>
      <c r="V802" s="37"/>
      <c r="W802" s="37"/>
      <c r="X802" s="37"/>
      <c r="Y802" s="37"/>
      <c r="Z802" s="37"/>
      <c r="AA802" s="37">
        <f t="shared" si="82"/>
        <v>0</v>
      </c>
      <c r="AB802" s="37">
        <f t="shared" si="98"/>
        <v>0</v>
      </c>
    </row>
    <row r="803" spans="1:28" ht="14.4">
      <c r="A803" s="117">
        <v>2140111110</v>
      </c>
      <c r="B803" s="117" t="s">
        <v>546</v>
      </c>
      <c r="C803" s="37">
        <f>-VLOOKUP(A803,Composición!C:G,5,FALSE)</f>
        <v>0</v>
      </c>
      <c r="D803" s="37"/>
      <c r="E803" s="37"/>
      <c r="F803" s="37">
        <f>-VLOOKUP(A803,Composición!C:J,8,FALSE)</f>
        <v>0</v>
      </c>
      <c r="G803" s="37">
        <f t="shared" si="79"/>
        <v>0</v>
      </c>
      <c r="H803" s="37"/>
      <c r="I803" s="37">
        <f t="shared" si="106"/>
        <v>0</v>
      </c>
      <c r="J803" s="37"/>
      <c r="K803" s="37"/>
      <c r="L803" s="37"/>
      <c r="M803" s="37"/>
      <c r="N803" s="37"/>
      <c r="O803" s="37"/>
      <c r="P803" s="37"/>
      <c r="Q803" s="37"/>
      <c r="R803" s="37"/>
      <c r="S803" s="37"/>
      <c r="T803" s="37"/>
      <c r="U803" s="37"/>
      <c r="V803" s="37"/>
      <c r="W803" s="37"/>
      <c r="X803" s="37"/>
      <c r="Y803" s="37"/>
      <c r="Z803" s="37"/>
      <c r="AA803" s="37">
        <f t="shared" si="82"/>
        <v>0</v>
      </c>
      <c r="AB803" s="37">
        <f t="shared" si="98"/>
        <v>0</v>
      </c>
    </row>
    <row r="804" spans="1:28" ht="14.4">
      <c r="A804" s="117">
        <v>2140111111</v>
      </c>
      <c r="B804" s="117" t="s">
        <v>225</v>
      </c>
      <c r="C804" s="1365">
        <f>-VLOOKUP(A804,Composición!C:G,5,FALSE)</f>
        <v>-1319754167</v>
      </c>
      <c r="D804" s="37"/>
      <c r="E804" s="37"/>
      <c r="F804" s="37">
        <f>-VLOOKUP(A804,Composición!C:J,8,FALSE)</f>
        <v>-969740000</v>
      </c>
      <c r="G804" s="37">
        <f t="shared" si="79"/>
        <v>-350014167</v>
      </c>
      <c r="H804" s="37"/>
      <c r="I804" s="37">
        <f t="shared" si="106"/>
        <v>350014167</v>
      </c>
      <c r="J804" s="37"/>
      <c r="K804" s="37"/>
      <c r="L804" s="37"/>
      <c r="M804" s="37"/>
      <c r="N804" s="37"/>
      <c r="O804" s="37"/>
      <c r="P804" s="37"/>
      <c r="Q804" s="37"/>
      <c r="R804" s="37"/>
      <c r="S804" s="37"/>
      <c r="T804" s="37"/>
      <c r="U804" s="37"/>
      <c r="V804" s="37"/>
      <c r="W804" s="37"/>
      <c r="X804" s="37"/>
      <c r="Y804" s="37"/>
      <c r="Z804" s="37"/>
      <c r="AA804" s="37">
        <f t="shared" si="82"/>
        <v>0</v>
      </c>
      <c r="AB804" s="37">
        <f t="shared" si="98"/>
        <v>0</v>
      </c>
    </row>
    <row r="805" spans="1:28" ht="14.4">
      <c r="A805" s="117">
        <v>2140111112</v>
      </c>
      <c r="B805" s="117" t="s">
        <v>226</v>
      </c>
      <c r="C805" s="1365">
        <f>-VLOOKUP(A805,Composición!C:G,5,FALSE)</f>
        <v>-108224330.90115741</v>
      </c>
      <c r="D805" s="37"/>
      <c r="E805" s="37"/>
      <c r="F805" s="37">
        <f>-VLOOKUP(A805,Composición!C:J,8,FALSE)</f>
        <v>-98354972</v>
      </c>
      <c r="G805" s="37">
        <f t="shared" si="79"/>
        <v>-9869358.901157409</v>
      </c>
      <c r="H805" s="37"/>
      <c r="I805" s="37">
        <f t="shared" si="106"/>
        <v>9869358.901157409</v>
      </c>
      <c r="J805" s="37"/>
      <c r="K805" s="37"/>
      <c r="L805" s="37"/>
      <c r="M805" s="37"/>
      <c r="N805" s="37"/>
      <c r="O805" s="37"/>
      <c r="P805" s="37"/>
      <c r="Q805" s="37"/>
      <c r="R805" s="37"/>
      <c r="S805" s="37"/>
      <c r="T805" s="37"/>
      <c r="U805" s="37"/>
      <c r="V805" s="37"/>
      <c r="W805" s="37"/>
      <c r="X805" s="37"/>
      <c r="Y805" s="37"/>
      <c r="Z805" s="37"/>
      <c r="AA805" s="37">
        <f t="shared" si="82"/>
        <v>0</v>
      </c>
      <c r="AB805" s="37">
        <f t="shared" si="98"/>
        <v>0</v>
      </c>
    </row>
    <row r="806" spans="1:28" ht="14.4">
      <c r="A806" s="117">
        <v>2140111112</v>
      </c>
      <c r="B806" s="117" t="s">
        <v>900</v>
      </c>
      <c r="C806" s="1365">
        <f>-VLOOKUP(B806,Composición!D:G,4,FALSE)</f>
        <v>-112466298.09884259</v>
      </c>
      <c r="D806" s="37"/>
      <c r="E806" s="37"/>
      <c r="F806" s="37">
        <f>+-Composición!J813</f>
        <v>-77757873</v>
      </c>
      <c r="G806" s="37">
        <f t="shared" ref="G806" si="107">C806+D806-E806-F806</f>
        <v>-34708425.098842591</v>
      </c>
      <c r="H806" s="37"/>
      <c r="I806" s="37">
        <f t="shared" si="106"/>
        <v>34708425.098842591</v>
      </c>
      <c r="J806" s="37"/>
      <c r="K806" s="37"/>
      <c r="L806" s="37"/>
      <c r="M806" s="37"/>
      <c r="N806" s="37"/>
      <c r="O806" s="37"/>
      <c r="P806" s="37"/>
      <c r="Q806" s="37"/>
      <c r="R806" s="37"/>
      <c r="S806" s="37"/>
      <c r="T806" s="37"/>
      <c r="U806" s="37"/>
      <c r="V806" s="37"/>
      <c r="W806" s="37"/>
      <c r="X806" s="37"/>
      <c r="Y806" s="37"/>
      <c r="Z806" s="37"/>
      <c r="AA806" s="37">
        <f t="shared" ref="AA806" si="108">SUM(G806:Z806)</f>
        <v>0</v>
      </c>
      <c r="AB806" s="37">
        <f t="shared" ref="AB806" si="109">SUM(G806:Z806)</f>
        <v>0</v>
      </c>
    </row>
    <row r="807" spans="1:28" ht="14.4">
      <c r="A807" s="1351">
        <v>2140111113</v>
      </c>
      <c r="B807" s="1351" t="s">
        <v>2953</v>
      </c>
      <c r="C807" s="37">
        <f>-VLOOKUP(A807,Composición!C:G,5,FALSE)</f>
        <v>-9789075</v>
      </c>
      <c r="D807" s="37"/>
      <c r="E807" s="37"/>
      <c r="F807" s="37">
        <f>+-Composición!J814</f>
        <v>0</v>
      </c>
      <c r="G807" s="37">
        <f t="shared" si="79"/>
        <v>-9789075</v>
      </c>
      <c r="H807" s="37"/>
      <c r="I807" s="37">
        <f t="shared" si="106"/>
        <v>9789075</v>
      </c>
      <c r="J807" s="37"/>
      <c r="K807" s="37"/>
      <c r="L807" s="37"/>
      <c r="M807" s="37"/>
      <c r="N807" s="37"/>
      <c r="O807" s="37"/>
      <c r="P807" s="37"/>
      <c r="Q807" s="37"/>
      <c r="R807" s="37"/>
      <c r="S807" s="37"/>
      <c r="T807" s="37"/>
      <c r="U807" s="37"/>
      <c r="V807" s="37"/>
      <c r="W807" s="37"/>
      <c r="X807" s="37"/>
      <c r="Y807" s="37"/>
      <c r="Z807" s="37"/>
      <c r="AA807" s="37">
        <f t="shared" si="82"/>
        <v>0</v>
      </c>
      <c r="AB807" s="37">
        <f t="shared" si="98"/>
        <v>0</v>
      </c>
    </row>
    <row r="808" spans="1:28" ht="14.4">
      <c r="A808" s="117">
        <v>21402</v>
      </c>
      <c r="B808" s="117" t="s">
        <v>227</v>
      </c>
      <c r="C808" s="37">
        <f>-VLOOKUP(A808,Composición!C:G,5,FALSE)</f>
        <v>0</v>
      </c>
      <c r="D808" s="37"/>
      <c r="E808" s="37"/>
      <c r="F808" s="37">
        <f>-VLOOKUP(A808,Composición!C:J,8,FALSE)</f>
        <v>0</v>
      </c>
      <c r="G808" s="37">
        <f t="shared" si="79"/>
        <v>0</v>
      </c>
      <c r="H808" s="37"/>
      <c r="I808" s="37"/>
      <c r="J808" s="37"/>
      <c r="K808" s="37"/>
      <c r="L808" s="37"/>
      <c r="M808" s="37"/>
      <c r="N808" s="37"/>
      <c r="O808" s="37"/>
      <c r="P808" s="37"/>
      <c r="Q808" s="37"/>
      <c r="R808" s="37"/>
      <c r="S808" s="37"/>
      <c r="T808" s="37"/>
      <c r="U808" s="37"/>
      <c r="V808" s="37"/>
      <c r="W808" s="37"/>
      <c r="X808" s="37"/>
      <c r="Y808" s="37"/>
      <c r="Z808" s="37"/>
      <c r="AA808" s="37">
        <f t="shared" si="82"/>
        <v>0</v>
      </c>
      <c r="AB808" s="37">
        <f t="shared" si="98"/>
        <v>0</v>
      </c>
    </row>
    <row r="809" spans="1:28" ht="14.4">
      <c r="A809" s="117">
        <v>214021</v>
      </c>
      <c r="B809" s="117" t="s">
        <v>227</v>
      </c>
      <c r="C809" s="37">
        <f>-VLOOKUP(A809,Composición!C:G,5,FALSE)</f>
        <v>0</v>
      </c>
      <c r="D809" s="37"/>
      <c r="E809" s="37"/>
      <c r="F809" s="37">
        <f>-VLOOKUP(A809,Composición!C:J,8,FALSE)</f>
        <v>0</v>
      </c>
      <c r="G809" s="37">
        <f t="shared" si="79"/>
        <v>0</v>
      </c>
      <c r="H809" s="37"/>
      <c r="I809" s="37"/>
      <c r="J809" s="37"/>
      <c r="K809" s="37"/>
      <c r="L809" s="37"/>
      <c r="M809" s="37"/>
      <c r="N809" s="37"/>
      <c r="O809" s="37"/>
      <c r="P809" s="37"/>
      <c r="Q809" s="37"/>
      <c r="R809" s="37"/>
      <c r="S809" s="37"/>
      <c r="T809" s="37"/>
      <c r="U809" s="37"/>
      <c r="V809" s="37"/>
      <c r="W809" s="37"/>
      <c r="X809" s="37"/>
      <c r="Y809" s="37"/>
      <c r="Z809" s="37"/>
      <c r="AA809" s="37">
        <f t="shared" si="82"/>
        <v>0</v>
      </c>
      <c r="AB809" s="37">
        <f t="shared" si="98"/>
        <v>0</v>
      </c>
    </row>
    <row r="810" spans="1:28" ht="14.4">
      <c r="A810" s="117">
        <v>2140211</v>
      </c>
      <c r="B810" s="117" t="s">
        <v>227</v>
      </c>
      <c r="C810" s="37">
        <f>-VLOOKUP(A810,Composición!C:G,5,FALSE)</f>
        <v>0</v>
      </c>
      <c r="D810" s="37"/>
      <c r="E810" s="37"/>
      <c r="F810" s="37">
        <f>-VLOOKUP(A810,Composición!C:J,8,FALSE)</f>
        <v>0</v>
      </c>
      <c r="G810" s="37">
        <f t="shared" si="79"/>
        <v>0</v>
      </c>
      <c r="H810" s="37"/>
      <c r="I810" s="37"/>
      <c r="J810" s="37"/>
      <c r="K810" s="37"/>
      <c r="L810" s="37"/>
      <c r="M810" s="37"/>
      <c r="N810" s="37"/>
      <c r="O810" s="37"/>
      <c r="P810" s="37"/>
      <c r="Q810" s="37"/>
      <c r="R810" s="37"/>
      <c r="S810" s="37"/>
      <c r="T810" s="37"/>
      <c r="U810" s="37"/>
      <c r="V810" s="37"/>
      <c r="W810" s="37"/>
      <c r="X810" s="37"/>
      <c r="Y810" s="37"/>
      <c r="Z810" s="37"/>
      <c r="AA810" s="37">
        <f t="shared" si="82"/>
        <v>0</v>
      </c>
      <c r="AB810" s="37">
        <f t="shared" si="98"/>
        <v>0</v>
      </c>
    </row>
    <row r="811" spans="1:28" ht="14.4">
      <c r="A811" s="117">
        <v>21402111</v>
      </c>
      <c r="B811" s="117" t="s">
        <v>227</v>
      </c>
      <c r="C811" s="37">
        <f>-VLOOKUP(A811,Composición!C:G,5,FALSE)</f>
        <v>0</v>
      </c>
      <c r="D811" s="37"/>
      <c r="E811" s="37"/>
      <c r="F811" s="37">
        <f>-VLOOKUP(A811,Composición!C:J,8,FALSE)</f>
        <v>0</v>
      </c>
      <c r="G811" s="37">
        <f t="shared" si="79"/>
        <v>0</v>
      </c>
      <c r="H811" s="37"/>
      <c r="I811" s="37"/>
      <c r="J811" s="37"/>
      <c r="K811" s="37"/>
      <c r="L811" s="37"/>
      <c r="M811" s="37">
        <f>-G811</f>
        <v>0</v>
      </c>
      <c r="N811" s="37"/>
      <c r="O811" s="37"/>
      <c r="P811" s="37"/>
      <c r="Q811" s="37"/>
      <c r="R811" s="37"/>
      <c r="S811" s="37"/>
      <c r="T811" s="37"/>
      <c r="U811" s="37"/>
      <c r="V811" s="37"/>
      <c r="W811" s="37"/>
      <c r="X811" s="37"/>
      <c r="Y811" s="37"/>
      <c r="Z811" s="37"/>
      <c r="AA811" s="37">
        <f t="shared" si="82"/>
        <v>0</v>
      </c>
      <c r="AB811" s="37">
        <f t="shared" si="98"/>
        <v>0</v>
      </c>
    </row>
    <row r="812" spans="1:28" ht="14.4">
      <c r="A812" s="117">
        <v>2140211101</v>
      </c>
      <c r="B812" s="117" t="s">
        <v>228</v>
      </c>
      <c r="C812" s="1365">
        <f>-VLOOKUP(A812,Composición!C:G,5,FALSE)</f>
        <v>-1666191338</v>
      </c>
      <c r="D812" s="37">
        <f>E1486</f>
        <v>1666191338</v>
      </c>
      <c r="E812" s="37"/>
      <c r="F812" s="37">
        <f>-VLOOKUP(A812,Composición!C:J,8,FALSE)</f>
        <v>-426755525</v>
      </c>
      <c r="G812" s="37">
        <f t="shared" si="79"/>
        <v>426755525</v>
      </c>
      <c r="H812" s="37"/>
      <c r="I812" s="37"/>
      <c r="J812" s="37"/>
      <c r="K812" s="37"/>
      <c r="L812" s="37"/>
      <c r="M812" s="37">
        <f>-G812</f>
        <v>-426755525</v>
      </c>
      <c r="N812" s="37"/>
      <c r="O812" s="37"/>
      <c r="P812" s="37"/>
      <c r="Q812" s="37"/>
      <c r="R812" s="37"/>
      <c r="S812" s="37"/>
      <c r="T812" s="37"/>
      <c r="U812" s="37"/>
      <c r="V812" s="37"/>
      <c r="W812" s="37"/>
      <c r="X812" s="37"/>
      <c r="Y812" s="37"/>
      <c r="Z812" s="37"/>
      <c r="AA812" s="37">
        <f t="shared" si="82"/>
        <v>0</v>
      </c>
      <c r="AB812" s="37">
        <f t="shared" si="98"/>
        <v>0</v>
      </c>
    </row>
    <row r="813" spans="1:28" ht="14.4">
      <c r="A813" s="117">
        <v>2140211102</v>
      </c>
      <c r="B813" s="117" t="s">
        <v>902</v>
      </c>
      <c r="C813" s="37">
        <f>-VLOOKUP(A813,Composición!C:G,5,FALSE)</f>
        <v>0</v>
      </c>
      <c r="D813" s="37"/>
      <c r="E813" s="37"/>
      <c r="F813" s="37">
        <f>-VLOOKUP(A813,Composición!C:J,8,FALSE)</f>
        <v>0</v>
      </c>
      <c r="G813" s="37">
        <f t="shared" si="79"/>
        <v>0</v>
      </c>
      <c r="H813" s="37"/>
      <c r="I813" s="37"/>
      <c r="J813" s="37"/>
      <c r="K813" s="37"/>
      <c r="L813" s="37"/>
      <c r="M813" s="37"/>
      <c r="N813" s="37"/>
      <c r="O813" s="37"/>
      <c r="P813" s="37"/>
      <c r="Q813" s="37"/>
      <c r="R813" s="37"/>
      <c r="S813" s="37"/>
      <c r="T813" s="37"/>
      <c r="U813" s="37"/>
      <c r="V813" s="37"/>
      <c r="W813" s="37"/>
      <c r="X813" s="37"/>
      <c r="Y813" s="37"/>
      <c r="Z813" s="37"/>
      <c r="AA813" s="37">
        <f t="shared" si="82"/>
        <v>0</v>
      </c>
      <c r="AB813" s="37">
        <f t="shared" si="98"/>
        <v>0</v>
      </c>
    </row>
    <row r="814" spans="1:28" ht="14.4">
      <c r="A814" s="117">
        <v>2140211103</v>
      </c>
      <c r="B814" s="117" t="s">
        <v>903</v>
      </c>
      <c r="C814" s="37">
        <f>-VLOOKUP(A814,Composición!C:G,5,FALSE)</f>
        <v>0</v>
      </c>
      <c r="D814" s="37"/>
      <c r="E814" s="37"/>
      <c r="F814" s="37">
        <f>-VLOOKUP(A814,Composición!C:J,8,FALSE)</f>
        <v>0</v>
      </c>
      <c r="G814" s="37">
        <f t="shared" si="79"/>
        <v>0</v>
      </c>
      <c r="H814" s="37"/>
      <c r="I814" s="37"/>
      <c r="J814" s="37"/>
      <c r="K814" s="37"/>
      <c r="L814" s="37">
        <f>-G814</f>
        <v>0</v>
      </c>
      <c r="M814" s="37"/>
      <c r="N814" s="37"/>
      <c r="O814" s="37"/>
      <c r="P814" s="37"/>
      <c r="Q814" s="37"/>
      <c r="R814" s="37"/>
      <c r="S814" s="37"/>
      <c r="T814" s="37"/>
      <c r="U814" s="37"/>
      <c r="V814" s="37"/>
      <c r="W814" s="37"/>
      <c r="X814" s="37"/>
      <c r="Y814" s="37"/>
      <c r="Z814" s="37"/>
      <c r="AA814" s="37">
        <f t="shared" si="82"/>
        <v>0</v>
      </c>
      <c r="AB814" s="37">
        <f t="shared" si="98"/>
        <v>0</v>
      </c>
    </row>
    <row r="815" spans="1:28" ht="14.4">
      <c r="A815" s="117">
        <v>2140211104</v>
      </c>
      <c r="B815" s="117" t="s">
        <v>229</v>
      </c>
      <c r="C815" s="1365">
        <f>-VLOOKUP(A815,Composición!C:G,5,FALSE)</f>
        <v>-252656625</v>
      </c>
      <c r="D815" s="37"/>
      <c r="E815" s="37"/>
      <c r="F815" s="37">
        <f>-VLOOKUP(A815,Composición!C:J,8,FALSE)</f>
        <v>-262610286</v>
      </c>
      <c r="G815" s="37">
        <f t="shared" si="79"/>
        <v>9953661</v>
      </c>
      <c r="H815" s="37"/>
      <c r="I815" s="37"/>
      <c r="J815" s="37"/>
      <c r="K815" s="37"/>
      <c r="L815" s="37">
        <f>-G815</f>
        <v>-9953661</v>
      </c>
      <c r="M815" s="37"/>
      <c r="N815" s="37"/>
      <c r="O815" s="37"/>
      <c r="P815" s="37"/>
      <c r="Q815" s="37"/>
      <c r="R815" s="37"/>
      <c r="S815" s="37"/>
      <c r="T815" s="37"/>
      <c r="U815" s="37"/>
      <c r="V815" s="37"/>
      <c r="W815" s="37"/>
      <c r="X815" s="37"/>
      <c r="Y815" s="37"/>
      <c r="Z815" s="37"/>
      <c r="AA815" s="37">
        <f t="shared" si="82"/>
        <v>0</v>
      </c>
      <c r="AB815" s="37">
        <f t="shared" si="98"/>
        <v>0</v>
      </c>
    </row>
    <row r="816" spans="1:28" ht="14.4">
      <c r="A816" s="117">
        <v>2140211105</v>
      </c>
      <c r="B816" s="117" t="s">
        <v>230</v>
      </c>
      <c r="C816" s="1365">
        <f>-VLOOKUP(A816,Composición!C:G,5,FALSE)</f>
        <v>-4782626</v>
      </c>
      <c r="D816" s="37"/>
      <c r="E816" s="37"/>
      <c r="F816" s="37">
        <f>-VLOOKUP(A816,Composición!C:J,8,FALSE)</f>
        <v>-3305700</v>
      </c>
      <c r="G816" s="37">
        <f t="shared" si="79"/>
        <v>-1476926</v>
      </c>
      <c r="H816" s="37"/>
      <c r="I816" s="37"/>
      <c r="J816" s="37"/>
      <c r="K816" s="37"/>
      <c r="L816" s="37">
        <f>-G816</f>
        <v>1476926</v>
      </c>
      <c r="M816" s="37"/>
      <c r="N816" s="37"/>
      <c r="O816" s="37"/>
      <c r="P816" s="37"/>
      <c r="Q816" s="37"/>
      <c r="R816" s="37"/>
      <c r="S816" s="37"/>
      <c r="T816" s="37"/>
      <c r="U816" s="37"/>
      <c r="V816" s="37"/>
      <c r="W816" s="37"/>
      <c r="X816" s="37"/>
      <c r="Y816" s="37"/>
      <c r="Z816" s="37"/>
      <c r="AA816" s="37">
        <f t="shared" si="82"/>
        <v>0</v>
      </c>
      <c r="AB816" s="37">
        <f t="shared" si="98"/>
        <v>0</v>
      </c>
    </row>
    <row r="817" spans="1:28" ht="14.4">
      <c r="A817" s="117">
        <v>2140211106</v>
      </c>
      <c r="B817" s="117" t="s">
        <v>231</v>
      </c>
      <c r="C817" s="37">
        <f>-VLOOKUP(A817,Composición!C:G,5,FALSE)</f>
        <v>0</v>
      </c>
      <c r="D817" s="37"/>
      <c r="E817" s="37"/>
      <c r="F817" s="37">
        <f>-VLOOKUP(A817,Composición!C:J,8,FALSE)</f>
        <v>-5833591</v>
      </c>
      <c r="G817" s="37">
        <f t="shared" si="79"/>
        <v>5833591</v>
      </c>
      <c r="H817" s="37"/>
      <c r="I817" s="37"/>
      <c r="J817" s="37"/>
      <c r="K817" s="37"/>
      <c r="L817" s="37">
        <f>-G817</f>
        <v>-5833591</v>
      </c>
      <c r="M817" s="37"/>
      <c r="N817" s="37"/>
      <c r="O817" s="37"/>
      <c r="P817" s="37"/>
      <c r="Q817" s="37"/>
      <c r="R817" s="37"/>
      <c r="S817" s="37"/>
      <c r="T817" s="37"/>
      <c r="U817" s="37"/>
      <c r="V817" s="37"/>
      <c r="W817" s="37"/>
      <c r="X817" s="37"/>
      <c r="Y817" s="37"/>
      <c r="Z817" s="37"/>
      <c r="AA817" s="37">
        <f t="shared" si="82"/>
        <v>0</v>
      </c>
      <c r="AB817" s="37">
        <f t="shared" si="98"/>
        <v>0</v>
      </c>
    </row>
    <row r="818" spans="1:28" ht="14.4">
      <c r="A818" s="117">
        <v>2140211107</v>
      </c>
      <c r="B818" s="117" t="s">
        <v>907</v>
      </c>
      <c r="C818" s="37">
        <f>-VLOOKUP(A818,Composición!C:G,5,FALSE)</f>
        <v>0</v>
      </c>
      <c r="D818" s="37"/>
      <c r="E818" s="37"/>
      <c r="F818" s="37">
        <f>-VLOOKUP(A818,Composición!C:J,8,FALSE)</f>
        <v>0</v>
      </c>
      <c r="G818" s="37">
        <f t="shared" si="79"/>
        <v>0</v>
      </c>
      <c r="H818" s="37"/>
      <c r="I818" s="37"/>
      <c r="J818" s="37"/>
      <c r="K818" s="37"/>
      <c r="L818" s="37"/>
      <c r="M818" s="37"/>
      <c r="N818" s="37"/>
      <c r="O818" s="37"/>
      <c r="P818" s="37"/>
      <c r="Q818" s="37"/>
      <c r="R818" s="37"/>
      <c r="S818" s="37"/>
      <c r="T818" s="37"/>
      <c r="U818" s="37"/>
      <c r="V818" s="37"/>
      <c r="W818" s="37"/>
      <c r="X818" s="37"/>
      <c r="Y818" s="37"/>
      <c r="Z818" s="37"/>
      <c r="AA818" s="37">
        <f t="shared" si="82"/>
        <v>0</v>
      </c>
      <c r="AB818" s="37">
        <f t="shared" si="98"/>
        <v>0</v>
      </c>
    </row>
    <row r="819" spans="1:28" ht="14.4">
      <c r="A819" s="117">
        <v>2140211108</v>
      </c>
      <c r="B819" s="117" t="s">
        <v>908</v>
      </c>
      <c r="C819" s="1365">
        <f>-VLOOKUP(A819,Composición!C:G,5,FALSE)</f>
        <v>-91944</v>
      </c>
      <c r="D819" s="37"/>
      <c r="E819" s="37"/>
      <c r="F819" s="37">
        <f>-VLOOKUP(A819,Composición!C:J,8,FALSE)</f>
        <v>0</v>
      </c>
      <c r="G819" s="37">
        <f t="shared" si="79"/>
        <v>-91944</v>
      </c>
      <c r="H819" s="37"/>
      <c r="I819" s="37"/>
      <c r="J819" s="37"/>
      <c r="K819" s="37"/>
      <c r="L819" s="37">
        <f>-G819</f>
        <v>91944</v>
      </c>
      <c r="M819" s="37"/>
      <c r="N819" s="37"/>
      <c r="O819" s="37"/>
      <c r="P819" s="37"/>
      <c r="Q819" s="37"/>
      <c r="R819" s="37"/>
      <c r="S819" s="37"/>
      <c r="T819" s="37"/>
      <c r="U819" s="37"/>
      <c r="V819" s="37"/>
      <c r="W819" s="37"/>
      <c r="X819" s="37"/>
      <c r="Y819" s="37"/>
      <c r="Z819" s="37"/>
      <c r="AA819" s="37">
        <f t="shared" si="82"/>
        <v>0</v>
      </c>
      <c r="AB819" s="37">
        <f t="shared" si="98"/>
        <v>0</v>
      </c>
    </row>
    <row r="820" spans="1:28" ht="14.4">
      <c r="A820" s="117">
        <v>21403</v>
      </c>
      <c r="B820" s="117" t="s">
        <v>232</v>
      </c>
      <c r="C820" s="37">
        <f>-VLOOKUP(A820,Composición!C:G,5,FALSE)</f>
        <v>0</v>
      </c>
      <c r="D820" s="37"/>
      <c r="E820" s="37"/>
      <c r="F820" s="37">
        <f>-VLOOKUP(A820,Composición!C:J,8,FALSE)</f>
        <v>0</v>
      </c>
      <c r="G820" s="37">
        <f t="shared" si="79"/>
        <v>0</v>
      </c>
      <c r="H820" s="37"/>
      <c r="I820" s="37"/>
      <c r="J820" s="37"/>
      <c r="K820" s="37"/>
      <c r="L820" s="37"/>
      <c r="M820" s="37"/>
      <c r="N820" s="37"/>
      <c r="O820" s="37"/>
      <c r="P820" s="37"/>
      <c r="Q820" s="37"/>
      <c r="R820" s="37"/>
      <c r="S820" s="37"/>
      <c r="T820" s="37"/>
      <c r="U820" s="37"/>
      <c r="V820" s="37"/>
      <c r="W820" s="37"/>
      <c r="X820" s="37"/>
      <c r="Y820" s="37"/>
      <c r="Z820" s="37"/>
      <c r="AA820" s="37">
        <f t="shared" si="82"/>
        <v>0</v>
      </c>
      <c r="AB820" s="37">
        <f t="shared" si="98"/>
        <v>0</v>
      </c>
    </row>
    <row r="821" spans="1:28" ht="14.4">
      <c r="A821" s="117">
        <v>214031</v>
      </c>
      <c r="B821" s="117" t="s">
        <v>233</v>
      </c>
      <c r="C821" s="37">
        <f>-VLOOKUP(A821,Composición!C:G,5,FALSE)</f>
        <v>0</v>
      </c>
      <c r="D821" s="37"/>
      <c r="E821" s="37"/>
      <c r="F821" s="37">
        <f>-VLOOKUP(A821,Composición!C:J,8,FALSE)</f>
        <v>0</v>
      </c>
      <c r="G821" s="37">
        <f t="shared" si="79"/>
        <v>0</v>
      </c>
      <c r="H821" s="37"/>
      <c r="I821" s="37"/>
      <c r="J821" s="37"/>
      <c r="K821" s="37"/>
      <c r="L821" s="37"/>
      <c r="M821" s="37"/>
      <c r="N821" s="37"/>
      <c r="O821" s="37"/>
      <c r="P821" s="37"/>
      <c r="Q821" s="37"/>
      <c r="R821" s="37"/>
      <c r="S821" s="37"/>
      <c r="T821" s="37"/>
      <c r="U821" s="37"/>
      <c r="V821" s="37"/>
      <c r="W821" s="37"/>
      <c r="X821" s="37"/>
      <c r="Y821" s="37"/>
      <c r="Z821" s="37"/>
      <c r="AA821" s="37">
        <f t="shared" si="82"/>
        <v>0</v>
      </c>
      <c r="AB821" s="37">
        <f t="shared" si="98"/>
        <v>0</v>
      </c>
    </row>
    <row r="822" spans="1:28" ht="14.4">
      <c r="A822" s="117">
        <v>2140311</v>
      </c>
      <c r="B822" s="117" t="s">
        <v>233</v>
      </c>
      <c r="C822" s="37">
        <f>-VLOOKUP(A822,Composición!C:G,5,FALSE)</f>
        <v>0</v>
      </c>
      <c r="D822" s="37"/>
      <c r="E822" s="37"/>
      <c r="F822" s="37">
        <f>-VLOOKUP(A822,Composición!C:J,8,FALSE)</f>
        <v>0</v>
      </c>
      <c r="G822" s="37">
        <f t="shared" si="79"/>
        <v>0</v>
      </c>
      <c r="H822" s="37"/>
      <c r="I822" s="37"/>
      <c r="J822" s="37"/>
      <c r="K822" s="37"/>
      <c r="L822" s="37"/>
      <c r="M822" s="37"/>
      <c r="N822" s="37"/>
      <c r="O822" s="37"/>
      <c r="P822" s="37"/>
      <c r="Q822" s="37"/>
      <c r="R822" s="37"/>
      <c r="S822" s="37"/>
      <c r="T822" s="37"/>
      <c r="U822" s="37"/>
      <c r="V822" s="37"/>
      <c r="W822" s="37"/>
      <c r="X822" s="37"/>
      <c r="Y822" s="37"/>
      <c r="Z822" s="37"/>
      <c r="AA822" s="37">
        <f t="shared" si="82"/>
        <v>0</v>
      </c>
      <c r="AB822" s="37">
        <f t="shared" si="98"/>
        <v>0</v>
      </c>
    </row>
    <row r="823" spans="1:28" ht="14.4">
      <c r="A823" s="117">
        <v>21403111</v>
      </c>
      <c r="B823" s="117" t="s">
        <v>233</v>
      </c>
      <c r="C823" s="37">
        <f>-VLOOKUP(A823,Composición!C:G,5,FALSE)</f>
        <v>0</v>
      </c>
      <c r="D823" s="37"/>
      <c r="E823" s="37"/>
      <c r="F823" s="37">
        <f>-VLOOKUP(A823,Composición!C:J,8,FALSE)</f>
        <v>0</v>
      </c>
      <c r="G823" s="37">
        <f t="shared" si="79"/>
        <v>0</v>
      </c>
      <c r="H823" s="37"/>
      <c r="I823" s="37"/>
      <c r="J823" s="37"/>
      <c r="K823" s="37"/>
      <c r="L823" s="37">
        <f>-G823</f>
        <v>0</v>
      </c>
      <c r="M823" s="37"/>
      <c r="N823" s="37"/>
      <c r="O823" s="37"/>
      <c r="P823" s="37"/>
      <c r="Q823" s="37"/>
      <c r="R823" s="37"/>
      <c r="S823" s="37"/>
      <c r="T823" s="37"/>
      <c r="U823" s="37"/>
      <c r="V823" s="37"/>
      <c r="W823" s="37"/>
      <c r="X823" s="37"/>
      <c r="Y823" s="37"/>
      <c r="Z823" s="37"/>
      <c r="AA823" s="37">
        <f t="shared" si="82"/>
        <v>0</v>
      </c>
      <c r="AB823" s="37">
        <f t="shared" si="98"/>
        <v>0</v>
      </c>
    </row>
    <row r="824" spans="1:28" ht="14.4">
      <c r="A824" s="117">
        <v>2140311101</v>
      </c>
      <c r="B824" s="117" t="s">
        <v>453</v>
      </c>
      <c r="C824" s="1365">
        <f>-VLOOKUP(A824,Composición!C:G,5,FALSE)</f>
        <v>-89894172</v>
      </c>
      <c r="D824" s="37"/>
      <c r="E824" s="37"/>
      <c r="F824" s="37">
        <f>-VLOOKUP(A824,Composición!C:J,8,FALSE)</f>
        <v>-60089865</v>
      </c>
      <c r="G824" s="37">
        <f t="shared" si="79"/>
        <v>-29804307</v>
      </c>
      <c r="H824" s="37"/>
      <c r="I824" s="37"/>
      <c r="J824" s="37"/>
      <c r="K824" s="37"/>
      <c r="L824" s="37">
        <f>-G824</f>
        <v>29804307</v>
      </c>
      <c r="M824" s="37"/>
      <c r="N824" s="37"/>
      <c r="O824" s="37"/>
      <c r="P824" s="37"/>
      <c r="Q824" s="37"/>
      <c r="R824" s="37"/>
      <c r="S824" s="37"/>
      <c r="T824" s="37"/>
      <c r="U824" s="37"/>
      <c r="V824" s="37"/>
      <c r="W824" s="37"/>
      <c r="X824" s="37"/>
      <c r="Y824" s="37"/>
      <c r="Z824" s="37"/>
      <c r="AA824" s="37">
        <f t="shared" si="82"/>
        <v>0</v>
      </c>
      <c r="AB824" s="37">
        <f t="shared" si="98"/>
        <v>0</v>
      </c>
    </row>
    <row r="825" spans="1:28" ht="14.4">
      <c r="A825" s="117">
        <v>2140311102</v>
      </c>
      <c r="B825" s="117" t="s">
        <v>909</v>
      </c>
      <c r="C825" s="37">
        <f>-VLOOKUP(A825,Composición!C:G,5,FALSE)</f>
        <v>0</v>
      </c>
      <c r="D825" s="37"/>
      <c r="E825" s="37"/>
      <c r="F825" s="37">
        <f>-VLOOKUP(A825,Composición!C:J,8,FALSE)</f>
        <v>0</v>
      </c>
      <c r="G825" s="37">
        <f t="shared" ref="G825:G874" si="110">C825+D825-E825-F825</f>
        <v>0</v>
      </c>
      <c r="H825" s="37"/>
      <c r="I825" s="37"/>
      <c r="J825" s="37"/>
      <c r="K825" s="37"/>
      <c r="L825" s="37"/>
      <c r="M825" s="37"/>
      <c r="N825" s="37"/>
      <c r="O825" s="37"/>
      <c r="P825" s="37"/>
      <c r="Q825" s="37"/>
      <c r="R825" s="37"/>
      <c r="S825" s="37"/>
      <c r="T825" s="37"/>
      <c r="U825" s="37"/>
      <c r="V825" s="37"/>
      <c r="W825" s="37"/>
      <c r="X825" s="37"/>
      <c r="Y825" s="37"/>
      <c r="Z825" s="37"/>
      <c r="AA825" s="37">
        <f t="shared" si="82"/>
        <v>0</v>
      </c>
      <c r="AB825" s="37">
        <f t="shared" si="98"/>
        <v>0</v>
      </c>
    </row>
    <row r="826" spans="1:28" ht="14.4">
      <c r="A826" s="117">
        <v>2140311103</v>
      </c>
      <c r="B826" s="117" t="s">
        <v>910</v>
      </c>
      <c r="C826" s="37">
        <f>-VLOOKUP(A826,Composición!C:G,5,FALSE)</f>
        <v>0</v>
      </c>
      <c r="D826" s="37"/>
      <c r="E826" s="37"/>
      <c r="F826" s="37">
        <f>-VLOOKUP(A826,Composición!C:J,8,FALSE)</f>
        <v>0</v>
      </c>
      <c r="G826" s="37">
        <f t="shared" si="110"/>
        <v>0</v>
      </c>
      <c r="H826" s="37"/>
      <c r="I826" s="37"/>
      <c r="J826" s="37"/>
      <c r="K826" s="37"/>
      <c r="L826" s="37"/>
      <c r="M826" s="37"/>
      <c r="N826" s="37"/>
      <c r="O826" s="37"/>
      <c r="P826" s="37"/>
      <c r="Q826" s="37"/>
      <c r="R826" s="37"/>
      <c r="S826" s="37"/>
      <c r="T826" s="37"/>
      <c r="U826" s="37"/>
      <c r="V826" s="37"/>
      <c r="W826" s="37"/>
      <c r="X826" s="37"/>
      <c r="Y826" s="37"/>
      <c r="Z826" s="37"/>
      <c r="AA826" s="37">
        <f t="shared" si="82"/>
        <v>0</v>
      </c>
      <c r="AB826" s="37">
        <f t="shared" si="98"/>
        <v>0</v>
      </c>
    </row>
    <row r="827" spans="1:28" ht="14.4">
      <c r="A827" s="117">
        <v>2140311104</v>
      </c>
      <c r="B827" s="117" t="s">
        <v>911</v>
      </c>
      <c r="C827" s="37">
        <f>-VLOOKUP(A827,Composición!C:G,5,FALSE)</f>
        <v>0</v>
      </c>
      <c r="D827" s="37"/>
      <c r="E827" s="37"/>
      <c r="F827" s="37">
        <f>-VLOOKUP(A827,Composición!C:J,8,FALSE)</f>
        <v>0</v>
      </c>
      <c r="G827" s="37">
        <f t="shared" si="110"/>
        <v>0</v>
      </c>
      <c r="H827" s="37"/>
      <c r="I827" s="37"/>
      <c r="J827" s="37"/>
      <c r="K827" s="37"/>
      <c r="L827" s="37">
        <f>-G827</f>
        <v>0</v>
      </c>
      <c r="M827" s="37"/>
      <c r="N827" s="37"/>
      <c r="O827" s="37"/>
      <c r="P827" s="37"/>
      <c r="Q827" s="37"/>
      <c r="R827" s="37"/>
      <c r="S827" s="37"/>
      <c r="T827" s="37"/>
      <c r="U827" s="37"/>
      <c r="V827" s="37"/>
      <c r="W827" s="37"/>
      <c r="X827" s="37"/>
      <c r="Y827" s="37"/>
      <c r="Z827" s="37"/>
      <c r="AA827" s="37">
        <f t="shared" si="82"/>
        <v>0</v>
      </c>
      <c r="AB827" s="37">
        <f t="shared" si="98"/>
        <v>0</v>
      </c>
    </row>
    <row r="828" spans="1:28" ht="14.4">
      <c r="A828" s="117">
        <v>2140311197</v>
      </c>
      <c r="B828" s="117" t="s">
        <v>912</v>
      </c>
      <c r="C828" s="37">
        <f>-VLOOKUP(A828,Composición!C:G,5,FALSE)</f>
        <v>0</v>
      </c>
      <c r="D828" s="37"/>
      <c r="E828" s="37"/>
      <c r="F828" s="37">
        <f>-VLOOKUP(A828,Composición!C:J,8,FALSE)</f>
        <v>0</v>
      </c>
      <c r="G828" s="37">
        <f t="shared" si="110"/>
        <v>0</v>
      </c>
      <c r="H828" s="37"/>
      <c r="I828" s="37"/>
      <c r="J828" s="37"/>
      <c r="K828" s="37"/>
      <c r="L828" s="37">
        <f>-G828</f>
        <v>0</v>
      </c>
      <c r="M828" s="37"/>
      <c r="N828" s="37"/>
      <c r="O828" s="37"/>
      <c r="P828" s="37"/>
      <c r="Q828" s="37"/>
      <c r="R828" s="37"/>
      <c r="S828" s="37"/>
      <c r="T828" s="37"/>
      <c r="U828" s="37"/>
      <c r="V828" s="37"/>
      <c r="W828" s="37"/>
      <c r="X828" s="37"/>
      <c r="Y828" s="37"/>
      <c r="Z828" s="37"/>
      <c r="AA828" s="37">
        <f t="shared" si="82"/>
        <v>0</v>
      </c>
      <c r="AB828" s="37">
        <f t="shared" si="98"/>
        <v>0</v>
      </c>
    </row>
    <row r="829" spans="1:28" ht="14.4">
      <c r="A829" s="117">
        <v>2140311198</v>
      </c>
      <c r="B829" s="117" t="s">
        <v>913</v>
      </c>
      <c r="C829" s="37">
        <f>-VLOOKUP(A829,Composición!C:G,5,FALSE)</f>
        <v>0</v>
      </c>
      <c r="D829" s="37"/>
      <c r="E829" s="37"/>
      <c r="F829" s="37">
        <f>-VLOOKUP(A829,Composición!C:J,8,FALSE)</f>
        <v>0</v>
      </c>
      <c r="G829" s="37">
        <f t="shared" si="110"/>
        <v>0</v>
      </c>
      <c r="H829" s="37"/>
      <c r="I829" s="37"/>
      <c r="J829" s="37"/>
      <c r="K829" s="37"/>
      <c r="L829" s="37"/>
      <c r="M829" s="37"/>
      <c r="N829" s="37"/>
      <c r="O829" s="37"/>
      <c r="P829" s="37"/>
      <c r="Q829" s="37"/>
      <c r="R829" s="37"/>
      <c r="S829" s="37"/>
      <c r="T829" s="37"/>
      <c r="U829" s="37"/>
      <c r="V829" s="37"/>
      <c r="W829" s="37"/>
      <c r="X829" s="37"/>
      <c r="Y829" s="37"/>
      <c r="Z829" s="37"/>
      <c r="AA829" s="37">
        <f t="shared" si="82"/>
        <v>0</v>
      </c>
      <c r="AB829" s="37">
        <f t="shared" si="98"/>
        <v>0</v>
      </c>
    </row>
    <row r="830" spans="1:28" ht="14.4">
      <c r="A830" s="117">
        <v>2140311199</v>
      </c>
      <c r="B830" s="117" t="s">
        <v>914</v>
      </c>
      <c r="C830" s="1365">
        <f>-VLOOKUP(A830,Composición!C:G,5,FALSE)</f>
        <v>-430719</v>
      </c>
      <c r="D830" s="37"/>
      <c r="E830" s="37"/>
      <c r="F830" s="37">
        <f>-VLOOKUP(A830,Composición!C:J,8,FALSE)</f>
        <v>0</v>
      </c>
      <c r="G830" s="37">
        <f t="shared" si="110"/>
        <v>-430719</v>
      </c>
      <c r="H830" s="37"/>
      <c r="I830" s="37"/>
      <c r="J830" s="37"/>
      <c r="K830" s="37"/>
      <c r="L830" s="37">
        <f>-G830</f>
        <v>430719</v>
      </c>
      <c r="M830" s="37"/>
      <c r="N830" s="37"/>
      <c r="O830" s="37"/>
      <c r="P830" s="37"/>
      <c r="Q830" s="37"/>
      <c r="R830" s="37"/>
      <c r="S830" s="37"/>
      <c r="T830" s="37"/>
      <c r="U830" s="37"/>
      <c r="V830" s="37"/>
      <c r="W830" s="37"/>
      <c r="X830" s="37"/>
      <c r="Y830" s="37"/>
      <c r="Z830" s="37"/>
      <c r="AA830" s="37">
        <f t="shared" ref="AA830:AA895" si="111">SUM(G830:Z830)</f>
        <v>0</v>
      </c>
      <c r="AB830" s="37">
        <f t="shared" si="98"/>
        <v>0</v>
      </c>
    </row>
    <row r="831" spans="1:28" ht="14.4">
      <c r="A831" s="117">
        <v>21404</v>
      </c>
      <c r="B831" s="117" t="s">
        <v>547</v>
      </c>
      <c r="C831" s="37">
        <f>-VLOOKUP(A831,Composición!C:G,5,FALSE)</f>
        <v>0</v>
      </c>
      <c r="D831" s="37"/>
      <c r="E831" s="37"/>
      <c r="F831" s="37">
        <f>-VLOOKUP(A831,Composición!C:J,8,FALSE)</f>
        <v>0</v>
      </c>
      <c r="G831" s="37">
        <f t="shared" si="110"/>
        <v>0</v>
      </c>
      <c r="H831" s="37"/>
      <c r="I831" s="37"/>
      <c r="J831" s="37"/>
      <c r="K831" s="37"/>
      <c r="L831" s="37"/>
      <c r="M831" s="37"/>
      <c r="N831" s="37"/>
      <c r="O831" s="37"/>
      <c r="P831" s="37"/>
      <c r="Q831" s="37"/>
      <c r="R831" s="37"/>
      <c r="S831" s="37"/>
      <c r="T831" s="37"/>
      <c r="U831" s="37"/>
      <c r="V831" s="37"/>
      <c r="W831" s="37"/>
      <c r="X831" s="37"/>
      <c r="Y831" s="37"/>
      <c r="Z831" s="37"/>
      <c r="AA831" s="37">
        <f t="shared" si="111"/>
        <v>0</v>
      </c>
      <c r="AB831" s="37">
        <f t="shared" si="98"/>
        <v>0</v>
      </c>
    </row>
    <row r="832" spans="1:28" ht="14.4">
      <c r="A832" s="117">
        <v>214041</v>
      </c>
      <c r="B832" s="117" t="s">
        <v>547</v>
      </c>
      <c r="C832" s="37">
        <f>-VLOOKUP(A832,Composición!C:G,5,FALSE)</f>
        <v>0</v>
      </c>
      <c r="D832" s="37"/>
      <c r="E832" s="37"/>
      <c r="F832" s="37">
        <f>-VLOOKUP(A832,Composición!C:J,8,FALSE)</f>
        <v>0</v>
      </c>
      <c r="G832" s="37">
        <f t="shared" si="110"/>
        <v>0</v>
      </c>
      <c r="H832" s="37"/>
      <c r="I832" s="37"/>
      <c r="J832" s="37"/>
      <c r="K832" s="37"/>
      <c r="L832" s="37"/>
      <c r="M832" s="37"/>
      <c r="N832" s="37"/>
      <c r="O832" s="37"/>
      <c r="P832" s="37"/>
      <c r="Q832" s="37"/>
      <c r="R832" s="37"/>
      <c r="S832" s="37"/>
      <c r="T832" s="37"/>
      <c r="U832" s="37"/>
      <c r="V832" s="37"/>
      <c r="W832" s="37"/>
      <c r="X832" s="37"/>
      <c r="Y832" s="37"/>
      <c r="Z832" s="37"/>
      <c r="AA832" s="37">
        <f t="shared" si="111"/>
        <v>0</v>
      </c>
      <c r="AB832" s="37">
        <f t="shared" si="98"/>
        <v>0</v>
      </c>
    </row>
    <row r="833" spans="1:28" ht="14.4">
      <c r="A833" s="117">
        <v>2140411</v>
      </c>
      <c r="B833" s="117" t="s">
        <v>547</v>
      </c>
      <c r="C833" s="37">
        <f>-VLOOKUP(A833,Composición!C:G,5,FALSE)</f>
        <v>0</v>
      </c>
      <c r="D833" s="37"/>
      <c r="E833" s="37"/>
      <c r="F833" s="37">
        <f>-VLOOKUP(A833,Composición!C:J,8,FALSE)</f>
        <v>0</v>
      </c>
      <c r="G833" s="37">
        <f t="shared" si="110"/>
        <v>0</v>
      </c>
      <c r="H833" s="37"/>
      <c r="I833" s="37"/>
      <c r="J833" s="37"/>
      <c r="K833" s="37"/>
      <c r="L833" s="37"/>
      <c r="M833" s="37"/>
      <c r="N833" s="37"/>
      <c r="O833" s="37"/>
      <c r="P833" s="37"/>
      <c r="Q833" s="37"/>
      <c r="R833" s="37"/>
      <c r="S833" s="37"/>
      <c r="T833" s="37"/>
      <c r="U833" s="37"/>
      <c r="V833" s="37"/>
      <c r="W833" s="37"/>
      <c r="X833" s="37"/>
      <c r="Y833" s="37"/>
      <c r="Z833" s="37"/>
      <c r="AA833" s="37">
        <f t="shared" si="111"/>
        <v>0</v>
      </c>
      <c r="AB833" s="37">
        <f t="shared" si="98"/>
        <v>0</v>
      </c>
    </row>
    <row r="834" spans="1:28" ht="14.4">
      <c r="A834" s="117">
        <v>21404111</v>
      </c>
      <c r="B834" s="117" t="s">
        <v>547</v>
      </c>
      <c r="C834" s="37">
        <f>-VLOOKUP(A834,Composición!C:G,5,FALSE)</f>
        <v>0</v>
      </c>
      <c r="D834" s="37"/>
      <c r="E834" s="37"/>
      <c r="F834" s="37">
        <f>-VLOOKUP(A834,Composición!C:J,8,FALSE)</f>
        <v>0</v>
      </c>
      <c r="G834" s="37">
        <f t="shared" si="110"/>
        <v>0</v>
      </c>
      <c r="H834" s="37"/>
      <c r="I834" s="37"/>
      <c r="J834" s="37"/>
      <c r="K834" s="37"/>
      <c r="L834" s="37"/>
      <c r="M834" s="37"/>
      <c r="N834" s="37"/>
      <c r="O834" s="37"/>
      <c r="P834" s="37"/>
      <c r="Q834" s="37"/>
      <c r="R834" s="37"/>
      <c r="S834" s="37"/>
      <c r="T834" s="37"/>
      <c r="U834" s="37"/>
      <c r="V834" s="37"/>
      <c r="W834" s="37"/>
      <c r="X834" s="37"/>
      <c r="Y834" s="37"/>
      <c r="Z834" s="37"/>
      <c r="AA834" s="37">
        <f t="shared" si="111"/>
        <v>0</v>
      </c>
      <c r="AB834" s="37">
        <f t="shared" si="98"/>
        <v>0</v>
      </c>
    </row>
    <row r="835" spans="1:28" ht="14.4">
      <c r="A835" s="117">
        <v>2140411101</v>
      </c>
      <c r="B835" s="117" t="s">
        <v>915</v>
      </c>
      <c r="C835" s="37">
        <f>-VLOOKUP(A835,Composición!C:G,5,FALSE)</f>
        <v>0</v>
      </c>
      <c r="D835" s="37"/>
      <c r="E835" s="37"/>
      <c r="F835" s="37">
        <f>-VLOOKUP(A835,Composición!C:J,8,FALSE)</f>
        <v>0</v>
      </c>
      <c r="G835" s="37">
        <f t="shared" si="110"/>
        <v>0</v>
      </c>
      <c r="H835" s="37"/>
      <c r="I835" s="37"/>
      <c r="J835" s="37"/>
      <c r="K835" s="37"/>
      <c r="L835" s="37"/>
      <c r="M835" s="37"/>
      <c r="N835" s="37"/>
      <c r="O835" s="37"/>
      <c r="P835" s="37"/>
      <c r="Q835" s="37"/>
      <c r="R835" s="37"/>
      <c r="S835" s="37"/>
      <c r="T835" s="37"/>
      <c r="U835" s="37"/>
      <c r="V835" s="37"/>
      <c r="W835" s="37"/>
      <c r="X835" s="37"/>
      <c r="Y835" s="37"/>
      <c r="Z835" s="37"/>
      <c r="AA835" s="37">
        <f t="shared" si="111"/>
        <v>0</v>
      </c>
      <c r="AB835" s="37">
        <f t="shared" si="98"/>
        <v>0</v>
      </c>
    </row>
    <row r="836" spans="1:28" ht="14.4">
      <c r="A836" s="117">
        <v>2140411102</v>
      </c>
      <c r="B836" s="117" t="s">
        <v>916</v>
      </c>
      <c r="C836" s="37">
        <f>-VLOOKUP(A836,Composición!C:G,5,FALSE)</f>
        <v>0</v>
      </c>
      <c r="D836" s="37"/>
      <c r="E836" s="37"/>
      <c r="F836" s="37">
        <f>-VLOOKUP(A836,Composición!C:J,8,FALSE)</f>
        <v>0</v>
      </c>
      <c r="G836" s="37">
        <f t="shared" si="110"/>
        <v>0</v>
      </c>
      <c r="H836" s="37"/>
      <c r="I836" s="37"/>
      <c r="J836" s="37"/>
      <c r="K836" s="37"/>
      <c r="L836" s="37"/>
      <c r="M836" s="37"/>
      <c r="N836" s="37"/>
      <c r="O836" s="37"/>
      <c r="P836" s="37"/>
      <c r="Q836" s="37"/>
      <c r="R836" s="37"/>
      <c r="S836" s="37"/>
      <c r="T836" s="37"/>
      <c r="U836" s="37"/>
      <c r="V836" s="37"/>
      <c r="W836" s="37"/>
      <c r="X836" s="37"/>
      <c r="Y836" s="37"/>
      <c r="Z836" s="37"/>
      <c r="AA836" s="37">
        <f t="shared" si="111"/>
        <v>0</v>
      </c>
      <c r="AB836" s="37">
        <f t="shared" si="98"/>
        <v>0</v>
      </c>
    </row>
    <row r="837" spans="1:28" ht="14.4">
      <c r="A837" s="117">
        <v>2140411103</v>
      </c>
      <c r="B837" s="117" t="s">
        <v>917</v>
      </c>
      <c r="C837" s="37">
        <f>-VLOOKUP(A837,Composición!C:G,5,FALSE)</f>
        <v>0</v>
      </c>
      <c r="D837" s="37"/>
      <c r="E837" s="37"/>
      <c r="F837" s="37">
        <f>-VLOOKUP(A837,Composición!C:J,8,FALSE)</f>
        <v>0</v>
      </c>
      <c r="G837" s="37">
        <f t="shared" si="110"/>
        <v>0</v>
      </c>
      <c r="H837" s="37"/>
      <c r="I837" s="37"/>
      <c r="J837" s="37"/>
      <c r="K837" s="37"/>
      <c r="L837" s="37"/>
      <c r="M837" s="37"/>
      <c r="N837" s="37"/>
      <c r="O837" s="37"/>
      <c r="P837" s="37"/>
      <c r="Q837" s="37"/>
      <c r="R837" s="37"/>
      <c r="S837" s="37"/>
      <c r="T837" s="37"/>
      <c r="U837" s="37"/>
      <c r="V837" s="37"/>
      <c r="W837" s="37"/>
      <c r="X837" s="37"/>
      <c r="Y837" s="37"/>
      <c r="Z837" s="37"/>
      <c r="AA837" s="37">
        <f t="shared" si="111"/>
        <v>0</v>
      </c>
      <c r="AB837" s="37">
        <f t="shared" si="98"/>
        <v>0</v>
      </c>
    </row>
    <row r="838" spans="1:28" ht="14.4">
      <c r="A838" s="117">
        <v>2140411104</v>
      </c>
      <c r="B838" s="117" t="s">
        <v>918</v>
      </c>
      <c r="C838" s="37">
        <f>-VLOOKUP(A838,Composición!C:G,5,FALSE)</f>
        <v>0</v>
      </c>
      <c r="D838" s="37"/>
      <c r="E838" s="37"/>
      <c r="F838" s="37">
        <f>-VLOOKUP(A838,Composición!C:J,8,FALSE)</f>
        <v>0</v>
      </c>
      <c r="G838" s="37">
        <f t="shared" si="110"/>
        <v>0</v>
      </c>
      <c r="H838" s="37"/>
      <c r="I838" s="37"/>
      <c r="J838" s="37"/>
      <c r="K838" s="37"/>
      <c r="L838" s="37"/>
      <c r="M838" s="37"/>
      <c r="N838" s="37"/>
      <c r="O838" s="37"/>
      <c r="P838" s="37"/>
      <c r="Q838" s="37"/>
      <c r="R838" s="37"/>
      <c r="S838" s="37"/>
      <c r="T838" s="37"/>
      <c r="U838" s="37"/>
      <c r="V838" s="37"/>
      <c r="W838" s="37"/>
      <c r="X838" s="37"/>
      <c r="Y838" s="37"/>
      <c r="Z838" s="37"/>
      <c r="AA838" s="37">
        <f t="shared" si="111"/>
        <v>0</v>
      </c>
      <c r="AB838" s="37">
        <f t="shared" si="98"/>
        <v>0</v>
      </c>
    </row>
    <row r="839" spans="1:28" ht="14.4">
      <c r="A839" s="117">
        <v>2140411105</v>
      </c>
      <c r="B839" s="117" t="s">
        <v>919</v>
      </c>
      <c r="C839" s="37">
        <f>-VLOOKUP(A839,Composición!C:G,5,FALSE)</f>
        <v>0</v>
      </c>
      <c r="D839" s="37"/>
      <c r="E839" s="37"/>
      <c r="F839" s="37">
        <f>-VLOOKUP(A839,Composición!C:J,8,FALSE)</f>
        <v>0</v>
      </c>
      <c r="G839" s="37">
        <f t="shared" si="110"/>
        <v>0</v>
      </c>
      <c r="H839" s="37"/>
      <c r="I839" s="37"/>
      <c r="J839" s="37"/>
      <c r="K839" s="37"/>
      <c r="L839" s="37">
        <f>-G839</f>
        <v>0</v>
      </c>
      <c r="M839" s="37"/>
      <c r="N839" s="37"/>
      <c r="O839" s="37"/>
      <c r="P839" s="37"/>
      <c r="Q839" s="37"/>
      <c r="R839" s="37"/>
      <c r="S839" s="37"/>
      <c r="T839" s="37"/>
      <c r="U839" s="37"/>
      <c r="V839" s="37"/>
      <c r="W839" s="37"/>
      <c r="X839" s="37"/>
      <c r="Y839" s="37"/>
      <c r="Z839" s="37"/>
      <c r="AA839" s="37">
        <f t="shared" si="111"/>
        <v>0</v>
      </c>
      <c r="AB839" s="37">
        <f t="shared" si="98"/>
        <v>0</v>
      </c>
    </row>
    <row r="840" spans="1:28" ht="14.4">
      <c r="A840" s="117">
        <v>2140411106</v>
      </c>
      <c r="B840" s="117" t="s">
        <v>920</v>
      </c>
      <c r="C840" s="37">
        <f>-VLOOKUP(A840,Composición!C:G,5,FALSE)</f>
        <v>0</v>
      </c>
      <c r="D840" s="37"/>
      <c r="E840" s="37"/>
      <c r="F840" s="37">
        <f>-VLOOKUP(A840,Composición!C:J,8,FALSE)</f>
        <v>0</v>
      </c>
      <c r="G840" s="37">
        <f t="shared" si="110"/>
        <v>0</v>
      </c>
      <c r="H840" s="37"/>
      <c r="I840" s="37"/>
      <c r="J840" s="37"/>
      <c r="K840" s="37"/>
      <c r="L840" s="37"/>
      <c r="M840" s="37"/>
      <c r="N840" s="37"/>
      <c r="O840" s="37"/>
      <c r="P840" s="37"/>
      <c r="Q840" s="37"/>
      <c r="R840" s="37"/>
      <c r="S840" s="37"/>
      <c r="T840" s="37"/>
      <c r="U840" s="37"/>
      <c r="V840" s="37"/>
      <c r="W840" s="37"/>
      <c r="X840" s="37"/>
      <c r="Y840" s="37"/>
      <c r="Z840" s="37"/>
      <c r="AA840" s="37">
        <f t="shared" si="111"/>
        <v>0</v>
      </c>
      <c r="AB840" s="37">
        <f t="shared" si="98"/>
        <v>0</v>
      </c>
    </row>
    <row r="841" spans="1:28" ht="14.4">
      <c r="A841" s="117">
        <v>2140411107</v>
      </c>
      <c r="B841" s="117" t="s">
        <v>921</v>
      </c>
      <c r="C841" s="37">
        <f>-VLOOKUP(A841,Composición!C:G,5,FALSE)</f>
        <v>0</v>
      </c>
      <c r="D841" s="37"/>
      <c r="E841" s="37"/>
      <c r="F841" s="37">
        <f>-VLOOKUP(A841,Composición!C:J,8,FALSE)</f>
        <v>0</v>
      </c>
      <c r="G841" s="37">
        <f t="shared" si="110"/>
        <v>0</v>
      </c>
      <c r="H841" s="37"/>
      <c r="I841" s="37"/>
      <c r="J841" s="37"/>
      <c r="K841" s="37"/>
      <c r="L841" s="37"/>
      <c r="M841" s="37"/>
      <c r="N841" s="37"/>
      <c r="O841" s="37"/>
      <c r="P841" s="37"/>
      <c r="Q841" s="37"/>
      <c r="R841" s="37"/>
      <c r="S841" s="37"/>
      <c r="T841" s="37"/>
      <c r="U841" s="37"/>
      <c r="V841" s="37"/>
      <c r="W841" s="37"/>
      <c r="X841" s="37"/>
      <c r="Y841" s="37"/>
      <c r="Z841" s="37"/>
      <c r="AA841" s="37">
        <f t="shared" si="111"/>
        <v>0</v>
      </c>
      <c r="AB841" s="37">
        <f t="shared" ref="AB841:AB904" si="112">SUM(G841:Z841)</f>
        <v>0</v>
      </c>
    </row>
    <row r="842" spans="1:28" ht="14.4">
      <c r="A842" s="117">
        <v>2140411108</v>
      </c>
      <c r="B842" s="117" t="s">
        <v>922</v>
      </c>
      <c r="C842" s="37">
        <f>-VLOOKUP(A842,Composición!C:G,5,FALSE)</f>
        <v>0</v>
      </c>
      <c r="D842" s="37"/>
      <c r="E842" s="37"/>
      <c r="F842" s="37">
        <f>-VLOOKUP(A842,Composición!C:J,8,FALSE)</f>
        <v>0</v>
      </c>
      <c r="G842" s="37">
        <f t="shared" si="110"/>
        <v>0</v>
      </c>
      <c r="H842" s="37"/>
      <c r="I842" s="37"/>
      <c r="J842" s="37"/>
      <c r="K842" s="37"/>
      <c r="L842" s="37"/>
      <c r="M842" s="37"/>
      <c r="N842" s="37"/>
      <c r="O842" s="37"/>
      <c r="P842" s="37"/>
      <c r="Q842" s="37"/>
      <c r="R842" s="37"/>
      <c r="S842" s="37"/>
      <c r="T842" s="37"/>
      <c r="U842" s="37"/>
      <c r="V842" s="37"/>
      <c r="W842" s="37"/>
      <c r="X842" s="37"/>
      <c r="Y842" s="37"/>
      <c r="Z842" s="37"/>
      <c r="AA842" s="37">
        <f t="shared" si="111"/>
        <v>0</v>
      </c>
      <c r="AB842" s="37">
        <f t="shared" si="112"/>
        <v>0</v>
      </c>
    </row>
    <row r="843" spans="1:28" ht="14.4">
      <c r="A843" s="117">
        <v>2140411109</v>
      </c>
      <c r="B843" s="117" t="s">
        <v>923</v>
      </c>
      <c r="C843" s="37">
        <f>-VLOOKUP(A843,Composición!C:G,5,FALSE)</f>
        <v>0</v>
      </c>
      <c r="D843" s="37"/>
      <c r="E843" s="37"/>
      <c r="F843" s="37">
        <f>-VLOOKUP(A843,Composición!C:J,8,FALSE)</f>
        <v>0</v>
      </c>
      <c r="G843" s="37">
        <f t="shared" si="110"/>
        <v>0</v>
      </c>
      <c r="H843" s="37"/>
      <c r="I843" s="37"/>
      <c r="J843" s="37"/>
      <c r="K843" s="37"/>
      <c r="L843" s="37"/>
      <c r="M843" s="37"/>
      <c r="N843" s="37"/>
      <c r="O843" s="37"/>
      <c r="P843" s="37"/>
      <c r="Q843" s="37"/>
      <c r="R843" s="37"/>
      <c r="S843" s="37"/>
      <c r="T843" s="37"/>
      <c r="U843" s="37"/>
      <c r="V843" s="37"/>
      <c r="W843" s="37"/>
      <c r="X843" s="37"/>
      <c r="Y843" s="37"/>
      <c r="Z843" s="37"/>
      <c r="AA843" s="37">
        <f t="shared" si="111"/>
        <v>0</v>
      </c>
      <c r="AB843" s="37">
        <f t="shared" si="112"/>
        <v>0</v>
      </c>
    </row>
    <row r="844" spans="1:28" ht="14.4">
      <c r="A844" s="117">
        <v>2140411110</v>
      </c>
      <c r="B844" s="117" t="s">
        <v>924</v>
      </c>
      <c r="C844" s="37">
        <f>-VLOOKUP(A844,Composición!C:G,5,FALSE)</f>
        <v>0</v>
      </c>
      <c r="D844" s="37"/>
      <c r="E844" s="37"/>
      <c r="F844" s="37">
        <f>-VLOOKUP(A844,Composición!C:J,8,FALSE)</f>
        <v>0</v>
      </c>
      <c r="G844" s="37">
        <f t="shared" si="110"/>
        <v>0</v>
      </c>
      <c r="H844" s="37"/>
      <c r="I844" s="37"/>
      <c r="J844" s="37"/>
      <c r="K844" s="37"/>
      <c r="L844" s="37"/>
      <c r="M844" s="37"/>
      <c r="N844" s="37"/>
      <c r="O844" s="37"/>
      <c r="P844" s="37"/>
      <c r="Q844" s="37"/>
      <c r="R844" s="37"/>
      <c r="S844" s="37"/>
      <c r="T844" s="37"/>
      <c r="U844" s="37"/>
      <c r="V844" s="37"/>
      <c r="W844" s="37"/>
      <c r="X844" s="37"/>
      <c r="Y844" s="37"/>
      <c r="Z844" s="37"/>
      <c r="AA844" s="37">
        <f t="shared" si="111"/>
        <v>0</v>
      </c>
      <c r="AB844" s="37">
        <f t="shared" si="112"/>
        <v>0</v>
      </c>
    </row>
    <row r="845" spans="1:28" ht="14.4">
      <c r="A845" s="117">
        <v>2140411111</v>
      </c>
      <c r="B845" s="117" t="s">
        <v>925</v>
      </c>
      <c r="C845" s="37">
        <f>-VLOOKUP(A845,Composición!C:G,5,FALSE)</f>
        <v>0</v>
      </c>
      <c r="D845" s="37"/>
      <c r="E845" s="37"/>
      <c r="F845" s="37">
        <f>-VLOOKUP(A845,Composición!C:J,8,FALSE)</f>
        <v>0</v>
      </c>
      <c r="G845" s="37">
        <f t="shared" si="110"/>
        <v>0</v>
      </c>
      <c r="H845" s="37"/>
      <c r="I845" s="37"/>
      <c r="J845" s="37"/>
      <c r="K845" s="37"/>
      <c r="L845" s="37"/>
      <c r="M845" s="37"/>
      <c r="N845" s="37"/>
      <c r="O845" s="37"/>
      <c r="P845" s="37"/>
      <c r="Q845" s="37"/>
      <c r="R845" s="37"/>
      <c r="S845" s="37"/>
      <c r="T845" s="37"/>
      <c r="U845" s="37"/>
      <c r="V845" s="37"/>
      <c r="W845" s="37"/>
      <c r="X845" s="37"/>
      <c r="Y845" s="37"/>
      <c r="Z845" s="37"/>
      <c r="AA845" s="37">
        <f t="shared" si="111"/>
        <v>0</v>
      </c>
      <c r="AB845" s="37">
        <f t="shared" si="112"/>
        <v>0</v>
      </c>
    </row>
    <row r="846" spans="1:28" ht="14.4">
      <c r="A846" s="117">
        <v>2140411112</v>
      </c>
      <c r="B846" s="117" t="s">
        <v>926</v>
      </c>
      <c r="C846" s="37">
        <f>-VLOOKUP(A846,Composición!C:G,5,FALSE)</f>
        <v>0</v>
      </c>
      <c r="D846" s="37"/>
      <c r="E846" s="37"/>
      <c r="F846" s="37">
        <f>-VLOOKUP(A846,Composición!C:J,8,FALSE)</f>
        <v>0</v>
      </c>
      <c r="G846" s="37">
        <f t="shared" si="110"/>
        <v>0</v>
      </c>
      <c r="H846" s="37"/>
      <c r="I846" s="37"/>
      <c r="J846" s="37"/>
      <c r="K846" s="37"/>
      <c r="L846" s="37"/>
      <c r="M846" s="37"/>
      <c r="N846" s="37"/>
      <c r="O846" s="37"/>
      <c r="P846" s="37"/>
      <c r="Q846" s="37"/>
      <c r="R846" s="37"/>
      <c r="S846" s="37"/>
      <c r="T846" s="37"/>
      <c r="U846" s="37"/>
      <c r="V846" s="37"/>
      <c r="W846" s="37"/>
      <c r="X846" s="37"/>
      <c r="Y846" s="37"/>
      <c r="Z846" s="37"/>
      <c r="AA846" s="37">
        <f t="shared" si="111"/>
        <v>0</v>
      </c>
      <c r="AB846" s="37">
        <f t="shared" si="112"/>
        <v>0</v>
      </c>
    </row>
    <row r="847" spans="1:28" ht="14.4">
      <c r="A847" s="117">
        <v>21405</v>
      </c>
      <c r="B847" s="117" t="s">
        <v>232</v>
      </c>
      <c r="C847" s="37">
        <f>-VLOOKUP(A847,Composición!C:G,5,FALSE)</f>
        <v>0</v>
      </c>
      <c r="D847" s="37"/>
      <c r="E847" s="37"/>
      <c r="F847" s="37">
        <f>-VLOOKUP(A847,Composición!C:J,8,FALSE)</f>
        <v>0</v>
      </c>
      <c r="G847" s="37">
        <f t="shared" si="110"/>
        <v>0</v>
      </c>
      <c r="H847" s="37"/>
      <c r="I847" s="37"/>
      <c r="J847" s="37"/>
      <c r="K847" s="37"/>
      <c r="L847" s="37"/>
      <c r="M847" s="37"/>
      <c r="N847" s="37"/>
      <c r="O847" s="37"/>
      <c r="P847" s="37"/>
      <c r="Q847" s="37"/>
      <c r="R847" s="37"/>
      <c r="S847" s="37"/>
      <c r="T847" s="37"/>
      <c r="U847" s="37"/>
      <c r="V847" s="37"/>
      <c r="W847" s="37"/>
      <c r="X847" s="37"/>
      <c r="Y847" s="37"/>
      <c r="Z847" s="37"/>
      <c r="AA847" s="37">
        <f t="shared" si="111"/>
        <v>0</v>
      </c>
      <c r="AB847" s="37">
        <f t="shared" si="112"/>
        <v>0</v>
      </c>
    </row>
    <row r="848" spans="1:28" ht="14.4">
      <c r="A848" s="117">
        <v>214051</v>
      </c>
      <c r="B848" s="117" t="s">
        <v>232</v>
      </c>
      <c r="C848" s="37">
        <f>-VLOOKUP(A848,Composición!C:G,5,FALSE)</f>
        <v>0</v>
      </c>
      <c r="D848" s="37"/>
      <c r="E848" s="37"/>
      <c r="F848" s="37">
        <f>-VLOOKUP(A848,Composición!C:J,8,FALSE)</f>
        <v>0</v>
      </c>
      <c r="G848" s="37">
        <f t="shared" si="110"/>
        <v>0</v>
      </c>
      <c r="H848" s="37"/>
      <c r="I848" s="37"/>
      <c r="J848" s="37"/>
      <c r="K848" s="37"/>
      <c r="L848" s="37"/>
      <c r="M848" s="37"/>
      <c r="N848" s="37"/>
      <c r="O848" s="37"/>
      <c r="P848" s="37"/>
      <c r="Q848" s="37"/>
      <c r="R848" s="37"/>
      <c r="S848" s="37"/>
      <c r="T848" s="37"/>
      <c r="U848" s="37"/>
      <c r="V848" s="37"/>
      <c r="W848" s="37"/>
      <c r="X848" s="37"/>
      <c r="Y848" s="37"/>
      <c r="Z848" s="37"/>
      <c r="AA848" s="37">
        <f t="shared" si="111"/>
        <v>0</v>
      </c>
      <c r="AB848" s="37">
        <f t="shared" si="112"/>
        <v>0</v>
      </c>
    </row>
    <row r="849" spans="1:28" ht="14.4">
      <c r="A849" s="117">
        <v>2140511</v>
      </c>
      <c r="B849" s="117" t="s">
        <v>232</v>
      </c>
      <c r="C849" s="37">
        <f>-VLOOKUP(A849,Composición!C:G,5,FALSE)</f>
        <v>0</v>
      </c>
      <c r="D849" s="37"/>
      <c r="E849" s="37"/>
      <c r="F849" s="37">
        <f>-VLOOKUP(A849,Composición!C:J,8,FALSE)</f>
        <v>0</v>
      </c>
      <c r="G849" s="37">
        <f t="shared" si="110"/>
        <v>0</v>
      </c>
      <c r="H849" s="37"/>
      <c r="I849" s="37"/>
      <c r="J849" s="37"/>
      <c r="K849" s="37"/>
      <c r="L849" s="37"/>
      <c r="M849" s="37"/>
      <c r="N849" s="37"/>
      <c r="O849" s="37"/>
      <c r="P849" s="37"/>
      <c r="Q849" s="37"/>
      <c r="R849" s="37"/>
      <c r="S849" s="37"/>
      <c r="T849" s="37"/>
      <c r="U849" s="37"/>
      <c r="V849" s="37"/>
      <c r="W849" s="37"/>
      <c r="X849" s="37"/>
      <c r="Y849" s="37"/>
      <c r="Z849" s="37"/>
      <c r="AA849" s="37">
        <f t="shared" si="111"/>
        <v>0</v>
      </c>
      <c r="AB849" s="37">
        <f t="shared" si="112"/>
        <v>0</v>
      </c>
    </row>
    <row r="850" spans="1:28" ht="14.4">
      <c r="A850" s="117">
        <v>21405111</v>
      </c>
      <c r="B850" s="117" t="s">
        <v>235</v>
      </c>
      <c r="C850" s="37">
        <f>-VLOOKUP(A850,Composición!C:G,5,FALSE)</f>
        <v>0</v>
      </c>
      <c r="D850" s="37"/>
      <c r="E850" s="37"/>
      <c r="F850" s="37">
        <f>-VLOOKUP(A850,Composición!C:J,8,FALSE)</f>
        <v>0</v>
      </c>
      <c r="G850" s="37">
        <f t="shared" si="110"/>
        <v>0</v>
      </c>
      <c r="H850" s="37"/>
      <c r="I850" s="37"/>
      <c r="J850" s="37"/>
      <c r="K850" s="37"/>
      <c r="L850" s="37">
        <f>-G850</f>
        <v>0</v>
      </c>
      <c r="M850" s="37"/>
      <c r="N850" s="37"/>
      <c r="O850" s="37"/>
      <c r="P850" s="37"/>
      <c r="Q850" s="37"/>
      <c r="R850" s="37"/>
      <c r="S850" s="37"/>
      <c r="T850" s="37"/>
      <c r="U850" s="37"/>
      <c r="V850" s="37"/>
      <c r="W850" s="37"/>
      <c r="X850" s="37"/>
      <c r="Y850" s="37"/>
      <c r="Z850" s="37"/>
      <c r="AA850" s="37">
        <f t="shared" si="111"/>
        <v>0</v>
      </c>
      <c r="AB850" s="37">
        <f t="shared" si="112"/>
        <v>0</v>
      </c>
    </row>
    <row r="851" spans="1:28" ht="14.4">
      <c r="A851" s="117">
        <v>2140511101</v>
      </c>
      <c r="B851" s="117" t="s">
        <v>236</v>
      </c>
      <c r="C851" s="37">
        <f>-VLOOKUP(A851,Composición!C:G,5,FALSE)</f>
        <v>0</v>
      </c>
      <c r="D851" s="37"/>
      <c r="E851" s="37"/>
      <c r="F851" s="37">
        <f>-VLOOKUP(A851,Composición!C:J,8,FALSE)</f>
        <v>-5740766</v>
      </c>
      <c r="G851" s="37">
        <f t="shared" si="110"/>
        <v>5740766</v>
      </c>
      <c r="H851" s="37"/>
      <c r="I851" s="37"/>
      <c r="J851" s="37"/>
      <c r="K851" s="37"/>
      <c r="L851" s="37">
        <f>-G851</f>
        <v>-5740766</v>
      </c>
      <c r="M851" s="37"/>
      <c r="N851" s="37"/>
      <c r="O851" s="37"/>
      <c r="P851" s="37"/>
      <c r="Q851" s="37"/>
      <c r="R851" s="37"/>
      <c r="S851" s="37"/>
      <c r="T851" s="37"/>
      <c r="U851" s="37"/>
      <c r="V851" s="37"/>
      <c r="W851" s="37"/>
      <c r="X851" s="37"/>
      <c r="Y851" s="37"/>
      <c r="Z851" s="37"/>
      <c r="AA851" s="37">
        <f t="shared" si="111"/>
        <v>0</v>
      </c>
      <c r="AB851" s="37">
        <f t="shared" si="112"/>
        <v>0</v>
      </c>
    </row>
    <row r="852" spans="1:28" ht="14.4">
      <c r="A852" s="117">
        <v>2140511102</v>
      </c>
      <c r="B852" s="117" t="s">
        <v>237</v>
      </c>
      <c r="C852" s="1365">
        <f>-VLOOKUP(A852,Composición!C:G,5,FALSE)</f>
        <v>-122246</v>
      </c>
      <c r="D852" s="37"/>
      <c r="E852" s="37"/>
      <c r="F852" s="37">
        <f>-VLOOKUP(A852,Composición!C:J,8,FALSE)</f>
        <v>-1177615</v>
      </c>
      <c r="G852" s="37">
        <f t="shared" si="110"/>
        <v>1055369</v>
      </c>
      <c r="H852" s="37"/>
      <c r="I852" s="37"/>
      <c r="J852" s="37"/>
      <c r="K852" s="37"/>
      <c r="L852" s="37">
        <f>-G852</f>
        <v>-1055369</v>
      </c>
      <c r="M852" s="37"/>
      <c r="N852" s="37"/>
      <c r="O852" s="37"/>
      <c r="P852" s="37"/>
      <c r="Q852" s="37"/>
      <c r="R852" s="37"/>
      <c r="S852" s="37"/>
      <c r="T852" s="37"/>
      <c r="U852" s="37"/>
      <c r="V852" s="37"/>
      <c r="W852" s="37"/>
      <c r="X852" s="37"/>
      <c r="Y852" s="37"/>
      <c r="Z852" s="37"/>
      <c r="AA852" s="37">
        <f t="shared" si="111"/>
        <v>0</v>
      </c>
      <c r="AB852" s="37">
        <f t="shared" si="112"/>
        <v>0</v>
      </c>
    </row>
    <row r="853" spans="1:28" ht="14.4">
      <c r="A853" s="117">
        <v>21405112</v>
      </c>
      <c r="B853" s="117" t="s">
        <v>927</v>
      </c>
      <c r="C853" s="37">
        <f>-VLOOKUP(A853,Composición!C:G,5,FALSE)</f>
        <v>0</v>
      </c>
      <c r="D853" s="37"/>
      <c r="E853" s="37"/>
      <c r="F853" s="37">
        <f>-VLOOKUP(A853,Composición!C:J,8,FALSE)</f>
        <v>0</v>
      </c>
      <c r="G853" s="37">
        <f t="shared" si="110"/>
        <v>0</v>
      </c>
      <c r="H853" s="37"/>
      <c r="I853" s="37"/>
      <c r="J853" s="37"/>
      <c r="K853" s="37"/>
      <c r="L853" s="37"/>
      <c r="M853" s="37"/>
      <c r="N853" s="37"/>
      <c r="O853" s="37"/>
      <c r="P853" s="37"/>
      <c r="Q853" s="37"/>
      <c r="R853" s="37"/>
      <c r="S853" s="37"/>
      <c r="T853" s="37"/>
      <c r="U853" s="37"/>
      <c r="V853" s="37"/>
      <c r="W853" s="37"/>
      <c r="X853" s="37"/>
      <c r="Y853" s="37"/>
      <c r="Z853" s="37"/>
      <c r="AA853" s="37">
        <f t="shared" si="111"/>
        <v>0</v>
      </c>
      <c r="AB853" s="37">
        <f t="shared" si="112"/>
        <v>0</v>
      </c>
    </row>
    <row r="854" spans="1:28" ht="14.4">
      <c r="A854" s="117">
        <v>2140511202</v>
      </c>
      <c r="B854" s="117" t="s">
        <v>928</v>
      </c>
      <c r="C854" s="37">
        <f>-VLOOKUP(A854,Composición!C:G,5,FALSE)</f>
        <v>0</v>
      </c>
      <c r="D854" s="37"/>
      <c r="E854" s="37"/>
      <c r="F854" s="37">
        <f>-VLOOKUP(A854,Composición!C:J,8,FALSE)</f>
        <v>0</v>
      </c>
      <c r="G854" s="37">
        <f t="shared" si="110"/>
        <v>0</v>
      </c>
      <c r="H854" s="37"/>
      <c r="I854" s="37"/>
      <c r="J854" s="37"/>
      <c r="K854" s="37"/>
      <c r="L854" s="37"/>
      <c r="M854" s="37"/>
      <c r="N854" s="37"/>
      <c r="O854" s="37"/>
      <c r="P854" s="37"/>
      <c r="Q854" s="37"/>
      <c r="R854" s="37"/>
      <c r="S854" s="37"/>
      <c r="T854" s="37"/>
      <c r="U854" s="37"/>
      <c r="V854" s="37"/>
      <c r="W854" s="37"/>
      <c r="X854" s="37"/>
      <c r="Y854" s="37"/>
      <c r="Z854" s="37"/>
      <c r="AA854" s="37">
        <f t="shared" si="111"/>
        <v>0</v>
      </c>
      <c r="AB854" s="37">
        <f t="shared" si="112"/>
        <v>0</v>
      </c>
    </row>
    <row r="855" spans="1:28" ht="14.4">
      <c r="A855" s="117">
        <v>217</v>
      </c>
      <c r="B855" s="117" t="s">
        <v>929</v>
      </c>
      <c r="C855" s="37">
        <f>-VLOOKUP(A855,Composición!C:G,5,FALSE)</f>
        <v>0</v>
      </c>
      <c r="D855" s="37"/>
      <c r="E855" s="37"/>
      <c r="F855" s="37">
        <f>-VLOOKUP(A855,Composición!C:J,8,FALSE)</f>
        <v>0</v>
      </c>
      <c r="G855" s="37">
        <f t="shared" si="110"/>
        <v>0</v>
      </c>
      <c r="H855" s="37"/>
      <c r="I855" s="37"/>
      <c r="J855" s="37"/>
      <c r="K855" s="37"/>
      <c r="L855" s="37"/>
      <c r="M855" s="37"/>
      <c r="N855" s="37"/>
      <c r="O855" s="37"/>
      <c r="P855" s="37"/>
      <c r="Q855" s="37"/>
      <c r="R855" s="37"/>
      <c r="S855" s="37"/>
      <c r="T855" s="37"/>
      <c r="U855" s="37"/>
      <c r="V855" s="37"/>
      <c r="W855" s="37"/>
      <c r="X855" s="37"/>
      <c r="Y855" s="37"/>
      <c r="Z855" s="37"/>
      <c r="AA855" s="37">
        <f t="shared" si="111"/>
        <v>0</v>
      </c>
      <c r="AB855" s="37">
        <f t="shared" si="112"/>
        <v>0</v>
      </c>
    </row>
    <row r="856" spans="1:28" ht="14.4">
      <c r="A856" s="117">
        <v>219</v>
      </c>
      <c r="B856" s="117" t="s">
        <v>929</v>
      </c>
      <c r="C856" s="37">
        <f>-VLOOKUP(A856,Composición!C:G,5,FALSE)</f>
        <v>0</v>
      </c>
      <c r="D856" s="37"/>
      <c r="E856" s="37"/>
      <c r="F856" s="37">
        <f>-VLOOKUP(A856,Composición!C:J,8,FALSE)</f>
        <v>0</v>
      </c>
      <c r="G856" s="37">
        <f t="shared" si="110"/>
        <v>0</v>
      </c>
      <c r="H856" s="37"/>
      <c r="I856" s="37"/>
      <c r="J856" s="37"/>
      <c r="K856" s="37"/>
      <c r="L856" s="37"/>
      <c r="M856" s="37"/>
      <c r="N856" s="37"/>
      <c r="O856" s="37"/>
      <c r="P856" s="37"/>
      <c r="Q856" s="37"/>
      <c r="R856" s="37"/>
      <c r="S856" s="37"/>
      <c r="T856" s="37"/>
      <c r="U856" s="37"/>
      <c r="V856" s="37"/>
      <c r="W856" s="37"/>
      <c r="X856" s="37"/>
      <c r="Y856" s="37"/>
      <c r="Z856" s="37"/>
      <c r="AA856" s="37">
        <f t="shared" si="111"/>
        <v>0</v>
      </c>
      <c r="AB856" s="37">
        <f t="shared" si="112"/>
        <v>0</v>
      </c>
    </row>
    <row r="857" spans="1:28" ht="14.4">
      <c r="A857" s="117">
        <v>21901</v>
      </c>
      <c r="B857" s="117" t="s">
        <v>930</v>
      </c>
      <c r="C857" s="37">
        <f>-VLOOKUP(A857,Composición!C:G,5,FALSE)</f>
        <v>0</v>
      </c>
      <c r="D857" s="37"/>
      <c r="E857" s="37"/>
      <c r="F857" s="37">
        <f>-VLOOKUP(A857,Composición!C:J,8,FALSE)</f>
        <v>0</v>
      </c>
      <c r="G857" s="37">
        <f t="shared" si="110"/>
        <v>0</v>
      </c>
      <c r="H857" s="37"/>
      <c r="I857" s="37"/>
      <c r="J857" s="37"/>
      <c r="K857" s="37"/>
      <c r="L857" s="37"/>
      <c r="M857" s="37"/>
      <c r="N857" s="37"/>
      <c r="O857" s="37"/>
      <c r="P857" s="37"/>
      <c r="Q857" s="37"/>
      <c r="R857" s="37"/>
      <c r="S857" s="37"/>
      <c r="T857" s="37"/>
      <c r="U857" s="37"/>
      <c r="V857" s="37"/>
      <c r="W857" s="37"/>
      <c r="X857" s="37"/>
      <c r="Y857" s="37"/>
      <c r="Z857" s="37"/>
      <c r="AA857" s="37">
        <f t="shared" si="111"/>
        <v>0</v>
      </c>
      <c r="AB857" s="37">
        <f t="shared" si="112"/>
        <v>0</v>
      </c>
    </row>
    <row r="858" spans="1:28" ht="14.4">
      <c r="A858" s="117">
        <v>22</v>
      </c>
      <c r="B858" s="117" t="s">
        <v>931</v>
      </c>
      <c r="C858" s="37">
        <f>-VLOOKUP(A858,Composición!C:G,5,FALSE)</f>
        <v>0</v>
      </c>
      <c r="D858" s="37"/>
      <c r="E858" s="37"/>
      <c r="F858" s="37">
        <f>-VLOOKUP(A858,Composición!C:J,8,FALSE)</f>
        <v>0</v>
      </c>
      <c r="G858" s="37">
        <f t="shared" si="110"/>
        <v>0</v>
      </c>
      <c r="H858" s="37"/>
      <c r="I858" s="37"/>
      <c r="J858" s="37"/>
      <c r="K858" s="37"/>
      <c r="L858" s="37"/>
      <c r="M858" s="37"/>
      <c r="N858" s="37"/>
      <c r="O858" s="37"/>
      <c r="P858" s="37"/>
      <c r="Q858" s="37"/>
      <c r="R858" s="37"/>
      <c r="S858" s="37"/>
      <c r="T858" s="37"/>
      <c r="U858" s="37"/>
      <c r="V858" s="37"/>
      <c r="W858" s="37"/>
      <c r="X858" s="37"/>
      <c r="Y858" s="37"/>
      <c r="Z858" s="37"/>
      <c r="AA858" s="37">
        <f t="shared" si="111"/>
        <v>0</v>
      </c>
      <c r="AB858" s="37">
        <f t="shared" si="112"/>
        <v>0</v>
      </c>
    </row>
    <row r="859" spans="1:28" ht="14.4">
      <c r="A859" s="117">
        <v>222</v>
      </c>
      <c r="B859" s="117" t="s">
        <v>932</v>
      </c>
      <c r="C859" s="37">
        <f>-VLOOKUP(A859,Composición!C:G,5,FALSE)</f>
        <v>0</v>
      </c>
      <c r="D859" s="37"/>
      <c r="E859" s="37"/>
      <c r="F859" s="37">
        <f>-VLOOKUP(A859,Composición!C:J,8,FALSE)</f>
        <v>0</v>
      </c>
      <c r="G859" s="37">
        <f t="shared" si="110"/>
        <v>0</v>
      </c>
      <c r="H859" s="37"/>
      <c r="I859" s="37"/>
      <c r="J859" s="37"/>
      <c r="K859" s="37"/>
      <c r="L859" s="37"/>
      <c r="M859" s="37"/>
      <c r="N859" s="37"/>
      <c r="O859" s="37"/>
      <c r="P859" s="37"/>
      <c r="Q859" s="37"/>
      <c r="R859" s="37"/>
      <c r="S859" s="37"/>
      <c r="T859" s="37"/>
      <c r="U859" s="37"/>
      <c r="V859" s="37"/>
      <c r="W859" s="37"/>
      <c r="X859" s="37"/>
      <c r="Y859" s="37"/>
      <c r="Z859" s="37"/>
      <c r="AA859" s="37">
        <f t="shared" si="111"/>
        <v>0</v>
      </c>
      <c r="AB859" s="37">
        <f t="shared" si="112"/>
        <v>0</v>
      </c>
    </row>
    <row r="860" spans="1:28" ht="14.4">
      <c r="A860" s="117">
        <v>22201</v>
      </c>
      <c r="B860" s="117" t="s">
        <v>874</v>
      </c>
      <c r="C860" s="37">
        <f>-VLOOKUP(A860,Composición!C:G,5,FALSE)</f>
        <v>0</v>
      </c>
      <c r="D860" s="37"/>
      <c r="E860" s="37"/>
      <c r="F860" s="37">
        <f>-VLOOKUP(A860,Composición!C:J,8,FALSE)</f>
        <v>0</v>
      </c>
      <c r="G860" s="37">
        <f t="shared" si="110"/>
        <v>0</v>
      </c>
      <c r="H860" s="37"/>
      <c r="I860" s="37"/>
      <c r="J860" s="37"/>
      <c r="K860" s="37"/>
      <c r="L860" s="37"/>
      <c r="M860" s="37"/>
      <c r="N860" s="37"/>
      <c r="O860" s="37"/>
      <c r="P860" s="37"/>
      <c r="Q860" s="37"/>
      <c r="R860" s="37"/>
      <c r="S860" s="37"/>
      <c r="T860" s="37"/>
      <c r="U860" s="37"/>
      <c r="V860" s="37"/>
      <c r="W860" s="37"/>
      <c r="X860" s="37"/>
      <c r="Y860" s="37"/>
      <c r="Z860" s="37"/>
      <c r="AA860" s="37">
        <f t="shared" si="111"/>
        <v>0</v>
      </c>
      <c r="AB860" s="37">
        <f t="shared" si="112"/>
        <v>0</v>
      </c>
    </row>
    <row r="861" spans="1:28" ht="14.4">
      <c r="A861" s="117">
        <v>222011</v>
      </c>
      <c r="B861" s="117" t="s">
        <v>874</v>
      </c>
      <c r="C861" s="37">
        <f>-VLOOKUP(A861,Composición!C:G,5,FALSE)</f>
        <v>0</v>
      </c>
      <c r="D861" s="37"/>
      <c r="E861" s="37"/>
      <c r="F861" s="37">
        <f>-VLOOKUP(A861,Composición!C:J,8,FALSE)</f>
        <v>0</v>
      </c>
      <c r="G861" s="37">
        <f t="shared" si="110"/>
        <v>0</v>
      </c>
      <c r="H861" s="37"/>
      <c r="I861" s="37"/>
      <c r="J861" s="37"/>
      <c r="K861" s="37"/>
      <c r="L861" s="37"/>
      <c r="M861" s="37"/>
      <c r="N861" s="37"/>
      <c r="O861" s="37"/>
      <c r="P861" s="37"/>
      <c r="Q861" s="37"/>
      <c r="R861" s="37"/>
      <c r="S861" s="37"/>
      <c r="T861" s="37"/>
      <c r="U861" s="37"/>
      <c r="V861" s="37"/>
      <c r="W861" s="37"/>
      <c r="X861" s="37"/>
      <c r="Y861" s="37"/>
      <c r="Z861" s="37"/>
      <c r="AA861" s="37">
        <f t="shared" si="111"/>
        <v>0</v>
      </c>
      <c r="AB861" s="37">
        <f t="shared" si="112"/>
        <v>0</v>
      </c>
    </row>
    <row r="862" spans="1:28" ht="14.4">
      <c r="A862" s="117">
        <v>2220111</v>
      </c>
      <c r="B862" s="117" t="s">
        <v>875</v>
      </c>
      <c r="C862" s="37">
        <f>-VLOOKUP(A862,Composición!C:G,5,FALSE)</f>
        <v>0</v>
      </c>
      <c r="D862" s="37"/>
      <c r="E862" s="37"/>
      <c r="F862" s="37">
        <f>-VLOOKUP(A862,Composición!C:J,8,FALSE)</f>
        <v>0</v>
      </c>
      <c r="G862" s="37">
        <f t="shared" si="110"/>
        <v>0</v>
      </c>
      <c r="H862" s="37"/>
      <c r="I862" s="37"/>
      <c r="J862" s="37"/>
      <c r="K862" s="37"/>
      <c r="L862" s="37"/>
      <c r="M862" s="37"/>
      <c r="N862" s="37"/>
      <c r="O862" s="37"/>
      <c r="P862" s="37"/>
      <c r="Q862" s="37"/>
      <c r="R862" s="37"/>
      <c r="S862" s="37"/>
      <c r="T862" s="37"/>
      <c r="U862" s="37"/>
      <c r="V862" s="37"/>
      <c r="W862" s="37"/>
      <c r="X862" s="37"/>
      <c r="Y862" s="37"/>
      <c r="Z862" s="37"/>
      <c r="AA862" s="37">
        <f t="shared" si="111"/>
        <v>0</v>
      </c>
      <c r="AB862" s="37">
        <f t="shared" si="112"/>
        <v>0</v>
      </c>
    </row>
    <row r="863" spans="1:28" ht="14.4">
      <c r="A863" s="117">
        <v>22201111</v>
      </c>
      <c r="B863" s="117" t="s">
        <v>875</v>
      </c>
      <c r="C863" s="37">
        <f>-VLOOKUP(A863,Composición!C:G,5,FALSE)</f>
        <v>0</v>
      </c>
      <c r="D863" s="37"/>
      <c r="E863" s="37"/>
      <c r="F863" s="37">
        <f>-VLOOKUP(A863,Composición!C:J,8,FALSE)</f>
        <v>0</v>
      </c>
      <c r="G863" s="37">
        <f t="shared" si="110"/>
        <v>0</v>
      </c>
      <c r="H863" s="37"/>
      <c r="I863" s="37"/>
      <c r="J863" s="37"/>
      <c r="K863" s="37"/>
      <c r="L863" s="37"/>
      <c r="M863" s="37"/>
      <c r="N863" s="37"/>
      <c r="O863" s="37"/>
      <c r="P863" s="37"/>
      <c r="Q863" s="37"/>
      <c r="R863" s="37"/>
      <c r="S863" s="37"/>
      <c r="T863" s="37"/>
      <c r="U863" s="37"/>
      <c r="V863" s="37"/>
      <c r="W863" s="37"/>
      <c r="X863" s="37"/>
      <c r="Y863" s="37"/>
      <c r="Z863" s="37"/>
      <c r="AA863" s="37">
        <f t="shared" si="111"/>
        <v>0</v>
      </c>
      <c r="AB863" s="37">
        <f t="shared" si="112"/>
        <v>0</v>
      </c>
    </row>
    <row r="864" spans="1:28" ht="14.4">
      <c r="A864" s="117">
        <v>2220111101</v>
      </c>
      <c r="B864" s="117" t="s">
        <v>876</v>
      </c>
      <c r="C864" s="37">
        <f>-VLOOKUP(A864,Composición!C:G,5,FALSE)</f>
        <v>0</v>
      </c>
      <c r="D864" s="37"/>
      <c r="E864" s="37"/>
      <c r="F864" s="37">
        <f>-VLOOKUP(A864,Composición!C:J,8,FALSE)</f>
        <v>0</v>
      </c>
      <c r="G864" s="37">
        <f t="shared" si="110"/>
        <v>0</v>
      </c>
      <c r="H864" s="37"/>
      <c r="I864" s="37"/>
      <c r="J864" s="37"/>
      <c r="K864" s="37"/>
      <c r="L864" s="37"/>
      <c r="M864" s="37"/>
      <c r="N864" s="37"/>
      <c r="O864" s="37"/>
      <c r="P864" s="37"/>
      <c r="Q864" s="37"/>
      <c r="R864" s="37"/>
      <c r="S864" s="37"/>
      <c r="T864" s="37"/>
      <c r="U864" s="37"/>
      <c r="V864" s="37"/>
      <c r="W864" s="37"/>
      <c r="X864" s="37"/>
      <c r="Y864" s="37"/>
      <c r="Z864" s="37"/>
      <c r="AA864" s="37">
        <f t="shared" si="111"/>
        <v>0</v>
      </c>
      <c r="AB864" s="37">
        <f t="shared" si="112"/>
        <v>0</v>
      </c>
    </row>
    <row r="865" spans="1:28" ht="14.4">
      <c r="A865" s="117">
        <v>2220111102</v>
      </c>
      <c r="B865" s="117" t="s">
        <v>877</v>
      </c>
      <c r="C865" s="37">
        <f>-VLOOKUP(A865,Composición!C:G,5,FALSE)</f>
        <v>0</v>
      </c>
      <c r="D865" s="37"/>
      <c r="E865" s="37"/>
      <c r="F865" s="37">
        <f>-VLOOKUP(A865,Composición!C:J,8,FALSE)</f>
        <v>0</v>
      </c>
      <c r="G865" s="37">
        <f t="shared" si="110"/>
        <v>0</v>
      </c>
      <c r="H865" s="37"/>
      <c r="I865" s="37"/>
      <c r="J865" s="37"/>
      <c r="K865" s="37"/>
      <c r="L865" s="37"/>
      <c r="M865" s="37"/>
      <c r="N865" s="37"/>
      <c r="O865" s="37"/>
      <c r="P865" s="37"/>
      <c r="Q865" s="37"/>
      <c r="R865" s="37"/>
      <c r="S865" s="37"/>
      <c r="T865" s="37"/>
      <c r="U865" s="37"/>
      <c r="V865" s="37"/>
      <c r="W865" s="37"/>
      <c r="X865" s="37"/>
      <c r="Y865" s="37"/>
      <c r="Z865" s="37"/>
      <c r="AA865" s="37">
        <f t="shared" si="111"/>
        <v>0</v>
      </c>
      <c r="AB865" s="37">
        <f t="shared" si="112"/>
        <v>0</v>
      </c>
    </row>
    <row r="866" spans="1:28" ht="14.4">
      <c r="A866" s="117">
        <v>2220112</v>
      </c>
      <c r="B866" s="117" t="s">
        <v>878</v>
      </c>
      <c r="C866" s="37">
        <f>-VLOOKUP(A866,Composición!C:G,5,FALSE)</f>
        <v>0</v>
      </c>
      <c r="D866" s="37"/>
      <c r="E866" s="37"/>
      <c r="F866" s="37">
        <f>-VLOOKUP(A866,Composición!C:J,8,FALSE)</f>
        <v>0</v>
      </c>
      <c r="G866" s="37">
        <f t="shared" si="110"/>
        <v>0</v>
      </c>
      <c r="H866" s="37"/>
      <c r="I866" s="37"/>
      <c r="J866" s="37"/>
      <c r="K866" s="37"/>
      <c r="L866" s="37"/>
      <c r="M866" s="37"/>
      <c r="N866" s="37"/>
      <c r="O866" s="37"/>
      <c r="P866" s="37"/>
      <c r="Q866" s="37"/>
      <c r="R866" s="37"/>
      <c r="S866" s="37"/>
      <c r="T866" s="37"/>
      <c r="U866" s="37"/>
      <c r="V866" s="37"/>
      <c r="W866" s="37"/>
      <c r="X866" s="37"/>
      <c r="Y866" s="37"/>
      <c r="Z866" s="37"/>
      <c r="AA866" s="37">
        <f t="shared" si="111"/>
        <v>0</v>
      </c>
      <c r="AB866" s="37">
        <f t="shared" si="112"/>
        <v>0</v>
      </c>
    </row>
    <row r="867" spans="1:28" ht="14.4">
      <c r="A867" s="117">
        <v>22201121</v>
      </c>
      <c r="B867" s="117" t="s">
        <v>879</v>
      </c>
      <c r="C867" s="37">
        <f>-VLOOKUP(A867,Composición!C:G,5,FALSE)</f>
        <v>0</v>
      </c>
      <c r="D867" s="37"/>
      <c r="E867" s="37"/>
      <c r="F867" s="37">
        <f>-VLOOKUP(A867,Composición!C:J,8,FALSE)</f>
        <v>0</v>
      </c>
      <c r="G867" s="37">
        <f t="shared" si="110"/>
        <v>0</v>
      </c>
      <c r="H867" s="37"/>
      <c r="I867" s="37"/>
      <c r="J867" s="37"/>
      <c r="K867" s="37"/>
      <c r="L867" s="37"/>
      <c r="M867" s="37"/>
      <c r="N867" s="37"/>
      <c r="O867" s="37"/>
      <c r="P867" s="37"/>
      <c r="Q867" s="37"/>
      <c r="R867" s="37"/>
      <c r="S867" s="37"/>
      <c r="T867" s="37"/>
      <c r="U867" s="37"/>
      <c r="V867" s="37"/>
      <c r="W867" s="37"/>
      <c r="X867" s="37"/>
      <c r="Y867" s="37"/>
      <c r="Z867" s="37"/>
      <c r="AA867" s="37">
        <f t="shared" si="111"/>
        <v>0</v>
      </c>
      <c r="AB867" s="37">
        <f t="shared" si="112"/>
        <v>0</v>
      </c>
    </row>
    <row r="868" spans="1:28" ht="14.4">
      <c r="A868" s="117">
        <v>2220112101</v>
      </c>
      <c r="B868" s="117" t="s">
        <v>879</v>
      </c>
      <c r="C868" s="37">
        <f>-VLOOKUP(A868,Composición!C:G,5,FALSE)</f>
        <v>0</v>
      </c>
      <c r="D868" s="37"/>
      <c r="E868" s="37"/>
      <c r="F868" s="37">
        <f>-VLOOKUP(A868,Composición!C:J,8,FALSE)</f>
        <v>0</v>
      </c>
      <c r="G868" s="37">
        <f t="shared" si="110"/>
        <v>0</v>
      </c>
      <c r="H868" s="37"/>
      <c r="I868" s="37"/>
      <c r="J868" s="37"/>
      <c r="K868" s="37"/>
      <c r="L868" s="37"/>
      <c r="M868" s="37"/>
      <c r="N868" s="37"/>
      <c r="O868" s="37"/>
      <c r="P868" s="37"/>
      <c r="Q868" s="37"/>
      <c r="R868" s="37"/>
      <c r="S868" s="37"/>
      <c r="T868" s="37"/>
      <c r="U868" s="37"/>
      <c r="V868" s="37"/>
      <c r="W868" s="37"/>
      <c r="X868" s="37"/>
      <c r="Y868" s="37"/>
      <c r="Z868" s="37"/>
      <c r="AA868" s="37">
        <f t="shared" si="111"/>
        <v>0</v>
      </c>
      <c r="AB868" s="37">
        <f t="shared" si="112"/>
        <v>0</v>
      </c>
    </row>
    <row r="869" spans="1:28" ht="14.4">
      <c r="A869" s="117">
        <v>2220112102</v>
      </c>
      <c r="B869" s="117" t="s">
        <v>879</v>
      </c>
      <c r="C869" s="37">
        <f>-VLOOKUP(A869,Composición!C:G,5,FALSE)</f>
        <v>0</v>
      </c>
      <c r="D869" s="37"/>
      <c r="E869" s="37"/>
      <c r="F869" s="37">
        <f>-VLOOKUP(A869,Composición!C:J,8,FALSE)</f>
        <v>0</v>
      </c>
      <c r="G869" s="37">
        <f t="shared" si="110"/>
        <v>0</v>
      </c>
      <c r="H869" s="37"/>
      <c r="I869" s="37"/>
      <c r="J869" s="37"/>
      <c r="K869" s="37"/>
      <c r="L869" s="37"/>
      <c r="M869" s="37"/>
      <c r="N869" s="37"/>
      <c r="O869" s="37"/>
      <c r="P869" s="37"/>
      <c r="Q869" s="37"/>
      <c r="R869" s="37"/>
      <c r="S869" s="37"/>
      <c r="T869" s="37"/>
      <c r="U869" s="37"/>
      <c r="V869" s="37"/>
      <c r="W869" s="37"/>
      <c r="X869" s="37"/>
      <c r="Y869" s="37"/>
      <c r="Z869" s="37"/>
      <c r="AA869" s="37">
        <f t="shared" si="111"/>
        <v>0</v>
      </c>
      <c r="AB869" s="37">
        <f t="shared" si="112"/>
        <v>0</v>
      </c>
    </row>
    <row r="870" spans="1:28" ht="14.4">
      <c r="A870" s="117">
        <v>22201122</v>
      </c>
      <c r="B870" s="117" t="s">
        <v>880</v>
      </c>
      <c r="C870" s="37">
        <f>-VLOOKUP(A870,Composición!C:G,5,FALSE)</f>
        <v>0</v>
      </c>
      <c r="D870" s="37"/>
      <c r="E870" s="37"/>
      <c r="F870" s="37">
        <f>-VLOOKUP(A870,Composición!C:J,8,FALSE)</f>
        <v>0</v>
      </c>
      <c r="G870" s="37">
        <f t="shared" si="110"/>
        <v>0</v>
      </c>
      <c r="H870" s="37"/>
      <c r="I870" s="37"/>
      <c r="J870" s="37"/>
      <c r="K870" s="37"/>
      <c r="L870" s="37"/>
      <c r="M870" s="37"/>
      <c r="N870" s="37"/>
      <c r="O870" s="37"/>
      <c r="P870" s="37"/>
      <c r="Q870" s="37"/>
      <c r="R870" s="37"/>
      <c r="S870" s="37"/>
      <c r="T870" s="37"/>
      <c r="U870" s="37"/>
      <c r="V870" s="37"/>
      <c r="W870" s="37"/>
      <c r="X870" s="37"/>
      <c r="Y870" s="37"/>
      <c r="Z870" s="37"/>
      <c r="AA870" s="37">
        <f t="shared" si="111"/>
        <v>0</v>
      </c>
      <c r="AB870" s="37">
        <f t="shared" si="112"/>
        <v>0</v>
      </c>
    </row>
    <row r="871" spans="1:28" ht="14.4">
      <c r="A871" s="117">
        <v>2220112201</v>
      </c>
      <c r="B871" s="117" t="s">
        <v>880</v>
      </c>
      <c r="C871" s="37">
        <f>-VLOOKUP(A871,Composición!C:G,5,FALSE)</f>
        <v>0</v>
      </c>
      <c r="D871" s="37"/>
      <c r="E871" s="37"/>
      <c r="F871" s="37">
        <f>-VLOOKUP(A871,Composición!C:J,8,FALSE)</f>
        <v>0</v>
      </c>
      <c r="G871" s="37">
        <f t="shared" si="110"/>
        <v>0</v>
      </c>
      <c r="H871" s="37"/>
      <c r="I871" s="37"/>
      <c r="J871" s="37"/>
      <c r="K871" s="37"/>
      <c r="L871" s="37"/>
      <c r="M871" s="37"/>
      <c r="N871" s="37"/>
      <c r="O871" s="37"/>
      <c r="P871" s="37"/>
      <c r="Q871" s="37"/>
      <c r="R871" s="37"/>
      <c r="S871" s="37"/>
      <c r="T871" s="37"/>
      <c r="U871" s="37"/>
      <c r="V871" s="37"/>
      <c r="W871" s="37"/>
      <c r="X871" s="37"/>
      <c r="Y871" s="37"/>
      <c r="Z871" s="37"/>
      <c r="AA871" s="37">
        <f t="shared" si="111"/>
        <v>0</v>
      </c>
      <c r="AB871" s="37">
        <f t="shared" si="112"/>
        <v>0</v>
      </c>
    </row>
    <row r="872" spans="1:28" ht="14.4">
      <c r="A872" s="117">
        <v>2220112202</v>
      </c>
      <c r="B872" s="117" t="s">
        <v>880</v>
      </c>
      <c r="C872" s="37">
        <f>-VLOOKUP(A872,Composición!C:G,5,FALSE)</f>
        <v>0</v>
      </c>
      <c r="D872" s="37"/>
      <c r="E872" s="37"/>
      <c r="F872" s="37">
        <f>-VLOOKUP(A872,Composición!C:J,8,FALSE)</f>
        <v>0</v>
      </c>
      <c r="G872" s="37">
        <f t="shared" si="110"/>
        <v>0</v>
      </c>
      <c r="H872" s="37"/>
      <c r="I872" s="37"/>
      <c r="J872" s="37"/>
      <c r="K872" s="37"/>
      <c r="L872" s="37"/>
      <c r="M872" s="37"/>
      <c r="N872" s="37"/>
      <c r="O872" s="37"/>
      <c r="P872" s="37"/>
      <c r="Q872" s="37"/>
      <c r="R872" s="37"/>
      <c r="S872" s="37"/>
      <c r="T872" s="37"/>
      <c r="U872" s="37"/>
      <c r="V872" s="37"/>
      <c r="W872" s="37"/>
      <c r="X872" s="37"/>
      <c r="Y872" s="37"/>
      <c r="Z872" s="37"/>
      <c r="AA872" s="37">
        <f t="shared" ref="AA872" si="113">SUM(G872:Z872)</f>
        <v>0</v>
      </c>
      <c r="AB872" s="37">
        <f t="shared" si="112"/>
        <v>0</v>
      </c>
    </row>
    <row r="873" spans="1:28" ht="14.4">
      <c r="A873" s="117">
        <v>229</v>
      </c>
      <c r="B873" s="117" t="s">
        <v>929</v>
      </c>
      <c r="C873" s="37">
        <f>-VLOOKUP(A873,Composición!C:G,5,FALSE)</f>
        <v>0</v>
      </c>
      <c r="D873" s="37"/>
      <c r="E873" s="37"/>
      <c r="F873" s="37">
        <f>-VLOOKUP(A873,Composición!C:J,8,FALSE)</f>
        <v>0</v>
      </c>
      <c r="G873" s="37">
        <f t="shared" si="110"/>
        <v>0</v>
      </c>
      <c r="H873" s="37"/>
      <c r="I873" s="37"/>
      <c r="J873" s="37"/>
      <c r="K873" s="37"/>
      <c r="L873" s="37"/>
      <c r="M873" s="37"/>
      <c r="N873" s="37"/>
      <c r="O873" s="37"/>
      <c r="P873" s="37"/>
      <c r="Q873" s="37"/>
      <c r="R873" s="37"/>
      <c r="S873" s="37"/>
      <c r="T873" s="37"/>
      <c r="U873" s="37"/>
      <c r="V873" s="37"/>
      <c r="W873" s="37"/>
      <c r="X873" s="37"/>
      <c r="Y873" s="37"/>
      <c r="Z873" s="37"/>
      <c r="AA873" s="37">
        <f t="shared" si="111"/>
        <v>0</v>
      </c>
      <c r="AB873" s="37">
        <f t="shared" si="112"/>
        <v>0</v>
      </c>
    </row>
    <row r="874" spans="1:28" ht="14.4">
      <c r="A874" s="117">
        <v>22901</v>
      </c>
      <c r="B874" s="117" t="s">
        <v>930</v>
      </c>
      <c r="C874" s="37">
        <f>-VLOOKUP(A874,Composición!C:G,5,FALSE)</f>
        <v>0</v>
      </c>
      <c r="D874" s="37"/>
      <c r="E874" s="37"/>
      <c r="F874" s="37">
        <f>-VLOOKUP(A874,Composición!C:J,8,FALSE)</f>
        <v>0</v>
      </c>
      <c r="G874" s="37">
        <f t="shared" si="110"/>
        <v>0</v>
      </c>
      <c r="H874" s="37"/>
      <c r="I874" s="37"/>
      <c r="J874" s="37"/>
      <c r="K874" s="37"/>
      <c r="L874" s="37"/>
      <c r="M874" s="37"/>
      <c r="N874" s="37"/>
      <c r="O874" s="37"/>
      <c r="P874" s="37"/>
      <c r="Q874" s="37"/>
      <c r="R874" s="37"/>
      <c r="S874" s="37"/>
      <c r="T874" s="37"/>
      <c r="U874" s="37"/>
      <c r="V874" s="37"/>
      <c r="W874" s="37"/>
      <c r="X874" s="37"/>
      <c r="Y874" s="37"/>
      <c r="Z874" s="37"/>
      <c r="AA874" s="37">
        <f t="shared" si="111"/>
        <v>0</v>
      </c>
      <c r="AB874" s="37">
        <f t="shared" si="112"/>
        <v>0</v>
      </c>
    </row>
    <row r="875" spans="1:28" ht="14.4">
      <c r="A875" s="12"/>
      <c r="B875" s="137"/>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c r="AA875" s="37">
        <f t="shared" si="111"/>
        <v>0</v>
      </c>
      <c r="AB875" s="37">
        <f t="shared" si="112"/>
        <v>0</v>
      </c>
    </row>
    <row r="876" spans="1:28" ht="14.4">
      <c r="A876" s="130">
        <v>3</v>
      </c>
      <c r="B876" s="130" t="s">
        <v>238</v>
      </c>
      <c r="C876" s="131">
        <f>-Composición!$G$1772-SUM('CA FE'!C877:C919)</f>
        <v>0</v>
      </c>
      <c r="D876" s="131"/>
      <c r="E876" s="131"/>
      <c r="F876" s="131">
        <f>-Composición!$J$1772-SUM('CA FE'!F877:F919)</f>
        <v>0</v>
      </c>
      <c r="G876" s="131">
        <f t="shared" ref="G876:G919" si="114">C876+D876-E876-F876</f>
        <v>0</v>
      </c>
      <c r="H876" s="131"/>
      <c r="I876" s="131"/>
      <c r="J876" s="131"/>
      <c r="K876" s="131"/>
      <c r="L876" s="131"/>
      <c r="M876" s="131"/>
      <c r="N876" s="131"/>
      <c r="O876" s="131"/>
      <c r="P876" s="131"/>
      <c r="Q876" s="131"/>
      <c r="R876" s="131"/>
      <c r="S876" s="131"/>
      <c r="T876" s="131"/>
      <c r="U876" s="131"/>
      <c r="V876" s="131"/>
      <c r="W876" s="131"/>
      <c r="X876" s="131"/>
      <c r="Y876" s="131"/>
      <c r="Z876" s="131"/>
      <c r="AA876" s="131">
        <f t="shared" si="111"/>
        <v>0</v>
      </c>
      <c r="AB876" s="37">
        <f t="shared" si="112"/>
        <v>0</v>
      </c>
    </row>
    <row r="877" spans="1:28" ht="14.4">
      <c r="A877" s="117">
        <v>301</v>
      </c>
      <c r="B877" s="117" t="s">
        <v>239</v>
      </c>
      <c r="C877" s="37">
        <f>-VLOOKUP(A877,Composición!C:G,5,FALSE)</f>
        <v>0</v>
      </c>
      <c r="D877" s="37"/>
      <c r="E877" s="37"/>
      <c r="F877" s="37">
        <f>-VLOOKUP(A877,Composición!C:J,8,FALSE)</f>
        <v>0</v>
      </c>
      <c r="G877" s="37">
        <f t="shared" si="114"/>
        <v>0</v>
      </c>
      <c r="H877" s="37"/>
      <c r="I877" s="37"/>
      <c r="J877" s="37"/>
      <c r="K877" s="37"/>
      <c r="L877" s="37"/>
      <c r="M877" s="37"/>
      <c r="N877" s="37"/>
      <c r="O877" s="37"/>
      <c r="P877" s="37"/>
      <c r="Q877" s="37"/>
      <c r="R877" s="37"/>
      <c r="S877" s="37"/>
      <c r="T877" s="37"/>
      <c r="U877" s="37"/>
      <c r="V877" s="37"/>
      <c r="W877" s="37"/>
      <c r="X877" s="37"/>
      <c r="Y877" s="37"/>
      <c r="Z877" s="37"/>
      <c r="AA877" s="37">
        <f t="shared" si="111"/>
        <v>0</v>
      </c>
      <c r="AB877" s="37">
        <f t="shared" si="112"/>
        <v>0</v>
      </c>
    </row>
    <row r="878" spans="1:28" ht="14.4">
      <c r="A878" s="117">
        <v>3011</v>
      </c>
      <c r="B878" s="117" t="s">
        <v>240</v>
      </c>
      <c r="C878" s="37">
        <f>-VLOOKUP(A878,Composición!C:G,5,FALSE)</f>
        <v>0</v>
      </c>
      <c r="D878" s="37"/>
      <c r="E878" s="37"/>
      <c r="F878" s="37">
        <f>-VLOOKUP(A878,Composición!C:J,8,FALSE)</f>
        <v>0</v>
      </c>
      <c r="G878" s="37">
        <f t="shared" si="114"/>
        <v>0</v>
      </c>
      <c r="H878" s="37"/>
      <c r="I878" s="37"/>
      <c r="J878" s="37"/>
      <c r="K878" s="37"/>
      <c r="L878" s="37"/>
      <c r="M878" s="37"/>
      <c r="N878" s="37"/>
      <c r="O878" s="37"/>
      <c r="P878" s="37"/>
      <c r="Q878" s="37"/>
      <c r="R878" s="37"/>
      <c r="S878" s="37"/>
      <c r="T878" s="37"/>
      <c r="U878" s="37"/>
      <c r="V878" s="37"/>
      <c r="W878" s="37"/>
      <c r="X878" s="37"/>
      <c r="Y878" s="37"/>
      <c r="Z878" s="37"/>
      <c r="AA878" s="37">
        <f t="shared" si="111"/>
        <v>0</v>
      </c>
      <c r="AB878" s="37">
        <f t="shared" si="112"/>
        <v>0</v>
      </c>
    </row>
    <row r="879" spans="1:28" ht="14.4">
      <c r="A879" s="117">
        <v>30111</v>
      </c>
      <c r="B879" s="117" t="s">
        <v>240</v>
      </c>
      <c r="C879" s="37">
        <f>-VLOOKUP(A879,Composición!C:G,5,FALSE)</f>
        <v>0</v>
      </c>
      <c r="D879" s="37"/>
      <c r="E879" s="37"/>
      <c r="F879" s="37">
        <f>-VLOOKUP(A879,Composición!C:J,8,FALSE)</f>
        <v>0</v>
      </c>
      <c r="G879" s="37">
        <f t="shared" si="114"/>
        <v>0</v>
      </c>
      <c r="H879" s="37"/>
      <c r="I879" s="37"/>
      <c r="J879" s="37"/>
      <c r="K879" s="37"/>
      <c r="L879" s="37"/>
      <c r="M879" s="37"/>
      <c r="N879" s="37"/>
      <c r="O879" s="37"/>
      <c r="P879" s="37"/>
      <c r="Q879" s="37"/>
      <c r="R879" s="37"/>
      <c r="S879" s="37"/>
      <c r="T879" s="37"/>
      <c r="U879" s="37"/>
      <c r="V879" s="37"/>
      <c r="W879" s="37"/>
      <c r="X879" s="37"/>
      <c r="Y879" s="37"/>
      <c r="Z879" s="37"/>
      <c r="AA879" s="37">
        <f t="shared" si="111"/>
        <v>0</v>
      </c>
      <c r="AB879" s="37">
        <f t="shared" si="112"/>
        <v>0</v>
      </c>
    </row>
    <row r="880" spans="1:28" ht="14.4">
      <c r="A880" s="117">
        <v>301111</v>
      </c>
      <c r="B880" s="117" t="s">
        <v>934</v>
      </c>
      <c r="C880" s="37">
        <f>-VLOOKUP(A880,Composición!C:G,5,FALSE)</f>
        <v>0</v>
      </c>
      <c r="D880" s="37"/>
      <c r="E880" s="37"/>
      <c r="F880" s="37">
        <f>-VLOOKUP(A880,Composición!C:J,8,FALSE)</f>
        <v>0</v>
      </c>
      <c r="G880" s="37">
        <f t="shared" si="114"/>
        <v>0</v>
      </c>
      <c r="H880" s="37"/>
      <c r="I880" s="37"/>
      <c r="J880" s="37"/>
      <c r="K880" s="37"/>
      <c r="L880" s="37"/>
      <c r="M880" s="37"/>
      <c r="N880" s="37"/>
      <c r="O880" s="37"/>
      <c r="P880" s="37"/>
      <c r="Q880" s="37"/>
      <c r="R880" s="37"/>
      <c r="S880" s="37"/>
      <c r="T880" s="37"/>
      <c r="U880" s="37"/>
      <c r="V880" s="37"/>
      <c r="W880" s="37"/>
      <c r="X880" s="37"/>
      <c r="Y880" s="37"/>
      <c r="Z880" s="37"/>
      <c r="AA880" s="37">
        <f t="shared" si="111"/>
        <v>0</v>
      </c>
      <c r="AB880" s="37">
        <f t="shared" si="112"/>
        <v>0</v>
      </c>
    </row>
    <row r="881" spans="1:28" ht="14.4">
      <c r="A881" s="117">
        <v>3011111</v>
      </c>
      <c r="B881" s="117" t="s">
        <v>934</v>
      </c>
      <c r="C881" s="37">
        <f>-VLOOKUP(A881,Composición!C:G,5,FALSE)</f>
        <v>0</v>
      </c>
      <c r="D881" s="37"/>
      <c r="E881" s="37"/>
      <c r="F881" s="37">
        <f>-VLOOKUP(A881,Composición!C:J,8,FALSE)</f>
        <v>0</v>
      </c>
      <c r="G881" s="37">
        <f t="shared" si="114"/>
        <v>0</v>
      </c>
      <c r="H881" s="37"/>
      <c r="I881" s="37"/>
      <c r="J881" s="37"/>
      <c r="K881" s="37"/>
      <c r="L881" s="37"/>
      <c r="M881" s="37"/>
      <c r="N881" s="37"/>
      <c r="O881" s="37"/>
      <c r="P881" s="37"/>
      <c r="Q881" s="37"/>
      <c r="R881" s="37"/>
      <c r="S881" s="37"/>
      <c r="T881" s="37"/>
      <c r="U881" s="37"/>
      <c r="V881" s="37"/>
      <c r="W881" s="37"/>
      <c r="X881" s="37"/>
      <c r="Y881" s="37"/>
      <c r="Z881" s="37"/>
      <c r="AA881" s="37">
        <f t="shared" si="111"/>
        <v>0</v>
      </c>
      <c r="AB881" s="37">
        <f t="shared" si="112"/>
        <v>0</v>
      </c>
    </row>
    <row r="882" spans="1:28" ht="14.4">
      <c r="A882" s="117">
        <v>30111111</v>
      </c>
      <c r="B882" s="117" t="s">
        <v>934</v>
      </c>
      <c r="C882" s="37">
        <f>-VLOOKUP(A882,Composición!C:G,5,FALSE)</f>
        <v>0</v>
      </c>
      <c r="D882" s="37"/>
      <c r="E882" s="37"/>
      <c r="F882" s="37">
        <f>-VLOOKUP(A882,Composición!C:J,8,FALSE)</f>
        <v>0</v>
      </c>
      <c r="G882" s="37">
        <f t="shared" si="114"/>
        <v>0</v>
      </c>
      <c r="H882" s="37"/>
      <c r="I882" s="37"/>
      <c r="J882" s="37"/>
      <c r="K882" s="37"/>
      <c r="L882" s="37"/>
      <c r="M882" s="37"/>
      <c r="N882" s="37"/>
      <c r="O882" s="37"/>
      <c r="P882" s="37"/>
      <c r="Q882" s="37"/>
      <c r="R882" s="37"/>
      <c r="S882" s="37"/>
      <c r="T882" s="37"/>
      <c r="U882" s="37"/>
      <c r="V882" s="37"/>
      <c r="W882" s="37"/>
      <c r="X882" s="37"/>
      <c r="Y882" s="37"/>
      <c r="Z882" s="37"/>
      <c r="AA882" s="37">
        <f t="shared" si="111"/>
        <v>0</v>
      </c>
      <c r="AB882" s="37">
        <f t="shared" si="112"/>
        <v>0</v>
      </c>
    </row>
    <row r="883" spans="1:28" ht="14.4">
      <c r="A883" s="117">
        <v>3011111101</v>
      </c>
      <c r="B883" s="117" t="s">
        <v>934</v>
      </c>
      <c r="C883" s="37">
        <f>-VLOOKUP(A883,Composición!C:G,5,FALSE)</f>
        <v>0</v>
      </c>
      <c r="D883" s="37"/>
      <c r="E883" s="37"/>
      <c r="F883" s="37">
        <f>-VLOOKUP(A883,Composición!C:J,8,FALSE)</f>
        <v>0</v>
      </c>
      <c r="G883" s="37">
        <f t="shared" si="114"/>
        <v>0</v>
      </c>
      <c r="H883" s="37"/>
      <c r="I883" s="37"/>
      <c r="J883" s="37"/>
      <c r="K883" s="37"/>
      <c r="L883" s="37"/>
      <c r="M883" s="37"/>
      <c r="N883" s="37"/>
      <c r="O883" s="37"/>
      <c r="P883" s="37"/>
      <c r="Q883" s="37"/>
      <c r="R883" s="37"/>
      <c r="S883" s="37"/>
      <c r="T883" s="37"/>
      <c r="U883" s="37"/>
      <c r="V883" s="37"/>
      <c r="W883" s="37"/>
      <c r="X883" s="37"/>
      <c r="Y883" s="37"/>
      <c r="Z883" s="37"/>
      <c r="AA883" s="37">
        <f t="shared" si="111"/>
        <v>0</v>
      </c>
      <c r="AB883" s="37">
        <f t="shared" si="112"/>
        <v>0</v>
      </c>
    </row>
    <row r="884" spans="1:28" ht="14.4">
      <c r="A884" s="117">
        <v>301112</v>
      </c>
      <c r="B884" s="117" t="s">
        <v>241</v>
      </c>
      <c r="C884" s="37">
        <f>-VLOOKUP(A884,Composición!C:G,5,FALSE)</f>
        <v>0</v>
      </c>
      <c r="D884" s="37"/>
      <c r="E884" s="37"/>
      <c r="F884" s="37">
        <f>-VLOOKUP(A884,Composición!C:J,8,FALSE)</f>
        <v>0</v>
      </c>
      <c r="G884" s="37">
        <f t="shared" si="114"/>
        <v>0</v>
      </c>
      <c r="H884" s="37"/>
      <c r="I884" s="37"/>
      <c r="J884" s="37"/>
      <c r="K884" s="37"/>
      <c r="L884" s="37"/>
      <c r="M884" s="37"/>
      <c r="N884" s="37"/>
      <c r="O884" s="37"/>
      <c r="P884" s="37"/>
      <c r="Q884" s="37"/>
      <c r="R884" s="37"/>
      <c r="S884" s="37"/>
      <c r="T884" s="37"/>
      <c r="U884" s="37"/>
      <c r="V884" s="37"/>
      <c r="W884" s="37"/>
      <c r="X884" s="37"/>
      <c r="Y884" s="37"/>
      <c r="Z884" s="37"/>
      <c r="AA884" s="37">
        <f t="shared" si="111"/>
        <v>0</v>
      </c>
      <c r="AB884" s="37">
        <f t="shared" si="112"/>
        <v>0</v>
      </c>
    </row>
    <row r="885" spans="1:28" ht="14.4">
      <c r="A885" s="117">
        <v>3011121</v>
      </c>
      <c r="B885" s="117" t="s">
        <v>241</v>
      </c>
      <c r="C885" s="37">
        <f>-VLOOKUP(A885,Composición!C:G,5,FALSE)</f>
        <v>0</v>
      </c>
      <c r="D885" s="37"/>
      <c r="E885" s="37"/>
      <c r="F885" s="37">
        <f>-VLOOKUP(A885,Composición!C:J,8,FALSE)</f>
        <v>0</v>
      </c>
      <c r="G885" s="37">
        <f t="shared" si="114"/>
        <v>0</v>
      </c>
      <c r="H885" s="37"/>
      <c r="I885" s="37"/>
      <c r="J885" s="37"/>
      <c r="K885" s="37"/>
      <c r="L885" s="37"/>
      <c r="M885" s="37"/>
      <c r="N885" s="37"/>
      <c r="O885" s="37"/>
      <c r="P885" s="37"/>
      <c r="Q885" s="37"/>
      <c r="R885" s="37"/>
      <c r="S885" s="37"/>
      <c r="T885" s="37"/>
      <c r="U885" s="37"/>
      <c r="V885" s="37"/>
      <c r="W885" s="37"/>
      <c r="X885" s="37"/>
      <c r="Y885" s="37"/>
      <c r="Z885" s="37"/>
      <c r="AA885" s="37">
        <f t="shared" si="111"/>
        <v>0</v>
      </c>
      <c r="AB885" s="37">
        <f t="shared" si="112"/>
        <v>0</v>
      </c>
    </row>
    <row r="886" spans="1:28" ht="14.4">
      <c r="A886" s="117">
        <v>30111211</v>
      </c>
      <c r="B886" s="117" t="s">
        <v>241</v>
      </c>
      <c r="C886" s="37">
        <f>-VLOOKUP(A886,Composición!C:G,5,FALSE)</f>
        <v>0</v>
      </c>
      <c r="D886" s="37"/>
      <c r="E886" s="37"/>
      <c r="F886" s="37">
        <f>-VLOOKUP(A886,Composición!C:J,8,FALSE)</f>
        <v>0</v>
      </c>
      <c r="G886" s="37">
        <f t="shared" si="114"/>
        <v>0</v>
      </c>
      <c r="H886" s="37"/>
      <c r="I886" s="37"/>
      <c r="J886" s="37"/>
      <c r="K886" s="37"/>
      <c r="L886" s="37"/>
      <c r="M886" s="37"/>
      <c r="N886" s="37"/>
      <c r="O886" s="37"/>
      <c r="P886" s="37"/>
      <c r="Q886" s="37"/>
      <c r="R886" s="37"/>
      <c r="S886" s="37"/>
      <c r="T886" s="37"/>
      <c r="U886" s="37"/>
      <c r="V886" s="37"/>
      <c r="W886" s="37"/>
      <c r="X886" s="37"/>
      <c r="Y886" s="37"/>
      <c r="Z886" s="37"/>
      <c r="AA886" s="37">
        <f t="shared" si="111"/>
        <v>0</v>
      </c>
      <c r="AB886" s="37">
        <f t="shared" si="112"/>
        <v>0</v>
      </c>
    </row>
    <row r="887" spans="1:28" ht="14.4">
      <c r="A887" s="117">
        <v>3011121101</v>
      </c>
      <c r="B887" s="117" t="s">
        <v>242</v>
      </c>
      <c r="C887" s="37">
        <f>-VLOOKUP(A887,Composición!C:G,5,FALSE)</f>
        <v>-54350000000</v>
      </c>
      <c r="D887" s="37"/>
      <c r="E887" s="37"/>
      <c r="F887" s="37">
        <f>-VLOOKUP(A887,Composición!C:J,8,FALSE)</f>
        <v>-54350000000</v>
      </c>
      <c r="G887" s="37">
        <f t="shared" si="114"/>
        <v>0</v>
      </c>
      <c r="H887" s="37"/>
      <c r="I887" s="37"/>
      <c r="J887" s="37"/>
      <c r="K887" s="37"/>
      <c r="L887" s="37"/>
      <c r="M887" s="37"/>
      <c r="N887" s="37"/>
      <c r="O887" s="37"/>
      <c r="P887" s="37"/>
      <c r="Q887" s="37"/>
      <c r="R887" s="37"/>
      <c r="S887" s="37"/>
      <c r="T887" s="37"/>
      <c r="U887" s="37"/>
      <c r="V887" s="37">
        <f>-G887</f>
        <v>0</v>
      </c>
      <c r="W887" s="37"/>
      <c r="X887" s="37"/>
      <c r="Y887" s="37"/>
      <c r="Z887" s="37"/>
      <c r="AA887" s="37">
        <f t="shared" si="111"/>
        <v>0</v>
      </c>
      <c r="AB887" s="37">
        <f t="shared" si="112"/>
        <v>0</v>
      </c>
    </row>
    <row r="888" spans="1:28" ht="14.4">
      <c r="A888" s="117">
        <v>3011121102</v>
      </c>
      <c r="B888" s="117" t="s">
        <v>936</v>
      </c>
      <c r="C888" s="37">
        <f>-VLOOKUP(A888,Composición!C:G,5,FALSE)</f>
        <v>0</v>
      </c>
      <c r="D888" s="37"/>
      <c r="E888" s="37"/>
      <c r="F888" s="37">
        <f>-VLOOKUP(A888,Composición!C:J,8,FALSE)</f>
        <v>0</v>
      </c>
      <c r="G888" s="37">
        <f t="shared" si="114"/>
        <v>0</v>
      </c>
      <c r="H888" s="37"/>
      <c r="I888" s="37"/>
      <c r="J888" s="37"/>
      <c r="K888" s="37"/>
      <c r="L888" s="37"/>
      <c r="M888" s="37"/>
      <c r="N888" s="37"/>
      <c r="O888" s="37"/>
      <c r="P888" s="37"/>
      <c r="Q888" s="37"/>
      <c r="R888" s="37"/>
      <c r="S888" s="37"/>
      <c r="T888" s="37"/>
      <c r="U888" s="37"/>
      <c r="V888" s="37"/>
      <c r="W888" s="37"/>
      <c r="X888" s="37"/>
      <c r="Y888" s="37"/>
      <c r="Z888" s="37"/>
      <c r="AA888" s="37">
        <f t="shared" si="111"/>
        <v>0</v>
      </c>
      <c r="AB888" s="37">
        <f t="shared" si="112"/>
        <v>0</v>
      </c>
    </row>
    <row r="889" spans="1:28" ht="14.4">
      <c r="A889" s="117">
        <v>3011121103</v>
      </c>
      <c r="B889" s="117" t="s">
        <v>244</v>
      </c>
      <c r="C889" s="37">
        <f>-VLOOKUP(A889,Composición!C:G,5,FALSE)</f>
        <v>0</v>
      </c>
      <c r="D889" s="37"/>
      <c r="E889" s="37"/>
      <c r="F889" s="37">
        <f>-VLOOKUP(A889,Composición!C:J,8,FALSE)</f>
        <v>0</v>
      </c>
      <c r="G889" s="37">
        <f t="shared" si="114"/>
        <v>0</v>
      </c>
      <c r="H889" s="37"/>
      <c r="I889" s="37"/>
      <c r="J889" s="37"/>
      <c r="K889" s="37"/>
      <c r="L889" s="37"/>
      <c r="M889" s="37"/>
      <c r="N889" s="37"/>
      <c r="O889" s="37"/>
      <c r="P889" s="37"/>
      <c r="Q889" s="37"/>
      <c r="R889" s="37"/>
      <c r="S889" s="37"/>
      <c r="T889" s="37"/>
      <c r="U889" s="37"/>
      <c r="V889" s="37"/>
      <c r="W889" s="37"/>
      <c r="X889" s="37"/>
      <c r="Y889" s="37"/>
      <c r="Z889" s="37"/>
      <c r="AA889" s="37">
        <f t="shared" si="111"/>
        <v>0</v>
      </c>
      <c r="AB889" s="37">
        <f t="shared" si="112"/>
        <v>0</v>
      </c>
    </row>
    <row r="890" spans="1:28" ht="14.4">
      <c r="A890" s="117">
        <v>301113</v>
      </c>
      <c r="B890" s="117" t="s">
        <v>937</v>
      </c>
      <c r="C890" s="37">
        <f>-VLOOKUP(A890,Composición!C:G,5,FALSE)</f>
        <v>0</v>
      </c>
      <c r="D890" s="37"/>
      <c r="E890" s="37"/>
      <c r="F890" s="37">
        <f>-VLOOKUP(A890,Composición!C:J,8,FALSE)</f>
        <v>0</v>
      </c>
      <c r="G890" s="37">
        <f t="shared" si="114"/>
        <v>0</v>
      </c>
      <c r="H890" s="37"/>
      <c r="I890" s="37"/>
      <c r="J890" s="37"/>
      <c r="K890" s="37"/>
      <c r="L890" s="37"/>
      <c r="M890" s="37"/>
      <c r="N890" s="37"/>
      <c r="O890" s="37"/>
      <c r="P890" s="37"/>
      <c r="Q890" s="37"/>
      <c r="R890" s="37"/>
      <c r="S890" s="37"/>
      <c r="T890" s="37"/>
      <c r="U890" s="37"/>
      <c r="V890" s="37"/>
      <c r="W890" s="37"/>
      <c r="X890" s="37"/>
      <c r="Y890" s="37"/>
      <c r="Z890" s="37"/>
      <c r="AA890" s="37">
        <f t="shared" si="111"/>
        <v>0</v>
      </c>
      <c r="AB890" s="37">
        <f t="shared" si="112"/>
        <v>0</v>
      </c>
    </row>
    <row r="891" spans="1:28" ht="14.4">
      <c r="A891" s="117">
        <v>3011131</v>
      </c>
      <c r="B891" s="117" t="s">
        <v>937</v>
      </c>
      <c r="C891" s="37">
        <f>-VLOOKUP(A891,Composición!C:G,5,FALSE)</f>
        <v>0</v>
      </c>
      <c r="D891" s="37"/>
      <c r="E891" s="37"/>
      <c r="F891" s="37">
        <f>-VLOOKUP(A891,Composición!C:J,8,FALSE)</f>
        <v>0</v>
      </c>
      <c r="G891" s="37">
        <f t="shared" si="114"/>
        <v>0</v>
      </c>
      <c r="H891" s="37"/>
      <c r="I891" s="37"/>
      <c r="J891" s="37"/>
      <c r="K891" s="37"/>
      <c r="L891" s="37"/>
      <c r="M891" s="37"/>
      <c r="N891" s="37"/>
      <c r="O891" s="37"/>
      <c r="P891" s="37"/>
      <c r="Q891" s="37"/>
      <c r="R891" s="37"/>
      <c r="S891" s="37"/>
      <c r="T891" s="37"/>
      <c r="U891" s="37"/>
      <c r="V891" s="37"/>
      <c r="W891" s="37"/>
      <c r="X891" s="37"/>
      <c r="Y891" s="37"/>
      <c r="Z891" s="37"/>
      <c r="AA891" s="37">
        <f t="shared" si="111"/>
        <v>0</v>
      </c>
      <c r="AB891" s="37">
        <f t="shared" si="112"/>
        <v>0</v>
      </c>
    </row>
    <row r="892" spans="1:28" ht="14.4">
      <c r="A892" s="117">
        <v>30111311</v>
      </c>
      <c r="B892" s="117" t="s">
        <v>937</v>
      </c>
      <c r="C892" s="37">
        <f>-VLOOKUP(A892,Composición!C:G,5,FALSE)</f>
        <v>0</v>
      </c>
      <c r="D892" s="37"/>
      <c r="E892" s="37"/>
      <c r="F892" s="37">
        <f>-VLOOKUP(A892,Composición!C:J,8,FALSE)</f>
        <v>0</v>
      </c>
      <c r="G892" s="37">
        <f t="shared" si="114"/>
        <v>0</v>
      </c>
      <c r="H892" s="37"/>
      <c r="I892" s="37"/>
      <c r="J892" s="37"/>
      <c r="K892" s="37"/>
      <c r="L892" s="37"/>
      <c r="M892" s="37"/>
      <c r="N892" s="37"/>
      <c r="O892" s="37"/>
      <c r="P892" s="37"/>
      <c r="Q892" s="37"/>
      <c r="R892" s="37"/>
      <c r="S892" s="37"/>
      <c r="T892" s="37"/>
      <c r="U892" s="37"/>
      <c r="V892" s="37"/>
      <c r="W892" s="37"/>
      <c r="X892" s="37"/>
      <c r="Y892" s="37"/>
      <c r="Z892" s="37"/>
      <c r="AA892" s="37">
        <f t="shared" si="111"/>
        <v>0</v>
      </c>
      <c r="AB892" s="37">
        <f t="shared" si="112"/>
        <v>0</v>
      </c>
    </row>
    <row r="893" spans="1:28" ht="14.4">
      <c r="A893" s="117">
        <v>3011131101</v>
      </c>
      <c r="B893" s="117" t="s">
        <v>937</v>
      </c>
      <c r="C893" s="37">
        <f>-VLOOKUP(A893,Composición!C:G,5,FALSE)</f>
        <v>0</v>
      </c>
      <c r="D893" s="37"/>
      <c r="E893" s="37"/>
      <c r="F893" s="37">
        <f>-VLOOKUP(A893,Composición!C:J,8,FALSE)</f>
        <v>0</v>
      </c>
      <c r="G893" s="37">
        <f t="shared" si="114"/>
        <v>0</v>
      </c>
      <c r="H893" s="37"/>
      <c r="I893" s="37"/>
      <c r="J893" s="37"/>
      <c r="K893" s="37"/>
      <c r="L893" s="37"/>
      <c r="M893" s="37"/>
      <c r="N893" s="37"/>
      <c r="O893" s="37"/>
      <c r="P893" s="37"/>
      <c r="Q893" s="37"/>
      <c r="R893" s="37"/>
      <c r="S893" s="37"/>
      <c r="T893" s="37"/>
      <c r="U893" s="37"/>
      <c r="V893" s="37"/>
      <c r="W893" s="37"/>
      <c r="X893" s="37"/>
      <c r="Y893" s="37"/>
      <c r="Z893" s="37"/>
      <c r="AA893" s="37">
        <f t="shared" si="111"/>
        <v>0</v>
      </c>
      <c r="AB893" s="37">
        <f t="shared" si="112"/>
        <v>0</v>
      </c>
    </row>
    <row r="894" spans="1:28" ht="14.4">
      <c r="A894" s="117">
        <v>3011131102</v>
      </c>
      <c r="B894" s="117" t="s">
        <v>938</v>
      </c>
      <c r="C894" s="37">
        <f>-VLOOKUP(A894,Composición!C:G,5,FALSE)</f>
        <v>0</v>
      </c>
      <c r="D894" s="37"/>
      <c r="E894" s="37"/>
      <c r="F894" s="37">
        <f>-VLOOKUP(A894,Composición!C:J,8,FALSE)</f>
        <v>0</v>
      </c>
      <c r="G894" s="37">
        <f t="shared" si="114"/>
        <v>0</v>
      </c>
      <c r="H894" s="37"/>
      <c r="I894" s="37"/>
      <c r="J894" s="37"/>
      <c r="K894" s="37"/>
      <c r="L894" s="37"/>
      <c r="M894" s="37"/>
      <c r="N894" s="37"/>
      <c r="O894" s="37"/>
      <c r="P894" s="37"/>
      <c r="Q894" s="37"/>
      <c r="R894" s="37"/>
      <c r="S894" s="37"/>
      <c r="T894" s="37"/>
      <c r="U894" s="37"/>
      <c r="V894" s="37"/>
      <c r="W894" s="37"/>
      <c r="X894" s="37"/>
      <c r="Y894" s="37"/>
      <c r="Z894" s="37"/>
      <c r="AA894" s="37">
        <f t="shared" si="111"/>
        <v>0</v>
      </c>
      <c r="AB894" s="37">
        <f t="shared" si="112"/>
        <v>0</v>
      </c>
    </row>
    <row r="895" spans="1:28" ht="14.4">
      <c r="A895" s="117">
        <v>302</v>
      </c>
      <c r="B895" s="117" t="s">
        <v>243</v>
      </c>
      <c r="C895" s="37">
        <f>-VLOOKUP(A895,Composición!C:G,5,FALSE)</f>
        <v>0</v>
      </c>
      <c r="D895" s="37"/>
      <c r="E895" s="37"/>
      <c r="F895" s="37">
        <f>-VLOOKUP(A895,Composición!C:J,8,FALSE)</f>
        <v>0</v>
      </c>
      <c r="G895" s="37">
        <f t="shared" si="114"/>
        <v>0</v>
      </c>
      <c r="H895" s="37"/>
      <c r="I895" s="37"/>
      <c r="J895" s="37"/>
      <c r="K895" s="37"/>
      <c r="L895" s="37"/>
      <c r="M895" s="37"/>
      <c r="N895" s="37"/>
      <c r="O895" s="37"/>
      <c r="P895" s="37"/>
      <c r="Q895" s="37"/>
      <c r="R895" s="37"/>
      <c r="S895" s="37"/>
      <c r="T895" s="37"/>
      <c r="U895" s="37"/>
      <c r="V895" s="37"/>
      <c r="W895" s="37"/>
      <c r="X895" s="37"/>
      <c r="Y895" s="37"/>
      <c r="Z895" s="37"/>
      <c r="AA895" s="37">
        <f t="shared" si="111"/>
        <v>0</v>
      </c>
      <c r="AB895" s="37">
        <f t="shared" si="112"/>
        <v>0</v>
      </c>
    </row>
    <row r="896" spans="1:28" ht="14.4">
      <c r="A896" s="117">
        <v>3021</v>
      </c>
      <c r="B896" s="117" t="s">
        <v>244</v>
      </c>
      <c r="C896" s="37">
        <f>-VLOOKUP(A896,Composición!C:G,5,FALSE)</f>
        <v>0</v>
      </c>
      <c r="D896" s="37"/>
      <c r="E896" s="37"/>
      <c r="F896" s="37">
        <f>-VLOOKUP(A896,Composición!C:J,8,FALSE)</f>
        <v>0</v>
      </c>
      <c r="G896" s="37">
        <f t="shared" si="114"/>
        <v>0</v>
      </c>
      <c r="H896" s="37"/>
      <c r="I896" s="37"/>
      <c r="J896" s="37"/>
      <c r="K896" s="37"/>
      <c r="L896" s="37"/>
      <c r="M896" s="37"/>
      <c r="N896" s="37"/>
      <c r="O896" s="37"/>
      <c r="P896" s="37"/>
      <c r="Q896" s="37"/>
      <c r="R896" s="37"/>
      <c r="S896" s="37"/>
      <c r="T896" s="37"/>
      <c r="U896" s="37"/>
      <c r="V896" s="37"/>
      <c r="W896" s="37"/>
      <c r="X896" s="37"/>
      <c r="Y896" s="37"/>
      <c r="Z896" s="37"/>
      <c r="AA896" s="37">
        <f t="shared" ref="AA896:AA920" si="115">SUM(G896:Z896)</f>
        <v>0</v>
      </c>
      <c r="AB896" s="37">
        <f t="shared" si="112"/>
        <v>0</v>
      </c>
    </row>
    <row r="897" spans="1:28" ht="14.4">
      <c r="A897" s="117">
        <v>30211</v>
      </c>
      <c r="B897" s="117" t="s">
        <v>244</v>
      </c>
      <c r="C897" s="37">
        <f>-VLOOKUP(A897,Composición!C:G,5,FALSE)</f>
        <v>0</v>
      </c>
      <c r="D897" s="37"/>
      <c r="E897" s="37"/>
      <c r="F897" s="37">
        <f>-VLOOKUP(A897,Composición!C:J,8,FALSE)</f>
        <v>0</v>
      </c>
      <c r="G897" s="37">
        <f t="shared" si="114"/>
        <v>0</v>
      </c>
      <c r="H897" s="37"/>
      <c r="I897" s="37"/>
      <c r="J897" s="37"/>
      <c r="K897" s="37"/>
      <c r="L897" s="37"/>
      <c r="M897" s="37"/>
      <c r="N897" s="37"/>
      <c r="O897" s="37"/>
      <c r="P897" s="37"/>
      <c r="Q897" s="37"/>
      <c r="R897" s="37"/>
      <c r="S897" s="37"/>
      <c r="T897" s="37"/>
      <c r="U897" s="37"/>
      <c r="V897" s="37"/>
      <c r="W897" s="37"/>
      <c r="X897" s="37"/>
      <c r="Y897" s="37"/>
      <c r="Z897" s="37"/>
      <c r="AA897" s="37">
        <f t="shared" si="115"/>
        <v>0</v>
      </c>
      <c r="AB897" s="37">
        <f t="shared" si="112"/>
        <v>0</v>
      </c>
    </row>
    <row r="898" spans="1:28" ht="14.4">
      <c r="A898" s="117">
        <v>302111</v>
      </c>
      <c r="B898" s="117" t="s">
        <v>244</v>
      </c>
      <c r="C898" s="37">
        <f>-VLOOKUP(A898,Composición!C:G,5,FALSE)</f>
        <v>0</v>
      </c>
      <c r="D898" s="37"/>
      <c r="E898" s="37"/>
      <c r="F898" s="37">
        <f>-VLOOKUP(A898,Composición!C:J,8,FALSE)</f>
        <v>0</v>
      </c>
      <c r="G898" s="37">
        <f t="shared" si="114"/>
        <v>0</v>
      </c>
      <c r="H898" s="37"/>
      <c r="I898" s="37"/>
      <c r="J898" s="37"/>
      <c r="K898" s="37"/>
      <c r="L898" s="37"/>
      <c r="M898" s="37"/>
      <c r="N898" s="37"/>
      <c r="O898" s="37"/>
      <c r="P898" s="37"/>
      <c r="Q898" s="37"/>
      <c r="R898" s="37"/>
      <c r="S898" s="37"/>
      <c r="T898" s="37"/>
      <c r="U898" s="37"/>
      <c r="V898" s="37"/>
      <c r="W898" s="37"/>
      <c r="X898" s="37"/>
      <c r="Y898" s="37"/>
      <c r="Z898" s="37"/>
      <c r="AA898" s="37">
        <f t="shared" si="115"/>
        <v>0</v>
      </c>
      <c r="AB898" s="37">
        <f t="shared" si="112"/>
        <v>0</v>
      </c>
    </row>
    <row r="899" spans="1:28" ht="14.4">
      <c r="A899" s="117">
        <v>3021111</v>
      </c>
      <c r="B899" s="117" t="s">
        <v>244</v>
      </c>
      <c r="C899" s="37">
        <f>-VLOOKUP(A899,Composición!C:G,5,FALSE)</f>
        <v>0</v>
      </c>
      <c r="D899" s="37"/>
      <c r="E899" s="37"/>
      <c r="F899" s="37">
        <f>-VLOOKUP(A899,Composición!C:J,8,FALSE)</f>
        <v>0</v>
      </c>
      <c r="G899" s="37">
        <f t="shared" si="114"/>
        <v>0</v>
      </c>
      <c r="H899" s="37"/>
      <c r="I899" s="37"/>
      <c r="J899" s="37"/>
      <c r="K899" s="37"/>
      <c r="L899" s="37"/>
      <c r="M899" s="37"/>
      <c r="N899" s="37"/>
      <c r="O899" s="37"/>
      <c r="P899" s="37"/>
      <c r="Q899" s="37"/>
      <c r="R899" s="37"/>
      <c r="S899" s="37"/>
      <c r="T899" s="37"/>
      <c r="U899" s="37"/>
      <c r="V899" s="37"/>
      <c r="W899" s="37"/>
      <c r="X899" s="37"/>
      <c r="Y899" s="37"/>
      <c r="Z899" s="37"/>
      <c r="AA899" s="37">
        <f t="shared" si="115"/>
        <v>0</v>
      </c>
      <c r="AB899" s="37">
        <f t="shared" si="112"/>
        <v>0</v>
      </c>
    </row>
    <row r="900" spans="1:28" ht="14.4">
      <c r="A900" s="117">
        <v>30211111</v>
      </c>
      <c r="B900" s="117" t="s">
        <v>244</v>
      </c>
      <c r="C900" s="37">
        <f>-VLOOKUP(A900,Composición!C:G,5,FALSE)</f>
        <v>0</v>
      </c>
      <c r="D900" s="37"/>
      <c r="E900" s="37"/>
      <c r="F900" s="37">
        <f>-VLOOKUP(A900,Composición!C:J,8,FALSE)</f>
        <v>0</v>
      </c>
      <c r="G900" s="37">
        <f t="shared" si="114"/>
        <v>0</v>
      </c>
      <c r="H900" s="37"/>
      <c r="I900" s="37"/>
      <c r="J900" s="37"/>
      <c r="K900" s="37"/>
      <c r="L900" s="37"/>
      <c r="M900" s="37"/>
      <c r="N900" s="37"/>
      <c r="O900" s="37"/>
      <c r="P900" s="37"/>
      <c r="Q900" s="37"/>
      <c r="R900" s="37"/>
      <c r="S900" s="37"/>
      <c r="T900" s="37"/>
      <c r="U900" s="37"/>
      <c r="V900" s="37"/>
      <c r="W900" s="37"/>
      <c r="X900" s="37"/>
      <c r="Y900" s="37"/>
      <c r="Z900" s="37"/>
      <c r="AA900" s="37">
        <f t="shared" si="115"/>
        <v>0</v>
      </c>
      <c r="AB900" s="37">
        <f t="shared" si="112"/>
        <v>0</v>
      </c>
    </row>
    <row r="901" spans="1:28" ht="14.4">
      <c r="A901" s="117">
        <v>3021111101</v>
      </c>
      <c r="B901" s="117" t="s">
        <v>244</v>
      </c>
      <c r="C901" s="37">
        <f>-VLOOKUP(A901,Composición!C:G,5,FALSE)</f>
        <v>-740857678</v>
      </c>
      <c r="D901" s="37"/>
      <c r="E901" s="37"/>
      <c r="F901" s="37">
        <f>-VLOOKUP(A901,Composición!C:J,8,FALSE)</f>
        <v>-740857678</v>
      </c>
      <c r="G901" s="37">
        <f t="shared" si="114"/>
        <v>0</v>
      </c>
      <c r="H901" s="37"/>
      <c r="I901" s="37"/>
      <c r="J901" s="37"/>
      <c r="K901" s="37"/>
      <c r="L901" s="37"/>
      <c r="M901" s="37"/>
      <c r="N901" s="37"/>
      <c r="O901" s="37"/>
      <c r="P901" s="37"/>
      <c r="Q901" s="37"/>
      <c r="R901" s="37"/>
      <c r="S901" s="37"/>
      <c r="T901" s="37"/>
      <c r="U901" s="37"/>
      <c r="V901" s="37"/>
      <c r="W901" s="37"/>
      <c r="X901" s="37"/>
      <c r="Y901" s="37"/>
      <c r="Z901" s="37"/>
      <c r="AA901" s="37">
        <f t="shared" si="115"/>
        <v>0</v>
      </c>
      <c r="AB901" s="37">
        <f t="shared" si="112"/>
        <v>0</v>
      </c>
    </row>
    <row r="902" spans="1:28" ht="14.4">
      <c r="A902" s="117">
        <v>303</v>
      </c>
      <c r="B902" s="117" t="s">
        <v>591</v>
      </c>
      <c r="C902" s="37">
        <f>-VLOOKUP(A902,Composición!C:G,5,FALSE)</f>
        <v>0</v>
      </c>
      <c r="D902" s="37"/>
      <c r="E902" s="37"/>
      <c r="F902" s="37">
        <f>-VLOOKUP(A902,Composición!C:J,8,FALSE)</f>
        <v>0</v>
      </c>
      <c r="G902" s="37">
        <f t="shared" si="114"/>
        <v>0</v>
      </c>
      <c r="H902" s="37"/>
      <c r="I902" s="37"/>
      <c r="J902" s="37"/>
      <c r="K902" s="37"/>
      <c r="L902" s="37"/>
      <c r="M902" s="37"/>
      <c r="N902" s="37"/>
      <c r="O902" s="37"/>
      <c r="P902" s="37"/>
      <c r="Q902" s="37"/>
      <c r="R902" s="37"/>
      <c r="S902" s="37"/>
      <c r="T902" s="37"/>
      <c r="U902" s="37"/>
      <c r="V902" s="37"/>
      <c r="W902" s="37"/>
      <c r="X902" s="37"/>
      <c r="Y902" s="37"/>
      <c r="Z902" s="37"/>
      <c r="AA902" s="37">
        <f t="shared" si="115"/>
        <v>0</v>
      </c>
      <c r="AB902" s="37">
        <f t="shared" si="112"/>
        <v>0</v>
      </c>
    </row>
    <row r="903" spans="1:28" ht="14.4">
      <c r="A903" s="117">
        <v>3031</v>
      </c>
      <c r="B903" s="117" t="s">
        <v>592</v>
      </c>
      <c r="C903" s="37">
        <f>-VLOOKUP(A903,Composición!C:G,5,FALSE)</f>
        <v>0</v>
      </c>
      <c r="D903" s="37"/>
      <c r="E903" s="37"/>
      <c r="F903" s="37">
        <f>-VLOOKUP(A903,Composición!C:J,8,FALSE)</f>
        <v>0</v>
      </c>
      <c r="G903" s="37">
        <f t="shared" si="114"/>
        <v>0</v>
      </c>
      <c r="H903" s="37"/>
      <c r="I903" s="37"/>
      <c r="J903" s="37"/>
      <c r="K903" s="37"/>
      <c r="L903" s="37"/>
      <c r="M903" s="37"/>
      <c r="N903" s="37"/>
      <c r="O903" s="37"/>
      <c r="P903" s="37"/>
      <c r="Q903" s="37"/>
      <c r="R903" s="37"/>
      <c r="S903" s="37"/>
      <c r="T903" s="37"/>
      <c r="U903" s="37"/>
      <c r="V903" s="37"/>
      <c r="W903" s="37"/>
      <c r="X903" s="37"/>
      <c r="Y903" s="37"/>
      <c r="Z903" s="37"/>
      <c r="AA903" s="37">
        <f t="shared" si="115"/>
        <v>0</v>
      </c>
      <c r="AB903" s="37">
        <f t="shared" si="112"/>
        <v>0</v>
      </c>
    </row>
    <row r="904" spans="1:28" ht="14.4">
      <c r="A904" s="117">
        <v>30311</v>
      </c>
      <c r="B904" s="117" t="s">
        <v>592</v>
      </c>
      <c r="C904" s="37">
        <f>-VLOOKUP(A904,Composición!C:G,5,FALSE)</f>
        <v>0</v>
      </c>
      <c r="D904" s="37"/>
      <c r="E904" s="37"/>
      <c r="F904" s="37">
        <f>-VLOOKUP(A904,Composición!C:J,8,FALSE)</f>
        <v>0</v>
      </c>
      <c r="G904" s="37">
        <f t="shared" si="114"/>
        <v>0</v>
      </c>
      <c r="H904" s="37"/>
      <c r="I904" s="37"/>
      <c r="J904" s="37"/>
      <c r="K904" s="37"/>
      <c r="L904" s="37"/>
      <c r="M904" s="37"/>
      <c r="N904" s="37"/>
      <c r="O904" s="37"/>
      <c r="P904" s="37"/>
      <c r="Q904" s="37"/>
      <c r="R904" s="37"/>
      <c r="S904" s="37"/>
      <c r="T904" s="37"/>
      <c r="U904" s="37"/>
      <c r="V904" s="37"/>
      <c r="W904" s="37"/>
      <c r="X904" s="37"/>
      <c r="Y904" s="37"/>
      <c r="Z904" s="37"/>
      <c r="AA904" s="37">
        <f t="shared" si="115"/>
        <v>0</v>
      </c>
      <c r="AB904" s="37">
        <f t="shared" si="112"/>
        <v>0</v>
      </c>
    </row>
    <row r="905" spans="1:28" ht="14.4">
      <c r="A905" s="117">
        <v>303111</v>
      </c>
      <c r="B905" s="117" t="s">
        <v>592</v>
      </c>
      <c r="C905" s="37">
        <f>-VLOOKUP(A905,Composición!C:G,5,FALSE)</f>
        <v>0</v>
      </c>
      <c r="D905" s="37"/>
      <c r="E905" s="37"/>
      <c r="F905" s="37">
        <f>-VLOOKUP(A905,Composición!C:J,8,FALSE)</f>
        <v>0</v>
      </c>
      <c r="G905" s="37">
        <f t="shared" si="114"/>
        <v>0</v>
      </c>
      <c r="H905" s="37"/>
      <c r="I905" s="37"/>
      <c r="J905" s="37"/>
      <c r="K905" s="37"/>
      <c r="L905" s="37"/>
      <c r="M905" s="37"/>
      <c r="N905" s="37"/>
      <c r="O905" s="37"/>
      <c r="P905" s="37"/>
      <c r="Q905" s="37"/>
      <c r="R905" s="37"/>
      <c r="S905" s="37"/>
      <c r="T905" s="37"/>
      <c r="U905" s="37"/>
      <c r="V905" s="37"/>
      <c r="W905" s="37"/>
      <c r="X905" s="37"/>
      <c r="Y905" s="37"/>
      <c r="Z905" s="37"/>
      <c r="AA905" s="37">
        <f t="shared" si="115"/>
        <v>0</v>
      </c>
      <c r="AB905" s="37">
        <f t="shared" ref="AB905:AB968" si="116">SUM(G905:Z905)</f>
        <v>0</v>
      </c>
    </row>
    <row r="906" spans="1:28" ht="14.4">
      <c r="A906" s="117">
        <v>3031111</v>
      </c>
      <c r="B906" s="117" t="s">
        <v>592</v>
      </c>
      <c r="C906" s="37">
        <f>-VLOOKUP(A906,Composición!C:G,5,FALSE)</f>
        <v>0</v>
      </c>
      <c r="D906" s="37"/>
      <c r="E906" s="37"/>
      <c r="F906" s="37">
        <f>-VLOOKUP(A906,Composición!C:J,8,FALSE)</f>
        <v>0</v>
      </c>
      <c r="G906" s="37">
        <f t="shared" si="114"/>
        <v>0</v>
      </c>
      <c r="H906" s="37"/>
      <c r="I906" s="37"/>
      <c r="J906" s="37"/>
      <c r="K906" s="37"/>
      <c r="L906" s="37"/>
      <c r="M906" s="37"/>
      <c r="N906" s="37"/>
      <c r="O906" s="37"/>
      <c r="P906" s="37"/>
      <c r="Q906" s="37"/>
      <c r="R906" s="37"/>
      <c r="S906" s="37"/>
      <c r="T906" s="37"/>
      <c r="U906" s="37"/>
      <c r="V906" s="37"/>
      <c r="W906" s="37"/>
      <c r="X906" s="37"/>
      <c r="Y906" s="37"/>
      <c r="Z906" s="37"/>
      <c r="AA906" s="37">
        <f t="shared" si="115"/>
        <v>0</v>
      </c>
      <c r="AB906" s="37">
        <f t="shared" si="116"/>
        <v>0</v>
      </c>
    </row>
    <row r="907" spans="1:28" ht="14.4">
      <c r="A907" s="117">
        <v>30311111</v>
      </c>
      <c r="B907" s="117" t="s">
        <v>592</v>
      </c>
      <c r="C907" s="37">
        <f>-VLOOKUP(A907,Composición!C:G,5,FALSE)</f>
        <v>0</v>
      </c>
      <c r="D907" s="37"/>
      <c r="E907" s="37"/>
      <c r="F907" s="37">
        <f>-VLOOKUP(A907,Composición!C:J,8,FALSE)</f>
        <v>0</v>
      </c>
      <c r="G907" s="37">
        <f t="shared" si="114"/>
        <v>0</v>
      </c>
      <c r="H907" s="37"/>
      <c r="I907" s="37"/>
      <c r="J907" s="37"/>
      <c r="K907" s="37"/>
      <c r="L907" s="37"/>
      <c r="M907" s="37"/>
      <c r="N907" s="37"/>
      <c r="O907" s="37"/>
      <c r="P907" s="37"/>
      <c r="Q907" s="37"/>
      <c r="R907" s="37"/>
      <c r="S907" s="37"/>
      <c r="T907" s="37"/>
      <c r="U907" s="37"/>
      <c r="V907" s="37"/>
      <c r="W907" s="37"/>
      <c r="X907" s="37"/>
      <c r="Y907" s="37"/>
      <c r="Z907" s="37"/>
      <c r="AA907" s="37">
        <f t="shared" si="115"/>
        <v>0</v>
      </c>
      <c r="AB907" s="37">
        <f t="shared" si="116"/>
        <v>0</v>
      </c>
    </row>
    <row r="908" spans="1:28" ht="14.4">
      <c r="A908" s="117">
        <v>3031111101</v>
      </c>
      <c r="B908" s="117" t="s">
        <v>593</v>
      </c>
      <c r="C908" s="37">
        <f>-VLOOKUP(A908,Composición!C:G,5,FALSE)</f>
        <v>-158458361</v>
      </c>
      <c r="D908" s="37">
        <f>-C908</f>
        <v>158458361</v>
      </c>
      <c r="E908" s="37"/>
      <c r="F908" s="37">
        <f>-VLOOKUP(A908,Composición!C:J,8,FALSE)</f>
        <v>0</v>
      </c>
      <c r="G908" s="37">
        <f t="shared" si="114"/>
        <v>0</v>
      </c>
      <c r="H908" s="37"/>
      <c r="I908" s="37"/>
      <c r="J908" s="37"/>
      <c r="K908" s="37"/>
      <c r="L908" s="37"/>
      <c r="M908" s="37"/>
      <c r="N908" s="37"/>
      <c r="O908" s="37"/>
      <c r="P908" s="37"/>
      <c r="Q908" s="37"/>
      <c r="R908" s="37"/>
      <c r="S908" s="37"/>
      <c r="T908" s="37"/>
      <c r="U908" s="37"/>
      <c r="V908" s="37"/>
      <c r="W908" s="37"/>
      <c r="X908" s="37"/>
      <c r="Y908" s="37"/>
      <c r="Z908" s="37"/>
      <c r="AA908" s="37">
        <f t="shared" si="115"/>
        <v>0</v>
      </c>
      <c r="AB908" s="37">
        <f t="shared" si="116"/>
        <v>0</v>
      </c>
    </row>
    <row r="909" spans="1:28" ht="14.4">
      <c r="A909" s="117">
        <v>3031111102</v>
      </c>
      <c r="B909" s="117" t="s">
        <v>939</v>
      </c>
      <c r="C909" s="37">
        <f>-VLOOKUP(A909,Composición!C:G,5,FALSE)</f>
        <v>0</v>
      </c>
      <c r="D909" s="37"/>
      <c r="E909" s="37"/>
      <c r="F909" s="37">
        <f>-VLOOKUP(A909,Composición!C:J,8,FALSE)</f>
        <v>0</v>
      </c>
      <c r="G909" s="37">
        <f t="shared" si="114"/>
        <v>0</v>
      </c>
      <c r="H909" s="37"/>
      <c r="I909" s="37"/>
      <c r="J909" s="37"/>
      <c r="K909" s="37"/>
      <c r="L909" s="37"/>
      <c r="M909" s="37"/>
      <c r="N909" s="37"/>
      <c r="O909" s="37"/>
      <c r="P909" s="37"/>
      <c r="Q909" s="37"/>
      <c r="R909" s="37"/>
      <c r="S909" s="37"/>
      <c r="T909" s="37"/>
      <c r="U909" s="37"/>
      <c r="V909" s="37"/>
      <c r="W909" s="37"/>
      <c r="X909" s="37"/>
      <c r="Y909" s="37"/>
      <c r="Z909" s="37"/>
      <c r="AA909" s="37">
        <f t="shared" si="115"/>
        <v>0</v>
      </c>
      <c r="AB909" s="37">
        <f t="shared" si="116"/>
        <v>0</v>
      </c>
    </row>
    <row r="910" spans="1:28" ht="14.4">
      <c r="A910" s="117">
        <v>3031111103</v>
      </c>
      <c r="B910" s="117" t="s">
        <v>940</v>
      </c>
      <c r="C910" s="37">
        <f>-VLOOKUP(A910,Composición!C:G,5,FALSE)</f>
        <v>0</v>
      </c>
      <c r="D910" s="37"/>
      <c r="E910" s="37"/>
      <c r="F910" s="37">
        <f>-VLOOKUP(A910,Composición!C:J,8,FALSE)</f>
        <v>0</v>
      </c>
      <c r="G910" s="37">
        <f t="shared" si="114"/>
        <v>0</v>
      </c>
      <c r="H910" s="37"/>
      <c r="I910" s="37"/>
      <c r="J910" s="37"/>
      <c r="K910" s="37"/>
      <c r="L910" s="37"/>
      <c r="M910" s="37"/>
      <c r="N910" s="37"/>
      <c r="O910" s="37"/>
      <c r="P910" s="37"/>
      <c r="Q910" s="37"/>
      <c r="R910" s="37"/>
      <c r="S910" s="37"/>
      <c r="T910" s="37"/>
      <c r="U910" s="37"/>
      <c r="V910" s="37"/>
      <c r="W910" s="37"/>
      <c r="X910" s="37"/>
      <c r="Y910" s="37"/>
      <c r="Z910" s="37"/>
      <c r="AA910" s="37">
        <f t="shared" si="115"/>
        <v>0</v>
      </c>
      <c r="AB910" s="37">
        <f t="shared" si="116"/>
        <v>0</v>
      </c>
    </row>
    <row r="911" spans="1:28" ht="14.4">
      <c r="A911" s="117">
        <v>3031111104</v>
      </c>
      <c r="B911" s="117" t="s">
        <v>941</v>
      </c>
      <c r="C911" s="37">
        <f>-VLOOKUP(A911,Composición!C:G,5,FALSE)</f>
        <v>0</v>
      </c>
      <c r="D911" s="37"/>
      <c r="E911" s="37"/>
      <c r="F911" s="37">
        <f>-VLOOKUP(A911,Composición!C:J,8,FALSE)</f>
        <v>0</v>
      </c>
      <c r="G911" s="37">
        <f t="shared" si="114"/>
        <v>0</v>
      </c>
      <c r="H911" s="37"/>
      <c r="I911" s="37"/>
      <c r="J911" s="37"/>
      <c r="K911" s="37"/>
      <c r="L911" s="37"/>
      <c r="M911" s="37"/>
      <c r="N911" s="37"/>
      <c r="O911" s="37"/>
      <c r="P911" s="37"/>
      <c r="Q911" s="37"/>
      <c r="R911" s="37"/>
      <c r="S911" s="37"/>
      <c r="T911" s="37"/>
      <c r="U911" s="37"/>
      <c r="V911" s="37"/>
      <c r="W911" s="37"/>
      <c r="X911" s="37"/>
      <c r="Y911" s="37"/>
      <c r="Z911" s="37"/>
      <c r="AA911" s="37">
        <f t="shared" si="115"/>
        <v>0</v>
      </c>
      <c r="AB911" s="37">
        <f t="shared" si="116"/>
        <v>0</v>
      </c>
    </row>
    <row r="912" spans="1:28" ht="14.4">
      <c r="A912" s="117">
        <v>304</v>
      </c>
      <c r="B912" s="117" t="s">
        <v>245</v>
      </c>
      <c r="C912" s="37">
        <f>-VLOOKUP(A912,Composición!C:G,5,FALSE)</f>
        <v>0</v>
      </c>
      <c r="D912" s="37"/>
      <c r="E912" s="37"/>
      <c r="F912" s="37">
        <f>-VLOOKUP(A912,Composición!C:J,8,FALSE)</f>
        <v>0</v>
      </c>
      <c r="G912" s="37">
        <f t="shared" si="114"/>
        <v>0</v>
      </c>
      <c r="H912" s="37"/>
      <c r="I912" s="37"/>
      <c r="J912" s="37"/>
      <c r="K912" s="37"/>
      <c r="L912" s="37"/>
      <c r="M912" s="37"/>
      <c r="N912" s="37"/>
      <c r="O912" s="37"/>
      <c r="P912" s="37"/>
      <c r="Q912" s="37"/>
      <c r="R912" s="37"/>
      <c r="S912" s="37"/>
      <c r="T912" s="37"/>
      <c r="U912" s="37"/>
      <c r="V912" s="37"/>
      <c r="W912" s="37"/>
      <c r="X912" s="37"/>
      <c r="Y912" s="37"/>
      <c r="Z912" s="37"/>
      <c r="AA912" s="37">
        <f t="shared" si="115"/>
        <v>0</v>
      </c>
      <c r="AB912" s="37">
        <f t="shared" si="116"/>
        <v>0</v>
      </c>
    </row>
    <row r="913" spans="1:28" ht="14.4">
      <c r="A913" s="117">
        <v>3041</v>
      </c>
      <c r="B913" s="117" t="s">
        <v>246</v>
      </c>
      <c r="C913" s="37">
        <f>-VLOOKUP(A913,Composición!C:G,5,FALSE)</f>
        <v>0</v>
      </c>
      <c r="D913" s="37"/>
      <c r="E913" s="37"/>
      <c r="F913" s="37">
        <f>-VLOOKUP(A913,Composición!C:J,8,FALSE)</f>
        <v>0</v>
      </c>
      <c r="G913" s="37">
        <f t="shared" si="114"/>
        <v>0</v>
      </c>
      <c r="H913" s="37"/>
      <c r="I913" s="37"/>
      <c r="J913" s="37"/>
      <c r="K913" s="37"/>
      <c r="L913" s="37"/>
      <c r="M913" s="37"/>
      <c r="N913" s="37"/>
      <c r="O913" s="37"/>
      <c r="P913" s="37"/>
      <c r="Q913" s="37"/>
      <c r="R913" s="37"/>
      <c r="S913" s="37"/>
      <c r="T913" s="37"/>
      <c r="U913" s="37"/>
      <c r="V913" s="37"/>
      <c r="W913" s="37"/>
      <c r="X913" s="37"/>
      <c r="Y913" s="37"/>
      <c r="Z913" s="37"/>
      <c r="AA913" s="37">
        <f t="shared" si="115"/>
        <v>0</v>
      </c>
      <c r="AB913" s="37">
        <f t="shared" si="116"/>
        <v>0</v>
      </c>
    </row>
    <row r="914" spans="1:28" ht="14.4">
      <c r="A914" s="117">
        <v>30411</v>
      </c>
      <c r="B914" s="117" t="s">
        <v>246</v>
      </c>
      <c r="C914" s="37">
        <f>-VLOOKUP(A914,Composición!C:G,5,FALSE)</f>
        <v>0</v>
      </c>
      <c r="D914" s="37"/>
      <c r="E914" s="37"/>
      <c r="F914" s="37">
        <f>-VLOOKUP(A914,Composición!C:J,8,FALSE)</f>
        <v>0</v>
      </c>
      <c r="G914" s="37">
        <f t="shared" si="114"/>
        <v>0</v>
      </c>
      <c r="H914" s="37"/>
      <c r="I914" s="37"/>
      <c r="J914" s="37"/>
      <c r="K914" s="37"/>
      <c r="L914" s="37"/>
      <c r="M914" s="37"/>
      <c r="N914" s="37"/>
      <c r="O914" s="37"/>
      <c r="P914" s="37"/>
      <c r="Q914" s="37"/>
      <c r="R914" s="37"/>
      <c r="S914" s="37"/>
      <c r="T914" s="37"/>
      <c r="U914" s="37"/>
      <c r="V914" s="37"/>
      <c r="W914" s="37"/>
      <c r="X914" s="37"/>
      <c r="Y914" s="37"/>
      <c r="Z914" s="37"/>
      <c r="AA914" s="37">
        <f t="shared" si="115"/>
        <v>0</v>
      </c>
      <c r="AB914" s="37">
        <f t="shared" si="116"/>
        <v>0</v>
      </c>
    </row>
    <row r="915" spans="1:28" ht="14.4">
      <c r="A915" s="117">
        <v>304111</v>
      </c>
      <c r="B915" s="117" t="s">
        <v>246</v>
      </c>
      <c r="C915" s="37">
        <f>-VLOOKUP(A915,Composición!C:G,5,FALSE)</f>
        <v>0</v>
      </c>
      <c r="D915" s="37"/>
      <c r="E915" s="37"/>
      <c r="F915" s="37">
        <f>-VLOOKUP(A915,Composición!C:J,8,FALSE)</f>
        <v>0</v>
      </c>
      <c r="G915" s="37">
        <f t="shared" si="114"/>
        <v>0</v>
      </c>
      <c r="H915" s="37"/>
      <c r="I915" s="37"/>
      <c r="J915" s="37"/>
      <c r="K915" s="37"/>
      <c r="L915" s="37"/>
      <c r="M915" s="37"/>
      <c r="N915" s="37"/>
      <c r="O915" s="37"/>
      <c r="P915" s="37"/>
      <c r="Q915" s="37"/>
      <c r="R915" s="37"/>
      <c r="S915" s="37"/>
      <c r="T915" s="37"/>
      <c r="U915" s="37"/>
      <c r="V915" s="37"/>
      <c r="W915" s="37"/>
      <c r="X915" s="37"/>
      <c r="Y915" s="37"/>
      <c r="Z915" s="37"/>
      <c r="AA915" s="37">
        <f t="shared" si="115"/>
        <v>0</v>
      </c>
      <c r="AB915" s="37">
        <f t="shared" si="116"/>
        <v>0</v>
      </c>
    </row>
    <row r="916" spans="1:28" ht="14.4">
      <c r="A916" s="117">
        <v>3041111</v>
      </c>
      <c r="B916" s="117" t="s">
        <v>246</v>
      </c>
      <c r="C916" s="37">
        <f>-VLOOKUP(A916,Composición!C:G,5,FALSE)</f>
        <v>0</v>
      </c>
      <c r="D916" s="37"/>
      <c r="E916" s="37"/>
      <c r="F916" s="37">
        <f>-VLOOKUP(A916,Composición!C:J,8,FALSE)</f>
        <v>0</v>
      </c>
      <c r="G916" s="37">
        <f t="shared" si="114"/>
        <v>0</v>
      </c>
      <c r="H916" s="37"/>
      <c r="I916" s="37"/>
      <c r="J916" s="37"/>
      <c r="K916" s="37"/>
      <c r="L916" s="37"/>
      <c r="M916" s="37"/>
      <c r="N916" s="37"/>
      <c r="O916" s="37"/>
      <c r="P916" s="37"/>
      <c r="Q916" s="37"/>
      <c r="R916" s="37"/>
      <c r="S916" s="37"/>
      <c r="T916" s="37"/>
      <c r="U916" s="37"/>
      <c r="V916" s="37"/>
      <c r="W916" s="37"/>
      <c r="X916" s="37"/>
      <c r="Y916" s="37"/>
      <c r="Z916" s="37"/>
      <c r="AA916" s="37">
        <f t="shared" si="115"/>
        <v>0</v>
      </c>
      <c r="AB916" s="37">
        <f t="shared" si="116"/>
        <v>0</v>
      </c>
    </row>
    <row r="917" spans="1:28" ht="14.4">
      <c r="A917" s="117">
        <v>30411111</v>
      </c>
      <c r="B917" s="117" t="s">
        <v>246</v>
      </c>
      <c r="C917" s="37">
        <f>-VLOOKUP(A917,Composición!C:G,5,FALSE)</f>
        <v>0</v>
      </c>
      <c r="D917" s="37"/>
      <c r="E917" s="37"/>
      <c r="F917" s="37">
        <f>-VLOOKUP(A917,Composición!C:J,8,FALSE)</f>
        <v>0</v>
      </c>
      <c r="G917" s="37">
        <f t="shared" si="114"/>
        <v>0</v>
      </c>
      <c r="H917" s="37"/>
      <c r="I917" s="37"/>
      <c r="J917" s="37"/>
      <c r="K917" s="37"/>
      <c r="L917" s="37"/>
      <c r="M917" s="37"/>
      <c r="N917" s="37"/>
      <c r="O917" s="37"/>
      <c r="P917" s="37"/>
      <c r="Q917" s="37"/>
      <c r="R917" s="37"/>
      <c r="S917" s="37"/>
      <c r="T917" s="37"/>
      <c r="U917" s="37"/>
      <c r="V917" s="37"/>
      <c r="W917" s="37"/>
      <c r="X917" s="37"/>
      <c r="Y917" s="37"/>
      <c r="Z917" s="37"/>
      <c r="AA917" s="37">
        <f t="shared" si="115"/>
        <v>0</v>
      </c>
      <c r="AB917" s="37">
        <f t="shared" si="116"/>
        <v>0</v>
      </c>
    </row>
    <row r="918" spans="1:28" ht="14.4">
      <c r="A918" s="117">
        <v>3041111101</v>
      </c>
      <c r="B918" s="117" t="s">
        <v>247</v>
      </c>
      <c r="C918" s="37">
        <f>-VLOOKUP(A918,Composición!C:G,5,FALSE)</f>
        <v>2930842608</v>
      </c>
      <c r="D918" s="37">
        <f>-D908</f>
        <v>-158458361</v>
      </c>
      <c r="E918" s="37">
        <f>+D919</f>
        <v>-3169167210</v>
      </c>
      <c r="F918" s="37">
        <f>-VLOOKUP(A918,Composición!C:J,8,FALSE)</f>
        <v>5941551458</v>
      </c>
      <c r="G918" s="37">
        <f t="shared" si="114"/>
        <v>-1</v>
      </c>
      <c r="H918" s="37"/>
      <c r="I918" s="37"/>
      <c r="J918" s="37">
        <f>-G918</f>
        <v>1</v>
      </c>
      <c r="K918" s="37"/>
      <c r="L918" s="37"/>
      <c r="M918" s="37"/>
      <c r="N918" s="37"/>
      <c r="O918" s="37"/>
      <c r="P918" s="37"/>
      <c r="Q918" s="37"/>
      <c r="R918" s="37"/>
      <c r="S918" s="37"/>
      <c r="T918" s="37"/>
      <c r="U918" s="37"/>
      <c r="V918" s="37"/>
      <c r="W918" s="37"/>
      <c r="X918" s="37"/>
      <c r="Y918" s="37"/>
      <c r="Z918" s="37"/>
      <c r="AA918" s="37">
        <f t="shared" si="115"/>
        <v>0</v>
      </c>
      <c r="AB918" s="37">
        <f t="shared" si="116"/>
        <v>0</v>
      </c>
    </row>
    <row r="919" spans="1:28" ht="14.4">
      <c r="A919" s="117">
        <v>3041111102</v>
      </c>
      <c r="B919" s="117" t="s">
        <v>248</v>
      </c>
      <c r="C919" s="37">
        <f>-VLOOKUP(A919,Composición!C:G,5,FALSE)</f>
        <v>-17464898424</v>
      </c>
      <c r="D919" s="37">
        <f>-Composición!$J$926</f>
        <v>-3169167210</v>
      </c>
      <c r="E919" s="37">
        <f>+D1510</f>
        <v>-17464898424</v>
      </c>
      <c r="F919" s="37">
        <f>-VLOOKUP(A919,Composición!C:J,8,FALSE)</f>
        <v>-3169167210</v>
      </c>
      <c r="G919" s="37">
        <f t="shared" si="114"/>
        <v>0</v>
      </c>
      <c r="H919" s="37"/>
      <c r="I919" s="37"/>
      <c r="J919" s="37"/>
      <c r="K919" s="37"/>
      <c r="L919" s="37"/>
      <c r="M919" s="37"/>
      <c r="N919" s="37"/>
      <c r="O919" s="37"/>
      <c r="P919" s="37"/>
      <c r="Q919" s="37"/>
      <c r="R919" s="37"/>
      <c r="S919" s="37"/>
      <c r="T919" s="37"/>
      <c r="U919" s="37"/>
      <c r="V919" s="37"/>
      <c r="W919" s="37"/>
      <c r="X919" s="37"/>
      <c r="Y919" s="37"/>
      <c r="Z919" s="37"/>
      <c r="AA919" s="37">
        <f t="shared" si="115"/>
        <v>0</v>
      </c>
      <c r="AB919" s="37">
        <f t="shared" si="116"/>
        <v>0</v>
      </c>
    </row>
    <row r="920" spans="1:28" ht="14.4">
      <c r="A920" s="12"/>
      <c r="B920" s="137"/>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c r="AA920" s="37">
        <f t="shared" si="115"/>
        <v>0</v>
      </c>
      <c r="AB920" s="37">
        <f t="shared" si="116"/>
        <v>0</v>
      </c>
    </row>
    <row r="921" spans="1:28" ht="14.4">
      <c r="A921" s="130">
        <v>4</v>
      </c>
      <c r="B921" s="130" t="s">
        <v>286</v>
      </c>
      <c r="C921" s="131">
        <f>-Composición!$G$1775-SUM('CA FE'!C922:C1212)</f>
        <v>0</v>
      </c>
      <c r="D921" s="131"/>
      <c r="E921" s="131"/>
      <c r="F921" s="131"/>
      <c r="G921" s="131">
        <f t="shared" ref="G921:G996" si="117">C921+D921-E921-F921</f>
        <v>0</v>
      </c>
      <c r="H921" s="131"/>
      <c r="I921" s="131"/>
      <c r="J921" s="131"/>
      <c r="K921" s="131"/>
      <c r="L921" s="131"/>
      <c r="M921" s="131"/>
      <c r="N921" s="131"/>
      <c r="O921" s="131"/>
      <c r="P921" s="131"/>
      <c r="Q921" s="131"/>
      <c r="R921" s="131"/>
      <c r="S921" s="131"/>
      <c r="T921" s="131"/>
      <c r="U921" s="131"/>
      <c r="V921" s="131"/>
      <c r="W921" s="131"/>
      <c r="X921" s="131"/>
      <c r="Y921" s="131"/>
      <c r="Z921" s="131"/>
      <c r="AA921" s="131">
        <f t="shared" ref="AA921:AA982" si="118">SUM(G921:Z921)</f>
        <v>0</v>
      </c>
      <c r="AB921" s="37">
        <f t="shared" si="116"/>
        <v>0</v>
      </c>
    </row>
    <row r="922" spans="1:28" ht="14.4">
      <c r="A922" s="117">
        <v>41</v>
      </c>
      <c r="B922" s="117" t="s">
        <v>287</v>
      </c>
      <c r="C922" s="37">
        <f>-VLOOKUP(A922,Composición!C:G,5,FALSE)</f>
        <v>0</v>
      </c>
      <c r="D922" s="37"/>
      <c r="E922" s="37"/>
      <c r="F922" s="37"/>
      <c r="G922" s="37">
        <f t="shared" si="117"/>
        <v>0</v>
      </c>
      <c r="H922" s="37"/>
      <c r="I922" s="37"/>
      <c r="J922" s="37"/>
      <c r="K922" s="37"/>
      <c r="L922" s="37"/>
      <c r="M922" s="37"/>
      <c r="N922" s="37"/>
      <c r="O922" s="37"/>
      <c r="P922" s="37"/>
      <c r="Q922" s="37"/>
      <c r="R922" s="37"/>
      <c r="S922" s="37"/>
      <c r="T922" s="37"/>
      <c r="U922" s="37"/>
      <c r="V922" s="37"/>
      <c r="W922" s="37"/>
      <c r="X922" s="37"/>
      <c r="Y922" s="37"/>
      <c r="Z922" s="37"/>
      <c r="AA922" s="37">
        <f t="shared" si="118"/>
        <v>0</v>
      </c>
      <c r="AB922" s="37">
        <f t="shared" si="116"/>
        <v>0</v>
      </c>
    </row>
    <row r="923" spans="1:28" ht="14.4">
      <c r="A923" s="117">
        <v>411</v>
      </c>
      <c r="B923" s="117" t="s">
        <v>288</v>
      </c>
      <c r="C923" s="37">
        <f>-VLOOKUP(A923,Composición!C:G,5,FALSE)</f>
        <v>0</v>
      </c>
      <c r="D923" s="37"/>
      <c r="E923" s="37"/>
      <c r="F923" s="37"/>
      <c r="G923" s="37">
        <f t="shared" si="117"/>
        <v>0</v>
      </c>
      <c r="H923" s="37"/>
      <c r="I923" s="37"/>
      <c r="J923" s="37"/>
      <c r="K923" s="37"/>
      <c r="L923" s="37"/>
      <c r="M923" s="37"/>
      <c r="N923" s="37"/>
      <c r="O923" s="37"/>
      <c r="P923" s="37"/>
      <c r="Q923" s="37"/>
      <c r="R923" s="37"/>
      <c r="S923" s="37"/>
      <c r="T923" s="37"/>
      <c r="U923" s="37"/>
      <c r="V923" s="37"/>
      <c r="W923" s="37"/>
      <c r="X923" s="37"/>
      <c r="Y923" s="37"/>
      <c r="Z923" s="37"/>
      <c r="AA923" s="37">
        <f t="shared" si="118"/>
        <v>0</v>
      </c>
      <c r="AB923" s="37">
        <f t="shared" si="116"/>
        <v>0</v>
      </c>
    </row>
    <row r="924" spans="1:28" ht="14.4">
      <c r="A924" s="117">
        <v>41101</v>
      </c>
      <c r="B924" s="117" t="s">
        <v>288</v>
      </c>
      <c r="C924" s="37">
        <f>-VLOOKUP(A924,Composición!C:G,5,FALSE)</f>
        <v>0</v>
      </c>
      <c r="D924" s="37"/>
      <c r="E924" s="37"/>
      <c r="F924" s="37"/>
      <c r="G924" s="37">
        <f t="shared" si="117"/>
        <v>0</v>
      </c>
      <c r="H924" s="37"/>
      <c r="I924" s="37"/>
      <c r="J924" s="37"/>
      <c r="K924" s="37"/>
      <c r="L924" s="37"/>
      <c r="M924" s="37"/>
      <c r="N924" s="37"/>
      <c r="O924" s="37"/>
      <c r="P924" s="37"/>
      <c r="Q924" s="37"/>
      <c r="R924" s="37"/>
      <c r="S924" s="37"/>
      <c r="T924" s="37"/>
      <c r="U924" s="37"/>
      <c r="V924" s="37"/>
      <c r="W924" s="37"/>
      <c r="X924" s="37"/>
      <c r="Y924" s="37"/>
      <c r="Z924" s="37"/>
      <c r="AA924" s="37">
        <f t="shared" si="118"/>
        <v>0</v>
      </c>
      <c r="AB924" s="37">
        <f t="shared" si="116"/>
        <v>0</v>
      </c>
    </row>
    <row r="925" spans="1:28" ht="14.4">
      <c r="A925" s="117">
        <v>411011</v>
      </c>
      <c r="B925" s="117" t="s">
        <v>288</v>
      </c>
      <c r="C925" s="37">
        <f>-VLOOKUP(A925,Composición!C:G,5,FALSE)</f>
        <v>0</v>
      </c>
      <c r="D925" s="37"/>
      <c r="E925" s="37"/>
      <c r="F925" s="37"/>
      <c r="G925" s="37">
        <f t="shared" si="117"/>
        <v>0</v>
      </c>
      <c r="H925" s="37"/>
      <c r="I925" s="37"/>
      <c r="J925" s="37"/>
      <c r="K925" s="37"/>
      <c r="L925" s="37"/>
      <c r="M925" s="37"/>
      <c r="N925" s="37"/>
      <c r="O925" s="37"/>
      <c r="P925" s="37"/>
      <c r="Q925" s="37"/>
      <c r="R925" s="37"/>
      <c r="S925" s="37"/>
      <c r="T925" s="37"/>
      <c r="U925" s="37"/>
      <c r="V925" s="37"/>
      <c r="W925" s="37"/>
      <c r="X925" s="37"/>
      <c r="Y925" s="37"/>
      <c r="Z925" s="37"/>
      <c r="AA925" s="37">
        <f t="shared" si="118"/>
        <v>0</v>
      </c>
      <c r="AB925" s="37">
        <f t="shared" si="116"/>
        <v>0</v>
      </c>
    </row>
    <row r="926" spans="1:28" ht="14.4">
      <c r="A926" s="117">
        <v>4110111</v>
      </c>
      <c r="B926" s="117" t="s">
        <v>289</v>
      </c>
      <c r="C926" s="37">
        <f>-VLOOKUP(A926,Composición!C:G,5,FALSE)</f>
        <v>0</v>
      </c>
      <c r="D926" s="37"/>
      <c r="E926" s="37"/>
      <c r="F926" s="37"/>
      <c r="G926" s="37">
        <f t="shared" si="117"/>
        <v>0</v>
      </c>
      <c r="H926" s="37"/>
      <c r="I926" s="37"/>
      <c r="J926" s="37"/>
      <c r="K926" s="37"/>
      <c r="L926" s="37"/>
      <c r="M926" s="37"/>
      <c r="N926" s="37"/>
      <c r="O926" s="37"/>
      <c r="P926" s="37"/>
      <c r="Q926" s="37"/>
      <c r="R926" s="37"/>
      <c r="S926" s="37"/>
      <c r="T926" s="37"/>
      <c r="U926" s="37"/>
      <c r="V926" s="37"/>
      <c r="W926" s="37"/>
      <c r="X926" s="37"/>
      <c r="Y926" s="37"/>
      <c r="Z926" s="37"/>
      <c r="AA926" s="37">
        <f t="shared" si="118"/>
        <v>0</v>
      </c>
      <c r="AB926" s="37">
        <f t="shared" si="116"/>
        <v>0</v>
      </c>
    </row>
    <row r="927" spans="1:28" ht="14.4">
      <c r="A927" s="117">
        <v>41101111</v>
      </c>
      <c r="B927" s="117" t="s">
        <v>290</v>
      </c>
      <c r="C927" s="37">
        <f>-VLOOKUP(A927,Composición!C:G,5,FALSE)</f>
        <v>0</v>
      </c>
      <c r="D927" s="37"/>
      <c r="E927" s="37"/>
      <c r="F927" s="37"/>
      <c r="G927" s="37">
        <f t="shared" si="117"/>
        <v>0</v>
      </c>
      <c r="H927" s="37"/>
      <c r="I927" s="37"/>
      <c r="J927" s="37"/>
      <c r="K927" s="37"/>
      <c r="L927" s="37"/>
      <c r="M927" s="37"/>
      <c r="N927" s="37"/>
      <c r="O927" s="37"/>
      <c r="P927" s="37"/>
      <c r="Q927" s="37"/>
      <c r="R927" s="37"/>
      <c r="S927" s="37"/>
      <c r="T927" s="37"/>
      <c r="U927" s="37"/>
      <c r="V927" s="37"/>
      <c r="W927" s="37"/>
      <c r="X927" s="37"/>
      <c r="Y927" s="37"/>
      <c r="Z927" s="37"/>
      <c r="AA927" s="37">
        <f t="shared" si="118"/>
        <v>0</v>
      </c>
      <c r="AB927" s="37">
        <f t="shared" si="116"/>
        <v>0</v>
      </c>
    </row>
    <row r="928" spans="1:28" ht="14.4">
      <c r="A928" s="117">
        <v>4110111101</v>
      </c>
      <c r="B928" s="117" t="s">
        <v>291</v>
      </c>
      <c r="C928" s="37">
        <f>-VLOOKUP(A928,Composición!C:G,5,FALSE)</f>
        <v>-21281581</v>
      </c>
      <c r="D928" s="37"/>
      <c r="E928" s="37"/>
      <c r="F928" s="37"/>
      <c r="G928" s="37">
        <f t="shared" si="117"/>
        <v>-21281581</v>
      </c>
      <c r="H928" s="37">
        <f>-G928</f>
        <v>21281581</v>
      </c>
      <c r="I928" s="37"/>
      <c r="J928" s="37"/>
      <c r="K928" s="37"/>
      <c r="L928" s="37"/>
      <c r="M928" s="37"/>
      <c r="N928" s="37"/>
      <c r="O928" s="37"/>
      <c r="P928" s="37"/>
      <c r="Q928" s="37"/>
      <c r="R928" s="37"/>
      <c r="S928" s="37"/>
      <c r="T928" s="37"/>
      <c r="U928" s="37"/>
      <c r="V928" s="37"/>
      <c r="W928" s="37"/>
      <c r="X928" s="37"/>
      <c r="Y928" s="37"/>
      <c r="Z928" s="37"/>
      <c r="AA928" s="37">
        <f t="shared" si="118"/>
        <v>0</v>
      </c>
      <c r="AB928" s="37">
        <f t="shared" si="116"/>
        <v>0</v>
      </c>
    </row>
    <row r="929" spans="1:28" ht="14.4">
      <c r="A929" s="117">
        <v>4110111102</v>
      </c>
      <c r="B929" s="117" t="s">
        <v>944</v>
      </c>
      <c r="C929" s="37">
        <f>-VLOOKUP(A929,Composición!C:G,5,FALSE)</f>
        <v>-4301438</v>
      </c>
      <c r="D929" s="37"/>
      <c r="E929" s="37"/>
      <c r="F929" s="37"/>
      <c r="G929" s="37">
        <f t="shared" si="117"/>
        <v>-4301438</v>
      </c>
      <c r="H929" s="37">
        <f>-G929</f>
        <v>4301438</v>
      </c>
      <c r="I929" s="37"/>
      <c r="J929" s="37"/>
      <c r="K929" s="37"/>
      <c r="L929" s="37"/>
      <c r="M929" s="37"/>
      <c r="N929" s="37"/>
      <c r="O929" s="37"/>
      <c r="P929" s="37"/>
      <c r="Q929" s="37"/>
      <c r="R929" s="37"/>
      <c r="S929" s="37"/>
      <c r="T929" s="37"/>
      <c r="U929" s="37"/>
      <c r="V929" s="37"/>
      <c r="W929" s="37"/>
      <c r="X929" s="37"/>
      <c r="Y929" s="37"/>
      <c r="Z929" s="37"/>
      <c r="AA929" s="37">
        <f t="shared" si="118"/>
        <v>0</v>
      </c>
      <c r="AB929" s="37">
        <f t="shared" si="116"/>
        <v>0</v>
      </c>
    </row>
    <row r="930" spans="1:28" ht="14.4">
      <c r="A930" s="836">
        <v>4110111104</v>
      </c>
      <c r="B930" s="836" t="s">
        <v>293</v>
      </c>
      <c r="C930" s="37">
        <f>-VLOOKUP(A930,Composición!C:G,5,FALSE)</f>
        <v>0</v>
      </c>
      <c r="D930" s="37"/>
      <c r="E930" s="37"/>
      <c r="F930" s="37"/>
      <c r="G930" s="37">
        <f t="shared" si="117"/>
        <v>0</v>
      </c>
      <c r="H930" s="37">
        <f>-G930</f>
        <v>0</v>
      </c>
      <c r="I930" s="37"/>
      <c r="J930" s="37"/>
      <c r="K930" s="37"/>
      <c r="L930" s="37"/>
      <c r="M930" s="37"/>
      <c r="N930" s="37"/>
      <c r="O930" s="37"/>
      <c r="P930" s="37"/>
      <c r="Q930" s="37"/>
      <c r="R930" s="37"/>
      <c r="S930" s="37"/>
      <c r="T930" s="37"/>
      <c r="U930" s="37"/>
      <c r="V930" s="37"/>
      <c r="W930" s="37"/>
      <c r="X930" s="37"/>
      <c r="Y930" s="37"/>
      <c r="Z930" s="37"/>
      <c r="AA930" s="37">
        <f t="shared" si="118"/>
        <v>0</v>
      </c>
      <c r="AB930" s="37">
        <f t="shared" si="116"/>
        <v>0</v>
      </c>
    </row>
    <row r="931" spans="1:28" ht="14.4">
      <c r="A931" s="117">
        <v>41101112</v>
      </c>
      <c r="B931" s="117" t="s">
        <v>294</v>
      </c>
      <c r="C931" s="37">
        <f>-VLOOKUP(A931,Composición!C:G,5,FALSE)</f>
        <v>0</v>
      </c>
      <c r="D931" s="37"/>
      <c r="E931" s="37"/>
      <c r="F931" s="37"/>
      <c r="G931" s="37">
        <f t="shared" si="117"/>
        <v>0</v>
      </c>
      <c r="H931" s="37"/>
      <c r="I931" s="37"/>
      <c r="J931" s="37"/>
      <c r="K931" s="37"/>
      <c r="L931" s="37"/>
      <c r="M931" s="37"/>
      <c r="N931" s="37"/>
      <c r="O931" s="37"/>
      <c r="P931" s="37"/>
      <c r="Q931" s="37"/>
      <c r="R931" s="37"/>
      <c r="S931" s="37"/>
      <c r="T931" s="37"/>
      <c r="U931" s="37"/>
      <c r="V931" s="37"/>
      <c r="W931" s="37"/>
      <c r="X931" s="37"/>
      <c r="Y931" s="37"/>
      <c r="Z931" s="37"/>
      <c r="AA931" s="37">
        <f t="shared" si="118"/>
        <v>0</v>
      </c>
      <c r="AB931" s="37">
        <f t="shared" si="116"/>
        <v>0</v>
      </c>
    </row>
    <row r="932" spans="1:28" ht="14.4">
      <c r="A932" s="117">
        <v>4110111201</v>
      </c>
      <c r="B932" s="117" t="s">
        <v>295</v>
      </c>
      <c r="C932" s="37">
        <f>-VLOOKUP(A932,Composición!C:G,5,FALSE)</f>
        <v>0</v>
      </c>
      <c r="D932" s="37"/>
      <c r="E932" s="37"/>
      <c r="F932" s="37"/>
      <c r="G932" s="37">
        <f t="shared" si="117"/>
        <v>0</v>
      </c>
      <c r="H932" s="37"/>
      <c r="I932" s="37"/>
      <c r="J932" s="37"/>
      <c r="K932" s="37"/>
      <c r="L932" s="37"/>
      <c r="M932" s="37"/>
      <c r="N932" s="37"/>
      <c r="O932" s="37"/>
      <c r="P932" s="37"/>
      <c r="Q932" s="37"/>
      <c r="R932" s="37"/>
      <c r="S932" s="37"/>
      <c r="T932" s="37"/>
      <c r="U932" s="37"/>
      <c r="V932" s="37"/>
      <c r="W932" s="37"/>
      <c r="X932" s="37"/>
      <c r="Y932" s="37"/>
      <c r="Z932" s="37"/>
      <c r="AA932" s="37">
        <f t="shared" si="118"/>
        <v>0</v>
      </c>
      <c r="AB932" s="37">
        <f t="shared" si="116"/>
        <v>0</v>
      </c>
    </row>
    <row r="933" spans="1:28" ht="14.4">
      <c r="A933" s="117">
        <v>4110111202</v>
      </c>
      <c r="B933" s="117" t="s">
        <v>302</v>
      </c>
      <c r="C933" s="37">
        <f>-VLOOKUP(A933,Composición!C:G,5,FALSE)</f>
        <v>0</v>
      </c>
      <c r="D933" s="37"/>
      <c r="E933" s="37"/>
      <c r="F933" s="37"/>
      <c r="G933" s="37">
        <f t="shared" si="117"/>
        <v>0</v>
      </c>
      <c r="H933" s="37"/>
      <c r="I933" s="37"/>
      <c r="J933" s="37"/>
      <c r="K933" s="37"/>
      <c r="L933" s="37"/>
      <c r="M933" s="37"/>
      <c r="N933" s="37"/>
      <c r="O933" s="37"/>
      <c r="P933" s="37"/>
      <c r="Q933" s="37"/>
      <c r="R933" s="37"/>
      <c r="S933" s="37"/>
      <c r="T933" s="37"/>
      <c r="U933" s="37"/>
      <c r="V933" s="37"/>
      <c r="W933" s="37"/>
      <c r="X933" s="37"/>
      <c r="Y933" s="37"/>
      <c r="Z933" s="37"/>
      <c r="AA933" s="37">
        <f t="shared" si="118"/>
        <v>0</v>
      </c>
      <c r="AB933" s="37">
        <f t="shared" si="116"/>
        <v>0</v>
      </c>
    </row>
    <row r="934" spans="1:28" ht="14.4">
      <c r="A934" s="117">
        <v>41101113</v>
      </c>
      <c r="B934" s="117" t="s">
        <v>946</v>
      </c>
      <c r="C934" s="37">
        <f>-VLOOKUP(A934,Composición!C:G,5,FALSE)</f>
        <v>0</v>
      </c>
      <c r="D934" s="37"/>
      <c r="E934" s="37"/>
      <c r="F934" s="37"/>
      <c r="G934" s="37">
        <f t="shared" si="117"/>
        <v>0</v>
      </c>
      <c r="H934" s="37"/>
      <c r="I934" s="37"/>
      <c r="J934" s="37"/>
      <c r="K934" s="37"/>
      <c r="L934" s="37"/>
      <c r="M934" s="37"/>
      <c r="N934" s="37"/>
      <c r="O934" s="37"/>
      <c r="P934" s="37"/>
      <c r="Q934" s="37"/>
      <c r="R934" s="37"/>
      <c r="S934" s="37"/>
      <c r="T934" s="37"/>
      <c r="U934" s="37"/>
      <c r="V934" s="37"/>
      <c r="W934" s="37"/>
      <c r="X934" s="37"/>
      <c r="Y934" s="37"/>
      <c r="Z934" s="37"/>
      <c r="AA934" s="37">
        <f t="shared" si="118"/>
        <v>0</v>
      </c>
      <c r="AB934" s="37">
        <f t="shared" si="116"/>
        <v>0</v>
      </c>
    </row>
    <row r="935" spans="1:28" ht="14.4">
      <c r="A935" s="117">
        <v>4110111301</v>
      </c>
      <c r="B935" s="117" t="s">
        <v>947</v>
      </c>
      <c r="C935" s="37">
        <f>-VLOOKUP(A935,Composición!C:G,5,FALSE)</f>
        <v>0</v>
      </c>
      <c r="D935" s="37"/>
      <c r="E935" s="37"/>
      <c r="F935" s="37"/>
      <c r="G935" s="37">
        <f t="shared" si="117"/>
        <v>0</v>
      </c>
      <c r="H935" s="37"/>
      <c r="I935" s="37"/>
      <c r="J935" s="37"/>
      <c r="K935" s="37"/>
      <c r="L935" s="37"/>
      <c r="M935" s="37"/>
      <c r="N935" s="37"/>
      <c r="O935" s="37"/>
      <c r="P935" s="37"/>
      <c r="Q935" s="37"/>
      <c r="R935" s="37"/>
      <c r="S935" s="37"/>
      <c r="T935" s="37"/>
      <c r="U935" s="37"/>
      <c r="V935" s="37"/>
      <c r="W935" s="37"/>
      <c r="X935" s="37"/>
      <c r="Y935" s="37"/>
      <c r="Z935" s="37"/>
      <c r="AA935" s="37">
        <f t="shared" si="118"/>
        <v>0</v>
      </c>
      <c r="AB935" s="37">
        <f t="shared" si="116"/>
        <v>0</v>
      </c>
    </row>
    <row r="936" spans="1:28" ht="14.4">
      <c r="A936" s="117">
        <v>4110111302</v>
      </c>
      <c r="B936" s="117" t="s">
        <v>948</v>
      </c>
      <c r="C936" s="37">
        <f>-VLOOKUP(A936,Composición!C:G,5,FALSE)</f>
        <v>0</v>
      </c>
      <c r="D936" s="37"/>
      <c r="E936" s="37"/>
      <c r="F936" s="37"/>
      <c r="G936" s="37">
        <f t="shared" si="117"/>
        <v>0</v>
      </c>
      <c r="H936" s="37"/>
      <c r="I936" s="37"/>
      <c r="J936" s="37"/>
      <c r="K936" s="37"/>
      <c r="L936" s="37"/>
      <c r="M936" s="37"/>
      <c r="N936" s="37"/>
      <c r="O936" s="37"/>
      <c r="P936" s="37"/>
      <c r="Q936" s="37"/>
      <c r="R936" s="37"/>
      <c r="S936" s="37"/>
      <c r="T936" s="37"/>
      <c r="U936" s="37"/>
      <c r="V936" s="37"/>
      <c r="W936" s="37"/>
      <c r="X936" s="37"/>
      <c r="Y936" s="37"/>
      <c r="Z936" s="37"/>
      <c r="AA936" s="37">
        <f t="shared" si="118"/>
        <v>0</v>
      </c>
      <c r="AB936" s="37">
        <f t="shared" si="116"/>
        <v>0</v>
      </c>
    </row>
    <row r="937" spans="1:28" ht="14.4">
      <c r="A937" s="117">
        <v>4110112</v>
      </c>
      <c r="B937" s="117" t="s">
        <v>949</v>
      </c>
      <c r="C937" s="37">
        <f>-VLOOKUP(A937,Composición!C:G,5,FALSE)</f>
        <v>0</v>
      </c>
      <c r="D937" s="37"/>
      <c r="E937" s="37"/>
      <c r="F937" s="37"/>
      <c r="G937" s="37">
        <f t="shared" si="117"/>
        <v>0</v>
      </c>
      <c r="H937" s="37"/>
      <c r="I937" s="37"/>
      <c r="J937" s="37"/>
      <c r="K937" s="37"/>
      <c r="L937" s="37"/>
      <c r="M937" s="37"/>
      <c r="N937" s="37"/>
      <c r="O937" s="37"/>
      <c r="P937" s="37"/>
      <c r="Q937" s="37"/>
      <c r="R937" s="37"/>
      <c r="S937" s="37"/>
      <c r="T937" s="37"/>
      <c r="U937" s="37"/>
      <c r="V937" s="37"/>
      <c r="W937" s="37"/>
      <c r="X937" s="37"/>
      <c r="Y937" s="37"/>
      <c r="Z937" s="37"/>
      <c r="AA937" s="37">
        <f t="shared" si="118"/>
        <v>0</v>
      </c>
      <c r="AB937" s="37">
        <f t="shared" si="116"/>
        <v>0</v>
      </c>
    </row>
    <row r="938" spans="1:28" ht="14.4">
      <c r="A938" s="117">
        <v>41101121</v>
      </c>
      <c r="B938" s="117" t="s">
        <v>290</v>
      </c>
      <c r="C938" s="37">
        <f>-VLOOKUP(A938,Composición!C:G,5,FALSE)</f>
        <v>0</v>
      </c>
      <c r="D938" s="37"/>
      <c r="E938" s="37"/>
      <c r="F938" s="37"/>
      <c r="G938" s="37">
        <f t="shared" si="117"/>
        <v>0</v>
      </c>
      <c r="H938" s="37"/>
      <c r="I938" s="37"/>
      <c r="J938" s="37"/>
      <c r="K938" s="37"/>
      <c r="L938" s="37"/>
      <c r="M938" s="37"/>
      <c r="N938" s="37"/>
      <c r="O938" s="37"/>
      <c r="P938" s="37"/>
      <c r="Q938" s="37"/>
      <c r="R938" s="37"/>
      <c r="S938" s="37"/>
      <c r="T938" s="37"/>
      <c r="U938" s="37"/>
      <c r="V938" s="37"/>
      <c r="W938" s="37"/>
      <c r="X938" s="37"/>
      <c r="Y938" s="37"/>
      <c r="Z938" s="37"/>
      <c r="AA938" s="37">
        <f t="shared" si="118"/>
        <v>0</v>
      </c>
      <c r="AB938" s="37">
        <f t="shared" si="116"/>
        <v>0</v>
      </c>
    </row>
    <row r="939" spans="1:28" ht="14.4">
      <c r="A939" s="117">
        <v>4110112101</v>
      </c>
      <c r="B939" s="117" t="s">
        <v>296</v>
      </c>
      <c r="C939" s="37">
        <f>-VLOOKUP(A939,Composición!C:G,5,FALSE)</f>
        <v>-431419474</v>
      </c>
      <c r="D939" s="37"/>
      <c r="E939" s="37"/>
      <c r="F939" s="37"/>
      <c r="G939" s="37">
        <f t="shared" si="117"/>
        <v>-431419474</v>
      </c>
      <c r="H939" s="37">
        <f t="shared" ref="H939:H943" si="119">-G939</f>
        <v>431419474</v>
      </c>
      <c r="I939" s="37"/>
      <c r="J939" s="37"/>
      <c r="K939" s="37"/>
      <c r="L939" s="37"/>
      <c r="M939" s="37"/>
      <c r="N939" s="37"/>
      <c r="O939" s="37"/>
      <c r="P939" s="37"/>
      <c r="Q939" s="37"/>
      <c r="R939" s="37"/>
      <c r="S939" s="37"/>
      <c r="T939" s="37"/>
      <c r="U939" s="37"/>
      <c r="V939" s="37"/>
      <c r="W939" s="37"/>
      <c r="X939" s="37"/>
      <c r="Y939" s="37"/>
      <c r="Z939" s="37"/>
      <c r="AA939" s="37">
        <f t="shared" si="118"/>
        <v>0</v>
      </c>
      <c r="AB939" s="37">
        <f t="shared" si="116"/>
        <v>0</v>
      </c>
    </row>
    <row r="940" spans="1:28" ht="14.4">
      <c r="A940" s="117">
        <v>4110112102</v>
      </c>
      <c r="B940" s="117" t="s">
        <v>297</v>
      </c>
      <c r="C940" s="37">
        <f>-VLOOKUP(A940,Composición!C:G,5,FALSE)</f>
        <v>-114778093</v>
      </c>
      <c r="D940" s="37"/>
      <c r="E940" s="37"/>
      <c r="F940" s="37"/>
      <c r="G940" s="37">
        <f t="shared" si="117"/>
        <v>-114778093</v>
      </c>
      <c r="H940" s="37">
        <f t="shared" si="119"/>
        <v>114778093</v>
      </c>
      <c r="I940" s="37"/>
      <c r="J940" s="37"/>
      <c r="K940" s="37"/>
      <c r="L940" s="37"/>
      <c r="M940" s="37"/>
      <c r="N940" s="37"/>
      <c r="O940" s="37"/>
      <c r="P940" s="37"/>
      <c r="Q940" s="37"/>
      <c r="R940" s="37"/>
      <c r="S940" s="37"/>
      <c r="T940" s="37"/>
      <c r="U940" s="37"/>
      <c r="V940" s="37"/>
      <c r="W940" s="37"/>
      <c r="X940" s="37"/>
      <c r="Y940" s="37"/>
      <c r="Z940" s="37"/>
      <c r="AA940" s="37">
        <f t="shared" si="118"/>
        <v>0</v>
      </c>
      <c r="AB940" s="37">
        <f t="shared" si="116"/>
        <v>0</v>
      </c>
    </row>
    <row r="941" spans="1:28" ht="14.4">
      <c r="A941" s="117">
        <v>4110112103</v>
      </c>
      <c r="B941" s="117" t="s">
        <v>951</v>
      </c>
      <c r="C941" s="37">
        <f>-VLOOKUP(A941,Composición!C:G,5,FALSE)</f>
        <v>-11870244</v>
      </c>
      <c r="D941" s="37"/>
      <c r="E941" s="37"/>
      <c r="F941" s="37"/>
      <c r="G941" s="37">
        <f t="shared" si="117"/>
        <v>-11870244</v>
      </c>
      <c r="H941" s="37">
        <f t="shared" si="119"/>
        <v>11870244</v>
      </c>
      <c r="I941" s="37"/>
      <c r="J941" s="37"/>
      <c r="K941" s="37"/>
      <c r="L941" s="37"/>
      <c r="M941" s="37"/>
      <c r="N941" s="37"/>
      <c r="O941" s="37"/>
      <c r="P941" s="37"/>
      <c r="Q941" s="37"/>
      <c r="R941" s="37"/>
      <c r="S941" s="37"/>
      <c r="T941" s="37"/>
      <c r="U941" s="37"/>
      <c r="V941" s="37"/>
      <c r="W941" s="37"/>
      <c r="X941" s="37"/>
      <c r="Y941" s="37"/>
      <c r="Z941" s="37"/>
      <c r="AA941" s="37">
        <f t="shared" si="118"/>
        <v>0</v>
      </c>
      <c r="AB941" s="37">
        <f t="shared" si="116"/>
        <v>0</v>
      </c>
    </row>
    <row r="942" spans="1:28" ht="14.4">
      <c r="A942" s="117">
        <v>4110112104</v>
      </c>
      <c r="B942" s="117" t="s">
        <v>952</v>
      </c>
      <c r="C942" s="37">
        <f>-VLOOKUP(A942,Composición!C:G,5,FALSE)</f>
        <v>-23718652</v>
      </c>
      <c r="D942" s="37"/>
      <c r="E942" s="37"/>
      <c r="F942" s="37"/>
      <c r="G942" s="37">
        <f t="shared" si="117"/>
        <v>-23718652</v>
      </c>
      <c r="H942" s="37">
        <f t="shared" si="119"/>
        <v>23718652</v>
      </c>
      <c r="I942" s="37"/>
      <c r="J942" s="37"/>
      <c r="K942" s="37"/>
      <c r="L942" s="37"/>
      <c r="M942" s="37"/>
      <c r="N942" s="37"/>
      <c r="O942" s="37"/>
      <c r="P942" s="37"/>
      <c r="Q942" s="37"/>
      <c r="R942" s="37"/>
      <c r="S942" s="37"/>
      <c r="T942" s="37"/>
      <c r="U942" s="37"/>
      <c r="V942" s="37"/>
      <c r="W942" s="37"/>
      <c r="X942" s="37"/>
      <c r="Y942" s="37"/>
      <c r="Z942" s="37"/>
      <c r="AA942" s="37">
        <f t="shared" si="118"/>
        <v>0</v>
      </c>
      <c r="AB942" s="37">
        <f t="shared" si="116"/>
        <v>0</v>
      </c>
    </row>
    <row r="943" spans="1:28" ht="14.4">
      <c r="A943" s="117">
        <v>4110112105</v>
      </c>
      <c r="B943" s="117" t="s">
        <v>300</v>
      </c>
      <c r="C943" s="37">
        <f>-VLOOKUP(A943,Composición!C:G,5,FALSE)</f>
        <v>-6435019</v>
      </c>
      <c r="D943" s="37"/>
      <c r="E943" s="37"/>
      <c r="F943" s="37"/>
      <c r="G943" s="37">
        <f t="shared" si="117"/>
        <v>-6435019</v>
      </c>
      <c r="H943" s="37">
        <f t="shared" si="119"/>
        <v>6435019</v>
      </c>
      <c r="I943" s="37"/>
      <c r="J943" s="37"/>
      <c r="K943" s="37"/>
      <c r="L943" s="37"/>
      <c r="M943" s="37"/>
      <c r="N943" s="37"/>
      <c r="O943" s="37"/>
      <c r="P943" s="37"/>
      <c r="Q943" s="37"/>
      <c r="R943" s="37"/>
      <c r="S943" s="37"/>
      <c r="T943" s="37"/>
      <c r="U943" s="37"/>
      <c r="V943" s="37"/>
      <c r="W943" s="37"/>
      <c r="X943" s="37"/>
      <c r="Y943" s="37"/>
      <c r="Z943" s="37"/>
      <c r="AA943" s="37">
        <f t="shared" si="118"/>
        <v>0</v>
      </c>
      <c r="AB943" s="37">
        <f t="shared" si="116"/>
        <v>0</v>
      </c>
    </row>
    <row r="944" spans="1:28" ht="14.4">
      <c r="A944" s="117">
        <v>4110112106</v>
      </c>
      <c r="B944" s="117" t="s">
        <v>953</v>
      </c>
      <c r="C944" s="37">
        <f>-VLOOKUP(A944,Composición!C:G,5,FALSE)</f>
        <v>0</v>
      </c>
      <c r="D944" s="37"/>
      <c r="E944" s="37"/>
      <c r="F944" s="37"/>
      <c r="G944" s="37">
        <f t="shared" si="117"/>
        <v>0</v>
      </c>
      <c r="H944" s="37">
        <f t="shared" ref="H944:H946" si="120">-G944</f>
        <v>0</v>
      </c>
      <c r="I944" s="37"/>
      <c r="J944" s="37"/>
      <c r="K944" s="37"/>
      <c r="L944" s="37"/>
      <c r="M944" s="37"/>
      <c r="N944" s="37"/>
      <c r="O944" s="37"/>
      <c r="P944" s="37"/>
      <c r="Q944" s="37"/>
      <c r="R944" s="37"/>
      <c r="S944" s="37"/>
      <c r="T944" s="37"/>
      <c r="U944" s="37"/>
      <c r="V944" s="37"/>
      <c r="W944" s="37"/>
      <c r="X944" s="37"/>
      <c r="Y944" s="37"/>
      <c r="Z944" s="37"/>
      <c r="AA944" s="37">
        <f t="shared" si="118"/>
        <v>0</v>
      </c>
      <c r="AB944" s="37">
        <f t="shared" si="116"/>
        <v>0</v>
      </c>
    </row>
    <row r="945" spans="1:28" ht="14.4">
      <c r="A945" s="117">
        <v>4110112107</v>
      </c>
      <c r="B945" s="117" t="s">
        <v>548</v>
      </c>
      <c r="C945" s="37">
        <f>-VLOOKUP(A945,Composición!C:G,5,FALSE)</f>
        <v>0</v>
      </c>
      <c r="D945" s="37"/>
      <c r="E945" s="37"/>
      <c r="F945" s="37"/>
      <c r="G945" s="37">
        <f t="shared" si="117"/>
        <v>0</v>
      </c>
      <c r="H945" s="37">
        <f t="shared" si="120"/>
        <v>0</v>
      </c>
      <c r="I945" s="37"/>
      <c r="J945" s="37"/>
      <c r="K945" s="37"/>
      <c r="L945" s="37"/>
      <c r="M945" s="37"/>
      <c r="N945" s="37"/>
      <c r="O945" s="37"/>
      <c r="P945" s="37"/>
      <c r="Q945" s="37"/>
      <c r="R945" s="37"/>
      <c r="S945" s="37"/>
      <c r="T945" s="37"/>
      <c r="U945" s="37"/>
      <c r="V945" s="37"/>
      <c r="W945" s="37"/>
      <c r="X945" s="37"/>
      <c r="Y945" s="37"/>
      <c r="Z945" s="37"/>
      <c r="AA945" s="37">
        <f t="shared" si="118"/>
        <v>0</v>
      </c>
      <c r="AB945" s="37">
        <f t="shared" si="116"/>
        <v>0</v>
      </c>
    </row>
    <row r="946" spans="1:28" ht="14.4">
      <c r="A946" s="117">
        <v>4110112108</v>
      </c>
      <c r="B946" s="117" t="s">
        <v>301</v>
      </c>
      <c r="C946" s="37">
        <f>-VLOOKUP(A946,Composición!C:G,5,FALSE)</f>
        <v>-7029557</v>
      </c>
      <c r="D946" s="37"/>
      <c r="E946" s="37"/>
      <c r="F946" s="37"/>
      <c r="G946" s="37">
        <f t="shared" si="117"/>
        <v>-7029557</v>
      </c>
      <c r="H946" s="37">
        <f t="shared" si="120"/>
        <v>7029557</v>
      </c>
      <c r="I946" s="37"/>
      <c r="J946" s="37"/>
      <c r="K946" s="37"/>
      <c r="L946" s="37"/>
      <c r="M946" s="37"/>
      <c r="N946" s="37"/>
      <c r="O946" s="37"/>
      <c r="P946" s="37"/>
      <c r="Q946" s="37"/>
      <c r="R946" s="37"/>
      <c r="S946" s="37"/>
      <c r="T946" s="37"/>
      <c r="U946" s="37"/>
      <c r="V946" s="37"/>
      <c r="W946" s="37"/>
      <c r="X946" s="37"/>
      <c r="Y946" s="37"/>
      <c r="Z946" s="37"/>
      <c r="AA946" s="37">
        <f t="shared" si="118"/>
        <v>0</v>
      </c>
      <c r="AB946" s="37">
        <f t="shared" si="116"/>
        <v>0</v>
      </c>
    </row>
    <row r="947" spans="1:28" ht="14.4">
      <c r="A947" s="117">
        <v>41101122</v>
      </c>
      <c r="B947" s="117" t="s">
        <v>294</v>
      </c>
      <c r="C947" s="37">
        <f>-VLOOKUP(A947,Composición!C:G,5,FALSE)</f>
        <v>0</v>
      </c>
      <c r="D947" s="37"/>
      <c r="E947" s="37"/>
      <c r="F947" s="37"/>
      <c r="G947" s="37">
        <f t="shared" si="117"/>
        <v>0</v>
      </c>
      <c r="H947" s="37">
        <f t="shared" ref="H947:H952" si="121">-G947</f>
        <v>0</v>
      </c>
      <c r="I947" s="37"/>
      <c r="J947" s="37"/>
      <c r="K947" s="37"/>
      <c r="L947" s="37"/>
      <c r="M947" s="37"/>
      <c r="N947" s="37"/>
      <c r="O947" s="37"/>
      <c r="P947" s="37"/>
      <c r="Q947" s="37"/>
      <c r="R947" s="37"/>
      <c r="S947" s="37"/>
      <c r="T947" s="37"/>
      <c r="U947" s="37"/>
      <c r="V947" s="37"/>
      <c r="W947" s="37"/>
      <c r="X947" s="37"/>
      <c r="Y947" s="37"/>
      <c r="Z947" s="37"/>
      <c r="AA947" s="37">
        <f t="shared" si="118"/>
        <v>0</v>
      </c>
      <c r="AB947" s="37">
        <f t="shared" si="116"/>
        <v>0</v>
      </c>
    </row>
    <row r="948" spans="1:28" ht="14.4">
      <c r="A948" s="117">
        <v>4110112201</v>
      </c>
      <c r="B948" s="117" t="s">
        <v>303</v>
      </c>
      <c r="C948" s="37">
        <f>-VLOOKUP(A948,Composición!C:G,5,FALSE)</f>
        <v>-564589719</v>
      </c>
      <c r="D948" s="37"/>
      <c r="E948" s="37"/>
      <c r="F948" s="37"/>
      <c r="G948" s="37">
        <f t="shared" si="117"/>
        <v>-564589719</v>
      </c>
      <c r="H948" s="37">
        <f t="shared" si="121"/>
        <v>564589719</v>
      </c>
      <c r="I948" s="37"/>
      <c r="J948" s="37"/>
      <c r="K948" s="37"/>
      <c r="L948" s="37"/>
      <c r="M948" s="37"/>
      <c r="N948" s="37"/>
      <c r="O948" s="37"/>
      <c r="P948" s="37"/>
      <c r="Q948" s="37"/>
      <c r="R948" s="37"/>
      <c r="S948" s="37"/>
      <c r="T948" s="37"/>
      <c r="U948" s="37"/>
      <c r="V948" s="37"/>
      <c r="W948" s="37"/>
      <c r="X948" s="37"/>
      <c r="Y948" s="37"/>
      <c r="Z948" s="37"/>
      <c r="AA948" s="37">
        <f t="shared" si="118"/>
        <v>0</v>
      </c>
      <c r="AB948" s="37">
        <f t="shared" si="116"/>
        <v>0</v>
      </c>
    </row>
    <row r="949" spans="1:28" ht="14.4">
      <c r="A949" s="117">
        <v>4110112202</v>
      </c>
      <c r="B949" s="117" t="s">
        <v>302</v>
      </c>
      <c r="C949" s="37">
        <f>-VLOOKUP(A949,Composición!C:G,5,FALSE)</f>
        <v>-239009985</v>
      </c>
      <c r="D949" s="37"/>
      <c r="E949" s="37"/>
      <c r="F949" s="37"/>
      <c r="G949" s="37">
        <f t="shared" si="117"/>
        <v>-239009985</v>
      </c>
      <c r="H949" s="37">
        <f t="shared" si="121"/>
        <v>239009985</v>
      </c>
      <c r="I949" s="37"/>
      <c r="J949" s="37"/>
      <c r="K949" s="37"/>
      <c r="L949" s="37"/>
      <c r="M949" s="37"/>
      <c r="N949" s="37"/>
      <c r="O949" s="37"/>
      <c r="P949" s="37"/>
      <c r="Q949" s="37"/>
      <c r="R949" s="37"/>
      <c r="S949" s="37"/>
      <c r="T949" s="37"/>
      <c r="U949" s="37"/>
      <c r="V949" s="37"/>
      <c r="W949" s="37"/>
      <c r="X949" s="37"/>
      <c r="Y949" s="37"/>
      <c r="Z949" s="37"/>
      <c r="AA949" s="37">
        <f t="shared" si="118"/>
        <v>0</v>
      </c>
      <c r="AB949" s="37">
        <f t="shared" si="116"/>
        <v>0</v>
      </c>
    </row>
    <row r="950" spans="1:28" ht="14.4">
      <c r="A950" s="117">
        <v>4110112203</v>
      </c>
      <c r="B950" s="1172" t="s">
        <v>594</v>
      </c>
      <c r="C950" s="37">
        <f>-VLOOKUP(A950,Composición!C:G,5,FALSE)</f>
        <v>-3239308</v>
      </c>
      <c r="D950" s="37"/>
      <c r="E950" s="37"/>
      <c r="F950" s="37"/>
      <c r="G950" s="37">
        <f t="shared" ref="G950" si="122">C950+D950-E950-F950</f>
        <v>-3239308</v>
      </c>
      <c r="H950" s="37">
        <f t="shared" si="121"/>
        <v>3239308</v>
      </c>
      <c r="I950" s="37"/>
      <c r="J950" s="37"/>
      <c r="K950" s="37"/>
      <c r="L950" s="37"/>
      <c r="M950" s="37"/>
      <c r="N950" s="37"/>
      <c r="O950" s="37"/>
      <c r="P950" s="37"/>
      <c r="Q950" s="37"/>
      <c r="R950" s="37"/>
      <c r="S950" s="37"/>
      <c r="T950" s="37"/>
      <c r="U950" s="37"/>
      <c r="V950" s="37"/>
      <c r="W950" s="37"/>
      <c r="X950" s="37"/>
      <c r="Y950" s="37"/>
      <c r="Z950" s="37"/>
      <c r="AA950" s="37">
        <f t="shared" si="118"/>
        <v>0</v>
      </c>
      <c r="AB950" s="37">
        <f t="shared" si="116"/>
        <v>0</v>
      </c>
    </row>
    <row r="951" spans="1:28" ht="14.4">
      <c r="A951" s="117">
        <v>4110112206</v>
      </c>
      <c r="B951" s="117" t="s">
        <v>954</v>
      </c>
      <c r="C951" s="37">
        <f>-VLOOKUP(A951,Composición!C:G,5,FALSE)</f>
        <v>0</v>
      </c>
      <c r="D951" s="37"/>
      <c r="E951" s="37"/>
      <c r="F951" s="37"/>
      <c r="G951" s="37">
        <f t="shared" si="117"/>
        <v>0</v>
      </c>
      <c r="H951" s="37">
        <f t="shared" si="121"/>
        <v>0</v>
      </c>
      <c r="I951" s="37"/>
      <c r="J951" s="37"/>
      <c r="K951" s="37"/>
      <c r="L951" s="37"/>
      <c r="M951" s="37"/>
      <c r="N951" s="37"/>
      <c r="O951" s="37"/>
      <c r="P951" s="37"/>
      <c r="Q951" s="37"/>
      <c r="R951" s="37"/>
      <c r="S951" s="37"/>
      <c r="T951" s="37"/>
      <c r="U951" s="37"/>
      <c r="V951" s="37"/>
      <c r="W951" s="37"/>
      <c r="X951" s="37"/>
      <c r="Y951" s="37"/>
      <c r="Z951" s="37"/>
      <c r="AA951" s="37">
        <f t="shared" si="118"/>
        <v>0</v>
      </c>
      <c r="AB951" s="37">
        <f t="shared" si="116"/>
        <v>0</v>
      </c>
    </row>
    <row r="952" spans="1:28" ht="14.4">
      <c r="A952" s="117">
        <v>4110112207</v>
      </c>
      <c r="B952" s="117" t="s">
        <v>955</v>
      </c>
      <c r="C952" s="37">
        <f>-VLOOKUP(A952,Composición!C:G,5,FALSE)</f>
        <v>0</v>
      </c>
      <c r="D952" s="37"/>
      <c r="E952" s="37"/>
      <c r="F952" s="37"/>
      <c r="G952" s="37">
        <f t="shared" si="117"/>
        <v>0</v>
      </c>
      <c r="H952" s="37">
        <f t="shared" si="121"/>
        <v>0</v>
      </c>
      <c r="I952" s="37"/>
      <c r="J952" s="37"/>
      <c r="K952" s="37"/>
      <c r="L952" s="37"/>
      <c r="M952" s="37"/>
      <c r="N952" s="37"/>
      <c r="O952" s="37"/>
      <c r="P952" s="37"/>
      <c r="Q952" s="37"/>
      <c r="R952" s="37"/>
      <c r="S952" s="37"/>
      <c r="T952" s="37"/>
      <c r="U952" s="37"/>
      <c r="V952" s="37"/>
      <c r="W952" s="37"/>
      <c r="X952" s="37"/>
      <c r="Y952" s="37"/>
      <c r="Z952" s="37"/>
      <c r="AA952" s="37">
        <f t="shared" si="118"/>
        <v>0</v>
      </c>
      <c r="AB952" s="37">
        <f t="shared" si="116"/>
        <v>0</v>
      </c>
    </row>
    <row r="953" spans="1:28" ht="14.4">
      <c r="A953" s="117">
        <v>4110112208</v>
      </c>
      <c r="B953" s="117" t="s">
        <v>956</v>
      </c>
      <c r="C953" s="37">
        <f>-VLOOKUP(A953,Composición!C:G,5,FALSE)</f>
        <v>0</v>
      </c>
      <c r="D953" s="37"/>
      <c r="E953" s="37"/>
      <c r="F953" s="37"/>
      <c r="G953" s="37">
        <f t="shared" si="117"/>
        <v>0</v>
      </c>
      <c r="H953" s="37"/>
      <c r="I953" s="37"/>
      <c r="J953" s="37"/>
      <c r="K953" s="37"/>
      <c r="L953" s="37"/>
      <c r="M953" s="37"/>
      <c r="N953" s="37"/>
      <c r="O953" s="37"/>
      <c r="P953" s="37"/>
      <c r="Q953" s="37"/>
      <c r="R953" s="37"/>
      <c r="S953" s="37"/>
      <c r="T953" s="37"/>
      <c r="U953" s="37"/>
      <c r="V953" s="37"/>
      <c r="W953" s="37"/>
      <c r="X953" s="37"/>
      <c r="Y953" s="37"/>
      <c r="Z953" s="37"/>
      <c r="AA953" s="37">
        <f t="shared" si="118"/>
        <v>0</v>
      </c>
      <c r="AB953" s="37">
        <f t="shared" si="116"/>
        <v>0</v>
      </c>
    </row>
    <row r="954" spans="1:28" ht="14.4">
      <c r="A954" s="117">
        <v>4110114</v>
      </c>
      <c r="B954" s="117" t="s">
        <v>595</v>
      </c>
      <c r="C954" s="37">
        <f>-VLOOKUP(A954,Composición!C:G,5,FALSE)</f>
        <v>0</v>
      </c>
      <c r="D954" s="37"/>
      <c r="E954" s="37"/>
      <c r="F954" s="37"/>
      <c r="G954" s="37">
        <f t="shared" si="117"/>
        <v>0</v>
      </c>
      <c r="H954" s="37"/>
      <c r="I954" s="37"/>
      <c r="J954" s="37"/>
      <c r="K954" s="37"/>
      <c r="L954" s="37"/>
      <c r="M954" s="37"/>
      <c r="N954" s="37"/>
      <c r="O954" s="37"/>
      <c r="P954" s="37"/>
      <c r="Q954" s="37"/>
      <c r="R954" s="37"/>
      <c r="S954" s="37"/>
      <c r="T954" s="37"/>
      <c r="U954" s="37"/>
      <c r="V954" s="37"/>
      <c r="W954" s="37"/>
      <c r="X954" s="37"/>
      <c r="Y954" s="37"/>
      <c r="Z954" s="37"/>
      <c r="AA954" s="37">
        <f t="shared" si="118"/>
        <v>0</v>
      </c>
      <c r="AB954" s="37">
        <f t="shared" si="116"/>
        <v>0</v>
      </c>
    </row>
    <row r="955" spans="1:28" ht="14.4">
      <c r="A955" s="117">
        <v>41101141</v>
      </c>
      <c r="B955" s="117" t="s">
        <v>595</v>
      </c>
      <c r="C955" s="37">
        <f>-VLOOKUP(A955,Composición!C:G,5,FALSE)</f>
        <v>0</v>
      </c>
      <c r="D955" s="37"/>
      <c r="E955" s="37"/>
      <c r="F955" s="37"/>
      <c r="G955" s="37">
        <f t="shared" si="117"/>
        <v>0</v>
      </c>
      <c r="H955" s="37">
        <f>-G955</f>
        <v>0</v>
      </c>
      <c r="I955" s="37"/>
      <c r="J955" s="37"/>
      <c r="K955" s="37"/>
      <c r="L955" s="37"/>
      <c r="M955" s="37"/>
      <c r="N955" s="37"/>
      <c r="O955" s="37"/>
      <c r="P955" s="37"/>
      <c r="Q955" s="37"/>
      <c r="R955" s="37"/>
      <c r="S955" s="37"/>
      <c r="T955" s="37"/>
      <c r="U955" s="37"/>
      <c r="V955" s="37"/>
      <c r="W955" s="37"/>
      <c r="X955" s="37"/>
      <c r="Y955" s="37"/>
      <c r="Z955" s="37"/>
      <c r="AA955" s="37">
        <f t="shared" si="118"/>
        <v>0</v>
      </c>
      <c r="AB955" s="37">
        <f t="shared" si="116"/>
        <v>0</v>
      </c>
    </row>
    <row r="956" spans="1:28" ht="14.4">
      <c r="A956" s="117">
        <v>4110114103</v>
      </c>
      <c r="B956" s="117" t="s">
        <v>596</v>
      </c>
      <c r="C956" s="37">
        <f>-VLOOKUP(A956,Composición!C:G,5,FALSE)</f>
        <v>-28280000</v>
      </c>
      <c r="D956" s="37"/>
      <c r="E956" s="37"/>
      <c r="F956" s="37"/>
      <c r="G956" s="37">
        <f t="shared" si="117"/>
        <v>-28280000</v>
      </c>
      <c r="H956" s="37">
        <f>-G956</f>
        <v>28280000</v>
      </c>
      <c r="I956" s="37"/>
      <c r="J956" s="37"/>
      <c r="K956" s="37"/>
      <c r="L956" s="37"/>
      <c r="M956" s="37"/>
      <c r="N956" s="37"/>
      <c r="O956" s="37"/>
      <c r="P956" s="37"/>
      <c r="Q956" s="37"/>
      <c r="R956" s="37"/>
      <c r="S956" s="37"/>
      <c r="T956" s="37"/>
      <c r="U956" s="37"/>
      <c r="V956" s="37"/>
      <c r="W956" s="37"/>
      <c r="X956" s="37"/>
      <c r="Y956" s="37"/>
      <c r="Z956" s="37"/>
      <c r="AA956" s="37">
        <f t="shared" si="118"/>
        <v>0</v>
      </c>
      <c r="AB956" s="37">
        <f t="shared" si="116"/>
        <v>0</v>
      </c>
    </row>
    <row r="957" spans="1:28" ht="14.4">
      <c r="A957" s="117">
        <v>4110114104</v>
      </c>
      <c r="B957" s="117" t="s">
        <v>597</v>
      </c>
      <c r="C957" s="37">
        <f>-VLOOKUP(A957,Composición!C:G,5,FALSE)</f>
        <v>-1500942</v>
      </c>
      <c r="D957" s="37"/>
      <c r="E957" s="37"/>
      <c r="F957" s="37"/>
      <c r="G957" s="37">
        <f t="shared" si="117"/>
        <v>-1500942</v>
      </c>
      <c r="H957" s="37">
        <f>-G957</f>
        <v>1500942</v>
      </c>
      <c r="I957" s="37"/>
      <c r="J957" s="37"/>
      <c r="K957" s="37"/>
      <c r="L957" s="37"/>
      <c r="M957" s="37"/>
      <c r="N957" s="37"/>
      <c r="O957" s="37"/>
      <c r="P957" s="37"/>
      <c r="Q957" s="37"/>
      <c r="R957" s="37"/>
      <c r="S957" s="37"/>
      <c r="T957" s="37"/>
      <c r="U957" s="37"/>
      <c r="V957" s="37"/>
      <c r="W957" s="37"/>
      <c r="X957" s="37"/>
      <c r="Y957" s="37"/>
      <c r="Z957" s="37"/>
      <c r="AA957" s="37">
        <f t="shared" si="118"/>
        <v>0</v>
      </c>
      <c r="AB957" s="37">
        <f t="shared" si="116"/>
        <v>0</v>
      </c>
    </row>
    <row r="958" spans="1:28" ht="14.4">
      <c r="A958" s="117">
        <v>4110113</v>
      </c>
      <c r="B958" s="117" t="s">
        <v>305</v>
      </c>
      <c r="C958" s="37">
        <f>-VLOOKUP(A958,Composición!C:G,5,FALSE)</f>
        <v>0</v>
      </c>
      <c r="D958" s="37"/>
      <c r="E958" s="37"/>
      <c r="F958" s="37"/>
      <c r="G958" s="37">
        <f t="shared" si="117"/>
        <v>0</v>
      </c>
      <c r="H958" s="37"/>
      <c r="I958" s="37"/>
      <c r="J958" s="37"/>
      <c r="K958" s="37"/>
      <c r="L958" s="37"/>
      <c r="M958" s="37"/>
      <c r="N958" s="37"/>
      <c r="O958" s="37"/>
      <c r="P958" s="37"/>
      <c r="Q958" s="37"/>
      <c r="R958" s="37"/>
      <c r="S958" s="37"/>
      <c r="T958" s="37"/>
      <c r="U958" s="37"/>
      <c r="V958" s="37"/>
      <c r="W958" s="37"/>
      <c r="X958" s="37"/>
      <c r="Y958" s="37"/>
      <c r="Z958" s="37"/>
      <c r="AA958" s="37">
        <f t="shared" si="118"/>
        <v>0</v>
      </c>
      <c r="AB958" s="37">
        <f t="shared" si="116"/>
        <v>0</v>
      </c>
    </row>
    <row r="959" spans="1:28" ht="14.4">
      <c r="A959" s="117">
        <v>41101131</v>
      </c>
      <c r="B959" s="117" t="s">
        <v>306</v>
      </c>
      <c r="C959" s="37">
        <f>-VLOOKUP(A959,Composición!C:G,5,FALSE)</f>
        <v>0</v>
      </c>
      <c r="D959" s="37"/>
      <c r="E959" s="37"/>
      <c r="F959" s="37"/>
      <c r="G959" s="37">
        <f t="shared" si="117"/>
        <v>0</v>
      </c>
      <c r="H959" s="37"/>
      <c r="I959" s="37"/>
      <c r="J959" s="37"/>
      <c r="K959" s="37"/>
      <c r="L959" s="37"/>
      <c r="M959" s="37"/>
      <c r="N959" s="37"/>
      <c r="O959" s="37"/>
      <c r="P959" s="37"/>
      <c r="Q959" s="37"/>
      <c r="R959" s="37"/>
      <c r="S959" s="37"/>
      <c r="T959" s="37"/>
      <c r="U959" s="37"/>
      <c r="V959" s="37"/>
      <c r="W959" s="37"/>
      <c r="X959" s="37"/>
      <c r="Y959" s="37"/>
      <c r="Z959" s="37"/>
      <c r="AA959" s="37">
        <f t="shared" si="118"/>
        <v>0</v>
      </c>
      <c r="AB959" s="37">
        <f t="shared" si="116"/>
        <v>0</v>
      </c>
    </row>
    <row r="960" spans="1:28" ht="14.4">
      <c r="A960" s="117">
        <v>4110113101</v>
      </c>
      <c r="B960" s="117" t="s">
        <v>306</v>
      </c>
      <c r="C960" s="37">
        <f>-VLOOKUP(A960,Composición!C:G,5,FALSE)</f>
        <v>0</v>
      </c>
      <c r="D960" s="37"/>
      <c r="E960" s="37"/>
      <c r="F960" s="37"/>
      <c r="G960" s="37">
        <f t="shared" si="117"/>
        <v>0</v>
      </c>
      <c r="H960" s="37"/>
      <c r="I960" s="37"/>
      <c r="J960" s="37"/>
      <c r="K960" s="37"/>
      <c r="L960" s="37"/>
      <c r="M960" s="37"/>
      <c r="N960" s="37"/>
      <c r="O960" s="37"/>
      <c r="P960" s="37"/>
      <c r="Q960" s="37"/>
      <c r="R960" s="37"/>
      <c r="S960" s="37"/>
      <c r="T960" s="37"/>
      <c r="U960" s="37"/>
      <c r="V960" s="37"/>
      <c r="W960" s="37"/>
      <c r="X960" s="37"/>
      <c r="Y960" s="37"/>
      <c r="Z960" s="37"/>
      <c r="AA960" s="37">
        <f t="shared" si="118"/>
        <v>0</v>
      </c>
      <c r="AB960" s="37">
        <f t="shared" si="116"/>
        <v>0</v>
      </c>
    </row>
    <row r="961" spans="1:28" ht="14.4">
      <c r="A961" s="117">
        <v>4110113102</v>
      </c>
      <c r="B961" s="117" t="s">
        <v>306</v>
      </c>
      <c r="C961" s="37">
        <f>-VLOOKUP(A961,Composición!C:G,5,FALSE)</f>
        <v>0</v>
      </c>
      <c r="D961" s="37"/>
      <c r="E961" s="37"/>
      <c r="F961" s="37"/>
      <c r="G961" s="37">
        <f t="shared" si="117"/>
        <v>0</v>
      </c>
      <c r="H961" s="37"/>
      <c r="I961" s="37"/>
      <c r="J961" s="37"/>
      <c r="K961" s="37"/>
      <c r="L961" s="37"/>
      <c r="M961" s="37"/>
      <c r="N961" s="37"/>
      <c r="O961" s="37"/>
      <c r="P961" s="37"/>
      <c r="Q961" s="37"/>
      <c r="R961" s="37"/>
      <c r="S961" s="37"/>
      <c r="T961" s="37"/>
      <c r="U961" s="37"/>
      <c r="V961" s="37"/>
      <c r="W961" s="37"/>
      <c r="X961" s="37"/>
      <c r="Y961" s="37"/>
      <c r="Z961" s="37"/>
      <c r="AA961" s="37">
        <f t="shared" si="118"/>
        <v>0</v>
      </c>
      <c r="AB961" s="37">
        <f t="shared" si="116"/>
        <v>0</v>
      </c>
    </row>
    <row r="962" spans="1:28" ht="14.4">
      <c r="A962" s="117">
        <v>411013</v>
      </c>
      <c r="B962" s="117" t="s">
        <v>305</v>
      </c>
      <c r="C962" s="37">
        <f>-VLOOKUP(A962,Composición!C:G,5,FALSE)</f>
        <v>0</v>
      </c>
      <c r="D962" s="37"/>
      <c r="E962" s="37"/>
      <c r="F962" s="37"/>
      <c r="G962" s="37">
        <f t="shared" si="117"/>
        <v>0</v>
      </c>
      <c r="H962" s="37"/>
      <c r="I962" s="37"/>
      <c r="J962" s="37"/>
      <c r="K962" s="37"/>
      <c r="L962" s="37"/>
      <c r="M962" s="37"/>
      <c r="N962" s="37"/>
      <c r="O962" s="37"/>
      <c r="P962" s="37"/>
      <c r="Q962" s="37"/>
      <c r="R962" s="37"/>
      <c r="S962" s="37"/>
      <c r="T962" s="37"/>
      <c r="U962" s="37"/>
      <c r="V962" s="37"/>
      <c r="W962" s="37"/>
      <c r="X962" s="37"/>
      <c r="Y962" s="37"/>
      <c r="Z962" s="37"/>
      <c r="AA962" s="37">
        <f t="shared" si="118"/>
        <v>0</v>
      </c>
      <c r="AB962" s="37">
        <f t="shared" si="116"/>
        <v>0</v>
      </c>
    </row>
    <row r="963" spans="1:28" ht="14.4">
      <c r="A963" s="117">
        <v>4110131</v>
      </c>
      <c r="B963" s="117" t="s">
        <v>306</v>
      </c>
      <c r="C963" s="37">
        <f>-VLOOKUP(A963,Composición!C:G,5,FALSE)</f>
        <v>0</v>
      </c>
      <c r="D963" s="37"/>
      <c r="E963" s="37"/>
      <c r="F963" s="37"/>
      <c r="G963" s="37">
        <f t="shared" si="117"/>
        <v>0</v>
      </c>
      <c r="H963" s="37"/>
      <c r="I963" s="37"/>
      <c r="J963" s="37"/>
      <c r="K963" s="37"/>
      <c r="L963" s="37"/>
      <c r="M963" s="37"/>
      <c r="N963" s="37"/>
      <c r="O963" s="37"/>
      <c r="P963" s="37"/>
      <c r="Q963" s="37"/>
      <c r="R963" s="37"/>
      <c r="S963" s="37"/>
      <c r="T963" s="37"/>
      <c r="U963" s="37"/>
      <c r="V963" s="37"/>
      <c r="W963" s="37"/>
      <c r="X963" s="37"/>
      <c r="Y963" s="37"/>
      <c r="Z963" s="37"/>
      <c r="AA963" s="37">
        <f t="shared" si="118"/>
        <v>0</v>
      </c>
      <c r="AB963" s="37">
        <f t="shared" si="116"/>
        <v>0</v>
      </c>
    </row>
    <row r="964" spans="1:28" ht="14.4">
      <c r="A964" s="117">
        <v>41101311</v>
      </c>
      <c r="B964" s="117" t="s">
        <v>306</v>
      </c>
      <c r="C964" s="37">
        <f>-VLOOKUP(A964,Composición!C:G,5,FALSE)</f>
        <v>0</v>
      </c>
      <c r="D964" s="37"/>
      <c r="E964" s="37"/>
      <c r="F964" s="37"/>
      <c r="G964" s="37">
        <f t="shared" si="117"/>
        <v>0</v>
      </c>
      <c r="H964" s="37">
        <f t="shared" ref="H964:H970" si="123">-G964</f>
        <v>0</v>
      </c>
      <c r="I964" s="37"/>
      <c r="J964" s="37"/>
      <c r="K964" s="37"/>
      <c r="L964" s="37"/>
      <c r="M964" s="37"/>
      <c r="N964" s="37"/>
      <c r="O964" s="37"/>
      <c r="P964" s="37"/>
      <c r="Q964" s="37"/>
      <c r="R964" s="37"/>
      <c r="S964" s="37"/>
      <c r="T964" s="37"/>
      <c r="U964" s="37"/>
      <c r="V964" s="37"/>
      <c r="W964" s="37"/>
      <c r="X964" s="37"/>
      <c r="Y964" s="37"/>
      <c r="Z964" s="37"/>
      <c r="AA964" s="37">
        <f t="shared" si="118"/>
        <v>0</v>
      </c>
      <c r="AB964" s="37">
        <f t="shared" si="116"/>
        <v>0</v>
      </c>
    </row>
    <row r="965" spans="1:28" ht="14.4">
      <c r="A965" s="117">
        <v>4110131101</v>
      </c>
      <c r="B965" s="77" t="s">
        <v>307</v>
      </c>
      <c r="C965" s="37">
        <f>-VLOOKUP(A965,Composición!C:G,5,FALSE)</f>
        <v>-1812807</v>
      </c>
      <c r="D965" s="37"/>
      <c r="E965" s="37"/>
      <c r="F965" s="37"/>
      <c r="G965" s="37">
        <f t="shared" si="117"/>
        <v>-1812807</v>
      </c>
      <c r="H965" s="37">
        <f t="shared" si="123"/>
        <v>1812807</v>
      </c>
      <c r="I965" s="37"/>
      <c r="J965" s="37"/>
      <c r="K965" s="37"/>
      <c r="L965" s="37"/>
      <c r="M965" s="37"/>
      <c r="N965" s="37"/>
      <c r="O965" s="37"/>
      <c r="P965" s="37"/>
      <c r="Q965" s="37"/>
      <c r="R965" s="37"/>
      <c r="S965" s="37"/>
      <c r="T965" s="37"/>
      <c r="U965" s="37"/>
      <c r="V965" s="37"/>
      <c r="W965" s="37"/>
      <c r="X965" s="37"/>
      <c r="Y965" s="37"/>
      <c r="Z965" s="37"/>
      <c r="AA965" s="37">
        <f t="shared" si="118"/>
        <v>0</v>
      </c>
      <c r="AB965" s="37">
        <f t="shared" si="116"/>
        <v>0</v>
      </c>
    </row>
    <row r="966" spans="1:28" ht="14.4">
      <c r="A966" s="117">
        <v>4110131102</v>
      </c>
      <c r="B966" s="117" t="s">
        <v>307</v>
      </c>
      <c r="C966" s="37">
        <f>-VLOOKUP(A966,Composición!C:G,5,FALSE)</f>
        <v>-103000000</v>
      </c>
      <c r="D966" s="37"/>
      <c r="E966" s="37"/>
      <c r="F966" s="37"/>
      <c r="G966" s="37">
        <f t="shared" si="117"/>
        <v>-103000000</v>
      </c>
      <c r="H966" s="37">
        <f t="shared" si="123"/>
        <v>103000000</v>
      </c>
      <c r="I966" s="37"/>
      <c r="J966" s="37"/>
      <c r="K966" s="37"/>
      <c r="L966" s="37"/>
      <c r="M966" s="37"/>
      <c r="N966" s="37"/>
      <c r="O966" s="37"/>
      <c r="P966" s="37"/>
      <c r="Q966" s="37"/>
      <c r="R966" s="37"/>
      <c r="S966" s="37"/>
      <c r="T966" s="37"/>
      <c r="U966" s="37"/>
      <c r="V966" s="37"/>
      <c r="W966" s="37"/>
      <c r="X966" s="37"/>
      <c r="Y966" s="37"/>
      <c r="Z966" s="37"/>
      <c r="AA966" s="37">
        <f t="shared" si="118"/>
        <v>0</v>
      </c>
      <c r="AB966" s="37">
        <f t="shared" si="116"/>
        <v>0</v>
      </c>
    </row>
    <row r="967" spans="1:28" ht="14.4">
      <c r="A967" s="117">
        <v>4110131103</v>
      </c>
      <c r="B967" s="117" t="s">
        <v>958</v>
      </c>
      <c r="C967" s="37">
        <f>-VLOOKUP(A967,Composición!C:G,5,FALSE)</f>
        <v>-1149420000</v>
      </c>
      <c r="D967" s="37"/>
      <c r="E967" s="37"/>
      <c r="F967" s="37"/>
      <c r="G967" s="37">
        <f t="shared" si="117"/>
        <v>-1149420000</v>
      </c>
      <c r="H967" s="37">
        <f t="shared" si="123"/>
        <v>1149420000</v>
      </c>
      <c r="I967" s="37"/>
      <c r="J967" s="37"/>
      <c r="K967" s="37"/>
      <c r="L967" s="37"/>
      <c r="M967" s="37"/>
      <c r="N967" s="37"/>
      <c r="O967" s="37"/>
      <c r="P967" s="37"/>
      <c r="Q967" s="37"/>
      <c r="R967" s="37"/>
      <c r="S967" s="37"/>
      <c r="T967" s="37"/>
      <c r="U967" s="37"/>
      <c r="V967" s="37"/>
      <c r="W967" s="37"/>
      <c r="X967" s="37"/>
      <c r="Y967" s="37"/>
      <c r="Z967" s="37"/>
      <c r="AA967" s="37">
        <f t="shared" ref="AA967" si="124">SUM(G967:Z967)</f>
        <v>0</v>
      </c>
      <c r="AB967" s="37">
        <f t="shared" si="116"/>
        <v>0</v>
      </c>
    </row>
    <row r="968" spans="1:28" ht="14.4">
      <c r="A968" s="117">
        <v>41101312</v>
      </c>
      <c r="B968" s="117" t="s">
        <v>306</v>
      </c>
      <c r="C968" s="37">
        <f>-VLOOKUP(A968,Composición!C:G,5,FALSE)</f>
        <v>0</v>
      </c>
      <c r="D968" s="37"/>
      <c r="E968" s="37"/>
      <c r="F968" s="37"/>
      <c r="G968" s="37">
        <f t="shared" si="117"/>
        <v>0</v>
      </c>
      <c r="H968" s="37">
        <f t="shared" si="123"/>
        <v>0</v>
      </c>
      <c r="I968" s="37"/>
      <c r="J968" s="37"/>
      <c r="K968" s="37"/>
      <c r="L968" s="37"/>
      <c r="M968" s="37"/>
      <c r="N968" s="37"/>
      <c r="O968" s="37"/>
      <c r="P968" s="37"/>
      <c r="Q968" s="37"/>
      <c r="R968" s="37"/>
      <c r="S968" s="37"/>
      <c r="T968" s="37"/>
      <c r="U968" s="37"/>
      <c r="V968" s="37"/>
      <c r="W968" s="37"/>
      <c r="X968" s="37"/>
      <c r="Y968" s="37"/>
      <c r="Z968" s="37"/>
      <c r="AA968" s="37">
        <f t="shared" si="118"/>
        <v>0</v>
      </c>
      <c r="AB968" s="37">
        <f t="shared" si="116"/>
        <v>0</v>
      </c>
    </row>
    <row r="969" spans="1:28" ht="14.4">
      <c r="A969" s="117">
        <v>4110131202</v>
      </c>
      <c r="B969" s="117" t="s">
        <v>307</v>
      </c>
      <c r="C969" s="37">
        <f>-VLOOKUP(A969,Composición!C:G,5,FALSE)</f>
        <v>-99189397</v>
      </c>
      <c r="D969" s="37"/>
      <c r="E969" s="37"/>
      <c r="F969" s="37"/>
      <c r="G969" s="37">
        <f t="shared" si="117"/>
        <v>-99189397</v>
      </c>
      <c r="H969" s="37">
        <f t="shared" si="123"/>
        <v>99189397</v>
      </c>
      <c r="I969" s="37"/>
      <c r="J969" s="37"/>
      <c r="K969" s="37"/>
      <c r="L969" s="37"/>
      <c r="M969" s="37"/>
      <c r="N969" s="37"/>
      <c r="O969" s="37"/>
      <c r="P969" s="37"/>
      <c r="Q969" s="37"/>
      <c r="R969" s="37"/>
      <c r="S969" s="37"/>
      <c r="T969" s="37"/>
      <c r="U969" s="37"/>
      <c r="V969" s="37"/>
      <c r="W969" s="37"/>
      <c r="X969" s="37"/>
      <c r="Y969" s="37"/>
      <c r="Z969" s="37"/>
      <c r="AA969" s="37">
        <f t="shared" si="118"/>
        <v>0</v>
      </c>
      <c r="AB969" s="37">
        <f t="shared" ref="AB969:AB1032" si="125">SUM(G969:Z969)</f>
        <v>0</v>
      </c>
    </row>
    <row r="970" spans="1:28" ht="14.4">
      <c r="A970" s="117">
        <v>4110131203</v>
      </c>
      <c r="B970" s="117" t="s">
        <v>958</v>
      </c>
      <c r="C970" s="37">
        <f>-VLOOKUP(A970,Composición!C:G,5,FALSE)</f>
        <v>-208647916</v>
      </c>
      <c r="D970" s="37"/>
      <c r="E970" s="37"/>
      <c r="F970" s="37"/>
      <c r="G970" s="37">
        <f t="shared" si="117"/>
        <v>-208647916</v>
      </c>
      <c r="H970" s="37">
        <f t="shared" si="123"/>
        <v>208647916</v>
      </c>
      <c r="I970" s="37"/>
      <c r="J970" s="37"/>
      <c r="K970" s="37"/>
      <c r="L970" s="37"/>
      <c r="M970" s="37"/>
      <c r="N970" s="37"/>
      <c r="O970" s="37"/>
      <c r="P970" s="37"/>
      <c r="Q970" s="37"/>
      <c r="R970" s="37"/>
      <c r="S970" s="37"/>
      <c r="T970" s="37"/>
      <c r="U970" s="37"/>
      <c r="V970" s="37"/>
      <c r="W970" s="37"/>
      <c r="X970" s="37"/>
      <c r="Y970" s="37"/>
      <c r="Z970" s="37"/>
      <c r="AA970" s="37">
        <f t="shared" si="118"/>
        <v>0</v>
      </c>
      <c r="AB970" s="37">
        <f t="shared" si="125"/>
        <v>0</v>
      </c>
    </row>
    <row r="971" spans="1:28" ht="14.4">
      <c r="A971" s="117">
        <v>411014</v>
      </c>
      <c r="B971" s="117" t="s">
        <v>959</v>
      </c>
      <c r="C971" s="37">
        <f>-VLOOKUP(A971,Composición!C:G,5,FALSE)</f>
        <v>0</v>
      </c>
      <c r="D971" s="37"/>
      <c r="E971" s="37"/>
      <c r="F971" s="37"/>
      <c r="G971" s="37">
        <f t="shared" si="117"/>
        <v>0</v>
      </c>
      <c r="H971" s="37"/>
      <c r="I971" s="37"/>
      <c r="J971" s="37"/>
      <c r="K971" s="37"/>
      <c r="L971" s="37"/>
      <c r="M971" s="37"/>
      <c r="N971" s="37"/>
      <c r="O971" s="37"/>
      <c r="P971" s="37"/>
      <c r="Q971" s="37"/>
      <c r="R971" s="37"/>
      <c r="S971" s="37"/>
      <c r="T971" s="37"/>
      <c r="U971" s="37"/>
      <c r="V971" s="37"/>
      <c r="W971" s="37"/>
      <c r="X971" s="37"/>
      <c r="Y971" s="37"/>
      <c r="Z971" s="37"/>
      <c r="AA971" s="37">
        <f t="shared" si="118"/>
        <v>0</v>
      </c>
      <c r="AB971" s="37">
        <f t="shared" si="125"/>
        <v>0</v>
      </c>
    </row>
    <row r="972" spans="1:28" ht="14.4">
      <c r="A972" s="117">
        <v>4110141</v>
      </c>
      <c r="B972" s="117" t="s">
        <v>309</v>
      </c>
      <c r="C972" s="37">
        <f>-VLOOKUP(A972,Composición!C:G,5,FALSE)</f>
        <v>0</v>
      </c>
      <c r="D972" s="37"/>
      <c r="E972" s="37"/>
      <c r="F972" s="37"/>
      <c r="G972" s="37">
        <f t="shared" si="117"/>
        <v>0</v>
      </c>
      <c r="H972" s="37"/>
      <c r="I972" s="37"/>
      <c r="J972" s="37"/>
      <c r="K972" s="37"/>
      <c r="L972" s="37"/>
      <c r="M972" s="37"/>
      <c r="N972" s="37"/>
      <c r="O972" s="37"/>
      <c r="P972" s="37"/>
      <c r="Q972" s="37"/>
      <c r="R972" s="37"/>
      <c r="S972" s="37"/>
      <c r="T972" s="37"/>
      <c r="U972" s="37"/>
      <c r="V972" s="37"/>
      <c r="W972" s="37"/>
      <c r="X972" s="37"/>
      <c r="Y972" s="37"/>
      <c r="Z972" s="37"/>
      <c r="AA972" s="37">
        <f t="shared" si="118"/>
        <v>0</v>
      </c>
      <c r="AB972" s="37">
        <f t="shared" si="125"/>
        <v>0</v>
      </c>
    </row>
    <row r="973" spans="1:28" ht="14.4">
      <c r="A973" s="117">
        <v>41101411</v>
      </c>
      <c r="B973" s="117" t="s">
        <v>310</v>
      </c>
      <c r="C973" s="37">
        <f>-VLOOKUP(A973,Composición!C:G,5,FALSE)</f>
        <v>0</v>
      </c>
      <c r="D973" s="37"/>
      <c r="E973" s="37"/>
      <c r="F973" s="37"/>
      <c r="G973" s="37">
        <f t="shared" si="117"/>
        <v>0</v>
      </c>
      <c r="H973" s="37">
        <f t="shared" ref="H973:H977" si="126">-G973</f>
        <v>0</v>
      </c>
      <c r="I973" s="37"/>
      <c r="J973" s="37"/>
      <c r="K973" s="37"/>
      <c r="L973" s="37"/>
      <c r="M973" s="37"/>
      <c r="N973" s="37"/>
      <c r="O973" s="37"/>
      <c r="P973" s="37"/>
      <c r="Q973" s="37"/>
      <c r="R973" s="37"/>
      <c r="S973" s="37"/>
      <c r="T973" s="37"/>
      <c r="U973" s="37"/>
      <c r="V973" s="37"/>
      <c r="W973" s="37"/>
      <c r="X973" s="37"/>
      <c r="Y973" s="37"/>
      <c r="Z973" s="37"/>
      <c r="AA973" s="37">
        <f t="shared" si="118"/>
        <v>0</v>
      </c>
      <c r="AB973" s="37">
        <f t="shared" si="125"/>
        <v>0</v>
      </c>
    </row>
    <row r="974" spans="1:28" ht="14.4">
      <c r="A974" s="117">
        <v>4110141101</v>
      </c>
      <c r="B974" s="117" t="s">
        <v>311</v>
      </c>
      <c r="C974" s="37">
        <f>-VLOOKUP(A974,Composición!C:G,5,FALSE)</f>
        <v>-342051152</v>
      </c>
      <c r="D974" s="37"/>
      <c r="E974" s="37"/>
      <c r="F974" s="37"/>
      <c r="G974" s="37">
        <f t="shared" si="117"/>
        <v>-342051152</v>
      </c>
      <c r="H974" s="37">
        <f t="shared" si="126"/>
        <v>342051152</v>
      </c>
      <c r="I974" s="37"/>
      <c r="J974" s="37"/>
      <c r="K974" s="37"/>
      <c r="L974" s="37"/>
      <c r="M974" s="37"/>
      <c r="N974" s="37"/>
      <c r="O974" s="37"/>
      <c r="P974" s="37"/>
      <c r="Q974" s="37"/>
      <c r="R974" s="37"/>
      <c r="S974" s="37"/>
      <c r="T974" s="37"/>
      <c r="U974" s="37"/>
      <c r="V974" s="37"/>
      <c r="W974" s="37"/>
      <c r="X974" s="37"/>
      <c r="Y974" s="37"/>
      <c r="Z974" s="37"/>
      <c r="AA974" s="37">
        <f t="shared" si="118"/>
        <v>0</v>
      </c>
      <c r="AB974" s="37">
        <f t="shared" si="125"/>
        <v>0</v>
      </c>
    </row>
    <row r="975" spans="1:28" ht="14.4">
      <c r="A975" s="117">
        <v>4110141102</v>
      </c>
      <c r="B975" s="117" t="s">
        <v>312</v>
      </c>
      <c r="C975" s="37">
        <f>-VLOOKUP(A975,Composición!C:G,5,FALSE)</f>
        <v>-39233830</v>
      </c>
      <c r="D975" s="37"/>
      <c r="E975" s="37"/>
      <c r="F975" s="37"/>
      <c r="G975" s="37">
        <f t="shared" si="117"/>
        <v>-39233830</v>
      </c>
      <c r="H975" s="37">
        <f t="shared" si="126"/>
        <v>39233830</v>
      </c>
      <c r="I975" s="37"/>
      <c r="J975" s="37"/>
      <c r="K975" s="37"/>
      <c r="L975" s="37"/>
      <c r="M975" s="37"/>
      <c r="N975" s="37"/>
      <c r="O975" s="37"/>
      <c r="P975" s="37"/>
      <c r="Q975" s="37"/>
      <c r="R975" s="37"/>
      <c r="S975" s="37"/>
      <c r="T975" s="37"/>
      <c r="U975" s="37"/>
      <c r="V975" s="37"/>
      <c r="W975" s="37"/>
      <c r="X975" s="37"/>
      <c r="Y975" s="37"/>
      <c r="Z975" s="37"/>
      <c r="AA975" s="37">
        <f t="shared" si="118"/>
        <v>0</v>
      </c>
      <c r="AB975" s="37">
        <f t="shared" si="125"/>
        <v>0</v>
      </c>
    </row>
    <row r="976" spans="1:28" ht="14.4">
      <c r="A976" s="117">
        <v>4110141104</v>
      </c>
      <c r="B976" s="117" t="s">
        <v>961</v>
      </c>
      <c r="C976" s="37">
        <f>-VLOOKUP(A976,Composición!C:G,5,FALSE)</f>
        <v>0</v>
      </c>
      <c r="D976" s="37"/>
      <c r="E976" s="37"/>
      <c r="F976" s="37"/>
      <c r="G976" s="37">
        <f t="shared" si="117"/>
        <v>0</v>
      </c>
      <c r="H976" s="37">
        <f t="shared" si="126"/>
        <v>0</v>
      </c>
      <c r="I976" s="37"/>
      <c r="J976" s="37"/>
      <c r="K976" s="37"/>
      <c r="L976" s="37"/>
      <c r="M976" s="37"/>
      <c r="N976" s="37"/>
      <c r="O976" s="37"/>
      <c r="P976" s="37"/>
      <c r="Q976" s="37"/>
      <c r="R976" s="37"/>
      <c r="S976" s="37"/>
      <c r="T976" s="37"/>
      <c r="U976" s="37"/>
      <c r="V976" s="37"/>
      <c r="W976" s="37"/>
      <c r="X976" s="37"/>
      <c r="Y976" s="37"/>
      <c r="Z976" s="37"/>
      <c r="AA976" s="37">
        <f t="shared" si="118"/>
        <v>0</v>
      </c>
      <c r="AB976" s="37">
        <f t="shared" si="125"/>
        <v>0</v>
      </c>
    </row>
    <row r="977" spans="1:28" ht="14.4">
      <c r="A977" s="117">
        <v>4110141105</v>
      </c>
      <c r="B977" s="117" t="s">
        <v>313</v>
      </c>
      <c r="C977" s="37">
        <f>-VLOOKUP(A977,Composición!C:G,5,FALSE)</f>
        <v>0</v>
      </c>
      <c r="D977" s="37"/>
      <c r="E977" s="37"/>
      <c r="F977" s="37"/>
      <c r="G977" s="37">
        <f t="shared" si="117"/>
        <v>0</v>
      </c>
      <c r="H977" s="37">
        <f t="shared" si="126"/>
        <v>0</v>
      </c>
      <c r="I977" s="37"/>
      <c r="J977" s="37"/>
      <c r="K977" s="37"/>
      <c r="L977" s="37"/>
      <c r="M977" s="37"/>
      <c r="N977" s="37"/>
      <c r="O977" s="37"/>
      <c r="P977" s="37"/>
      <c r="Q977" s="37"/>
      <c r="R977" s="37"/>
      <c r="S977" s="37"/>
      <c r="T977" s="37"/>
      <c r="U977" s="37"/>
      <c r="V977" s="37"/>
      <c r="W977" s="37"/>
      <c r="X977" s="37"/>
      <c r="Y977" s="37"/>
      <c r="Z977" s="37"/>
      <c r="AA977" s="37">
        <f t="shared" si="118"/>
        <v>0</v>
      </c>
      <c r="AB977" s="37">
        <f t="shared" si="125"/>
        <v>0</v>
      </c>
    </row>
    <row r="978" spans="1:28" ht="14.4">
      <c r="A978" s="117">
        <v>4110141106</v>
      </c>
      <c r="B978" s="117" t="s">
        <v>314</v>
      </c>
      <c r="C978" s="37">
        <f>-VLOOKUP(A978,Composición!C:G,5,FALSE)</f>
        <v>-7050454</v>
      </c>
      <c r="D978" s="37"/>
      <c r="E978" s="37"/>
      <c r="F978" s="37"/>
      <c r="G978" s="37">
        <f t="shared" si="117"/>
        <v>-7050454</v>
      </c>
      <c r="H978" s="37">
        <f t="shared" ref="H978:H981" si="127">-G978</f>
        <v>7050454</v>
      </c>
      <c r="I978" s="37"/>
      <c r="J978" s="37"/>
      <c r="K978" s="37"/>
      <c r="L978" s="37"/>
      <c r="M978" s="37"/>
      <c r="N978" s="37"/>
      <c r="O978" s="37"/>
      <c r="P978" s="37"/>
      <c r="Q978" s="37"/>
      <c r="R978" s="37"/>
      <c r="S978" s="37"/>
      <c r="T978" s="37"/>
      <c r="U978" s="37"/>
      <c r="V978" s="37"/>
      <c r="W978" s="37"/>
      <c r="X978" s="37"/>
      <c r="Y978" s="37"/>
      <c r="Z978" s="37"/>
      <c r="AA978" s="37">
        <f t="shared" si="118"/>
        <v>0</v>
      </c>
      <c r="AB978" s="37">
        <f t="shared" si="125"/>
        <v>0</v>
      </c>
    </row>
    <row r="979" spans="1:28" ht="14.4">
      <c r="A979" s="117">
        <v>41101412</v>
      </c>
      <c r="B979" s="117" t="s">
        <v>315</v>
      </c>
      <c r="C979" s="37">
        <f>-VLOOKUP(A979,Composición!C:G,5,FALSE)</f>
        <v>0</v>
      </c>
      <c r="D979" s="37"/>
      <c r="E979" s="37"/>
      <c r="F979" s="37"/>
      <c r="G979" s="37">
        <f t="shared" si="117"/>
        <v>0</v>
      </c>
      <c r="H979" s="37">
        <f t="shared" si="127"/>
        <v>0</v>
      </c>
      <c r="I979" s="37"/>
      <c r="J979" s="37"/>
      <c r="K979" s="37"/>
      <c r="L979" s="37"/>
      <c r="M979" s="37"/>
      <c r="N979" s="37"/>
      <c r="O979" s="37"/>
      <c r="P979" s="37"/>
      <c r="Q979" s="37"/>
      <c r="R979" s="37"/>
      <c r="S979" s="37"/>
      <c r="T979" s="37"/>
      <c r="U979" s="37"/>
      <c r="V979" s="37"/>
      <c r="W979" s="37"/>
      <c r="X979" s="37"/>
      <c r="Y979" s="37"/>
      <c r="Z979" s="37"/>
      <c r="AA979" s="37">
        <f t="shared" si="118"/>
        <v>0</v>
      </c>
      <c r="AB979" s="37">
        <f t="shared" si="125"/>
        <v>0</v>
      </c>
    </row>
    <row r="980" spans="1:28" ht="14.4">
      <c r="A980" s="117">
        <v>4110141201</v>
      </c>
      <c r="B980" s="117" t="s">
        <v>316</v>
      </c>
      <c r="C980" s="37">
        <f>-VLOOKUP(A980,Composición!C:G,5,FALSE)</f>
        <v>-907329397</v>
      </c>
      <c r="D980" s="37"/>
      <c r="E980" s="37"/>
      <c r="F980" s="37"/>
      <c r="G980" s="37">
        <f t="shared" si="117"/>
        <v>-907329397</v>
      </c>
      <c r="H980" s="37">
        <f t="shared" si="127"/>
        <v>907329397</v>
      </c>
      <c r="I980" s="37"/>
      <c r="J980" s="37"/>
      <c r="K980" s="37"/>
      <c r="L980" s="37"/>
      <c r="M980" s="37"/>
      <c r="N980" s="37"/>
      <c r="O980" s="37"/>
      <c r="P980" s="37"/>
      <c r="Q980" s="37"/>
      <c r="R980" s="37"/>
      <c r="S980" s="37"/>
      <c r="T980" s="37"/>
      <c r="U980" s="37"/>
      <c r="V980" s="37"/>
      <c r="W980" s="37"/>
      <c r="X980" s="37"/>
      <c r="Y980" s="37"/>
      <c r="Z980" s="37"/>
      <c r="AA980" s="37">
        <f t="shared" si="118"/>
        <v>0</v>
      </c>
      <c r="AB980" s="37">
        <f t="shared" si="125"/>
        <v>0</v>
      </c>
    </row>
    <row r="981" spans="1:28" ht="14.4">
      <c r="A981" s="117">
        <v>4110141202</v>
      </c>
      <c r="B981" s="117" t="s">
        <v>317</v>
      </c>
      <c r="C981" s="37">
        <f>-VLOOKUP(A981,Composición!C:G,5,FALSE)</f>
        <v>-376653131</v>
      </c>
      <c r="D981" s="37"/>
      <c r="E981" s="37"/>
      <c r="F981" s="37"/>
      <c r="G981" s="37">
        <f t="shared" si="117"/>
        <v>-376653131</v>
      </c>
      <c r="H981" s="37">
        <f t="shared" si="127"/>
        <v>376653131</v>
      </c>
      <c r="I981" s="37"/>
      <c r="J981" s="37"/>
      <c r="K981" s="37"/>
      <c r="L981" s="37"/>
      <c r="M981" s="37"/>
      <c r="N981" s="37"/>
      <c r="O981" s="37"/>
      <c r="P981" s="37"/>
      <c r="Q981" s="37"/>
      <c r="R981" s="37"/>
      <c r="S981" s="37"/>
      <c r="T981" s="37"/>
      <c r="U981" s="37"/>
      <c r="V981" s="37"/>
      <c r="W981" s="37"/>
      <c r="X981" s="37"/>
      <c r="Y981" s="37"/>
      <c r="Z981" s="37"/>
      <c r="AA981" s="37">
        <f t="shared" si="118"/>
        <v>0</v>
      </c>
      <c r="AB981" s="37">
        <f t="shared" si="125"/>
        <v>0</v>
      </c>
    </row>
    <row r="982" spans="1:28" ht="14.4">
      <c r="A982" s="117">
        <v>4110142</v>
      </c>
      <c r="B982" s="117" t="s">
        <v>318</v>
      </c>
      <c r="C982" s="37">
        <f>-VLOOKUP(A982,Composición!C:G,5,FALSE)</f>
        <v>0</v>
      </c>
      <c r="D982" s="37"/>
      <c r="E982" s="37"/>
      <c r="F982" s="37"/>
      <c r="G982" s="37">
        <f t="shared" si="117"/>
        <v>0</v>
      </c>
      <c r="H982" s="37">
        <f>-G982</f>
        <v>0</v>
      </c>
      <c r="I982" s="37"/>
      <c r="J982" s="37"/>
      <c r="K982" s="37"/>
      <c r="L982" s="37"/>
      <c r="M982" s="37"/>
      <c r="N982" s="37"/>
      <c r="O982" s="37"/>
      <c r="P982" s="37"/>
      <c r="Q982" s="37"/>
      <c r="R982" s="37"/>
      <c r="S982" s="37"/>
      <c r="T982" s="37"/>
      <c r="U982" s="37"/>
      <c r="V982" s="37"/>
      <c r="W982" s="37"/>
      <c r="X982" s="37"/>
      <c r="Y982" s="37"/>
      <c r="Z982" s="37"/>
      <c r="AA982" s="37">
        <f t="shared" si="118"/>
        <v>0</v>
      </c>
      <c r="AB982" s="37">
        <f t="shared" si="125"/>
        <v>0</v>
      </c>
    </row>
    <row r="983" spans="1:28" ht="14.4">
      <c r="A983" s="117">
        <v>41101421</v>
      </c>
      <c r="B983" s="117" t="s">
        <v>319</v>
      </c>
      <c r="C983" s="37">
        <f>-VLOOKUP(A983,Composición!C:G,5,FALSE)</f>
        <v>0</v>
      </c>
      <c r="D983" s="37"/>
      <c r="E983" s="37"/>
      <c r="F983" s="37"/>
      <c r="G983" s="37">
        <f t="shared" si="117"/>
        <v>0</v>
      </c>
      <c r="H983" s="37">
        <f>-G983</f>
        <v>0</v>
      </c>
      <c r="I983" s="37"/>
      <c r="J983" s="37"/>
      <c r="K983" s="37"/>
      <c r="L983" s="37"/>
      <c r="M983" s="37"/>
      <c r="N983" s="37"/>
      <c r="O983" s="37"/>
      <c r="P983" s="37"/>
      <c r="Q983" s="37"/>
      <c r="R983" s="37"/>
      <c r="S983" s="37"/>
      <c r="T983" s="37"/>
      <c r="U983" s="37"/>
      <c r="V983" s="37"/>
      <c r="W983" s="37"/>
      <c r="X983" s="37"/>
      <c r="Y983" s="37"/>
      <c r="Z983" s="37"/>
      <c r="AA983" s="37">
        <f t="shared" ref="AA983:AA1046" si="128">SUM(G983:Z983)</f>
        <v>0</v>
      </c>
      <c r="AB983" s="37">
        <f t="shared" si="125"/>
        <v>0</v>
      </c>
    </row>
    <row r="984" spans="1:28" ht="14.4">
      <c r="A984" s="117">
        <v>4110142101</v>
      </c>
      <c r="B984" s="117" t="s">
        <v>320</v>
      </c>
      <c r="C984" s="37">
        <f>-VLOOKUP(A984,Composición!C:G,5,FALSE)</f>
        <v>-114528731</v>
      </c>
      <c r="D984" s="37"/>
      <c r="E984" s="37"/>
      <c r="F984" s="37"/>
      <c r="G984" s="37">
        <f t="shared" si="117"/>
        <v>-114528731</v>
      </c>
      <c r="H984" s="37">
        <f t="shared" ref="H984:H985" si="129">-G984</f>
        <v>114528731</v>
      </c>
      <c r="I984" s="37"/>
      <c r="J984" s="37"/>
      <c r="K984" s="37"/>
      <c r="L984" s="37"/>
      <c r="M984" s="37"/>
      <c r="N984" s="37"/>
      <c r="O984" s="37"/>
      <c r="P984" s="37"/>
      <c r="Q984" s="37"/>
      <c r="R984" s="37"/>
      <c r="S984" s="37"/>
      <c r="T984" s="37"/>
      <c r="U984" s="37"/>
      <c r="V984" s="37"/>
      <c r="W984" s="37"/>
      <c r="X984" s="37"/>
      <c r="Y984" s="37"/>
      <c r="Z984" s="37"/>
      <c r="AA984" s="37">
        <f t="shared" si="128"/>
        <v>0</v>
      </c>
      <c r="AB984" s="37">
        <f t="shared" si="125"/>
        <v>0</v>
      </c>
    </row>
    <row r="985" spans="1:28" ht="14.4">
      <c r="A985" s="117">
        <v>4110142102</v>
      </c>
      <c r="B985" s="117" t="s">
        <v>321</v>
      </c>
      <c r="C985" s="37">
        <f>-VLOOKUP(A985,Composición!C:G,5,FALSE)</f>
        <v>-5412216</v>
      </c>
      <c r="D985" s="37"/>
      <c r="E985" s="37"/>
      <c r="F985" s="37"/>
      <c r="G985" s="37">
        <f t="shared" si="117"/>
        <v>-5412216</v>
      </c>
      <c r="H985" s="37">
        <f t="shared" si="129"/>
        <v>5412216</v>
      </c>
      <c r="I985" s="37"/>
      <c r="J985" s="37"/>
      <c r="K985" s="37"/>
      <c r="L985" s="37"/>
      <c r="M985" s="37"/>
      <c r="N985" s="37"/>
      <c r="O985" s="37"/>
      <c r="P985" s="37"/>
      <c r="Q985" s="37"/>
      <c r="R985" s="37"/>
      <c r="S985" s="37"/>
      <c r="T985" s="37"/>
      <c r="U985" s="37"/>
      <c r="V985" s="37"/>
      <c r="W985" s="37"/>
      <c r="X985" s="37"/>
      <c r="Y985" s="37"/>
      <c r="Z985" s="37"/>
      <c r="AA985" s="37">
        <f t="shared" si="128"/>
        <v>0</v>
      </c>
      <c r="AB985" s="37">
        <f t="shared" si="125"/>
        <v>0</v>
      </c>
    </row>
    <row r="986" spans="1:28" ht="14.4">
      <c r="A986" s="117">
        <v>412</v>
      </c>
      <c r="B986" s="117" t="s">
        <v>322</v>
      </c>
      <c r="C986" s="37">
        <f>-VLOOKUP(A986,Composición!C:G,5,FALSE)</f>
        <v>0</v>
      </c>
      <c r="D986" s="37"/>
      <c r="E986" s="37"/>
      <c r="F986" s="37"/>
      <c r="G986" s="37">
        <f t="shared" si="117"/>
        <v>0</v>
      </c>
      <c r="H986" s="37"/>
      <c r="I986" s="37"/>
      <c r="J986" s="37"/>
      <c r="K986" s="37"/>
      <c r="L986" s="37"/>
      <c r="M986" s="37"/>
      <c r="N986" s="37"/>
      <c r="O986" s="37"/>
      <c r="P986" s="37"/>
      <c r="Q986" s="37"/>
      <c r="R986" s="37"/>
      <c r="S986" s="37"/>
      <c r="T986" s="37"/>
      <c r="U986" s="37"/>
      <c r="V986" s="37"/>
      <c r="W986" s="37"/>
      <c r="X986" s="37"/>
      <c r="Y986" s="37"/>
      <c r="Z986" s="37"/>
      <c r="AA986" s="37">
        <f t="shared" si="128"/>
        <v>0</v>
      </c>
      <c r="AB986" s="37">
        <f t="shared" si="125"/>
        <v>0</v>
      </c>
    </row>
    <row r="987" spans="1:28" ht="14.4">
      <c r="A987" s="117">
        <v>41201</v>
      </c>
      <c r="B987" s="117" t="s">
        <v>322</v>
      </c>
      <c r="C987" s="37">
        <f>-VLOOKUP(A987,Composición!C:G,5,FALSE)</f>
        <v>0</v>
      </c>
      <c r="D987" s="37"/>
      <c r="E987" s="37"/>
      <c r="F987" s="37"/>
      <c r="G987" s="37">
        <f t="shared" si="117"/>
        <v>0</v>
      </c>
      <c r="H987" s="37"/>
      <c r="I987" s="37"/>
      <c r="J987" s="37"/>
      <c r="K987" s="37"/>
      <c r="L987" s="37"/>
      <c r="M987" s="37"/>
      <c r="N987" s="37"/>
      <c r="O987" s="37"/>
      <c r="P987" s="37"/>
      <c r="Q987" s="37"/>
      <c r="R987" s="37"/>
      <c r="S987" s="37"/>
      <c r="T987" s="37"/>
      <c r="U987" s="37"/>
      <c r="V987" s="37"/>
      <c r="W987" s="37"/>
      <c r="X987" s="37"/>
      <c r="Y987" s="37"/>
      <c r="Z987" s="37"/>
      <c r="AA987" s="37">
        <f t="shared" si="128"/>
        <v>0</v>
      </c>
      <c r="AB987" s="37">
        <f t="shared" si="125"/>
        <v>0</v>
      </c>
    </row>
    <row r="988" spans="1:28" ht="14.4">
      <c r="A988" s="117">
        <v>412011</v>
      </c>
      <c r="B988" s="117" t="s">
        <v>322</v>
      </c>
      <c r="C988" s="37">
        <f>-VLOOKUP(A988,Composición!C:G,5,FALSE)</f>
        <v>0</v>
      </c>
      <c r="D988" s="37"/>
      <c r="E988" s="37"/>
      <c r="F988" s="37"/>
      <c r="G988" s="37">
        <f t="shared" si="117"/>
        <v>0</v>
      </c>
      <c r="H988" s="37"/>
      <c r="I988" s="37"/>
      <c r="J988" s="37"/>
      <c r="K988" s="37"/>
      <c r="L988" s="37"/>
      <c r="M988" s="37"/>
      <c r="N988" s="37"/>
      <c r="O988" s="37"/>
      <c r="P988" s="37"/>
      <c r="Q988" s="37"/>
      <c r="R988" s="37"/>
      <c r="S988" s="37"/>
      <c r="T988" s="37"/>
      <c r="U988" s="37"/>
      <c r="V988" s="37"/>
      <c r="W988" s="37"/>
      <c r="X988" s="37"/>
      <c r="Y988" s="37"/>
      <c r="Z988" s="37"/>
      <c r="AA988" s="37">
        <f t="shared" si="128"/>
        <v>0</v>
      </c>
      <c r="AB988" s="37">
        <f t="shared" si="125"/>
        <v>0</v>
      </c>
    </row>
    <row r="989" spans="1:28" ht="14.4">
      <c r="A989" s="117">
        <v>4120111</v>
      </c>
      <c r="B989" s="117" t="s">
        <v>322</v>
      </c>
      <c r="C989" s="37">
        <f>-VLOOKUP(A989,Composición!C:G,5,FALSE)</f>
        <v>0</v>
      </c>
      <c r="D989" s="37"/>
      <c r="E989" s="37"/>
      <c r="F989" s="37"/>
      <c r="G989" s="37">
        <f t="shared" si="117"/>
        <v>0</v>
      </c>
      <c r="H989" s="37"/>
      <c r="I989" s="37"/>
      <c r="J989" s="37"/>
      <c r="K989" s="37"/>
      <c r="L989" s="37"/>
      <c r="M989" s="37"/>
      <c r="N989" s="37"/>
      <c r="O989" s="37"/>
      <c r="P989" s="37"/>
      <c r="Q989" s="37"/>
      <c r="R989" s="37"/>
      <c r="S989" s="37"/>
      <c r="T989" s="37"/>
      <c r="U989" s="37"/>
      <c r="V989" s="37"/>
      <c r="W989" s="37"/>
      <c r="X989" s="37"/>
      <c r="Y989" s="37"/>
      <c r="Z989" s="37"/>
      <c r="AA989" s="37">
        <f t="shared" si="128"/>
        <v>0</v>
      </c>
      <c r="AB989" s="37">
        <f t="shared" si="125"/>
        <v>0</v>
      </c>
    </row>
    <row r="990" spans="1:28" ht="14.4">
      <c r="A990" s="117">
        <v>41201111</v>
      </c>
      <c r="B990" s="117" t="s">
        <v>963</v>
      </c>
      <c r="C990" s="37">
        <f>-VLOOKUP(A990,Composición!C:G,5,FALSE)</f>
        <v>0</v>
      </c>
      <c r="D990" s="37"/>
      <c r="E990" s="37"/>
      <c r="F990" s="37"/>
      <c r="G990" s="37">
        <f t="shared" si="117"/>
        <v>0</v>
      </c>
      <c r="H990" s="37"/>
      <c r="I990" s="37"/>
      <c r="J990" s="37"/>
      <c r="K990" s="37"/>
      <c r="L990" s="37"/>
      <c r="M990" s="37"/>
      <c r="N990" s="37"/>
      <c r="O990" s="37"/>
      <c r="P990" s="37"/>
      <c r="Q990" s="37"/>
      <c r="R990" s="37"/>
      <c r="S990" s="37"/>
      <c r="T990" s="37"/>
      <c r="U990" s="37"/>
      <c r="V990" s="37"/>
      <c r="W990" s="37"/>
      <c r="X990" s="37"/>
      <c r="Y990" s="37"/>
      <c r="Z990" s="37"/>
      <c r="AA990" s="37">
        <f t="shared" si="128"/>
        <v>0</v>
      </c>
      <c r="AB990" s="37">
        <f t="shared" si="125"/>
        <v>0</v>
      </c>
    </row>
    <row r="991" spans="1:28" ht="14.4">
      <c r="A991" s="117">
        <v>4120111101</v>
      </c>
      <c r="B991" s="117" t="s">
        <v>964</v>
      </c>
      <c r="C991" s="37">
        <f>-VLOOKUP(A991,Composición!C:G,5,FALSE)</f>
        <v>0</v>
      </c>
      <c r="D991" s="37"/>
      <c r="E991" s="37"/>
      <c r="F991" s="37"/>
      <c r="G991" s="37">
        <f t="shared" si="117"/>
        <v>0</v>
      </c>
      <c r="H991" s="37"/>
      <c r="I991" s="37"/>
      <c r="J991" s="37"/>
      <c r="K991" s="37"/>
      <c r="L991" s="37"/>
      <c r="M991" s="37"/>
      <c r="N991" s="37"/>
      <c r="O991" s="37"/>
      <c r="P991" s="37"/>
      <c r="Q991" s="37"/>
      <c r="R991" s="37"/>
      <c r="S991" s="37"/>
      <c r="T991" s="37"/>
      <c r="U991" s="37"/>
      <c r="V991" s="37"/>
      <c r="W991" s="37"/>
      <c r="X991" s="37"/>
      <c r="Y991" s="37"/>
      <c r="Z991" s="37"/>
      <c r="AA991" s="37">
        <f t="shared" si="128"/>
        <v>0</v>
      </c>
      <c r="AB991" s="37">
        <f t="shared" si="125"/>
        <v>0</v>
      </c>
    </row>
    <row r="992" spans="1:28" ht="14.4">
      <c r="A992" s="117">
        <v>4120111102</v>
      </c>
      <c r="B992" s="117" t="s">
        <v>965</v>
      </c>
      <c r="C992" s="37">
        <f>-VLOOKUP(A992,Composición!C:G,5,FALSE)</f>
        <v>0</v>
      </c>
      <c r="D992" s="37"/>
      <c r="E992" s="37"/>
      <c r="F992" s="37"/>
      <c r="G992" s="37">
        <f t="shared" si="117"/>
        <v>0</v>
      </c>
      <c r="H992" s="37"/>
      <c r="I992" s="37"/>
      <c r="J992" s="37"/>
      <c r="K992" s="37"/>
      <c r="L992" s="37"/>
      <c r="M992" s="37"/>
      <c r="N992" s="37"/>
      <c r="O992" s="37"/>
      <c r="P992" s="37"/>
      <c r="Q992" s="37"/>
      <c r="R992" s="37"/>
      <c r="S992" s="37"/>
      <c r="T992" s="37"/>
      <c r="U992" s="37"/>
      <c r="V992" s="37"/>
      <c r="W992" s="37"/>
      <c r="X992" s="37"/>
      <c r="Y992" s="37"/>
      <c r="Z992" s="37"/>
      <c r="AA992" s="37">
        <f t="shared" si="128"/>
        <v>0</v>
      </c>
      <c r="AB992" s="37">
        <f t="shared" si="125"/>
        <v>0</v>
      </c>
    </row>
    <row r="993" spans="1:28" ht="14.4">
      <c r="A993" s="117">
        <v>4120112</v>
      </c>
      <c r="B993" s="117" t="s">
        <v>323</v>
      </c>
      <c r="C993" s="37">
        <f>-VLOOKUP(A993,Composición!C:G,5,FALSE)</f>
        <v>0</v>
      </c>
      <c r="D993" s="37"/>
      <c r="E993" s="37"/>
      <c r="F993" s="37"/>
      <c r="G993" s="37">
        <f t="shared" si="117"/>
        <v>0</v>
      </c>
      <c r="H993" s="37">
        <f>-G993</f>
        <v>0</v>
      </c>
      <c r="I993" s="37"/>
      <c r="J993" s="37"/>
      <c r="K993" s="37"/>
      <c r="L993" s="37"/>
      <c r="M993" s="37"/>
      <c r="N993" s="37"/>
      <c r="O993" s="37"/>
      <c r="P993" s="37"/>
      <c r="Q993" s="37"/>
      <c r="R993" s="37"/>
      <c r="S993" s="37"/>
      <c r="T993" s="37"/>
      <c r="U993" s="37"/>
      <c r="V993" s="37"/>
      <c r="W993" s="37"/>
      <c r="X993" s="37"/>
      <c r="Y993" s="37"/>
      <c r="Z993" s="37"/>
      <c r="AA993" s="37">
        <f t="shared" si="128"/>
        <v>0</v>
      </c>
      <c r="AB993" s="37">
        <f t="shared" si="125"/>
        <v>0</v>
      </c>
    </row>
    <row r="994" spans="1:28" ht="14.4">
      <c r="A994" s="117">
        <v>41201121</v>
      </c>
      <c r="B994" s="117" t="s">
        <v>324</v>
      </c>
      <c r="C994" s="37">
        <f>-VLOOKUP(A994,Composición!C:G,5,FALSE)</f>
        <v>0</v>
      </c>
      <c r="D994" s="37"/>
      <c r="E994" s="37"/>
      <c r="F994" s="37"/>
      <c r="G994" s="37">
        <f t="shared" si="117"/>
        <v>0</v>
      </c>
      <c r="H994" s="37">
        <f>-G994</f>
        <v>0</v>
      </c>
      <c r="I994" s="37"/>
      <c r="J994" s="37"/>
      <c r="K994" s="37"/>
      <c r="L994" s="37"/>
      <c r="M994" s="37"/>
      <c r="N994" s="37"/>
      <c r="O994" s="37"/>
      <c r="P994" s="37"/>
      <c r="Q994" s="37"/>
      <c r="R994" s="37"/>
      <c r="S994" s="37"/>
      <c r="T994" s="37"/>
      <c r="U994" s="37"/>
      <c r="V994" s="37"/>
      <c r="W994" s="37"/>
      <c r="X994" s="37"/>
      <c r="Y994" s="37"/>
      <c r="Z994" s="37"/>
      <c r="AA994" s="37">
        <f t="shared" si="128"/>
        <v>0</v>
      </c>
      <c r="AB994" s="37">
        <f t="shared" si="125"/>
        <v>0</v>
      </c>
    </row>
    <row r="995" spans="1:28" ht="14.4">
      <c r="A995" s="117">
        <v>4120112101</v>
      </c>
      <c r="B995" s="117" t="s">
        <v>325</v>
      </c>
      <c r="C995" s="37">
        <f>-VLOOKUP(A995,Composición!C:G,5,FALSE)</f>
        <v>-64318988</v>
      </c>
      <c r="D995" s="37"/>
      <c r="E995" s="37"/>
      <c r="F995" s="37"/>
      <c r="G995" s="37">
        <f t="shared" si="117"/>
        <v>-64318988</v>
      </c>
      <c r="H995" s="37">
        <f>-G995</f>
        <v>64318988</v>
      </c>
      <c r="I995" s="37"/>
      <c r="J995" s="37"/>
      <c r="K995" s="37"/>
      <c r="L995" s="37"/>
      <c r="M995" s="37"/>
      <c r="N995" s="37"/>
      <c r="O995" s="37"/>
      <c r="P995" s="37"/>
      <c r="Q995" s="37"/>
      <c r="R995" s="37"/>
      <c r="S995" s="37"/>
      <c r="T995" s="37"/>
      <c r="U995" s="37"/>
      <c r="V995" s="37"/>
      <c r="W995" s="37"/>
      <c r="X995" s="37"/>
      <c r="Y995" s="37"/>
      <c r="Z995" s="37"/>
      <c r="AA995" s="37">
        <f t="shared" si="128"/>
        <v>0</v>
      </c>
      <c r="AB995" s="37">
        <f t="shared" si="125"/>
        <v>0</v>
      </c>
    </row>
    <row r="996" spans="1:28" ht="14.4">
      <c r="A996" s="117">
        <v>4120112102</v>
      </c>
      <c r="B996" s="117" t="s">
        <v>326</v>
      </c>
      <c r="C996" s="37">
        <f>-VLOOKUP(A996,Composición!C:G,5,FALSE)</f>
        <v>-5523664</v>
      </c>
      <c r="D996" s="37"/>
      <c r="E996" s="37"/>
      <c r="F996" s="37"/>
      <c r="G996" s="37">
        <f t="shared" si="117"/>
        <v>-5523664</v>
      </c>
      <c r="H996" s="37">
        <f>-G996</f>
        <v>5523664</v>
      </c>
      <c r="I996" s="37"/>
      <c r="J996" s="37"/>
      <c r="K996" s="37"/>
      <c r="L996" s="37"/>
      <c r="M996" s="37"/>
      <c r="N996" s="37"/>
      <c r="O996" s="37"/>
      <c r="P996" s="37"/>
      <c r="Q996" s="37"/>
      <c r="R996" s="37"/>
      <c r="S996" s="37"/>
      <c r="T996" s="37"/>
      <c r="U996" s="37"/>
      <c r="V996" s="37"/>
      <c r="W996" s="37"/>
      <c r="X996" s="37"/>
      <c r="Y996" s="37"/>
      <c r="Z996" s="37"/>
      <c r="AA996" s="37">
        <f t="shared" si="128"/>
        <v>0</v>
      </c>
      <c r="AB996" s="37">
        <f t="shared" si="125"/>
        <v>0</v>
      </c>
    </row>
    <row r="997" spans="1:28" ht="14.4">
      <c r="A997" s="117">
        <v>4120112103</v>
      </c>
      <c r="B997" s="117" t="s">
        <v>967</v>
      </c>
      <c r="C997" s="37">
        <f>-VLOOKUP(A997,Composición!C:G,5,FALSE)</f>
        <v>0</v>
      </c>
      <c r="D997" s="37"/>
      <c r="E997" s="37"/>
      <c r="F997" s="37"/>
      <c r="G997" s="37">
        <f t="shared" ref="G997:G1060" si="130">C997+D997-E997-F997</f>
        <v>0</v>
      </c>
      <c r="H997" s="37"/>
      <c r="I997" s="37"/>
      <c r="J997" s="37"/>
      <c r="K997" s="37"/>
      <c r="L997" s="37"/>
      <c r="M997" s="37"/>
      <c r="N997" s="37"/>
      <c r="O997" s="37"/>
      <c r="P997" s="37"/>
      <c r="Q997" s="37"/>
      <c r="R997" s="37"/>
      <c r="S997" s="37"/>
      <c r="T997" s="37"/>
      <c r="U997" s="37"/>
      <c r="V997" s="37"/>
      <c r="W997" s="37"/>
      <c r="X997" s="37"/>
      <c r="Y997" s="37"/>
      <c r="Z997" s="37"/>
      <c r="AA997" s="37">
        <f t="shared" si="128"/>
        <v>0</v>
      </c>
      <c r="AB997" s="37">
        <f t="shared" si="125"/>
        <v>0</v>
      </c>
    </row>
    <row r="998" spans="1:28" ht="14.4">
      <c r="A998" s="117">
        <v>4120112104</v>
      </c>
      <c r="B998" s="117" t="s">
        <v>327</v>
      </c>
      <c r="C998" s="37">
        <f>-VLOOKUP(A998,Composición!C:G,5,FALSE)</f>
        <v>-126762105</v>
      </c>
      <c r="D998" s="37"/>
      <c r="E998" s="37"/>
      <c r="F998" s="37"/>
      <c r="G998" s="37">
        <f t="shared" si="130"/>
        <v>-126762105</v>
      </c>
      <c r="H998" s="37">
        <f>-G998</f>
        <v>126762105</v>
      </c>
      <c r="I998" s="37"/>
      <c r="J998" s="37"/>
      <c r="K998" s="37"/>
      <c r="L998" s="37"/>
      <c r="M998" s="37"/>
      <c r="N998" s="37"/>
      <c r="O998" s="37"/>
      <c r="P998" s="37"/>
      <c r="Q998" s="37"/>
      <c r="R998" s="37"/>
      <c r="S998" s="37"/>
      <c r="T998" s="37"/>
      <c r="U998" s="37"/>
      <c r="V998" s="37"/>
      <c r="W998" s="37"/>
      <c r="X998" s="37"/>
      <c r="Y998" s="37"/>
      <c r="Z998" s="37"/>
      <c r="AA998" s="37">
        <f t="shared" si="128"/>
        <v>0</v>
      </c>
      <c r="AB998" s="37">
        <f t="shared" si="125"/>
        <v>0</v>
      </c>
    </row>
    <row r="999" spans="1:28" ht="14.4">
      <c r="A999" s="117">
        <v>4120112105</v>
      </c>
      <c r="B999" s="117" t="s">
        <v>968</v>
      </c>
      <c r="C999" s="37">
        <f>-VLOOKUP(A999,Composición!C:G,5,FALSE)</f>
        <v>0</v>
      </c>
      <c r="D999" s="37"/>
      <c r="E999" s="37"/>
      <c r="F999" s="37"/>
      <c r="G999" s="37">
        <f t="shared" si="130"/>
        <v>0</v>
      </c>
      <c r="H999" s="37">
        <f>-G999</f>
        <v>0</v>
      </c>
      <c r="I999" s="37"/>
      <c r="J999" s="37"/>
      <c r="K999" s="37"/>
      <c r="L999" s="37"/>
      <c r="M999" s="37"/>
      <c r="N999" s="37"/>
      <c r="O999" s="37"/>
      <c r="P999" s="37"/>
      <c r="Q999" s="37"/>
      <c r="R999" s="37"/>
      <c r="S999" s="37"/>
      <c r="T999" s="37"/>
      <c r="U999" s="37"/>
      <c r="V999" s="37"/>
      <c r="W999" s="37"/>
      <c r="X999" s="37"/>
      <c r="Y999" s="37"/>
      <c r="Z999" s="37"/>
      <c r="AA999" s="37">
        <f t="shared" si="128"/>
        <v>0</v>
      </c>
      <c r="AB999" s="37">
        <f t="shared" si="125"/>
        <v>0</v>
      </c>
    </row>
    <row r="1000" spans="1:28" ht="14.4">
      <c r="A1000" s="117">
        <v>4120112106</v>
      </c>
      <c r="B1000" s="117" t="s">
        <v>969</v>
      </c>
      <c r="C1000" s="37">
        <f>-VLOOKUP(A1000,Composición!C:G,5,FALSE)</f>
        <v>0</v>
      </c>
      <c r="D1000" s="37"/>
      <c r="E1000" s="37"/>
      <c r="F1000" s="37"/>
      <c r="G1000" s="37">
        <f t="shared" si="130"/>
        <v>0</v>
      </c>
      <c r="H1000" s="37"/>
      <c r="I1000" s="37"/>
      <c r="J1000" s="37"/>
      <c r="K1000" s="37"/>
      <c r="L1000" s="37"/>
      <c r="M1000" s="37"/>
      <c r="N1000" s="37"/>
      <c r="O1000" s="37"/>
      <c r="P1000" s="37"/>
      <c r="Q1000" s="37"/>
      <c r="R1000" s="37"/>
      <c r="S1000" s="37"/>
      <c r="T1000" s="37"/>
      <c r="U1000" s="37"/>
      <c r="V1000" s="37"/>
      <c r="W1000" s="37"/>
      <c r="X1000" s="37"/>
      <c r="Y1000" s="37"/>
      <c r="Z1000" s="37"/>
      <c r="AA1000" s="37">
        <f t="shared" si="128"/>
        <v>0</v>
      </c>
      <c r="AB1000" s="37">
        <f t="shared" si="125"/>
        <v>0</v>
      </c>
    </row>
    <row r="1001" spans="1:28" ht="14.4">
      <c r="A1001" s="117">
        <v>4120112107</v>
      </c>
      <c r="B1001" s="117" t="s">
        <v>328</v>
      </c>
      <c r="C1001" s="37">
        <f>-VLOOKUP(A1001,Composición!C:G,5,FALSE)</f>
        <v>-20992641</v>
      </c>
      <c r="D1001" s="37"/>
      <c r="E1001" s="37"/>
      <c r="F1001" s="37"/>
      <c r="G1001" s="37">
        <f t="shared" si="130"/>
        <v>-20992641</v>
      </c>
      <c r="H1001" s="37">
        <f>-G1001</f>
        <v>20992641</v>
      </c>
      <c r="I1001" s="37"/>
      <c r="J1001" s="37"/>
      <c r="K1001" s="37"/>
      <c r="L1001" s="37"/>
      <c r="M1001" s="37"/>
      <c r="N1001" s="37"/>
      <c r="O1001" s="37"/>
      <c r="P1001" s="37"/>
      <c r="Q1001" s="37"/>
      <c r="R1001" s="37"/>
      <c r="S1001" s="37"/>
      <c r="T1001" s="37"/>
      <c r="U1001" s="37"/>
      <c r="V1001" s="37"/>
      <c r="W1001" s="37"/>
      <c r="X1001" s="37"/>
      <c r="Y1001" s="37"/>
      <c r="Z1001" s="37"/>
      <c r="AA1001" s="37">
        <f t="shared" si="128"/>
        <v>0</v>
      </c>
      <c r="AB1001" s="37">
        <f t="shared" si="125"/>
        <v>0</v>
      </c>
    </row>
    <row r="1002" spans="1:28" ht="14.4">
      <c r="A1002" s="117">
        <v>41201122</v>
      </c>
      <c r="B1002" s="117" t="s">
        <v>329</v>
      </c>
      <c r="C1002" s="37">
        <f>-VLOOKUP(A1002,Composición!C:G,5,FALSE)</f>
        <v>0</v>
      </c>
      <c r="D1002" s="37"/>
      <c r="E1002" s="37"/>
      <c r="F1002" s="37"/>
      <c r="G1002" s="37">
        <f t="shared" si="130"/>
        <v>0</v>
      </c>
      <c r="H1002" s="37">
        <f>-G1002</f>
        <v>0</v>
      </c>
      <c r="I1002" s="37"/>
      <c r="J1002" s="37"/>
      <c r="K1002" s="37"/>
      <c r="L1002" s="37"/>
      <c r="M1002" s="37"/>
      <c r="N1002" s="37"/>
      <c r="O1002" s="37"/>
      <c r="P1002" s="37"/>
      <c r="Q1002" s="37"/>
      <c r="R1002" s="37"/>
      <c r="S1002" s="37"/>
      <c r="T1002" s="37"/>
      <c r="U1002" s="37"/>
      <c r="V1002" s="37"/>
      <c r="W1002" s="37"/>
      <c r="X1002" s="37"/>
      <c r="Y1002" s="37"/>
      <c r="Z1002" s="37"/>
      <c r="AA1002" s="37">
        <f t="shared" si="128"/>
        <v>0</v>
      </c>
      <c r="AB1002" s="37">
        <f t="shared" si="125"/>
        <v>0</v>
      </c>
    </row>
    <row r="1003" spans="1:28" ht="14.4">
      <c r="A1003" s="117">
        <v>4120112201</v>
      </c>
      <c r="B1003" s="117" t="s">
        <v>325</v>
      </c>
      <c r="C1003" s="37">
        <f>-VLOOKUP(A1003,Composición!C:G,5,FALSE)</f>
        <v>-224159102</v>
      </c>
      <c r="D1003" s="37"/>
      <c r="E1003" s="37"/>
      <c r="F1003" s="37"/>
      <c r="G1003" s="37">
        <f t="shared" si="130"/>
        <v>-224159102</v>
      </c>
      <c r="H1003" s="37">
        <f>-G1003</f>
        <v>224159102</v>
      </c>
      <c r="I1003" s="37"/>
      <c r="J1003" s="37"/>
      <c r="K1003" s="37"/>
      <c r="L1003" s="37"/>
      <c r="M1003" s="37"/>
      <c r="N1003" s="37"/>
      <c r="O1003" s="37"/>
      <c r="P1003" s="37"/>
      <c r="Q1003" s="37"/>
      <c r="R1003" s="37"/>
      <c r="S1003" s="37"/>
      <c r="T1003" s="37"/>
      <c r="U1003" s="37"/>
      <c r="V1003" s="37"/>
      <c r="W1003" s="37"/>
      <c r="X1003" s="37"/>
      <c r="Y1003" s="37"/>
      <c r="Z1003" s="37"/>
      <c r="AA1003" s="37">
        <f t="shared" si="128"/>
        <v>0</v>
      </c>
      <c r="AB1003" s="37">
        <f t="shared" si="125"/>
        <v>0</v>
      </c>
    </row>
    <row r="1004" spans="1:28" ht="14.4">
      <c r="A1004" s="117">
        <v>4120112202</v>
      </c>
      <c r="B1004" s="117" t="s">
        <v>326</v>
      </c>
      <c r="C1004" s="37">
        <f>-VLOOKUP(A1004,Composición!C:G,5,FALSE)</f>
        <v>-62673360</v>
      </c>
      <c r="D1004" s="37"/>
      <c r="E1004" s="37"/>
      <c r="F1004" s="37"/>
      <c r="G1004" s="37">
        <f t="shared" si="130"/>
        <v>-62673360</v>
      </c>
      <c r="H1004" s="37">
        <f>-G1004</f>
        <v>62673360</v>
      </c>
      <c r="I1004" s="37"/>
      <c r="J1004" s="37"/>
      <c r="K1004" s="37"/>
      <c r="L1004" s="37"/>
      <c r="M1004" s="37"/>
      <c r="N1004" s="37"/>
      <c r="O1004" s="37"/>
      <c r="P1004" s="37"/>
      <c r="Q1004" s="37"/>
      <c r="R1004" s="37"/>
      <c r="S1004" s="37"/>
      <c r="T1004" s="37"/>
      <c r="U1004" s="37"/>
      <c r="V1004" s="37"/>
      <c r="W1004" s="37"/>
      <c r="X1004" s="37"/>
      <c r="Y1004" s="37"/>
      <c r="Z1004" s="37"/>
      <c r="AA1004" s="37">
        <f t="shared" si="128"/>
        <v>0</v>
      </c>
      <c r="AB1004" s="37">
        <f t="shared" si="125"/>
        <v>0</v>
      </c>
    </row>
    <row r="1005" spans="1:28" ht="14.4">
      <c r="A1005" s="117">
        <v>4120112203</v>
      </c>
      <c r="B1005" s="117" t="s">
        <v>967</v>
      </c>
      <c r="C1005" s="37">
        <f>-VLOOKUP(A1005,Composición!C:G,5,FALSE)</f>
        <v>0</v>
      </c>
      <c r="D1005" s="37"/>
      <c r="E1005" s="37"/>
      <c r="F1005" s="37"/>
      <c r="G1005" s="37">
        <f t="shared" si="130"/>
        <v>0</v>
      </c>
      <c r="H1005" s="37"/>
      <c r="I1005" s="37"/>
      <c r="J1005" s="37"/>
      <c r="K1005" s="37"/>
      <c r="L1005" s="37"/>
      <c r="M1005" s="37"/>
      <c r="N1005" s="37"/>
      <c r="O1005" s="37"/>
      <c r="P1005" s="37"/>
      <c r="Q1005" s="37"/>
      <c r="R1005" s="37"/>
      <c r="S1005" s="37"/>
      <c r="T1005" s="37"/>
      <c r="U1005" s="37"/>
      <c r="V1005" s="37"/>
      <c r="W1005" s="37"/>
      <c r="X1005" s="37"/>
      <c r="Y1005" s="37"/>
      <c r="Z1005" s="37"/>
      <c r="AA1005" s="37">
        <f t="shared" si="128"/>
        <v>0</v>
      </c>
      <c r="AB1005" s="37">
        <f t="shared" si="125"/>
        <v>0</v>
      </c>
    </row>
    <row r="1006" spans="1:28" ht="14.4">
      <c r="A1006" s="117">
        <v>4120112204</v>
      </c>
      <c r="B1006" s="117" t="s">
        <v>327</v>
      </c>
      <c r="C1006" s="37">
        <f>-VLOOKUP(A1006,Composición!C:G,5,FALSE)</f>
        <v>-649505</v>
      </c>
      <c r="D1006" s="37"/>
      <c r="E1006" s="37"/>
      <c r="F1006" s="37"/>
      <c r="G1006" s="37">
        <f t="shared" si="130"/>
        <v>-649505</v>
      </c>
      <c r="H1006" s="37">
        <f>-G1006</f>
        <v>649505</v>
      </c>
      <c r="I1006" s="37"/>
      <c r="J1006" s="37"/>
      <c r="K1006" s="37"/>
      <c r="L1006" s="37"/>
      <c r="M1006" s="37"/>
      <c r="N1006" s="37"/>
      <c r="O1006" s="37"/>
      <c r="P1006" s="37"/>
      <c r="Q1006" s="37"/>
      <c r="R1006" s="37"/>
      <c r="S1006" s="37"/>
      <c r="T1006" s="37"/>
      <c r="U1006" s="37"/>
      <c r="V1006" s="37"/>
      <c r="W1006" s="37"/>
      <c r="X1006" s="37"/>
      <c r="Y1006" s="37"/>
      <c r="Z1006" s="37"/>
      <c r="AA1006" s="37">
        <f t="shared" si="128"/>
        <v>0</v>
      </c>
      <c r="AB1006" s="37">
        <f t="shared" si="125"/>
        <v>0</v>
      </c>
    </row>
    <row r="1007" spans="1:28" ht="14.4">
      <c r="A1007" s="117">
        <v>4120112205</v>
      </c>
      <c r="B1007" s="117" t="s">
        <v>968</v>
      </c>
      <c r="C1007" s="37">
        <f>-VLOOKUP(A1007,Composición!C:G,5,FALSE)</f>
        <v>0</v>
      </c>
      <c r="D1007" s="37"/>
      <c r="E1007" s="37"/>
      <c r="F1007" s="37"/>
      <c r="G1007" s="37">
        <f t="shared" si="130"/>
        <v>0</v>
      </c>
      <c r="H1007" s="37"/>
      <c r="I1007" s="37"/>
      <c r="J1007" s="37"/>
      <c r="K1007" s="37"/>
      <c r="L1007" s="37"/>
      <c r="M1007" s="37"/>
      <c r="N1007" s="37"/>
      <c r="O1007" s="37"/>
      <c r="P1007" s="37"/>
      <c r="Q1007" s="37"/>
      <c r="R1007" s="37"/>
      <c r="S1007" s="37"/>
      <c r="T1007" s="37"/>
      <c r="U1007" s="37"/>
      <c r="V1007" s="37"/>
      <c r="W1007" s="37"/>
      <c r="X1007" s="37"/>
      <c r="Y1007" s="37"/>
      <c r="Z1007" s="37"/>
      <c r="AA1007" s="37">
        <f t="shared" si="128"/>
        <v>0</v>
      </c>
      <c r="AB1007" s="37">
        <f t="shared" si="125"/>
        <v>0</v>
      </c>
    </row>
    <row r="1008" spans="1:28" ht="14.4">
      <c r="A1008" s="117">
        <v>4120112206</v>
      </c>
      <c r="B1008" s="117" t="s">
        <v>969</v>
      </c>
      <c r="C1008" s="37">
        <f>-VLOOKUP(A1008,Composición!C:G,5,FALSE)</f>
        <v>0</v>
      </c>
      <c r="D1008" s="37"/>
      <c r="E1008" s="37"/>
      <c r="F1008" s="37"/>
      <c r="G1008" s="37">
        <f t="shared" si="130"/>
        <v>0</v>
      </c>
      <c r="H1008" s="37"/>
      <c r="I1008" s="37"/>
      <c r="J1008" s="37"/>
      <c r="K1008" s="37"/>
      <c r="L1008" s="37"/>
      <c r="M1008" s="37"/>
      <c r="N1008" s="37"/>
      <c r="O1008" s="37"/>
      <c r="P1008" s="37"/>
      <c r="Q1008" s="37"/>
      <c r="R1008" s="37"/>
      <c r="S1008" s="37"/>
      <c r="T1008" s="37"/>
      <c r="U1008" s="37"/>
      <c r="V1008" s="37"/>
      <c r="W1008" s="37"/>
      <c r="X1008" s="37"/>
      <c r="Y1008" s="37"/>
      <c r="Z1008" s="37"/>
      <c r="AA1008" s="37">
        <f t="shared" si="128"/>
        <v>0</v>
      </c>
      <c r="AB1008" s="37">
        <f t="shared" si="125"/>
        <v>0</v>
      </c>
    </row>
    <row r="1009" spans="1:28" ht="14.4">
      <c r="A1009" s="117">
        <v>41201113</v>
      </c>
      <c r="B1009" s="117" t="s">
        <v>970</v>
      </c>
      <c r="C1009" s="37">
        <f>-VLOOKUP(A1009,Composición!C:G,5,FALSE)</f>
        <v>0</v>
      </c>
      <c r="D1009" s="37"/>
      <c r="E1009" s="37"/>
      <c r="F1009" s="37"/>
      <c r="G1009" s="37">
        <f t="shared" si="130"/>
        <v>0</v>
      </c>
      <c r="H1009" s="37"/>
      <c r="I1009" s="37"/>
      <c r="J1009" s="37"/>
      <c r="K1009" s="37"/>
      <c r="L1009" s="37"/>
      <c r="M1009" s="37"/>
      <c r="N1009" s="37"/>
      <c r="O1009" s="37"/>
      <c r="P1009" s="37"/>
      <c r="Q1009" s="37"/>
      <c r="R1009" s="37"/>
      <c r="S1009" s="37"/>
      <c r="T1009" s="37"/>
      <c r="U1009" s="37"/>
      <c r="V1009" s="37"/>
      <c r="W1009" s="37"/>
      <c r="X1009" s="37"/>
      <c r="Y1009" s="37"/>
      <c r="Z1009" s="37"/>
      <c r="AA1009" s="37">
        <f t="shared" si="128"/>
        <v>0</v>
      </c>
      <c r="AB1009" s="37">
        <f t="shared" si="125"/>
        <v>0</v>
      </c>
    </row>
    <row r="1010" spans="1:28" ht="14.4">
      <c r="A1010" s="117">
        <v>4120111301</v>
      </c>
      <c r="B1010" s="117" t="s">
        <v>971</v>
      </c>
      <c r="C1010" s="37">
        <f>-VLOOKUP(A1010,Composición!C:G,5,FALSE)</f>
        <v>0</v>
      </c>
      <c r="D1010" s="37"/>
      <c r="E1010" s="37"/>
      <c r="F1010" s="37"/>
      <c r="G1010" s="37">
        <f t="shared" si="130"/>
        <v>0</v>
      </c>
      <c r="H1010" s="37"/>
      <c r="I1010" s="37"/>
      <c r="J1010" s="37"/>
      <c r="K1010" s="37"/>
      <c r="L1010" s="37"/>
      <c r="M1010" s="37"/>
      <c r="N1010" s="37"/>
      <c r="O1010" s="37"/>
      <c r="P1010" s="37"/>
      <c r="Q1010" s="37"/>
      <c r="R1010" s="37"/>
      <c r="S1010" s="37"/>
      <c r="T1010" s="37"/>
      <c r="U1010" s="37"/>
      <c r="V1010" s="37"/>
      <c r="W1010" s="37"/>
      <c r="X1010" s="37"/>
      <c r="Y1010" s="37"/>
      <c r="Z1010" s="37"/>
      <c r="AA1010" s="37">
        <f t="shared" si="128"/>
        <v>0</v>
      </c>
      <c r="AB1010" s="37">
        <f t="shared" si="125"/>
        <v>0</v>
      </c>
    </row>
    <row r="1011" spans="1:28" ht="14.4">
      <c r="A1011" s="117">
        <v>4120111302</v>
      </c>
      <c r="B1011" s="117" t="s">
        <v>972</v>
      </c>
      <c r="C1011" s="37">
        <f>-VLOOKUP(A1011,Composición!C:G,5,FALSE)</f>
        <v>0</v>
      </c>
      <c r="D1011" s="37"/>
      <c r="E1011" s="37"/>
      <c r="F1011" s="37"/>
      <c r="G1011" s="37">
        <f t="shared" si="130"/>
        <v>0</v>
      </c>
      <c r="H1011" s="37"/>
      <c r="I1011" s="37"/>
      <c r="J1011" s="37"/>
      <c r="K1011" s="37"/>
      <c r="L1011" s="37"/>
      <c r="M1011" s="37"/>
      <c r="N1011" s="37"/>
      <c r="O1011" s="37"/>
      <c r="P1011" s="37"/>
      <c r="Q1011" s="37"/>
      <c r="R1011" s="37"/>
      <c r="S1011" s="37"/>
      <c r="T1011" s="37"/>
      <c r="U1011" s="37"/>
      <c r="V1011" s="37"/>
      <c r="W1011" s="37"/>
      <c r="X1011" s="37"/>
      <c r="Y1011" s="37"/>
      <c r="Z1011" s="37"/>
      <c r="AA1011" s="37">
        <f t="shared" si="128"/>
        <v>0</v>
      </c>
      <c r="AB1011" s="37">
        <f t="shared" si="125"/>
        <v>0</v>
      </c>
    </row>
    <row r="1012" spans="1:28" ht="14.4">
      <c r="A1012" s="117">
        <v>4120113</v>
      </c>
      <c r="B1012" s="117" t="s">
        <v>330</v>
      </c>
      <c r="C1012" s="37">
        <f>-VLOOKUP(A1012,Composición!C:G,5,FALSE)</f>
        <v>0</v>
      </c>
      <c r="D1012" s="37"/>
      <c r="E1012" s="37"/>
      <c r="F1012" s="37"/>
      <c r="G1012" s="37">
        <f t="shared" si="130"/>
        <v>0</v>
      </c>
      <c r="H1012" s="37">
        <f t="shared" ref="H1012:H1018" si="131">-G1012</f>
        <v>0</v>
      </c>
      <c r="I1012" s="37"/>
      <c r="J1012" s="37"/>
      <c r="K1012" s="37"/>
      <c r="L1012" s="37"/>
      <c r="M1012" s="37"/>
      <c r="N1012" s="37"/>
      <c r="O1012" s="37"/>
      <c r="P1012" s="37"/>
      <c r="Q1012" s="37"/>
      <c r="R1012" s="37"/>
      <c r="S1012" s="37"/>
      <c r="T1012" s="37"/>
      <c r="U1012" s="37"/>
      <c r="V1012" s="37"/>
      <c r="W1012" s="37"/>
      <c r="X1012" s="37"/>
      <c r="Y1012" s="37"/>
      <c r="Z1012" s="37"/>
      <c r="AA1012" s="37">
        <f t="shared" si="128"/>
        <v>0</v>
      </c>
      <c r="AB1012" s="37">
        <f t="shared" si="125"/>
        <v>0</v>
      </c>
    </row>
    <row r="1013" spans="1:28" ht="14.4">
      <c r="A1013" s="117">
        <v>41201131</v>
      </c>
      <c r="B1013" s="117" t="s">
        <v>973</v>
      </c>
      <c r="C1013" s="37">
        <f>-VLOOKUP(A1013,Composición!C:G,5,FALSE)</f>
        <v>0</v>
      </c>
      <c r="D1013" s="37"/>
      <c r="E1013" s="37"/>
      <c r="F1013" s="37"/>
      <c r="G1013" s="37">
        <f t="shared" si="130"/>
        <v>0</v>
      </c>
      <c r="H1013" s="37">
        <f t="shared" si="131"/>
        <v>0</v>
      </c>
      <c r="I1013" s="37"/>
      <c r="J1013" s="37"/>
      <c r="K1013" s="37"/>
      <c r="L1013" s="37"/>
      <c r="M1013" s="37"/>
      <c r="N1013" s="37"/>
      <c r="O1013" s="37"/>
      <c r="P1013" s="37"/>
      <c r="Q1013" s="37"/>
      <c r="R1013" s="37"/>
      <c r="S1013" s="37"/>
      <c r="T1013" s="37"/>
      <c r="U1013" s="37"/>
      <c r="V1013" s="37"/>
      <c r="W1013" s="37"/>
      <c r="X1013" s="37"/>
      <c r="Y1013" s="37"/>
      <c r="Z1013" s="37"/>
      <c r="AA1013" s="37">
        <f t="shared" si="128"/>
        <v>0</v>
      </c>
      <c r="AB1013" s="37">
        <f t="shared" si="125"/>
        <v>0</v>
      </c>
    </row>
    <row r="1014" spans="1:28" ht="14.4">
      <c r="A1014" s="117">
        <v>4120113101</v>
      </c>
      <c r="B1014" s="117" t="s">
        <v>975</v>
      </c>
      <c r="C1014" s="37">
        <f>-VLOOKUP(A1014,Composición!C:G,5,FALSE)</f>
        <v>-1485314532</v>
      </c>
      <c r="D1014" s="37"/>
      <c r="E1014" s="37"/>
      <c r="F1014" s="37"/>
      <c r="G1014" s="37">
        <f t="shared" si="130"/>
        <v>-1485314532</v>
      </c>
      <c r="H1014" s="37">
        <f t="shared" si="131"/>
        <v>1485314532</v>
      </c>
      <c r="I1014" s="37"/>
      <c r="J1014" s="37"/>
      <c r="K1014" s="37"/>
      <c r="L1014" s="37"/>
      <c r="M1014" s="37"/>
      <c r="N1014" s="37"/>
      <c r="O1014" s="37"/>
      <c r="P1014" s="37"/>
      <c r="Q1014" s="37"/>
      <c r="R1014" s="37"/>
      <c r="S1014" s="37"/>
      <c r="T1014" s="37"/>
      <c r="U1014" s="37"/>
      <c r="V1014" s="37"/>
      <c r="W1014" s="37"/>
      <c r="X1014" s="37"/>
      <c r="Y1014" s="37"/>
      <c r="Z1014" s="37"/>
      <c r="AA1014" s="37">
        <f t="shared" si="128"/>
        <v>0</v>
      </c>
      <c r="AB1014" s="37">
        <f t="shared" si="125"/>
        <v>0</v>
      </c>
    </row>
    <row r="1015" spans="1:28" ht="14.4">
      <c r="A1015" s="117">
        <v>4120113103</v>
      </c>
      <c r="B1015" s="117" t="s">
        <v>36</v>
      </c>
      <c r="C1015" s="37">
        <f>-VLOOKUP(A1015,Composición!C:G,5,FALSE)</f>
        <v>-8526429227</v>
      </c>
      <c r="D1015" s="37"/>
      <c r="E1015" s="37"/>
      <c r="F1015" s="37"/>
      <c r="G1015" s="37">
        <f t="shared" si="130"/>
        <v>-8526429227</v>
      </c>
      <c r="H1015" s="37">
        <f t="shared" si="131"/>
        <v>8526429227</v>
      </c>
      <c r="I1015" s="37"/>
      <c r="J1015" s="37"/>
      <c r="K1015" s="37"/>
      <c r="L1015" s="37"/>
      <c r="M1015" s="37"/>
      <c r="N1015" s="37"/>
      <c r="O1015" s="37"/>
      <c r="P1015" s="37"/>
      <c r="Q1015" s="37"/>
      <c r="R1015" s="37"/>
      <c r="S1015" s="37"/>
      <c r="T1015" s="37"/>
      <c r="U1015" s="37"/>
      <c r="V1015" s="37"/>
      <c r="W1015" s="37"/>
      <c r="X1015" s="37"/>
      <c r="Y1015" s="37"/>
      <c r="Z1015" s="37"/>
      <c r="AA1015" s="37">
        <f t="shared" si="128"/>
        <v>0</v>
      </c>
      <c r="AB1015" s="37">
        <f t="shared" si="125"/>
        <v>0</v>
      </c>
    </row>
    <row r="1016" spans="1:28" ht="14.4">
      <c r="A1016" s="117">
        <v>4120113104</v>
      </c>
      <c r="B1016" s="117" t="s">
        <v>37</v>
      </c>
      <c r="C1016" s="37">
        <f>-VLOOKUP(A1016,Composición!C:G,5,FALSE)</f>
        <v>-4588785989</v>
      </c>
      <c r="D1016" s="37"/>
      <c r="E1016" s="37"/>
      <c r="F1016" s="37"/>
      <c r="G1016" s="37">
        <f t="shared" si="130"/>
        <v>-4588785989</v>
      </c>
      <c r="H1016" s="37">
        <f t="shared" si="131"/>
        <v>4588785989</v>
      </c>
      <c r="I1016" s="37"/>
      <c r="J1016" s="37"/>
      <c r="K1016" s="37"/>
      <c r="L1016" s="37"/>
      <c r="M1016" s="37"/>
      <c r="N1016" s="37"/>
      <c r="O1016" s="37"/>
      <c r="P1016" s="37"/>
      <c r="Q1016" s="37"/>
      <c r="R1016" s="37"/>
      <c r="S1016" s="37"/>
      <c r="T1016" s="37"/>
      <c r="U1016" s="37"/>
      <c r="V1016" s="37"/>
      <c r="W1016" s="37"/>
      <c r="X1016" s="37"/>
      <c r="Y1016" s="37"/>
      <c r="Z1016" s="37"/>
      <c r="AA1016" s="37">
        <f t="shared" si="128"/>
        <v>0</v>
      </c>
      <c r="AB1016" s="37">
        <f t="shared" si="125"/>
        <v>0</v>
      </c>
    </row>
    <row r="1017" spans="1:28" ht="14.4">
      <c r="A1017" s="117">
        <v>4120113105</v>
      </c>
      <c r="B1017" s="117" t="s">
        <v>38</v>
      </c>
      <c r="C1017" s="37">
        <f>-VLOOKUP(A1017,Composición!C:G,5,FALSE)</f>
        <v>-3863694699</v>
      </c>
      <c r="D1017" s="37"/>
      <c r="E1017" s="37"/>
      <c r="F1017" s="37"/>
      <c r="G1017" s="37">
        <f t="shared" si="130"/>
        <v>-3863694699</v>
      </c>
      <c r="H1017" s="37">
        <f t="shared" si="131"/>
        <v>3863694699</v>
      </c>
      <c r="I1017" s="37"/>
      <c r="J1017" s="37"/>
      <c r="K1017" s="37"/>
      <c r="L1017" s="37"/>
      <c r="M1017" s="37"/>
      <c r="N1017" s="37"/>
      <c r="O1017" s="37"/>
      <c r="P1017" s="37"/>
      <c r="Q1017" s="37"/>
      <c r="R1017" s="37"/>
      <c r="S1017" s="37"/>
      <c r="T1017" s="37"/>
      <c r="U1017" s="37"/>
      <c r="V1017" s="37"/>
      <c r="W1017" s="37"/>
      <c r="X1017" s="37"/>
      <c r="Y1017" s="37"/>
      <c r="Z1017" s="37"/>
      <c r="AA1017" s="37">
        <f t="shared" si="128"/>
        <v>0</v>
      </c>
      <c r="AB1017" s="37">
        <f t="shared" si="125"/>
        <v>0</v>
      </c>
    </row>
    <row r="1018" spans="1:28" ht="14.4">
      <c r="A1018" s="117">
        <v>4120113106</v>
      </c>
      <c r="B1018" s="117" t="s">
        <v>39</v>
      </c>
      <c r="C1018" s="37">
        <f>-VLOOKUP(A1018,Composición!C:G,5,FALSE)</f>
        <v>-1773726789</v>
      </c>
      <c r="D1018" s="37"/>
      <c r="E1018" s="37"/>
      <c r="F1018" s="37"/>
      <c r="G1018" s="37">
        <f t="shared" si="130"/>
        <v>-1773726789</v>
      </c>
      <c r="H1018" s="37">
        <f t="shared" si="131"/>
        <v>1773726789</v>
      </c>
      <c r="I1018" s="37"/>
      <c r="J1018" s="37"/>
      <c r="K1018" s="37"/>
      <c r="L1018" s="37"/>
      <c r="M1018" s="37"/>
      <c r="N1018" s="37"/>
      <c r="O1018" s="37"/>
      <c r="P1018" s="37"/>
      <c r="Q1018" s="37"/>
      <c r="R1018" s="37"/>
      <c r="S1018" s="37"/>
      <c r="T1018" s="37"/>
      <c r="U1018" s="37"/>
      <c r="V1018" s="37"/>
      <c r="W1018" s="37"/>
      <c r="X1018" s="37"/>
      <c r="Y1018" s="37"/>
      <c r="Z1018" s="37"/>
      <c r="AA1018" s="37">
        <f t="shared" si="128"/>
        <v>0</v>
      </c>
      <c r="AB1018" s="37">
        <f t="shared" si="125"/>
        <v>0</v>
      </c>
    </row>
    <row r="1019" spans="1:28" ht="14.4">
      <c r="A1019" s="117">
        <v>413</v>
      </c>
      <c r="B1019" s="117" t="s">
        <v>332</v>
      </c>
      <c r="C1019" s="37">
        <f>-VLOOKUP(A1019,Composición!C:G,5,FALSE)</f>
        <v>0</v>
      </c>
      <c r="D1019" s="37"/>
      <c r="E1019" s="37"/>
      <c r="F1019" s="37"/>
      <c r="G1019" s="37">
        <f t="shared" si="130"/>
        <v>0</v>
      </c>
      <c r="H1019" s="37"/>
      <c r="I1019" s="37"/>
      <c r="J1019" s="37"/>
      <c r="K1019" s="37"/>
      <c r="L1019" s="37"/>
      <c r="M1019" s="37"/>
      <c r="N1019" s="37"/>
      <c r="O1019" s="37"/>
      <c r="P1019" s="37"/>
      <c r="Q1019" s="37"/>
      <c r="R1019" s="37"/>
      <c r="S1019" s="37"/>
      <c r="T1019" s="37"/>
      <c r="U1019" s="37"/>
      <c r="V1019" s="37"/>
      <c r="W1019" s="37"/>
      <c r="X1019" s="37"/>
      <c r="Y1019" s="37"/>
      <c r="Z1019" s="37"/>
      <c r="AA1019" s="37">
        <f t="shared" si="128"/>
        <v>0</v>
      </c>
      <c r="AB1019" s="37">
        <f t="shared" si="125"/>
        <v>0</v>
      </c>
    </row>
    <row r="1020" spans="1:28" ht="14.4">
      <c r="A1020" s="117">
        <v>41301</v>
      </c>
      <c r="B1020" s="117" t="s">
        <v>333</v>
      </c>
      <c r="C1020" s="37">
        <f>-VLOOKUP(A1020,Composición!C:G,5,FALSE)</f>
        <v>0</v>
      </c>
      <c r="D1020" s="37"/>
      <c r="E1020" s="37"/>
      <c r="F1020" s="37"/>
      <c r="G1020" s="37">
        <f t="shared" si="130"/>
        <v>0</v>
      </c>
      <c r="H1020" s="37"/>
      <c r="I1020" s="37"/>
      <c r="J1020" s="37"/>
      <c r="K1020" s="37"/>
      <c r="L1020" s="37"/>
      <c r="M1020" s="37"/>
      <c r="N1020" s="37"/>
      <c r="O1020" s="37"/>
      <c r="P1020" s="37"/>
      <c r="Q1020" s="37"/>
      <c r="R1020" s="37"/>
      <c r="S1020" s="37"/>
      <c r="T1020" s="37"/>
      <c r="U1020" s="37"/>
      <c r="V1020" s="37"/>
      <c r="W1020" s="37"/>
      <c r="X1020" s="37"/>
      <c r="Y1020" s="37"/>
      <c r="Z1020" s="37"/>
      <c r="AA1020" s="37">
        <f t="shared" si="128"/>
        <v>0</v>
      </c>
      <c r="AB1020" s="37">
        <f t="shared" si="125"/>
        <v>0</v>
      </c>
    </row>
    <row r="1021" spans="1:28" ht="14.4">
      <c r="A1021" s="117">
        <v>413011</v>
      </c>
      <c r="B1021" s="117" t="s">
        <v>333</v>
      </c>
      <c r="C1021" s="37">
        <f>-VLOOKUP(A1021,Composición!C:G,5,FALSE)</f>
        <v>0</v>
      </c>
      <c r="D1021" s="37"/>
      <c r="E1021" s="37"/>
      <c r="F1021" s="37"/>
      <c r="G1021" s="37">
        <f t="shared" si="130"/>
        <v>0</v>
      </c>
      <c r="H1021" s="37"/>
      <c r="I1021" s="37"/>
      <c r="J1021" s="37"/>
      <c r="K1021" s="37"/>
      <c r="L1021" s="37"/>
      <c r="M1021" s="37"/>
      <c r="N1021" s="37"/>
      <c r="O1021" s="37"/>
      <c r="P1021" s="37"/>
      <c r="Q1021" s="37"/>
      <c r="R1021" s="37"/>
      <c r="S1021" s="37"/>
      <c r="T1021" s="37"/>
      <c r="U1021" s="37"/>
      <c r="V1021" s="37"/>
      <c r="W1021" s="37"/>
      <c r="X1021" s="37"/>
      <c r="Y1021" s="37"/>
      <c r="Z1021" s="37"/>
      <c r="AA1021" s="37">
        <f t="shared" si="128"/>
        <v>0</v>
      </c>
      <c r="AB1021" s="37">
        <f t="shared" si="125"/>
        <v>0</v>
      </c>
    </row>
    <row r="1022" spans="1:28" ht="14.4">
      <c r="A1022" s="117">
        <v>4130111</v>
      </c>
      <c r="B1022" s="117" t="s">
        <v>333</v>
      </c>
      <c r="C1022" s="37">
        <f>-VLOOKUP(A1022,Composición!C:G,5,FALSE)</f>
        <v>0</v>
      </c>
      <c r="D1022" s="37"/>
      <c r="E1022" s="37"/>
      <c r="F1022" s="37"/>
      <c r="G1022" s="37">
        <f t="shared" si="130"/>
        <v>0</v>
      </c>
      <c r="H1022" s="37"/>
      <c r="I1022" s="37"/>
      <c r="J1022" s="37"/>
      <c r="K1022" s="37"/>
      <c r="L1022" s="37"/>
      <c r="M1022" s="37"/>
      <c r="N1022" s="37"/>
      <c r="O1022" s="37"/>
      <c r="P1022" s="37"/>
      <c r="Q1022" s="37"/>
      <c r="R1022" s="37"/>
      <c r="S1022" s="37"/>
      <c r="T1022" s="37"/>
      <c r="U1022" s="37"/>
      <c r="V1022" s="37"/>
      <c r="W1022" s="37"/>
      <c r="X1022" s="37"/>
      <c r="Y1022" s="37"/>
      <c r="Z1022" s="37"/>
      <c r="AA1022" s="37">
        <f t="shared" si="128"/>
        <v>0</v>
      </c>
      <c r="AB1022" s="37">
        <f t="shared" si="125"/>
        <v>0</v>
      </c>
    </row>
    <row r="1023" spans="1:28" ht="14.4">
      <c r="A1023" s="117">
        <v>41301111</v>
      </c>
      <c r="B1023" s="117" t="s">
        <v>383</v>
      </c>
      <c r="C1023" s="37">
        <f>-VLOOKUP(A1023,Composición!C:G,5,FALSE)</f>
        <v>0</v>
      </c>
      <c r="D1023" s="37"/>
      <c r="E1023" s="37"/>
      <c r="F1023" s="37"/>
      <c r="G1023" s="37">
        <f t="shared" si="130"/>
        <v>0</v>
      </c>
      <c r="H1023" s="37"/>
      <c r="I1023" s="37"/>
      <c r="J1023" s="37"/>
      <c r="K1023" s="37"/>
      <c r="L1023" s="37"/>
      <c r="M1023" s="37"/>
      <c r="N1023" s="37"/>
      <c r="O1023" s="37"/>
      <c r="P1023" s="37"/>
      <c r="Q1023" s="37"/>
      <c r="R1023" s="37"/>
      <c r="S1023" s="37"/>
      <c r="T1023" s="37">
        <f t="shared" ref="T1023:T1031" si="132">-G1023</f>
        <v>0</v>
      </c>
      <c r="U1023" s="37"/>
      <c r="V1023" s="37"/>
      <c r="W1023" s="37"/>
      <c r="X1023" s="37"/>
      <c r="Y1023" s="37"/>
      <c r="Z1023" s="37"/>
      <c r="AA1023" s="37">
        <f t="shared" si="128"/>
        <v>0</v>
      </c>
      <c r="AB1023" s="37">
        <f t="shared" si="125"/>
        <v>0</v>
      </c>
    </row>
    <row r="1024" spans="1:28" ht="14.4">
      <c r="A1024" s="117">
        <v>4130111101</v>
      </c>
      <c r="B1024" s="117" t="s">
        <v>57</v>
      </c>
      <c r="C1024" s="37">
        <f>-VLOOKUP(A1024,Composición!C:G,5,FALSE)</f>
        <v>-339818209</v>
      </c>
      <c r="D1024" s="37"/>
      <c r="E1024" s="37"/>
      <c r="F1024" s="37"/>
      <c r="G1024" s="37">
        <f t="shared" si="130"/>
        <v>-339818209</v>
      </c>
      <c r="H1024" s="37"/>
      <c r="I1024" s="37"/>
      <c r="J1024" s="37"/>
      <c r="K1024" s="37"/>
      <c r="L1024" s="37"/>
      <c r="M1024" s="37"/>
      <c r="N1024" s="37"/>
      <c r="O1024" s="37"/>
      <c r="P1024" s="37"/>
      <c r="Q1024" s="37"/>
      <c r="R1024" s="37"/>
      <c r="S1024" s="37"/>
      <c r="T1024" s="37">
        <f t="shared" si="132"/>
        <v>339818209</v>
      </c>
      <c r="U1024" s="37"/>
      <c r="V1024" s="37"/>
      <c r="W1024" s="37"/>
      <c r="X1024" s="37"/>
      <c r="Y1024" s="37"/>
      <c r="Z1024" s="37"/>
      <c r="AA1024" s="37">
        <f t="shared" si="128"/>
        <v>0</v>
      </c>
      <c r="AB1024" s="37">
        <f t="shared" si="125"/>
        <v>0</v>
      </c>
    </row>
    <row r="1025" spans="1:28" ht="14.4">
      <c r="A1025" s="117">
        <v>4130111102</v>
      </c>
      <c r="B1025" s="117" t="s">
        <v>254</v>
      </c>
      <c r="C1025" s="37">
        <f>-VLOOKUP(A1025,Composición!C:G,5,FALSE)</f>
        <v>-16993272</v>
      </c>
      <c r="D1025" s="37"/>
      <c r="E1025" s="37"/>
      <c r="F1025" s="37"/>
      <c r="G1025" s="37">
        <f t="shared" si="130"/>
        <v>-16993272</v>
      </c>
      <c r="H1025" s="37"/>
      <c r="I1025" s="37"/>
      <c r="J1025" s="37"/>
      <c r="K1025" s="37"/>
      <c r="L1025" s="37"/>
      <c r="M1025" s="37"/>
      <c r="N1025" s="37"/>
      <c r="O1025" s="37"/>
      <c r="P1025" s="37"/>
      <c r="Q1025" s="37"/>
      <c r="R1025" s="37"/>
      <c r="S1025" s="37"/>
      <c r="T1025" s="37">
        <f t="shared" si="132"/>
        <v>16993272</v>
      </c>
      <c r="U1025" s="37"/>
      <c r="V1025" s="37"/>
      <c r="W1025" s="37"/>
      <c r="X1025" s="37"/>
      <c r="Y1025" s="37"/>
      <c r="Z1025" s="37"/>
      <c r="AA1025" s="37">
        <f t="shared" si="128"/>
        <v>0</v>
      </c>
      <c r="AB1025" s="37">
        <f t="shared" si="125"/>
        <v>0</v>
      </c>
    </row>
    <row r="1026" spans="1:28" ht="14.4">
      <c r="A1026" s="117">
        <v>4130111103</v>
      </c>
      <c r="B1026" s="117" t="s">
        <v>256</v>
      </c>
      <c r="C1026" s="37">
        <f>-VLOOKUP(A1026,Composición!C:G,5,FALSE)</f>
        <v>-215586807</v>
      </c>
      <c r="D1026" s="37"/>
      <c r="E1026" s="37"/>
      <c r="F1026" s="37"/>
      <c r="G1026" s="37">
        <f t="shared" si="130"/>
        <v>-215586807</v>
      </c>
      <c r="H1026" s="37"/>
      <c r="I1026" s="37"/>
      <c r="J1026" s="37"/>
      <c r="K1026" s="37"/>
      <c r="L1026" s="37"/>
      <c r="M1026" s="37"/>
      <c r="N1026" s="37"/>
      <c r="O1026" s="37"/>
      <c r="P1026" s="37"/>
      <c r="Q1026" s="37"/>
      <c r="R1026" s="37"/>
      <c r="S1026" s="37"/>
      <c r="T1026" s="37">
        <f t="shared" si="132"/>
        <v>215586807</v>
      </c>
      <c r="U1026" s="37"/>
      <c r="V1026" s="37"/>
      <c r="W1026" s="37"/>
      <c r="X1026" s="37"/>
      <c r="Y1026" s="37"/>
      <c r="Z1026" s="37"/>
      <c r="AA1026" s="37">
        <f t="shared" si="128"/>
        <v>0</v>
      </c>
      <c r="AB1026" s="37">
        <f t="shared" si="125"/>
        <v>0</v>
      </c>
    </row>
    <row r="1027" spans="1:28" ht="14.4">
      <c r="A1027" s="117">
        <v>4130111104</v>
      </c>
      <c r="B1027" s="117" t="s">
        <v>258</v>
      </c>
      <c r="C1027" s="37">
        <f>-VLOOKUP(A1027,Composición!C:G,5,FALSE)</f>
        <v>-14842381</v>
      </c>
      <c r="D1027" s="37"/>
      <c r="E1027" s="37"/>
      <c r="F1027" s="37"/>
      <c r="G1027" s="37">
        <f t="shared" si="130"/>
        <v>-14842381</v>
      </c>
      <c r="H1027" s="37"/>
      <c r="I1027" s="37"/>
      <c r="J1027" s="37"/>
      <c r="K1027" s="37"/>
      <c r="L1027" s="37"/>
      <c r="M1027" s="37"/>
      <c r="N1027" s="37"/>
      <c r="O1027" s="37"/>
      <c r="P1027" s="37"/>
      <c r="Q1027" s="37"/>
      <c r="R1027" s="37"/>
      <c r="S1027" s="37"/>
      <c r="T1027" s="37">
        <f t="shared" si="132"/>
        <v>14842381</v>
      </c>
      <c r="U1027" s="37"/>
      <c r="V1027" s="37"/>
      <c r="W1027" s="37"/>
      <c r="X1027" s="37"/>
      <c r="Y1027" s="37"/>
      <c r="Z1027" s="37"/>
      <c r="AA1027" s="37">
        <f t="shared" si="128"/>
        <v>0</v>
      </c>
      <c r="AB1027" s="37">
        <f t="shared" si="125"/>
        <v>0</v>
      </c>
    </row>
    <row r="1028" spans="1:28" ht="14.4">
      <c r="A1028" s="117">
        <v>4130111105</v>
      </c>
      <c r="B1028" s="117" t="s">
        <v>59</v>
      </c>
      <c r="C1028" s="37">
        <f>-VLOOKUP(A1028,Composición!C:G,5,FALSE)</f>
        <v>-3308029150</v>
      </c>
      <c r="D1028" s="37"/>
      <c r="E1028" s="37"/>
      <c r="F1028" s="37"/>
      <c r="G1028" s="37">
        <f t="shared" si="130"/>
        <v>-3308029150</v>
      </c>
      <c r="H1028" s="37"/>
      <c r="I1028" s="37"/>
      <c r="J1028" s="37"/>
      <c r="K1028" s="37"/>
      <c r="L1028" s="37"/>
      <c r="M1028" s="37"/>
      <c r="N1028" s="37"/>
      <c r="O1028" s="37"/>
      <c r="P1028" s="37"/>
      <c r="Q1028" s="37"/>
      <c r="R1028" s="37"/>
      <c r="S1028" s="37"/>
      <c r="T1028" s="37">
        <f t="shared" si="132"/>
        <v>3308029150</v>
      </c>
      <c r="U1028" s="37"/>
      <c r="V1028" s="37"/>
      <c r="W1028" s="37"/>
      <c r="X1028" s="37"/>
      <c r="Y1028" s="37"/>
      <c r="Z1028" s="37"/>
      <c r="AA1028" s="37">
        <f t="shared" si="128"/>
        <v>0</v>
      </c>
      <c r="AB1028" s="37">
        <f t="shared" si="125"/>
        <v>0</v>
      </c>
    </row>
    <row r="1029" spans="1:28" ht="14.4">
      <c r="A1029" s="117">
        <v>4130111106</v>
      </c>
      <c r="B1029" s="117" t="s">
        <v>60</v>
      </c>
      <c r="C1029" s="37">
        <f>-VLOOKUP(A1029,Composición!C:G,5,FALSE)</f>
        <v>-498615811</v>
      </c>
      <c r="D1029" s="37"/>
      <c r="E1029" s="37"/>
      <c r="F1029" s="37"/>
      <c r="G1029" s="37">
        <f t="shared" si="130"/>
        <v>-498615811</v>
      </c>
      <c r="H1029" s="37"/>
      <c r="I1029" s="37"/>
      <c r="J1029" s="37"/>
      <c r="K1029" s="37"/>
      <c r="L1029" s="37"/>
      <c r="M1029" s="37"/>
      <c r="N1029" s="37"/>
      <c r="O1029" s="37"/>
      <c r="P1029" s="37"/>
      <c r="Q1029" s="37"/>
      <c r="R1029" s="37"/>
      <c r="S1029" s="37"/>
      <c r="T1029" s="37">
        <f t="shared" si="132"/>
        <v>498615811</v>
      </c>
      <c r="U1029" s="37"/>
      <c r="V1029" s="37"/>
      <c r="W1029" s="37"/>
      <c r="X1029" s="37"/>
      <c r="Y1029" s="37"/>
      <c r="Z1029" s="37"/>
      <c r="AA1029" s="37">
        <f t="shared" si="128"/>
        <v>0</v>
      </c>
      <c r="AB1029" s="37">
        <f t="shared" si="125"/>
        <v>0</v>
      </c>
    </row>
    <row r="1030" spans="1:28" ht="14.4">
      <c r="A1030" s="117">
        <v>4130111107</v>
      </c>
      <c r="B1030" s="117" t="s">
        <v>63</v>
      </c>
      <c r="C1030" s="37">
        <f>-VLOOKUP(A1030,Composición!C:G,5,FALSE)</f>
        <v>-86236485</v>
      </c>
      <c r="D1030" s="37"/>
      <c r="E1030" s="37"/>
      <c r="F1030" s="37"/>
      <c r="G1030" s="37">
        <f t="shared" si="130"/>
        <v>-86236485</v>
      </c>
      <c r="H1030" s="37"/>
      <c r="I1030" s="37"/>
      <c r="J1030" s="37"/>
      <c r="K1030" s="37"/>
      <c r="L1030" s="37"/>
      <c r="M1030" s="37"/>
      <c r="N1030" s="37"/>
      <c r="O1030" s="37"/>
      <c r="P1030" s="37"/>
      <c r="Q1030" s="37"/>
      <c r="R1030" s="37"/>
      <c r="S1030" s="37"/>
      <c r="T1030" s="37">
        <f t="shared" si="132"/>
        <v>86236485</v>
      </c>
      <c r="U1030" s="37"/>
      <c r="V1030" s="37"/>
      <c r="W1030" s="37"/>
      <c r="X1030" s="37"/>
      <c r="Y1030" s="37"/>
      <c r="Z1030" s="37"/>
      <c r="AA1030" s="37">
        <f t="shared" si="128"/>
        <v>0</v>
      </c>
      <c r="AB1030" s="37">
        <f t="shared" si="125"/>
        <v>0</v>
      </c>
    </row>
    <row r="1031" spans="1:28" ht="14.4">
      <c r="A1031" s="117">
        <v>4130111108</v>
      </c>
      <c r="B1031" s="117" t="s">
        <v>64</v>
      </c>
      <c r="C1031" s="37">
        <f>-VLOOKUP(A1031,Composición!C:G,5,FALSE)</f>
        <v>-725692294</v>
      </c>
      <c r="D1031" s="37"/>
      <c r="E1031" s="37"/>
      <c r="F1031" s="37"/>
      <c r="G1031" s="37">
        <f t="shared" si="130"/>
        <v>-725692294</v>
      </c>
      <c r="H1031" s="37"/>
      <c r="I1031" s="37"/>
      <c r="J1031" s="37"/>
      <c r="K1031" s="37"/>
      <c r="L1031" s="37"/>
      <c r="M1031" s="37"/>
      <c r="N1031" s="37"/>
      <c r="O1031" s="37"/>
      <c r="P1031" s="37"/>
      <c r="Q1031" s="37"/>
      <c r="R1031" s="37"/>
      <c r="S1031" s="37"/>
      <c r="T1031" s="37">
        <f t="shared" si="132"/>
        <v>725692294</v>
      </c>
      <c r="U1031" s="37"/>
      <c r="V1031" s="37"/>
      <c r="W1031" s="37"/>
      <c r="X1031" s="37"/>
      <c r="Y1031" s="37"/>
      <c r="Z1031" s="37"/>
      <c r="AA1031" s="37">
        <f t="shared" si="128"/>
        <v>0</v>
      </c>
      <c r="AB1031" s="37">
        <f t="shared" si="125"/>
        <v>0</v>
      </c>
    </row>
    <row r="1032" spans="1:28" ht="14.4">
      <c r="A1032" s="117">
        <v>4130111109</v>
      </c>
      <c r="B1032" s="117" t="s">
        <v>66</v>
      </c>
      <c r="C1032" s="37">
        <f>-VLOOKUP(A1032,Composición!C:G,5,FALSE)</f>
        <v>0</v>
      </c>
      <c r="D1032" s="37"/>
      <c r="E1032" s="37"/>
      <c r="F1032" s="37"/>
      <c r="G1032" s="37">
        <f t="shared" si="130"/>
        <v>0</v>
      </c>
      <c r="H1032" s="37"/>
      <c r="I1032" s="37"/>
      <c r="J1032" s="37"/>
      <c r="K1032" s="37"/>
      <c r="L1032" s="37"/>
      <c r="M1032" s="37"/>
      <c r="N1032" s="37"/>
      <c r="O1032" s="37"/>
      <c r="P1032" s="37"/>
      <c r="Q1032" s="37"/>
      <c r="R1032" s="37"/>
      <c r="S1032" s="37"/>
      <c r="T1032" s="37"/>
      <c r="U1032" s="37"/>
      <c r="V1032" s="37"/>
      <c r="W1032" s="37"/>
      <c r="X1032" s="37"/>
      <c r="Y1032" s="37"/>
      <c r="Z1032" s="37"/>
      <c r="AA1032" s="37">
        <f t="shared" si="128"/>
        <v>0</v>
      </c>
      <c r="AB1032" s="37">
        <f t="shared" si="125"/>
        <v>0</v>
      </c>
    </row>
    <row r="1033" spans="1:28" ht="14.4">
      <c r="A1033" s="117">
        <v>4130111110</v>
      </c>
      <c r="B1033" s="117" t="s">
        <v>690</v>
      </c>
      <c r="C1033" s="37">
        <f>-VLOOKUP(A1033,Composición!C:G,5,FALSE)</f>
        <v>0</v>
      </c>
      <c r="D1033" s="37"/>
      <c r="E1033" s="37"/>
      <c r="F1033" s="37"/>
      <c r="G1033" s="37">
        <f t="shared" si="130"/>
        <v>0</v>
      </c>
      <c r="H1033" s="37"/>
      <c r="I1033" s="37"/>
      <c r="J1033" s="37"/>
      <c r="K1033" s="37"/>
      <c r="L1033" s="37"/>
      <c r="M1033" s="37"/>
      <c r="N1033" s="37"/>
      <c r="O1033" s="37"/>
      <c r="P1033" s="37"/>
      <c r="Q1033" s="37"/>
      <c r="R1033" s="37"/>
      <c r="S1033" s="37"/>
      <c r="T1033" s="37"/>
      <c r="U1033" s="37"/>
      <c r="V1033" s="37"/>
      <c r="W1033" s="37"/>
      <c r="X1033" s="37"/>
      <c r="Y1033" s="37"/>
      <c r="Z1033" s="37"/>
      <c r="AA1033" s="37">
        <f t="shared" si="128"/>
        <v>0</v>
      </c>
      <c r="AB1033" s="37">
        <f t="shared" ref="AB1033:AB1096" si="133">SUM(G1033:Z1033)</f>
        <v>0</v>
      </c>
    </row>
    <row r="1034" spans="1:28" ht="14.4">
      <c r="A1034" s="117">
        <v>4130111111</v>
      </c>
      <c r="B1034" s="117" t="s">
        <v>692</v>
      </c>
      <c r="C1034" s="37">
        <f>-VLOOKUP(A1034,Composición!C:G,5,FALSE)</f>
        <v>0</v>
      </c>
      <c r="D1034" s="37"/>
      <c r="E1034" s="37"/>
      <c r="F1034" s="37"/>
      <c r="G1034" s="37">
        <f t="shared" si="130"/>
        <v>0</v>
      </c>
      <c r="H1034" s="37"/>
      <c r="I1034" s="37"/>
      <c r="J1034" s="37"/>
      <c r="K1034" s="37"/>
      <c r="L1034" s="37"/>
      <c r="M1034" s="37"/>
      <c r="N1034" s="37"/>
      <c r="O1034" s="37"/>
      <c r="P1034" s="37"/>
      <c r="Q1034" s="37"/>
      <c r="R1034" s="37"/>
      <c r="S1034" s="37"/>
      <c r="T1034" s="37">
        <f>-G1034</f>
        <v>0</v>
      </c>
      <c r="U1034" s="37"/>
      <c r="V1034" s="37"/>
      <c r="W1034" s="37"/>
      <c r="X1034" s="37"/>
      <c r="Y1034" s="37"/>
      <c r="Z1034" s="37"/>
      <c r="AA1034" s="37">
        <f t="shared" si="128"/>
        <v>0</v>
      </c>
      <c r="AB1034" s="37">
        <f t="shared" si="133"/>
        <v>0</v>
      </c>
    </row>
    <row r="1035" spans="1:28" ht="14.4">
      <c r="A1035" s="117">
        <v>4130111112</v>
      </c>
      <c r="B1035" s="117" t="s">
        <v>693</v>
      </c>
      <c r="C1035" s="37">
        <f>-VLOOKUP(A1035,Composición!C:G,5,FALSE)</f>
        <v>0</v>
      </c>
      <c r="D1035" s="37"/>
      <c r="E1035" s="37"/>
      <c r="F1035" s="37"/>
      <c r="G1035" s="37">
        <f t="shared" si="130"/>
        <v>0</v>
      </c>
      <c r="H1035" s="37"/>
      <c r="I1035" s="37"/>
      <c r="J1035" s="37"/>
      <c r="K1035" s="37"/>
      <c r="L1035" s="37"/>
      <c r="M1035" s="37"/>
      <c r="N1035" s="37"/>
      <c r="O1035" s="37"/>
      <c r="P1035" s="37"/>
      <c r="Q1035" s="37"/>
      <c r="R1035" s="37"/>
      <c r="S1035" s="37"/>
      <c r="T1035" s="37">
        <f>-G1035</f>
        <v>0</v>
      </c>
      <c r="U1035" s="37"/>
      <c r="V1035" s="37"/>
      <c r="W1035" s="37"/>
      <c r="X1035" s="37"/>
      <c r="Y1035" s="37"/>
      <c r="Z1035" s="37"/>
      <c r="AA1035" s="37">
        <f t="shared" si="128"/>
        <v>0</v>
      </c>
      <c r="AB1035" s="37">
        <f t="shared" si="133"/>
        <v>0</v>
      </c>
    </row>
    <row r="1036" spans="1:28" ht="14.4">
      <c r="A1036" s="117">
        <v>4130111113</v>
      </c>
      <c r="B1036" s="117" t="s">
        <v>267</v>
      </c>
      <c r="C1036" s="37">
        <f>-VLOOKUP(A1036,Composición!C:G,5,FALSE)</f>
        <v>-376089673</v>
      </c>
      <c r="D1036" s="37"/>
      <c r="E1036" s="37"/>
      <c r="F1036" s="37"/>
      <c r="G1036" s="37">
        <f t="shared" si="130"/>
        <v>-376089673</v>
      </c>
      <c r="H1036" s="37"/>
      <c r="I1036" s="37"/>
      <c r="J1036" s="37"/>
      <c r="K1036" s="37"/>
      <c r="L1036" s="37"/>
      <c r="M1036" s="37"/>
      <c r="N1036" s="37"/>
      <c r="O1036" s="37"/>
      <c r="P1036" s="37"/>
      <c r="Q1036" s="37"/>
      <c r="R1036" s="37"/>
      <c r="S1036" s="37"/>
      <c r="T1036" s="37">
        <f t="shared" ref="T1036:T1037" si="134">-G1036</f>
        <v>376089673</v>
      </c>
      <c r="U1036" s="37"/>
      <c r="V1036" s="37"/>
      <c r="W1036" s="37"/>
      <c r="X1036" s="37"/>
      <c r="Y1036" s="37"/>
      <c r="Z1036" s="37"/>
      <c r="AA1036" s="37">
        <f t="shared" si="128"/>
        <v>0</v>
      </c>
      <c r="AB1036" s="37">
        <f t="shared" si="133"/>
        <v>0</v>
      </c>
    </row>
    <row r="1037" spans="1:28" ht="14.4">
      <c r="A1037" s="117">
        <v>4130111114</v>
      </c>
      <c r="B1037" s="117" t="s">
        <v>269</v>
      </c>
      <c r="C1037" s="37">
        <f>-VLOOKUP(A1037,Composición!C:G,5,FALSE)</f>
        <v>-21622059</v>
      </c>
      <c r="D1037" s="37"/>
      <c r="E1037" s="37"/>
      <c r="F1037" s="37"/>
      <c r="G1037" s="37">
        <f t="shared" si="130"/>
        <v>-21622059</v>
      </c>
      <c r="H1037" s="37"/>
      <c r="I1037" s="37"/>
      <c r="J1037" s="37"/>
      <c r="K1037" s="37"/>
      <c r="L1037" s="37"/>
      <c r="M1037" s="37"/>
      <c r="N1037" s="37"/>
      <c r="O1037" s="37"/>
      <c r="P1037" s="37"/>
      <c r="Q1037" s="37"/>
      <c r="R1037" s="37"/>
      <c r="S1037" s="37"/>
      <c r="T1037" s="37">
        <f t="shared" si="134"/>
        <v>21622059</v>
      </c>
      <c r="U1037" s="37"/>
      <c r="V1037" s="37"/>
      <c r="W1037" s="37"/>
      <c r="X1037" s="37"/>
      <c r="Y1037" s="37"/>
      <c r="Z1037" s="37"/>
      <c r="AA1037" s="37">
        <f t="shared" si="128"/>
        <v>0</v>
      </c>
      <c r="AB1037" s="37">
        <f t="shared" si="133"/>
        <v>0</v>
      </c>
    </row>
    <row r="1038" spans="1:28" ht="14.4">
      <c r="A1038" s="117">
        <v>4130111115</v>
      </c>
      <c r="B1038" s="117" t="s">
        <v>978</v>
      </c>
      <c r="C1038" s="37">
        <f>-VLOOKUP(A1038,Composición!C:G,5,FALSE)</f>
        <v>0</v>
      </c>
      <c r="D1038" s="37"/>
      <c r="E1038" s="37"/>
      <c r="F1038" s="37"/>
      <c r="G1038" s="37">
        <f t="shared" si="130"/>
        <v>0</v>
      </c>
      <c r="H1038" s="37"/>
      <c r="I1038" s="37"/>
      <c r="J1038" s="37"/>
      <c r="K1038" s="37"/>
      <c r="L1038" s="37"/>
      <c r="M1038" s="37"/>
      <c r="N1038" s="37"/>
      <c r="O1038" s="37"/>
      <c r="P1038" s="37"/>
      <c r="Q1038" s="37"/>
      <c r="R1038" s="37"/>
      <c r="S1038" s="37"/>
      <c r="T1038" s="37">
        <f>-G1038</f>
        <v>0</v>
      </c>
      <c r="U1038" s="37"/>
      <c r="V1038" s="37"/>
      <c r="W1038" s="37"/>
      <c r="X1038" s="37"/>
      <c r="Y1038" s="37"/>
      <c r="Z1038" s="37"/>
      <c r="AA1038" s="37">
        <f t="shared" si="128"/>
        <v>0</v>
      </c>
      <c r="AB1038" s="37">
        <f t="shared" si="133"/>
        <v>0</v>
      </c>
    </row>
    <row r="1039" spans="1:28" ht="14.4">
      <c r="A1039" s="117">
        <v>4130111116</v>
      </c>
      <c r="B1039" s="117" t="s">
        <v>979</v>
      </c>
      <c r="C1039" s="37">
        <f>-VLOOKUP(A1039,Composición!C:G,5,FALSE)</f>
        <v>0</v>
      </c>
      <c r="D1039" s="37"/>
      <c r="E1039" s="37"/>
      <c r="F1039" s="37"/>
      <c r="G1039" s="37">
        <f t="shared" si="130"/>
        <v>0</v>
      </c>
      <c r="H1039" s="37"/>
      <c r="I1039" s="37"/>
      <c r="J1039" s="37"/>
      <c r="K1039" s="37"/>
      <c r="L1039" s="37"/>
      <c r="M1039" s="37"/>
      <c r="N1039" s="37"/>
      <c r="O1039" s="37"/>
      <c r="P1039" s="37"/>
      <c r="Q1039" s="37"/>
      <c r="R1039" s="37"/>
      <c r="S1039" s="37"/>
      <c r="T1039" s="37">
        <f>-G1039</f>
        <v>0</v>
      </c>
      <c r="U1039" s="37"/>
      <c r="V1039" s="37"/>
      <c r="W1039" s="37"/>
      <c r="X1039" s="37"/>
      <c r="Y1039" s="37"/>
      <c r="Z1039" s="37"/>
      <c r="AA1039" s="37">
        <f t="shared" si="128"/>
        <v>0</v>
      </c>
      <c r="AB1039" s="37">
        <f t="shared" si="133"/>
        <v>0</v>
      </c>
    </row>
    <row r="1040" spans="1:28" ht="14.4">
      <c r="A1040" s="117">
        <v>4130111117</v>
      </c>
      <c r="B1040" s="117" t="s">
        <v>271</v>
      </c>
      <c r="C1040" s="37">
        <f>-VLOOKUP(A1040,Composición!C:G,5,FALSE)</f>
        <v>-38659164</v>
      </c>
      <c r="D1040" s="37"/>
      <c r="E1040" s="37"/>
      <c r="F1040" s="37"/>
      <c r="G1040" s="37">
        <f t="shared" si="130"/>
        <v>-38659164</v>
      </c>
      <c r="H1040" s="37"/>
      <c r="I1040" s="37"/>
      <c r="J1040" s="37"/>
      <c r="K1040" s="37"/>
      <c r="L1040" s="37"/>
      <c r="M1040" s="37"/>
      <c r="N1040" s="37"/>
      <c r="O1040" s="37"/>
      <c r="P1040" s="37"/>
      <c r="Q1040" s="37"/>
      <c r="R1040" s="37"/>
      <c r="S1040" s="37"/>
      <c r="T1040" s="37">
        <f t="shared" ref="T1040:T1041" si="135">-G1040</f>
        <v>38659164</v>
      </c>
      <c r="U1040" s="37"/>
      <c r="V1040" s="37"/>
      <c r="W1040" s="37"/>
      <c r="X1040" s="37"/>
      <c r="Y1040" s="37"/>
      <c r="Z1040" s="37"/>
      <c r="AA1040" s="37">
        <f t="shared" si="128"/>
        <v>0</v>
      </c>
      <c r="AB1040" s="37">
        <f t="shared" si="133"/>
        <v>0</v>
      </c>
    </row>
    <row r="1041" spans="1:28" ht="14.4">
      <c r="A1041" s="117">
        <v>4130111118</v>
      </c>
      <c r="B1041" s="117" t="s">
        <v>274</v>
      </c>
      <c r="C1041" s="37">
        <f>-VLOOKUP(A1041,Composición!C:G,5,FALSE)</f>
        <v>-14313224</v>
      </c>
      <c r="D1041" s="37"/>
      <c r="E1041" s="37"/>
      <c r="F1041" s="37"/>
      <c r="G1041" s="37">
        <f t="shared" si="130"/>
        <v>-14313224</v>
      </c>
      <c r="H1041" s="37"/>
      <c r="I1041" s="37"/>
      <c r="J1041" s="37"/>
      <c r="K1041" s="37"/>
      <c r="L1041" s="37"/>
      <c r="M1041" s="37"/>
      <c r="N1041" s="37"/>
      <c r="O1041" s="37"/>
      <c r="P1041" s="37"/>
      <c r="Q1041" s="37"/>
      <c r="R1041" s="37"/>
      <c r="S1041" s="37"/>
      <c r="T1041" s="37">
        <f t="shared" si="135"/>
        <v>14313224</v>
      </c>
      <c r="U1041" s="37"/>
      <c r="V1041" s="37"/>
      <c r="W1041" s="37"/>
      <c r="X1041" s="37"/>
      <c r="Y1041" s="37"/>
      <c r="Z1041" s="37"/>
      <c r="AA1041" s="37">
        <f t="shared" si="128"/>
        <v>0</v>
      </c>
      <c r="AB1041" s="37">
        <f t="shared" si="133"/>
        <v>0</v>
      </c>
    </row>
    <row r="1042" spans="1:28" ht="14.4">
      <c r="A1042" s="117">
        <v>4130111119</v>
      </c>
      <c r="B1042" s="117" t="s">
        <v>413</v>
      </c>
      <c r="C1042" s="37">
        <f>-VLOOKUP(A1042,Composición!C:G,5,FALSE)</f>
        <v>0</v>
      </c>
      <c r="D1042" s="37"/>
      <c r="E1042" s="37"/>
      <c r="F1042" s="37"/>
      <c r="G1042" s="37">
        <f t="shared" si="130"/>
        <v>0</v>
      </c>
      <c r="H1042" s="37"/>
      <c r="I1042" s="37"/>
      <c r="J1042" s="37"/>
      <c r="K1042" s="37"/>
      <c r="L1042" s="37"/>
      <c r="M1042" s="37"/>
      <c r="N1042" s="37"/>
      <c r="O1042" s="37"/>
      <c r="P1042" s="37"/>
      <c r="Q1042" s="37"/>
      <c r="R1042" s="37"/>
      <c r="S1042" s="37"/>
      <c r="T1042" s="37">
        <f>-G1042</f>
        <v>0</v>
      </c>
      <c r="U1042" s="37"/>
      <c r="V1042" s="37"/>
      <c r="W1042" s="37"/>
      <c r="X1042" s="37"/>
      <c r="Y1042" s="37"/>
      <c r="Z1042" s="37"/>
      <c r="AA1042" s="37">
        <f t="shared" si="128"/>
        <v>0</v>
      </c>
      <c r="AB1042" s="37">
        <f t="shared" si="133"/>
        <v>0</v>
      </c>
    </row>
    <row r="1043" spans="1:28" ht="14.4">
      <c r="A1043" s="117">
        <v>4130111120</v>
      </c>
      <c r="B1043" s="117" t="s">
        <v>980</v>
      </c>
      <c r="C1043" s="37">
        <f>-VLOOKUP(A1043,Composición!C:G,5,FALSE)</f>
        <v>0</v>
      </c>
      <c r="D1043" s="37"/>
      <c r="E1043" s="37"/>
      <c r="F1043" s="37"/>
      <c r="G1043" s="37">
        <f t="shared" si="130"/>
        <v>0</v>
      </c>
      <c r="H1043" s="37"/>
      <c r="I1043" s="37"/>
      <c r="J1043" s="37"/>
      <c r="K1043" s="37"/>
      <c r="L1043" s="37"/>
      <c r="M1043" s="37"/>
      <c r="N1043" s="37"/>
      <c r="O1043" s="37"/>
      <c r="P1043" s="37"/>
      <c r="Q1043" s="37"/>
      <c r="R1043" s="37"/>
      <c r="S1043" s="37"/>
      <c r="T1043" s="37"/>
      <c r="U1043" s="37"/>
      <c r="V1043" s="37"/>
      <c r="W1043" s="37"/>
      <c r="X1043" s="37"/>
      <c r="Y1043" s="37"/>
      <c r="Z1043" s="37"/>
      <c r="AA1043" s="37">
        <f t="shared" si="128"/>
        <v>0</v>
      </c>
      <c r="AB1043" s="37">
        <f t="shared" si="133"/>
        <v>0</v>
      </c>
    </row>
    <row r="1044" spans="1:28" ht="14.4">
      <c r="A1044" s="117">
        <v>4130111121</v>
      </c>
      <c r="B1044" s="117" t="s">
        <v>804</v>
      </c>
      <c r="C1044" s="37">
        <f>-VLOOKUP(A1044,Composición!C:G,5,FALSE)</f>
        <v>0</v>
      </c>
      <c r="D1044" s="37"/>
      <c r="E1044" s="37"/>
      <c r="F1044" s="37"/>
      <c r="G1044" s="37">
        <f t="shared" si="130"/>
        <v>0</v>
      </c>
      <c r="H1044" s="37"/>
      <c r="I1044" s="37"/>
      <c r="J1044" s="37"/>
      <c r="K1044" s="37"/>
      <c r="L1044" s="37"/>
      <c r="M1044" s="37"/>
      <c r="N1044" s="37"/>
      <c r="O1044" s="37"/>
      <c r="P1044" s="37"/>
      <c r="Q1044" s="37"/>
      <c r="R1044" s="37"/>
      <c r="S1044" s="37"/>
      <c r="T1044" s="37"/>
      <c r="U1044" s="37"/>
      <c r="V1044" s="37"/>
      <c r="W1044" s="37"/>
      <c r="X1044" s="37"/>
      <c r="Y1044" s="37"/>
      <c r="Z1044" s="37"/>
      <c r="AA1044" s="37">
        <f t="shared" si="128"/>
        <v>0</v>
      </c>
      <c r="AB1044" s="37">
        <f t="shared" si="133"/>
        <v>0</v>
      </c>
    </row>
    <row r="1045" spans="1:28" ht="14.4">
      <c r="A1045" s="117">
        <v>4130111122</v>
      </c>
      <c r="B1045" s="117" t="s">
        <v>805</v>
      </c>
      <c r="C1045" s="37">
        <f>-VLOOKUP(A1045,Composición!C:G,5,FALSE)</f>
        <v>0</v>
      </c>
      <c r="D1045" s="37"/>
      <c r="E1045" s="37"/>
      <c r="F1045" s="37"/>
      <c r="G1045" s="37">
        <f t="shared" si="130"/>
        <v>0</v>
      </c>
      <c r="H1045" s="37"/>
      <c r="I1045" s="37"/>
      <c r="J1045" s="37"/>
      <c r="K1045" s="37"/>
      <c r="L1045" s="37"/>
      <c r="M1045" s="37"/>
      <c r="N1045" s="37"/>
      <c r="O1045" s="37"/>
      <c r="P1045" s="37"/>
      <c r="Q1045" s="37"/>
      <c r="R1045" s="37"/>
      <c r="S1045" s="37"/>
      <c r="T1045" s="37"/>
      <c r="U1045" s="37">
        <f>-G1045</f>
        <v>0</v>
      </c>
      <c r="V1045" s="37"/>
      <c r="W1045" s="37"/>
      <c r="X1045" s="37"/>
      <c r="Y1045" s="37"/>
      <c r="Z1045" s="37"/>
      <c r="AA1045" s="37">
        <f t="shared" si="128"/>
        <v>0</v>
      </c>
      <c r="AB1045" s="37">
        <f t="shared" si="133"/>
        <v>0</v>
      </c>
    </row>
    <row r="1046" spans="1:28" ht="14.4">
      <c r="A1046" s="117">
        <v>4130111123</v>
      </c>
      <c r="B1046" s="117" t="s">
        <v>981</v>
      </c>
      <c r="C1046" s="37">
        <f>-VLOOKUP(A1046,Composición!C:G,5,FALSE)</f>
        <v>0</v>
      </c>
      <c r="D1046" s="37"/>
      <c r="E1046" s="37"/>
      <c r="F1046" s="37"/>
      <c r="G1046" s="37">
        <f t="shared" si="130"/>
        <v>0</v>
      </c>
      <c r="H1046" s="37"/>
      <c r="I1046" s="37"/>
      <c r="J1046" s="37"/>
      <c r="K1046" s="37"/>
      <c r="L1046" s="37"/>
      <c r="M1046" s="37"/>
      <c r="N1046" s="37"/>
      <c r="O1046" s="37"/>
      <c r="P1046" s="37"/>
      <c r="Q1046" s="37"/>
      <c r="R1046" s="37"/>
      <c r="S1046" s="37"/>
      <c r="T1046" s="37"/>
      <c r="U1046" s="37"/>
      <c r="V1046" s="37"/>
      <c r="W1046" s="37"/>
      <c r="X1046" s="37"/>
      <c r="Y1046" s="37"/>
      <c r="Z1046" s="37"/>
      <c r="AA1046" s="37">
        <f t="shared" si="128"/>
        <v>0</v>
      </c>
      <c r="AB1046" s="37">
        <f t="shared" si="133"/>
        <v>0</v>
      </c>
    </row>
    <row r="1047" spans="1:28" ht="14.4">
      <c r="A1047" s="117">
        <v>4130111124</v>
      </c>
      <c r="B1047" s="117" t="s">
        <v>982</v>
      </c>
      <c r="C1047" s="37">
        <f>-VLOOKUP(A1047,Composición!C:G,5,FALSE)</f>
        <v>0</v>
      </c>
      <c r="D1047" s="37"/>
      <c r="E1047" s="37"/>
      <c r="F1047" s="37"/>
      <c r="G1047" s="37">
        <f t="shared" si="130"/>
        <v>0</v>
      </c>
      <c r="H1047" s="37"/>
      <c r="I1047" s="37"/>
      <c r="J1047" s="37"/>
      <c r="K1047" s="37"/>
      <c r="L1047" s="37"/>
      <c r="M1047" s="37"/>
      <c r="N1047" s="37"/>
      <c r="O1047" s="37"/>
      <c r="P1047" s="37"/>
      <c r="Q1047" s="37"/>
      <c r="R1047" s="37"/>
      <c r="S1047" s="37"/>
      <c r="T1047" s="37"/>
      <c r="U1047" s="37"/>
      <c r="V1047" s="37"/>
      <c r="W1047" s="37"/>
      <c r="X1047" s="37"/>
      <c r="Y1047" s="37"/>
      <c r="Z1047" s="37"/>
      <c r="AA1047" s="37">
        <f t="shared" ref="AA1047:AA1110" si="136">SUM(G1047:Z1047)</f>
        <v>0</v>
      </c>
      <c r="AB1047" s="37">
        <f t="shared" si="133"/>
        <v>0</v>
      </c>
    </row>
    <row r="1048" spans="1:28" ht="14.4">
      <c r="A1048" s="117">
        <v>4130111125</v>
      </c>
      <c r="B1048" s="117" t="s">
        <v>983</v>
      </c>
      <c r="C1048" s="37">
        <f>-VLOOKUP(A1048,Composición!C:G,5,FALSE)</f>
        <v>0</v>
      </c>
      <c r="D1048" s="37"/>
      <c r="E1048" s="37"/>
      <c r="F1048" s="37"/>
      <c r="G1048" s="37">
        <f t="shared" si="130"/>
        <v>0</v>
      </c>
      <c r="H1048" s="37"/>
      <c r="I1048" s="37"/>
      <c r="J1048" s="37"/>
      <c r="K1048" s="37"/>
      <c r="L1048" s="37"/>
      <c r="M1048" s="37"/>
      <c r="N1048" s="37"/>
      <c r="O1048" s="37"/>
      <c r="P1048" s="37"/>
      <c r="Q1048" s="37"/>
      <c r="R1048" s="37"/>
      <c r="S1048" s="37"/>
      <c r="T1048" s="37"/>
      <c r="U1048" s="37"/>
      <c r="V1048" s="37"/>
      <c r="W1048" s="37"/>
      <c r="X1048" s="37"/>
      <c r="Y1048" s="37"/>
      <c r="Z1048" s="37"/>
      <c r="AA1048" s="37">
        <f t="shared" si="136"/>
        <v>0</v>
      </c>
      <c r="AB1048" s="37">
        <f t="shared" si="133"/>
        <v>0</v>
      </c>
    </row>
    <row r="1049" spans="1:28" ht="14.4">
      <c r="A1049" s="117">
        <v>4130111126</v>
      </c>
      <c r="B1049" s="117" t="s">
        <v>984</v>
      </c>
      <c r="C1049" s="37">
        <f>-VLOOKUP(A1049,Composición!C:G,5,FALSE)</f>
        <v>0</v>
      </c>
      <c r="D1049" s="37"/>
      <c r="E1049" s="37"/>
      <c r="F1049" s="37"/>
      <c r="G1049" s="37">
        <f t="shared" si="130"/>
        <v>0</v>
      </c>
      <c r="H1049" s="37"/>
      <c r="I1049" s="37"/>
      <c r="J1049" s="37"/>
      <c r="K1049" s="37"/>
      <c r="L1049" s="37"/>
      <c r="M1049" s="37"/>
      <c r="N1049" s="37"/>
      <c r="O1049" s="37"/>
      <c r="P1049" s="37"/>
      <c r="Q1049" s="37"/>
      <c r="R1049" s="37"/>
      <c r="S1049" s="37">
        <f>-G1049</f>
        <v>0</v>
      </c>
      <c r="T1049" s="37"/>
      <c r="U1049" s="37"/>
      <c r="V1049" s="37"/>
      <c r="W1049" s="37"/>
      <c r="X1049" s="37"/>
      <c r="Y1049" s="37"/>
      <c r="Z1049" s="37"/>
      <c r="AA1049" s="37">
        <f t="shared" si="136"/>
        <v>0</v>
      </c>
      <c r="AB1049" s="37">
        <f t="shared" si="133"/>
        <v>0</v>
      </c>
    </row>
    <row r="1050" spans="1:28" ht="14.4">
      <c r="A1050" s="117">
        <v>4130111127</v>
      </c>
      <c r="B1050" s="117" t="s">
        <v>985</v>
      </c>
      <c r="C1050" s="37">
        <f>-VLOOKUP(A1050,Composición!C:G,5,FALSE)</f>
        <v>0</v>
      </c>
      <c r="D1050" s="37"/>
      <c r="E1050" s="37"/>
      <c r="F1050" s="37"/>
      <c r="G1050" s="37">
        <f t="shared" si="130"/>
        <v>0</v>
      </c>
      <c r="H1050" s="37"/>
      <c r="I1050" s="37"/>
      <c r="J1050" s="37"/>
      <c r="K1050" s="37"/>
      <c r="L1050" s="37"/>
      <c r="M1050" s="37"/>
      <c r="N1050" s="37"/>
      <c r="O1050" s="37"/>
      <c r="P1050" s="37"/>
      <c r="Q1050" s="37"/>
      <c r="R1050" s="37"/>
      <c r="S1050" s="37">
        <f>-G1050</f>
        <v>0</v>
      </c>
      <c r="T1050" s="37"/>
      <c r="U1050" s="37"/>
      <c r="V1050" s="37"/>
      <c r="W1050" s="37"/>
      <c r="X1050" s="37"/>
      <c r="Y1050" s="37"/>
      <c r="Z1050" s="37"/>
      <c r="AA1050" s="37">
        <f t="shared" si="136"/>
        <v>0</v>
      </c>
      <c r="AB1050" s="37">
        <f t="shared" si="133"/>
        <v>0</v>
      </c>
    </row>
    <row r="1051" spans="1:28" ht="14.4">
      <c r="A1051" s="117">
        <v>4130111128</v>
      </c>
      <c r="B1051" s="117" t="s">
        <v>986</v>
      </c>
      <c r="C1051" s="37">
        <f>-VLOOKUP(A1051,Composición!C:G,5,FALSE)</f>
        <v>0</v>
      </c>
      <c r="D1051" s="37"/>
      <c r="E1051" s="37"/>
      <c r="F1051" s="37"/>
      <c r="G1051" s="37">
        <f t="shared" si="130"/>
        <v>0</v>
      </c>
      <c r="H1051" s="37"/>
      <c r="I1051" s="37"/>
      <c r="J1051" s="37"/>
      <c r="K1051" s="37"/>
      <c r="L1051" s="37"/>
      <c r="M1051" s="37"/>
      <c r="N1051" s="37"/>
      <c r="O1051" s="37"/>
      <c r="P1051" s="37"/>
      <c r="Q1051" s="37"/>
      <c r="R1051" s="37"/>
      <c r="S1051" s="37"/>
      <c r="T1051" s="37"/>
      <c r="U1051" s="37"/>
      <c r="V1051" s="37"/>
      <c r="W1051" s="37"/>
      <c r="X1051" s="37"/>
      <c r="Y1051" s="37"/>
      <c r="Z1051" s="37"/>
      <c r="AA1051" s="37">
        <f t="shared" si="136"/>
        <v>0</v>
      </c>
      <c r="AB1051" s="37">
        <f t="shared" si="133"/>
        <v>0</v>
      </c>
    </row>
    <row r="1052" spans="1:28" ht="14.4">
      <c r="A1052" s="117">
        <v>4130111129</v>
      </c>
      <c r="B1052" s="117" t="s">
        <v>279</v>
      </c>
      <c r="C1052" s="37">
        <f>-VLOOKUP(A1052,Composición!C:G,5,FALSE)</f>
        <v>-469957279</v>
      </c>
      <c r="D1052" s="37"/>
      <c r="E1052" s="37"/>
      <c r="F1052" s="37"/>
      <c r="G1052" s="37">
        <f t="shared" si="130"/>
        <v>-469957279</v>
      </c>
      <c r="H1052" s="37"/>
      <c r="I1052" s="37"/>
      <c r="J1052" s="37"/>
      <c r="K1052" s="37"/>
      <c r="L1052" s="37"/>
      <c r="M1052" s="37"/>
      <c r="N1052" s="37"/>
      <c r="O1052" s="37"/>
      <c r="P1052" s="37"/>
      <c r="Q1052" s="37"/>
      <c r="R1052" s="37"/>
      <c r="S1052" s="37"/>
      <c r="T1052" s="37">
        <f t="shared" ref="T1052" si="137">-G1052</f>
        <v>469957279</v>
      </c>
      <c r="U1052" s="37"/>
      <c r="V1052" s="37"/>
      <c r="W1052" s="37"/>
      <c r="X1052" s="37"/>
      <c r="Y1052" s="37"/>
      <c r="Z1052" s="37"/>
      <c r="AA1052" s="37">
        <f t="shared" si="136"/>
        <v>0</v>
      </c>
      <c r="AB1052" s="37">
        <f t="shared" si="133"/>
        <v>0</v>
      </c>
    </row>
    <row r="1053" spans="1:28" ht="14.4">
      <c r="A1053" s="117">
        <v>4130111130</v>
      </c>
      <c r="B1053" s="117" t="s">
        <v>987</v>
      </c>
      <c r="C1053" s="37">
        <f>-VLOOKUP(A1053,Composición!C:G,5,FALSE)</f>
        <v>0</v>
      </c>
      <c r="D1053" s="37"/>
      <c r="E1053" s="37"/>
      <c r="F1053" s="37"/>
      <c r="G1053" s="37">
        <f t="shared" si="130"/>
        <v>0</v>
      </c>
      <c r="H1053" s="37"/>
      <c r="I1053" s="37"/>
      <c r="J1053" s="37"/>
      <c r="K1053" s="37"/>
      <c r="L1053" s="37"/>
      <c r="M1053" s="37"/>
      <c r="N1053" s="37"/>
      <c r="O1053" s="37"/>
      <c r="P1053" s="37"/>
      <c r="Q1053" s="37"/>
      <c r="R1053" s="37"/>
      <c r="S1053" s="37">
        <f>-G1053</f>
        <v>0</v>
      </c>
      <c r="T1053" s="37"/>
      <c r="U1053" s="37"/>
      <c r="V1053" s="37"/>
      <c r="W1053" s="37"/>
      <c r="X1053" s="37"/>
      <c r="Y1053" s="37"/>
      <c r="Z1053" s="37"/>
      <c r="AA1053" s="37">
        <f t="shared" si="136"/>
        <v>0</v>
      </c>
      <c r="AB1053" s="37">
        <f t="shared" si="133"/>
        <v>0</v>
      </c>
    </row>
    <row r="1054" spans="1:28" ht="14.4">
      <c r="A1054" s="117">
        <v>41301112</v>
      </c>
      <c r="B1054" s="117" t="s">
        <v>988</v>
      </c>
      <c r="C1054" s="37">
        <f>-VLOOKUP(A1054,Composición!C:G,5,FALSE)</f>
        <v>0</v>
      </c>
      <c r="D1054" s="37"/>
      <c r="E1054" s="37"/>
      <c r="F1054" s="37"/>
      <c r="G1054" s="37">
        <f t="shared" si="130"/>
        <v>0</v>
      </c>
      <c r="H1054" s="37"/>
      <c r="I1054" s="37"/>
      <c r="J1054" s="37"/>
      <c r="K1054" s="37"/>
      <c r="L1054" s="37"/>
      <c r="M1054" s="37"/>
      <c r="N1054" s="37"/>
      <c r="O1054" s="37"/>
      <c r="P1054" s="37"/>
      <c r="Q1054" s="37"/>
      <c r="R1054" s="37"/>
      <c r="S1054" s="37">
        <f t="shared" ref="S1054" si="138">-G1054</f>
        <v>0</v>
      </c>
      <c r="T1054" s="37"/>
      <c r="U1054" s="37"/>
      <c r="V1054" s="37"/>
      <c r="W1054" s="37"/>
      <c r="X1054" s="37"/>
      <c r="Y1054" s="37"/>
      <c r="Z1054" s="37"/>
      <c r="AA1054" s="37">
        <f t="shared" si="136"/>
        <v>0</v>
      </c>
      <c r="AB1054" s="37">
        <f t="shared" si="133"/>
        <v>0</v>
      </c>
    </row>
    <row r="1055" spans="1:28" ht="14.4">
      <c r="A1055" s="117">
        <v>4130111201</v>
      </c>
      <c r="B1055" s="117" t="s">
        <v>335</v>
      </c>
      <c r="C1055" s="37">
        <f>-VLOOKUP(A1055,Composición!C:G,5,FALSE)</f>
        <v>-204138454</v>
      </c>
      <c r="D1055" s="37"/>
      <c r="E1055" s="37"/>
      <c r="F1055" s="37"/>
      <c r="G1055" s="37">
        <f t="shared" si="130"/>
        <v>-204138454</v>
      </c>
      <c r="H1055" s="37"/>
      <c r="I1055" s="37"/>
      <c r="J1055" s="37"/>
      <c r="K1055" s="37"/>
      <c r="L1055" s="37"/>
      <c r="M1055" s="37"/>
      <c r="N1055" s="37"/>
      <c r="O1055" s="37"/>
      <c r="P1055" s="37"/>
      <c r="Q1055" s="37"/>
      <c r="R1055" s="37"/>
      <c r="S1055" s="37"/>
      <c r="T1055" s="37" t="s">
        <v>1328</v>
      </c>
      <c r="U1055" s="37">
        <f>-G1055</f>
        <v>204138454</v>
      </c>
      <c r="V1055" s="37"/>
      <c r="W1055" s="37"/>
      <c r="X1055" s="37"/>
      <c r="Y1055" s="37"/>
      <c r="Z1055" s="37"/>
      <c r="AA1055" s="37">
        <f t="shared" si="136"/>
        <v>0</v>
      </c>
      <c r="AB1055" s="37">
        <f t="shared" si="133"/>
        <v>0</v>
      </c>
    </row>
    <row r="1056" spans="1:28" ht="14.4">
      <c r="A1056" s="117">
        <v>4130111202</v>
      </c>
      <c r="B1056" s="117" t="s">
        <v>988</v>
      </c>
      <c r="C1056" s="37">
        <f>-VLOOKUP(A1056,Composición!C:G,5,FALSE)</f>
        <v>0</v>
      </c>
      <c r="D1056" s="37"/>
      <c r="E1056" s="37"/>
      <c r="F1056" s="37"/>
      <c r="G1056" s="37">
        <f t="shared" si="130"/>
        <v>0</v>
      </c>
      <c r="H1056" s="37"/>
      <c r="I1056" s="37"/>
      <c r="J1056" s="37"/>
      <c r="K1056" s="37"/>
      <c r="L1056" s="37"/>
      <c r="M1056" s="37"/>
      <c r="N1056" s="37"/>
      <c r="O1056" s="37"/>
      <c r="P1056" s="37"/>
      <c r="Q1056" s="37"/>
      <c r="R1056" s="37"/>
      <c r="S1056" s="37"/>
      <c r="T1056" s="37"/>
      <c r="U1056" s="37"/>
      <c r="V1056" s="37"/>
      <c r="W1056" s="37"/>
      <c r="X1056" s="37"/>
      <c r="Y1056" s="37"/>
      <c r="Z1056" s="37"/>
      <c r="AA1056" s="37">
        <f t="shared" si="136"/>
        <v>0</v>
      </c>
      <c r="AB1056" s="37">
        <f t="shared" si="133"/>
        <v>0</v>
      </c>
    </row>
    <row r="1057" spans="1:28" ht="14.4">
      <c r="A1057" s="117">
        <v>4130112</v>
      </c>
      <c r="B1057" s="117" t="s">
        <v>336</v>
      </c>
      <c r="C1057" s="37">
        <f>-VLOOKUP(A1057,Composición!C:G,5,FALSE)</f>
        <v>0</v>
      </c>
      <c r="D1057" s="37"/>
      <c r="E1057" s="37"/>
      <c r="F1057" s="37"/>
      <c r="G1057" s="37">
        <f t="shared" si="130"/>
        <v>0</v>
      </c>
      <c r="H1057" s="37"/>
      <c r="I1057" s="37"/>
      <c r="J1057" s="37"/>
      <c r="K1057" s="37"/>
      <c r="L1057" s="37"/>
      <c r="M1057" s="37"/>
      <c r="N1057" s="37"/>
      <c r="O1057" s="37"/>
      <c r="P1057" s="37"/>
      <c r="Q1057" s="37"/>
      <c r="R1057" s="37"/>
      <c r="S1057" s="37"/>
      <c r="T1057" s="37"/>
      <c r="U1057" s="37"/>
      <c r="V1057" s="37"/>
      <c r="W1057" s="37"/>
      <c r="X1057" s="37"/>
      <c r="Y1057" s="37"/>
      <c r="Z1057" s="37"/>
      <c r="AA1057" s="37">
        <f t="shared" si="136"/>
        <v>0</v>
      </c>
      <c r="AB1057" s="37">
        <f t="shared" si="133"/>
        <v>0</v>
      </c>
    </row>
    <row r="1058" spans="1:28" ht="14.4">
      <c r="A1058" s="117">
        <v>41301121</v>
      </c>
      <c r="B1058" s="117" t="s">
        <v>337</v>
      </c>
      <c r="C1058" s="37">
        <f>-VLOOKUP(A1058,Composición!C:G,5,FALSE)</f>
        <v>0</v>
      </c>
      <c r="D1058" s="37"/>
      <c r="E1058" s="37"/>
      <c r="F1058" s="37"/>
      <c r="G1058" s="37">
        <f t="shared" si="130"/>
        <v>0</v>
      </c>
      <c r="H1058" s="37"/>
      <c r="I1058" s="37"/>
      <c r="J1058" s="37"/>
      <c r="K1058" s="37"/>
      <c r="L1058" s="37"/>
      <c r="M1058" s="37"/>
      <c r="N1058" s="37"/>
      <c r="O1058" s="37"/>
      <c r="P1058" s="37"/>
      <c r="Q1058" s="37"/>
      <c r="R1058" s="37"/>
      <c r="S1058" s="37"/>
      <c r="T1058" s="37"/>
      <c r="U1058" s="37"/>
      <c r="V1058" s="37"/>
      <c r="W1058" s="37"/>
      <c r="X1058" s="37"/>
      <c r="Y1058" s="37"/>
      <c r="Z1058" s="37"/>
      <c r="AA1058" s="37">
        <f t="shared" si="136"/>
        <v>0</v>
      </c>
      <c r="AB1058" s="37">
        <f t="shared" si="133"/>
        <v>0</v>
      </c>
    </row>
    <row r="1059" spans="1:28" ht="14.4">
      <c r="A1059" s="117">
        <v>4130112101</v>
      </c>
      <c r="B1059" s="117" t="s">
        <v>57</v>
      </c>
      <c r="C1059" s="37">
        <f>-VLOOKUP(A1059,Composición!C:G,5,FALSE)</f>
        <v>-34415221</v>
      </c>
      <c r="D1059" s="37"/>
      <c r="E1059" s="37"/>
      <c r="F1059" s="37"/>
      <c r="G1059" s="37">
        <f t="shared" si="130"/>
        <v>-34415221</v>
      </c>
      <c r="H1059" s="37"/>
      <c r="I1059" s="37"/>
      <c r="J1059" s="37"/>
      <c r="K1059" s="37"/>
      <c r="L1059" s="37"/>
      <c r="M1059" s="37"/>
      <c r="N1059" s="37"/>
      <c r="O1059" s="37"/>
      <c r="P1059" s="37"/>
      <c r="Q1059" s="37"/>
      <c r="R1059" s="37"/>
      <c r="S1059" s="37">
        <f t="shared" ref="S1059:S1067" si="139">-G1059</f>
        <v>34415221</v>
      </c>
      <c r="T1059" s="37"/>
      <c r="U1059" s="37"/>
      <c r="V1059" s="37"/>
      <c r="W1059" s="37"/>
      <c r="X1059" s="37"/>
      <c r="Y1059" s="37"/>
      <c r="Z1059" s="37"/>
      <c r="AA1059" s="37">
        <f t="shared" si="136"/>
        <v>0</v>
      </c>
      <c r="AB1059" s="37">
        <f t="shared" si="133"/>
        <v>0</v>
      </c>
    </row>
    <row r="1060" spans="1:28" ht="14.4">
      <c r="A1060" s="117">
        <v>4130112102</v>
      </c>
      <c r="B1060" s="117" t="s">
        <v>254</v>
      </c>
      <c r="C1060" s="37">
        <f>-VLOOKUP(A1060,Composición!C:G,5,FALSE)</f>
        <v>-206953</v>
      </c>
      <c r="D1060" s="37"/>
      <c r="E1060" s="37"/>
      <c r="F1060" s="37"/>
      <c r="G1060" s="37">
        <f t="shared" si="130"/>
        <v>-206953</v>
      </c>
      <c r="H1060" s="37"/>
      <c r="I1060" s="37"/>
      <c r="J1060" s="37"/>
      <c r="K1060" s="37"/>
      <c r="L1060" s="37"/>
      <c r="M1060" s="37"/>
      <c r="N1060" s="37"/>
      <c r="O1060" s="37"/>
      <c r="P1060" s="37"/>
      <c r="Q1060" s="37"/>
      <c r="R1060" s="37"/>
      <c r="S1060" s="37">
        <f t="shared" si="139"/>
        <v>206953</v>
      </c>
      <c r="T1060" s="37"/>
      <c r="U1060" s="37"/>
      <c r="V1060" s="37"/>
      <c r="W1060" s="37"/>
      <c r="X1060" s="37"/>
      <c r="Y1060" s="37"/>
      <c r="Z1060" s="37"/>
      <c r="AA1060" s="37">
        <f t="shared" si="136"/>
        <v>0</v>
      </c>
      <c r="AB1060" s="37">
        <f t="shared" si="133"/>
        <v>0</v>
      </c>
    </row>
    <row r="1061" spans="1:28" ht="14.4">
      <c r="A1061" s="117">
        <v>4130112103</v>
      </c>
      <c r="B1061" s="117" t="s">
        <v>256</v>
      </c>
      <c r="C1061" s="37">
        <f>-VLOOKUP(A1061,Composición!C:G,5,FALSE)</f>
        <v>0</v>
      </c>
      <c r="D1061" s="37"/>
      <c r="E1061" s="37"/>
      <c r="F1061" s="37"/>
      <c r="G1061" s="37">
        <f t="shared" ref="G1061:G1135" si="140">C1061+D1061-E1061-F1061</f>
        <v>0</v>
      </c>
      <c r="H1061" s="37"/>
      <c r="I1061" s="37"/>
      <c r="J1061" s="37"/>
      <c r="K1061" s="37"/>
      <c r="L1061" s="37"/>
      <c r="M1061" s="37"/>
      <c r="N1061" s="37"/>
      <c r="O1061" s="37"/>
      <c r="P1061" s="37"/>
      <c r="Q1061" s="37"/>
      <c r="R1061" s="37"/>
      <c r="S1061" s="37">
        <f t="shared" si="139"/>
        <v>0</v>
      </c>
      <c r="T1061" s="37"/>
      <c r="U1061" s="37"/>
      <c r="V1061" s="37"/>
      <c r="W1061" s="37"/>
      <c r="X1061" s="37"/>
      <c r="Y1061" s="37"/>
      <c r="Z1061" s="37"/>
      <c r="AA1061" s="37">
        <f t="shared" si="136"/>
        <v>0</v>
      </c>
      <c r="AB1061" s="37">
        <f t="shared" si="133"/>
        <v>0</v>
      </c>
    </row>
    <row r="1062" spans="1:28" ht="14.4">
      <c r="A1062" s="117">
        <v>4130112104</v>
      </c>
      <c r="B1062" s="117" t="s">
        <v>258</v>
      </c>
      <c r="C1062" s="37">
        <f>-VLOOKUP(A1062,Composición!C:G,5,FALSE)</f>
        <v>-143120</v>
      </c>
      <c r="D1062" s="37"/>
      <c r="E1062" s="37"/>
      <c r="F1062" s="37"/>
      <c r="G1062" s="37">
        <f t="shared" si="140"/>
        <v>-143120</v>
      </c>
      <c r="H1062" s="37"/>
      <c r="I1062" s="37"/>
      <c r="J1062" s="37"/>
      <c r="K1062" s="37"/>
      <c r="L1062" s="37"/>
      <c r="M1062" s="37"/>
      <c r="N1062" s="37"/>
      <c r="O1062" s="37"/>
      <c r="P1062" s="37"/>
      <c r="Q1062" s="37"/>
      <c r="R1062" s="37"/>
      <c r="S1062" s="37">
        <f t="shared" si="139"/>
        <v>143120</v>
      </c>
      <c r="T1062" s="37"/>
      <c r="U1062" s="37"/>
      <c r="V1062" s="37"/>
      <c r="W1062" s="37"/>
      <c r="X1062" s="37"/>
      <c r="Y1062" s="37"/>
      <c r="Z1062" s="37"/>
      <c r="AA1062" s="37">
        <f t="shared" si="136"/>
        <v>0</v>
      </c>
      <c r="AB1062" s="37">
        <f t="shared" si="133"/>
        <v>0</v>
      </c>
    </row>
    <row r="1063" spans="1:28" ht="14.4">
      <c r="A1063" s="117">
        <v>4130112105</v>
      </c>
      <c r="B1063" s="117" t="s">
        <v>59</v>
      </c>
      <c r="C1063" s="37">
        <f>-VLOOKUP(A1063,Composición!C:G,5,FALSE)</f>
        <v>-13354695</v>
      </c>
      <c r="D1063" s="37"/>
      <c r="E1063" s="37"/>
      <c r="F1063" s="37"/>
      <c r="G1063" s="37">
        <f t="shared" si="140"/>
        <v>-13354695</v>
      </c>
      <c r="H1063" s="37"/>
      <c r="I1063" s="37"/>
      <c r="J1063" s="37"/>
      <c r="K1063" s="37"/>
      <c r="L1063" s="37"/>
      <c r="M1063" s="37"/>
      <c r="N1063" s="37"/>
      <c r="O1063" s="37"/>
      <c r="P1063" s="37"/>
      <c r="Q1063" s="37"/>
      <c r="R1063" s="37"/>
      <c r="S1063" s="37">
        <f t="shared" si="139"/>
        <v>13354695</v>
      </c>
      <c r="T1063" s="37"/>
      <c r="U1063" s="37"/>
      <c r="V1063" s="37"/>
      <c r="W1063" s="37"/>
      <c r="X1063" s="37"/>
      <c r="Y1063" s="37"/>
      <c r="Z1063" s="37"/>
      <c r="AA1063" s="37">
        <f t="shared" si="136"/>
        <v>0</v>
      </c>
      <c r="AB1063" s="37">
        <f t="shared" si="133"/>
        <v>0</v>
      </c>
    </row>
    <row r="1064" spans="1:28" ht="14.4">
      <c r="A1064" s="117">
        <v>4130112106</v>
      </c>
      <c r="B1064" s="117" t="s">
        <v>60</v>
      </c>
      <c r="C1064" s="37">
        <f>-VLOOKUP(A1064,Composición!C:G,5,FALSE)</f>
        <v>-7373291</v>
      </c>
      <c r="D1064" s="37"/>
      <c r="E1064" s="37"/>
      <c r="F1064" s="37"/>
      <c r="G1064" s="37">
        <f t="shared" si="140"/>
        <v>-7373291</v>
      </c>
      <c r="H1064" s="37"/>
      <c r="I1064" s="37"/>
      <c r="J1064" s="37"/>
      <c r="K1064" s="37"/>
      <c r="L1064" s="37"/>
      <c r="M1064" s="37"/>
      <c r="N1064" s="37"/>
      <c r="O1064" s="37"/>
      <c r="P1064" s="37"/>
      <c r="Q1064" s="37"/>
      <c r="R1064" s="37"/>
      <c r="S1064" s="37">
        <f t="shared" si="139"/>
        <v>7373291</v>
      </c>
      <c r="T1064" s="37"/>
      <c r="U1064" s="37"/>
      <c r="V1064" s="37"/>
      <c r="W1064" s="37"/>
      <c r="X1064" s="37"/>
      <c r="Y1064" s="37"/>
      <c r="Z1064" s="37"/>
      <c r="AA1064" s="37">
        <f t="shared" si="136"/>
        <v>0</v>
      </c>
      <c r="AB1064" s="37">
        <f t="shared" si="133"/>
        <v>0</v>
      </c>
    </row>
    <row r="1065" spans="1:28" ht="14.4">
      <c r="A1065" s="117">
        <v>4130112107</v>
      </c>
      <c r="B1065" s="117" t="s">
        <v>63</v>
      </c>
      <c r="C1065" s="37">
        <f>-VLOOKUP(A1065,Composición!C:G,5,FALSE)</f>
        <v>-1231293</v>
      </c>
      <c r="D1065" s="37"/>
      <c r="E1065" s="37"/>
      <c r="F1065" s="37"/>
      <c r="G1065" s="37">
        <f t="shared" si="140"/>
        <v>-1231293</v>
      </c>
      <c r="H1065" s="37"/>
      <c r="I1065" s="37"/>
      <c r="J1065" s="37"/>
      <c r="K1065" s="37"/>
      <c r="L1065" s="37"/>
      <c r="M1065" s="37"/>
      <c r="N1065" s="37"/>
      <c r="O1065" s="37"/>
      <c r="P1065" s="37"/>
      <c r="Q1065" s="37"/>
      <c r="R1065" s="37"/>
      <c r="S1065" s="37">
        <f t="shared" si="139"/>
        <v>1231293</v>
      </c>
      <c r="T1065" s="37"/>
      <c r="U1065" s="37"/>
      <c r="V1065" s="37"/>
      <c r="W1065" s="37"/>
      <c r="X1065" s="37"/>
      <c r="Y1065" s="37"/>
      <c r="Z1065" s="37"/>
      <c r="AA1065" s="37">
        <f t="shared" si="136"/>
        <v>0</v>
      </c>
      <c r="AB1065" s="37">
        <f t="shared" si="133"/>
        <v>0</v>
      </c>
    </row>
    <row r="1066" spans="1:28" ht="14.4">
      <c r="A1066" s="117">
        <v>4130112108</v>
      </c>
      <c r="B1066" s="117" t="s">
        <v>64</v>
      </c>
      <c r="C1066" s="37">
        <f>-VLOOKUP(A1066,Composición!C:G,5,FALSE)</f>
        <v>0</v>
      </c>
      <c r="D1066" s="37"/>
      <c r="E1066" s="37"/>
      <c r="F1066" s="37"/>
      <c r="G1066" s="37">
        <f t="shared" si="140"/>
        <v>0</v>
      </c>
      <c r="H1066" s="37"/>
      <c r="I1066" s="37"/>
      <c r="J1066" s="37"/>
      <c r="K1066" s="37"/>
      <c r="L1066" s="37"/>
      <c r="M1066" s="37"/>
      <c r="N1066" s="37"/>
      <c r="O1066" s="37"/>
      <c r="P1066" s="37"/>
      <c r="Q1066" s="37"/>
      <c r="R1066" s="37"/>
      <c r="S1066" s="37"/>
      <c r="T1066" s="37"/>
      <c r="U1066" s="37"/>
      <c r="V1066" s="37"/>
      <c r="W1066" s="37"/>
      <c r="X1066" s="37"/>
      <c r="Y1066" s="37"/>
      <c r="Z1066" s="37"/>
      <c r="AA1066" s="37">
        <f t="shared" si="136"/>
        <v>0</v>
      </c>
      <c r="AB1066" s="37">
        <f t="shared" si="133"/>
        <v>0</v>
      </c>
    </row>
    <row r="1067" spans="1:28" ht="14.4">
      <c r="A1067" s="836">
        <v>4130112109</v>
      </c>
      <c r="B1067" s="836" t="s">
        <v>66</v>
      </c>
      <c r="C1067" s="37">
        <f>-VLOOKUP(A1067,Composición!C:G,5,FALSE)</f>
        <v>-121801636</v>
      </c>
      <c r="D1067" s="37"/>
      <c r="E1067" s="37"/>
      <c r="F1067" s="37"/>
      <c r="G1067" s="37">
        <f t="shared" si="140"/>
        <v>-121801636</v>
      </c>
      <c r="H1067" s="37"/>
      <c r="I1067" s="37"/>
      <c r="J1067" s="37"/>
      <c r="K1067" s="37"/>
      <c r="L1067" s="37"/>
      <c r="M1067" s="37"/>
      <c r="N1067" s="37"/>
      <c r="O1067" s="37"/>
      <c r="P1067" s="37"/>
      <c r="Q1067" s="37"/>
      <c r="R1067" s="37"/>
      <c r="S1067" s="37">
        <f t="shared" si="139"/>
        <v>121801636</v>
      </c>
      <c r="T1067" s="37"/>
      <c r="U1067" s="37"/>
      <c r="V1067" s="37"/>
      <c r="W1067" s="37"/>
      <c r="X1067" s="37"/>
      <c r="Y1067" s="37"/>
      <c r="Z1067" s="37"/>
      <c r="AA1067" s="37">
        <f t="shared" si="136"/>
        <v>0</v>
      </c>
      <c r="AB1067" s="37">
        <f t="shared" si="133"/>
        <v>0</v>
      </c>
    </row>
    <row r="1068" spans="1:28" ht="14.4">
      <c r="A1068" s="117">
        <v>4130112113</v>
      </c>
      <c r="B1068" s="117" t="s">
        <v>267</v>
      </c>
      <c r="C1068" s="37">
        <f>-VLOOKUP(A1068,Composición!C:G,5,FALSE)</f>
        <v>0</v>
      </c>
      <c r="D1068" s="37"/>
      <c r="E1068" s="37"/>
      <c r="F1068" s="37"/>
      <c r="G1068" s="37">
        <f t="shared" si="140"/>
        <v>0</v>
      </c>
      <c r="H1068" s="37"/>
      <c r="I1068" s="37"/>
      <c r="J1068" s="37"/>
      <c r="K1068" s="37"/>
      <c r="L1068" s="37"/>
      <c r="M1068" s="37"/>
      <c r="N1068" s="37"/>
      <c r="O1068" s="37"/>
      <c r="P1068" s="37"/>
      <c r="Q1068" s="37"/>
      <c r="R1068" s="37"/>
      <c r="S1068" s="37"/>
      <c r="T1068" s="37"/>
      <c r="U1068" s="37"/>
      <c r="V1068" s="37"/>
      <c r="W1068" s="37"/>
      <c r="X1068" s="37"/>
      <c r="Y1068" s="37"/>
      <c r="Z1068" s="37"/>
      <c r="AA1068" s="37">
        <f t="shared" si="136"/>
        <v>0</v>
      </c>
      <c r="AB1068" s="37">
        <f t="shared" si="133"/>
        <v>0</v>
      </c>
    </row>
    <row r="1069" spans="1:28" ht="14.4">
      <c r="A1069" s="117">
        <v>4130112114</v>
      </c>
      <c r="B1069" s="117" t="s">
        <v>269</v>
      </c>
      <c r="C1069" s="37">
        <f>-VLOOKUP(A1069,Composición!C:G,5,FALSE)</f>
        <v>0</v>
      </c>
      <c r="D1069" s="37"/>
      <c r="E1069" s="37"/>
      <c r="F1069" s="37"/>
      <c r="G1069" s="37">
        <f t="shared" si="140"/>
        <v>0</v>
      </c>
      <c r="H1069" s="37"/>
      <c r="I1069" s="37"/>
      <c r="J1069" s="37"/>
      <c r="K1069" s="37"/>
      <c r="L1069" s="37"/>
      <c r="M1069" s="37"/>
      <c r="N1069" s="37"/>
      <c r="O1069" s="37"/>
      <c r="P1069" s="37"/>
      <c r="Q1069" s="37"/>
      <c r="R1069" s="37"/>
      <c r="S1069" s="37"/>
      <c r="T1069" s="37"/>
      <c r="U1069" s="37"/>
      <c r="V1069" s="37"/>
      <c r="W1069" s="37"/>
      <c r="X1069" s="37"/>
      <c r="Y1069" s="37"/>
      <c r="Z1069" s="37"/>
      <c r="AA1069" s="37">
        <f t="shared" si="136"/>
        <v>0</v>
      </c>
      <c r="AB1069" s="37">
        <f t="shared" si="133"/>
        <v>0</v>
      </c>
    </row>
    <row r="1070" spans="1:28" ht="14.4">
      <c r="A1070" s="117">
        <v>4130112115</v>
      </c>
      <c r="B1070" s="117" t="s">
        <v>978</v>
      </c>
      <c r="C1070" s="37">
        <f>-VLOOKUP(A1070,Composición!C:G,5,FALSE)</f>
        <v>0</v>
      </c>
      <c r="D1070" s="37"/>
      <c r="E1070" s="37"/>
      <c r="F1070" s="37"/>
      <c r="G1070" s="37">
        <f t="shared" si="140"/>
        <v>0</v>
      </c>
      <c r="H1070" s="37"/>
      <c r="I1070" s="37"/>
      <c r="J1070" s="37"/>
      <c r="K1070" s="37"/>
      <c r="L1070" s="37"/>
      <c r="M1070" s="37"/>
      <c r="N1070" s="37"/>
      <c r="O1070" s="37"/>
      <c r="P1070" s="37"/>
      <c r="Q1070" s="37"/>
      <c r="R1070" s="37"/>
      <c r="S1070" s="37"/>
      <c r="T1070" s="37"/>
      <c r="U1070" s="37"/>
      <c r="V1070" s="37"/>
      <c r="W1070" s="37"/>
      <c r="X1070" s="37"/>
      <c r="Y1070" s="37"/>
      <c r="Z1070" s="37"/>
      <c r="AA1070" s="37">
        <f t="shared" si="136"/>
        <v>0</v>
      </c>
      <c r="AB1070" s="37">
        <f t="shared" si="133"/>
        <v>0</v>
      </c>
    </row>
    <row r="1071" spans="1:28" ht="14.4">
      <c r="A1071" s="117">
        <v>4130112116</v>
      </c>
      <c r="B1071" s="117" t="s">
        <v>991</v>
      </c>
      <c r="C1071" s="37">
        <f>-VLOOKUP(A1071,Composición!C:G,5,FALSE)</f>
        <v>0</v>
      </c>
      <c r="D1071" s="37"/>
      <c r="E1071" s="37"/>
      <c r="F1071" s="37"/>
      <c r="G1071" s="37">
        <f t="shared" si="140"/>
        <v>0</v>
      </c>
      <c r="H1071" s="37"/>
      <c r="I1071" s="37"/>
      <c r="J1071" s="37"/>
      <c r="K1071" s="37"/>
      <c r="L1071" s="37"/>
      <c r="M1071" s="37"/>
      <c r="N1071" s="37"/>
      <c r="O1071" s="37"/>
      <c r="P1071" s="37"/>
      <c r="Q1071" s="37"/>
      <c r="R1071" s="37"/>
      <c r="S1071" s="37"/>
      <c r="T1071" s="37"/>
      <c r="U1071" s="37"/>
      <c r="V1071" s="37"/>
      <c r="W1071" s="37"/>
      <c r="X1071" s="37"/>
      <c r="Y1071" s="37"/>
      <c r="Z1071" s="37"/>
      <c r="AA1071" s="37">
        <f t="shared" si="136"/>
        <v>0</v>
      </c>
      <c r="AB1071" s="37">
        <f t="shared" si="133"/>
        <v>0</v>
      </c>
    </row>
    <row r="1072" spans="1:28" ht="14.4">
      <c r="A1072" s="117">
        <v>4130112117</v>
      </c>
      <c r="B1072" s="117" t="s">
        <v>271</v>
      </c>
      <c r="C1072" s="37">
        <f>-VLOOKUP(A1072,Composición!C:G,5,FALSE)</f>
        <v>-9865050</v>
      </c>
      <c r="D1072" s="37"/>
      <c r="E1072" s="37"/>
      <c r="F1072" s="37"/>
      <c r="G1072" s="37">
        <f t="shared" si="140"/>
        <v>-9865050</v>
      </c>
      <c r="H1072" s="37"/>
      <c r="I1072" s="37"/>
      <c r="J1072" s="37"/>
      <c r="K1072" s="37"/>
      <c r="L1072" s="37"/>
      <c r="M1072" s="37"/>
      <c r="N1072" s="37"/>
      <c r="O1072" s="37"/>
      <c r="P1072" s="37"/>
      <c r="Q1072" s="37"/>
      <c r="R1072" s="37"/>
      <c r="S1072" s="37">
        <f>-G1072</f>
        <v>9865050</v>
      </c>
      <c r="T1072" s="37"/>
      <c r="U1072" s="37"/>
      <c r="V1072" s="37"/>
      <c r="W1072" s="37"/>
      <c r="X1072" s="37"/>
      <c r="Y1072" s="37"/>
      <c r="Z1072" s="37"/>
      <c r="AA1072" s="37">
        <f t="shared" si="136"/>
        <v>0</v>
      </c>
      <c r="AB1072" s="37">
        <f t="shared" si="133"/>
        <v>0</v>
      </c>
    </row>
    <row r="1073" spans="1:28" ht="14.4">
      <c r="A1073" s="117">
        <v>4130112118</v>
      </c>
      <c r="B1073" s="117" t="s">
        <v>274</v>
      </c>
      <c r="C1073" s="37">
        <f>-VLOOKUP(A1073,Composición!C:G,5,FALSE)</f>
        <v>0</v>
      </c>
      <c r="D1073" s="37"/>
      <c r="E1073" s="37"/>
      <c r="F1073" s="37"/>
      <c r="G1073" s="37">
        <f t="shared" si="140"/>
        <v>0</v>
      </c>
      <c r="H1073" s="37"/>
      <c r="I1073" s="37"/>
      <c r="J1073" s="37"/>
      <c r="K1073" s="37"/>
      <c r="L1073" s="37"/>
      <c r="M1073" s="37"/>
      <c r="N1073" s="37"/>
      <c r="O1073" s="37"/>
      <c r="P1073" s="37"/>
      <c r="Q1073" s="37"/>
      <c r="R1073" s="37"/>
      <c r="S1073" s="37">
        <f>-G1073</f>
        <v>0</v>
      </c>
      <c r="T1073" s="37"/>
      <c r="U1073" s="37"/>
      <c r="V1073" s="37"/>
      <c r="W1073" s="37"/>
      <c r="X1073" s="37"/>
      <c r="Y1073" s="37"/>
      <c r="Z1073" s="37"/>
      <c r="AA1073" s="37">
        <f t="shared" si="136"/>
        <v>0</v>
      </c>
      <c r="AB1073" s="37">
        <f t="shared" si="133"/>
        <v>0</v>
      </c>
    </row>
    <row r="1074" spans="1:28" ht="14.4">
      <c r="A1074" s="117">
        <v>4130112119</v>
      </c>
      <c r="B1074" s="117" t="s">
        <v>413</v>
      </c>
      <c r="C1074" s="37">
        <f>-VLOOKUP(A1074,Composición!C:G,5,FALSE)</f>
        <v>0</v>
      </c>
      <c r="D1074" s="37"/>
      <c r="E1074" s="37"/>
      <c r="F1074" s="37"/>
      <c r="G1074" s="37">
        <f t="shared" si="140"/>
        <v>0</v>
      </c>
      <c r="H1074" s="37"/>
      <c r="I1074" s="37"/>
      <c r="J1074" s="37"/>
      <c r="K1074" s="37"/>
      <c r="L1074" s="37"/>
      <c r="M1074" s="37"/>
      <c r="N1074" s="37"/>
      <c r="O1074" s="37"/>
      <c r="P1074" s="37"/>
      <c r="Q1074" s="37"/>
      <c r="R1074" s="37"/>
      <c r="S1074" s="37">
        <f>-G1074</f>
        <v>0</v>
      </c>
      <c r="T1074" s="37"/>
      <c r="U1074" s="37"/>
      <c r="V1074" s="37"/>
      <c r="W1074" s="37"/>
      <c r="X1074" s="37"/>
      <c r="Y1074" s="37"/>
      <c r="Z1074" s="37"/>
      <c r="AA1074" s="37">
        <f t="shared" si="136"/>
        <v>0</v>
      </c>
      <c r="AB1074" s="37">
        <f t="shared" si="133"/>
        <v>0</v>
      </c>
    </row>
    <row r="1075" spans="1:28" ht="14.4">
      <c r="A1075" s="117">
        <v>4130112120</v>
      </c>
      <c r="B1075" s="117" t="s">
        <v>980</v>
      </c>
      <c r="C1075" s="37">
        <f>-VLOOKUP(A1075,Composición!C:G,5,FALSE)</f>
        <v>0</v>
      </c>
      <c r="D1075" s="37"/>
      <c r="E1075" s="37"/>
      <c r="F1075" s="37"/>
      <c r="G1075" s="37">
        <f t="shared" si="140"/>
        <v>0</v>
      </c>
      <c r="H1075" s="37"/>
      <c r="I1075" s="37"/>
      <c r="J1075" s="37"/>
      <c r="K1075" s="37"/>
      <c r="L1075" s="37"/>
      <c r="M1075" s="37"/>
      <c r="N1075" s="37"/>
      <c r="O1075" s="37"/>
      <c r="P1075" s="37"/>
      <c r="Q1075" s="37"/>
      <c r="R1075" s="37"/>
      <c r="S1075" s="37">
        <f>-G1075</f>
        <v>0</v>
      </c>
      <c r="T1075" s="37"/>
      <c r="U1075" s="37"/>
      <c r="V1075" s="37"/>
      <c r="W1075" s="37"/>
      <c r="X1075" s="37"/>
      <c r="Y1075" s="37"/>
      <c r="Z1075" s="37"/>
      <c r="AA1075" s="37">
        <f t="shared" si="136"/>
        <v>0</v>
      </c>
      <c r="AB1075" s="37">
        <f t="shared" si="133"/>
        <v>0</v>
      </c>
    </row>
    <row r="1076" spans="1:28" ht="14.4">
      <c r="A1076" s="117">
        <v>4130112129</v>
      </c>
      <c r="B1076" s="117" t="s">
        <v>279</v>
      </c>
      <c r="C1076" s="37">
        <f>-VLOOKUP(A1076,Composición!C:G,5,FALSE)</f>
        <v>-3226749</v>
      </c>
      <c r="D1076" s="37"/>
      <c r="E1076" s="37"/>
      <c r="F1076" s="37"/>
      <c r="G1076" s="37">
        <f t="shared" si="140"/>
        <v>-3226749</v>
      </c>
      <c r="H1076" s="37"/>
      <c r="I1076" s="37"/>
      <c r="J1076" s="37"/>
      <c r="K1076" s="37"/>
      <c r="L1076" s="37"/>
      <c r="M1076" s="37"/>
      <c r="N1076" s="37"/>
      <c r="O1076" s="37"/>
      <c r="P1076" s="37"/>
      <c r="Q1076" s="37"/>
      <c r="R1076" s="37"/>
      <c r="S1076" s="37">
        <f>-G1076</f>
        <v>3226749</v>
      </c>
      <c r="T1076" s="37"/>
      <c r="U1076" s="37"/>
      <c r="V1076" s="37"/>
      <c r="W1076" s="37"/>
      <c r="X1076" s="37"/>
      <c r="Y1076" s="37"/>
      <c r="Z1076" s="37"/>
      <c r="AA1076" s="37">
        <f t="shared" si="136"/>
        <v>0</v>
      </c>
      <c r="AB1076" s="37">
        <f t="shared" si="133"/>
        <v>0</v>
      </c>
    </row>
    <row r="1077" spans="1:28" ht="14.4">
      <c r="A1077" s="117">
        <v>4130112130</v>
      </c>
      <c r="B1077" s="117" t="s">
        <v>987</v>
      </c>
      <c r="C1077" s="37">
        <f>-VLOOKUP(A1077,Composición!C:G,5,FALSE)</f>
        <v>0</v>
      </c>
      <c r="D1077" s="37"/>
      <c r="E1077" s="37"/>
      <c r="F1077" s="37"/>
      <c r="G1077" s="37">
        <f t="shared" si="140"/>
        <v>0</v>
      </c>
      <c r="H1077" s="37"/>
      <c r="I1077" s="37"/>
      <c r="J1077" s="37"/>
      <c r="K1077" s="37"/>
      <c r="L1077" s="37"/>
      <c r="M1077" s="37"/>
      <c r="N1077" s="37"/>
      <c r="O1077" s="37"/>
      <c r="P1077" s="37"/>
      <c r="Q1077" s="37"/>
      <c r="R1077" s="37"/>
      <c r="S1077" s="37">
        <f t="shared" ref="S1077:S1080" si="141">-G1077</f>
        <v>0</v>
      </c>
      <c r="T1077" s="37"/>
      <c r="U1077" s="37"/>
      <c r="V1077" s="37"/>
      <c r="W1077" s="37"/>
      <c r="X1077" s="37"/>
      <c r="Y1077" s="37"/>
      <c r="Z1077" s="37"/>
      <c r="AA1077" s="37">
        <f t="shared" si="136"/>
        <v>0</v>
      </c>
      <c r="AB1077" s="37">
        <f t="shared" si="133"/>
        <v>0</v>
      </c>
    </row>
    <row r="1078" spans="1:28" ht="14.4">
      <c r="A1078" s="117">
        <v>4130112131</v>
      </c>
      <c r="B1078" s="117" t="s">
        <v>992</v>
      </c>
      <c r="C1078" s="37">
        <f>-VLOOKUP(A1078,Composición!C:G,5,FALSE)</f>
        <v>-2679</v>
      </c>
      <c r="D1078" s="37"/>
      <c r="E1078" s="37"/>
      <c r="F1078" s="37"/>
      <c r="G1078" s="37">
        <f t="shared" si="140"/>
        <v>-2679</v>
      </c>
      <c r="H1078" s="37"/>
      <c r="I1078" s="37"/>
      <c r="J1078" s="37"/>
      <c r="K1078" s="37"/>
      <c r="L1078" s="37"/>
      <c r="M1078" s="37"/>
      <c r="N1078" s="37"/>
      <c r="O1078" s="37"/>
      <c r="P1078" s="37"/>
      <c r="Q1078" s="37"/>
      <c r="R1078" s="37"/>
      <c r="S1078" s="37">
        <f t="shared" si="141"/>
        <v>2679</v>
      </c>
      <c r="T1078" s="37"/>
      <c r="U1078" s="37"/>
      <c r="V1078" s="37"/>
      <c r="W1078" s="37"/>
      <c r="X1078" s="37"/>
      <c r="Y1078" s="37"/>
      <c r="Z1078" s="37"/>
      <c r="AA1078" s="37">
        <f t="shared" si="136"/>
        <v>0</v>
      </c>
      <c r="AB1078" s="37">
        <f t="shared" si="133"/>
        <v>0</v>
      </c>
    </row>
    <row r="1079" spans="1:28" ht="14.4">
      <c r="A1079" s="117">
        <v>4130112132</v>
      </c>
      <c r="B1079" s="117" t="s">
        <v>993</v>
      </c>
      <c r="C1079" s="37">
        <f>-VLOOKUP(A1079,Composición!C:G,5,FALSE)</f>
        <v>0</v>
      </c>
      <c r="D1079" s="37"/>
      <c r="E1079" s="37"/>
      <c r="F1079" s="37"/>
      <c r="G1079" s="37">
        <f t="shared" si="140"/>
        <v>0</v>
      </c>
      <c r="H1079" s="37"/>
      <c r="I1079" s="37"/>
      <c r="J1079" s="37"/>
      <c r="K1079" s="37"/>
      <c r="L1079" s="37"/>
      <c r="M1079" s="37"/>
      <c r="N1079" s="37"/>
      <c r="O1079" s="37"/>
      <c r="P1079" s="37"/>
      <c r="Q1079" s="37"/>
      <c r="R1079" s="37"/>
      <c r="S1079" s="37">
        <f t="shared" si="141"/>
        <v>0</v>
      </c>
      <c r="T1079" s="37"/>
      <c r="U1079" s="37"/>
      <c r="V1079" s="37"/>
      <c r="W1079" s="37"/>
      <c r="X1079" s="37"/>
      <c r="Y1079" s="37"/>
      <c r="Z1079" s="37"/>
      <c r="AA1079" s="37">
        <f t="shared" si="136"/>
        <v>0</v>
      </c>
      <c r="AB1079" s="37">
        <f t="shared" si="133"/>
        <v>0</v>
      </c>
    </row>
    <row r="1080" spans="1:28" ht="14.4">
      <c r="A1080" s="117">
        <v>4130112134</v>
      </c>
      <c r="B1080" s="117" t="s">
        <v>338</v>
      </c>
      <c r="C1080" s="37">
        <f>-VLOOKUP(A1080,Composición!C:G,5,FALSE)</f>
        <v>-215511220</v>
      </c>
      <c r="D1080" s="37"/>
      <c r="E1080" s="37"/>
      <c r="F1080" s="37"/>
      <c r="G1080" s="37">
        <f t="shared" si="140"/>
        <v>-215511220</v>
      </c>
      <c r="H1080" s="37"/>
      <c r="I1080" s="37"/>
      <c r="J1080" s="37"/>
      <c r="K1080" s="37"/>
      <c r="L1080" s="37"/>
      <c r="M1080" s="37"/>
      <c r="N1080" s="37"/>
      <c r="O1080" s="37"/>
      <c r="P1080" s="37"/>
      <c r="Q1080" s="37"/>
      <c r="R1080" s="37"/>
      <c r="S1080" s="37">
        <f t="shared" si="141"/>
        <v>215511220</v>
      </c>
      <c r="T1080" s="37"/>
      <c r="U1080" s="37"/>
      <c r="V1080" s="37"/>
      <c r="W1080" s="37"/>
      <c r="X1080" s="37"/>
      <c r="Y1080" s="37"/>
      <c r="Z1080" s="37"/>
      <c r="AA1080" s="37">
        <f t="shared" si="136"/>
        <v>0</v>
      </c>
      <c r="AB1080" s="37">
        <f t="shared" si="133"/>
        <v>0</v>
      </c>
    </row>
    <row r="1081" spans="1:28" ht="14.4">
      <c r="A1081" s="117">
        <v>41301122</v>
      </c>
      <c r="B1081" s="117" t="s">
        <v>339</v>
      </c>
      <c r="C1081" s="37">
        <f>-VLOOKUP(A1081,Composición!C:G,5,FALSE)</f>
        <v>0</v>
      </c>
      <c r="D1081" s="37"/>
      <c r="E1081" s="37"/>
      <c r="F1081" s="37"/>
      <c r="G1081" s="37">
        <f t="shared" si="140"/>
        <v>0</v>
      </c>
      <c r="H1081" s="37"/>
      <c r="I1081" s="37"/>
      <c r="J1081" s="37"/>
      <c r="K1081" s="37"/>
      <c r="L1081" s="37"/>
      <c r="M1081" s="37"/>
      <c r="N1081" s="37"/>
      <c r="O1081" s="37"/>
      <c r="P1081" s="37"/>
      <c r="Q1081" s="37"/>
      <c r="R1081" s="37"/>
      <c r="S1081" s="37"/>
      <c r="T1081" s="37"/>
      <c r="U1081" s="37"/>
      <c r="V1081" s="37"/>
      <c r="W1081" s="37"/>
      <c r="X1081" s="37"/>
      <c r="Y1081" s="37"/>
      <c r="Z1081" s="37"/>
      <c r="AA1081" s="37">
        <f t="shared" si="136"/>
        <v>0</v>
      </c>
      <c r="AB1081" s="37">
        <f t="shared" si="133"/>
        <v>0</v>
      </c>
    </row>
    <row r="1082" spans="1:28" ht="14.4">
      <c r="A1082" s="117">
        <v>4130112201</v>
      </c>
      <c r="B1082" s="117" t="s">
        <v>339</v>
      </c>
      <c r="C1082" s="37">
        <f>-VLOOKUP(A1082,Composición!C:G,5,FALSE)</f>
        <v>-198786668</v>
      </c>
      <c r="D1082" s="37"/>
      <c r="E1082" s="37"/>
      <c r="F1082" s="37"/>
      <c r="G1082" s="37">
        <f t="shared" si="140"/>
        <v>-198786668</v>
      </c>
      <c r="H1082" s="37"/>
      <c r="I1082" s="37"/>
      <c r="J1082" s="37"/>
      <c r="K1082" s="37"/>
      <c r="L1082" s="37"/>
      <c r="M1082" s="37"/>
      <c r="N1082" s="37"/>
      <c r="O1082" s="37"/>
      <c r="P1082" s="37"/>
      <c r="Q1082" s="37"/>
      <c r="R1082" s="37"/>
      <c r="S1082" s="37">
        <f>-G1082</f>
        <v>198786668</v>
      </c>
      <c r="T1082" s="37"/>
      <c r="U1082" s="37"/>
      <c r="V1082" s="37"/>
      <c r="W1082" s="37"/>
      <c r="X1082" s="37"/>
      <c r="Y1082" s="37"/>
      <c r="Z1082" s="37"/>
      <c r="AA1082" s="37">
        <f t="shared" si="136"/>
        <v>0</v>
      </c>
      <c r="AB1082" s="37">
        <f t="shared" si="133"/>
        <v>0</v>
      </c>
    </row>
    <row r="1083" spans="1:28" ht="14.4">
      <c r="A1083" s="117">
        <v>4130112202</v>
      </c>
      <c r="B1083" s="117" t="s">
        <v>339</v>
      </c>
      <c r="C1083" s="37">
        <f>-VLOOKUP(A1083,Composición!C:G,5,FALSE)</f>
        <v>-21985662</v>
      </c>
      <c r="D1083" s="37"/>
      <c r="E1083" s="37"/>
      <c r="F1083" s="37"/>
      <c r="G1083" s="37">
        <f t="shared" si="140"/>
        <v>-21985662</v>
      </c>
      <c r="H1083" s="37"/>
      <c r="I1083" s="37"/>
      <c r="J1083" s="37"/>
      <c r="K1083" s="37"/>
      <c r="L1083" s="37"/>
      <c r="M1083" s="37"/>
      <c r="N1083" s="37"/>
      <c r="O1083" s="37"/>
      <c r="P1083" s="37"/>
      <c r="Q1083" s="37"/>
      <c r="R1083" s="37"/>
      <c r="S1083" s="37">
        <f>-G1083</f>
        <v>21985662</v>
      </c>
      <c r="T1083" s="37"/>
      <c r="U1083" s="37"/>
      <c r="V1083" s="37"/>
      <c r="W1083" s="37"/>
      <c r="X1083" s="37"/>
      <c r="Y1083" s="37"/>
      <c r="Z1083" s="37"/>
      <c r="AA1083" s="37">
        <f t="shared" si="136"/>
        <v>0</v>
      </c>
      <c r="AB1083" s="37">
        <f t="shared" si="133"/>
        <v>0</v>
      </c>
    </row>
    <row r="1084" spans="1:28" ht="14.4">
      <c r="A1084" s="836">
        <v>4130112203</v>
      </c>
      <c r="B1084" s="836" t="s">
        <v>340</v>
      </c>
      <c r="C1084" s="37">
        <f>-VLOOKUP(A1084,Composición!C:G,5,FALSE)</f>
        <v>-2076620</v>
      </c>
      <c r="D1084" s="37"/>
      <c r="E1084" s="37"/>
      <c r="F1084" s="37"/>
      <c r="G1084" s="37">
        <f t="shared" si="140"/>
        <v>-2076620</v>
      </c>
      <c r="H1084" s="37"/>
      <c r="I1084" s="37"/>
      <c r="J1084" s="37"/>
      <c r="K1084" s="37"/>
      <c r="L1084" s="37"/>
      <c r="M1084" s="37"/>
      <c r="N1084" s="37"/>
      <c r="O1084" s="37"/>
      <c r="P1084" s="37"/>
      <c r="Q1084" s="37"/>
      <c r="R1084" s="37"/>
      <c r="S1084" s="37">
        <f>-G1084</f>
        <v>2076620</v>
      </c>
      <c r="T1084" s="37"/>
      <c r="U1084" s="37"/>
      <c r="V1084" s="37"/>
      <c r="W1084" s="37"/>
      <c r="X1084" s="37"/>
      <c r="Y1084" s="37"/>
      <c r="Z1084" s="37"/>
      <c r="AA1084" s="37">
        <f t="shared" si="136"/>
        <v>0</v>
      </c>
      <c r="AB1084" s="37">
        <f t="shared" si="133"/>
        <v>0</v>
      </c>
    </row>
    <row r="1085" spans="1:28" ht="14.4">
      <c r="A1085" s="117">
        <v>41301123</v>
      </c>
      <c r="B1085" s="117" t="s">
        <v>341</v>
      </c>
      <c r="C1085" s="37">
        <f>-VLOOKUP(A1085,Composición!C:G,5,FALSE)</f>
        <v>0</v>
      </c>
      <c r="D1085" s="37"/>
      <c r="E1085" s="37"/>
      <c r="F1085" s="37"/>
      <c r="G1085" s="37">
        <f t="shared" si="140"/>
        <v>0</v>
      </c>
      <c r="H1085" s="37"/>
      <c r="I1085" s="37"/>
      <c r="J1085" s="37"/>
      <c r="K1085" s="37"/>
      <c r="L1085" s="37"/>
      <c r="M1085" s="37"/>
      <c r="N1085" s="37"/>
      <c r="O1085" s="37"/>
      <c r="P1085" s="37"/>
      <c r="Q1085" s="37"/>
      <c r="R1085" s="37"/>
      <c r="S1085" s="37">
        <f t="shared" ref="S1085" si="142">-G1085</f>
        <v>0</v>
      </c>
      <c r="T1085" s="37"/>
      <c r="U1085" s="37"/>
      <c r="V1085" s="37"/>
      <c r="W1085" s="37"/>
      <c r="X1085" s="37"/>
      <c r="Y1085" s="37"/>
      <c r="Z1085" s="37"/>
      <c r="AA1085" s="37">
        <f t="shared" si="136"/>
        <v>0</v>
      </c>
      <c r="AB1085" s="37">
        <f t="shared" si="133"/>
        <v>0</v>
      </c>
    </row>
    <row r="1086" spans="1:28" ht="14.4">
      <c r="A1086" s="117">
        <v>4130112301</v>
      </c>
      <c r="B1086" s="117" t="s">
        <v>57</v>
      </c>
      <c r="C1086" s="37">
        <f>-VLOOKUP(A1086,Composición!C:G,5,FALSE)</f>
        <v>-134997169</v>
      </c>
      <c r="D1086" s="37"/>
      <c r="E1086" s="37"/>
      <c r="F1086" s="37"/>
      <c r="G1086" s="37">
        <f t="shared" si="140"/>
        <v>-134997169</v>
      </c>
      <c r="H1086" s="37"/>
      <c r="I1086" s="37"/>
      <c r="J1086" s="37"/>
      <c r="K1086" s="37"/>
      <c r="L1086" s="37"/>
      <c r="M1086" s="37"/>
      <c r="N1086" s="37"/>
      <c r="O1086" s="37"/>
      <c r="P1086" s="37"/>
      <c r="Q1086" s="37"/>
      <c r="R1086" s="37"/>
      <c r="S1086" s="37">
        <f>-G1086</f>
        <v>134997169</v>
      </c>
      <c r="T1086" s="37"/>
      <c r="U1086" s="37"/>
      <c r="V1086" s="37"/>
      <c r="W1086" s="37"/>
      <c r="X1086" s="37"/>
      <c r="Y1086" s="37"/>
      <c r="Z1086" s="37"/>
      <c r="AA1086" s="37">
        <f t="shared" si="136"/>
        <v>0</v>
      </c>
      <c r="AB1086" s="37">
        <f t="shared" si="133"/>
        <v>0</v>
      </c>
    </row>
    <row r="1087" spans="1:28" ht="14.4">
      <c r="A1087" s="117">
        <v>4130112302</v>
      </c>
      <c r="B1087" s="117" t="s">
        <v>254</v>
      </c>
      <c r="C1087" s="37">
        <f>-VLOOKUP(A1087,Composición!C:G,5,FALSE)</f>
        <v>-22737581</v>
      </c>
      <c r="D1087" s="37"/>
      <c r="E1087" s="37"/>
      <c r="F1087" s="37"/>
      <c r="G1087" s="37">
        <f t="shared" si="140"/>
        <v>-22737581</v>
      </c>
      <c r="H1087" s="37"/>
      <c r="I1087" s="37"/>
      <c r="J1087" s="37"/>
      <c r="K1087" s="37"/>
      <c r="L1087" s="37"/>
      <c r="M1087" s="37"/>
      <c r="N1087" s="37"/>
      <c r="O1087" s="37"/>
      <c r="P1087" s="37"/>
      <c r="Q1087" s="37"/>
      <c r="R1087" s="37"/>
      <c r="S1087" s="37">
        <f t="shared" ref="S1087:S1088" si="143">-G1087</f>
        <v>22737581</v>
      </c>
      <c r="T1087" s="37"/>
      <c r="U1087" s="37"/>
      <c r="V1087" s="37"/>
      <c r="W1087" s="37"/>
      <c r="X1087" s="37"/>
      <c r="Y1087" s="37"/>
      <c r="Z1087" s="37"/>
      <c r="AA1087" s="37">
        <f t="shared" si="136"/>
        <v>0</v>
      </c>
      <c r="AB1087" s="37">
        <f t="shared" si="133"/>
        <v>0</v>
      </c>
    </row>
    <row r="1088" spans="1:28" ht="14.4">
      <c r="A1088" s="117">
        <v>4130112303</v>
      </c>
      <c r="B1088" s="117" t="s">
        <v>256</v>
      </c>
      <c r="C1088" s="37">
        <f>-VLOOKUP(A1088,Composición!C:G,5,FALSE)</f>
        <v>-139513221</v>
      </c>
      <c r="D1088" s="37"/>
      <c r="E1088" s="37"/>
      <c r="F1088" s="37"/>
      <c r="G1088" s="37">
        <f t="shared" si="140"/>
        <v>-139513221</v>
      </c>
      <c r="H1088" s="37"/>
      <c r="I1088" s="37"/>
      <c r="J1088" s="37"/>
      <c r="K1088" s="37"/>
      <c r="L1088" s="37"/>
      <c r="M1088" s="37"/>
      <c r="N1088" s="37"/>
      <c r="O1088" s="37"/>
      <c r="P1088" s="37"/>
      <c r="Q1088" s="37"/>
      <c r="R1088" s="37"/>
      <c r="S1088" s="37">
        <f t="shared" si="143"/>
        <v>139513221</v>
      </c>
      <c r="T1088" s="37"/>
      <c r="U1088" s="37"/>
      <c r="V1088" s="37"/>
      <c r="W1088" s="37"/>
      <c r="X1088" s="37"/>
      <c r="Y1088" s="37"/>
      <c r="Z1088" s="37"/>
      <c r="AA1088" s="37">
        <f t="shared" si="136"/>
        <v>0</v>
      </c>
      <c r="AB1088" s="37">
        <f t="shared" si="133"/>
        <v>0</v>
      </c>
    </row>
    <row r="1089" spans="1:28" ht="14.4">
      <c r="A1089" s="117">
        <v>4130112304</v>
      </c>
      <c r="B1089" s="117" t="s">
        <v>258</v>
      </c>
      <c r="C1089" s="37">
        <f>-VLOOKUP(A1089,Composición!C:G,5,FALSE)</f>
        <v>-36994213</v>
      </c>
      <c r="D1089" s="37"/>
      <c r="E1089" s="37"/>
      <c r="F1089" s="37"/>
      <c r="G1089" s="37">
        <f t="shared" si="140"/>
        <v>-36994213</v>
      </c>
      <c r="H1089" s="37"/>
      <c r="I1089" s="37"/>
      <c r="J1089" s="37"/>
      <c r="K1089" s="37"/>
      <c r="L1089" s="37"/>
      <c r="M1089" s="37"/>
      <c r="N1089" s="37"/>
      <c r="O1089" s="37"/>
      <c r="P1089" s="37"/>
      <c r="Q1089" s="37"/>
      <c r="R1089" s="37"/>
      <c r="S1089" s="37">
        <f>-G1089</f>
        <v>36994213</v>
      </c>
      <c r="T1089" s="37"/>
      <c r="U1089" s="37"/>
      <c r="V1089" s="37"/>
      <c r="W1089" s="37"/>
      <c r="X1089" s="37"/>
      <c r="Y1089" s="37"/>
      <c r="Z1089" s="37"/>
      <c r="AA1089" s="37">
        <f t="shared" si="136"/>
        <v>0</v>
      </c>
      <c r="AB1089" s="37">
        <f t="shared" si="133"/>
        <v>0</v>
      </c>
    </row>
    <row r="1090" spans="1:28" ht="14.4">
      <c r="A1090" s="117">
        <v>4130112305</v>
      </c>
      <c r="B1090" s="117" t="s">
        <v>59</v>
      </c>
      <c r="C1090" s="37">
        <f>-VLOOKUP(A1090,Composición!C:G,5,FALSE)</f>
        <v>-858259316</v>
      </c>
      <c r="D1090" s="37"/>
      <c r="E1090" s="37"/>
      <c r="F1090" s="37"/>
      <c r="G1090" s="37">
        <f t="shared" si="140"/>
        <v>-858259316</v>
      </c>
      <c r="H1090" s="37"/>
      <c r="I1090" s="37"/>
      <c r="J1090" s="37"/>
      <c r="K1090" s="37"/>
      <c r="L1090" s="37"/>
      <c r="M1090" s="37"/>
      <c r="N1090" s="37"/>
      <c r="O1090" s="37"/>
      <c r="P1090" s="37"/>
      <c r="Q1090" s="37"/>
      <c r="R1090" s="37"/>
      <c r="S1090" s="37">
        <f>-G1090</f>
        <v>858259316</v>
      </c>
      <c r="T1090" s="37"/>
      <c r="U1090" s="37"/>
      <c r="V1090" s="37"/>
      <c r="W1090" s="37"/>
      <c r="X1090" s="37"/>
      <c r="Y1090" s="37"/>
      <c r="Z1090" s="37"/>
      <c r="AA1090" s="37">
        <f t="shared" si="136"/>
        <v>0</v>
      </c>
      <c r="AB1090" s="37">
        <f t="shared" si="133"/>
        <v>0</v>
      </c>
    </row>
    <row r="1091" spans="1:28" ht="14.4">
      <c r="A1091" s="117">
        <v>4130112306</v>
      </c>
      <c r="B1091" s="117" t="s">
        <v>60</v>
      </c>
      <c r="C1091" s="37">
        <f>-VLOOKUP(A1091,Composición!C:G,5,FALSE)</f>
        <v>-1169187264</v>
      </c>
      <c r="D1091" s="37"/>
      <c r="E1091" s="37"/>
      <c r="F1091" s="37"/>
      <c r="G1091" s="37">
        <f t="shared" si="140"/>
        <v>-1169187264</v>
      </c>
      <c r="H1091" s="37"/>
      <c r="I1091" s="37"/>
      <c r="J1091" s="37"/>
      <c r="K1091" s="37"/>
      <c r="L1091" s="37"/>
      <c r="M1091" s="37"/>
      <c r="N1091" s="37"/>
      <c r="O1091" s="37"/>
      <c r="P1091" s="37"/>
      <c r="Q1091" s="37"/>
      <c r="R1091" s="37"/>
      <c r="S1091" s="37">
        <f>-G1091</f>
        <v>1169187264</v>
      </c>
      <c r="T1091" s="37"/>
      <c r="U1091" s="37"/>
      <c r="V1091" s="37"/>
      <c r="W1091" s="37"/>
      <c r="X1091" s="37"/>
      <c r="Y1091" s="37"/>
      <c r="Z1091" s="37"/>
      <c r="AA1091" s="37">
        <f t="shared" si="136"/>
        <v>0</v>
      </c>
      <c r="AB1091" s="37">
        <f t="shared" si="133"/>
        <v>0</v>
      </c>
    </row>
    <row r="1092" spans="1:28" ht="14.4">
      <c r="A1092" s="117">
        <v>4130112307</v>
      </c>
      <c r="B1092" s="117" t="s">
        <v>63</v>
      </c>
      <c r="C1092" s="37">
        <f>-VLOOKUP(A1092,Composición!C:G,5,FALSE)</f>
        <v>-61384403</v>
      </c>
      <c r="D1092" s="37"/>
      <c r="E1092" s="37"/>
      <c r="F1092" s="37"/>
      <c r="G1092" s="37">
        <f t="shared" si="140"/>
        <v>-61384403</v>
      </c>
      <c r="H1092" s="37"/>
      <c r="I1092" s="37"/>
      <c r="J1092" s="37"/>
      <c r="K1092" s="37"/>
      <c r="L1092" s="37"/>
      <c r="M1092" s="37"/>
      <c r="N1092" s="37"/>
      <c r="O1092" s="37"/>
      <c r="P1092" s="37"/>
      <c r="Q1092" s="37"/>
      <c r="R1092" s="37"/>
      <c r="S1092" s="37">
        <f>-G1092</f>
        <v>61384403</v>
      </c>
      <c r="T1092" s="37"/>
      <c r="U1092" s="37"/>
      <c r="V1092" s="37"/>
      <c r="W1092" s="37"/>
      <c r="X1092" s="37"/>
      <c r="Y1092" s="37"/>
      <c r="Z1092" s="37"/>
      <c r="AA1092" s="37">
        <f t="shared" si="136"/>
        <v>0</v>
      </c>
      <c r="AB1092" s="37">
        <f t="shared" si="133"/>
        <v>0</v>
      </c>
    </row>
    <row r="1093" spans="1:28" ht="14.4">
      <c r="A1093" s="117">
        <v>4130112308</v>
      </c>
      <c r="B1093" s="117" t="s">
        <v>64</v>
      </c>
      <c r="C1093" s="37">
        <f>-VLOOKUP(A1093,Composición!C:G,5,FALSE)</f>
        <v>0</v>
      </c>
      <c r="D1093" s="37"/>
      <c r="E1093" s="37"/>
      <c r="F1093" s="37"/>
      <c r="G1093" s="37">
        <f t="shared" si="140"/>
        <v>0</v>
      </c>
      <c r="H1093" s="37"/>
      <c r="I1093" s="37"/>
      <c r="J1093" s="37"/>
      <c r="K1093" s="37"/>
      <c r="L1093" s="37"/>
      <c r="M1093" s="37"/>
      <c r="N1093" s="37"/>
      <c r="O1093" s="37"/>
      <c r="P1093" s="37"/>
      <c r="Q1093" s="37"/>
      <c r="R1093" s="37"/>
      <c r="S1093" s="37">
        <f t="shared" ref="S1093:S1097" si="144">-G1093</f>
        <v>0</v>
      </c>
      <c r="T1093" s="37"/>
      <c r="U1093" s="37"/>
      <c r="V1093" s="37"/>
      <c r="W1093" s="37"/>
      <c r="X1093" s="37"/>
      <c r="Y1093" s="37"/>
      <c r="Z1093" s="37"/>
      <c r="AA1093" s="37">
        <f t="shared" si="136"/>
        <v>0</v>
      </c>
      <c r="AB1093" s="37">
        <f t="shared" si="133"/>
        <v>0</v>
      </c>
    </row>
    <row r="1094" spans="1:28" ht="14.4">
      <c r="A1094" s="836">
        <v>4130112309</v>
      </c>
      <c r="B1094" s="836" t="s">
        <v>66</v>
      </c>
      <c r="C1094" s="37">
        <f>-VLOOKUP(A1094,Composición!C:G,5,FALSE)</f>
        <v>-6121821</v>
      </c>
      <c r="D1094" s="37"/>
      <c r="E1094" s="37"/>
      <c r="F1094" s="37"/>
      <c r="G1094" s="37">
        <f t="shared" ref="G1094:G1095" si="145">C1094+D1094-E1094-F1094</f>
        <v>-6121821</v>
      </c>
      <c r="H1094" s="37"/>
      <c r="I1094" s="37"/>
      <c r="J1094" s="37"/>
      <c r="K1094" s="37"/>
      <c r="L1094" s="37"/>
      <c r="M1094" s="37"/>
      <c r="N1094" s="37"/>
      <c r="O1094" s="37"/>
      <c r="P1094" s="37"/>
      <c r="Q1094" s="37"/>
      <c r="R1094" s="37"/>
      <c r="S1094" s="37">
        <f t="shared" si="144"/>
        <v>6121821</v>
      </c>
      <c r="T1094" s="37"/>
      <c r="U1094" s="37"/>
      <c r="V1094" s="37"/>
      <c r="W1094" s="37"/>
      <c r="X1094" s="37"/>
      <c r="Y1094" s="37"/>
      <c r="Z1094" s="37"/>
      <c r="AA1094" s="37">
        <f t="shared" si="136"/>
        <v>0</v>
      </c>
      <c r="AB1094" s="37">
        <f t="shared" si="133"/>
        <v>0</v>
      </c>
    </row>
    <row r="1095" spans="1:28" ht="14.4">
      <c r="A1095" s="836">
        <v>4130112313</v>
      </c>
      <c r="B1095" s="836" t="s">
        <v>267</v>
      </c>
      <c r="C1095" s="37">
        <f>-VLOOKUP(A1095,Composición!C:G,5,FALSE)</f>
        <v>0</v>
      </c>
      <c r="D1095" s="37"/>
      <c r="E1095" s="37"/>
      <c r="F1095" s="37"/>
      <c r="G1095" s="37">
        <f t="shared" si="145"/>
        <v>0</v>
      </c>
      <c r="H1095" s="37"/>
      <c r="I1095" s="37"/>
      <c r="J1095" s="37"/>
      <c r="K1095" s="37"/>
      <c r="L1095" s="37"/>
      <c r="M1095" s="37"/>
      <c r="N1095" s="37"/>
      <c r="O1095" s="37"/>
      <c r="P1095" s="37"/>
      <c r="Q1095" s="37"/>
      <c r="R1095" s="37"/>
      <c r="S1095" s="37">
        <f t="shared" si="144"/>
        <v>0</v>
      </c>
      <c r="T1095" s="37"/>
      <c r="U1095" s="37"/>
      <c r="V1095" s="37"/>
      <c r="W1095" s="37"/>
      <c r="X1095" s="37"/>
      <c r="Y1095" s="37"/>
      <c r="Z1095" s="37"/>
      <c r="AA1095" s="37">
        <f t="shared" si="136"/>
        <v>0</v>
      </c>
      <c r="AB1095" s="37">
        <f t="shared" si="133"/>
        <v>0</v>
      </c>
    </row>
    <row r="1096" spans="1:28" ht="14.4">
      <c r="A1096" s="117">
        <v>4130112315</v>
      </c>
      <c r="B1096" s="117" t="s">
        <v>978</v>
      </c>
      <c r="C1096" s="37">
        <f>-VLOOKUP(A1096,Composición!C:G,5,FALSE)</f>
        <v>0</v>
      </c>
      <c r="D1096" s="37"/>
      <c r="E1096" s="37"/>
      <c r="F1096" s="37"/>
      <c r="G1096" s="37">
        <f t="shared" si="140"/>
        <v>0</v>
      </c>
      <c r="H1096" s="37"/>
      <c r="I1096" s="37"/>
      <c r="J1096" s="37"/>
      <c r="K1096" s="37"/>
      <c r="L1096" s="37"/>
      <c r="M1096" s="37"/>
      <c r="N1096" s="37"/>
      <c r="O1096" s="37"/>
      <c r="P1096" s="37"/>
      <c r="Q1096" s="37"/>
      <c r="R1096" s="37"/>
      <c r="S1096" s="37">
        <f t="shared" si="144"/>
        <v>0</v>
      </c>
      <c r="T1096" s="37"/>
      <c r="U1096" s="37"/>
      <c r="V1096" s="37"/>
      <c r="W1096" s="37"/>
      <c r="X1096" s="37"/>
      <c r="Y1096" s="37"/>
      <c r="Z1096" s="37"/>
      <c r="AA1096" s="37">
        <f t="shared" si="136"/>
        <v>0</v>
      </c>
      <c r="AB1096" s="37">
        <f t="shared" si="133"/>
        <v>0</v>
      </c>
    </row>
    <row r="1097" spans="1:28" ht="14.4">
      <c r="A1097" s="117">
        <v>4130112317</v>
      </c>
      <c r="B1097" s="117" t="s">
        <v>271</v>
      </c>
      <c r="C1097" s="37">
        <f>-VLOOKUP(A1097,Composición!C:G,5,FALSE)</f>
        <v>-38735601</v>
      </c>
      <c r="D1097" s="37"/>
      <c r="E1097" s="37"/>
      <c r="F1097" s="37"/>
      <c r="G1097" s="37">
        <f t="shared" si="140"/>
        <v>-38735601</v>
      </c>
      <c r="H1097" s="37"/>
      <c r="I1097" s="37"/>
      <c r="J1097" s="37"/>
      <c r="K1097" s="37"/>
      <c r="L1097" s="37"/>
      <c r="M1097" s="37"/>
      <c r="N1097" s="37"/>
      <c r="O1097" s="37"/>
      <c r="P1097" s="37"/>
      <c r="Q1097" s="37"/>
      <c r="R1097" s="37"/>
      <c r="S1097" s="37">
        <f t="shared" si="144"/>
        <v>38735601</v>
      </c>
      <c r="T1097" s="37"/>
      <c r="U1097" s="37"/>
      <c r="V1097" s="37"/>
      <c r="W1097" s="37"/>
      <c r="X1097" s="37"/>
      <c r="Y1097" s="37"/>
      <c r="Z1097" s="37"/>
      <c r="AA1097" s="37">
        <f t="shared" si="136"/>
        <v>0</v>
      </c>
      <c r="AB1097" s="37">
        <f t="shared" ref="AB1097:AB1160" si="146">SUM(G1097:Z1097)</f>
        <v>0</v>
      </c>
    </row>
    <row r="1098" spans="1:28" ht="14.4">
      <c r="A1098" s="117">
        <v>4130112318</v>
      </c>
      <c r="B1098" s="117" t="s">
        <v>274</v>
      </c>
      <c r="C1098" s="37">
        <f>-VLOOKUP(A1098,Composición!C:G,5,FALSE)</f>
        <v>0</v>
      </c>
      <c r="D1098" s="37"/>
      <c r="E1098" s="37"/>
      <c r="F1098" s="37"/>
      <c r="G1098" s="37">
        <f t="shared" si="140"/>
        <v>0</v>
      </c>
      <c r="H1098" s="37"/>
      <c r="I1098" s="37"/>
      <c r="J1098" s="37"/>
      <c r="K1098" s="37"/>
      <c r="L1098" s="37"/>
      <c r="M1098" s="37"/>
      <c r="N1098" s="37"/>
      <c r="O1098" s="37"/>
      <c r="P1098" s="37"/>
      <c r="Q1098" s="37"/>
      <c r="R1098" s="37"/>
      <c r="S1098" s="37">
        <f t="shared" ref="S1098" si="147">-G1098</f>
        <v>0</v>
      </c>
      <c r="T1098" s="37"/>
      <c r="U1098" s="37"/>
      <c r="V1098" s="37"/>
      <c r="W1098" s="37"/>
      <c r="X1098" s="37"/>
      <c r="Y1098" s="37"/>
      <c r="Z1098" s="37"/>
      <c r="AA1098" s="37">
        <f t="shared" si="136"/>
        <v>0</v>
      </c>
      <c r="AB1098" s="37">
        <f t="shared" si="146"/>
        <v>0</v>
      </c>
    </row>
    <row r="1099" spans="1:28" ht="14.4">
      <c r="A1099" s="117">
        <v>4130112319</v>
      </c>
      <c r="B1099" s="117" t="s">
        <v>413</v>
      </c>
      <c r="C1099" s="37">
        <f>-VLOOKUP(A1099,Composición!C:G,5,FALSE)</f>
        <v>0</v>
      </c>
      <c r="D1099" s="37"/>
      <c r="E1099" s="37"/>
      <c r="F1099" s="37"/>
      <c r="G1099" s="37">
        <f t="shared" si="140"/>
        <v>0</v>
      </c>
      <c r="H1099" s="37"/>
      <c r="I1099" s="37"/>
      <c r="J1099" s="37"/>
      <c r="K1099" s="37"/>
      <c r="L1099" s="37"/>
      <c r="M1099" s="37"/>
      <c r="N1099" s="37"/>
      <c r="O1099" s="37"/>
      <c r="P1099" s="37"/>
      <c r="Q1099" s="37"/>
      <c r="R1099" s="37"/>
      <c r="S1099" s="37">
        <f t="shared" ref="S1099" si="148">-G1099</f>
        <v>0</v>
      </c>
      <c r="T1099" s="37"/>
      <c r="U1099" s="37"/>
      <c r="V1099" s="37"/>
      <c r="W1099" s="37"/>
      <c r="X1099" s="37"/>
      <c r="Y1099" s="37"/>
      <c r="Z1099" s="37"/>
      <c r="AA1099" s="37">
        <f t="shared" si="136"/>
        <v>0</v>
      </c>
      <c r="AB1099" s="37">
        <f t="shared" si="146"/>
        <v>0</v>
      </c>
    </row>
    <row r="1100" spans="1:28" ht="14.4">
      <c r="A1100" s="117">
        <v>4130112329</v>
      </c>
      <c r="B1100" s="117" t="s">
        <v>279</v>
      </c>
      <c r="C1100" s="37">
        <f>-VLOOKUP(A1100,Composición!C:G,5,FALSE)</f>
        <v>-146730882</v>
      </c>
      <c r="D1100" s="37"/>
      <c r="E1100" s="37"/>
      <c r="F1100" s="37"/>
      <c r="G1100" s="37">
        <f t="shared" si="140"/>
        <v>-146730882</v>
      </c>
      <c r="H1100" s="37"/>
      <c r="I1100" s="37"/>
      <c r="J1100" s="37"/>
      <c r="K1100" s="37"/>
      <c r="L1100" s="37"/>
      <c r="M1100" s="37"/>
      <c r="N1100" s="37"/>
      <c r="O1100" s="37"/>
      <c r="P1100" s="37"/>
      <c r="Q1100" s="37"/>
      <c r="R1100" s="37"/>
      <c r="S1100" s="37">
        <f>-G1100</f>
        <v>146730882</v>
      </c>
      <c r="T1100" s="37"/>
      <c r="U1100" s="37"/>
      <c r="V1100" s="37"/>
      <c r="W1100" s="37"/>
      <c r="X1100" s="37"/>
      <c r="Y1100" s="37"/>
      <c r="Z1100" s="37"/>
      <c r="AA1100" s="37">
        <f t="shared" si="136"/>
        <v>0</v>
      </c>
      <c r="AB1100" s="37">
        <f t="shared" si="146"/>
        <v>0</v>
      </c>
    </row>
    <row r="1101" spans="1:28" ht="14.4">
      <c r="A1101" s="117">
        <v>4130112331</v>
      </c>
      <c r="B1101" s="117" t="s">
        <v>53</v>
      </c>
      <c r="C1101" s="37">
        <f>-VLOOKUP(A1101,Composición!C:G,5,FALSE)</f>
        <v>-604284542</v>
      </c>
      <c r="D1101" s="37"/>
      <c r="E1101" s="37"/>
      <c r="F1101" s="37"/>
      <c r="G1101" s="37">
        <f t="shared" si="140"/>
        <v>-604284542</v>
      </c>
      <c r="H1101" s="37"/>
      <c r="I1101" s="37"/>
      <c r="J1101" s="37"/>
      <c r="K1101" s="37"/>
      <c r="L1101" s="37"/>
      <c r="M1101" s="37"/>
      <c r="N1101" s="37"/>
      <c r="O1101" s="37"/>
      <c r="P1101" s="37"/>
      <c r="Q1101" s="37"/>
      <c r="R1101" s="37"/>
      <c r="S1101" s="37">
        <f>-G1101</f>
        <v>604284542</v>
      </c>
      <c r="T1101" s="37"/>
      <c r="U1101" s="37"/>
      <c r="V1101" s="37"/>
      <c r="W1101" s="37"/>
      <c r="X1101" s="37"/>
      <c r="Y1101" s="37"/>
      <c r="Z1101" s="37"/>
      <c r="AA1101" s="37">
        <f t="shared" si="136"/>
        <v>0</v>
      </c>
      <c r="AB1101" s="37">
        <f t="shared" si="146"/>
        <v>0</v>
      </c>
    </row>
    <row r="1102" spans="1:28" ht="14.4">
      <c r="A1102" s="117">
        <v>4130112333</v>
      </c>
      <c r="B1102" s="117" t="s">
        <v>342</v>
      </c>
      <c r="C1102" s="37">
        <f>-VLOOKUP(A1102,Composición!C:G,5,FALSE)</f>
        <v>-69111666</v>
      </c>
      <c r="D1102" s="37"/>
      <c r="E1102" s="37"/>
      <c r="F1102" s="37"/>
      <c r="G1102" s="37">
        <f t="shared" si="140"/>
        <v>-69111666</v>
      </c>
      <c r="H1102" s="37"/>
      <c r="I1102" s="37"/>
      <c r="J1102" s="37"/>
      <c r="K1102" s="37"/>
      <c r="L1102" s="37"/>
      <c r="M1102" s="37"/>
      <c r="N1102" s="37"/>
      <c r="O1102" s="37"/>
      <c r="P1102" s="37"/>
      <c r="Q1102" s="37"/>
      <c r="R1102" s="37"/>
      <c r="S1102" s="37">
        <f>-G1102</f>
        <v>69111666</v>
      </c>
      <c r="T1102" s="37"/>
      <c r="U1102" s="37"/>
      <c r="V1102" s="37"/>
      <c r="W1102" s="37"/>
      <c r="X1102" s="37"/>
      <c r="Y1102" s="37"/>
      <c r="Z1102" s="37"/>
      <c r="AA1102" s="37">
        <f t="shared" si="136"/>
        <v>0</v>
      </c>
      <c r="AB1102" s="37">
        <f t="shared" si="146"/>
        <v>0</v>
      </c>
    </row>
    <row r="1103" spans="1:28" ht="14.4">
      <c r="A1103" s="117">
        <v>4130112335</v>
      </c>
      <c r="B1103" s="117" t="s">
        <v>996</v>
      </c>
      <c r="C1103" s="37">
        <f>-VLOOKUP(A1103,Composición!C:G,5,FALSE)</f>
        <v>0</v>
      </c>
      <c r="D1103" s="37"/>
      <c r="E1103" s="37"/>
      <c r="F1103" s="37"/>
      <c r="G1103" s="37">
        <f t="shared" si="140"/>
        <v>0</v>
      </c>
      <c r="H1103" s="37"/>
      <c r="I1103" s="37"/>
      <c r="J1103" s="37"/>
      <c r="K1103" s="37"/>
      <c r="L1103" s="37"/>
      <c r="M1103" s="37"/>
      <c r="N1103" s="37"/>
      <c r="O1103" s="37"/>
      <c r="P1103" s="37"/>
      <c r="Q1103" s="37"/>
      <c r="R1103" s="37"/>
      <c r="S1103" s="37"/>
      <c r="T1103" s="37"/>
      <c r="U1103" s="37"/>
      <c r="V1103" s="37"/>
      <c r="W1103" s="37"/>
      <c r="X1103" s="37"/>
      <c r="Y1103" s="37"/>
      <c r="Z1103" s="37"/>
      <c r="AA1103" s="37">
        <f t="shared" si="136"/>
        <v>0</v>
      </c>
      <c r="AB1103" s="37">
        <f t="shared" si="146"/>
        <v>0</v>
      </c>
    </row>
    <row r="1104" spans="1:28" ht="14.4">
      <c r="A1104" s="117">
        <v>4130112337</v>
      </c>
      <c r="B1104" s="117" t="s">
        <v>997</v>
      </c>
      <c r="C1104" s="37">
        <f>-VLOOKUP(A1104,Composición!C:G,5,FALSE)</f>
        <v>0</v>
      </c>
      <c r="D1104" s="37"/>
      <c r="E1104" s="37"/>
      <c r="F1104" s="37"/>
      <c r="G1104" s="37">
        <f t="shared" si="140"/>
        <v>0</v>
      </c>
      <c r="H1104" s="37"/>
      <c r="I1104" s="37"/>
      <c r="J1104" s="37"/>
      <c r="K1104" s="37"/>
      <c r="L1104" s="37"/>
      <c r="M1104" s="37"/>
      <c r="N1104" s="37"/>
      <c r="O1104" s="37"/>
      <c r="P1104" s="37"/>
      <c r="Q1104" s="37"/>
      <c r="R1104" s="37"/>
      <c r="S1104" s="37"/>
      <c r="T1104" s="37"/>
      <c r="U1104" s="37"/>
      <c r="V1104" s="37"/>
      <c r="W1104" s="37"/>
      <c r="X1104" s="37"/>
      <c r="Y1104" s="37"/>
      <c r="Z1104" s="37"/>
      <c r="AA1104" s="37">
        <f t="shared" si="136"/>
        <v>0</v>
      </c>
      <c r="AB1104" s="37">
        <f t="shared" si="146"/>
        <v>0</v>
      </c>
    </row>
    <row r="1105" spans="1:28" ht="14.4">
      <c r="A1105" s="117">
        <v>4130112341</v>
      </c>
      <c r="B1105" s="117" t="s">
        <v>998</v>
      </c>
      <c r="C1105" s="37">
        <f>-VLOOKUP(A1105,Composición!C:G,5,FALSE)</f>
        <v>-13879155</v>
      </c>
      <c r="D1105" s="37"/>
      <c r="E1105" s="37"/>
      <c r="F1105" s="37"/>
      <c r="G1105" s="37">
        <f t="shared" si="140"/>
        <v>-13879155</v>
      </c>
      <c r="H1105" s="37"/>
      <c r="I1105" s="37"/>
      <c r="J1105" s="37"/>
      <c r="K1105" s="37"/>
      <c r="L1105" s="37"/>
      <c r="M1105" s="37"/>
      <c r="N1105" s="37"/>
      <c r="O1105" s="37"/>
      <c r="P1105" s="37"/>
      <c r="Q1105" s="37"/>
      <c r="R1105" s="37"/>
      <c r="S1105" s="37">
        <f>-G1105</f>
        <v>13879155</v>
      </c>
      <c r="T1105" s="37"/>
      <c r="U1105" s="37"/>
      <c r="V1105" s="37"/>
      <c r="W1105" s="37"/>
      <c r="X1105" s="37"/>
      <c r="Y1105" s="37"/>
      <c r="Z1105" s="37"/>
      <c r="AA1105" s="37">
        <f t="shared" si="136"/>
        <v>0</v>
      </c>
      <c r="AB1105" s="37">
        <f t="shared" si="146"/>
        <v>0</v>
      </c>
    </row>
    <row r="1106" spans="1:28" ht="14.4">
      <c r="A1106" s="117">
        <v>4130112343</v>
      </c>
      <c r="B1106" s="117" t="s">
        <v>343</v>
      </c>
      <c r="C1106" s="37">
        <f>-VLOOKUP(A1106,Composición!C:G,5,FALSE)</f>
        <v>0</v>
      </c>
      <c r="D1106" s="37"/>
      <c r="E1106" s="37"/>
      <c r="F1106" s="37"/>
      <c r="G1106" s="37">
        <f t="shared" si="140"/>
        <v>0</v>
      </c>
      <c r="H1106" s="37"/>
      <c r="I1106" s="37"/>
      <c r="J1106" s="37"/>
      <c r="K1106" s="37"/>
      <c r="L1106" s="37"/>
      <c r="M1106" s="37"/>
      <c r="N1106" s="37"/>
      <c r="O1106" s="37"/>
      <c r="P1106" s="37"/>
      <c r="Q1106" s="37"/>
      <c r="R1106" s="37"/>
      <c r="S1106" s="37">
        <f>-G1106</f>
        <v>0</v>
      </c>
      <c r="T1106" s="37"/>
      <c r="U1106" s="37"/>
      <c r="V1106" s="37"/>
      <c r="W1106" s="37"/>
      <c r="X1106" s="37"/>
      <c r="Y1106" s="37"/>
      <c r="Z1106" s="37"/>
      <c r="AA1106" s="37">
        <f t="shared" si="136"/>
        <v>0</v>
      </c>
      <c r="AB1106" s="37">
        <f t="shared" si="146"/>
        <v>0</v>
      </c>
    </row>
    <row r="1107" spans="1:28" ht="14.4">
      <c r="A1107" s="117">
        <v>4130112345</v>
      </c>
      <c r="B1107" s="117" t="s">
        <v>999</v>
      </c>
      <c r="C1107" s="37">
        <f>-VLOOKUP(A1107,Composición!C:G,5,FALSE)</f>
        <v>0</v>
      </c>
      <c r="D1107" s="37"/>
      <c r="E1107" s="37"/>
      <c r="F1107" s="37"/>
      <c r="G1107" s="37">
        <f t="shared" si="140"/>
        <v>0</v>
      </c>
      <c r="H1107" s="37">
        <f>-G1107</f>
        <v>0</v>
      </c>
      <c r="I1107" s="37"/>
      <c r="J1107" s="37"/>
      <c r="K1107" s="37"/>
      <c r="L1107" s="37"/>
      <c r="M1107" s="37"/>
      <c r="N1107" s="37"/>
      <c r="O1107" s="37"/>
      <c r="P1107" s="37"/>
      <c r="Q1107" s="37"/>
      <c r="R1107" s="37"/>
      <c r="S1107" s="37"/>
      <c r="T1107" s="37"/>
      <c r="U1107" s="37"/>
      <c r="V1107" s="37"/>
      <c r="W1107" s="37"/>
      <c r="X1107" s="37"/>
      <c r="Y1107" s="37"/>
      <c r="Z1107" s="37"/>
      <c r="AA1107" s="37">
        <f t="shared" si="136"/>
        <v>0</v>
      </c>
      <c r="AB1107" s="37">
        <f t="shared" si="146"/>
        <v>0</v>
      </c>
    </row>
    <row r="1108" spans="1:28" ht="14.4">
      <c r="A1108" s="117">
        <v>4130112346</v>
      </c>
      <c r="B1108" s="117" t="s">
        <v>1000</v>
      </c>
      <c r="C1108" s="37">
        <f>-VLOOKUP(A1108,Composición!C:G,5,FALSE)</f>
        <v>-1433416</v>
      </c>
      <c r="D1108" s="37"/>
      <c r="E1108" s="37"/>
      <c r="F1108" s="37"/>
      <c r="G1108" s="37">
        <f t="shared" si="140"/>
        <v>-1433416</v>
      </c>
      <c r="H1108" s="37"/>
      <c r="I1108" s="37"/>
      <c r="J1108" s="37"/>
      <c r="K1108" s="37"/>
      <c r="L1108" s="37"/>
      <c r="M1108" s="37"/>
      <c r="N1108" s="37"/>
      <c r="O1108" s="37"/>
      <c r="P1108" s="37"/>
      <c r="Q1108" s="37"/>
      <c r="R1108" s="37"/>
      <c r="S1108" s="37">
        <f t="shared" ref="S1108:S1119" si="149">-G1108</f>
        <v>1433416</v>
      </c>
      <c r="T1108" s="37"/>
      <c r="U1108" s="37"/>
      <c r="V1108" s="37"/>
      <c r="W1108" s="37"/>
      <c r="X1108" s="37"/>
      <c r="Y1108" s="37"/>
      <c r="Z1108" s="37"/>
      <c r="AA1108" s="37">
        <f t="shared" si="136"/>
        <v>0</v>
      </c>
      <c r="AB1108" s="37">
        <f t="shared" si="146"/>
        <v>0</v>
      </c>
    </row>
    <row r="1109" spans="1:28" ht="14.4">
      <c r="A1109" s="117">
        <v>4130112348</v>
      </c>
      <c r="B1109" s="117" t="s">
        <v>344</v>
      </c>
      <c r="C1109" s="37">
        <f>-VLOOKUP(A1109,Composición!C:G,5,FALSE)</f>
        <v>-5</v>
      </c>
      <c r="D1109" s="37"/>
      <c r="E1109" s="37"/>
      <c r="F1109" s="37"/>
      <c r="G1109" s="37">
        <f t="shared" si="140"/>
        <v>-5</v>
      </c>
      <c r="H1109" s="37"/>
      <c r="I1109" s="37"/>
      <c r="J1109" s="37"/>
      <c r="K1109" s="37"/>
      <c r="L1109" s="37"/>
      <c r="M1109" s="37"/>
      <c r="N1109" s="37"/>
      <c r="O1109" s="37"/>
      <c r="P1109" s="37"/>
      <c r="Q1109" s="37"/>
      <c r="R1109" s="37"/>
      <c r="S1109" s="37">
        <f t="shared" si="149"/>
        <v>5</v>
      </c>
      <c r="T1109" s="37"/>
      <c r="U1109" s="37"/>
      <c r="V1109" s="37"/>
      <c r="W1109" s="37"/>
      <c r="X1109" s="37"/>
      <c r="Y1109" s="37"/>
      <c r="Z1109" s="37"/>
      <c r="AA1109" s="37">
        <f t="shared" si="136"/>
        <v>0</v>
      </c>
      <c r="AB1109" s="37">
        <f t="shared" si="146"/>
        <v>0</v>
      </c>
    </row>
    <row r="1110" spans="1:28" ht="14.4">
      <c r="A1110" s="117">
        <v>4130112350</v>
      </c>
      <c r="B1110" s="117" t="s">
        <v>345</v>
      </c>
      <c r="C1110" s="37">
        <f>-VLOOKUP(A1110,Composición!C:G,5,FALSE)</f>
        <v>0</v>
      </c>
      <c r="D1110" s="37"/>
      <c r="E1110" s="37"/>
      <c r="F1110" s="37"/>
      <c r="G1110" s="37">
        <f t="shared" si="140"/>
        <v>0</v>
      </c>
      <c r="H1110" s="37"/>
      <c r="I1110" s="37"/>
      <c r="J1110" s="37"/>
      <c r="K1110" s="37"/>
      <c r="L1110" s="37"/>
      <c r="M1110" s="37"/>
      <c r="N1110" s="37"/>
      <c r="O1110" s="37"/>
      <c r="P1110" s="37"/>
      <c r="Q1110" s="37"/>
      <c r="R1110" s="37"/>
      <c r="S1110" s="37">
        <f t="shared" si="149"/>
        <v>0</v>
      </c>
      <c r="T1110" s="37"/>
      <c r="U1110" s="37"/>
      <c r="V1110" s="37"/>
      <c r="W1110" s="37"/>
      <c r="X1110" s="37"/>
      <c r="Y1110" s="37"/>
      <c r="Z1110" s="37"/>
      <c r="AA1110" s="37">
        <f t="shared" si="136"/>
        <v>0</v>
      </c>
      <c r="AB1110" s="37">
        <f t="shared" si="146"/>
        <v>0</v>
      </c>
    </row>
    <row r="1111" spans="1:28" ht="14.4">
      <c r="A1111" s="117">
        <v>4130112352</v>
      </c>
      <c r="B1111" s="117" t="s">
        <v>346</v>
      </c>
      <c r="C1111" s="37">
        <f>-VLOOKUP(A1111,Composición!C:G,5,FALSE)</f>
        <v>0</v>
      </c>
      <c r="D1111" s="37"/>
      <c r="E1111" s="37"/>
      <c r="F1111" s="37"/>
      <c r="G1111" s="37">
        <f t="shared" si="140"/>
        <v>0</v>
      </c>
      <c r="H1111" s="37"/>
      <c r="I1111" s="37"/>
      <c r="J1111" s="37"/>
      <c r="K1111" s="37"/>
      <c r="L1111" s="37"/>
      <c r="M1111" s="37"/>
      <c r="N1111" s="37"/>
      <c r="O1111" s="37"/>
      <c r="P1111" s="37"/>
      <c r="Q1111" s="37"/>
      <c r="R1111" s="37"/>
      <c r="S1111" s="37">
        <f t="shared" si="149"/>
        <v>0</v>
      </c>
      <c r="T1111" s="37"/>
      <c r="U1111" s="37"/>
      <c r="V1111" s="37"/>
      <c r="W1111" s="37"/>
      <c r="X1111" s="37"/>
      <c r="Y1111" s="37"/>
      <c r="Z1111" s="37"/>
      <c r="AA1111" s="37">
        <f t="shared" ref="AA1111:AA1174" si="150">SUM(G1111:Z1111)</f>
        <v>0</v>
      </c>
      <c r="AB1111" s="37">
        <f t="shared" si="146"/>
        <v>0</v>
      </c>
    </row>
    <row r="1112" spans="1:28" ht="14.4">
      <c r="A1112" s="117">
        <v>4130112353</v>
      </c>
      <c r="B1112" s="117" t="s">
        <v>347</v>
      </c>
      <c r="C1112" s="37">
        <f>-VLOOKUP(A1112,Composición!C:G,5,FALSE)</f>
        <v>0</v>
      </c>
      <c r="D1112" s="37"/>
      <c r="E1112" s="37"/>
      <c r="F1112" s="37"/>
      <c r="G1112" s="37">
        <f t="shared" si="140"/>
        <v>0</v>
      </c>
      <c r="H1112" s="37"/>
      <c r="I1112" s="37"/>
      <c r="J1112" s="37"/>
      <c r="K1112" s="37"/>
      <c r="L1112" s="37"/>
      <c r="M1112" s="37"/>
      <c r="N1112" s="37"/>
      <c r="O1112" s="37"/>
      <c r="P1112" s="37"/>
      <c r="Q1112" s="37"/>
      <c r="R1112" s="37"/>
      <c r="S1112" s="37">
        <f t="shared" si="149"/>
        <v>0</v>
      </c>
      <c r="T1112" s="37"/>
      <c r="U1112" s="37"/>
      <c r="V1112" s="37"/>
      <c r="W1112" s="37"/>
      <c r="X1112" s="37"/>
      <c r="Y1112" s="37"/>
      <c r="Z1112" s="37"/>
      <c r="AA1112" s="37">
        <f t="shared" si="150"/>
        <v>0</v>
      </c>
      <c r="AB1112" s="37">
        <f t="shared" si="146"/>
        <v>0</v>
      </c>
    </row>
    <row r="1113" spans="1:28" ht="14.4">
      <c r="A1113" s="117">
        <v>4130112354</v>
      </c>
      <c r="B1113" s="117" t="s">
        <v>348</v>
      </c>
      <c r="C1113" s="37">
        <f>-VLOOKUP(A1113,Composición!C:G,5,FALSE)</f>
        <v>-22491029</v>
      </c>
      <c r="D1113" s="37"/>
      <c r="E1113" s="37"/>
      <c r="F1113" s="37"/>
      <c r="G1113" s="37">
        <f t="shared" si="140"/>
        <v>-22491029</v>
      </c>
      <c r="H1113" s="37"/>
      <c r="I1113" s="37"/>
      <c r="J1113" s="37"/>
      <c r="K1113" s="37"/>
      <c r="L1113" s="37"/>
      <c r="M1113" s="37"/>
      <c r="N1113" s="37"/>
      <c r="O1113" s="37"/>
      <c r="P1113" s="37"/>
      <c r="Q1113" s="37"/>
      <c r="R1113" s="37"/>
      <c r="S1113" s="37">
        <f t="shared" si="149"/>
        <v>22491029</v>
      </c>
      <c r="T1113" s="37"/>
      <c r="U1113" s="37"/>
      <c r="V1113" s="37"/>
      <c r="W1113" s="37"/>
      <c r="X1113" s="37"/>
      <c r="Y1113" s="37"/>
      <c r="Z1113" s="37"/>
      <c r="AA1113" s="37">
        <f t="shared" si="150"/>
        <v>0</v>
      </c>
      <c r="AB1113" s="37">
        <f t="shared" si="146"/>
        <v>0</v>
      </c>
    </row>
    <row r="1114" spans="1:28" ht="14.4">
      <c r="A1114" s="836">
        <v>4130112356</v>
      </c>
      <c r="B1114" s="836" t="s">
        <v>132</v>
      </c>
      <c r="C1114" s="37">
        <f>-VLOOKUP(A1114,Composición!C:G,5,FALSE)</f>
        <v>0</v>
      </c>
      <c r="D1114" s="37"/>
      <c r="E1114" s="37"/>
      <c r="F1114" s="37"/>
      <c r="G1114" s="37">
        <f t="shared" si="140"/>
        <v>0</v>
      </c>
      <c r="H1114" s="37"/>
      <c r="I1114" s="37"/>
      <c r="J1114" s="37"/>
      <c r="K1114" s="37"/>
      <c r="L1114" s="37"/>
      <c r="M1114" s="37"/>
      <c r="N1114" s="37"/>
      <c r="O1114" s="37"/>
      <c r="P1114" s="37"/>
      <c r="Q1114" s="37"/>
      <c r="R1114" s="37"/>
      <c r="S1114" s="37">
        <f t="shared" si="149"/>
        <v>0</v>
      </c>
      <c r="T1114" s="37"/>
      <c r="U1114" s="37"/>
      <c r="V1114" s="37"/>
      <c r="W1114" s="37"/>
      <c r="X1114" s="37"/>
      <c r="Y1114" s="37"/>
      <c r="Z1114" s="37"/>
      <c r="AA1114" s="37">
        <f t="shared" si="150"/>
        <v>0</v>
      </c>
      <c r="AB1114" s="37">
        <f t="shared" si="146"/>
        <v>0</v>
      </c>
    </row>
    <row r="1115" spans="1:28" ht="14.4">
      <c r="A1115" s="836">
        <v>4130112357</v>
      </c>
      <c r="B1115" s="836" t="s">
        <v>338</v>
      </c>
      <c r="C1115" s="37">
        <f>-VLOOKUP(A1115,Composición!C:G,5,FALSE)</f>
        <v>-47232440</v>
      </c>
      <c r="D1115" s="37"/>
      <c r="E1115" s="37"/>
      <c r="F1115" s="37"/>
      <c r="G1115" s="37">
        <f t="shared" si="140"/>
        <v>-47232440</v>
      </c>
      <c r="H1115" s="37"/>
      <c r="I1115" s="37"/>
      <c r="J1115" s="37"/>
      <c r="K1115" s="37"/>
      <c r="L1115" s="37"/>
      <c r="M1115" s="37"/>
      <c r="N1115" s="37"/>
      <c r="O1115" s="37"/>
      <c r="P1115" s="37"/>
      <c r="Q1115" s="37"/>
      <c r="R1115" s="37"/>
      <c r="S1115" s="37">
        <f t="shared" si="149"/>
        <v>47232440</v>
      </c>
      <c r="T1115" s="37"/>
      <c r="U1115" s="37"/>
      <c r="V1115" s="37"/>
      <c r="W1115" s="37"/>
      <c r="X1115" s="37"/>
      <c r="Y1115" s="37"/>
      <c r="Z1115" s="37"/>
      <c r="AA1115" s="37">
        <f t="shared" si="150"/>
        <v>0</v>
      </c>
      <c r="AB1115" s="37">
        <f t="shared" si="146"/>
        <v>0</v>
      </c>
    </row>
    <row r="1116" spans="1:28" ht="14.4">
      <c r="A1116" s="836">
        <v>4130112359</v>
      </c>
      <c r="B1116" s="836" t="s">
        <v>601</v>
      </c>
      <c r="C1116" s="37">
        <f>-VLOOKUP(A1116,Composición!C:G,5,FALSE)</f>
        <v>-18909111</v>
      </c>
      <c r="D1116" s="37"/>
      <c r="E1116" s="37"/>
      <c r="F1116" s="37"/>
      <c r="G1116" s="37">
        <f t="shared" si="140"/>
        <v>-18909111</v>
      </c>
      <c r="H1116" s="37"/>
      <c r="I1116" s="37"/>
      <c r="J1116" s="37"/>
      <c r="K1116" s="37"/>
      <c r="L1116" s="37"/>
      <c r="M1116" s="37"/>
      <c r="N1116" s="37"/>
      <c r="O1116" s="37"/>
      <c r="P1116" s="37"/>
      <c r="Q1116" s="37"/>
      <c r="R1116" s="37"/>
      <c r="S1116" s="37">
        <f t="shared" si="149"/>
        <v>18909111</v>
      </c>
      <c r="T1116" s="37"/>
      <c r="U1116" s="37"/>
      <c r="V1116" s="37"/>
      <c r="W1116" s="37"/>
      <c r="X1116" s="37"/>
      <c r="Y1116" s="37"/>
      <c r="Z1116" s="37"/>
      <c r="AA1116" s="37">
        <f t="shared" si="150"/>
        <v>0</v>
      </c>
      <c r="AB1116" s="37">
        <f t="shared" si="146"/>
        <v>0</v>
      </c>
    </row>
    <row r="1117" spans="1:28" ht="14.4">
      <c r="A1117" s="836">
        <v>4130112360</v>
      </c>
      <c r="B1117" s="836" t="s">
        <v>602</v>
      </c>
      <c r="C1117" s="37">
        <f>-VLOOKUP(A1117,Composición!C:G,5,FALSE)</f>
        <v>-165471322</v>
      </c>
      <c r="D1117" s="37"/>
      <c r="E1117" s="37"/>
      <c r="F1117" s="37"/>
      <c r="G1117" s="37">
        <f t="shared" si="140"/>
        <v>-165471322</v>
      </c>
      <c r="H1117" s="37"/>
      <c r="I1117" s="37"/>
      <c r="J1117" s="37"/>
      <c r="K1117" s="37"/>
      <c r="L1117" s="37"/>
      <c r="M1117" s="37"/>
      <c r="N1117" s="37"/>
      <c r="O1117" s="37"/>
      <c r="P1117" s="37"/>
      <c r="Q1117" s="37"/>
      <c r="R1117" s="37"/>
      <c r="S1117" s="37">
        <f t="shared" si="149"/>
        <v>165471322</v>
      </c>
      <c r="T1117" s="37"/>
      <c r="U1117" s="37"/>
      <c r="V1117" s="37"/>
      <c r="W1117" s="37"/>
      <c r="X1117" s="37"/>
      <c r="Y1117" s="37"/>
      <c r="Z1117" s="37"/>
      <c r="AA1117" s="37">
        <f t="shared" si="150"/>
        <v>0</v>
      </c>
      <c r="AB1117" s="37">
        <f t="shared" si="146"/>
        <v>0</v>
      </c>
    </row>
    <row r="1118" spans="1:28" ht="14.4">
      <c r="A1118" s="836">
        <v>4130112362</v>
      </c>
      <c r="B1118" s="836" t="s">
        <v>603</v>
      </c>
      <c r="C1118" s="37">
        <f>-VLOOKUP(A1118,Composición!C:G,5,FALSE)</f>
        <v>-1048450</v>
      </c>
      <c r="D1118" s="37"/>
      <c r="E1118" s="37"/>
      <c r="F1118" s="37"/>
      <c r="G1118" s="37">
        <f t="shared" si="140"/>
        <v>-1048450</v>
      </c>
      <c r="H1118" s="37"/>
      <c r="I1118" s="37"/>
      <c r="J1118" s="37"/>
      <c r="K1118" s="37"/>
      <c r="L1118" s="37"/>
      <c r="M1118" s="37"/>
      <c r="N1118" s="37"/>
      <c r="O1118" s="37"/>
      <c r="P1118" s="37"/>
      <c r="Q1118" s="37"/>
      <c r="R1118" s="37"/>
      <c r="S1118" s="37">
        <f t="shared" si="149"/>
        <v>1048450</v>
      </c>
      <c r="T1118" s="37"/>
      <c r="U1118" s="37"/>
      <c r="V1118" s="37"/>
      <c r="W1118" s="37"/>
      <c r="X1118" s="37"/>
      <c r="Y1118" s="37"/>
      <c r="Z1118" s="37"/>
      <c r="AA1118" s="37">
        <f t="shared" si="150"/>
        <v>0</v>
      </c>
      <c r="AB1118" s="37">
        <f t="shared" si="146"/>
        <v>0</v>
      </c>
    </row>
    <row r="1119" spans="1:28" ht="14.4">
      <c r="A1119" s="836">
        <v>4130112363</v>
      </c>
      <c r="B1119" s="836" t="s">
        <v>604</v>
      </c>
      <c r="C1119" s="37">
        <f>-VLOOKUP(A1119,Composición!C:G,5,FALSE)</f>
        <v>-3554177</v>
      </c>
      <c r="D1119" s="37"/>
      <c r="E1119" s="37"/>
      <c r="F1119" s="37"/>
      <c r="G1119" s="37">
        <f t="shared" si="140"/>
        <v>-3554177</v>
      </c>
      <c r="H1119" s="37"/>
      <c r="I1119" s="37"/>
      <c r="J1119" s="37"/>
      <c r="K1119" s="37"/>
      <c r="L1119" s="37"/>
      <c r="M1119" s="37"/>
      <c r="N1119" s="37"/>
      <c r="O1119" s="37"/>
      <c r="P1119" s="37"/>
      <c r="Q1119" s="37"/>
      <c r="R1119" s="37"/>
      <c r="S1119" s="37">
        <f t="shared" si="149"/>
        <v>3554177</v>
      </c>
      <c r="T1119" s="37"/>
      <c r="U1119" s="37"/>
      <c r="V1119" s="37"/>
      <c r="W1119" s="37"/>
      <c r="X1119" s="37"/>
      <c r="Y1119" s="37"/>
      <c r="Z1119" s="37"/>
      <c r="AA1119" s="37">
        <f t="shared" si="150"/>
        <v>0</v>
      </c>
      <c r="AB1119" s="37">
        <f t="shared" si="146"/>
        <v>0</v>
      </c>
    </row>
    <row r="1120" spans="1:28" ht="14.4">
      <c r="A1120" s="117">
        <v>414</v>
      </c>
      <c r="B1120" s="117" t="s">
        <v>1001</v>
      </c>
      <c r="C1120" s="37">
        <f>-VLOOKUP(A1120,Composición!C:G,5,FALSE)</f>
        <v>0</v>
      </c>
      <c r="D1120" s="37"/>
      <c r="E1120" s="37"/>
      <c r="F1120" s="37"/>
      <c r="G1120" s="37">
        <f t="shared" si="140"/>
        <v>0</v>
      </c>
      <c r="H1120" s="37"/>
      <c r="I1120" s="37"/>
      <c r="J1120" s="37"/>
      <c r="K1120" s="37"/>
      <c r="L1120" s="37"/>
      <c r="M1120" s="37"/>
      <c r="N1120" s="37"/>
      <c r="O1120" s="37"/>
      <c r="P1120" s="37"/>
      <c r="Q1120" s="37"/>
      <c r="R1120" s="37"/>
      <c r="S1120" s="37"/>
      <c r="T1120" s="37"/>
      <c r="U1120" s="37"/>
      <c r="V1120" s="37"/>
      <c r="W1120" s="37"/>
      <c r="X1120" s="37"/>
      <c r="Y1120" s="37"/>
      <c r="Z1120" s="37"/>
      <c r="AA1120" s="37">
        <f t="shared" si="150"/>
        <v>0</v>
      </c>
      <c r="AB1120" s="37">
        <f t="shared" si="146"/>
        <v>0</v>
      </c>
    </row>
    <row r="1121" spans="1:28" ht="14.4">
      <c r="A1121" s="117">
        <v>41401</v>
      </c>
      <c r="B1121" s="117" t="s">
        <v>1002</v>
      </c>
      <c r="C1121" s="37">
        <f>-VLOOKUP(A1121,Composición!C:G,5,FALSE)</f>
        <v>0</v>
      </c>
      <c r="D1121" s="37"/>
      <c r="E1121" s="37"/>
      <c r="F1121" s="37"/>
      <c r="G1121" s="37">
        <f t="shared" si="140"/>
        <v>0</v>
      </c>
      <c r="H1121" s="37"/>
      <c r="I1121" s="37"/>
      <c r="J1121" s="37"/>
      <c r="K1121" s="37"/>
      <c r="L1121" s="37"/>
      <c r="M1121" s="37"/>
      <c r="N1121" s="37"/>
      <c r="O1121" s="37"/>
      <c r="P1121" s="37"/>
      <c r="Q1121" s="37"/>
      <c r="R1121" s="37"/>
      <c r="S1121" s="37"/>
      <c r="T1121" s="37"/>
      <c r="U1121" s="37"/>
      <c r="V1121" s="37"/>
      <c r="W1121" s="37"/>
      <c r="X1121" s="37"/>
      <c r="Y1121" s="37"/>
      <c r="Z1121" s="37"/>
      <c r="AA1121" s="37">
        <f t="shared" si="150"/>
        <v>0</v>
      </c>
      <c r="AB1121" s="37">
        <f t="shared" si="146"/>
        <v>0</v>
      </c>
    </row>
    <row r="1122" spans="1:28" ht="14.4">
      <c r="A1122" s="117">
        <v>414011</v>
      </c>
      <c r="B1122" s="117" t="s">
        <v>1002</v>
      </c>
      <c r="C1122" s="37">
        <f>-VLOOKUP(A1122,Composición!C:G,5,FALSE)</f>
        <v>0</v>
      </c>
      <c r="D1122" s="37"/>
      <c r="E1122" s="37"/>
      <c r="F1122" s="37"/>
      <c r="G1122" s="37">
        <f t="shared" si="140"/>
        <v>0</v>
      </c>
      <c r="H1122" s="37"/>
      <c r="I1122" s="37"/>
      <c r="J1122" s="37"/>
      <c r="K1122" s="37"/>
      <c r="L1122" s="37"/>
      <c r="M1122" s="37"/>
      <c r="N1122" s="37"/>
      <c r="O1122" s="37"/>
      <c r="P1122" s="37"/>
      <c r="Q1122" s="37"/>
      <c r="R1122" s="37"/>
      <c r="S1122" s="37"/>
      <c r="T1122" s="37"/>
      <c r="U1122" s="37"/>
      <c r="V1122" s="37"/>
      <c r="W1122" s="37"/>
      <c r="X1122" s="37"/>
      <c r="Y1122" s="37"/>
      <c r="Z1122" s="37"/>
      <c r="AA1122" s="37">
        <f t="shared" si="150"/>
        <v>0</v>
      </c>
      <c r="AB1122" s="37">
        <f t="shared" si="146"/>
        <v>0</v>
      </c>
    </row>
    <row r="1123" spans="1:28" ht="14.4">
      <c r="A1123" s="117">
        <v>4140111</v>
      </c>
      <c r="B1123" s="117" t="s">
        <v>1002</v>
      </c>
      <c r="C1123" s="37">
        <f>-VLOOKUP(A1123,Composición!C:G,5,FALSE)</f>
        <v>0</v>
      </c>
      <c r="D1123" s="37"/>
      <c r="E1123" s="37"/>
      <c r="F1123" s="37"/>
      <c r="G1123" s="37">
        <f t="shared" si="140"/>
        <v>0</v>
      </c>
      <c r="H1123" s="37">
        <f>-G1123</f>
        <v>0</v>
      </c>
      <c r="I1123" s="37"/>
      <c r="J1123" s="37"/>
      <c r="K1123" s="37"/>
      <c r="L1123" s="37"/>
      <c r="M1123" s="37"/>
      <c r="N1123" s="37"/>
      <c r="O1123" s="37"/>
      <c r="P1123" s="37"/>
      <c r="Q1123" s="37"/>
      <c r="R1123" s="37"/>
      <c r="S1123" s="37"/>
      <c r="T1123" s="37"/>
      <c r="U1123" s="37"/>
      <c r="V1123" s="37"/>
      <c r="W1123" s="37"/>
      <c r="X1123" s="37"/>
      <c r="Y1123" s="37"/>
      <c r="Z1123" s="37"/>
      <c r="AA1123" s="37">
        <f t="shared" si="150"/>
        <v>0</v>
      </c>
      <c r="AB1123" s="37">
        <f t="shared" si="146"/>
        <v>0</v>
      </c>
    </row>
    <row r="1124" spans="1:28" ht="14.4">
      <c r="A1124" s="117">
        <v>41401111</v>
      </c>
      <c r="B1124" s="117" t="s">
        <v>1002</v>
      </c>
      <c r="C1124" s="37">
        <f>-VLOOKUP(A1124,Composición!C:G,5,FALSE)</f>
        <v>0</v>
      </c>
      <c r="D1124" s="37"/>
      <c r="E1124" s="37"/>
      <c r="F1124" s="37"/>
      <c r="G1124" s="37">
        <f t="shared" si="140"/>
        <v>0</v>
      </c>
      <c r="H1124" s="37">
        <f t="shared" ref="H1124:H1126" si="151">-G1124</f>
        <v>0</v>
      </c>
      <c r="I1124" s="37"/>
      <c r="J1124" s="37"/>
      <c r="K1124" s="37"/>
      <c r="L1124" s="37"/>
      <c r="M1124" s="37"/>
      <c r="N1124" s="37"/>
      <c r="O1124" s="37"/>
      <c r="P1124" s="37"/>
      <c r="Q1124" s="37"/>
      <c r="R1124" s="37"/>
      <c r="S1124" s="37"/>
      <c r="T1124" s="37"/>
      <c r="U1124" s="37"/>
      <c r="V1124" s="37"/>
      <c r="W1124" s="37"/>
      <c r="X1124" s="37"/>
      <c r="Y1124" s="37"/>
      <c r="Z1124" s="37"/>
      <c r="AA1124" s="37">
        <f t="shared" si="150"/>
        <v>0</v>
      </c>
      <c r="AB1124" s="37">
        <f t="shared" si="146"/>
        <v>0</v>
      </c>
    </row>
    <row r="1125" spans="1:28" ht="14.4">
      <c r="A1125" s="117">
        <v>4140111101</v>
      </c>
      <c r="B1125" s="117" t="s">
        <v>1002</v>
      </c>
      <c r="C1125" s="37">
        <f>-VLOOKUP(A1125,Composición!C:G,5,FALSE)</f>
        <v>0</v>
      </c>
      <c r="D1125" s="37"/>
      <c r="E1125" s="37"/>
      <c r="F1125" s="37"/>
      <c r="G1125" s="37">
        <f t="shared" si="140"/>
        <v>0</v>
      </c>
      <c r="H1125" s="37">
        <f t="shared" si="151"/>
        <v>0</v>
      </c>
      <c r="I1125" s="37"/>
      <c r="J1125" s="37"/>
      <c r="K1125" s="37"/>
      <c r="L1125" s="37"/>
      <c r="M1125" s="37"/>
      <c r="N1125" s="37"/>
      <c r="O1125" s="37"/>
      <c r="P1125" s="37"/>
      <c r="Q1125" s="37"/>
      <c r="R1125" s="37"/>
      <c r="S1125" s="37"/>
      <c r="T1125" s="37"/>
      <c r="U1125" s="37"/>
      <c r="V1125" s="37"/>
      <c r="W1125" s="37"/>
      <c r="X1125" s="37"/>
      <c r="Y1125" s="37"/>
      <c r="Z1125" s="37"/>
      <c r="AA1125" s="37">
        <f t="shared" si="150"/>
        <v>0</v>
      </c>
      <c r="AB1125" s="37">
        <f t="shared" si="146"/>
        <v>0</v>
      </c>
    </row>
    <row r="1126" spans="1:28" ht="14.4">
      <c r="A1126" s="117">
        <v>4140111102</v>
      </c>
      <c r="B1126" s="117" t="s">
        <v>1002</v>
      </c>
      <c r="C1126" s="37">
        <f>-VLOOKUP(A1126,Composición!C:G,5,FALSE)</f>
        <v>0</v>
      </c>
      <c r="D1126" s="37"/>
      <c r="E1126" s="37"/>
      <c r="F1126" s="37"/>
      <c r="G1126" s="37">
        <f t="shared" si="140"/>
        <v>0</v>
      </c>
      <c r="H1126" s="37">
        <f t="shared" si="151"/>
        <v>0</v>
      </c>
      <c r="I1126" s="37"/>
      <c r="J1126" s="37"/>
      <c r="K1126" s="37"/>
      <c r="L1126" s="37"/>
      <c r="M1126" s="37"/>
      <c r="N1126" s="37"/>
      <c r="O1126" s="37"/>
      <c r="P1126" s="37"/>
      <c r="Q1126" s="37"/>
      <c r="R1126" s="37"/>
      <c r="S1126" s="37"/>
      <c r="T1126" s="37"/>
      <c r="U1126" s="37"/>
      <c r="V1126" s="37"/>
      <c r="W1126" s="37"/>
      <c r="X1126" s="37"/>
      <c r="Y1126" s="37"/>
      <c r="Z1126" s="37"/>
      <c r="AA1126" s="37">
        <f t="shared" si="150"/>
        <v>0</v>
      </c>
      <c r="AB1126" s="37">
        <f t="shared" si="146"/>
        <v>0</v>
      </c>
    </row>
    <row r="1127" spans="1:28" ht="14.4">
      <c r="A1127" s="117">
        <v>4140111103</v>
      </c>
      <c r="B1127" s="117" t="s">
        <v>1003</v>
      </c>
      <c r="C1127" s="37">
        <f>-VLOOKUP(A1127,Composición!C:G,5,FALSE)</f>
        <v>0</v>
      </c>
      <c r="D1127" s="37"/>
      <c r="E1127" s="37"/>
      <c r="F1127" s="37"/>
      <c r="G1127" s="37">
        <f t="shared" si="140"/>
        <v>0</v>
      </c>
      <c r="H1127" s="37">
        <f t="shared" ref="H1127" si="152">-G1127</f>
        <v>0</v>
      </c>
      <c r="I1127" s="37"/>
      <c r="J1127" s="37"/>
      <c r="K1127" s="37"/>
      <c r="L1127" s="37"/>
      <c r="M1127" s="37"/>
      <c r="N1127" s="37"/>
      <c r="O1127" s="37"/>
      <c r="P1127" s="37"/>
      <c r="Q1127" s="37"/>
      <c r="R1127" s="37"/>
      <c r="S1127" s="37"/>
      <c r="T1127" s="37"/>
      <c r="U1127" s="37"/>
      <c r="V1127" s="37"/>
      <c r="W1127" s="37"/>
      <c r="X1127" s="37"/>
      <c r="Y1127" s="37"/>
      <c r="Z1127" s="37"/>
      <c r="AA1127" s="37">
        <f t="shared" si="150"/>
        <v>0</v>
      </c>
      <c r="AB1127" s="37">
        <f t="shared" si="146"/>
        <v>0</v>
      </c>
    </row>
    <row r="1128" spans="1:28" ht="14.4">
      <c r="A1128" s="117">
        <v>415</v>
      </c>
      <c r="B1128" s="117" t="s">
        <v>1004</v>
      </c>
      <c r="C1128" s="37">
        <f>-VLOOKUP(A1128,Composición!C:G,5,FALSE)</f>
        <v>0</v>
      </c>
      <c r="D1128" s="37"/>
      <c r="E1128" s="37"/>
      <c r="F1128" s="37"/>
      <c r="G1128" s="37">
        <f t="shared" si="140"/>
        <v>0</v>
      </c>
      <c r="H1128" s="37">
        <f t="shared" ref="H1128:H1130" si="153">-G1128</f>
        <v>0</v>
      </c>
      <c r="I1128" s="37"/>
      <c r="J1128" s="37"/>
      <c r="K1128" s="37"/>
      <c r="L1128" s="37"/>
      <c r="M1128" s="37"/>
      <c r="N1128" s="37"/>
      <c r="O1128" s="37"/>
      <c r="P1128" s="37"/>
      <c r="Q1128" s="37"/>
      <c r="R1128" s="37"/>
      <c r="S1128" s="37"/>
      <c r="T1128" s="37"/>
      <c r="U1128" s="37"/>
      <c r="V1128" s="37"/>
      <c r="W1128" s="37"/>
      <c r="X1128" s="37"/>
      <c r="Y1128" s="37"/>
      <c r="Z1128" s="37"/>
      <c r="AA1128" s="37">
        <f t="shared" si="150"/>
        <v>0</v>
      </c>
      <c r="AB1128" s="37">
        <f t="shared" si="146"/>
        <v>0</v>
      </c>
    </row>
    <row r="1129" spans="1:28" ht="14.4">
      <c r="A1129" s="117">
        <v>416</v>
      </c>
      <c r="B1129" s="117" t="s">
        <v>349</v>
      </c>
      <c r="C1129" s="37">
        <f>-VLOOKUP(A1129,Composición!C:G,5,FALSE)</f>
        <v>0</v>
      </c>
      <c r="D1129" s="37"/>
      <c r="E1129" s="37"/>
      <c r="F1129" s="37"/>
      <c r="G1129" s="37">
        <f t="shared" si="140"/>
        <v>0</v>
      </c>
      <c r="H1129" s="37">
        <f t="shared" si="153"/>
        <v>0</v>
      </c>
      <c r="I1129" s="37"/>
      <c r="J1129" s="37"/>
      <c r="K1129" s="37"/>
      <c r="L1129" s="37"/>
      <c r="M1129" s="37"/>
      <c r="N1129" s="37"/>
      <c r="O1129" s="37"/>
      <c r="P1129" s="37"/>
      <c r="Q1129" s="37"/>
      <c r="R1129" s="37"/>
      <c r="S1129" s="37"/>
      <c r="T1129" s="37"/>
      <c r="U1129" s="37"/>
      <c r="V1129" s="37"/>
      <c r="W1129" s="37"/>
      <c r="X1129" s="37"/>
      <c r="Y1129" s="37"/>
      <c r="Z1129" s="37"/>
      <c r="AA1129" s="37">
        <f t="shared" si="150"/>
        <v>0</v>
      </c>
      <c r="AB1129" s="37">
        <f t="shared" si="146"/>
        <v>0</v>
      </c>
    </row>
    <row r="1130" spans="1:28" ht="14.4">
      <c r="A1130" s="117">
        <v>41601</v>
      </c>
      <c r="B1130" s="117" t="s">
        <v>350</v>
      </c>
      <c r="C1130" s="37">
        <f>-VLOOKUP(A1130,Composición!C:G,5,FALSE)</f>
        <v>0</v>
      </c>
      <c r="D1130" s="37"/>
      <c r="E1130" s="37"/>
      <c r="F1130" s="37"/>
      <c r="G1130" s="37">
        <f t="shared" si="140"/>
        <v>0</v>
      </c>
      <c r="H1130" s="37">
        <f t="shared" si="153"/>
        <v>0</v>
      </c>
      <c r="I1130" s="37"/>
      <c r="J1130" s="37"/>
      <c r="K1130" s="37"/>
      <c r="L1130" s="37"/>
      <c r="M1130" s="37"/>
      <c r="N1130" s="37"/>
      <c r="O1130" s="37"/>
      <c r="P1130" s="37"/>
      <c r="Q1130" s="37"/>
      <c r="R1130" s="37"/>
      <c r="S1130" s="37"/>
      <c r="T1130" s="37"/>
      <c r="U1130" s="37"/>
      <c r="V1130" s="37"/>
      <c r="W1130" s="37"/>
      <c r="X1130" s="37"/>
      <c r="Y1130" s="37"/>
      <c r="Z1130" s="37"/>
      <c r="AA1130" s="37">
        <f t="shared" si="150"/>
        <v>0</v>
      </c>
      <c r="AB1130" s="37">
        <f t="shared" si="146"/>
        <v>0</v>
      </c>
    </row>
    <row r="1131" spans="1:28" ht="14.4">
      <c r="A1131" s="117">
        <v>416011</v>
      </c>
      <c r="B1131" s="117" t="s">
        <v>350</v>
      </c>
      <c r="C1131" s="37">
        <f>-VLOOKUP(A1131,Composición!C:G,5,FALSE)</f>
        <v>0</v>
      </c>
      <c r="D1131" s="37"/>
      <c r="E1131" s="37"/>
      <c r="F1131" s="37"/>
      <c r="G1131" s="37">
        <f t="shared" si="140"/>
        <v>0</v>
      </c>
      <c r="H1131" s="37">
        <f t="shared" ref="H1131:H1132" si="154">-G1131</f>
        <v>0</v>
      </c>
      <c r="I1131" s="37"/>
      <c r="J1131" s="37"/>
      <c r="K1131" s="37"/>
      <c r="L1131" s="37"/>
      <c r="M1131" s="37"/>
      <c r="N1131" s="37"/>
      <c r="O1131" s="37"/>
      <c r="P1131" s="37"/>
      <c r="Q1131" s="37"/>
      <c r="R1131" s="37"/>
      <c r="S1131" s="37"/>
      <c r="T1131" s="37"/>
      <c r="U1131" s="37"/>
      <c r="V1131" s="37"/>
      <c r="W1131" s="37"/>
      <c r="X1131" s="37"/>
      <c r="Y1131" s="37"/>
      <c r="Z1131" s="37"/>
      <c r="AA1131" s="37">
        <f t="shared" si="150"/>
        <v>0</v>
      </c>
      <c r="AB1131" s="37">
        <f t="shared" si="146"/>
        <v>0</v>
      </c>
    </row>
    <row r="1132" spans="1:28" ht="14.4">
      <c r="A1132" s="953">
        <v>4160112101</v>
      </c>
      <c r="B1132" s="953" t="s">
        <v>607</v>
      </c>
      <c r="C1132" s="37">
        <f>-VLOOKUP(A1132,Composición!C:G,5,FALSE)</f>
        <v>-4320000</v>
      </c>
      <c r="D1132" s="37"/>
      <c r="E1132" s="37"/>
      <c r="F1132" s="37"/>
      <c r="G1132" s="37">
        <f t="shared" si="140"/>
        <v>-4320000</v>
      </c>
      <c r="H1132" s="37">
        <f t="shared" si="154"/>
        <v>4320000</v>
      </c>
      <c r="I1132" s="37"/>
      <c r="J1132" s="37"/>
      <c r="K1132" s="37"/>
      <c r="L1132" s="37"/>
      <c r="M1132" s="37"/>
      <c r="N1132" s="37"/>
      <c r="O1132" s="37"/>
      <c r="P1132" s="37"/>
      <c r="Q1132" s="37"/>
      <c r="R1132" s="37"/>
      <c r="S1132" s="37"/>
      <c r="T1132" s="37"/>
      <c r="U1132" s="37"/>
      <c r="V1132" s="37"/>
      <c r="W1132" s="37"/>
      <c r="X1132" s="37"/>
      <c r="Y1132" s="37"/>
      <c r="Z1132" s="37"/>
      <c r="AA1132" s="37">
        <f t="shared" si="150"/>
        <v>0</v>
      </c>
      <c r="AB1132" s="37">
        <f t="shared" si="146"/>
        <v>0</v>
      </c>
    </row>
    <row r="1133" spans="1:28" ht="14.4">
      <c r="A1133" s="117">
        <v>4160114</v>
      </c>
      <c r="B1133" s="117" t="s">
        <v>1005</v>
      </c>
      <c r="C1133" s="37">
        <f>-VLOOKUP(A1133,Composición!C:G,5,FALSE)</f>
        <v>0</v>
      </c>
      <c r="D1133" s="37"/>
      <c r="E1133" s="37"/>
      <c r="F1133" s="37"/>
      <c r="G1133" s="37">
        <f t="shared" si="140"/>
        <v>0</v>
      </c>
      <c r="H1133" s="37"/>
      <c r="I1133" s="37"/>
      <c r="J1133" s="37"/>
      <c r="K1133" s="37"/>
      <c r="L1133" s="37"/>
      <c r="M1133" s="37"/>
      <c r="N1133" s="37"/>
      <c r="O1133" s="37"/>
      <c r="P1133" s="37"/>
      <c r="Q1133" s="37"/>
      <c r="R1133" s="37"/>
      <c r="S1133" s="37"/>
      <c r="T1133" s="37"/>
      <c r="U1133" s="37"/>
      <c r="V1133" s="37"/>
      <c r="W1133" s="37"/>
      <c r="X1133" s="37"/>
      <c r="Y1133" s="37"/>
      <c r="Z1133" s="37"/>
      <c r="AA1133" s="37">
        <f t="shared" si="150"/>
        <v>0</v>
      </c>
      <c r="AB1133" s="37">
        <f t="shared" si="146"/>
        <v>0</v>
      </c>
    </row>
    <row r="1134" spans="1:28" ht="14.4">
      <c r="A1134" s="117">
        <v>41601141</v>
      </c>
      <c r="B1134" s="117" t="s">
        <v>1006</v>
      </c>
      <c r="C1134" s="37">
        <f>-VLOOKUP(A1134,Composición!C:G,5,FALSE)</f>
        <v>0</v>
      </c>
      <c r="D1134" s="37"/>
      <c r="E1134" s="37"/>
      <c r="F1134" s="37"/>
      <c r="G1134" s="37">
        <f t="shared" si="140"/>
        <v>0</v>
      </c>
      <c r="H1134" s="37">
        <f t="shared" ref="H1134:H1136" si="155">-G1134</f>
        <v>0</v>
      </c>
      <c r="I1134" s="37"/>
      <c r="J1134" s="37"/>
      <c r="K1134" s="37"/>
      <c r="L1134" s="37"/>
      <c r="M1134" s="37"/>
      <c r="N1134" s="37"/>
      <c r="O1134" s="37"/>
      <c r="P1134" s="37"/>
      <c r="Q1134" s="37"/>
      <c r="R1134" s="37"/>
      <c r="S1134" s="37"/>
      <c r="T1134" s="37"/>
      <c r="U1134" s="37"/>
      <c r="V1134" s="37"/>
      <c r="W1134" s="37"/>
      <c r="X1134" s="37"/>
      <c r="Y1134" s="37"/>
      <c r="Z1134" s="37"/>
      <c r="AA1134" s="37">
        <f t="shared" si="150"/>
        <v>0</v>
      </c>
      <c r="AB1134" s="37">
        <f t="shared" si="146"/>
        <v>0</v>
      </c>
    </row>
    <row r="1135" spans="1:28" ht="14.4">
      <c r="A1135" s="117">
        <v>4160114103</v>
      </c>
      <c r="B1135" s="117" t="s">
        <v>1007</v>
      </c>
      <c r="C1135" s="37">
        <f>-VLOOKUP(A1135,Composición!C:G,5,FALSE)</f>
        <v>0</v>
      </c>
      <c r="D1135" s="37"/>
      <c r="E1135" s="37"/>
      <c r="F1135" s="37"/>
      <c r="G1135" s="37">
        <f t="shared" si="140"/>
        <v>0</v>
      </c>
      <c r="H1135" s="37">
        <f t="shared" si="155"/>
        <v>0</v>
      </c>
      <c r="I1135" s="37"/>
      <c r="J1135" s="37"/>
      <c r="K1135" s="37"/>
      <c r="L1135" s="37"/>
      <c r="M1135" s="37"/>
      <c r="N1135" s="37"/>
      <c r="O1135" s="37"/>
      <c r="P1135" s="37"/>
      <c r="Q1135" s="37"/>
      <c r="R1135" s="37"/>
      <c r="S1135" s="37"/>
      <c r="T1135" s="37"/>
      <c r="U1135" s="37"/>
      <c r="V1135" s="37"/>
      <c r="W1135" s="37"/>
      <c r="X1135" s="37"/>
      <c r="Y1135" s="37"/>
      <c r="Z1135" s="37"/>
      <c r="AA1135" s="37">
        <f t="shared" si="150"/>
        <v>0</v>
      </c>
      <c r="AB1135" s="37">
        <f t="shared" si="146"/>
        <v>0</v>
      </c>
    </row>
    <row r="1136" spans="1:28" ht="14.4">
      <c r="A1136" s="117">
        <v>4160115</v>
      </c>
      <c r="B1136" s="117" t="s">
        <v>533</v>
      </c>
      <c r="C1136" s="37">
        <f>-VLOOKUP(A1136,Composición!C:G,5,FALSE)</f>
        <v>0</v>
      </c>
      <c r="D1136" s="37"/>
      <c r="E1136" s="37"/>
      <c r="F1136" s="37"/>
      <c r="G1136" s="37">
        <f t="shared" ref="G1136:G1201" si="156">C1136+D1136-E1136-F1136</f>
        <v>0</v>
      </c>
      <c r="H1136" s="37">
        <f t="shared" si="155"/>
        <v>0</v>
      </c>
      <c r="I1136" s="37"/>
      <c r="J1136" s="37"/>
      <c r="K1136" s="37"/>
      <c r="L1136" s="37"/>
      <c r="M1136" s="37"/>
      <c r="N1136" s="37"/>
      <c r="O1136" s="37"/>
      <c r="P1136" s="37"/>
      <c r="Q1136" s="37"/>
      <c r="R1136" s="37"/>
      <c r="S1136" s="37"/>
      <c r="T1136" s="37"/>
      <c r="U1136" s="37"/>
      <c r="V1136" s="37"/>
      <c r="W1136" s="37"/>
      <c r="X1136" s="37"/>
      <c r="Y1136" s="37"/>
      <c r="Z1136" s="37"/>
      <c r="AA1136" s="37">
        <f t="shared" si="150"/>
        <v>0</v>
      </c>
      <c r="AB1136" s="37">
        <f t="shared" si="146"/>
        <v>0</v>
      </c>
    </row>
    <row r="1137" spans="1:28" ht="14.4">
      <c r="A1137" s="117">
        <v>41601151</v>
      </c>
      <c r="B1137" s="117" t="s">
        <v>352</v>
      </c>
      <c r="C1137" s="37">
        <f>-VLOOKUP(A1137,Composición!C:G,5,FALSE)</f>
        <v>0</v>
      </c>
      <c r="D1137" s="37"/>
      <c r="E1137" s="37"/>
      <c r="F1137" s="37"/>
      <c r="G1137" s="37">
        <f t="shared" si="156"/>
        <v>0</v>
      </c>
      <c r="H1137" s="37">
        <f t="shared" ref="H1137:H1141" si="157">-G1137</f>
        <v>0</v>
      </c>
      <c r="I1137" s="37"/>
      <c r="J1137" s="37"/>
      <c r="K1137" s="37"/>
      <c r="L1137" s="37"/>
      <c r="M1137" s="37"/>
      <c r="N1137" s="37"/>
      <c r="O1137" s="37"/>
      <c r="P1137" s="37"/>
      <c r="Q1137" s="37"/>
      <c r="R1137" s="37"/>
      <c r="S1137" s="37"/>
      <c r="T1137" s="37"/>
      <c r="U1137" s="37"/>
      <c r="V1137" s="37"/>
      <c r="W1137" s="37"/>
      <c r="X1137" s="37"/>
      <c r="Y1137" s="37"/>
      <c r="Z1137" s="37"/>
      <c r="AA1137" s="37">
        <f t="shared" si="150"/>
        <v>0</v>
      </c>
      <c r="AB1137" s="37">
        <f t="shared" si="146"/>
        <v>0</v>
      </c>
    </row>
    <row r="1138" spans="1:28" ht="14.4">
      <c r="A1138" s="117">
        <v>4160115101</v>
      </c>
      <c r="B1138" s="117" t="s">
        <v>353</v>
      </c>
      <c r="C1138" s="37">
        <f>-VLOOKUP(A1138,Composición!C:G,5,FALSE)</f>
        <v>-29091884</v>
      </c>
      <c r="D1138" s="37"/>
      <c r="E1138" s="37"/>
      <c r="F1138" s="37"/>
      <c r="G1138" s="37">
        <f t="shared" si="156"/>
        <v>-29091884</v>
      </c>
      <c r="H1138" s="37">
        <f t="shared" si="157"/>
        <v>29091884</v>
      </c>
      <c r="I1138" s="37"/>
      <c r="J1138" s="37"/>
      <c r="K1138" s="37"/>
      <c r="L1138" s="37"/>
      <c r="M1138" s="37"/>
      <c r="N1138" s="37"/>
      <c r="O1138" s="37"/>
      <c r="P1138" s="37"/>
      <c r="Q1138" s="37"/>
      <c r="R1138" s="37"/>
      <c r="S1138" s="37"/>
      <c r="T1138" s="37"/>
      <c r="U1138" s="37"/>
      <c r="V1138" s="37"/>
      <c r="W1138" s="37"/>
      <c r="X1138" s="37"/>
      <c r="Y1138" s="37"/>
      <c r="Z1138" s="37"/>
      <c r="AA1138" s="37">
        <f t="shared" si="150"/>
        <v>0</v>
      </c>
      <c r="AB1138" s="37">
        <f t="shared" si="146"/>
        <v>0</v>
      </c>
    </row>
    <row r="1139" spans="1:28" ht="14.4">
      <c r="A1139" s="117">
        <v>4160115102</v>
      </c>
      <c r="B1139" s="117" t="s">
        <v>354</v>
      </c>
      <c r="C1139" s="37">
        <f>-VLOOKUP(A1139,Composición!C:G,5,FALSE)</f>
        <v>-109888439</v>
      </c>
      <c r="D1139" s="37"/>
      <c r="E1139" s="37"/>
      <c r="F1139" s="37"/>
      <c r="G1139" s="37">
        <f t="shared" si="156"/>
        <v>-109888439</v>
      </c>
      <c r="H1139" s="37">
        <f t="shared" si="157"/>
        <v>109888439</v>
      </c>
      <c r="I1139" s="37"/>
      <c r="J1139" s="37"/>
      <c r="K1139" s="37"/>
      <c r="L1139" s="37"/>
      <c r="M1139" s="37"/>
      <c r="N1139" s="37"/>
      <c r="O1139" s="37"/>
      <c r="P1139" s="37"/>
      <c r="Q1139" s="37"/>
      <c r="R1139" s="37"/>
      <c r="S1139" s="37"/>
      <c r="T1139" s="37"/>
      <c r="U1139" s="37"/>
      <c r="V1139" s="37"/>
      <c r="W1139" s="37"/>
      <c r="X1139" s="37"/>
      <c r="Y1139" s="37"/>
      <c r="Z1139" s="37"/>
      <c r="AA1139" s="37">
        <f t="shared" si="150"/>
        <v>0</v>
      </c>
      <c r="AB1139" s="37">
        <f t="shared" si="146"/>
        <v>0</v>
      </c>
    </row>
    <row r="1140" spans="1:28" ht="14.4">
      <c r="A1140" s="117">
        <v>4160115103</v>
      </c>
      <c r="B1140" s="117" t="s">
        <v>355</v>
      </c>
      <c r="C1140" s="37">
        <f>-VLOOKUP(A1140,Composición!C:G,5,FALSE)</f>
        <v>-97986474</v>
      </c>
      <c r="D1140" s="37"/>
      <c r="E1140" s="37"/>
      <c r="F1140" s="37"/>
      <c r="G1140" s="37">
        <f t="shared" si="156"/>
        <v>-97986474</v>
      </c>
      <c r="H1140" s="37">
        <f t="shared" si="157"/>
        <v>97986474</v>
      </c>
      <c r="I1140" s="37"/>
      <c r="J1140" s="37"/>
      <c r="K1140" s="37"/>
      <c r="L1140" s="37"/>
      <c r="M1140" s="37"/>
      <c r="N1140" s="37"/>
      <c r="O1140" s="37"/>
      <c r="P1140" s="37"/>
      <c r="Q1140" s="37"/>
      <c r="R1140" s="37"/>
      <c r="S1140" s="37"/>
      <c r="T1140" s="37"/>
      <c r="U1140" s="37"/>
      <c r="V1140" s="37"/>
      <c r="W1140" s="37"/>
      <c r="X1140" s="37"/>
      <c r="Y1140" s="37"/>
      <c r="Z1140" s="37"/>
      <c r="AA1140" s="37">
        <f t="shared" si="150"/>
        <v>0</v>
      </c>
      <c r="AB1140" s="37">
        <f t="shared" si="146"/>
        <v>0</v>
      </c>
    </row>
    <row r="1141" spans="1:28" ht="14.4">
      <c r="A1141" s="117">
        <v>4160115104</v>
      </c>
      <c r="B1141" s="117" t="s">
        <v>356</v>
      </c>
      <c r="C1141" s="37">
        <f>-VLOOKUP(A1141,Composición!C:G,5,FALSE)</f>
        <v>-6025533</v>
      </c>
      <c r="D1141" s="37"/>
      <c r="E1141" s="37"/>
      <c r="F1141" s="37"/>
      <c r="G1141" s="37">
        <f t="shared" si="156"/>
        <v>-6025533</v>
      </c>
      <c r="H1141" s="37">
        <f t="shared" si="157"/>
        <v>6025533</v>
      </c>
      <c r="I1141" s="37"/>
      <c r="J1141" s="37"/>
      <c r="K1141" s="37"/>
      <c r="L1141" s="37"/>
      <c r="M1141" s="37"/>
      <c r="N1141" s="37"/>
      <c r="O1141" s="37"/>
      <c r="P1141" s="37"/>
      <c r="Q1141" s="37"/>
      <c r="R1141" s="37"/>
      <c r="S1141" s="37"/>
      <c r="T1141" s="37"/>
      <c r="U1141" s="37"/>
      <c r="V1141" s="37"/>
      <c r="W1141" s="37"/>
      <c r="X1141" s="37"/>
      <c r="Y1141" s="37"/>
      <c r="Z1141" s="37"/>
      <c r="AA1141" s="37">
        <f t="shared" si="150"/>
        <v>0</v>
      </c>
      <c r="AB1141" s="37">
        <f t="shared" si="146"/>
        <v>0</v>
      </c>
    </row>
    <row r="1142" spans="1:28" ht="14.4">
      <c r="A1142" s="117">
        <v>4160115105</v>
      </c>
      <c r="B1142" s="117" t="s">
        <v>357</v>
      </c>
      <c r="C1142" s="37">
        <f>-VLOOKUP(A1142,Composición!C:G,5,FALSE)</f>
        <v>-12814030</v>
      </c>
      <c r="D1142" s="37"/>
      <c r="E1142" s="37"/>
      <c r="F1142" s="37"/>
      <c r="G1142" s="37">
        <f t="shared" si="156"/>
        <v>-12814030</v>
      </c>
      <c r="H1142" s="37">
        <f>-G1142</f>
        <v>12814030</v>
      </c>
      <c r="I1142" s="37"/>
      <c r="J1142" s="37"/>
      <c r="K1142" s="37"/>
      <c r="L1142" s="37"/>
      <c r="M1142" s="37"/>
      <c r="N1142" s="37"/>
      <c r="O1142" s="37"/>
      <c r="P1142" s="37"/>
      <c r="Q1142" s="37"/>
      <c r="R1142" s="37"/>
      <c r="S1142" s="37"/>
      <c r="T1142" s="37"/>
      <c r="U1142" s="37"/>
      <c r="V1142" s="37"/>
      <c r="W1142" s="37"/>
      <c r="X1142" s="37"/>
      <c r="Y1142" s="37"/>
      <c r="Z1142" s="37"/>
      <c r="AA1142" s="37">
        <f t="shared" si="150"/>
        <v>0</v>
      </c>
      <c r="AB1142" s="37">
        <f t="shared" si="146"/>
        <v>0</v>
      </c>
    </row>
    <row r="1143" spans="1:28" ht="14.4">
      <c r="A1143" s="117">
        <v>4160115106</v>
      </c>
      <c r="B1143" s="117" t="s">
        <v>1009</v>
      </c>
      <c r="C1143" s="37">
        <f>-VLOOKUP(A1143,Composición!C:G,5,FALSE)</f>
        <v>-137168000</v>
      </c>
      <c r="D1143" s="37"/>
      <c r="E1143" s="37"/>
      <c r="F1143" s="37"/>
      <c r="G1143" s="37">
        <f t="shared" si="156"/>
        <v>-137168000</v>
      </c>
      <c r="H1143" s="37">
        <f>-G1143</f>
        <v>137168000</v>
      </c>
      <c r="I1143" s="37"/>
      <c r="J1143" s="37"/>
      <c r="K1143" s="37"/>
      <c r="L1143" s="37"/>
      <c r="M1143" s="37"/>
      <c r="N1143" s="37"/>
      <c r="O1143" s="37"/>
      <c r="P1143" s="37"/>
      <c r="Q1143" s="37"/>
      <c r="R1143" s="37"/>
      <c r="S1143" s="37"/>
      <c r="T1143" s="37"/>
      <c r="U1143" s="37"/>
      <c r="V1143" s="37"/>
      <c r="W1143" s="37"/>
      <c r="X1143" s="37"/>
      <c r="Y1143" s="37"/>
      <c r="Z1143" s="37"/>
      <c r="AA1143" s="37">
        <f t="shared" si="150"/>
        <v>0</v>
      </c>
      <c r="AB1143" s="37">
        <f t="shared" si="146"/>
        <v>0</v>
      </c>
    </row>
    <row r="1144" spans="1:28" ht="14.4">
      <c r="A1144" s="117">
        <v>4160115107</v>
      </c>
      <c r="B1144" s="117" t="s">
        <v>1010</v>
      </c>
      <c r="C1144" s="37">
        <f>-VLOOKUP(A1144,Composición!C:G,5,FALSE)</f>
        <v>0</v>
      </c>
      <c r="D1144" s="37"/>
      <c r="E1144" s="37"/>
      <c r="F1144" s="37"/>
      <c r="G1144" s="37">
        <f t="shared" si="156"/>
        <v>0</v>
      </c>
      <c r="H1144" s="37"/>
      <c r="I1144" s="37"/>
      <c r="J1144" s="37"/>
      <c r="K1144" s="37"/>
      <c r="L1144" s="37"/>
      <c r="M1144" s="37"/>
      <c r="N1144" s="37"/>
      <c r="O1144" s="37"/>
      <c r="P1144" s="37"/>
      <c r="Q1144" s="37"/>
      <c r="R1144" s="37"/>
      <c r="S1144" s="37"/>
      <c r="T1144" s="37"/>
      <c r="U1144" s="37"/>
      <c r="V1144" s="37"/>
      <c r="W1144" s="37"/>
      <c r="X1144" s="37"/>
      <c r="Y1144" s="37"/>
      <c r="Z1144" s="37"/>
      <c r="AA1144" s="37">
        <f t="shared" si="150"/>
        <v>0</v>
      </c>
      <c r="AB1144" s="37">
        <f t="shared" si="146"/>
        <v>0</v>
      </c>
    </row>
    <row r="1145" spans="1:28" ht="14.4">
      <c r="A1145" s="117">
        <v>4160115108</v>
      </c>
      <c r="B1145" s="117" t="s">
        <v>1011</v>
      </c>
      <c r="C1145" s="37">
        <f>-VLOOKUP(A1145,Composición!C:G,5,FALSE)</f>
        <v>0</v>
      </c>
      <c r="D1145" s="37"/>
      <c r="E1145" s="37"/>
      <c r="F1145" s="37"/>
      <c r="G1145" s="37">
        <f t="shared" si="156"/>
        <v>0</v>
      </c>
      <c r="H1145" s="37"/>
      <c r="I1145" s="37"/>
      <c r="J1145" s="37"/>
      <c r="K1145" s="37"/>
      <c r="L1145" s="37"/>
      <c r="M1145" s="37"/>
      <c r="N1145" s="37"/>
      <c r="O1145" s="37"/>
      <c r="P1145" s="37"/>
      <c r="Q1145" s="37"/>
      <c r="R1145" s="37"/>
      <c r="S1145" s="37"/>
      <c r="T1145" s="37"/>
      <c r="U1145" s="37"/>
      <c r="V1145" s="37"/>
      <c r="W1145" s="37"/>
      <c r="X1145" s="37"/>
      <c r="Y1145" s="37"/>
      <c r="Z1145" s="37"/>
      <c r="AA1145" s="37">
        <f t="shared" si="150"/>
        <v>0</v>
      </c>
      <c r="AB1145" s="37">
        <f t="shared" si="146"/>
        <v>0</v>
      </c>
    </row>
    <row r="1146" spans="1:28" ht="14.4">
      <c r="A1146" s="117">
        <v>4160115109</v>
      </c>
      <c r="B1146" s="117" t="s">
        <v>358</v>
      </c>
      <c r="C1146" s="37">
        <f>-VLOOKUP(A1146,Composición!C:G,5,FALSE)</f>
        <v>-467667</v>
      </c>
      <c r="D1146" s="37"/>
      <c r="E1146" s="37"/>
      <c r="F1146" s="37"/>
      <c r="G1146" s="37">
        <f t="shared" si="156"/>
        <v>-467667</v>
      </c>
      <c r="H1146" s="37">
        <f t="shared" ref="H1146:H1149" si="158">-G1146</f>
        <v>467667</v>
      </c>
      <c r="I1146" s="37"/>
      <c r="J1146" s="37"/>
      <c r="K1146" s="37"/>
      <c r="L1146" s="37"/>
      <c r="M1146" s="37"/>
      <c r="N1146" s="37"/>
      <c r="O1146" s="37"/>
      <c r="P1146" s="37"/>
      <c r="Q1146" s="37"/>
      <c r="R1146" s="37"/>
      <c r="S1146" s="37"/>
      <c r="T1146" s="37"/>
      <c r="U1146" s="37"/>
      <c r="V1146" s="37"/>
      <c r="W1146" s="37"/>
      <c r="X1146" s="37"/>
      <c r="Y1146" s="37"/>
      <c r="Z1146" s="37"/>
      <c r="AA1146" s="37">
        <f t="shared" si="150"/>
        <v>0</v>
      </c>
      <c r="AB1146" s="37">
        <f t="shared" si="146"/>
        <v>0</v>
      </c>
    </row>
    <row r="1147" spans="1:28" ht="14.4">
      <c r="A1147" s="117">
        <v>41601152</v>
      </c>
      <c r="B1147" s="117" t="s">
        <v>359</v>
      </c>
      <c r="C1147" s="37">
        <f>-VLOOKUP(A1147,Composición!C:G,5,FALSE)</f>
        <v>0</v>
      </c>
      <c r="D1147" s="37"/>
      <c r="E1147" s="37"/>
      <c r="F1147" s="37"/>
      <c r="G1147" s="37">
        <f t="shared" si="156"/>
        <v>0</v>
      </c>
      <c r="H1147" s="37">
        <f t="shared" si="158"/>
        <v>0</v>
      </c>
      <c r="I1147" s="37"/>
      <c r="J1147" s="37"/>
      <c r="K1147" s="37"/>
      <c r="L1147" s="37"/>
      <c r="M1147" s="37"/>
      <c r="N1147" s="37"/>
      <c r="O1147" s="37"/>
      <c r="P1147" s="37"/>
      <c r="Q1147" s="37"/>
      <c r="R1147" s="37"/>
      <c r="S1147" s="37"/>
      <c r="T1147" s="37"/>
      <c r="U1147" s="37"/>
      <c r="V1147" s="37"/>
      <c r="W1147" s="37"/>
      <c r="X1147" s="37"/>
      <c r="Y1147" s="37"/>
      <c r="Z1147" s="37"/>
      <c r="AA1147" s="37">
        <f t="shared" si="150"/>
        <v>0</v>
      </c>
      <c r="AB1147" s="37">
        <f t="shared" si="146"/>
        <v>0</v>
      </c>
    </row>
    <row r="1148" spans="1:28" ht="14.4">
      <c r="A1148" s="117">
        <v>4160115201</v>
      </c>
      <c r="B1148" s="117" t="s">
        <v>360</v>
      </c>
      <c r="C1148" s="37">
        <f>-VLOOKUP(A1148,Composición!C:G,5,FALSE)</f>
        <v>-32554435</v>
      </c>
      <c r="D1148" s="37"/>
      <c r="E1148" s="37"/>
      <c r="F1148" s="37"/>
      <c r="G1148" s="37">
        <f t="shared" si="156"/>
        <v>-32554435</v>
      </c>
      <c r="H1148" s="37">
        <f t="shared" si="158"/>
        <v>32554435</v>
      </c>
      <c r="I1148" s="37"/>
      <c r="J1148" s="37"/>
      <c r="K1148" s="37"/>
      <c r="L1148" s="37"/>
      <c r="M1148" s="37"/>
      <c r="N1148" s="37"/>
      <c r="O1148" s="37"/>
      <c r="P1148" s="37"/>
      <c r="Q1148" s="37"/>
      <c r="R1148" s="37"/>
      <c r="S1148" s="37"/>
      <c r="T1148" s="37"/>
      <c r="U1148" s="37"/>
      <c r="V1148" s="37"/>
      <c r="W1148" s="37"/>
      <c r="X1148" s="37"/>
      <c r="Y1148" s="37"/>
      <c r="Z1148" s="37"/>
      <c r="AA1148" s="37">
        <f t="shared" si="150"/>
        <v>0</v>
      </c>
      <c r="AB1148" s="37">
        <f t="shared" si="146"/>
        <v>0</v>
      </c>
    </row>
    <row r="1149" spans="1:28" ht="14.4">
      <c r="A1149" s="117">
        <v>4160115202</v>
      </c>
      <c r="B1149" s="117" t="s">
        <v>361</v>
      </c>
      <c r="C1149" s="37">
        <f>-VLOOKUP(A1149,Composición!C:G,5,FALSE)</f>
        <v>-26030868</v>
      </c>
      <c r="D1149" s="37"/>
      <c r="E1149" s="37"/>
      <c r="F1149" s="37"/>
      <c r="G1149" s="37">
        <f t="shared" si="156"/>
        <v>-26030868</v>
      </c>
      <c r="H1149" s="37">
        <f t="shared" si="158"/>
        <v>26030868</v>
      </c>
      <c r="I1149" s="37"/>
      <c r="J1149" s="37"/>
      <c r="K1149" s="37"/>
      <c r="L1149" s="37"/>
      <c r="M1149" s="37"/>
      <c r="N1149" s="37"/>
      <c r="O1149" s="37"/>
      <c r="P1149" s="37"/>
      <c r="Q1149" s="37"/>
      <c r="R1149" s="37"/>
      <c r="S1149" s="37"/>
      <c r="T1149" s="37"/>
      <c r="U1149" s="37"/>
      <c r="V1149" s="37"/>
      <c r="W1149" s="37"/>
      <c r="X1149" s="37"/>
      <c r="Y1149" s="37"/>
      <c r="Z1149" s="37"/>
      <c r="AA1149" s="37">
        <f t="shared" si="150"/>
        <v>0</v>
      </c>
      <c r="AB1149" s="37">
        <f t="shared" si="146"/>
        <v>0</v>
      </c>
    </row>
    <row r="1150" spans="1:28" ht="14.4">
      <c r="A1150" s="117">
        <v>4160115203</v>
      </c>
      <c r="B1150" s="117" t="s">
        <v>362</v>
      </c>
      <c r="C1150" s="37">
        <f>-VLOOKUP(A1150,Composición!C:G,5,FALSE)</f>
        <v>-1264349</v>
      </c>
      <c r="D1150" s="37"/>
      <c r="E1150" s="37"/>
      <c r="F1150" s="37"/>
      <c r="G1150" s="37">
        <f t="shared" si="156"/>
        <v>-1264349</v>
      </c>
      <c r="H1150" s="37">
        <f t="shared" ref="H1150" si="159">-G1150</f>
        <v>1264349</v>
      </c>
      <c r="I1150" s="37"/>
      <c r="J1150" s="37"/>
      <c r="K1150" s="37"/>
      <c r="L1150" s="37"/>
      <c r="M1150" s="37"/>
      <c r="N1150" s="37"/>
      <c r="O1150" s="37"/>
      <c r="P1150" s="37"/>
      <c r="Q1150" s="37"/>
      <c r="R1150" s="37"/>
      <c r="S1150" s="37"/>
      <c r="T1150" s="37"/>
      <c r="U1150" s="37"/>
      <c r="V1150" s="37"/>
      <c r="W1150" s="37"/>
      <c r="X1150" s="37"/>
      <c r="Y1150" s="37"/>
      <c r="Z1150" s="37"/>
      <c r="AA1150" s="37">
        <f t="shared" si="150"/>
        <v>0</v>
      </c>
      <c r="AB1150" s="37">
        <f t="shared" si="146"/>
        <v>0</v>
      </c>
    </row>
    <row r="1151" spans="1:28" ht="14.4">
      <c r="A1151" s="117">
        <v>4160115206</v>
      </c>
      <c r="B1151" s="117" t="s">
        <v>1012</v>
      </c>
      <c r="C1151" s="37">
        <f>-VLOOKUP(A1151,Composición!C:G,5,FALSE)</f>
        <v>-41729583</v>
      </c>
      <c r="D1151" s="37"/>
      <c r="E1151" s="37"/>
      <c r="F1151" s="37"/>
      <c r="G1151" s="37">
        <f t="shared" si="156"/>
        <v>-41729583</v>
      </c>
      <c r="H1151" s="37">
        <f t="shared" ref="H1151:H1153" si="160">-G1151</f>
        <v>41729583</v>
      </c>
      <c r="I1151" s="37"/>
      <c r="J1151" s="37"/>
      <c r="K1151" s="37"/>
      <c r="L1151" s="37"/>
      <c r="M1151" s="37"/>
      <c r="N1151" s="37"/>
      <c r="O1151" s="37"/>
      <c r="P1151" s="37"/>
      <c r="Q1151" s="37"/>
      <c r="R1151" s="37"/>
      <c r="S1151" s="37"/>
      <c r="T1151" s="37"/>
      <c r="U1151" s="37"/>
      <c r="V1151" s="37"/>
      <c r="W1151" s="37"/>
      <c r="X1151" s="37"/>
      <c r="Y1151" s="37"/>
      <c r="Z1151" s="37"/>
      <c r="AA1151" s="37">
        <f t="shared" si="150"/>
        <v>0</v>
      </c>
      <c r="AB1151" s="37">
        <f t="shared" si="146"/>
        <v>0</v>
      </c>
    </row>
    <row r="1152" spans="1:28" ht="14.4">
      <c r="A1152" s="117">
        <v>4160115207</v>
      </c>
      <c r="B1152" s="117" t="s">
        <v>1013</v>
      </c>
      <c r="C1152" s="37">
        <f>-VLOOKUP(A1152,Composición!C:G,5,FALSE)</f>
        <v>0</v>
      </c>
      <c r="D1152" s="37"/>
      <c r="E1152" s="37"/>
      <c r="F1152" s="37"/>
      <c r="G1152" s="37">
        <f t="shared" si="156"/>
        <v>0</v>
      </c>
      <c r="H1152" s="37">
        <f t="shared" si="160"/>
        <v>0</v>
      </c>
      <c r="I1152" s="37"/>
      <c r="J1152" s="37"/>
      <c r="K1152" s="37"/>
      <c r="L1152" s="37"/>
      <c r="M1152" s="37"/>
      <c r="N1152" s="37"/>
      <c r="O1152" s="37"/>
      <c r="P1152" s="37"/>
      <c r="Q1152" s="37"/>
      <c r="R1152" s="37"/>
      <c r="S1152" s="37"/>
      <c r="T1152" s="37"/>
      <c r="U1152" s="37"/>
      <c r="V1152" s="37"/>
      <c r="W1152" s="37"/>
      <c r="X1152" s="37"/>
      <c r="Y1152" s="37"/>
      <c r="Z1152" s="37"/>
      <c r="AA1152" s="37">
        <f t="shared" si="150"/>
        <v>0</v>
      </c>
      <c r="AB1152" s="37">
        <f t="shared" si="146"/>
        <v>0</v>
      </c>
    </row>
    <row r="1153" spans="1:28" ht="14.4">
      <c r="A1153" s="117">
        <v>4160115208</v>
      </c>
      <c r="B1153" s="117" t="s">
        <v>1014</v>
      </c>
      <c r="C1153" s="37">
        <f>-VLOOKUP(A1153,Composición!C:G,5,FALSE)</f>
        <v>0</v>
      </c>
      <c r="D1153" s="37"/>
      <c r="E1153" s="37"/>
      <c r="F1153" s="37"/>
      <c r="G1153" s="37">
        <f t="shared" si="156"/>
        <v>0</v>
      </c>
      <c r="H1153" s="37">
        <f t="shared" si="160"/>
        <v>0</v>
      </c>
      <c r="I1153" s="37"/>
      <c r="J1153" s="37"/>
      <c r="K1153" s="37"/>
      <c r="L1153" s="37"/>
      <c r="M1153" s="37"/>
      <c r="N1153" s="37"/>
      <c r="O1153" s="37"/>
      <c r="P1153" s="37"/>
      <c r="Q1153" s="37"/>
      <c r="R1153" s="37"/>
      <c r="S1153" s="37"/>
      <c r="T1153" s="37"/>
      <c r="U1153" s="37"/>
      <c r="V1153" s="37"/>
      <c r="W1153" s="37"/>
      <c r="X1153" s="37"/>
      <c r="Y1153" s="37"/>
      <c r="Z1153" s="37"/>
      <c r="AA1153" s="37">
        <f t="shared" si="150"/>
        <v>0</v>
      </c>
      <c r="AB1153" s="37">
        <f t="shared" si="146"/>
        <v>0</v>
      </c>
    </row>
    <row r="1154" spans="1:28" ht="14.4">
      <c r="A1154" s="117">
        <v>4160115209</v>
      </c>
      <c r="B1154" s="117" t="s">
        <v>1015</v>
      </c>
      <c r="C1154" s="37">
        <f>-VLOOKUP(A1154,Composición!C:G,5,FALSE)</f>
        <v>0</v>
      </c>
      <c r="D1154" s="37"/>
      <c r="E1154" s="37"/>
      <c r="F1154" s="37"/>
      <c r="G1154" s="37">
        <f t="shared" si="156"/>
        <v>0</v>
      </c>
      <c r="H1154" s="37">
        <f t="shared" ref="H1154" si="161">-G1154</f>
        <v>0</v>
      </c>
      <c r="I1154" s="37"/>
      <c r="J1154" s="37"/>
      <c r="K1154" s="37"/>
      <c r="L1154" s="37"/>
      <c r="M1154" s="37"/>
      <c r="N1154" s="37"/>
      <c r="O1154" s="37"/>
      <c r="P1154" s="37"/>
      <c r="Q1154" s="37"/>
      <c r="R1154" s="37"/>
      <c r="S1154" s="37"/>
      <c r="T1154" s="37"/>
      <c r="U1154" s="37"/>
      <c r="V1154" s="37"/>
      <c r="W1154" s="37"/>
      <c r="X1154" s="37"/>
      <c r="Y1154" s="37"/>
      <c r="Z1154" s="37"/>
      <c r="AA1154" s="37">
        <f t="shared" si="150"/>
        <v>0</v>
      </c>
      <c r="AB1154" s="37">
        <f t="shared" si="146"/>
        <v>0</v>
      </c>
    </row>
    <row r="1155" spans="1:28" ht="14.4">
      <c r="A1155" s="117">
        <v>41601153</v>
      </c>
      <c r="B1155" s="117" t="s">
        <v>363</v>
      </c>
      <c r="C1155" s="37">
        <f>-VLOOKUP(A1155,Composición!C:G,5,FALSE)</f>
        <v>0</v>
      </c>
      <c r="D1155" s="37"/>
      <c r="E1155" s="37"/>
      <c r="F1155" s="37"/>
      <c r="G1155" s="37">
        <f t="shared" si="156"/>
        <v>0</v>
      </c>
      <c r="H1155" s="37"/>
      <c r="I1155" s="37"/>
      <c r="J1155" s="37"/>
      <c r="K1155" s="37"/>
      <c r="L1155" s="37"/>
      <c r="M1155" s="37"/>
      <c r="N1155" s="37"/>
      <c r="O1155" s="37"/>
      <c r="P1155" s="37"/>
      <c r="Q1155" s="37"/>
      <c r="R1155" s="37"/>
      <c r="S1155" s="37"/>
      <c r="T1155" s="37"/>
      <c r="U1155" s="37"/>
      <c r="V1155" s="37"/>
      <c r="W1155" s="37"/>
      <c r="X1155" s="37"/>
      <c r="Y1155" s="37"/>
      <c r="Z1155" s="37"/>
      <c r="AA1155" s="37">
        <f t="shared" si="150"/>
        <v>0</v>
      </c>
      <c r="AB1155" s="37">
        <f t="shared" si="146"/>
        <v>0</v>
      </c>
    </row>
    <row r="1156" spans="1:28" ht="14.4">
      <c r="A1156" s="117">
        <v>4160115301</v>
      </c>
      <c r="B1156" s="117" t="s">
        <v>364</v>
      </c>
      <c r="C1156" s="37">
        <f>-VLOOKUP(A1156,Composición!C:G,5,FALSE)</f>
        <v>-78006595</v>
      </c>
      <c r="D1156" s="37"/>
      <c r="E1156" s="37"/>
      <c r="F1156" s="37"/>
      <c r="G1156" s="37">
        <f t="shared" si="156"/>
        <v>-78006595</v>
      </c>
      <c r="H1156" s="37">
        <f t="shared" ref="H1156:H1157" si="162">-G1156</f>
        <v>78006595</v>
      </c>
      <c r="I1156" s="37"/>
      <c r="J1156" s="37"/>
      <c r="K1156" s="37"/>
      <c r="L1156" s="37"/>
      <c r="M1156" s="37"/>
      <c r="N1156" s="37"/>
      <c r="O1156" s="37"/>
      <c r="P1156" s="37"/>
      <c r="Q1156" s="37"/>
      <c r="R1156" s="37"/>
      <c r="S1156" s="37"/>
      <c r="T1156" s="37"/>
      <c r="U1156" s="37"/>
      <c r="V1156" s="37"/>
      <c r="W1156" s="37"/>
      <c r="X1156" s="37"/>
      <c r="Y1156" s="37"/>
      <c r="Z1156" s="37"/>
      <c r="AA1156" s="37">
        <f t="shared" si="150"/>
        <v>0</v>
      </c>
      <c r="AB1156" s="37">
        <f t="shared" si="146"/>
        <v>0</v>
      </c>
    </row>
    <row r="1157" spans="1:28" ht="14.4">
      <c r="A1157" s="117">
        <v>4160115302</v>
      </c>
      <c r="B1157" s="117" t="s">
        <v>365</v>
      </c>
      <c r="C1157" s="37">
        <f>-VLOOKUP(A1157,Composición!C:G,5,FALSE)</f>
        <v>-12581280</v>
      </c>
      <c r="D1157" s="37"/>
      <c r="E1157" s="37"/>
      <c r="F1157" s="37"/>
      <c r="G1157" s="37">
        <f t="shared" si="156"/>
        <v>-12581280</v>
      </c>
      <c r="H1157" s="37">
        <f t="shared" si="162"/>
        <v>12581280</v>
      </c>
      <c r="I1157" s="37"/>
      <c r="J1157" s="37"/>
      <c r="K1157" s="37"/>
      <c r="L1157" s="37"/>
      <c r="M1157" s="37"/>
      <c r="N1157" s="37"/>
      <c r="O1157" s="37"/>
      <c r="P1157" s="37"/>
      <c r="Q1157" s="37"/>
      <c r="R1157" s="37"/>
      <c r="S1157" s="37"/>
      <c r="T1157" s="37"/>
      <c r="U1157" s="37"/>
      <c r="V1157" s="37"/>
      <c r="W1157" s="37"/>
      <c r="X1157" s="37"/>
      <c r="Y1157" s="37"/>
      <c r="Z1157" s="37"/>
      <c r="AA1157" s="37">
        <f t="shared" si="150"/>
        <v>0</v>
      </c>
      <c r="AB1157" s="37">
        <f t="shared" si="146"/>
        <v>0</v>
      </c>
    </row>
    <row r="1158" spans="1:28" ht="14.4">
      <c r="A1158" s="117">
        <v>4160116</v>
      </c>
      <c r="B1158" s="117" t="s">
        <v>366</v>
      </c>
      <c r="C1158" s="37">
        <f>-VLOOKUP(A1158,Composición!C:G,5,FALSE)</f>
        <v>0</v>
      </c>
      <c r="D1158" s="37"/>
      <c r="E1158" s="37"/>
      <c r="F1158" s="37"/>
      <c r="G1158" s="37">
        <f t="shared" si="156"/>
        <v>0</v>
      </c>
      <c r="H1158" s="37">
        <f t="shared" ref="H1158:H1165" si="163">-G1158</f>
        <v>0</v>
      </c>
      <c r="I1158" s="37"/>
      <c r="J1158" s="37"/>
      <c r="K1158" s="37"/>
      <c r="L1158" s="37"/>
      <c r="M1158" s="37"/>
      <c r="N1158" s="37"/>
      <c r="O1158" s="37"/>
      <c r="P1158" s="37"/>
      <c r="Q1158" s="37"/>
      <c r="R1158" s="37"/>
      <c r="S1158" s="37"/>
      <c r="T1158" s="37"/>
      <c r="U1158" s="37"/>
      <c r="V1158" s="37"/>
      <c r="W1158" s="37"/>
      <c r="X1158" s="37"/>
      <c r="Y1158" s="37"/>
      <c r="Z1158" s="37"/>
      <c r="AA1158" s="37">
        <f t="shared" si="150"/>
        <v>0</v>
      </c>
      <c r="AB1158" s="37">
        <f t="shared" si="146"/>
        <v>0</v>
      </c>
    </row>
    <row r="1159" spans="1:28" ht="14.4">
      <c r="A1159" s="117">
        <v>41601161</v>
      </c>
      <c r="B1159" s="117" t="s">
        <v>367</v>
      </c>
      <c r="C1159" s="37">
        <f>-VLOOKUP(A1159,Composición!C:G,5,FALSE)</f>
        <v>0</v>
      </c>
      <c r="D1159" s="37"/>
      <c r="E1159" s="37"/>
      <c r="F1159" s="37"/>
      <c r="G1159" s="37">
        <f t="shared" si="156"/>
        <v>0</v>
      </c>
      <c r="H1159" s="37">
        <f t="shared" si="163"/>
        <v>0</v>
      </c>
      <c r="I1159" s="37"/>
      <c r="J1159" s="37"/>
      <c r="K1159" s="37"/>
      <c r="L1159" s="37"/>
      <c r="M1159" s="37"/>
      <c r="N1159" s="37"/>
      <c r="O1159" s="37"/>
      <c r="P1159" s="37"/>
      <c r="Q1159" s="37"/>
      <c r="R1159" s="37"/>
      <c r="S1159" s="37"/>
      <c r="T1159" s="37"/>
      <c r="U1159" s="37"/>
      <c r="V1159" s="37"/>
      <c r="W1159" s="37"/>
      <c r="X1159" s="37"/>
      <c r="Y1159" s="37"/>
      <c r="Z1159" s="37"/>
      <c r="AA1159" s="37">
        <f t="shared" si="150"/>
        <v>0</v>
      </c>
      <c r="AB1159" s="37">
        <f t="shared" si="146"/>
        <v>0</v>
      </c>
    </row>
    <row r="1160" spans="1:28" ht="14.4">
      <c r="A1160" s="117">
        <v>4160116101</v>
      </c>
      <c r="B1160" s="117" t="s">
        <v>368</v>
      </c>
      <c r="C1160" s="37">
        <f>-VLOOKUP(A1160,Composición!C:G,5,FALSE)</f>
        <v>-6311501</v>
      </c>
      <c r="D1160" s="37"/>
      <c r="E1160" s="37"/>
      <c r="F1160" s="37"/>
      <c r="G1160" s="37">
        <f t="shared" si="156"/>
        <v>-6311501</v>
      </c>
      <c r="H1160" s="37">
        <f t="shared" si="163"/>
        <v>6311501</v>
      </c>
      <c r="I1160" s="37"/>
      <c r="J1160" s="37"/>
      <c r="K1160" s="37"/>
      <c r="L1160" s="37"/>
      <c r="M1160" s="37"/>
      <c r="N1160" s="37"/>
      <c r="O1160" s="37"/>
      <c r="P1160" s="37"/>
      <c r="Q1160" s="37"/>
      <c r="R1160" s="37"/>
      <c r="S1160" s="37"/>
      <c r="T1160" s="37"/>
      <c r="U1160" s="37"/>
      <c r="V1160" s="37"/>
      <c r="W1160" s="37"/>
      <c r="X1160" s="37"/>
      <c r="Y1160" s="37"/>
      <c r="Z1160" s="37"/>
      <c r="AA1160" s="37">
        <f t="shared" si="150"/>
        <v>0</v>
      </c>
      <c r="AB1160" s="37">
        <f t="shared" si="146"/>
        <v>0</v>
      </c>
    </row>
    <row r="1161" spans="1:28" ht="14.4">
      <c r="A1161" s="117">
        <v>4160116102</v>
      </c>
      <c r="B1161" s="117" t="s">
        <v>369</v>
      </c>
      <c r="C1161" s="37">
        <f>-VLOOKUP(A1161,Composición!C:G,5,FALSE)</f>
        <v>-14141656</v>
      </c>
      <c r="D1161" s="37"/>
      <c r="E1161" s="37"/>
      <c r="F1161" s="37"/>
      <c r="G1161" s="37">
        <f t="shared" si="156"/>
        <v>-14141656</v>
      </c>
      <c r="H1161" s="37">
        <f t="shared" si="163"/>
        <v>14141656</v>
      </c>
      <c r="I1161" s="37"/>
      <c r="J1161" s="37"/>
      <c r="K1161" s="37"/>
      <c r="L1161" s="37"/>
      <c r="M1161" s="37"/>
      <c r="N1161" s="37"/>
      <c r="O1161" s="37"/>
      <c r="P1161" s="37"/>
      <c r="Q1161" s="37"/>
      <c r="R1161" s="37"/>
      <c r="S1161" s="37"/>
      <c r="T1161" s="37"/>
      <c r="U1161" s="37"/>
      <c r="V1161" s="37"/>
      <c r="W1161" s="37"/>
      <c r="X1161" s="37"/>
      <c r="Y1161" s="37"/>
      <c r="Z1161" s="37"/>
      <c r="AA1161" s="37">
        <f t="shared" si="150"/>
        <v>0</v>
      </c>
      <c r="AB1161" s="37">
        <f t="shared" ref="AB1161:AB1224" si="164">SUM(G1161:Z1161)</f>
        <v>0</v>
      </c>
    </row>
    <row r="1162" spans="1:28" ht="14.4">
      <c r="A1162" s="117">
        <v>4160116103</v>
      </c>
      <c r="B1162" s="117" t="s">
        <v>370</v>
      </c>
      <c r="C1162" s="37">
        <f>-VLOOKUP(A1162,Composición!C:G,5,FALSE)</f>
        <v>-21775989</v>
      </c>
      <c r="D1162" s="37"/>
      <c r="E1162" s="37"/>
      <c r="F1162" s="37"/>
      <c r="G1162" s="37">
        <f t="shared" si="156"/>
        <v>-21775989</v>
      </c>
      <c r="H1162" s="37">
        <f t="shared" si="163"/>
        <v>21775989</v>
      </c>
      <c r="I1162" s="37"/>
      <c r="J1162" s="37"/>
      <c r="K1162" s="37"/>
      <c r="L1162" s="37"/>
      <c r="M1162" s="37"/>
      <c r="N1162" s="37"/>
      <c r="O1162" s="37"/>
      <c r="P1162" s="37"/>
      <c r="Q1162" s="37"/>
      <c r="R1162" s="37"/>
      <c r="S1162" s="37"/>
      <c r="T1162" s="37"/>
      <c r="U1162" s="37"/>
      <c r="V1162" s="37"/>
      <c r="W1162" s="37"/>
      <c r="X1162" s="37"/>
      <c r="Y1162" s="37"/>
      <c r="Z1162" s="37"/>
      <c r="AA1162" s="37">
        <f t="shared" si="150"/>
        <v>0</v>
      </c>
      <c r="AB1162" s="37">
        <f t="shared" si="164"/>
        <v>0</v>
      </c>
    </row>
    <row r="1163" spans="1:28" ht="14.4">
      <c r="A1163" s="117">
        <v>4160116104</v>
      </c>
      <c r="B1163" s="117" t="s">
        <v>371</v>
      </c>
      <c r="C1163" s="37">
        <f>-VLOOKUP(A1163,Composición!C:G,5,FALSE)</f>
        <v>-1506384</v>
      </c>
      <c r="D1163" s="37"/>
      <c r="E1163" s="37"/>
      <c r="F1163" s="37"/>
      <c r="G1163" s="37">
        <f t="shared" si="156"/>
        <v>-1506384</v>
      </c>
      <c r="H1163" s="37">
        <f t="shared" si="163"/>
        <v>1506384</v>
      </c>
      <c r="I1163" s="37"/>
      <c r="J1163" s="37"/>
      <c r="K1163" s="37"/>
      <c r="L1163" s="37"/>
      <c r="M1163" s="37"/>
      <c r="N1163" s="37"/>
      <c r="O1163" s="37"/>
      <c r="P1163" s="37"/>
      <c r="Q1163" s="37"/>
      <c r="R1163" s="37"/>
      <c r="S1163" s="37"/>
      <c r="T1163" s="37"/>
      <c r="U1163" s="37"/>
      <c r="V1163" s="37"/>
      <c r="W1163" s="37"/>
      <c r="X1163" s="37"/>
      <c r="Y1163" s="37"/>
      <c r="Z1163" s="37"/>
      <c r="AA1163" s="37">
        <f t="shared" si="150"/>
        <v>0</v>
      </c>
      <c r="AB1163" s="37">
        <f t="shared" si="164"/>
        <v>0</v>
      </c>
    </row>
    <row r="1164" spans="1:28" ht="14.4">
      <c r="A1164" s="117">
        <v>4160116105</v>
      </c>
      <c r="B1164" s="117" t="s">
        <v>372</v>
      </c>
      <c r="C1164" s="37">
        <f>-VLOOKUP(A1164,Composición!C:G,5,FALSE)</f>
        <v>-3140978</v>
      </c>
      <c r="D1164" s="37"/>
      <c r="E1164" s="37"/>
      <c r="F1164" s="37"/>
      <c r="G1164" s="37">
        <f t="shared" si="156"/>
        <v>-3140978</v>
      </c>
      <c r="H1164" s="37">
        <f t="shared" si="163"/>
        <v>3140978</v>
      </c>
      <c r="I1164" s="37"/>
      <c r="J1164" s="37"/>
      <c r="K1164" s="37"/>
      <c r="L1164" s="37"/>
      <c r="M1164" s="37"/>
      <c r="N1164" s="37"/>
      <c r="O1164" s="37"/>
      <c r="P1164" s="37"/>
      <c r="Q1164" s="37"/>
      <c r="R1164" s="37"/>
      <c r="S1164" s="37"/>
      <c r="T1164" s="37"/>
      <c r="U1164" s="37"/>
      <c r="V1164" s="37"/>
      <c r="W1164" s="37"/>
      <c r="X1164" s="37"/>
      <c r="Y1164" s="37"/>
      <c r="Z1164" s="37"/>
      <c r="AA1164" s="37">
        <f t="shared" si="150"/>
        <v>0</v>
      </c>
      <c r="AB1164" s="37">
        <f t="shared" si="164"/>
        <v>0</v>
      </c>
    </row>
    <row r="1165" spans="1:28" ht="14.4">
      <c r="A1165" s="117">
        <v>4160116106</v>
      </c>
      <c r="B1165" s="117" t="s">
        <v>1018</v>
      </c>
      <c r="C1165" s="37">
        <f>-VLOOKUP(A1165,Composición!C:G,5,FALSE)</f>
        <v>-34292000</v>
      </c>
      <c r="D1165" s="37"/>
      <c r="E1165" s="37"/>
      <c r="F1165" s="37"/>
      <c r="G1165" s="37">
        <f t="shared" si="156"/>
        <v>-34292000</v>
      </c>
      <c r="H1165" s="37">
        <f t="shared" si="163"/>
        <v>34292000</v>
      </c>
      <c r="I1165" s="37"/>
      <c r="J1165" s="37"/>
      <c r="K1165" s="37"/>
      <c r="L1165" s="37"/>
      <c r="M1165" s="37"/>
      <c r="N1165" s="37"/>
      <c r="O1165" s="37"/>
      <c r="P1165" s="37"/>
      <c r="Q1165" s="37"/>
      <c r="R1165" s="37"/>
      <c r="S1165" s="37"/>
      <c r="T1165" s="37"/>
      <c r="U1165" s="37"/>
      <c r="V1165" s="37"/>
      <c r="W1165" s="37"/>
      <c r="X1165" s="37"/>
      <c r="Y1165" s="37"/>
      <c r="Z1165" s="37"/>
      <c r="AA1165" s="37">
        <f t="shared" si="150"/>
        <v>0</v>
      </c>
      <c r="AB1165" s="37">
        <f t="shared" si="164"/>
        <v>0</v>
      </c>
    </row>
    <row r="1166" spans="1:28" ht="14.4">
      <c r="A1166" s="117">
        <v>4160116107</v>
      </c>
      <c r="B1166" s="117" t="s">
        <v>1019</v>
      </c>
      <c r="C1166" s="37">
        <f>-VLOOKUP(A1166,Composición!C:G,5,FALSE)</f>
        <v>0</v>
      </c>
      <c r="D1166" s="37"/>
      <c r="E1166" s="37"/>
      <c r="F1166" s="37"/>
      <c r="G1166" s="37">
        <f t="shared" si="156"/>
        <v>0</v>
      </c>
      <c r="H1166" s="37"/>
      <c r="I1166" s="37"/>
      <c r="J1166" s="37"/>
      <c r="K1166" s="37"/>
      <c r="L1166" s="37"/>
      <c r="M1166" s="37"/>
      <c r="N1166" s="37"/>
      <c r="O1166" s="37"/>
      <c r="P1166" s="37"/>
      <c r="Q1166" s="37"/>
      <c r="R1166" s="37"/>
      <c r="S1166" s="37"/>
      <c r="T1166" s="37"/>
      <c r="U1166" s="37"/>
      <c r="V1166" s="37"/>
      <c r="W1166" s="37"/>
      <c r="X1166" s="37"/>
      <c r="Y1166" s="37"/>
      <c r="Z1166" s="37"/>
      <c r="AA1166" s="37">
        <f t="shared" si="150"/>
        <v>0</v>
      </c>
      <c r="AB1166" s="37">
        <f t="shared" si="164"/>
        <v>0</v>
      </c>
    </row>
    <row r="1167" spans="1:28" ht="14.4">
      <c r="A1167" s="117">
        <v>4160116108</v>
      </c>
      <c r="B1167" s="117" t="s">
        <v>1020</v>
      </c>
      <c r="C1167" s="37">
        <f>-VLOOKUP(A1167,Composición!C:G,5,FALSE)</f>
        <v>0</v>
      </c>
      <c r="D1167" s="37"/>
      <c r="E1167" s="37"/>
      <c r="F1167" s="37"/>
      <c r="G1167" s="37">
        <f t="shared" si="156"/>
        <v>0</v>
      </c>
      <c r="H1167" s="37"/>
      <c r="I1167" s="37"/>
      <c r="J1167" s="37"/>
      <c r="K1167" s="37"/>
      <c r="L1167" s="37"/>
      <c r="M1167" s="37"/>
      <c r="N1167" s="37"/>
      <c r="O1167" s="37"/>
      <c r="P1167" s="37"/>
      <c r="Q1167" s="37"/>
      <c r="R1167" s="37"/>
      <c r="S1167" s="37"/>
      <c r="T1167" s="37"/>
      <c r="U1167" s="37"/>
      <c r="V1167" s="37"/>
      <c r="W1167" s="37"/>
      <c r="X1167" s="37"/>
      <c r="Y1167" s="37"/>
      <c r="Z1167" s="37"/>
      <c r="AA1167" s="37">
        <f t="shared" si="150"/>
        <v>0</v>
      </c>
      <c r="AB1167" s="37">
        <f t="shared" si="164"/>
        <v>0</v>
      </c>
    </row>
    <row r="1168" spans="1:28" ht="14.4">
      <c r="A1168" s="117">
        <v>4160116109</v>
      </c>
      <c r="B1168" s="117" t="s">
        <v>373</v>
      </c>
      <c r="C1168" s="37">
        <f>-VLOOKUP(A1168,Composición!C:G,5,FALSE)</f>
        <v>-51133</v>
      </c>
      <c r="D1168" s="37"/>
      <c r="E1168" s="37"/>
      <c r="F1168" s="37"/>
      <c r="G1168" s="37">
        <f t="shared" si="156"/>
        <v>-51133</v>
      </c>
      <c r="H1168" s="37">
        <f t="shared" ref="H1168" si="165">-G1168</f>
        <v>51133</v>
      </c>
      <c r="I1168" s="37"/>
      <c r="J1168" s="37"/>
      <c r="K1168" s="37"/>
      <c r="L1168" s="37"/>
      <c r="M1168" s="37"/>
      <c r="N1168" s="37"/>
      <c r="O1168" s="37"/>
      <c r="P1168" s="37"/>
      <c r="Q1168" s="37"/>
      <c r="R1168" s="37"/>
      <c r="S1168" s="37"/>
      <c r="T1168" s="37"/>
      <c r="U1168" s="37"/>
      <c r="V1168" s="37"/>
      <c r="W1168" s="37"/>
      <c r="X1168" s="37"/>
      <c r="Y1168" s="37"/>
      <c r="Z1168" s="37"/>
      <c r="AA1168" s="37">
        <f t="shared" si="150"/>
        <v>0</v>
      </c>
      <c r="AB1168" s="37">
        <f t="shared" si="164"/>
        <v>0</v>
      </c>
    </row>
    <row r="1169" spans="1:28" ht="14.4">
      <c r="A1169" s="117">
        <v>41601162</v>
      </c>
      <c r="B1169" s="117" t="s">
        <v>374</v>
      </c>
      <c r="C1169" s="37">
        <f>-VLOOKUP(A1169,Composición!C:G,5,FALSE)</f>
        <v>0</v>
      </c>
      <c r="D1169" s="37"/>
      <c r="E1169" s="37"/>
      <c r="F1169" s="37"/>
      <c r="G1169" s="37">
        <f t="shared" si="156"/>
        <v>0</v>
      </c>
      <c r="H1169" s="37"/>
      <c r="I1169" s="37"/>
      <c r="J1169" s="37"/>
      <c r="K1169" s="37"/>
      <c r="L1169" s="37"/>
      <c r="M1169" s="37"/>
      <c r="N1169" s="37"/>
      <c r="O1169" s="37"/>
      <c r="P1169" s="37"/>
      <c r="Q1169" s="37"/>
      <c r="R1169" s="37"/>
      <c r="S1169" s="37"/>
      <c r="T1169" s="37"/>
      <c r="U1169" s="37"/>
      <c r="V1169" s="37"/>
      <c r="W1169" s="37"/>
      <c r="X1169" s="37"/>
      <c r="Y1169" s="37"/>
      <c r="Z1169" s="37"/>
      <c r="AA1169" s="37">
        <f t="shared" si="150"/>
        <v>0</v>
      </c>
      <c r="AB1169" s="37">
        <f t="shared" si="164"/>
        <v>0</v>
      </c>
    </row>
    <row r="1170" spans="1:28" ht="14.4">
      <c r="A1170" s="117">
        <v>4160116201</v>
      </c>
      <c r="B1170" s="117" t="s">
        <v>375</v>
      </c>
      <c r="C1170" s="37">
        <f>-VLOOKUP(A1170,Composición!C:G,5,FALSE)</f>
        <v>-7428680</v>
      </c>
      <c r="D1170" s="37"/>
      <c r="E1170" s="37"/>
      <c r="F1170" s="37"/>
      <c r="G1170" s="37">
        <f t="shared" si="156"/>
        <v>-7428680</v>
      </c>
      <c r="H1170" s="37">
        <f t="shared" ref="H1170:H1173" si="166">-G1170</f>
        <v>7428680</v>
      </c>
      <c r="I1170" s="37"/>
      <c r="J1170" s="37"/>
      <c r="K1170" s="37"/>
      <c r="L1170" s="37"/>
      <c r="M1170" s="37"/>
      <c r="N1170" s="37"/>
      <c r="O1170" s="37"/>
      <c r="P1170" s="37"/>
      <c r="Q1170" s="37"/>
      <c r="R1170" s="37"/>
      <c r="S1170" s="37"/>
      <c r="T1170" s="37"/>
      <c r="U1170" s="37"/>
      <c r="V1170" s="37"/>
      <c r="W1170" s="37"/>
      <c r="X1170" s="37"/>
      <c r="Y1170" s="37"/>
      <c r="Z1170" s="37"/>
      <c r="AA1170" s="37">
        <f t="shared" si="150"/>
        <v>0</v>
      </c>
      <c r="AB1170" s="37">
        <f t="shared" si="164"/>
        <v>0</v>
      </c>
    </row>
    <row r="1171" spans="1:28" ht="14.4">
      <c r="A1171" s="117">
        <v>4160116202</v>
      </c>
      <c r="B1171" s="117" t="s">
        <v>376</v>
      </c>
      <c r="C1171" s="37">
        <f>-VLOOKUP(A1171,Composición!C:G,5,FALSE)</f>
        <v>-6224533</v>
      </c>
      <c r="D1171" s="37"/>
      <c r="E1171" s="37"/>
      <c r="F1171" s="37"/>
      <c r="G1171" s="37">
        <f t="shared" si="156"/>
        <v>-6224533</v>
      </c>
      <c r="H1171" s="37">
        <f t="shared" si="166"/>
        <v>6224533</v>
      </c>
      <c r="I1171" s="37"/>
      <c r="J1171" s="37"/>
      <c r="K1171" s="37"/>
      <c r="L1171" s="37"/>
      <c r="M1171" s="37"/>
      <c r="N1171" s="37"/>
      <c r="O1171" s="37"/>
      <c r="P1171" s="37"/>
      <c r="Q1171" s="37"/>
      <c r="R1171" s="37"/>
      <c r="S1171" s="37"/>
      <c r="T1171" s="37"/>
      <c r="U1171" s="37"/>
      <c r="V1171" s="37"/>
      <c r="W1171" s="37"/>
      <c r="X1171" s="37"/>
      <c r="Y1171" s="37"/>
      <c r="Z1171" s="37"/>
      <c r="AA1171" s="37">
        <f t="shared" si="150"/>
        <v>0</v>
      </c>
      <c r="AB1171" s="37">
        <f t="shared" si="164"/>
        <v>0</v>
      </c>
    </row>
    <row r="1172" spans="1:28" ht="14.4">
      <c r="A1172" s="836">
        <v>4160116203</v>
      </c>
      <c r="B1172" s="836" t="s">
        <v>377</v>
      </c>
      <c r="C1172" s="37">
        <f>-VLOOKUP(A1172,Composición!C:G,5,FALSE)</f>
        <v>-316087</v>
      </c>
      <c r="D1172" s="37"/>
      <c r="E1172" s="37"/>
      <c r="F1172" s="37"/>
      <c r="G1172" s="37">
        <f t="shared" si="156"/>
        <v>-316087</v>
      </c>
      <c r="H1172" s="37">
        <f t="shared" si="166"/>
        <v>316087</v>
      </c>
      <c r="I1172" s="37"/>
      <c r="J1172" s="37"/>
      <c r="K1172" s="37"/>
      <c r="L1172" s="37"/>
      <c r="M1172" s="37"/>
      <c r="N1172" s="37"/>
      <c r="O1172" s="37"/>
      <c r="P1172" s="37"/>
      <c r="Q1172" s="37"/>
      <c r="R1172" s="37"/>
      <c r="S1172" s="37"/>
      <c r="T1172" s="37"/>
      <c r="U1172" s="37"/>
      <c r="V1172" s="37"/>
      <c r="W1172" s="37"/>
      <c r="X1172" s="37"/>
      <c r="Y1172" s="37"/>
      <c r="Z1172" s="37"/>
      <c r="AA1172" s="37">
        <f t="shared" si="150"/>
        <v>0</v>
      </c>
      <c r="AB1172" s="37">
        <f t="shared" si="164"/>
        <v>0</v>
      </c>
    </row>
    <row r="1173" spans="1:28" ht="14.4">
      <c r="A1173" s="117">
        <v>4160116206</v>
      </c>
      <c r="B1173" s="117" t="s">
        <v>1021</v>
      </c>
      <c r="C1173" s="37">
        <f>-VLOOKUP(A1173,Composición!C:G,5,FALSE)</f>
        <v>-10432396</v>
      </c>
      <c r="D1173" s="37"/>
      <c r="E1173" s="37"/>
      <c r="F1173" s="37"/>
      <c r="G1173" s="37">
        <f t="shared" si="156"/>
        <v>-10432396</v>
      </c>
      <c r="H1173" s="37">
        <f t="shared" si="166"/>
        <v>10432396</v>
      </c>
      <c r="I1173" s="37"/>
      <c r="J1173" s="37"/>
      <c r="K1173" s="37"/>
      <c r="L1173" s="37"/>
      <c r="M1173" s="37"/>
      <c r="N1173" s="37"/>
      <c r="O1173" s="37"/>
      <c r="P1173" s="37"/>
      <c r="Q1173" s="37"/>
      <c r="R1173" s="37"/>
      <c r="S1173" s="37"/>
      <c r="T1173" s="37"/>
      <c r="U1173" s="37"/>
      <c r="V1173" s="37"/>
      <c r="W1173" s="37"/>
      <c r="X1173" s="37"/>
      <c r="Y1173" s="37"/>
      <c r="Z1173" s="37"/>
      <c r="AA1173" s="37">
        <f t="shared" si="150"/>
        <v>0</v>
      </c>
      <c r="AB1173" s="37">
        <f t="shared" si="164"/>
        <v>0</v>
      </c>
    </row>
    <row r="1174" spans="1:28" ht="14.4">
      <c r="A1174" s="117">
        <v>4160116207</v>
      </c>
      <c r="B1174" s="117" t="s">
        <v>1022</v>
      </c>
      <c r="C1174" s="37">
        <f>-VLOOKUP(A1174,Composición!C:G,5,FALSE)</f>
        <v>0</v>
      </c>
      <c r="D1174" s="37"/>
      <c r="E1174" s="37"/>
      <c r="F1174" s="37"/>
      <c r="G1174" s="37">
        <f t="shared" si="156"/>
        <v>0</v>
      </c>
      <c r="H1174" s="37"/>
      <c r="I1174" s="37"/>
      <c r="J1174" s="37"/>
      <c r="K1174" s="37"/>
      <c r="L1174" s="37"/>
      <c r="M1174" s="37"/>
      <c r="N1174" s="37"/>
      <c r="O1174" s="37"/>
      <c r="P1174" s="37"/>
      <c r="Q1174" s="37"/>
      <c r="R1174" s="37"/>
      <c r="S1174" s="37"/>
      <c r="T1174" s="37"/>
      <c r="U1174" s="37"/>
      <c r="V1174" s="37"/>
      <c r="W1174" s="37"/>
      <c r="X1174" s="37"/>
      <c r="Y1174" s="37"/>
      <c r="Z1174" s="37"/>
      <c r="AA1174" s="37">
        <f t="shared" si="150"/>
        <v>0</v>
      </c>
      <c r="AB1174" s="37">
        <f t="shared" si="164"/>
        <v>0</v>
      </c>
    </row>
    <row r="1175" spans="1:28" ht="14.4">
      <c r="A1175" s="117">
        <v>4160116208</v>
      </c>
      <c r="B1175" s="117" t="s">
        <v>1023</v>
      </c>
      <c r="C1175" s="37">
        <f>-VLOOKUP(A1175,Composición!C:G,5,FALSE)</f>
        <v>0</v>
      </c>
      <c r="D1175" s="37"/>
      <c r="E1175" s="37"/>
      <c r="F1175" s="37"/>
      <c r="G1175" s="37">
        <f t="shared" si="156"/>
        <v>0</v>
      </c>
      <c r="H1175" s="37"/>
      <c r="I1175" s="37"/>
      <c r="J1175" s="37"/>
      <c r="K1175" s="37"/>
      <c r="L1175" s="37"/>
      <c r="M1175" s="37"/>
      <c r="N1175" s="37"/>
      <c r="O1175" s="37"/>
      <c r="P1175" s="37"/>
      <c r="Q1175" s="37"/>
      <c r="R1175" s="37"/>
      <c r="S1175" s="37"/>
      <c r="T1175" s="37"/>
      <c r="U1175" s="37"/>
      <c r="V1175" s="37"/>
      <c r="W1175" s="37"/>
      <c r="X1175" s="37"/>
      <c r="Y1175" s="37"/>
      <c r="Z1175" s="37"/>
      <c r="AA1175" s="37">
        <f t="shared" ref="AA1175:AA1212" si="167">SUM(G1175:Z1175)</f>
        <v>0</v>
      </c>
      <c r="AB1175" s="37">
        <f t="shared" si="164"/>
        <v>0</v>
      </c>
    </row>
    <row r="1176" spans="1:28" ht="14.4">
      <c r="A1176" s="117">
        <v>4160116209</v>
      </c>
      <c r="B1176" s="117" t="s">
        <v>1024</v>
      </c>
      <c r="C1176" s="37">
        <f>-VLOOKUP(A1176,Composición!C:G,5,FALSE)</f>
        <v>0</v>
      </c>
      <c r="D1176" s="37"/>
      <c r="E1176" s="37"/>
      <c r="F1176" s="37"/>
      <c r="G1176" s="37">
        <f t="shared" si="156"/>
        <v>0</v>
      </c>
      <c r="H1176" s="37"/>
      <c r="I1176" s="37"/>
      <c r="J1176" s="37"/>
      <c r="K1176" s="37"/>
      <c r="L1176" s="37"/>
      <c r="M1176" s="37"/>
      <c r="N1176" s="37"/>
      <c r="O1176" s="37"/>
      <c r="P1176" s="37"/>
      <c r="Q1176" s="37"/>
      <c r="R1176" s="37"/>
      <c r="S1176" s="37"/>
      <c r="T1176" s="37"/>
      <c r="U1176" s="37"/>
      <c r="V1176" s="37"/>
      <c r="W1176" s="37"/>
      <c r="X1176" s="37"/>
      <c r="Y1176" s="37"/>
      <c r="Z1176" s="37">
        <f>-G1176</f>
        <v>0</v>
      </c>
      <c r="AA1176" s="37">
        <f t="shared" si="167"/>
        <v>0</v>
      </c>
      <c r="AB1176" s="37">
        <f t="shared" si="164"/>
        <v>0</v>
      </c>
    </row>
    <row r="1177" spans="1:28" ht="14.4">
      <c r="A1177" s="117">
        <v>4160117</v>
      </c>
      <c r="B1177" s="117" t="s">
        <v>378</v>
      </c>
      <c r="C1177" s="37">
        <f>-VLOOKUP(A1177,Composición!C:G,5,FALSE)</f>
        <v>0</v>
      </c>
      <c r="D1177" s="37"/>
      <c r="E1177" s="37"/>
      <c r="F1177" s="37"/>
      <c r="G1177" s="37">
        <f t="shared" si="156"/>
        <v>0</v>
      </c>
      <c r="H1177" s="37"/>
      <c r="I1177" s="37"/>
      <c r="J1177" s="37"/>
      <c r="K1177" s="37"/>
      <c r="L1177" s="37"/>
      <c r="M1177" s="37"/>
      <c r="N1177" s="37"/>
      <c r="O1177" s="37"/>
      <c r="P1177" s="37"/>
      <c r="Q1177" s="37"/>
      <c r="R1177" s="37"/>
      <c r="S1177" s="37"/>
      <c r="T1177" s="37"/>
      <c r="U1177" s="37"/>
      <c r="V1177" s="37"/>
      <c r="W1177" s="37"/>
      <c r="X1177" s="37"/>
      <c r="Y1177" s="37"/>
      <c r="Z1177" s="37"/>
      <c r="AA1177" s="37">
        <f t="shared" si="167"/>
        <v>0</v>
      </c>
      <c r="AB1177" s="37">
        <f t="shared" si="164"/>
        <v>0</v>
      </c>
    </row>
    <row r="1178" spans="1:28" ht="14.4">
      <c r="A1178" s="117">
        <v>41601171</v>
      </c>
      <c r="B1178" s="117" t="s">
        <v>378</v>
      </c>
      <c r="C1178" s="37">
        <f>-VLOOKUP(A1178,Composición!C:G,5,FALSE)</f>
        <v>0</v>
      </c>
      <c r="D1178" s="37"/>
      <c r="E1178" s="37"/>
      <c r="F1178" s="37"/>
      <c r="G1178" s="37">
        <f t="shared" si="156"/>
        <v>0</v>
      </c>
      <c r="H1178" s="37"/>
      <c r="I1178" s="37"/>
      <c r="J1178" s="37"/>
      <c r="K1178" s="37"/>
      <c r="L1178" s="37"/>
      <c r="M1178" s="37"/>
      <c r="N1178" s="37"/>
      <c r="O1178" s="37"/>
      <c r="P1178" s="37"/>
      <c r="Q1178" s="37"/>
      <c r="R1178" s="37"/>
      <c r="S1178" s="37"/>
      <c r="T1178" s="37"/>
      <c r="U1178" s="37"/>
      <c r="V1178" s="37"/>
      <c r="W1178" s="37"/>
      <c r="X1178" s="37"/>
      <c r="Y1178" s="37"/>
      <c r="Z1178" s="37"/>
      <c r="AA1178" s="37">
        <f t="shared" si="167"/>
        <v>0</v>
      </c>
      <c r="AB1178" s="37">
        <f t="shared" si="164"/>
        <v>0</v>
      </c>
    </row>
    <row r="1179" spans="1:28" ht="14.4">
      <c r="A1179" s="836">
        <v>4160117101</v>
      </c>
      <c r="B1179" s="836" t="s">
        <v>379</v>
      </c>
      <c r="C1179" s="37">
        <f>-VLOOKUP(A1179,Composición!C:G,5,FALSE)</f>
        <v>-1281509060</v>
      </c>
      <c r="D1179" s="37"/>
      <c r="E1179" s="37"/>
      <c r="F1179" s="37"/>
      <c r="G1179" s="37">
        <f t="shared" ref="G1179" si="168">C1179+D1179-E1179-F1179</f>
        <v>-1281509060</v>
      </c>
      <c r="H1179" s="37"/>
      <c r="I1179" s="37"/>
      <c r="J1179" s="37">
        <f>-G1179</f>
        <v>1281509060</v>
      </c>
      <c r="K1179" s="37"/>
      <c r="L1179" s="37"/>
      <c r="M1179" s="37"/>
      <c r="N1179" s="37"/>
      <c r="O1179" s="37"/>
      <c r="P1179" s="37"/>
      <c r="Q1179" s="37"/>
      <c r="R1179" s="37"/>
      <c r="S1179" s="37"/>
      <c r="T1179" s="37"/>
      <c r="U1179" s="37"/>
      <c r="V1179" s="37"/>
      <c r="W1179" s="37"/>
      <c r="X1179" s="37"/>
      <c r="Y1179" s="37"/>
      <c r="Z1179" s="37"/>
      <c r="AA1179" s="37">
        <f t="shared" si="167"/>
        <v>0</v>
      </c>
      <c r="AB1179" s="37">
        <f t="shared" si="164"/>
        <v>0</v>
      </c>
    </row>
    <row r="1180" spans="1:28" ht="14.4">
      <c r="A1180" s="117">
        <v>4160117102</v>
      </c>
      <c r="B1180" s="117" t="s">
        <v>380</v>
      </c>
      <c r="C1180" s="37">
        <f>-VLOOKUP(A1180,Composición!C:G,5,FALSE)</f>
        <v>-1879366660</v>
      </c>
      <c r="D1180" s="37"/>
      <c r="E1180" s="37"/>
      <c r="F1180" s="37"/>
      <c r="G1180" s="37">
        <f t="shared" si="156"/>
        <v>-1879366660</v>
      </c>
      <c r="H1180" s="37"/>
      <c r="I1180" s="37"/>
      <c r="J1180" s="37">
        <f>-G1180</f>
        <v>1879366660</v>
      </c>
      <c r="K1180" s="37"/>
      <c r="L1180" s="37"/>
      <c r="M1180" s="37"/>
      <c r="N1180" s="37"/>
      <c r="O1180" s="37"/>
      <c r="P1180" s="37"/>
      <c r="Q1180" s="37"/>
      <c r="R1180" s="37"/>
      <c r="S1180" s="37"/>
      <c r="T1180" s="37"/>
      <c r="U1180" s="37"/>
      <c r="V1180" s="37"/>
      <c r="W1180" s="37"/>
      <c r="X1180" s="37"/>
      <c r="Y1180" s="37"/>
      <c r="Z1180" s="37"/>
      <c r="AA1180" s="37">
        <f t="shared" si="167"/>
        <v>0</v>
      </c>
      <c r="AB1180" s="37">
        <f t="shared" si="164"/>
        <v>0</v>
      </c>
    </row>
    <row r="1181" spans="1:28" ht="14.4">
      <c r="A1181" s="117">
        <v>42</v>
      </c>
      <c r="B1181" s="117" t="s">
        <v>381</v>
      </c>
      <c r="C1181" s="37">
        <f>-VLOOKUP(A1181,Composición!C:G,5,FALSE)</f>
        <v>0</v>
      </c>
      <c r="D1181" s="37"/>
      <c r="E1181" s="37"/>
      <c r="F1181" s="37"/>
      <c r="G1181" s="37">
        <f t="shared" si="156"/>
        <v>0</v>
      </c>
      <c r="H1181" s="37"/>
      <c r="I1181" s="37"/>
      <c r="J1181" s="37"/>
      <c r="K1181" s="37"/>
      <c r="L1181" s="37"/>
      <c r="M1181" s="37"/>
      <c r="N1181" s="37"/>
      <c r="O1181" s="37"/>
      <c r="P1181" s="37"/>
      <c r="Q1181" s="37"/>
      <c r="R1181" s="37"/>
      <c r="S1181" s="37"/>
      <c r="T1181" s="37"/>
      <c r="U1181" s="37"/>
      <c r="V1181" s="37"/>
      <c r="W1181" s="37"/>
      <c r="X1181" s="37"/>
      <c r="Y1181" s="37"/>
      <c r="Z1181" s="37">
        <f>-G1181</f>
        <v>0</v>
      </c>
      <c r="AA1181" s="37">
        <f t="shared" si="167"/>
        <v>0</v>
      </c>
      <c r="AB1181" s="37">
        <f t="shared" si="164"/>
        <v>0</v>
      </c>
    </row>
    <row r="1182" spans="1:28" ht="14.4">
      <c r="A1182" s="117">
        <v>421</v>
      </c>
      <c r="B1182" s="117" t="s">
        <v>382</v>
      </c>
      <c r="C1182" s="37">
        <f>-VLOOKUP(A1182,Composición!C:G,5,FALSE)</f>
        <v>0</v>
      </c>
      <c r="D1182" s="37"/>
      <c r="E1182" s="37"/>
      <c r="F1182" s="37"/>
      <c r="G1182" s="37">
        <f t="shared" si="156"/>
        <v>0</v>
      </c>
      <c r="H1182" s="37"/>
      <c r="I1182" s="37"/>
      <c r="J1182" s="37"/>
      <c r="K1182" s="37"/>
      <c r="L1182" s="37"/>
      <c r="M1182" s="37"/>
      <c r="N1182" s="37"/>
      <c r="O1182" s="37"/>
      <c r="P1182" s="37"/>
      <c r="Q1182" s="37"/>
      <c r="R1182" s="37"/>
      <c r="S1182" s="37"/>
      <c r="T1182" s="37"/>
      <c r="U1182" s="37"/>
      <c r="V1182" s="37"/>
      <c r="W1182" s="37"/>
      <c r="X1182" s="37"/>
      <c r="Y1182" s="37"/>
      <c r="Z1182" s="37"/>
      <c r="AA1182" s="37">
        <f t="shared" si="167"/>
        <v>0</v>
      </c>
      <c r="AB1182" s="37">
        <f t="shared" si="164"/>
        <v>0</v>
      </c>
    </row>
    <row r="1183" spans="1:28" ht="14.4">
      <c r="A1183" s="117">
        <v>42101</v>
      </c>
      <c r="B1183" s="117" t="s">
        <v>382</v>
      </c>
      <c r="C1183" s="37">
        <f>-VLOOKUP(A1183,Composición!C:G,5,FALSE)</f>
        <v>0</v>
      </c>
      <c r="D1183" s="37"/>
      <c r="E1183" s="37"/>
      <c r="F1183" s="37"/>
      <c r="G1183" s="37">
        <f t="shared" si="156"/>
        <v>0</v>
      </c>
      <c r="H1183" s="37"/>
      <c r="I1183" s="37"/>
      <c r="J1183" s="37"/>
      <c r="K1183" s="37"/>
      <c r="L1183" s="37"/>
      <c r="M1183" s="37"/>
      <c r="N1183" s="37"/>
      <c r="O1183" s="37"/>
      <c r="P1183" s="37"/>
      <c r="Q1183" s="37"/>
      <c r="R1183" s="37"/>
      <c r="S1183" s="37"/>
      <c r="T1183" s="37"/>
      <c r="U1183" s="37"/>
      <c r="V1183" s="37"/>
      <c r="W1183" s="37"/>
      <c r="X1183" s="37"/>
      <c r="Y1183" s="37"/>
      <c r="Z1183" s="37"/>
      <c r="AA1183" s="37">
        <f t="shared" si="167"/>
        <v>0</v>
      </c>
      <c r="AB1183" s="37">
        <f t="shared" si="164"/>
        <v>0</v>
      </c>
    </row>
    <row r="1184" spans="1:28" ht="14.4">
      <c r="A1184" s="117">
        <v>421011</v>
      </c>
      <c r="B1184" s="117" t="s">
        <v>382</v>
      </c>
      <c r="C1184" s="37">
        <f>-VLOOKUP(A1184,Composición!C:G,5,FALSE)</f>
        <v>0</v>
      </c>
      <c r="D1184" s="37"/>
      <c r="E1184" s="37"/>
      <c r="F1184" s="37"/>
      <c r="G1184" s="37">
        <f t="shared" si="156"/>
        <v>0</v>
      </c>
      <c r="H1184" s="37"/>
      <c r="I1184" s="37"/>
      <c r="J1184" s="37"/>
      <c r="K1184" s="37"/>
      <c r="L1184" s="37"/>
      <c r="M1184" s="37"/>
      <c r="N1184" s="37"/>
      <c r="O1184" s="37"/>
      <c r="P1184" s="37"/>
      <c r="Q1184" s="37"/>
      <c r="R1184" s="37"/>
      <c r="S1184" s="37"/>
      <c r="T1184" s="37"/>
      <c r="U1184" s="37"/>
      <c r="V1184" s="37"/>
      <c r="W1184" s="37"/>
      <c r="X1184" s="37"/>
      <c r="Y1184" s="37"/>
      <c r="Z1184" s="37"/>
      <c r="AA1184" s="37">
        <f t="shared" si="167"/>
        <v>0</v>
      </c>
      <c r="AB1184" s="37">
        <f t="shared" si="164"/>
        <v>0</v>
      </c>
    </row>
    <row r="1185" spans="1:28" ht="14.4">
      <c r="A1185" s="117">
        <v>4210111</v>
      </c>
      <c r="B1185" s="117" t="s">
        <v>382</v>
      </c>
      <c r="C1185" s="37">
        <f>-VLOOKUP(A1185,Composición!C:G,5,FALSE)</f>
        <v>0</v>
      </c>
      <c r="D1185" s="37"/>
      <c r="E1185" s="37"/>
      <c r="F1185" s="37"/>
      <c r="G1185" s="37">
        <f t="shared" si="156"/>
        <v>0</v>
      </c>
      <c r="H1185" s="37"/>
      <c r="I1185" s="37"/>
      <c r="J1185" s="37"/>
      <c r="K1185" s="37"/>
      <c r="L1185" s="37"/>
      <c r="M1185" s="37"/>
      <c r="N1185" s="37"/>
      <c r="O1185" s="37"/>
      <c r="P1185" s="37"/>
      <c r="Q1185" s="37"/>
      <c r="R1185" s="37"/>
      <c r="S1185" s="37"/>
      <c r="T1185" s="37"/>
      <c r="U1185" s="37"/>
      <c r="V1185" s="37"/>
      <c r="W1185" s="37"/>
      <c r="X1185" s="37"/>
      <c r="Y1185" s="37"/>
      <c r="Z1185" s="37"/>
      <c r="AA1185" s="37">
        <f t="shared" si="167"/>
        <v>0</v>
      </c>
      <c r="AB1185" s="37">
        <f t="shared" si="164"/>
        <v>0</v>
      </c>
    </row>
    <row r="1186" spans="1:28" ht="14.4">
      <c r="A1186" s="117">
        <v>42101111</v>
      </c>
      <c r="B1186" s="117" t="s">
        <v>383</v>
      </c>
      <c r="C1186" s="37">
        <f>-VLOOKUP(A1186,Composición!C:G,5,FALSE)</f>
        <v>0</v>
      </c>
      <c r="D1186" s="37"/>
      <c r="E1186" s="37"/>
      <c r="F1186" s="37"/>
      <c r="G1186" s="37">
        <f t="shared" si="156"/>
        <v>0</v>
      </c>
      <c r="H1186" s="37"/>
      <c r="I1186" s="37"/>
      <c r="J1186" s="37"/>
      <c r="K1186" s="37"/>
      <c r="L1186" s="37"/>
      <c r="M1186" s="37"/>
      <c r="N1186" s="37"/>
      <c r="O1186" s="37"/>
      <c r="P1186" s="37"/>
      <c r="Q1186" s="37"/>
      <c r="R1186" s="37"/>
      <c r="S1186" s="37"/>
      <c r="T1186" s="37"/>
      <c r="U1186" s="37"/>
      <c r="V1186" s="37"/>
      <c r="W1186" s="37"/>
      <c r="X1186" s="37"/>
      <c r="Y1186" s="37"/>
      <c r="Z1186" s="37"/>
      <c r="AA1186" s="37">
        <f t="shared" si="167"/>
        <v>0</v>
      </c>
      <c r="AB1186" s="37">
        <f t="shared" si="164"/>
        <v>0</v>
      </c>
    </row>
    <row r="1187" spans="1:28" ht="14.4">
      <c r="A1187" s="117">
        <v>4210111101</v>
      </c>
      <c r="B1187" s="117" t="s">
        <v>383</v>
      </c>
      <c r="C1187" s="37">
        <f>-VLOOKUP(A1187,Composición!C:G,5,FALSE)</f>
        <v>-18076441</v>
      </c>
      <c r="D1187" s="37"/>
      <c r="E1187" s="37"/>
      <c r="F1187" s="37"/>
      <c r="G1187" s="37">
        <f t="shared" si="156"/>
        <v>-18076441</v>
      </c>
      <c r="H1187" s="37"/>
      <c r="I1187" s="37"/>
      <c r="J1187" s="37"/>
      <c r="K1187" s="37"/>
      <c r="L1187" s="37"/>
      <c r="M1187" s="37"/>
      <c r="N1187" s="37"/>
      <c r="O1187" s="37"/>
      <c r="P1187" s="37"/>
      <c r="Q1187" s="37"/>
      <c r="R1187" s="37"/>
      <c r="S1187" s="37"/>
      <c r="T1187" s="37">
        <f>-G1187</f>
        <v>18076441</v>
      </c>
      <c r="U1187" s="37"/>
      <c r="V1187" s="37"/>
      <c r="W1187" s="37"/>
      <c r="X1187" s="37"/>
      <c r="Y1187" s="37"/>
      <c r="Z1187" s="37"/>
      <c r="AA1187" s="37">
        <f t="shared" si="167"/>
        <v>0</v>
      </c>
      <c r="AB1187" s="37">
        <f t="shared" si="164"/>
        <v>0</v>
      </c>
    </row>
    <row r="1188" spans="1:28" ht="14.4">
      <c r="A1188" s="117">
        <v>4210111102</v>
      </c>
      <c r="B1188" s="117" t="s">
        <v>1026</v>
      </c>
      <c r="C1188" s="37">
        <f>-VLOOKUP(A1188,Composición!C:G,5,FALSE)</f>
        <v>-2463117</v>
      </c>
      <c r="D1188" s="37"/>
      <c r="E1188" s="37"/>
      <c r="F1188" s="37"/>
      <c r="G1188" s="37">
        <f t="shared" si="156"/>
        <v>-2463117</v>
      </c>
      <c r="H1188" s="37"/>
      <c r="I1188" s="37"/>
      <c r="J1188" s="37"/>
      <c r="K1188" s="37"/>
      <c r="L1188" s="37"/>
      <c r="M1188" s="37"/>
      <c r="N1188" s="37"/>
      <c r="O1188" s="37"/>
      <c r="P1188" s="37"/>
      <c r="Q1188" s="37"/>
      <c r="R1188" s="37"/>
      <c r="S1188" s="37"/>
      <c r="T1188" s="37">
        <f>-G1188</f>
        <v>2463117</v>
      </c>
      <c r="U1188" s="37"/>
      <c r="V1188" s="37"/>
      <c r="W1188" s="37"/>
      <c r="X1188" s="37"/>
      <c r="Y1188" s="37"/>
      <c r="Z1188" s="37"/>
      <c r="AA1188" s="37">
        <f t="shared" si="167"/>
        <v>0</v>
      </c>
      <c r="AB1188" s="37">
        <f t="shared" si="164"/>
        <v>0</v>
      </c>
    </row>
    <row r="1189" spans="1:28" ht="14.4">
      <c r="A1189" s="117">
        <v>422</v>
      </c>
      <c r="B1189" s="117" t="s">
        <v>384</v>
      </c>
      <c r="C1189" s="37">
        <f>-VLOOKUP(A1189,Composición!C:G,5,FALSE)</f>
        <v>0</v>
      </c>
      <c r="D1189" s="37"/>
      <c r="E1189" s="37"/>
      <c r="F1189" s="37"/>
      <c r="G1189" s="37">
        <f t="shared" si="156"/>
        <v>0</v>
      </c>
      <c r="H1189" s="37"/>
      <c r="I1189" s="37"/>
      <c r="J1189" s="37"/>
      <c r="K1189" s="37"/>
      <c r="L1189" s="37"/>
      <c r="M1189" s="37"/>
      <c r="N1189" s="37"/>
      <c r="O1189" s="37"/>
      <c r="P1189" s="37"/>
      <c r="Q1189" s="37"/>
      <c r="R1189" s="37"/>
      <c r="S1189" s="37"/>
      <c r="T1189" s="37"/>
      <c r="U1189" s="37"/>
      <c r="V1189" s="37"/>
      <c r="W1189" s="37"/>
      <c r="X1189" s="37"/>
      <c r="Y1189" s="37"/>
      <c r="Z1189" s="37"/>
      <c r="AA1189" s="37">
        <f t="shared" si="167"/>
        <v>0</v>
      </c>
      <c r="AB1189" s="37">
        <f t="shared" si="164"/>
        <v>0</v>
      </c>
    </row>
    <row r="1190" spans="1:28" ht="14.4">
      <c r="A1190" s="117">
        <v>42201</v>
      </c>
      <c r="B1190" s="117" t="s">
        <v>384</v>
      </c>
      <c r="C1190" s="37">
        <f>-VLOOKUP(A1190,Composición!C:G,5,FALSE)</f>
        <v>0</v>
      </c>
      <c r="D1190" s="37"/>
      <c r="E1190" s="37"/>
      <c r="F1190" s="37"/>
      <c r="G1190" s="37">
        <f t="shared" si="156"/>
        <v>0</v>
      </c>
      <c r="H1190" s="37"/>
      <c r="I1190" s="37"/>
      <c r="J1190" s="37"/>
      <c r="K1190" s="37"/>
      <c r="L1190" s="37"/>
      <c r="M1190" s="37"/>
      <c r="N1190" s="37"/>
      <c r="O1190" s="37"/>
      <c r="P1190" s="37"/>
      <c r="Q1190" s="37"/>
      <c r="R1190" s="37"/>
      <c r="S1190" s="37"/>
      <c r="T1190" s="37"/>
      <c r="U1190" s="37"/>
      <c r="V1190" s="37"/>
      <c r="W1190" s="37"/>
      <c r="X1190" s="37"/>
      <c r="Y1190" s="37"/>
      <c r="Z1190" s="37"/>
      <c r="AA1190" s="37">
        <f t="shared" si="167"/>
        <v>0</v>
      </c>
      <c r="AB1190" s="37">
        <f t="shared" si="164"/>
        <v>0</v>
      </c>
    </row>
    <row r="1191" spans="1:28" ht="14.4">
      <c r="A1191" s="117">
        <v>422011</v>
      </c>
      <c r="B1191" s="117" t="s">
        <v>384</v>
      </c>
      <c r="C1191" s="37">
        <f>-VLOOKUP(A1191,Composición!C:G,5,FALSE)</f>
        <v>0</v>
      </c>
      <c r="D1191" s="37"/>
      <c r="E1191" s="37"/>
      <c r="F1191" s="37"/>
      <c r="G1191" s="37">
        <f t="shared" si="156"/>
        <v>0</v>
      </c>
      <c r="H1191" s="37"/>
      <c r="I1191" s="37"/>
      <c r="J1191" s="37"/>
      <c r="K1191" s="37"/>
      <c r="L1191" s="37"/>
      <c r="M1191" s="37"/>
      <c r="N1191" s="37"/>
      <c r="O1191" s="37"/>
      <c r="P1191" s="37"/>
      <c r="Q1191" s="37"/>
      <c r="R1191" s="37"/>
      <c r="S1191" s="37"/>
      <c r="T1191" s="37"/>
      <c r="U1191" s="37"/>
      <c r="V1191" s="37"/>
      <c r="W1191" s="37"/>
      <c r="X1191" s="37"/>
      <c r="Y1191" s="37"/>
      <c r="Z1191" s="37"/>
      <c r="AA1191" s="37">
        <f t="shared" si="167"/>
        <v>0</v>
      </c>
      <c r="AB1191" s="37">
        <f t="shared" si="164"/>
        <v>0</v>
      </c>
    </row>
    <row r="1192" spans="1:28" ht="14.4">
      <c r="A1192" s="117">
        <v>4220111</v>
      </c>
      <c r="B1192" s="117" t="s">
        <v>384</v>
      </c>
      <c r="C1192" s="37">
        <f>-VLOOKUP(A1192,Composición!C:G,5,FALSE)</f>
        <v>0</v>
      </c>
      <c r="D1192" s="37"/>
      <c r="E1192" s="37"/>
      <c r="F1192" s="37"/>
      <c r="G1192" s="37">
        <f t="shared" si="156"/>
        <v>0</v>
      </c>
      <c r="H1192" s="37">
        <f>-G1192</f>
        <v>0</v>
      </c>
      <c r="I1192" s="37"/>
      <c r="J1192" s="37"/>
      <c r="K1192" s="37"/>
      <c r="L1192" s="37"/>
      <c r="M1192" s="37"/>
      <c r="N1192" s="37"/>
      <c r="O1192" s="37"/>
      <c r="P1192" s="37"/>
      <c r="Q1192" s="37"/>
      <c r="R1192" s="37"/>
      <c r="S1192" s="37"/>
      <c r="T1192" s="37"/>
      <c r="U1192" s="37"/>
      <c r="V1192" s="37"/>
      <c r="W1192" s="37"/>
      <c r="X1192" s="37"/>
      <c r="Y1192" s="37"/>
      <c r="Z1192" s="37"/>
      <c r="AA1192" s="37">
        <f t="shared" si="167"/>
        <v>0</v>
      </c>
      <c r="AB1192" s="37">
        <f t="shared" si="164"/>
        <v>0</v>
      </c>
    </row>
    <row r="1193" spans="1:28" ht="14.4">
      <c r="A1193" s="117">
        <v>42201111</v>
      </c>
      <c r="B1193" s="117" t="s">
        <v>384</v>
      </c>
      <c r="C1193" s="37">
        <f>-VLOOKUP(A1193,Composición!C:G,5,FALSE)</f>
        <v>0</v>
      </c>
      <c r="D1193" s="37"/>
      <c r="E1193" s="37"/>
      <c r="F1193" s="37"/>
      <c r="G1193" s="37">
        <f t="shared" si="156"/>
        <v>0</v>
      </c>
      <c r="H1193" s="37">
        <f>-G1193</f>
        <v>0</v>
      </c>
      <c r="I1193" s="37"/>
      <c r="J1193" s="37"/>
      <c r="K1193" s="37"/>
      <c r="L1193" s="37"/>
      <c r="M1193" s="37"/>
      <c r="N1193" s="37"/>
      <c r="O1193" s="37"/>
      <c r="P1193" s="37"/>
      <c r="Q1193" s="37"/>
      <c r="R1193" s="37"/>
      <c r="S1193" s="37"/>
      <c r="T1193" s="37"/>
      <c r="U1193" s="37"/>
      <c r="V1193" s="37"/>
      <c r="W1193" s="37"/>
      <c r="X1193" s="37"/>
      <c r="Y1193" s="37"/>
      <c r="Z1193" s="37"/>
      <c r="AA1193" s="37">
        <f t="shared" si="167"/>
        <v>0</v>
      </c>
      <c r="AB1193" s="37">
        <f t="shared" si="164"/>
        <v>0</v>
      </c>
    </row>
    <row r="1194" spans="1:28" ht="14.4">
      <c r="A1194" s="117">
        <v>4220111101</v>
      </c>
      <c r="B1194" s="117" t="s">
        <v>385</v>
      </c>
      <c r="C1194" s="37">
        <f>-VLOOKUP(A1194,Composición!C:G,5,FALSE)</f>
        <v>-13030597785</v>
      </c>
      <c r="D1194" s="37"/>
      <c r="E1194" s="37"/>
      <c r="F1194" s="37"/>
      <c r="G1194" s="37">
        <f t="shared" si="156"/>
        <v>-13030597785</v>
      </c>
      <c r="H1194" s="37"/>
      <c r="I1194" s="37"/>
      <c r="J1194" s="37"/>
      <c r="K1194" s="37"/>
      <c r="L1194" s="37"/>
      <c r="M1194" s="37"/>
      <c r="N1194" s="37"/>
      <c r="O1194" s="37"/>
      <c r="P1194" s="37"/>
      <c r="Q1194" s="37"/>
      <c r="R1194" s="37"/>
      <c r="S1194" s="37"/>
      <c r="T1194" s="37"/>
      <c r="U1194" s="37"/>
      <c r="V1194" s="37"/>
      <c r="W1194" s="37"/>
      <c r="X1194" s="37"/>
      <c r="Y1194" s="37"/>
      <c r="Z1194" s="37">
        <f>-G1194</f>
        <v>13030597785</v>
      </c>
      <c r="AA1194" s="37">
        <f t="shared" si="167"/>
        <v>0</v>
      </c>
      <c r="AB1194" s="37">
        <f t="shared" si="164"/>
        <v>0</v>
      </c>
    </row>
    <row r="1195" spans="1:28" ht="14.4">
      <c r="A1195" s="117">
        <v>4220111102</v>
      </c>
      <c r="B1195" s="117" t="s">
        <v>386</v>
      </c>
      <c r="C1195" s="37">
        <f>-VLOOKUP(A1195,Composición!C:G,5,FALSE)</f>
        <v>-3924434844</v>
      </c>
      <c r="D1195" s="37"/>
      <c r="E1195" s="37"/>
      <c r="F1195" s="37"/>
      <c r="G1195" s="37">
        <f t="shared" si="156"/>
        <v>-3924434844</v>
      </c>
      <c r="H1195" s="37"/>
      <c r="I1195" s="37"/>
      <c r="J1195" s="37"/>
      <c r="K1195" s="37"/>
      <c r="L1195" s="37"/>
      <c r="M1195" s="37"/>
      <c r="N1195" s="37"/>
      <c r="O1195" s="37"/>
      <c r="P1195" s="37"/>
      <c r="Q1195" s="37"/>
      <c r="R1195" s="37"/>
      <c r="S1195" s="37"/>
      <c r="T1195" s="37"/>
      <c r="U1195" s="37"/>
      <c r="V1195" s="37"/>
      <c r="W1195" s="37"/>
      <c r="X1195" s="37"/>
      <c r="Y1195" s="37"/>
      <c r="Z1195" s="37">
        <f>-G1195</f>
        <v>3924434844</v>
      </c>
      <c r="AA1195" s="37">
        <f t="shared" si="167"/>
        <v>0</v>
      </c>
      <c r="AB1195" s="37">
        <f t="shared" si="164"/>
        <v>0</v>
      </c>
    </row>
    <row r="1196" spans="1:28" ht="14.4">
      <c r="A1196" s="117">
        <v>4610111101</v>
      </c>
      <c r="B1196" s="117" t="s">
        <v>1028</v>
      </c>
      <c r="C1196" s="37">
        <f>-VLOOKUP(A1196,Composición!C:G,5,FALSE)</f>
        <v>0</v>
      </c>
      <c r="D1196" s="37"/>
      <c r="E1196" s="37"/>
      <c r="F1196" s="37"/>
      <c r="G1196" s="37">
        <f t="shared" si="156"/>
        <v>0</v>
      </c>
      <c r="H1196" s="37">
        <f t="shared" ref="H1196:H1197" si="169">-G1196</f>
        <v>0</v>
      </c>
      <c r="I1196" s="37"/>
      <c r="J1196" s="37"/>
      <c r="K1196" s="37"/>
      <c r="L1196" s="37"/>
      <c r="M1196" s="37"/>
      <c r="N1196" s="37"/>
      <c r="O1196" s="37"/>
      <c r="P1196" s="37"/>
      <c r="Q1196" s="37"/>
      <c r="R1196" s="37"/>
      <c r="S1196" s="37"/>
      <c r="T1196" s="37"/>
      <c r="U1196" s="37"/>
      <c r="V1196" s="37"/>
      <c r="W1196" s="37"/>
      <c r="X1196" s="37"/>
      <c r="Y1196" s="37"/>
      <c r="Z1196" s="37"/>
      <c r="AA1196" s="37">
        <f t="shared" si="167"/>
        <v>0</v>
      </c>
      <c r="AB1196" s="37">
        <f t="shared" si="164"/>
        <v>0</v>
      </c>
    </row>
    <row r="1197" spans="1:28" ht="14.4">
      <c r="A1197" s="117">
        <v>4610111102</v>
      </c>
      <c r="B1197" s="117" t="s">
        <v>1029</v>
      </c>
      <c r="C1197" s="37">
        <f>-VLOOKUP(A1197,Composición!C:G,5,FALSE)</f>
        <v>0</v>
      </c>
      <c r="D1197" s="37"/>
      <c r="E1197" s="37"/>
      <c r="F1197" s="37"/>
      <c r="G1197" s="37">
        <f t="shared" si="156"/>
        <v>0</v>
      </c>
      <c r="H1197" s="37">
        <f t="shared" si="169"/>
        <v>0</v>
      </c>
      <c r="I1197" s="37"/>
      <c r="J1197" s="37"/>
      <c r="K1197" s="37"/>
      <c r="L1197" s="37"/>
      <c r="M1197" s="37"/>
      <c r="N1197" s="37"/>
      <c r="O1197" s="37"/>
      <c r="P1197" s="37"/>
      <c r="Q1197" s="37"/>
      <c r="R1197" s="37"/>
      <c r="S1197" s="37"/>
      <c r="T1197" s="37"/>
      <c r="U1197" s="37"/>
      <c r="V1197" s="37"/>
      <c r="W1197" s="37"/>
      <c r="X1197" s="37"/>
      <c r="Y1197" s="37"/>
      <c r="Z1197" s="37"/>
      <c r="AA1197" s="37">
        <f t="shared" si="167"/>
        <v>0</v>
      </c>
      <c r="AB1197" s="37">
        <f t="shared" si="164"/>
        <v>0</v>
      </c>
    </row>
    <row r="1198" spans="1:28" ht="14.4">
      <c r="A1198" s="117">
        <v>4610111103</v>
      </c>
      <c r="B1198" s="117" t="s">
        <v>1030</v>
      </c>
      <c r="C1198" s="37">
        <f>-VLOOKUP(A1198,Composición!C:G,5,FALSE)</f>
        <v>0</v>
      </c>
      <c r="D1198" s="37"/>
      <c r="E1198" s="37"/>
      <c r="F1198" s="37"/>
      <c r="G1198" s="37">
        <f t="shared" si="156"/>
        <v>0</v>
      </c>
      <c r="H1198" s="37"/>
      <c r="I1198" s="37">
        <f>-G1198</f>
        <v>0</v>
      </c>
      <c r="J1198" s="37"/>
      <c r="K1198" s="37"/>
      <c r="L1198" s="37"/>
      <c r="M1198" s="37"/>
      <c r="N1198" s="37"/>
      <c r="O1198" s="37"/>
      <c r="P1198" s="37"/>
      <c r="Q1198" s="37"/>
      <c r="R1198" s="37"/>
      <c r="S1198" s="37"/>
      <c r="T1198" s="37"/>
      <c r="U1198" s="37"/>
      <c r="V1198" s="37"/>
      <c r="W1198" s="37"/>
      <c r="X1198" s="37"/>
      <c r="Y1198" s="37"/>
      <c r="Z1198" s="37"/>
      <c r="AA1198" s="37">
        <f t="shared" si="167"/>
        <v>0</v>
      </c>
      <c r="AB1198" s="37">
        <f t="shared" si="164"/>
        <v>0</v>
      </c>
    </row>
    <row r="1199" spans="1:28" ht="14.4">
      <c r="A1199" s="117">
        <v>4610111104</v>
      </c>
      <c r="B1199" s="117" t="s">
        <v>1031</v>
      </c>
      <c r="C1199" s="37">
        <f>-VLOOKUP(A1199,Composición!C:G,5,FALSE)</f>
        <v>0</v>
      </c>
      <c r="D1199" s="37"/>
      <c r="E1199" s="37"/>
      <c r="F1199" s="37"/>
      <c r="G1199" s="37">
        <f t="shared" si="156"/>
        <v>0</v>
      </c>
      <c r="H1199" s="37"/>
      <c r="I1199" s="37"/>
      <c r="J1199" s="37"/>
      <c r="K1199" s="37"/>
      <c r="L1199" s="37"/>
      <c r="M1199" s="37"/>
      <c r="N1199" s="37"/>
      <c r="O1199" s="37"/>
      <c r="P1199" s="37"/>
      <c r="Q1199" s="37"/>
      <c r="R1199" s="37"/>
      <c r="S1199" s="37"/>
      <c r="T1199" s="37"/>
      <c r="U1199" s="37"/>
      <c r="V1199" s="37"/>
      <c r="W1199" s="37"/>
      <c r="X1199" s="37"/>
      <c r="Y1199" s="37"/>
      <c r="Z1199" s="37"/>
      <c r="AA1199" s="37">
        <f t="shared" si="167"/>
        <v>0</v>
      </c>
      <c r="AB1199" s="37">
        <f t="shared" si="164"/>
        <v>0</v>
      </c>
    </row>
    <row r="1200" spans="1:28" ht="14.4">
      <c r="A1200" s="117">
        <v>48</v>
      </c>
      <c r="B1200" s="117" t="s">
        <v>387</v>
      </c>
      <c r="C1200" s="37">
        <f>-VLOOKUP(A1200,Composición!C:G,5,FALSE)</f>
        <v>0</v>
      </c>
      <c r="D1200" s="37"/>
      <c r="E1200" s="37"/>
      <c r="F1200" s="37"/>
      <c r="G1200" s="37">
        <f t="shared" si="156"/>
        <v>0</v>
      </c>
      <c r="H1200" s="37"/>
      <c r="I1200" s="37"/>
      <c r="J1200" s="37"/>
      <c r="K1200" s="37"/>
      <c r="L1200" s="37"/>
      <c r="M1200" s="37"/>
      <c r="N1200" s="37"/>
      <c r="O1200" s="37"/>
      <c r="P1200" s="37"/>
      <c r="Q1200" s="37"/>
      <c r="R1200" s="37"/>
      <c r="S1200" s="37"/>
      <c r="T1200" s="37"/>
      <c r="U1200" s="37"/>
      <c r="V1200" s="37"/>
      <c r="W1200" s="37"/>
      <c r="X1200" s="37"/>
      <c r="Y1200" s="37"/>
      <c r="Z1200" s="37"/>
      <c r="AA1200" s="37">
        <f t="shared" si="167"/>
        <v>0</v>
      </c>
      <c r="AB1200" s="37">
        <f t="shared" si="164"/>
        <v>0</v>
      </c>
    </row>
    <row r="1201" spans="1:28" ht="14.4">
      <c r="A1201" s="117">
        <v>481</v>
      </c>
      <c r="B1201" s="117" t="s">
        <v>388</v>
      </c>
      <c r="C1201" s="37">
        <f>-VLOOKUP(A1201,Composición!C:G,5,FALSE)</f>
        <v>0</v>
      </c>
      <c r="D1201" s="37"/>
      <c r="E1201" s="37"/>
      <c r="F1201" s="37"/>
      <c r="G1201" s="37">
        <f t="shared" si="156"/>
        <v>0</v>
      </c>
      <c r="H1201" s="37"/>
      <c r="I1201" s="37"/>
      <c r="J1201" s="37"/>
      <c r="K1201" s="37"/>
      <c r="L1201" s="37"/>
      <c r="M1201" s="37"/>
      <c r="N1201" s="37"/>
      <c r="O1201" s="37"/>
      <c r="P1201" s="37"/>
      <c r="Q1201" s="37"/>
      <c r="R1201" s="37"/>
      <c r="S1201" s="37"/>
      <c r="T1201" s="37"/>
      <c r="U1201" s="37"/>
      <c r="V1201" s="37"/>
      <c r="W1201" s="37"/>
      <c r="X1201" s="37"/>
      <c r="Y1201" s="37"/>
      <c r="Z1201" s="37"/>
      <c r="AA1201" s="37">
        <f t="shared" si="167"/>
        <v>0</v>
      </c>
      <c r="AB1201" s="37">
        <f t="shared" si="164"/>
        <v>0</v>
      </c>
    </row>
    <row r="1202" spans="1:28" ht="14.4">
      <c r="A1202" s="117">
        <v>48101</v>
      </c>
      <c r="B1202" s="117" t="s">
        <v>388</v>
      </c>
      <c r="C1202" s="37">
        <f>-VLOOKUP(A1202,Composición!C:G,5,FALSE)</f>
        <v>0</v>
      </c>
      <c r="D1202" s="37"/>
      <c r="E1202" s="37"/>
      <c r="F1202" s="37"/>
      <c r="G1202" s="37">
        <f t="shared" ref="G1202:G1212" si="170">C1202+D1202-E1202-F1202</f>
        <v>0</v>
      </c>
      <c r="H1202" s="37"/>
      <c r="I1202" s="37"/>
      <c r="J1202" s="37"/>
      <c r="K1202" s="37"/>
      <c r="L1202" s="37"/>
      <c r="M1202" s="37"/>
      <c r="N1202" s="37"/>
      <c r="O1202" s="37"/>
      <c r="P1202" s="37"/>
      <c r="Q1202" s="37"/>
      <c r="R1202" s="37"/>
      <c r="S1202" s="37"/>
      <c r="T1202" s="37"/>
      <c r="U1202" s="37"/>
      <c r="V1202" s="37"/>
      <c r="W1202" s="37"/>
      <c r="X1202" s="37"/>
      <c r="Y1202" s="37"/>
      <c r="Z1202" s="37"/>
      <c r="AA1202" s="37">
        <f t="shared" si="167"/>
        <v>0</v>
      </c>
      <c r="AB1202" s="37">
        <f t="shared" si="164"/>
        <v>0</v>
      </c>
    </row>
    <row r="1203" spans="1:28" ht="14.4">
      <c r="A1203" s="117">
        <v>481011</v>
      </c>
      <c r="B1203" s="117" t="s">
        <v>388</v>
      </c>
      <c r="C1203" s="37">
        <f>-VLOOKUP(A1203,Composición!C:G,5,FALSE)</f>
        <v>0</v>
      </c>
      <c r="D1203" s="37"/>
      <c r="E1203" s="37"/>
      <c r="F1203" s="37"/>
      <c r="G1203" s="37">
        <f t="shared" si="170"/>
        <v>0</v>
      </c>
      <c r="H1203" s="37"/>
      <c r="I1203" s="37"/>
      <c r="J1203" s="37"/>
      <c r="K1203" s="37"/>
      <c r="L1203" s="37"/>
      <c r="M1203" s="37"/>
      <c r="N1203" s="37"/>
      <c r="O1203" s="37"/>
      <c r="P1203" s="37"/>
      <c r="Q1203" s="37"/>
      <c r="R1203" s="37"/>
      <c r="S1203" s="37"/>
      <c r="T1203" s="37"/>
      <c r="U1203" s="37"/>
      <c r="V1203" s="37"/>
      <c r="W1203" s="37"/>
      <c r="X1203" s="37"/>
      <c r="Y1203" s="37"/>
      <c r="Z1203" s="37"/>
      <c r="AA1203" s="37">
        <f t="shared" si="167"/>
        <v>0</v>
      </c>
      <c r="AB1203" s="37">
        <f t="shared" si="164"/>
        <v>0</v>
      </c>
    </row>
    <row r="1204" spans="1:28" ht="14.4">
      <c r="A1204" s="117">
        <v>4810111</v>
      </c>
      <c r="B1204" s="117" t="s">
        <v>388</v>
      </c>
      <c r="C1204" s="37">
        <f>-VLOOKUP(A1204,Composición!C:G,5,FALSE)</f>
        <v>0</v>
      </c>
      <c r="D1204" s="37"/>
      <c r="E1204" s="37"/>
      <c r="F1204" s="37"/>
      <c r="G1204" s="37">
        <f t="shared" si="170"/>
        <v>0</v>
      </c>
      <c r="H1204" s="37"/>
      <c r="I1204" s="37"/>
      <c r="J1204" s="37"/>
      <c r="K1204" s="37"/>
      <c r="L1204" s="37"/>
      <c r="M1204" s="37"/>
      <c r="N1204" s="37"/>
      <c r="O1204" s="37"/>
      <c r="P1204" s="37"/>
      <c r="Q1204" s="37"/>
      <c r="R1204" s="37"/>
      <c r="S1204" s="37"/>
      <c r="T1204" s="37"/>
      <c r="U1204" s="37"/>
      <c r="V1204" s="37"/>
      <c r="W1204" s="37"/>
      <c r="X1204" s="37"/>
      <c r="Y1204" s="37"/>
      <c r="Z1204" s="37"/>
      <c r="AA1204" s="37">
        <f t="shared" si="167"/>
        <v>0</v>
      </c>
      <c r="AB1204" s="37">
        <f t="shared" si="164"/>
        <v>0</v>
      </c>
    </row>
    <row r="1205" spans="1:28" ht="14.4">
      <c r="A1205" s="117">
        <v>48101111</v>
      </c>
      <c r="B1205" s="117" t="s">
        <v>388</v>
      </c>
      <c r="C1205" s="37">
        <f>-VLOOKUP(A1205,Composición!C:G,5,FALSE)</f>
        <v>0</v>
      </c>
      <c r="D1205" s="37"/>
      <c r="E1205" s="37"/>
      <c r="F1205" s="37"/>
      <c r="G1205" s="37">
        <f t="shared" si="170"/>
        <v>0</v>
      </c>
      <c r="H1205" s="37">
        <f>-G1205</f>
        <v>0</v>
      </c>
      <c r="I1205" s="37"/>
      <c r="J1205" s="37"/>
      <c r="K1205" s="37"/>
      <c r="L1205" s="37"/>
      <c r="M1205" s="37"/>
      <c r="N1205" s="37"/>
      <c r="O1205" s="37"/>
      <c r="P1205" s="37"/>
      <c r="Q1205" s="37"/>
      <c r="R1205" s="37"/>
      <c r="S1205" s="37"/>
      <c r="T1205" s="37"/>
      <c r="U1205" s="37"/>
      <c r="V1205" s="37"/>
      <c r="W1205" s="37"/>
      <c r="X1205" s="37"/>
      <c r="Y1205" s="37"/>
      <c r="Z1205" s="37"/>
      <c r="AA1205" s="37">
        <f t="shared" si="167"/>
        <v>0</v>
      </c>
      <c r="AB1205" s="37">
        <f t="shared" si="164"/>
        <v>0</v>
      </c>
    </row>
    <row r="1206" spans="1:28" ht="14.4">
      <c r="A1206" s="117">
        <v>4810111101</v>
      </c>
      <c r="B1206" s="117" t="s">
        <v>389</v>
      </c>
      <c r="C1206" s="37">
        <f>-VLOOKUP(A1206,Composición!C:G,5,FALSE)</f>
        <v>0</v>
      </c>
      <c r="D1206" s="37"/>
      <c r="E1206" s="37"/>
      <c r="F1206" s="37"/>
      <c r="G1206" s="37">
        <f t="shared" si="170"/>
        <v>0</v>
      </c>
      <c r="H1206" s="37">
        <f>-G1206</f>
        <v>0</v>
      </c>
      <c r="I1206" s="37"/>
      <c r="J1206" s="37"/>
      <c r="K1206" s="37"/>
      <c r="L1206" s="37"/>
      <c r="M1206" s="37"/>
      <c r="N1206" s="37"/>
      <c r="O1206" s="37"/>
      <c r="P1206" s="37"/>
      <c r="Q1206" s="37"/>
      <c r="R1206" s="37"/>
      <c r="S1206" s="37"/>
      <c r="T1206" s="37"/>
      <c r="U1206" s="37"/>
      <c r="V1206" s="37"/>
      <c r="W1206" s="37"/>
      <c r="X1206" s="37"/>
      <c r="Y1206" s="37"/>
      <c r="Z1206" s="37"/>
      <c r="AA1206" s="37">
        <f t="shared" si="167"/>
        <v>0</v>
      </c>
      <c r="AB1206" s="37">
        <f t="shared" si="164"/>
        <v>0</v>
      </c>
    </row>
    <row r="1207" spans="1:28" ht="14.4">
      <c r="A1207" s="117">
        <v>4810111102</v>
      </c>
      <c r="B1207" s="117" t="s">
        <v>390</v>
      </c>
      <c r="C1207" s="37">
        <f>-VLOOKUP(A1207,Composición!C:G,5,FALSE)</f>
        <v>-93054</v>
      </c>
      <c r="D1207" s="37"/>
      <c r="E1207" s="37"/>
      <c r="F1207" s="37"/>
      <c r="G1207" s="37">
        <f t="shared" si="170"/>
        <v>-93054</v>
      </c>
      <c r="H1207" s="37">
        <f>-G1207</f>
        <v>93054</v>
      </c>
      <c r="I1207" s="37"/>
      <c r="J1207" s="37"/>
      <c r="K1207" s="37"/>
      <c r="L1207" s="37"/>
      <c r="M1207" s="37"/>
      <c r="N1207" s="37"/>
      <c r="O1207" s="37"/>
      <c r="P1207" s="37"/>
      <c r="Q1207" s="37"/>
      <c r="R1207" s="37"/>
      <c r="S1207" s="37"/>
      <c r="T1207" s="37"/>
      <c r="U1207" s="37"/>
      <c r="V1207" s="37"/>
      <c r="W1207" s="37"/>
      <c r="X1207" s="37"/>
      <c r="Y1207" s="37"/>
      <c r="Z1207" s="37"/>
      <c r="AA1207" s="37">
        <f t="shared" si="167"/>
        <v>0</v>
      </c>
      <c r="AB1207" s="37">
        <f t="shared" si="164"/>
        <v>0</v>
      </c>
    </row>
    <row r="1208" spans="1:28" ht="14.4">
      <c r="A1208" s="117">
        <v>4810111103</v>
      </c>
      <c r="B1208" s="117" t="s">
        <v>391</v>
      </c>
      <c r="C1208" s="37">
        <f>-VLOOKUP(A1208,Composición!C:G,5,FALSE)</f>
        <v>-120953603</v>
      </c>
      <c r="D1208" s="37"/>
      <c r="E1208" s="37"/>
      <c r="F1208" s="37"/>
      <c r="G1208" s="37">
        <f t="shared" si="170"/>
        <v>-120953603</v>
      </c>
      <c r="H1208" s="37">
        <f>-G1208</f>
        <v>120953603</v>
      </c>
      <c r="I1208" s="37"/>
      <c r="J1208" s="37"/>
      <c r="K1208" s="37"/>
      <c r="L1208" s="37"/>
      <c r="M1208" s="37"/>
      <c r="N1208" s="37"/>
      <c r="O1208" s="37"/>
      <c r="P1208" s="37"/>
      <c r="Q1208" s="37"/>
      <c r="R1208" s="37"/>
      <c r="S1208" s="37"/>
      <c r="T1208" s="37"/>
      <c r="U1208" s="37"/>
      <c r="V1208" s="37"/>
      <c r="W1208" s="37"/>
      <c r="X1208" s="37"/>
      <c r="Y1208" s="37"/>
      <c r="Z1208" s="37"/>
      <c r="AA1208" s="37">
        <f t="shared" si="167"/>
        <v>0</v>
      </c>
      <c r="AB1208" s="37">
        <f t="shared" si="164"/>
        <v>0</v>
      </c>
    </row>
    <row r="1209" spans="1:28" ht="14.4">
      <c r="A1209" s="117">
        <v>4810111104</v>
      </c>
      <c r="B1209" s="117" t="s">
        <v>1033</v>
      </c>
      <c r="C1209" s="37">
        <f>-VLOOKUP(A1209,Composición!C:G,5,FALSE)</f>
        <v>0</v>
      </c>
      <c r="D1209" s="37"/>
      <c r="E1209" s="37"/>
      <c r="F1209" s="37"/>
      <c r="G1209" s="37">
        <f t="shared" si="170"/>
        <v>0</v>
      </c>
      <c r="H1209" s="37">
        <f t="shared" ref="H1209:H1211" si="171">-G1209</f>
        <v>0</v>
      </c>
      <c r="I1209" s="37"/>
      <c r="J1209" s="37"/>
      <c r="K1209" s="37"/>
      <c r="L1209" s="37"/>
      <c r="M1209" s="37"/>
      <c r="N1209" s="37"/>
      <c r="O1209" s="37"/>
      <c r="P1209" s="37"/>
      <c r="Q1209" s="37"/>
      <c r="R1209" s="37"/>
      <c r="S1209" s="37"/>
      <c r="T1209" s="37"/>
      <c r="U1209" s="37"/>
      <c r="V1209" s="37"/>
      <c r="W1209" s="37"/>
      <c r="X1209" s="37"/>
      <c r="Y1209" s="37"/>
      <c r="Z1209" s="37"/>
      <c r="AA1209" s="37">
        <f t="shared" si="167"/>
        <v>0</v>
      </c>
      <c r="AB1209" s="37">
        <f t="shared" si="164"/>
        <v>0</v>
      </c>
    </row>
    <row r="1210" spans="1:28" ht="14.4">
      <c r="A1210" s="117">
        <v>4810111105</v>
      </c>
      <c r="B1210" s="117" t="s">
        <v>392</v>
      </c>
      <c r="C1210" s="37">
        <f>-VLOOKUP(A1210,Composición!C:G,5,FALSE)</f>
        <v>-10398402</v>
      </c>
      <c r="D1210" s="37"/>
      <c r="E1210" s="37"/>
      <c r="F1210" s="37"/>
      <c r="G1210" s="37">
        <f t="shared" si="170"/>
        <v>-10398402</v>
      </c>
      <c r="H1210" s="37">
        <f t="shared" si="171"/>
        <v>10398402</v>
      </c>
      <c r="I1210" s="37"/>
      <c r="J1210" s="37"/>
      <c r="K1210" s="37"/>
      <c r="L1210" s="37"/>
      <c r="M1210" s="37"/>
      <c r="N1210" s="37"/>
      <c r="O1210" s="37"/>
      <c r="P1210" s="37"/>
      <c r="Q1210" s="37"/>
      <c r="R1210" s="37"/>
      <c r="S1210" s="37"/>
      <c r="T1210" s="37"/>
      <c r="U1210" s="37"/>
      <c r="V1210" s="37"/>
      <c r="W1210" s="37"/>
      <c r="X1210" s="37"/>
      <c r="Y1210" s="37"/>
      <c r="Z1210" s="37"/>
      <c r="AA1210" s="37">
        <f t="shared" si="167"/>
        <v>0</v>
      </c>
      <c r="AB1210" s="37">
        <f t="shared" si="164"/>
        <v>0</v>
      </c>
    </row>
    <row r="1211" spans="1:28" ht="14.4">
      <c r="A1211" s="117">
        <v>4810111106</v>
      </c>
      <c r="B1211" s="117" t="s">
        <v>393</v>
      </c>
      <c r="C1211" s="37">
        <f>-VLOOKUP(A1211,Composición!C:G,5,FALSE)</f>
        <v>-162659040</v>
      </c>
      <c r="D1211" s="37"/>
      <c r="E1211" s="37"/>
      <c r="F1211" s="37"/>
      <c r="G1211" s="37">
        <f t="shared" si="170"/>
        <v>-162659040</v>
      </c>
      <c r="H1211" s="37">
        <f t="shared" si="171"/>
        <v>162659040</v>
      </c>
      <c r="I1211" s="37">
        <v>0</v>
      </c>
      <c r="J1211" s="37"/>
      <c r="K1211" s="37"/>
      <c r="L1211" s="37"/>
      <c r="M1211" s="37"/>
      <c r="N1211" s="37"/>
      <c r="O1211" s="37"/>
      <c r="P1211" s="37"/>
      <c r="Q1211" s="37"/>
      <c r="R1211" s="37"/>
      <c r="S1211" s="37"/>
      <c r="T1211" s="37"/>
      <c r="U1211" s="37"/>
      <c r="V1211" s="37"/>
      <c r="W1211" s="37"/>
      <c r="X1211" s="37"/>
      <c r="Y1211" s="37"/>
      <c r="Z1211" s="37"/>
      <c r="AA1211" s="37">
        <f t="shared" si="167"/>
        <v>0</v>
      </c>
      <c r="AB1211" s="37">
        <f t="shared" si="164"/>
        <v>0</v>
      </c>
    </row>
    <row r="1212" spans="1:28" ht="14.4">
      <c r="A1212" s="117">
        <v>4810111107</v>
      </c>
      <c r="B1212" s="117" t="s">
        <v>394</v>
      </c>
      <c r="C1212" s="37">
        <f>-VLOOKUP(A1212,Composición!C:G,5,FALSE)</f>
        <v>0</v>
      </c>
      <c r="D1212" s="37"/>
      <c r="E1212" s="37"/>
      <c r="F1212" s="37"/>
      <c r="G1212" s="37">
        <f t="shared" si="170"/>
        <v>0</v>
      </c>
      <c r="H1212" s="37"/>
      <c r="I1212" s="37">
        <f>-G1212</f>
        <v>0</v>
      </c>
      <c r="J1212" s="37"/>
      <c r="K1212" s="37"/>
      <c r="L1212" s="37"/>
      <c r="M1212" s="37"/>
      <c r="N1212" s="37"/>
      <c r="O1212" s="37"/>
      <c r="P1212" s="37"/>
      <c r="Q1212" s="37"/>
      <c r="R1212" s="37"/>
      <c r="S1212" s="37"/>
      <c r="T1212" s="37"/>
      <c r="U1212" s="37"/>
      <c r="V1212" s="37"/>
      <c r="W1212" s="37"/>
      <c r="X1212" s="37"/>
      <c r="Y1212" s="37"/>
      <c r="Z1212" s="37"/>
      <c r="AA1212" s="37">
        <f t="shared" si="167"/>
        <v>0</v>
      </c>
      <c r="AB1212" s="37">
        <f t="shared" si="164"/>
        <v>0</v>
      </c>
    </row>
    <row r="1213" spans="1:28" ht="14.4">
      <c r="A1213" s="12"/>
      <c r="B1213" s="137"/>
      <c r="C1213" s="139"/>
      <c r="D1213" s="139"/>
      <c r="E1213" s="139"/>
      <c r="F1213" s="139"/>
      <c r="G1213" s="139"/>
      <c r="H1213" s="139"/>
      <c r="I1213" s="139"/>
      <c r="J1213" s="139"/>
      <c r="K1213" s="139"/>
      <c r="L1213" s="139"/>
      <c r="M1213" s="139"/>
      <c r="N1213" s="139"/>
      <c r="O1213" s="139"/>
      <c r="P1213" s="139"/>
      <c r="Q1213" s="139"/>
      <c r="R1213" s="139"/>
      <c r="S1213" s="139"/>
      <c r="T1213" s="139"/>
      <c r="U1213" s="139"/>
      <c r="V1213" s="139"/>
      <c r="W1213" s="139"/>
      <c r="X1213" s="139"/>
      <c r="Y1213" s="139"/>
      <c r="Z1213" s="139"/>
      <c r="AA1213" s="139"/>
      <c r="AB1213" s="37">
        <f t="shared" si="164"/>
        <v>0</v>
      </c>
    </row>
    <row r="1214" spans="1:28" ht="14.4">
      <c r="A1214" s="130">
        <v>5</v>
      </c>
      <c r="B1214" s="130" t="s">
        <v>395</v>
      </c>
      <c r="C1214" s="131">
        <f>Composición!$G$1776-SUM('CA FE'!C1215:C1508)</f>
        <v>0</v>
      </c>
      <c r="D1214" s="131"/>
      <c r="E1214" s="131"/>
      <c r="F1214" s="131"/>
      <c r="G1214" s="131">
        <f t="shared" ref="G1214:G1284" si="172">C1214+D1214-E1214-F1214</f>
        <v>0</v>
      </c>
      <c r="H1214" s="131"/>
      <c r="I1214" s="131"/>
      <c r="J1214" s="131"/>
      <c r="K1214" s="131"/>
      <c r="L1214" s="131"/>
      <c r="M1214" s="131"/>
      <c r="N1214" s="131"/>
      <c r="O1214" s="131"/>
      <c r="P1214" s="131"/>
      <c r="Q1214" s="131"/>
      <c r="R1214" s="131"/>
      <c r="S1214" s="131"/>
      <c r="T1214" s="131"/>
      <c r="U1214" s="131"/>
      <c r="V1214" s="131"/>
      <c r="W1214" s="131"/>
      <c r="X1214" s="131"/>
      <c r="Y1214" s="131"/>
      <c r="Z1214" s="131"/>
      <c r="AA1214" s="131">
        <f t="shared" ref="AA1214" si="173">SUM(G1214:Z1214)</f>
        <v>0</v>
      </c>
      <c r="AB1214" s="37">
        <f t="shared" si="164"/>
        <v>0</v>
      </c>
    </row>
    <row r="1215" spans="1:28" ht="14.4">
      <c r="A1215" s="117">
        <v>51</v>
      </c>
      <c r="B1215" s="117" t="s">
        <v>396</v>
      </c>
      <c r="C1215" s="37">
        <f>VLOOKUP(A1215,Composición!C:I,5,FALSE)</f>
        <v>0</v>
      </c>
      <c r="D1215" s="37"/>
      <c r="E1215" s="37"/>
      <c r="F1215" s="37"/>
      <c r="G1215" s="37">
        <f t="shared" si="172"/>
        <v>0</v>
      </c>
      <c r="H1215" s="37"/>
      <c r="I1215" s="37"/>
      <c r="J1215" s="37"/>
      <c r="K1215" s="37"/>
      <c r="L1215" s="37"/>
      <c r="M1215" s="37"/>
      <c r="N1215" s="37"/>
      <c r="O1215" s="37"/>
      <c r="P1215" s="37"/>
      <c r="Q1215" s="37"/>
      <c r="R1215" s="37"/>
      <c r="S1215" s="37"/>
      <c r="T1215" s="37"/>
      <c r="U1215" s="37"/>
      <c r="V1215" s="37"/>
      <c r="W1215" s="37"/>
      <c r="X1215" s="37"/>
      <c r="Y1215" s="37"/>
      <c r="Z1215" s="37"/>
      <c r="AA1215" s="37">
        <f t="shared" ref="AA1215:AA1280" si="174">SUM(G1215:Z1215)</f>
        <v>0</v>
      </c>
      <c r="AB1215" s="37">
        <f t="shared" si="164"/>
        <v>0</v>
      </c>
    </row>
    <row r="1216" spans="1:28" ht="14.4">
      <c r="A1216" s="117">
        <v>511</v>
      </c>
      <c r="B1216" s="117" t="s">
        <v>397</v>
      </c>
      <c r="C1216" s="37">
        <f>VLOOKUP(A1216,Composición!C:I,5,FALSE)</f>
        <v>0</v>
      </c>
      <c r="D1216" s="37"/>
      <c r="E1216" s="37"/>
      <c r="F1216" s="37"/>
      <c r="G1216" s="37">
        <f t="shared" si="172"/>
        <v>0</v>
      </c>
      <c r="H1216" s="37"/>
      <c r="I1216" s="37"/>
      <c r="J1216" s="37"/>
      <c r="K1216" s="37"/>
      <c r="L1216" s="37"/>
      <c r="M1216" s="37"/>
      <c r="N1216" s="37"/>
      <c r="O1216" s="37"/>
      <c r="P1216" s="37"/>
      <c r="Q1216" s="37"/>
      <c r="R1216" s="37"/>
      <c r="S1216" s="37"/>
      <c r="T1216" s="37"/>
      <c r="U1216" s="37"/>
      <c r="V1216" s="37"/>
      <c r="W1216" s="37"/>
      <c r="X1216" s="37"/>
      <c r="Y1216" s="37"/>
      <c r="Z1216" s="37"/>
      <c r="AA1216" s="37">
        <f t="shared" si="174"/>
        <v>0</v>
      </c>
      <c r="AB1216" s="37">
        <f t="shared" si="164"/>
        <v>0</v>
      </c>
    </row>
    <row r="1217" spans="1:28" ht="14.4">
      <c r="A1217" s="117">
        <v>51101</v>
      </c>
      <c r="B1217" s="117" t="s">
        <v>398</v>
      </c>
      <c r="C1217" s="37">
        <f>VLOOKUP(A1217,Composición!C:I,5,FALSE)</f>
        <v>0</v>
      </c>
      <c r="D1217" s="37"/>
      <c r="E1217" s="37"/>
      <c r="F1217" s="37"/>
      <c r="G1217" s="37">
        <f t="shared" si="172"/>
        <v>0</v>
      </c>
      <c r="H1217" s="37"/>
      <c r="I1217" s="37"/>
      <c r="J1217" s="37"/>
      <c r="K1217" s="37"/>
      <c r="L1217" s="37"/>
      <c r="M1217" s="37"/>
      <c r="N1217" s="37"/>
      <c r="O1217" s="37"/>
      <c r="P1217" s="37"/>
      <c r="Q1217" s="37"/>
      <c r="R1217" s="37"/>
      <c r="S1217" s="37"/>
      <c r="T1217" s="37"/>
      <c r="U1217" s="37"/>
      <c r="V1217" s="37"/>
      <c r="W1217" s="37"/>
      <c r="X1217" s="37"/>
      <c r="Y1217" s="37"/>
      <c r="Z1217" s="37"/>
      <c r="AA1217" s="37">
        <f t="shared" si="174"/>
        <v>0</v>
      </c>
      <c r="AB1217" s="37">
        <f t="shared" si="164"/>
        <v>0</v>
      </c>
    </row>
    <row r="1218" spans="1:28" ht="14.4">
      <c r="A1218" s="117">
        <v>511011</v>
      </c>
      <c r="B1218" s="117" t="s">
        <v>398</v>
      </c>
      <c r="C1218" s="37">
        <f>VLOOKUP(A1218,Composición!C:I,5,FALSE)</f>
        <v>0</v>
      </c>
      <c r="D1218" s="37"/>
      <c r="E1218" s="37"/>
      <c r="F1218" s="37"/>
      <c r="G1218" s="37">
        <f t="shared" si="172"/>
        <v>0</v>
      </c>
      <c r="H1218" s="37"/>
      <c r="I1218" s="37"/>
      <c r="J1218" s="37"/>
      <c r="K1218" s="37"/>
      <c r="L1218" s="37"/>
      <c r="M1218" s="37"/>
      <c r="N1218" s="37"/>
      <c r="O1218" s="37"/>
      <c r="P1218" s="37"/>
      <c r="Q1218" s="37"/>
      <c r="R1218" s="37"/>
      <c r="S1218" s="37"/>
      <c r="T1218" s="37"/>
      <c r="U1218" s="37"/>
      <c r="V1218" s="37"/>
      <c r="W1218" s="37"/>
      <c r="X1218" s="37"/>
      <c r="Y1218" s="37"/>
      <c r="Z1218" s="37"/>
      <c r="AA1218" s="37">
        <f t="shared" si="174"/>
        <v>0</v>
      </c>
      <c r="AB1218" s="37">
        <f t="shared" si="164"/>
        <v>0</v>
      </c>
    </row>
    <row r="1219" spans="1:28" ht="14.4">
      <c r="A1219" s="117">
        <v>5110111</v>
      </c>
      <c r="B1219" s="117" t="s">
        <v>398</v>
      </c>
      <c r="C1219" s="37">
        <f>VLOOKUP(A1219,Composición!C:I,5,FALSE)</f>
        <v>0</v>
      </c>
      <c r="D1219" s="37"/>
      <c r="E1219" s="37"/>
      <c r="F1219" s="37"/>
      <c r="G1219" s="37">
        <f t="shared" si="172"/>
        <v>0</v>
      </c>
      <c r="H1219" s="37"/>
      <c r="I1219" s="37"/>
      <c r="J1219" s="37"/>
      <c r="K1219" s="37"/>
      <c r="L1219" s="37"/>
      <c r="M1219" s="37"/>
      <c r="N1219" s="37"/>
      <c r="O1219" s="37"/>
      <c r="P1219" s="37"/>
      <c r="Q1219" s="37"/>
      <c r="R1219" s="37"/>
      <c r="S1219" s="37"/>
      <c r="T1219" s="37"/>
      <c r="U1219" s="37"/>
      <c r="V1219" s="37"/>
      <c r="W1219" s="37"/>
      <c r="X1219" s="37"/>
      <c r="Y1219" s="37"/>
      <c r="Z1219" s="37"/>
      <c r="AA1219" s="37">
        <f t="shared" si="174"/>
        <v>0</v>
      </c>
      <c r="AB1219" s="37">
        <f t="shared" si="164"/>
        <v>0</v>
      </c>
    </row>
    <row r="1220" spans="1:28" ht="14.4">
      <c r="A1220" s="117">
        <v>51101111</v>
      </c>
      <c r="B1220" s="117" t="s">
        <v>399</v>
      </c>
      <c r="C1220" s="37">
        <f>VLOOKUP(A1220,Composición!C:I,5,FALSE)</f>
        <v>0</v>
      </c>
      <c r="D1220" s="37"/>
      <c r="E1220" s="37"/>
      <c r="F1220" s="37"/>
      <c r="G1220" s="37">
        <f t="shared" si="172"/>
        <v>0</v>
      </c>
      <c r="H1220" s="37"/>
      <c r="I1220" s="37"/>
      <c r="J1220" s="37"/>
      <c r="K1220" s="37"/>
      <c r="L1220" s="37"/>
      <c r="M1220" s="37"/>
      <c r="N1220" s="37"/>
      <c r="O1220" s="37"/>
      <c r="P1220" s="37"/>
      <c r="Q1220" s="37"/>
      <c r="R1220" s="37"/>
      <c r="S1220" s="37"/>
      <c r="T1220" s="37"/>
      <c r="U1220" s="37"/>
      <c r="V1220" s="37"/>
      <c r="W1220" s="37"/>
      <c r="X1220" s="37"/>
      <c r="Y1220" s="37"/>
      <c r="Z1220" s="37"/>
      <c r="AA1220" s="37">
        <f t="shared" si="174"/>
        <v>0</v>
      </c>
      <c r="AB1220" s="37">
        <f t="shared" si="164"/>
        <v>0</v>
      </c>
    </row>
    <row r="1221" spans="1:28" ht="14.4">
      <c r="A1221" s="117">
        <v>5110111101</v>
      </c>
      <c r="B1221" s="117" t="s">
        <v>1034</v>
      </c>
      <c r="C1221" s="37">
        <f>VLOOKUP(A1221,Composición!C:I,5,FALSE)</f>
        <v>0</v>
      </c>
      <c r="D1221" s="37"/>
      <c r="E1221" s="37"/>
      <c r="F1221" s="37"/>
      <c r="G1221" s="37">
        <f t="shared" si="172"/>
        <v>0</v>
      </c>
      <c r="H1221" s="37"/>
      <c r="I1221" s="37"/>
      <c r="J1221" s="37"/>
      <c r="K1221" s="37"/>
      <c r="L1221" s="37"/>
      <c r="M1221" s="37"/>
      <c r="N1221" s="37"/>
      <c r="O1221" s="37"/>
      <c r="P1221" s="37"/>
      <c r="Q1221" s="37"/>
      <c r="R1221" s="37"/>
      <c r="S1221" s="37"/>
      <c r="T1221" s="37"/>
      <c r="U1221" s="37"/>
      <c r="V1221" s="37"/>
      <c r="W1221" s="37"/>
      <c r="X1221" s="37"/>
      <c r="Y1221" s="37"/>
      <c r="Z1221" s="37"/>
      <c r="AA1221" s="37">
        <f t="shared" si="174"/>
        <v>0</v>
      </c>
      <c r="AB1221" s="37">
        <f t="shared" si="164"/>
        <v>0</v>
      </c>
    </row>
    <row r="1222" spans="1:28" ht="14.4">
      <c r="A1222" s="117">
        <v>5110111102</v>
      </c>
      <c r="B1222" s="117" t="s">
        <v>399</v>
      </c>
      <c r="C1222" s="37">
        <f>VLOOKUP(A1222,Composición!C:I,5,FALSE)</f>
        <v>0</v>
      </c>
      <c r="D1222" s="37"/>
      <c r="E1222" s="37"/>
      <c r="F1222" s="37"/>
      <c r="G1222" s="37">
        <f t="shared" si="172"/>
        <v>0</v>
      </c>
      <c r="H1222" s="37">
        <f>-G1222</f>
        <v>0</v>
      </c>
      <c r="I1222" s="37"/>
      <c r="J1222" s="37"/>
      <c r="K1222" s="37"/>
      <c r="L1222" s="37"/>
      <c r="M1222" s="37"/>
      <c r="N1222" s="37"/>
      <c r="O1222" s="37"/>
      <c r="P1222" s="37"/>
      <c r="Q1222" s="37"/>
      <c r="R1222" s="37"/>
      <c r="S1222" s="37"/>
      <c r="T1222" s="37"/>
      <c r="U1222" s="37"/>
      <c r="V1222" s="37"/>
      <c r="W1222" s="37"/>
      <c r="X1222" s="37"/>
      <c r="Y1222" s="37"/>
      <c r="Z1222" s="37"/>
      <c r="AA1222" s="37">
        <f t="shared" si="174"/>
        <v>0</v>
      </c>
      <c r="AB1222" s="37">
        <f t="shared" si="164"/>
        <v>0</v>
      </c>
    </row>
    <row r="1223" spans="1:28" ht="14.4">
      <c r="A1223" s="117">
        <v>51101112</v>
      </c>
      <c r="B1223" s="117" t="s">
        <v>401</v>
      </c>
      <c r="C1223" s="37">
        <f>VLOOKUP(A1223,Composición!C:I,5,FALSE)</f>
        <v>0</v>
      </c>
      <c r="D1223" s="37"/>
      <c r="E1223" s="37"/>
      <c r="F1223" s="37"/>
      <c r="G1223" s="37">
        <f t="shared" si="172"/>
        <v>0</v>
      </c>
      <c r="H1223" s="37"/>
      <c r="I1223" s="37"/>
      <c r="J1223" s="37"/>
      <c r="K1223" s="37"/>
      <c r="L1223" s="37"/>
      <c r="M1223" s="37"/>
      <c r="N1223" s="37"/>
      <c r="O1223" s="37"/>
      <c r="P1223" s="37"/>
      <c r="Q1223" s="37"/>
      <c r="R1223" s="37"/>
      <c r="S1223" s="37"/>
      <c r="T1223" s="37"/>
      <c r="U1223" s="37"/>
      <c r="V1223" s="37"/>
      <c r="W1223" s="37"/>
      <c r="X1223" s="37"/>
      <c r="Y1223" s="37"/>
      <c r="Z1223" s="37"/>
      <c r="AA1223" s="37">
        <f t="shared" si="174"/>
        <v>0</v>
      </c>
      <c r="AB1223" s="37">
        <f t="shared" si="164"/>
        <v>0</v>
      </c>
    </row>
    <row r="1224" spans="1:28" ht="14.4">
      <c r="A1224" s="117">
        <v>5110111201</v>
      </c>
      <c r="B1224" s="117" t="s">
        <v>402</v>
      </c>
      <c r="C1224" s="37">
        <f>VLOOKUP(A1224,Composición!C:I,5,FALSE)</f>
        <v>0</v>
      </c>
      <c r="D1224" s="37"/>
      <c r="E1224" s="37"/>
      <c r="F1224" s="37"/>
      <c r="G1224" s="37">
        <f t="shared" si="172"/>
        <v>0</v>
      </c>
      <c r="H1224" s="37">
        <f>-G1224</f>
        <v>0</v>
      </c>
      <c r="I1224" s="37"/>
      <c r="J1224" s="37"/>
      <c r="K1224" s="37"/>
      <c r="L1224" s="37"/>
      <c r="M1224" s="37"/>
      <c r="N1224" s="37"/>
      <c r="O1224" s="37"/>
      <c r="P1224" s="37"/>
      <c r="Q1224" s="37"/>
      <c r="R1224" s="37"/>
      <c r="S1224" s="37"/>
      <c r="T1224" s="37"/>
      <c r="U1224" s="37"/>
      <c r="V1224" s="37"/>
      <c r="W1224" s="37"/>
      <c r="X1224" s="37"/>
      <c r="Y1224" s="37"/>
      <c r="Z1224" s="37"/>
      <c r="AA1224" s="37">
        <f t="shared" si="174"/>
        <v>0</v>
      </c>
      <c r="AB1224" s="37">
        <f t="shared" si="164"/>
        <v>0</v>
      </c>
    </row>
    <row r="1225" spans="1:28" ht="14.4">
      <c r="A1225" s="117">
        <v>5110111202</v>
      </c>
      <c r="B1225" s="117" t="s">
        <v>402</v>
      </c>
      <c r="C1225" s="37">
        <f>VLOOKUP(A1225,Composición!C:I,5,FALSE)</f>
        <v>0</v>
      </c>
      <c r="D1225" s="37"/>
      <c r="E1225" s="37"/>
      <c r="F1225" s="37"/>
      <c r="G1225" s="37">
        <f t="shared" si="172"/>
        <v>0</v>
      </c>
      <c r="H1225" s="37"/>
      <c r="I1225" s="37"/>
      <c r="J1225" s="37"/>
      <c r="K1225" s="37"/>
      <c r="L1225" s="37"/>
      <c r="M1225" s="37"/>
      <c r="N1225" s="37"/>
      <c r="O1225" s="37"/>
      <c r="P1225" s="37"/>
      <c r="Q1225" s="37"/>
      <c r="R1225" s="37"/>
      <c r="S1225" s="37"/>
      <c r="T1225" s="37"/>
      <c r="U1225" s="37"/>
      <c r="V1225" s="37"/>
      <c r="W1225" s="37"/>
      <c r="X1225" s="37"/>
      <c r="Y1225" s="37"/>
      <c r="Z1225" s="37"/>
      <c r="AA1225" s="37">
        <f t="shared" si="174"/>
        <v>0</v>
      </c>
      <c r="AB1225" s="37">
        <f t="shared" ref="AB1225:AB1291" si="175">SUM(G1225:Z1225)</f>
        <v>0</v>
      </c>
    </row>
    <row r="1226" spans="1:28" ht="14.4">
      <c r="A1226" s="117">
        <v>51101113</v>
      </c>
      <c r="B1226" s="117" t="s">
        <v>403</v>
      </c>
      <c r="C1226" s="37">
        <f>VLOOKUP(A1226,Composición!C:I,5,FALSE)</f>
        <v>0</v>
      </c>
      <c r="D1226" s="37"/>
      <c r="E1226" s="37"/>
      <c r="F1226" s="37"/>
      <c r="G1226" s="37">
        <f t="shared" si="172"/>
        <v>0</v>
      </c>
      <c r="H1226" s="37"/>
      <c r="I1226" s="37"/>
      <c r="J1226" s="37"/>
      <c r="K1226" s="37"/>
      <c r="L1226" s="37"/>
      <c r="M1226" s="37"/>
      <c r="N1226" s="37"/>
      <c r="O1226" s="37"/>
      <c r="P1226" s="37"/>
      <c r="Q1226" s="37"/>
      <c r="R1226" s="37"/>
      <c r="S1226" s="37"/>
      <c r="T1226" s="37"/>
      <c r="U1226" s="37"/>
      <c r="V1226" s="37"/>
      <c r="W1226" s="37"/>
      <c r="X1226" s="37"/>
      <c r="Y1226" s="37"/>
      <c r="Z1226" s="37"/>
      <c r="AA1226" s="37">
        <f t="shared" si="174"/>
        <v>0</v>
      </c>
      <c r="AB1226" s="37">
        <f t="shared" si="175"/>
        <v>0</v>
      </c>
    </row>
    <row r="1227" spans="1:28" ht="14.4">
      <c r="A1227" s="117">
        <v>5110111301</v>
      </c>
      <c r="B1227" s="117" t="s">
        <v>404</v>
      </c>
      <c r="C1227" s="37">
        <f>VLOOKUP(A1227,Composición!C:I,5,FALSE)</f>
        <v>446163677</v>
      </c>
      <c r="D1227" s="37"/>
      <c r="E1227" s="37"/>
      <c r="F1227" s="37"/>
      <c r="G1227" s="37">
        <f t="shared" si="172"/>
        <v>446163677</v>
      </c>
      <c r="H1227" s="37">
        <f>-G1227</f>
        <v>-446163677</v>
      </c>
      <c r="I1227" s="37"/>
      <c r="J1227" s="37"/>
      <c r="K1227" s="37"/>
      <c r="L1227" s="37"/>
      <c r="M1227" s="37"/>
      <c r="N1227" s="37"/>
      <c r="O1227" s="37"/>
      <c r="P1227" s="37"/>
      <c r="Q1227" s="37"/>
      <c r="R1227" s="37"/>
      <c r="S1227" s="37"/>
      <c r="T1227" s="37"/>
      <c r="U1227" s="37"/>
      <c r="V1227" s="37"/>
      <c r="W1227" s="37"/>
      <c r="X1227" s="37"/>
      <c r="Y1227" s="37"/>
      <c r="Z1227" s="37"/>
      <c r="AA1227" s="37">
        <f t="shared" si="174"/>
        <v>0</v>
      </c>
      <c r="AB1227" s="37">
        <f t="shared" si="175"/>
        <v>0</v>
      </c>
    </row>
    <row r="1228" spans="1:28" ht="14.4">
      <c r="A1228" s="117">
        <v>51102</v>
      </c>
      <c r="B1228" s="117" t="s">
        <v>405</v>
      </c>
      <c r="C1228" s="37">
        <f>VLOOKUP(A1228,Composición!C:I,5,FALSE)</f>
        <v>0</v>
      </c>
      <c r="D1228" s="37"/>
      <c r="E1228" s="37"/>
      <c r="F1228" s="37"/>
      <c r="G1228" s="37">
        <f t="shared" si="172"/>
        <v>0</v>
      </c>
      <c r="H1228" s="37"/>
      <c r="I1228" s="37"/>
      <c r="J1228" s="37"/>
      <c r="K1228" s="37"/>
      <c r="L1228" s="37"/>
      <c r="M1228" s="37"/>
      <c r="N1228" s="37"/>
      <c r="O1228" s="37"/>
      <c r="P1228" s="37"/>
      <c r="Q1228" s="37"/>
      <c r="R1228" s="37"/>
      <c r="S1228" s="37"/>
      <c r="T1228" s="37"/>
      <c r="U1228" s="37"/>
      <c r="V1228" s="37"/>
      <c r="W1228" s="37"/>
      <c r="X1228" s="37"/>
      <c r="Y1228" s="37"/>
      <c r="Z1228" s="37"/>
      <c r="AA1228" s="37">
        <f t="shared" si="174"/>
        <v>0</v>
      </c>
      <c r="AB1228" s="37">
        <f t="shared" si="175"/>
        <v>0</v>
      </c>
    </row>
    <row r="1229" spans="1:28" ht="14.4">
      <c r="A1229" s="117">
        <v>511021</v>
      </c>
      <c r="B1229" s="117" t="s">
        <v>405</v>
      </c>
      <c r="C1229" s="37">
        <f>VLOOKUP(A1229,Composición!C:I,5,FALSE)</f>
        <v>0</v>
      </c>
      <c r="D1229" s="37"/>
      <c r="E1229" s="37"/>
      <c r="F1229" s="37"/>
      <c r="G1229" s="37">
        <f t="shared" si="172"/>
        <v>0</v>
      </c>
      <c r="H1229" s="37"/>
      <c r="I1229" s="37"/>
      <c r="J1229" s="37"/>
      <c r="K1229" s="37"/>
      <c r="L1229" s="37"/>
      <c r="M1229" s="37"/>
      <c r="N1229" s="37"/>
      <c r="O1229" s="37"/>
      <c r="P1229" s="37"/>
      <c r="Q1229" s="37"/>
      <c r="R1229" s="37"/>
      <c r="S1229" s="37"/>
      <c r="T1229" s="37"/>
      <c r="U1229" s="37"/>
      <c r="V1229" s="37"/>
      <c r="W1229" s="37"/>
      <c r="X1229" s="37"/>
      <c r="Y1229" s="37"/>
      <c r="Z1229" s="37"/>
      <c r="AA1229" s="37">
        <f t="shared" si="174"/>
        <v>0</v>
      </c>
      <c r="AB1229" s="37">
        <f t="shared" si="175"/>
        <v>0</v>
      </c>
    </row>
    <row r="1230" spans="1:28" ht="14.4">
      <c r="A1230" s="117">
        <v>5110211</v>
      </c>
      <c r="B1230" s="117" t="s">
        <v>405</v>
      </c>
      <c r="C1230" s="37">
        <f>VLOOKUP(A1230,Composición!C:I,5,FALSE)</f>
        <v>0</v>
      </c>
      <c r="D1230" s="37"/>
      <c r="E1230" s="37"/>
      <c r="F1230" s="37"/>
      <c r="G1230" s="37">
        <f t="shared" si="172"/>
        <v>0</v>
      </c>
      <c r="H1230" s="37"/>
      <c r="I1230" s="37"/>
      <c r="J1230" s="37"/>
      <c r="K1230" s="37"/>
      <c r="L1230" s="37"/>
      <c r="M1230" s="37"/>
      <c r="N1230" s="37"/>
      <c r="O1230" s="37"/>
      <c r="P1230" s="37"/>
      <c r="Q1230" s="37"/>
      <c r="R1230" s="37"/>
      <c r="S1230" s="37"/>
      <c r="T1230" s="37"/>
      <c r="U1230" s="37"/>
      <c r="V1230" s="37"/>
      <c r="W1230" s="37"/>
      <c r="X1230" s="37"/>
      <c r="Y1230" s="37"/>
      <c r="Z1230" s="37"/>
      <c r="AA1230" s="37">
        <f t="shared" si="174"/>
        <v>0</v>
      </c>
      <c r="AB1230" s="37">
        <f t="shared" si="175"/>
        <v>0</v>
      </c>
    </row>
    <row r="1231" spans="1:28" ht="14.4">
      <c r="A1231" s="117">
        <v>51102111</v>
      </c>
      <c r="B1231" s="117" t="s">
        <v>405</v>
      </c>
      <c r="C1231" s="37">
        <f>VLOOKUP(A1231,Composición!C:I,5,FALSE)</f>
        <v>0</v>
      </c>
      <c r="D1231" s="37"/>
      <c r="E1231" s="37"/>
      <c r="F1231" s="37"/>
      <c r="G1231" s="37">
        <f t="shared" si="172"/>
        <v>0</v>
      </c>
      <c r="H1231" s="37"/>
      <c r="I1231" s="37"/>
      <c r="J1231" s="37"/>
      <c r="K1231" s="37"/>
      <c r="L1231" s="37"/>
      <c r="M1231" s="37"/>
      <c r="N1231" s="37"/>
      <c r="O1231" s="37"/>
      <c r="P1231" s="37"/>
      <c r="Q1231" s="37"/>
      <c r="R1231" s="37"/>
      <c r="S1231" s="37"/>
      <c r="T1231" s="37"/>
      <c r="U1231" s="37"/>
      <c r="V1231" s="37"/>
      <c r="W1231" s="37"/>
      <c r="X1231" s="37"/>
      <c r="Y1231" s="37"/>
      <c r="Z1231" s="37"/>
      <c r="AA1231" s="37">
        <f t="shared" si="174"/>
        <v>0</v>
      </c>
      <c r="AB1231" s="37">
        <f t="shared" si="175"/>
        <v>0</v>
      </c>
    </row>
    <row r="1232" spans="1:28" ht="14.4">
      <c r="A1232" s="117">
        <v>5110211101</v>
      </c>
      <c r="B1232" s="117" t="s">
        <v>406</v>
      </c>
      <c r="C1232" s="37">
        <f>VLOOKUP(A1232,Composición!C:I,5,FALSE)</f>
        <v>486103677</v>
      </c>
      <c r="D1232" s="37"/>
      <c r="E1232" s="37"/>
      <c r="F1232" s="37"/>
      <c r="G1232" s="37">
        <f t="shared" si="172"/>
        <v>486103677</v>
      </c>
      <c r="H1232" s="37">
        <f>-G1232</f>
        <v>-486103677</v>
      </c>
      <c r="I1232" s="37"/>
      <c r="J1232" s="37"/>
      <c r="K1232" s="37"/>
      <c r="L1232" s="37"/>
      <c r="M1232" s="37"/>
      <c r="N1232" s="37"/>
      <c r="O1232" s="37"/>
      <c r="P1232" s="37"/>
      <c r="Q1232" s="37"/>
      <c r="R1232" s="37"/>
      <c r="S1232" s="37"/>
      <c r="T1232" s="37"/>
      <c r="U1232" s="37"/>
      <c r="V1232" s="37"/>
      <c r="W1232" s="37"/>
      <c r="X1232" s="37"/>
      <c r="Y1232" s="37"/>
      <c r="Z1232" s="37"/>
      <c r="AA1232" s="37">
        <f t="shared" si="174"/>
        <v>0</v>
      </c>
      <c r="AB1232" s="37">
        <f t="shared" si="175"/>
        <v>0</v>
      </c>
    </row>
    <row r="1233" spans="1:28" ht="14.4">
      <c r="A1233" s="117">
        <v>5110211102</v>
      </c>
      <c r="B1233" s="117" t="s">
        <v>407</v>
      </c>
      <c r="C1233" s="37">
        <f>VLOOKUP(A1233,Composición!C:I,5,FALSE)</f>
        <v>252093722</v>
      </c>
      <c r="D1233" s="37"/>
      <c r="E1233" s="37"/>
      <c r="F1233" s="37"/>
      <c r="G1233" s="37">
        <f t="shared" si="172"/>
        <v>252093722</v>
      </c>
      <c r="H1233" s="37">
        <f>-G1233</f>
        <v>-252093722</v>
      </c>
      <c r="I1233" s="37"/>
      <c r="J1233" s="37"/>
      <c r="K1233" s="37"/>
      <c r="L1233" s="37"/>
      <c r="M1233" s="37"/>
      <c r="N1233" s="37"/>
      <c r="O1233" s="37"/>
      <c r="P1233" s="37"/>
      <c r="Q1233" s="37"/>
      <c r="R1233" s="37"/>
      <c r="S1233" s="37"/>
      <c r="T1233" s="37"/>
      <c r="U1233" s="37"/>
      <c r="V1233" s="37"/>
      <c r="W1233" s="37"/>
      <c r="X1233" s="37"/>
      <c r="Y1233" s="37"/>
      <c r="Z1233" s="37"/>
      <c r="AA1233" s="37">
        <f t="shared" si="174"/>
        <v>0</v>
      </c>
      <c r="AB1233" s="37">
        <f t="shared" si="175"/>
        <v>0</v>
      </c>
    </row>
    <row r="1234" spans="1:28" ht="14.4">
      <c r="A1234" s="117">
        <v>51102112</v>
      </c>
      <c r="B1234" s="117" t="s">
        <v>366</v>
      </c>
      <c r="C1234" s="37">
        <f>VLOOKUP(A1234,Composición!C:I,5,FALSE)</f>
        <v>0</v>
      </c>
      <c r="D1234" s="37"/>
      <c r="E1234" s="37"/>
      <c r="F1234" s="37"/>
      <c r="G1234" s="37">
        <f t="shared" si="172"/>
        <v>0</v>
      </c>
      <c r="H1234" s="37"/>
      <c r="I1234" s="37"/>
      <c r="J1234" s="37"/>
      <c r="K1234" s="37"/>
      <c r="L1234" s="37"/>
      <c r="M1234" s="37"/>
      <c r="N1234" s="37"/>
      <c r="O1234" s="37"/>
      <c r="P1234" s="37"/>
      <c r="Q1234" s="37"/>
      <c r="R1234" s="37"/>
      <c r="S1234" s="37"/>
      <c r="T1234" s="37"/>
      <c r="U1234" s="37"/>
      <c r="V1234" s="37"/>
      <c r="W1234" s="37"/>
      <c r="X1234" s="37"/>
      <c r="Y1234" s="37"/>
      <c r="Z1234" s="37"/>
      <c r="AA1234" s="37">
        <f t="shared" si="174"/>
        <v>0</v>
      </c>
      <c r="AB1234" s="37">
        <f t="shared" si="175"/>
        <v>0</v>
      </c>
    </row>
    <row r="1235" spans="1:28" ht="14.4">
      <c r="A1235" s="117">
        <v>5110211201</v>
      </c>
      <c r="B1235" s="117" t="s">
        <v>408</v>
      </c>
      <c r="C1235" s="37">
        <f>VLOOKUP(A1235,Composición!C:I,5,FALSE)</f>
        <v>144894320</v>
      </c>
      <c r="D1235" s="37"/>
      <c r="E1235" s="37"/>
      <c r="F1235" s="37"/>
      <c r="G1235" s="37">
        <f t="shared" si="172"/>
        <v>144894320</v>
      </c>
      <c r="H1235" s="37">
        <f>-G1235</f>
        <v>-144894320</v>
      </c>
      <c r="I1235" s="37"/>
      <c r="J1235" s="37"/>
      <c r="K1235" s="37"/>
      <c r="L1235" s="37"/>
      <c r="M1235" s="37"/>
      <c r="N1235" s="37"/>
      <c r="O1235" s="37"/>
      <c r="P1235" s="37"/>
      <c r="Q1235" s="37"/>
      <c r="R1235" s="37"/>
      <c r="S1235" s="37"/>
      <c r="T1235" s="37"/>
      <c r="U1235" s="37"/>
      <c r="V1235" s="37"/>
      <c r="W1235" s="37"/>
      <c r="X1235" s="37"/>
      <c r="Y1235" s="37"/>
      <c r="Z1235" s="37"/>
      <c r="AA1235" s="37">
        <f t="shared" si="174"/>
        <v>0</v>
      </c>
      <c r="AB1235" s="37">
        <f t="shared" si="175"/>
        <v>0</v>
      </c>
    </row>
    <row r="1236" spans="1:28" ht="14.4">
      <c r="A1236" s="117">
        <v>5110211202</v>
      </c>
      <c r="B1236" s="117" t="s">
        <v>409</v>
      </c>
      <c r="C1236" s="37">
        <f>VLOOKUP(A1236,Composición!C:I,5,FALSE)</f>
        <v>30151146</v>
      </c>
      <c r="D1236" s="37"/>
      <c r="E1236" s="37"/>
      <c r="F1236" s="37"/>
      <c r="G1236" s="37">
        <f t="shared" si="172"/>
        <v>30151146</v>
      </c>
      <c r="H1236" s="37">
        <f>-G1236</f>
        <v>-30151146</v>
      </c>
      <c r="I1236" s="37"/>
      <c r="J1236" s="37"/>
      <c r="K1236" s="37"/>
      <c r="L1236" s="37"/>
      <c r="M1236" s="37"/>
      <c r="N1236" s="37"/>
      <c r="O1236" s="37"/>
      <c r="P1236" s="37"/>
      <c r="Q1236" s="37"/>
      <c r="R1236" s="37"/>
      <c r="S1236" s="37"/>
      <c r="T1236" s="37"/>
      <c r="U1236" s="37"/>
      <c r="V1236" s="37"/>
      <c r="W1236" s="37"/>
      <c r="X1236" s="37"/>
      <c r="Y1236" s="37"/>
      <c r="Z1236" s="37"/>
      <c r="AA1236" s="37">
        <f t="shared" si="174"/>
        <v>0</v>
      </c>
      <c r="AB1236" s="37">
        <f t="shared" si="175"/>
        <v>0</v>
      </c>
    </row>
    <row r="1237" spans="1:28" ht="14.4">
      <c r="A1237" s="117">
        <v>51103</v>
      </c>
      <c r="B1237" s="117" t="s">
        <v>410</v>
      </c>
      <c r="C1237" s="37">
        <f>VLOOKUP(A1237,Composición!C:I,5,FALSE)</f>
        <v>0</v>
      </c>
      <c r="D1237" s="37"/>
      <c r="E1237" s="37"/>
      <c r="F1237" s="37"/>
      <c r="G1237" s="37">
        <f t="shared" si="172"/>
        <v>0</v>
      </c>
      <c r="H1237" s="37"/>
      <c r="I1237" s="37"/>
      <c r="J1237" s="37"/>
      <c r="K1237" s="37"/>
      <c r="L1237" s="37"/>
      <c r="M1237" s="37"/>
      <c r="N1237" s="37"/>
      <c r="O1237" s="37"/>
      <c r="P1237" s="37"/>
      <c r="Q1237" s="37"/>
      <c r="R1237" s="37"/>
      <c r="S1237" s="37"/>
      <c r="T1237" s="37"/>
      <c r="U1237" s="37"/>
      <c r="V1237" s="37"/>
      <c r="W1237" s="37"/>
      <c r="X1237" s="37"/>
      <c r="Y1237" s="37"/>
      <c r="Z1237" s="37"/>
      <c r="AA1237" s="37">
        <f t="shared" si="174"/>
        <v>0</v>
      </c>
      <c r="AB1237" s="37">
        <f t="shared" si="175"/>
        <v>0</v>
      </c>
    </row>
    <row r="1238" spans="1:28" ht="14.4">
      <c r="A1238" s="117">
        <v>511031</v>
      </c>
      <c r="B1238" s="117" t="s">
        <v>336</v>
      </c>
      <c r="C1238" s="37">
        <f>VLOOKUP(A1238,Composición!C:I,5,FALSE)</f>
        <v>0</v>
      </c>
      <c r="D1238" s="37"/>
      <c r="E1238" s="37"/>
      <c r="F1238" s="37"/>
      <c r="G1238" s="37">
        <f t="shared" si="172"/>
        <v>0</v>
      </c>
      <c r="H1238" s="37"/>
      <c r="I1238" s="37"/>
      <c r="J1238" s="37"/>
      <c r="K1238" s="37"/>
      <c r="L1238" s="37"/>
      <c r="M1238" s="37"/>
      <c r="N1238" s="37"/>
      <c r="O1238" s="37"/>
      <c r="P1238" s="37"/>
      <c r="Q1238" s="37"/>
      <c r="R1238" s="37"/>
      <c r="S1238" s="37"/>
      <c r="T1238" s="37"/>
      <c r="U1238" s="37"/>
      <c r="V1238" s="37"/>
      <c r="W1238" s="37"/>
      <c r="X1238" s="37"/>
      <c r="Y1238" s="37"/>
      <c r="Z1238" s="37"/>
      <c r="AA1238" s="37">
        <f t="shared" si="174"/>
        <v>0</v>
      </c>
      <c r="AB1238" s="37">
        <f t="shared" si="175"/>
        <v>0</v>
      </c>
    </row>
    <row r="1239" spans="1:28" ht="14.4">
      <c r="A1239" s="117">
        <v>5110311</v>
      </c>
      <c r="B1239" s="117" t="s">
        <v>336</v>
      </c>
      <c r="C1239" s="37">
        <f>VLOOKUP(A1239,Composición!C:I,5,FALSE)</f>
        <v>0</v>
      </c>
      <c r="D1239" s="37"/>
      <c r="E1239" s="37"/>
      <c r="F1239" s="37"/>
      <c r="G1239" s="37">
        <f t="shared" si="172"/>
        <v>0</v>
      </c>
      <c r="H1239" s="37"/>
      <c r="I1239" s="37"/>
      <c r="J1239" s="37"/>
      <c r="K1239" s="37"/>
      <c r="L1239" s="37"/>
      <c r="M1239" s="37"/>
      <c r="N1239" s="37"/>
      <c r="O1239" s="37"/>
      <c r="P1239" s="37"/>
      <c r="Q1239" s="37"/>
      <c r="R1239" s="37"/>
      <c r="S1239" s="37"/>
      <c r="T1239" s="37"/>
      <c r="U1239" s="37"/>
      <c r="V1239" s="37"/>
      <c r="W1239" s="37"/>
      <c r="X1239" s="37"/>
      <c r="Y1239" s="37"/>
      <c r="Z1239" s="37"/>
      <c r="AA1239" s="37">
        <f t="shared" si="174"/>
        <v>0</v>
      </c>
      <c r="AB1239" s="37">
        <f t="shared" si="175"/>
        <v>0</v>
      </c>
    </row>
    <row r="1240" spans="1:28" ht="14.4">
      <c r="A1240" s="117">
        <v>51103111</v>
      </c>
      <c r="B1240" s="117" t="s">
        <v>339</v>
      </c>
      <c r="C1240" s="37">
        <f>VLOOKUP(A1240,Composición!C:I,5,FALSE)</f>
        <v>0</v>
      </c>
      <c r="D1240" s="37"/>
      <c r="E1240" s="37"/>
      <c r="F1240" s="37"/>
      <c r="G1240" s="37">
        <f t="shared" si="172"/>
        <v>0</v>
      </c>
      <c r="H1240" s="37"/>
      <c r="I1240" s="37"/>
      <c r="J1240" s="37"/>
      <c r="K1240" s="37"/>
      <c r="L1240" s="37"/>
      <c r="M1240" s="37"/>
      <c r="N1240" s="37"/>
      <c r="O1240" s="37"/>
      <c r="P1240" s="37"/>
      <c r="Q1240" s="37"/>
      <c r="R1240" s="37"/>
      <c r="S1240" s="37"/>
      <c r="T1240" s="37"/>
      <c r="U1240" s="37"/>
      <c r="V1240" s="37"/>
      <c r="W1240" s="37"/>
      <c r="X1240" s="37"/>
      <c r="Y1240" s="37"/>
      <c r="Z1240" s="37"/>
      <c r="AA1240" s="37">
        <f t="shared" si="174"/>
        <v>0</v>
      </c>
      <c r="AB1240" s="37">
        <f t="shared" si="175"/>
        <v>0</v>
      </c>
    </row>
    <row r="1241" spans="1:28" ht="14.4">
      <c r="A1241" s="117">
        <v>5110311101</v>
      </c>
      <c r="B1241" s="117" t="s">
        <v>339</v>
      </c>
      <c r="C1241" s="37">
        <f>VLOOKUP(A1241,Composición!C:I,5,FALSE)</f>
        <v>43330903</v>
      </c>
      <c r="D1241" s="37"/>
      <c r="E1241" s="37"/>
      <c r="F1241" s="37"/>
      <c r="G1241" s="37">
        <f t="shared" si="172"/>
        <v>43330903</v>
      </c>
      <c r="H1241" s="37" t="s">
        <v>1328</v>
      </c>
      <c r="I1241" s="37"/>
      <c r="J1241" s="37"/>
      <c r="K1241" s="37"/>
      <c r="L1241" s="37"/>
      <c r="M1241" s="37"/>
      <c r="N1241" s="37"/>
      <c r="O1241" s="37"/>
      <c r="P1241" s="37"/>
      <c r="Q1241" s="37"/>
      <c r="R1241" s="37"/>
      <c r="S1241" s="37">
        <f>-G1241</f>
        <v>-43330903</v>
      </c>
      <c r="T1241" s="37"/>
      <c r="U1241" s="37"/>
      <c r="V1241" s="37"/>
      <c r="W1241" s="37"/>
      <c r="X1241" s="37"/>
      <c r="Y1241" s="37"/>
      <c r="Z1241" s="37"/>
      <c r="AA1241" s="37">
        <f t="shared" si="174"/>
        <v>0</v>
      </c>
      <c r="AB1241" s="37">
        <f t="shared" si="175"/>
        <v>0</v>
      </c>
    </row>
    <row r="1242" spans="1:28" ht="14.4">
      <c r="A1242" s="117">
        <v>5110311102</v>
      </c>
      <c r="B1242" s="117" t="s">
        <v>339</v>
      </c>
      <c r="C1242" s="37">
        <f>VLOOKUP(A1242,Composición!C:I,5,FALSE)</f>
        <v>1846668</v>
      </c>
      <c r="D1242" s="37"/>
      <c r="E1242" s="37"/>
      <c r="F1242" s="37"/>
      <c r="G1242" s="37">
        <f t="shared" si="172"/>
        <v>1846668</v>
      </c>
      <c r="H1242" s="37"/>
      <c r="I1242" s="37"/>
      <c r="J1242" s="37"/>
      <c r="K1242" s="37"/>
      <c r="L1242" s="37"/>
      <c r="M1242" s="37"/>
      <c r="N1242" s="37"/>
      <c r="O1242" s="37"/>
      <c r="P1242" s="37"/>
      <c r="Q1242" s="37"/>
      <c r="R1242" s="37"/>
      <c r="S1242" s="37">
        <f>-G1242</f>
        <v>-1846668</v>
      </c>
      <c r="T1242" s="37"/>
      <c r="U1242" s="37"/>
      <c r="V1242" s="37"/>
      <c r="W1242" s="37"/>
      <c r="X1242" s="37"/>
      <c r="Y1242" s="37"/>
      <c r="Z1242" s="37"/>
      <c r="AA1242" s="37">
        <f t="shared" si="174"/>
        <v>0</v>
      </c>
      <c r="AB1242" s="37">
        <f t="shared" si="175"/>
        <v>0</v>
      </c>
    </row>
    <row r="1243" spans="1:28" ht="14.4">
      <c r="A1243" s="117">
        <v>5110311103</v>
      </c>
      <c r="B1243" s="117" t="s">
        <v>64</v>
      </c>
      <c r="C1243" s="37">
        <f>VLOOKUP(A1243,Composición!C:I,5,FALSE)</f>
        <v>528246578</v>
      </c>
      <c r="D1243" s="37"/>
      <c r="E1243" s="37"/>
      <c r="F1243" s="37"/>
      <c r="G1243" s="37">
        <f t="shared" si="172"/>
        <v>528246578</v>
      </c>
      <c r="H1243" s="37"/>
      <c r="I1243" s="37"/>
      <c r="J1243" s="37"/>
      <c r="K1243" s="37"/>
      <c r="L1243" s="37"/>
      <c r="M1243" s="37"/>
      <c r="N1243" s="37"/>
      <c r="O1243" s="37"/>
      <c r="P1243" s="37"/>
      <c r="Q1243" s="37"/>
      <c r="R1243" s="37"/>
      <c r="S1243" s="37">
        <f>-G1243</f>
        <v>-528246578</v>
      </c>
      <c r="T1243" s="37"/>
      <c r="U1243" s="37"/>
      <c r="V1243" s="37"/>
      <c r="W1243" s="37"/>
      <c r="X1243" s="37"/>
      <c r="Y1243" s="37"/>
      <c r="Z1243" s="37"/>
      <c r="AA1243" s="37">
        <f t="shared" si="174"/>
        <v>0</v>
      </c>
      <c r="AB1243" s="37">
        <f t="shared" si="175"/>
        <v>0</v>
      </c>
    </row>
    <row r="1244" spans="1:28" ht="14.4">
      <c r="A1244" s="117">
        <v>5110311104</v>
      </c>
      <c r="B1244" s="117" t="s">
        <v>335</v>
      </c>
      <c r="C1244" s="37">
        <f>VLOOKUP(A1244,Composición!C:I,5,FALSE)</f>
        <v>0</v>
      </c>
      <c r="D1244" s="37"/>
      <c r="E1244" s="37"/>
      <c r="F1244" s="37"/>
      <c r="G1244" s="37">
        <f t="shared" si="172"/>
        <v>0</v>
      </c>
      <c r="H1244" s="37"/>
      <c r="I1244" s="37"/>
      <c r="J1244" s="37"/>
      <c r="K1244" s="37"/>
      <c r="L1244" s="37"/>
      <c r="M1244" s="37"/>
      <c r="N1244" s="37"/>
      <c r="O1244" s="37"/>
      <c r="P1244" s="37"/>
      <c r="Q1244" s="37"/>
      <c r="R1244" s="37"/>
      <c r="S1244" s="37">
        <f>-G1244</f>
        <v>0</v>
      </c>
      <c r="T1244" s="37"/>
      <c r="U1244" s="37"/>
      <c r="V1244" s="37"/>
      <c r="W1244" s="37"/>
      <c r="X1244" s="37"/>
      <c r="Y1244" s="37"/>
      <c r="Z1244" s="37"/>
      <c r="AA1244" s="37">
        <f t="shared" si="174"/>
        <v>0</v>
      </c>
      <c r="AB1244" s="37">
        <f t="shared" si="175"/>
        <v>0</v>
      </c>
    </row>
    <row r="1245" spans="1:28" ht="14.4">
      <c r="A1245" s="836">
        <v>5110311105</v>
      </c>
      <c r="B1245" s="836" t="s">
        <v>411</v>
      </c>
      <c r="C1245" s="37">
        <f>VLOOKUP(A1245,Composición!C:I,5,FALSE)</f>
        <v>13892369</v>
      </c>
      <c r="D1245" s="37"/>
      <c r="E1245" s="37"/>
      <c r="F1245" s="37"/>
      <c r="G1245" s="37">
        <f t="shared" ref="G1245:G1249" si="176">C1245+D1245-E1245-F1245</f>
        <v>13892369</v>
      </c>
      <c r="H1245" s="37"/>
      <c r="I1245" s="37"/>
      <c r="J1245" s="37"/>
      <c r="K1245" s="37"/>
      <c r="L1245" s="37"/>
      <c r="M1245" s="37"/>
      <c r="N1245" s="37"/>
      <c r="O1245" s="37"/>
      <c r="P1245" s="37"/>
      <c r="Q1245" s="37"/>
      <c r="R1245" s="37"/>
      <c r="S1245" s="37">
        <f>-G1245</f>
        <v>-13892369</v>
      </c>
      <c r="T1245" s="37"/>
      <c r="U1245" s="37"/>
      <c r="V1245" s="37"/>
      <c r="W1245" s="37"/>
      <c r="X1245" s="37"/>
      <c r="Y1245" s="37"/>
      <c r="Z1245" s="37"/>
      <c r="AA1245" s="37">
        <f t="shared" si="174"/>
        <v>0</v>
      </c>
      <c r="AB1245" s="37">
        <f t="shared" si="175"/>
        <v>0</v>
      </c>
    </row>
    <row r="1246" spans="1:28" ht="14.4">
      <c r="A1246" s="836">
        <v>5110311106</v>
      </c>
      <c r="B1246" s="836" t="s">
        <v>608</v>
      </c>
      <c r="C1246" s="37">
        <f>VLOOKUP(A1246,Composición!C:I,5,FALSE)</f>
        <v>2898478</v>
      </c>
      <c r="D1246" s="37"/>
      <c r="E1246" s="37"/>
      <c r="F1246" s="37"/>
      <c r="G1246" s="37">
        <f t="shared" si="176"/>
        <v>2898478</v>
      </c>
      <c r="H1246" s="37"/>
      <c r="I1246" s="37"/>
      <c r="J1246" s="37"/>
      <c r="K1246" s="37"/>
      <c r="L1246" s="37"/>
      <c r="M1246" s="37"/>
      <c r="N1246" s="37"/>
      <c r="O1246" s="37"/>
      <c r="P1246" s="37"/>
      <c r="Q1246" s="37"/>
      <c r="R1246" s="37"/>
      <c r="S1246" s="37">
        <f t="shared" ref="S1246:S1249" si="177">-G1246</f>
        <v>-2898478</v>
      </c>
      <c r="T1246" s="37"/>
      <c r="U1246" s="37"/>
      <c r="V1246" s="37"/>
      <c r="W1246" s="37"/>
      <c r="X1246" s="37"/>
      <c r="Y1246" s="37"/>
      <c r="Z1246" s="37"/>
      <c r="AA1246" s="37">
        <f t="shared" si="174"/>
        <v>0</v>
      </c>
      <c r="AB1246" s="37">
        <f t="shared" si="175"/>
        <v>0</v>
      </c>
    </row>
    <row r="1247" spans="1:28" ht="14.4">
      <c r="A1247" s="836">
        <v>5110311107</v>
      </c>
      <c r="B1247" s="836" t="s">
        <v>609</v>
      </c>
      <c r="C1247" s="37">
        <f>VLOOKUP(A1247,Composición!C:I,5,FALSE)</f>
        <v>42667128</v>
      </c>
      <c r="D1247" s="37"/>
      <c r="E1247" s="37"/>
      <c r="F1247" s="37"/>
      <c r="G1247" s="37">
        <f t="shared" ref="G1247:G1248" si="178">C1247+D1247-E1247-F1247</f>
        <v>42667128</v>
      </c>
      <c r="H1247" s="37"/>
      <c r="I1247" s="37"/>
      <c r="J1247" s="37"/>
      <c r="K1247" s="37"/>
      <c r="L1247" s="37"/>
      <c r="M1247" s="37"/>
      <c r="N1247" s="37"/>
      <c r="O1247" s="37"/>
      <c r="P1247" s="37"/>
      <c r="Q1247" s="37"/>
      <c r="R1247" s="37"/>
      <c r="S1247" s="37">
        <f t="shared" ref="S1247:S1248" si="179">-G1247</f>
        <v>-42667128</v>
      </c>
      <c r="T1247" s="37"/>
      <c r="U1247" s="37"/>
      <c r="V1247" s="37"/>
      <c r="W1247" s="37"/>
      <c r="X1247" s="37"/>
      <c r="Y1247" s="37"/>
      <c r="Z1247" s="37"/>
      <c r="AA1247" s="37">
        <f t="shared" ref="AA1247:AA1248" si="180">SUM(G1247:Z1247)</f>
        <v>0</v>
      </c>
      <c r="AB1247" s="37">
        <f t="shared" ref="AB1247:AB1248" si="181">SUM(G1247:Z1247)</f>
        <v>0</v>
      </c>
    </row>
    <row r="1248" spans="1:28" ht="14.4">
      <c r="A1248" s="1351">
        <v>5110311108</v>
      </c>
      <c r="B1248" s="1351" t="s">
        <v>2966</v>
      </c>
      <c r="C1248" s="1352">
        <f>VLOOKUP(A1248,Composición!C:I,5,FALSE)</f>
        <v>9589040</v>
      </c>
      <c r="D1248" s="37"/>
      <c r="E1248" s="37"/>
      <c r="F1248" s="37"/>
      <c r="G1248" s="37">
        <f t="shared" si="178"/>
        <v>9589040</v>
      </c>
      <c r="H1248" s="37"/>
      <c r="I1248" s="37"/>
      <c r="J1248" s="37"/>
      <c r="K1248" s="37"/>
      <c r="L1248" s="37"/>
      <c r="M1248" s="37"/>
      <c r="N1248" s="37"/>
      <c r="O1248" s="37"/>
      <c r="P1248" s="37"/>
      <c r="Q1248" s="37"/>
      <c r="R1248" s="37"/>
      <c r="S1248" s="37">
        <f t="shared" si="179"/>
        <v>-9589040</v>
      </c>
      <c r="T1248" s="37"/>
      <c r="U1248" s="37"/>
      <c r="V1248" s="37"/>
      <c r="W1248" s="37"/>
      <c r="X1248" s="37"/>
      <c r="Y1248" s="37"/>
      <c r="Z1248" s="37"/>
      <c r="AA1248" s="37">
        <f t="shared" si="180"/>
        <v>0</v>
      </c>
      <c r="AB1248" s="37">
        <f t="shared" si="181"/>
        <v>0</v>
      </c>
    </row>
    <row r="1249" spans="1:28" ht="14.4">
      <c r="A1249" s="1351">
        <v>5110311109</v>
      </c>
      <c r="B1249" s="1351" t="s">
        <v>2967</v>
      </c>
      <c r="C1249" s="1352">
        <f>VLOOKUP(A1249,Composición!C:I,5,FALSE)</f>
        <v>48718</v>
      </c>
      <c r="D1249" s="37"/>
      <c r="E1249" s="37"/>
      <c r="F1249" s="37"/>
      <c r="G1249" s="37">
        <f t="shared" si="176"/>
        <v>48718</v>
      </c>
      <c r="H1249" s="37"/>
      <c r="I1249" s="37"/>
      <c r="J1249" s="37"/>
      <c r="K1249" s="37"/>
      <c r="L1249" s="37"/>
      <c r="M1249" s="37"/>
      <c r="N1249" s="37"/>
      <c r="O1249" s="37"/>
      <c r="P1249" s="37"/>
      <c r="Q1249" s="37"/>
      <c r="R1249" s="37"/>
      <c r="S1249" s="37">
        <f t="shared" si="177"/>
        <v>-48718</v>
      </c>
      <c r="T1249" s="37"/>
      <c r="U1249" s="37"/>
      <c r="V1249" s="37"/>
      <c r="W1249" s="37"/>
      <c r="X1249" s="37"/>
      <c r="Y1249" s="37"/>
      <c r="Z1249" s="37"/>
      <c r="AA1249" s="37">
        <f t="shared" si="174"/>
        <v>0</v>
      </c>
      <c r="AB1249" s="37">
        <f t="shared" si="175"/>
        <v>0</v>
      </c>
    </row>
    <row r="1250" spans="1:28" ht="14.4">
      <c r="A1250" s="117">
        <v>51103112</v>
      </c>
      <c r="B1250" s="117" t="s">
        <v>412</v>
      </c>
      <c r="C1250" s="37">
        <f>VLOOKUP(A1250,Composición!C:I,5,FALSE)</f>
        <v>0</v>
      </c>
      <c r="D1250" s="37"/>
      <c r="E1250" s="37"/>
      <c r="F1250" s="37"/>
      <c r="G1250" s="37">
        <f t="shared" si="172"/>
        <v>0</v>
      </c>
      <c r="H1250" s="37"/>
      <c r="I1250" s="37"/>
      <c r="J1250" s="37"/>
      <c r="K1250" s="37"/>
      <c r="L1250" s="37"/>
      <c r="M1250" s="37"/>
      <c r="N1250" s="37"/>
      <c r="O1250" s="37"/>
      <c r="P1250" s="37"/>
      <c r="Q1250" s="37"/>
      <c r="R1250" s="37"/>
      <c r="S1250" s="37"/>
      <c r="T1250" s="37"/>
      <c r="U1250" s="37"/>
      <c r="V1250" s="37"/>
      <c r="W1250" s="37"/>
      <c r="X1250" s="37"/>
      <c r="Y1250" s="37"/>
      <c r="Z1250" s="37"/>
      <c r="AA1250" s="37">
        <f t="shared" si="174"/>
        <v>0</v>
      </c>
      <c r="AB1250" s="37">
        <f t="shared" si="175"/>
        <v>0</v>
      </c>
    </row>
    <row r="1251" spans="1:28" ht="14.4">
      <c r="A1251" s="117">
        <v>5110311201</v>
      </c>
      <c r="B1251" s="117" t="s">
        <v>57</v>
      </c>
      <c r="C1251" s="37">
        <f>VLOOKUP(A1251,Composición!C:I,5,FALSE)</f>
        <v>16167355</v>
      </c>
      <c r="D1251" s="37"/>
      <c r="E1251" s="37"/>
      <c r="F1251" s="37"/>
      <c r="G1251" s="37">
        <f t="shared" si="172"/>
        <v>16167355</v>
      </c>
      <c r="H1251" s="37"/>
      <c r="I1251" s="37"/>
      <c r="J1251" s="37"/>
      <c r="K1251" s="37"/>
      <c r="L1251" s="37"/>
      <c r="M1251" s="37"/>
      <c r="N1251" s="37"/>
      <c r="O1251" s="37"/>
      <c r="P1251" s="37"/>
      <c r="Q1251" s="37"/>
      <c r="R1251" s="37"/>
      <c r="S1251" s="37">
        <f t="shared" ref="S1251:S1282" si="182">-G1251</f>
        <v>-16167355</v>
      </c>
      <c r="T1251" s="37"/>
      <c r="U1251" s="37"/>
      <c r="V1251" s="37"/>
      <c r="W1251" s="37"/>
      <c r="X1251" s="37"/>
      <c r="Y1251" s="37"/>
      <c r="Z1251" s="37"/>
      <c r="AA1251" s="37">
        <f t="shared" si="174"/>
        <v>0</v>
      </c>
      <c r="AB1251" s="37">
        <f t="shared" si="175"/>
        <v>0</v>
      </c>
    </row>
    <row r="1252" spans="1:28" ht="14.4">
      <c r="A1252" s="117">
        <v>5110311202</v>
      </c>
      <c r="B1252" s="117" t="s">
        <v>254</v>
      </c>
      <c r="C1252" s="37">
        <f>VLOOKUP(A1252,Composición!C:I,5,FALSE)</f>
        <v>193285</v>
      </c>
      <c r="D1252" s="37"/>
      <c r="E1252" s="37"/>
      <c r="F1252" s="37"/>
      <c r="G1252" s="37">
        <f t="shared" si="172"/>
        <v>193285</v>
      </c>
      <c r="H1252" s="37"/>
      <c r="I1252" s="37"/>
      <c r="J1252" s="37"/>
      <c r="K1252" s="37"/>
      <c r="L1252" s="37"/>
      <c r="M1252" s="37"/>
      <c r="N1252" s="37"/>
      <c r="O1252" s="37"/>
      <c r="P1252" s="37"/>
      <c r="Q1252" s="37"/>
      <c r="R1252" s="37"/>
      <c r="S1252" s="37">
        <f t="shared" si="182"/>
        <v>-193285</v>
      </c>
      <c r="T1252" s="37"/>
      <c r="U1252" s="37"/>
      <c r="V1252" s="37"/>
      <c r="W1252" s="37"/>
      <c r="X1252" s="37"/>
      <c r="Y1252" s="37"/>
      <c r="Z1252" s="37"/>
      <c r="AA1252" s="37">
        <f t="shared" si="174"/>
        <v>0</v>
      </c>
      <c r="AB1252" s="37">
        <f t="shared" si="175"/>
        <v>0</v>
      </c>
    </row>
    <row r="1253" spans="1:28" ht="14.4">
      <c r="A1253" s="117">
        <v>5110311203</v>
      </c>
      <c r="B1253" s="117" t="s">
        <v>256</v>
      </c>
      <c r="C1253" s="37">
        <f>VLOOKUP(A1253,Composición!C:I,5,FALSE)</f>
        <v>9195274</v>
      </c>
      <c r="D1253" s="37"/>
      <c r="E1253" s="37"/>
      <c r="F1253" s="37"/>
      <c r="G1253" s="37">
        <f t="shared" si="172"/>
        <v>9195274</v>
      </c>
      <c r="H1253" s="37"/>
      <c r="I1253" s="37"/>
      <c r="J1253" s="37"/>
      <c r="K1253" s="37"/>
      <c r="L1253" s="37"/>
      <c r="M1253" s="37"/>
      <c r="N1253" s="37"/>
      <c r="O1253" s="37"/>
      <c r="P1253" s="37"/>
      <c r="Q1253" s="37"/>
      <c r="R1253" s="37"/>
      <c r="S1253" s="37">
        <f t="shared" si="182"/>
        <v>-9195274</v>
      </c>
      <c r="T1253" s="37"/>
      <c r="U1253" s="37"/>
      <c r="V1253" s="37"/>
      <c r="W1253" s="37"/>
      <c r="X1253" s="37"/>
      <c r="Y1253" s="37"/>
      <c r="Z1253" s="37"/>
      <c r="AA1253" s="37">
        <f t="shared" si="174"/>
        <v>0</v>
      </c>
      <c r="AB1253" s="37">
        <f t="shared" si="175"/>
        <v>0</v>
      </c>
    </row>
    <row r="1254" spans="1:28" ht="14.4">
      <c r="A1254" s="117">
        <v>5110311204</v>
      </c>
      <c r="B1254" s="117" t="s">
        <v>258</v>
      </c>
      <c r="C1254" s="37">
        <f>VLOOKUP(A1254,Composición!C:I,5,FALSE)</f>
        <v>66050</v>
      </c>
      <c r="D1254" s="37"/>
      <c r="E1254" s="37"/>
      <c r="F1254" s="37"/>
      <c r="G1254" s="37">
        <f t="shared" si="172"/>
        <v>66050</v>
      </c>
      <c r="H1254" s="37"/>
      <c r="I1254" s="37"/>
      <c r="J1254" s="37"/>
      <c r="K1254" s="37"/>
      <c r="L1254" s="37"/>
      <c r="M1254" s="37"/>
      <c r="N1254" s="37"/>
      <c r="O1254" s="37"/>
      <c r="P1254" s="37"/>
      <c r="Q1254" s="37"/>
      <c r="R1254" s="37"/>
      <c r="S1254" s="37">
        <f t="shared" si="182"/>
        <v>-66050</v>
      </c>
      <c r="T1254" s="37"/>
      <c r="U1254" s="37"/>
      <c r="V1254" s="37"/>
      <c r="W1254" s="37"/>
      <c r="X1254" s="37"/>
      <c r="Y1254" s="37"/>
      <c r="Z1254" s="37"/>
      <c r="AA1254" s="37">
        <f t="shared" si="174"/>
        <v>0</v>
      </c>
      <c r="AB1254" s="37">
        <f t="shared" si="175"/>
        <v>0</v>
      </c>
    </row>
    <row r="1255" spans="1:28" ht="14.4">
      <c r="A1255" s="117">
        <v>5110311205</v>
      </c>
      <c r="B1255" s="117" t="s">
        <v>59</v>
      </c>
      <c r="C1255" s="37">
        <f>VLOOKUP(A1255,Composición!C:I,5,FALSE)</f>
        <v>122729834</v>
      </c>
      <c r="D1255" s="37"/>
      <c r="E1255" s="37"/>
      <c r="F1255" s="37"/>
      <c r="G1255" s="37">
        <f t="shared" si="172"/>
        <v>122729834</v>
      </c>
      <c r="H1255" s="37"/>
      <c r="I1255" s="37"/>
      <c r="J1255" s="37"/>
      <c r="K1255" s="37"/>
      <c r="L1255" s="37"/>
      <c r="M1255" s="37"/>
      <c r="N1255" s="37"/>
      <c r="O1255" s="37"/>
      <c r="P1255" s="37"/>
      <c r="Q1255" s="37"/>
      <c r="R1255" s="37"/>
      <c r="S1255" s="37">
        <f t="shared" si="182"/>
        <v>-122729834</v>
      </c>
      <c r="T1255" s="37"/>
      <c r="U1255" s="37"/>
      <c r="V1255" s="37"/>
      <c r="W1255" s="37"/>
      <c r="X1255" s="37"/>
      <c r="Y1255" s="37"/>
      <c r="Z1255" s="37"/>
      <c r="AA1255" s="37">
        <f t="shared" si="174"/>
        <v>0</v>
      </c>
      <c r="AB1255" s="37">
        <f t="shared" si="175"/>
        <v>0</v>
      </c>
    </row>
    <row r="1256" spans="1:28" ht="14.4">
      <c r="A1256" s="117">
        <v>5110311206</v>
      </c>
      <c r="B1256" s="117" t="s">
        <v>60</v>
      </c>
      <c r="C1256" s="37">
        <f>VLOOKUP(A1256,Composición!C:I,5,FALSE)</f>
        <v>2508987</v>
      </c>
      <c r="D1256" s="37"/>
      <c r="E1256" s="37"/>
      <c r="F1256" s="37"/>
      <c r="G1256" s="37">
        <f t="shared" si="172"/>
        <v>2508987</v>
      </c>
      <c r="H1256" s="37"/>
      <c r="I1256" s="37"/>
      <c r="J1256" s="37"/>
      <c r="K1256" s="37"/>
      <c r="L1256" s="37"/>
      <c r="M1256" s="37"/>
      <c r="N1256" s="37"/>
      <c r="O1256" s="37"/>
      <c r="P1256" s="37"/>
      <c r="Q1256" s="37"/>
      <c r="R1256" s="37"/>
      <c r="S1256" s="37">
        <f t="shared" si="182"/>
        <v>-2508987</v>
      </c>
      <c r="T1256" s="37"/>
      <c r="U1256" s="37"/>
      <c r="V1256" s="37"/>
      <c r="W1256" s="37"/>
      <c r="X1256" s="37"/>
      <c r="Y1256" s="37"/>
      <c r="Z1256" s="37"/>
      <c r="AA1256" s="37">
        <f t="shared" si="174"/>
        <v>0</v>
      </c>
      <c r="AB1256" s="37">
        <f t="shared" si="175"/>
        <v>0</v>
      </c>
    </row>
    <row r="1257" spans="1:28" ht="14.4">
      <c r="A1257" s="117">
        <v>5110311207</v>
      </c>
      <c r="B1257" s="117" t="s">
        <v>63</v>
      </c>
      <c r="C1257" s="37">
        <f>VLOOKUP(A1257,Composición!C:I,5,FALSE)</f>
        <v>6281537</v>
      </c>
      <c r="D1257" s="37"/>
      <c r="E1257" s="37"/>
      <c r="F1257" s="37"/>
      <c r="G1257" s="37">
        <f t="shared" si="172"/>
        <v>6281537</v>
      </c>
      <c r="H1257" s="37"/>
      <c r="I1257" s="37"/>
      <c r="J1257" s="37"/>
      <c r="K1257" s="37"/>
      <c r="L1257" s="37"/>
      <c r="M1257" s="37"/>
      <c r="N1257" s="37"/>
      <c r="O1257" s="37"/>
      <c r="P1257" s="37"/>
      <c r="Q1257" s="37"/>
      <c r="R1257" s="37"/>
      <c r="S1257" s="37">
        <f t="shared" si="182"/>
        <v>-6281537</v>
      </c>
      <c r="T1257" s="37"/>
      <c r="U1257" s="37"/>
      <c r="V1257" s="37"/>
      <c r="W1257" s="37"/>
      <c r="X1257" s="37"/>
      <c r="Y1257" s="37"/>
      <c r="Z1257" s="37"/>
      <c r="AA1257" s="37">
        <f t="shared" si="174"/>
        <v>0</v>
      </c>
      <c r="AB1257" s="37">
        <f t="shared" si="175"/>
        <v>0</v>
      </c>
    </row>
    <row r="1258" spans="1:28" ht="14.4">
      <c r="A1258" s="117">
        <v>5110311208</v>
      </c>
      <c r="B1258" s="117" t="s">
        <v>64</v>
      </c>
      <c r="C1258" s="37">
        <f>VLOOKUP(A1258,Composición!C:I,5,FALSE)</f>
        <v>5544723</v>
      </c>
      <c r="D1258" s="37"/>
      <c r="E1258" s="37"/>
      <c r="F1258" s="37"/>
      <c r="G1258" s="37">
        <f t="shared" si="172"/>
        <v>5544723</v>
      </c>
      <c r="H1258" s="37"/>
      <c r="I1258" s="37"/>
      <c r="J1258" s="37"/>
      <c r="K1258" s="37"/>
      <c r="L1258" s="37"/>
      <c r="M1258" s="37"/>
      <c r="N1258" s="37"/>
      <c r="O1258" s="37"/>
      <c r="P1258" s="37"/>
      <c r="Q1258" s="37"/>
      <c r="R1258" s="37"/>
      <c r="S1258" s="37">
        <f t="shared" si="182"/>
        <v>-5544723</v>
      </c>
      <c r="T1258" s="37"/>
      <c r="U1258" s="37"/>
      <c r="V1258" s="37"/>
      <c r="W1258" s="37"/>
      <c r="X1258" s="37"/>
      <c r="Y1258" s="37"/>
      <c r="Z1258" s="37"/>
      <c r="AA1258" s="37">
        <f t="shared" si="174"/>
        <v>0</v>
      </c>
      <c r="AB1258" s="37">
        <f t="shared" si="175"/>
        <v>0</v>
      </c>
    </row>
    <row r="1259" spans="1:28" ht="14.4">
      <c r="A1259" s="117">
        <v>5110311209</v>
      </c>
      <c r="B1259" s="117" t="s">
        <v>66</v>
      </c>
      <c r="C1259" s="37">
        <f>VLOOKUP(A1259,Composición!C:I,5,FALSE)</f>
        <v>0</v>
      </c>
      <c r="D1259" s="37"/>
      <c r="E1259" s="37"/>
      <c r="F1259" s="37"/>
      <c r="G1259" s="37">
        <f t="shared" si="172"/>
        <v>0</v>
      </c>
      <c r="H1259" s="37"/>
      <c r="I1259" s="37"/>
      <c r="J1259" s="37"/>
      <c r="K1259" s="37"/>
      <c r="L1259" s="37"/>
      <c r="M1259" s="37"/>
      <c r="N1259" s="37"/>
      <c r="O1259" s="37"/>
      <c r="P1259" s="37"/>
      <c r="Q1259" s="37"/>
      <c r="R1259" s="37"/>
      <c r="S1259" s="37">
        <f t="shared" si="182"/>
        <v>0</v>
      </c>
      <c r="T1259" s="37"/>
      <c r="U1259" s="37"/>
      <c r="V1259" s="37"/>
      <c r="W1259" s="37"/>
      <c r="X1259" s="37"/>
      <c r="Y1259" s="37"/>
      <c r="Z1259" s="37"/>
      <c r="AA1259" s="37">
        <f t="shared" si="174"/>
        <v>0</v>
      </c>
      <c r="AB1259" s="37">
        <f t="shared" si="175"/>
        <v>0</v>
      </c>
    </row>
    <row r="1260" spans="1:28" ht="14.4">
      <c r="A1260" s="117">
        <v>5110311210</v>
      </c>
      <c r="B1260" s="117" t="s">
        <v>690</v>
      </c>
      <c r="C1260" s="37">
        <f>VLOOKUP(A1260,Composición!C:I,5,FALSE)</f>
        <v>0</v>
      </c>
      <c r="D1260" s="37"/>
      <c r="E1260" s="37"/>
      <c r="F1260" s="37"/>
      <c r="G1260" s="37">
        <f t="shared" si="172"/>
        <v>0</v>
      </c>
      <c r="H1260" s="37"/>
      <c r="I1260" s="37"/>
      <c r="J1260" s="37"/>
      <c r="K1260" s="37"/>
      <c r="L1260" s="37"/>
      <c r="M1260" s="37"/>
      <c r="N1260" s="37"/>
      <c r="O1260" s="37"/>
      <c r="P1260" s="37"/>
      <c r="Q1260" s="37"/>
      <c r="R1260" s="37"/>
      <c r="S1260" s="37">
        <f t="shared" si="182"/>
        <v>0</v>
      </c>
      <c r="T1260" s="37"/>
      <c r="U1260" s="37"/>
      <c r="V1260" s="37"/>
      <c r="W1260" s="37"/>
      <c r="X1260" s="37"/>
      <c r="Y1260" s="37"/>
      <c r="Z1260" s="37"/>
      <c r="AA1260" s="37">
        <f t="shared" si="174"/>
        <v>0</v>
      </c>
      <c r="AB1260" s="37">
        <f t="shared" si="175"/>
        <v>0</v>
      </c>
    </row>
    <row r="1261" spans="1:28" ht="14.4">
      <c r="A1261" s="117">
        <v>5110311211</v>
      </c>
      <c r="B1261" s="117" t="s">
        <v>692</v>
      </c>
      <c r="C1261" s="37">
        <f>VLOOKUP(A1261,Composición!C:I,5,FALSE)</f>
        <v>0</v>
      </c>
      <c r="D1261" s="37"/>
      <c r="E1261" s="37"/>
      <c r="F1261" s="37"/>
      <c r="G1261" s="37">
        <f t="shared" si="172"/>
        <v>0</v>
      </c>
      <c r="H1261" s="37"/>
      <c r="I1261" s="37"/>
      <c r="J1261" s="37"/>
      <c r="K1261" s="37"/>
      <c r="L1261" s="37"/>
      <c r="M1261" s="37"/>
      <c r="N1261" s="37"/>
      <c r="O1261" s="37"/>
      <c r="P1261" s="37"/>
      <c r="Q1261" s="37"/>
      <c r="R1261" s="37"/>
      <c r="S1261" s="37">
        <f t="shared" si="182"/>
        <v>0</v>
      </c>
      <c r="T1261" s="37"/>
      <c r="U1261" s="37"/>
      <c r="V1261" s="37"/>
      <c r="W1261" s="37"/>
      <c r="X1261" s="37"/>
      <c r="Y1261" s="37"/>
      <c r="Z1261" s="37"/>
      <c r="AA1261" s="37">
        <f t="shared" si="174"/>
        <v>0</v>
      </c>
      <c r="AB1261" s="37">
        <f t="shared" si="175"/>
        <v>0</v>
      </c>
    </row>
    <row r="1262" spans="1:28" ht="14.4">
      <c r="A1262" s="117">
        <v>5110311212</v>
      </c>
      <c r="B1262" s="117" t="s">
        <v>693</v>
      </c>
      <c r="C1262" s="37">
        <f>VLOOKUP(A1262,Composición!C:I,5,FALSE)</f>
        <v>0</v>
      </c>
      <c r="D1262" s="37"/>
      <c r="E1262" s="37"/>
      <c r="F1262" s="37"/>
      <c r="G1262" s="37">
        <f t="shared" si="172"/>
        <v>0</v>
      </c>
      <c r="H1262" s="37"/>
      <c r="I1262" s="37"/>
      <c r="J1262" s="37"/>
      <c r="K1262" s="37"/>
      <c r="L1262" s="37"/>
      <c r="M1262" s="37"/>
      <c r="N1262" s="37"/>
      <c r="O1262" s="37"/>
      <c r="P1262" s="37"/>
      <c r="Q1262" s="37"/>
      <c r="R1262" s="37"/>
      <c r="S1262" s="37">
        <f t="shared" si="182"/>
        <v>0</v>
      </c>
      <c r="T1262" s="37"/>
      <c r="U1262" s="37"/>
      <c r="V1262" s="37"/>
      <c r="W1262" s="37"/>
      <c r="X1262" s="37"/>
      <c r="Y1262" s="37"/>
      <c r="Z1262" s="37"/>
      <c r="AA1262" s="37">
        <f t="shared" si="174"/>
        <v>0</v>
      </c>
      <c r="AB1262" s="37">
        <f t="shared" si="175"/>
        <v>0</v>
      </c>
    </row>
    <row r="1263" spans="1:28" ht="14.4">
      <c r="A1263" s="117">
        <v>5110311213</v>
      </c>
      <c r="B1263" s="117" t="s">
        <v>267</v>
      </c>
      <c r="C1263" s="37">
        <f>VLOOKUP(A1263,Composición!C:I,5,FALSE)</f>
        <v>0</v>
      </c>
      <c r="D1263" s="37"/>
      <c r="E1263" s="37"/>
      <c r="F1263" s="37"/>
      <c r="G1263" s="37">
        <f t="shared" si="172"/>
        <v>0</v>
      </c>
      <c r="H1263" s="37"/>
      <c r="I1263" s="37"/>
      <c r="J1263" s="37"/>
      <c r="K1263" s="37"/>
      <c r="L1263" s="37"/>
      <c r="M1263" s="37"/>
      <c r="N1263" s="37"/>
      <c r="O1263" s="37"/>
      <c r="P1263" s="37"/>
      <c r="Q1263" s="37"/>
      <c r="R1263" s="37"/>
      <c r="S1263" s="37">
        <f t="shared" si="182"/>
        <v>0</v>
      </c>
      <c r="T1263" s="37"/>
      <c r="U1263" s="37"/>
      <c r="V1263" s="37"/>
      <c r="W1263" s="37"/>
      <c r="X1263" s="37"/>
      <c r="Y1263" s="37"/>
      <c r="Z1263" s="37"/>
      <c r="AA1263" s="37">
        <f t="shared" si="174"/>
        <v>0</v>
      </c>
      <c r="AB1263" s="37">
        <f t="shared" si="175"/>
        <v>0</v>
      </c>
    </row>
    <row r="1264" spans="1:28" ht="14.4">
      <c r="A1264" s="117">
        <v>5110311214</v>
      </c>
      <c r="B1264" s="117" t="s">
        <v>269</v>
      </c>
      <c r="C1264" s="37">
        <f>VLOOKUP(A1264,Composición!C:I,5,FALSE)</f>
        <v>0</v>
      </c>
      <c r="D1264" s="37"/>
      <c r="E1264" s="37"/>
      <c r="F1264" s="37"/>
      <c r="G1264" s="37">
        <f t="shared" si="172"/>
        <v>0</v>
      </c>
      <c r="H1264" s="37"/>
      <c r="I1264" s="37"/>
      <c r="J1264" s="37"/>
      <c r="K1264" s="37"/>
      <c r="L1264" s="37"/>
      <c r="M1264" s="37"/>
      <c r="N1264" s="37"/>
      <c r="O1264" s="37"/>
      <c r="P1264" s="37"/>
      <c r="Q1264" s="37"/>
      <c r="R1264" s="37"/>
      <c r="S1264" s="37">
        <f t="shared" si="182"/>
        <v>0</v>
      </c>
      <c r="T1264" s="37"/>
      <c r="U1264" s="37"/>
      <c r="V1264" s="37"/>
      <c r="W1264" s="37"/>
      <c r="X1264" s="37"/>
      <c r="Y1264" s="37"/>
      <c r="Z1264" s="37"/>
      <c r="AA1264" s="37">
        <f t="shared" si="174"/>
        <v>0</v>
      </c>
      <c r="AB1264" s="37">
        <f t="shared" si="175"/>
        <v>0</v>
      </c>
    </row>
    <row r="1265" spans="1:28" ht="14.4">
      <c r="A1265" s="117">
        <v>5110311215</v>
      </c>
      <c r="B1265" s="117" t="s">
        <v>978</v>
      </c>
      <c r="C1265" s="37">
        <f>VLOOKUP(A1265,Composición!C:I,5,FALSE)</f>
        <v>0</v>
      </c>
      <c r="D1265" s="37"/>
      <c r="E1265" s="37"/>
      <c r="F1265" s="37"/>
      <c r="G1265" s="37">
        <f t="shared" si="172"/>
        <v>0</v>
      </c>
      <c r="H1265" s="37"/>
      <c r="I1265" s="37"/>
      <c r="J1265" s="37"/>
      <c r="K1265" s="37"/>
      <c r="L1265" s="37"/>
      <c r="M1265" s="37"/>
      <c r="N1265" s="37"/>
      <c r="O1265" s="37"/>
      <c r="P1265" s="37"/>
      <c r="Q1265" s="37"/>
      <c r="R1265" s="37"/>
      <c r="S1265" s="37">
        <f t="shared" si="182"/>
        <v>0</v>
      </c>
      <c r="T1265" s="37"/>
      <c r="U1265" s="37"/>
      <c r="V1265" s="37"/>
      <c r="W1265" s="37"/>
      <c r="X1265" s="37"/>
      <c r="Y1265" s="37"/>
      <c r="Z1265" s="37"/>
      <c r="AA1265" s="37">
        <f t="shared" si="174"/>
        <v>0</v>
      </c>
      <c r="AB1265" s="37">
        <f t="shared" si="175"/>
        <v>0</v>
      </c>
    </row>
    <row r="1266" spans="1:28" ht="14.4">
      <c r="A1266" s="117">
        <v>5110311216</v>
      </c>
      <c r="B1266" s="117" t="s">
        <v>979</v>
      </c>
      <c r="C1266" s="37">
        <f>VLOOKUP(A1266,Composición!C:I,5,FALSE)</f>
        <v>0</v>
      </c>
      <c r="D1266" s="37"/>
      <c r="E1266" s="37"/>
      <c r="F1266" s="37"/>
      <c r="G1266" s="37">
        <f t="shared" si="172"/>
        <v>0</v>
      </c>
      <c r="H1266" s="37"/>
      <c r="I1266" s="37"/>
      <c r="J1266" s="37"/>
      <c r="K1266" s="37"/>
      <c r="L1266" s="37"/>
      <c r="M1266" s="37"/>
      <c r="N1266" s="37"/>
      <c r="O1266" s="37"/>
      <c r="P1266" s="37"/>
      <c r="Q1266" s="37"/>
      <c r="R1266" s="37"/>
      <c r="S1266" s="37">
        <f t="shared" si="182"/>
        <v>0</v>
      </c>
      <c r="T1266" s="37"/>
      <c r="U1266" s="37"/>
      <c r="V1266" s="37"/>
      <c r="W1266" s="37"/>
      <c r="X1266" s="37"/>
      <c r="Y1266" s="37"/>
      <c r="Z1266" s="37"/>
      <c r="AA1266" s="37">
        <f t="shared" si="174"/>
        <v>0</v>
      </c>
      <c r="AB1266" s="37">
        <f t="shared" si="175"/>
        <v>0</v>
      </c>
    </row>
    <row r="1267" spans="1:28" ht="14.4">
      <c r="A1267" s="117">
        <v>5110311217</v>
      </c>
      <c r="B1267" s="117" t="s">
        <v>271</v>
      </c>
      <c r="C1267" s="37">
        <f>VLOOKUP(A1267,Composición!C:I,5,FALSE)</f>
        <v>34891064</v>
      </c>
      <c r="D1267" s="37"/>
      <c r="E1267" s="37"/>
      <c r="F1267" s="37"/>
      <c r="G1267" s="37">
        <f t="shared" si="172"/>
        <v>34891064</v>
      </c>
      <c r="H1267" s="37"/>
      <c r="I1267" s="37"/>
      <c r="J1267" s="37"/>
      <c r="K1267" s="37"/>
      <c r="L1267" s="37"/>
      <c r="M1267" s="37"/>
      <c r="N1267" s="37"/>
      <c r="O1267" s="37"/>
      <c r="P1267" s="37"/>
      <c r="Q1267" s="37"/>
      <c r="R1267" s="37"/>
      <c r="S1267" s="37">
        <f t="shared" si="182"/>
        <v>-34891064</v>
      </c>
      <c r="T1267" s="37"/>
      <c r="U1267" s="37"/>
      <c r="V1267" s="37"/>
      <c r="W1267" s="37"/>
      <c r="X1267" s="37"/>
      <c r="Y1267" s="37"/>
      <c r="Z1267" s="37"/>
      <c r="AA1267" s="37">
        <f t="shared" si="174"/>
        <v>0</v>
      </c>
      <c r="AB1267" s="37">
        <f t="shared" si="175"/>
        <v>0</v>
      </c>
    </row>
    <row r="1268" spans="1:28" ht="14.4">
      <c r="A1268" s="117">
        <v>5110311218</v>
      </c>
      <c r="B1268" s="117" t="s">
        <v>274</v>
      </c>
      <c r="C1268" s="37">
        <f>VLOOKUP(A1268,Composición!C:I,5,FALSE)</f>
        <v>1259045</v>
      </c>
      <c r="D1268" s="37"/>
      <c r="E1268" s="37"/>
      <c r="F1268" s="37"/>
      <c r="G1268" s="37">
        <f t="shared" si="172"/>
        <v>1259045</v>
      </c>
      <c r="H1268" s="37"/>
      <c r="I1268" s="37"/>
      <c r="J1268" s="37"/>
      <c r="K1268" s="37"/>
      <c r="L1268" s="37"/>
      <c r="M1268" s="37"/>
      <c r="N1268" s="37"/>
      <c r="O1268" s="37"/>
      <c r="P1268" s="37"/>
      <c r="Q1268" s="37"/>
      <c r="R1268" s="37"/>
      <c r="S1268" s="37">
        <f t="shared" si="182"/>
        <v>-1259045</v>
      </c>
      <c r="T1268" s="37"/>
      <c r="U1268" s="37"/>
      <c r="V1268" s="37"/>
      <c r="W1268" s="37"/>
      <c r="X1268" s="37"/>
      <c r="Y1268" s="37"/>
      <c r="Z1268" s="37"/>
      <c r="AA1268" s="37">
        <f t="shared" si="174"/>
        <v>0</v>
      </c>
      <c r="AB1268" s="37">
        <f t="shared" si="175"/>
        <v>0</v>
      </c>
    </row>
    <row r="1269" spans="1:28" ht="14.4">
      <c r="A1269" s="117">
        <v>5110311219</v>
      </c>
      <c r="B1269" s="117" t="s">
        <v>413</v>
      </c>
      <c r="C1269" s="37">
        <f>VLOOKUP(A1269,Composición!C:I,5,FALSE)</f>
        <v>0</v>
      </c>
      <c r="D1269" s="37"/>
      <c r="E1269" s="37"/>
      <c r="F1269" s="37"/>
      <c r="G1269" s="37">
        <f t="shared" si="172"/>
        <v>0</v>
      </c>
      <c r="H1269" s="37"/>
      <c r="I1269" s="37"/>
      <c r="J1269" s="37"/>
      <c r="K1269" s="37"/>
      <c r="L1269" s="37"/>
      <c r="M1269" s="37"/>
      <c r="N1269" s="37"/>
      <c r="O1269" s="37"/>
      <c r="P1269" s="37"/>
      <c r="Q1269" s="37"/>
      <c r="R1269" s="37"/>
      <c r="S1269" s="37">
        <f t="shared" si="182"/>
        <v>0</v>
      </c>
      <c r="T1269" s="37"/>
      <c r="U1269" s="37"/>
      <c r="V1269" s="37"/>
      <c r="W1269" s="37"/>
      <c r="X1269" s="37"/>
      <c r="Y1269" s="37"/>
      <c r="Z1269" s="37"/>
      <c r="AA1269" s="37">
        <f t="shared" si="174"/>
        <v>0</v>
      </c>
      <c r="AB1269" s="37">
        <f t="shared" si="175"/>
        <v>0</v>
      </c>
    </row>
    <row r="1270" spans="1:28" ht="14.4">
      <c r="A1270" s="117">
        <v>5110311220</v>
      </c>
      <c r="B1270" s="117" t="s">
        <v>980</v>
      </c>
      <c r="C1270" s="37">
        <f>VLOOKUP(A1270,Composición!C:I,5,FALSE)</f>
        <v>0</v>
      </c>
      <c r="D1270" s="37"/>
      <c r="E1270" s="37"/>
      <c r="F1270" s="37"/>
      <c r="G1270" s="37">
        <f t="shared" si="172"/>
        <v>0</v>
      </c>
      <c r="H1270" s="37"/>
      <c r="I1270" s="37"/>
      <c r="J1270" s="37"/>
      <c r="K1270" s="37"/>
      <c r="L1270" s="37"/>
      <c r="M1270" s="37"/>
      <c r="N1270" s="37"/>
      <c r="O1270" s="37"/>
      <c r="P1270" s="37"/>
      <c r="Q1270" s="37"/>
      <c r="R1270" s="37"/>
      <c r="S1270" s="37">
        <f t="shared" si="182"/>
        <v>0</v>
      </c>
      <c r="T1270" s="37"/>
      <c r="U1270" s="37"/>
      <c r="V1270" s="37"/>
      <c r="W1270" s="37"/>
      <c r="X1270" s="37"/>
      <c r="Y1270" s="37"/>
      <c r="Z1270" s="37"/>
      <c r="AA1270" s="37">
        <f t="shared" si="174"/>
        <v>0</v>
      </c>
      <c r="AB1270" s="37">
        <f t="shared" si="175"/>
        <v>0</v>
      </c>
    </row>
    <row r="1271" spans="1:28" ht="14.4">
      <c r="A1271" s="117">
        <v>5110311221</v>
      </c>
      <c r="B1271" s="117" t="s">
        <v>804</v>
      </c>
      <c r="C1271" s="37">
        <f>VLOOKUP(A1271,Composición!C:I,5,FALSE)</f>
        <v>0</v>
      </c>
      <c r="D1271" s="37"/>
      <c r="E1271" s="37"/>
      <c r="F1271" s="37"/>
      <c r="G1271" s="37">
        <f t="shared" si="172"/>
        <v>0</v>
      </c>
      <c r="H1271" s="37"/>
      <c r="I1271" s="37"/>
      <c r="J1271" s="37"/>
      <c r="K1271" s="37"/>
      <c r="L1271" s="37"/>
      <c r="M1271" s="37"/>
      <c r="N1271" s="37"/>
      <c r="O1271" s="37"/>
      <c r="P1271" s="37"/>
      <c r="Q1271" s="37"/>
      <c r="R1271" s="37"/>
      <c r="S1271" s="37">
        <f t="shared" si="182"/>
        <v>0</v>
      </c>
      <c r="T1271" s="37"/>
      <c r="U1271" s="37"/>
      <c r="V1271" s="37"/>
      <c r="W1271" s="37"/>
      <c r="X1271" s="37"/>
      <c r="Y1271" s="37"/>
      <c r="Z1271" s="37"/>
      <c r="AA1271" s="37">
        <f t="shared" si="174"/>
        <v>0</v>
      </c>
      <c r="AB1271" s="37">
        <f t="shared" si="175"/>
        <v>0</v>
      </c>
    </row>
    <row r="1272" spans="1:28" ht="14.4">
      <c r="A1272" s="117">
        <v>5110311222</v>
      </c>
      <c r="B1272" s="117" t="s">
        <v>805</v>
      </c>
      <c r="C1272" s="37">
        <f>VLOOKUP(A1272,Composición!C:I,5,FALSE)</f>
        <v>0</v>
      </c>
      <c r="D1272" s="37"/>
      <c r="E1272" s="37"/>
      <c r="F1272" s="37"/>
      <c r="G1272" s="37">
        <f t="shared" si="172"/>
        <v>0</v>
      </c>
      <c r="H1272" s="37"/>
      <c r="I1272" s="37"/>
      <c r="J1272" s="37"/>
      <c r="K1272" s="37"/>
      <c r="L1272" s="37"/>
      <c r="M1272" s="37"/>
      <c r="N1272" s="37"/>
      <c r="O1272" s="37"/>
      <c r="P1272" s="37"/>
      <c r="Q1272" s="37"/>
      <c r="R1272" s="37"/>
      <c r="S1272" s="37">
        <f t="shared" si="182"/>
        <v>0</v>
      </c>
      <c r="T1272" s="37"/>
      <c r="U1272" s="37"/>
      <c r="V1272" s="37"/>
      <c r="W1272" s="37"/>
      <c r="X1272" s="37"/>
      <c r="Y1272" s="37"/>
      <c r="Z1272" s="37"/>
      <c r="AA1272" s="37">
        <f t="shared" si="174"/>
        <v>0</v>
      </c>
      <c r="AB1272" s="37">
        <f t="shared" si="175"/>
        <v>0</v>
      </c>
    </row>
    <row r="1273" spans="1:28" ht="14.4">
      <c r="A1273" s="117">
        <v>5110311223</v>
      </c>
      <c r="B1273" s="117" t="s">
        <v>981</v>
      </c>
      <c r="C1273" s="37">
        <f>VLOOKUP(A1273,Composición!C:I,5,FALSE)</f>
        <v>0</v>
      </c>
      <c r="D1273" s="37"/>
      <c r="E1273" s="37"/>
      <c r="F1273" s="37"/>
      <c r="G1273" s="37">
        <f t="shared" si="172"/>
        <v>0</v>
      </c>
      <c r="H1273" s="37"/>
      <c r="I1273" s="37"/>
      <c r="J1273" s="37"/>
      <c r="K1273" s="37"/>
      <c r="L1273" s="37"/>
      <c r="M1273" s="37"/>
      <c r="N1273" s="37"/>
      <c r="O1273" s="37"/>
      <c r="P1273" s="37"/>
      <c r="Q1273" s="37"/>
      <c r="R1273" s="37"/>
      <c r="S1273" s="37">
        <f t="shared" si="182"/>
        <v>0</v>
      </c>
      <c r="T1273" s="37"/>
      <c r="U1273" s="37"/>
      <c r="V1273" s="37"/>
      <c r="W1273" s="37"/>
      <c r="X1273" s="37"/>
      <c r="Y1273" s="37"/>
      <c r="Z1273" s="37"/>
      <c r="AA1273" s="37">
        <f t="shared" si="174"/>
        <v>0</v>
      </c>
      <c r="AB1273" s="37">
        <f t="shared" si="175"/>
        <v>0</v>
      </c>
    </row>
    <row r="1274" spans="1:28" ht="14.4">
      <c r="A1274" s="117">
        <v>5110311224</v>
      </c>
      <c r="B1274" s="117" t="s">
        <v>982</v>
      </c>
      <c r="C1274" s="37">
        <f>VLOOKUP(A1274,Composición!C:I,5,FALSE)</f>
        <v>0</v>
      </c>
      <c r="D1274" s="37"/>
      <c r="E1274" s="37"/>
      <c r="F1274" s="37"/>
      <c r="G1274" s="37">
        <f t="shared" si="172"/>
        <v>0</v>
      </c>
      <c r="H1274" s="37"/>
      <c r="I1274" s="37"/>
      <c r="J1274" s="37"/>
      <c r="K1274" s="37"/>
      <c r="L1274" s="37"/>
      <c r="M1274" s="37"/>
      <c r="N1274" s="37"/>
      <c r="O1274" s="37"/>
      <c r="P1274" s="37"/>
      <c r="Q1274" s="37"/>
      <c r="R1274" s="37"/>
      <c r="S1274" s="37">
        <f t="shared" si="182"/>
        <v>0</v>
      </c>
      <c r="T1274" s="37"/>
      <c r="U1274" s="37"/>
      <c r="V1274" s="37"/>
      <c r="W1274" s="37"/>
      <c r="X1274" s="37"/>
      <c r="Y1274" s="37"/>
      <c r="Z1274" s="37"/>
      <c r="AA1274" s="37">
        <f t="shared" si="174"/>
        <v>0</v>
      </c>
      <c r="AB1274" s="37">
        <f t="shared" si="175"/>
        <v>0</v>
      </c>
    </row>
    <row r="1275" spans="1:28" ht="14.4">
      <c r="A1275" s="117">
        <v>5110311225</v>
      </c>
      <c r="B1275" s="117" t="s">
        <v>983</v>
      </c>
      <c r="C1275" s="37">
        <f>VLOOKUP(A1275,Composición!C:I,5,FALSE)</f>
        <v>0</v>
      </c>
      <c r="D1275" s="37"/>
      <c r="E1275" s="37"/>
      <c r="F1275" s="37"/>
      <c r="G1275" s="37">
        <f t="shared" si="172"/>
        <v>0</v>
      </c>
      <c r="H1275" s="37"/>
      <c r="I1275" s="37"/>
      <c r="J1275" s="37"/>
      <c r="K1275" s="37"/>
      <c r="L1275" s="37"/>
      <c r="M1275" s="37"/>
      <c r="N1275" s="37"/>
      <c r="O1275" s="37"/>
      <c r="P1275" s="37"/>
      <c r="Q1275" s="37"/>
      <c r="R1275" s="37"/>
      <c r="S1275" s="37">
        <f t="shared" si="182"/>
        <v>0</v>
      </c>
      <c r="T1275" s="37"/>
      <c r="U1275" s="37"/>
      <c r="V1275" s="37"/>
      <c r="W1275" s="37"/>
      <c r="X1275" s="37"/>
      <c r="Y1275" s="37"/>
      <c r="Z1275" s="37"/>
      <c r="AA1275" s="37">
        <f t="shared" si="174"/>
        <v>0</v>
      </c>
      <c r="AB1275" s="37">
        <f t="shared" si="175"/>
        <v>0</v>
      </c>
    </row>
    <row r="1276" spans="1:28" ht="14.4">
      <c r="A1276" s="117">
        <v>5110311226</v>
      </c>
      <c r="B1276" s="117" t="s">
        <v>984</v>
      </c>
      <c r="C1276" s="37">
        <f>VLOOKUP(A1276,Composición!C:I,5,FALSE)</f>
        <v>0</v>
      </c>
      <c r="D1276" s="37"/>
      <c r="E1276" s="37"/>
      <c r="F1276" s="37"/>
      <c r="G1276" s="37">
        <f t="shared" si="172"/>
        <v>0</v>
      </c>
      <c r="H1276" s="37"/>
      <c r="I1276" s="37"/>
      <c r="J1276" s="37"/>
      <c r="K1276" s="37"/>
      <c r="L1276" s="37"/>
      <c r="M1276" s="37"/>
      <c r="N1276" s="37"/>
      <c r="O1276" s="37"/>
      <c r="P1276" s="37"/>
      <c r="Q1276" s="37"/>
      <c r="R1276" s="37"/>
      <c r="S1276" s="37">
        <f t="shared" si="182"/>
        <v>0</v>
      </c>
      <c r="T1276" s="37"/>
      <c r="U1276" s="37"/>
      <c r="V1276" s="37"/>
      <c r="W1276" s="37"/>
      <c r="X1276" s="37"/>
      <c r="Y1276" s="37"/>
      <c r="Z1276" s="37"/>
      <c r="AA1276" s="37">
        <f t="shared" si="174"/>
        <v>0</v>
      </c>
      <c r="AB1276" s="37">
        <f t="shared" si="175"/>
        <v>0</v>
      </c>
    </row>
    <row r="1277" spans="1:28" ht="14.4">
      <c r="A1277" s="117">
        <v>5110311227</v>
      </c>
      <c r="B1277" s="117" t="s">
        <v>985</v>
      </c>
      <c r="C1277" s="37">
        <f>VLOOKUP(A1277,Composición!C:I,5,FALSE)</f>
        <v>0</v>
      </c>
      <c r="D1277" s="37"/>
      <c r="E1277" s="37"/>
      <c r="F1277" s="37"/>
      <c r="G1277" s="37">
        <f t="shared" si="172"/>
        <v>0</v>
      </c>
      <c r="H1277" s="37"/>
      <c r="I1277" s="37"/>
      <c r="J1277" s="37"/>
      <c r="K1277" s="37"/>
      <c r="L1277" s="37"/>
      <c r="M1277" s="37"/>
      <c r="N1277" s="37"/>
      <c r="O1277" s="37"/>
      <c r="P1277" s="37"/>
      <c r="Q1277" s="37"/>
      <c r="R1277" s="37"/>
      <c r="S1277" s="37">
        <f t="shared" si="182"/>
        <v>0</v>
      </c>
      <c r="T1277" s="37"/>
      <c r="U1277" s="37"/>
      <c r="V1277" s="37"/>
      <c r="W1277" s="37"/>
      <c r="X1277" s="37"/>
      <c r="Y1277" s="37"/>
      <c r="Z1277" s="37"/>
      <c r="AA1277" s="37">
        <f t="shared" si="174"/>
        <v>0</v>
      </c>
      <c r="AB1277" s="37">
        <f t="shared" si="175"/>
        <v>0</v>
      </c>
    </row>
    <row r="1278" spans="1:28" ht="14.4">
      <c r="A1278" s="117">
        <v>5110311228</v>
      </c>
      <c r="B1278" s="117" t="s">
        <v>986</v>
      </c>
      <c r="C1278" s="37">
        <f>VLOOKUP(A1278,Composición!C:I,5,FALSE)</f>
        <v>0</v>
      </c>
      <c r="D1278" s="37"/>
      <c r="E1278" s="37"/>
      <c r="F1278" s="37"/>
      <c r="G1278" s="37">
        <f t="shared" si="172"/>
        <v>0</v>
      </c>
      <c r="H1278" s="37"/>
      <c r="I1278" s="37"/>
      <c r="J1278" s="37"/>
      <c r="K1278" s="37"/>
      <c r="L1278" s="37"/>
      <c r="M1278" s="37"/>
      <c r="N1278" s="37"/>
      <c r="O1278" s="37"/>
      <c r="P1278" s="37"/>
      <c r="Q1278" s="37"/>
      <c r="R1278" s="37"/>
      <c r="S1278" s="37">
        <f t="shared" si="182"/>
        <v>0</v>
      </c>
      <c r="T1278" s="37"/>
      <c r="U1278" s="37"/>
      <c r="V1278" s="37"/>
      <c r="W1278" s="37"/>
      <c r="X1278" s="37"/>
      <c r="Y1278" s="37"/>
      <c r="Z1278" s="37"/>
      <c r="AA1278" s="37">
        <f t="shared" si="174"/>
        <v>0</v>
      </c>
      <c r="AB1278" s="37">
        <f t="shared" si="175"/>
        <v>0</v>
      </c>
    </row>
    <row r="1279" spans="1:28" ht="14.4">
      <c r="A1279" s="117">
        <v>5110311229</v>
      </c>
      <c r="B1279" s="117" t="s">
        <v>525</v>
      </c>
      <c r="C1279" s="37">
        <f>VLOOKUP(A1279,Composición!C:I,5,FALSE)</f>
        <v>32021865</v>
      </c>
      <c r="D1279" s="37"/>
      <c r="E1279" s="37"/>
      <c r="F1279" s="37"/>
      <c r="G1279" s="37">
        <f t="shared" si="172"/>
        <v>32021865</v>
      </c>
      <c r="H1279" s="37"/>
      <c r="I1279" s="37"/>
      <c r="J1279" s="37"/>
      <c r="K1279" s="37"/>
      <c r="L1279" s="37"/>
      <c r="M1279" s="37"/>
      <c r="N1279" s="37"/>
      <c r="O1279" s="37"/>
      <c r="P1279" s="37"/>
      <c r="Q1279" s="37"/>
      <c r="R1279" s="37"/>
      <c r="S1279" s="37">
        <f t="shared" si="182"/>
        <v>-32021865</v>
      </c>
      <c r="T1279" s="37"/>
      <c r="U1279" s="37"/>
      <c r="V1279" s="37"/>
      <c r="W1279" s="37"/>
      <c r="X1279" s="37"/>
      <c r="Y1279" s="37"/>
      <c r="Z1279" s="37"/>
      <c r="AA1279" s="37">
        <f t="shared" si="174"/>
        <v>0</v>
      </c>
      <c r="AB1279" s="37">
        <f t="shared" si="175"/>
        <v>0</v>
      </c>
    </row>
    <row r="1280" spans="1:28" ht="14.4">
      <c r="A1280" s="117">
        <v>5110311230</v>
      </c>
      <c r="B1280" s="117" t="s">
        <v>689</v>
      </c>
      <c r="C1280" s="37">
        <f>VLOOKUP(A1280,Composición!C:I,5,FALSE)</f>
        <v>0</v>
      </c>
      <c r="D1280" s="37"/>
      <c r="E1280" s="37"/>
      <c r="F1280" s="37"/>
      <c r="G1280" s="37">
        <f t="shared" si="172"/>
        <v>0</v>
      </c>
      <c r="H1280" s="37"/>
      <c r="I1280" s="37"/>
      <c r="J1280" s="37"/>
      <c r="K1280" s="37"/>
      <c r="L1280" s="37"/>
      <c r="M1280" s="37"/>
      <c r="N1280" s="37"/>
      <c r="O1280" s="37"/>
      <c r="P1280" s="37"/>
      <c r="Q1280" s="37"/>
      <c r="R1280" s="37"/>
      <c r="S1280" s="37">
        <f t="shared" si="182"/>
        <v>0</v>
      </c>
      <c r="T1280" s="37"/>
      <c r="U1280" s="37"/>
      <c r="V1280" s="37"/>
      <c r="W1280" s="37"/>
      <c r="X1280" s="37"/>
      <c r="Y1280" s="37"/>
      <c r="Z1280" s="37"/>
      <c r="AA1280" s="37">
        <f t="shared" si="174"/>
        <v>0</v>
      </c>
      <c r="AB1280" s="37">
        <f t="shared" si="175"/>
        <v>0</v>
      </c>
    </row>
    <row r="1281" spans="1:28" ht="14.4">
      <c r="A1281" s="117">
        <v>5110311231</v>
      </c>
      <c r="B1281" s="117" t="s">
        <v>599</v>
      </c>
      <c r="C1281" s="37">
        <f>VLOOKUP(A1281,Composición!C:I,5,FALSE)</f>
        <v>3743491</v>
      </c>
      <c r="D1281" s="37"/>
      <c r="E1281" s="37"/>
      <c r="F1281" s="37"/>
      <c r="G1281" s="37">
        <f t="shared" ref="G1281" si="183">C1281+D1281-E1281-F1281</f>
        <v>3743491</v>
      </c>
      <c r="H1281" s="37"/>
      <c r="I1281" s="37"/>
      <c r="J1281" s="37"/>
      <c r="K1281" s="37"/>
      <c r="L1281" s="37"/>
      <c r="M1281" s="37"/>
      <c r="N1281" s="37"/>
      <c r="O1281" s="37"/>
      <c r="P1281" s="37"/>
      <c r="Q1281" s="37"/>
      <c r="R1281" s="37"/>
      <c r="S1281" s="37">
        <f t="shared" ref="S1281" si="184">-G1281</f>
        <v>-3743491</v>
      </c>
      <c r="T1281" s="37"/>
      <c r="U1281" s="37"/>
      <c r="V1281" s="37"/>
      <c r="W1281" s="37"/>
      <c r="X1281" s="37"/>
      <c r="Y1281" s="37"/>
      <c r="Z1281" s="37"/>
      <c r="AA1281" s="37">
        <f t="shared" ref="AA1281" si="185">SUM(G1281:Z1281)</f>
        <v>0</v>
      </c>
      <c r="AB1281" s="37">
        <f t="shared" ref="AB1281" si="186">SUM(G1281:Z1281)</f>
        <v>0</v>
      </c>
    </row>
    <row r="1282" spans="1:28" ht="14.4">
      <c r="A1282" s="117">
        <v>5110311232</v>
      </c>
      <c r="B1282" s="117" t="s">
        <v>415</v>
      </c>
      <c r="C1282" s="37">
        <f>VLOOKUP(A1282,Composición!C:I,5,FALSE)</f>
        <v>186582130</v>
      </c>
      <c r="D1282" s="37"/>
      <c r="E1282" s="37"/>
      <c r="F1282" s="37"/>
      <c r="G1282" s="37">
        <f t="shared" si="172"/>
        <v>186582130</v>
      </c>
      <c r="H1282" s="37"/>
      <c r="I1282" s="37"/>
      <c r="J1282" s="37"/>
      <c r="K1282" s="37"/>
      <c r="L1282" s="37"/>
      <c r="M1282" s="37"/>
      <c r="N1282" s="37"/>
      <c r="O1282" s="37"/>
      <c r="P1282" s="37"/>
      <c r="Q1282" s="37"/>
      <c r="R1282" s="37"/>
      <c r="S1282" s="37">
        <f t="shared" si="182"/>
        <v>-186582130</v>
      </c>
      <c r="T1282" s="37"/>
      <c r="U1282" s="37"/>
      <c r="V1282" s="37"/>
      <c r="W1282" s="37"/>
      <c r="X1282" s="37"/>
      <c r="Y1282" s="37"/>
      <c r="Z1282" s="37"/>
      <c r="AA1282" s="37">
        <f t="shared" ref="AA1282:AA1348" si="187">SUM(G1282:Z1282)</f>
        <v>0</v>
      </c>
      <c r="AB1282" s="37">
        <f t="shared" si="175"/>
        <v>0</v>
      </c>
    </row>
    <row r="1283" spans="1:28" ht="14.4">
      <c r="A1283" s="117">
        <v>51103113</v>
      </c>
      <c r="B1283" s="117" t="s">
        <v>416</v>
      </c>
      <c r="C1283" s="37">
        <f>VLOOKUP(A1283,Composición!C:I,5,FALSE)</f>
        <v>0</v>
      </c>
      <c r="D1283" s="37"/>
      <c r="E1283" s="37"/>
      <c r="F1283" s="37"/>
      <c r="G1283" s="37">
        <f t="shared" si="172"/>
        <v>0</v>
      </c>
      <c r="H1283" s="37"/>
      <c r="I1283" s="37"/>
      <c r="J1283" s="37"/>
      <c r="K1283" s="37"/>
      <c r="L1283" s="37"/>
      <c r="M1283" s="37"/>
      <c r="N1283" s="37"/>
      <c r="O1283" s="37"/>
      <c r="P1283" s="37"/>
      <c r="Q1283" s="37"/>
      <c r="R1283" s="37"/>
      <c r="S1283" s="37"/>
      <c r="T1283" s="37"/>
      <c r="U1283" s="37"/>
      <c r="V1283" s="37"/>
      <c r="W1283" s="37"/>
      <c r="X1283" s="37"/>
      <c r="Y1283" s="37"/>
      <c r="Z1283" s="37"/>
      <c r="AA1283" s="37">
        <f t="shared" si="187"/>
        <v>0</v>
      </c>
      <c r="AB1283" s="37">
        <f t="shared" si="175"/>
        <v>0</v>
      </c>
    </row>
    <row r="1284" spans="1:28" ht="14.4">
      <c r="A1284" s="117">
        <v>5110311301</v>
      </c>
      <c r="B1284" s="117" t="s">
        <v>57</v>
      </c>
      <c r="C1284" s="37">
        <f>VLOOKUP(A1284,Composición!C:I,5,FALSE)</f>
        <v>182320</v>
      </c>
      <c r="D1284" s="37"/>
      <c r="E1284" s="37"/>
      <c r="F1284" s="37"/>
      <c r="G1284" s="37">
        <f t="shared" si="172"/>
        <v>182320</v>
      </c>
      <c r="H1284" s="37"/>
      <c r="I1284" s="37"/>
      <c r="J1284" s="37"/>
      <c r="K1284" s="37"/>
      <c r="L1284" s="37"/>
      <c r="M1284" s="37"/>
      <c r="N1284" s="37"/>
      <c r="O1284" s="37"/>
      <c r="P1284" s="37"/>
      <c r="Q1284" s="37"/>
      <c r="R1284" s="37"/>
      <c r="S1284" s="37">
        <f t="shared" ref="S1284:S1288" si="188">-G1284</f>
        <v>-182320</v>
      </c>
      <c r="T1284" s="37"/>
      <c r="U1284" s="37"/>
      <c r="V1284" s="37"/>
      <c r="W1284" s="37"/>
      <c r="X1284" s="37"/>
      <c r="Y1284" s="37"/>
      <c r="Z1284" s="37"/>
      <c r="AA1284" s="37">
        <f t="shared" si="187"/>
        <v>0</v>
      </c>
      <c r="AB1284" s="37">
        <f t="shared" si="175"/>
        <v>0</v>
      </c>
    </row>
    <row r="1285" spans="1:28" ht="14.4">
      <c r="A1285" s="117">
        <v>5110311302</v>
      </c>
      <c r="B1285" s="117" t="s">
        <v>254</v>
      </c>
      <c r="C1285" s="37">
        <f>VLOOKUP(A1285,Composición!C:I,5,FALSE)</f>
        <v>810308</v>
      </c>
      <c r="D1285" s="37"/>
      <c r="E1285" s="37"/>
      <c r="F1285" s="37"/>
      <c r="G1285" s="37">
        <f t="shared" ref="G1285:G1353" si="189">C1285+D1285-E1285-F1285</f>
        <v>810308</v>
      </c>
      <c r="H1285" s="37"/>
      <c r="I1285" s="37"/>
      <c r="J1285" s="37"/>
      <c r="K1285" s="37"/>
      <c r="L1285" s="37"/>
      <c r="M1285" s="37"/>
      <c r="N1285" s="37"/>
      <c r="O1285" s="37"/>
      <c r="P1285" s="37"/>
      <c r="Q1285" s="37"/>
      <c r="R1285" s="37"/>
      <c r="S1285" s="37">
        <f t="shared" ref="S1285:S1286" si="190">-G1285</f>
        <v>-810308</v>
      </c>
      <c r="T1285" s="37"/>
      <c r="U1285" s="37"/>
      <c r="V1285" s="37"/>
      <c r="W1285" s="37"/>
      <c r="X1285" s="37"/>
      <c r="Y1285" s="37"/>
      <c r="Z1285" s="37"/>
      <c r="AA1285" s="37">
        <f t="shared" si="187"/>
        <v>0</v>
      </c>
      <c r="AB1285" s="37">
        <f t="shared" si="175"/>
        <v>0</v>
      </c>
    </row>
    <row r="1286" spans="1:28" ht="14.4">
      <c r="A1286" s="117">
        <v>5110311304</v>
      </c>
      <c r="B1286" s="117" t="s">
        <v>258</v>
      </c>
      <c r="C1286" s="37">
        <f>VLOOKUP(A1286,Composición!C:I,5,FALSE)</f>
        <v>0</v>
      </c>
      <c r="D1286" s="37"/>
      <c r="E1286" s="37"/>
      <c r="F1286" s="37"/>
      <c r="G1286" s="37">
        <f t="shared" si="189"/>
        <v>0</v>
      </c>
      <c r="H1286" s="37"/>
      <c r="I1286" s="37"/>
      <c r="J1286" s="37"/>
      <c r="K1286" s="37"/>
      <c r="L1286" s="37"/>
      <c r="M1286" s="37"/>
      <c r="N1286" s="37"/>
      <c r="O1286" s="37"/>
      <c r="P1286" s="37"/>
      <c r="Q1286" s="37"/>
      <c r="R1286" s="37"/>
      <c r="S1286" s="37">
        <f t="shared" si="190"/>
        <v>0</v>
      </c>
      <c r="T1286" s="37"/>
      <c r="U1286" s="37"/>
      <c r="V1286" s="37"/>
      <c r="W1286" s="37"/>
      <c r="X1286" s="37"/>
      <c r="Y1286" s="37"/>
      <c r="Z1286" s="37"/>
      <c r="AA1286" s="37">
        <f t="shared" si="187"/>
        <v>0</v>
      </c>
      <c r="AB1286" s="37">
        <f t="shared" si="175"/>
        <v>0</v>
      </c>
    </row>
    <row r="1287" spans="1:28" ht="14.4">
      <c r="A1287" s="117">
        <v>5110311305</v>
      </c>
      <c r="B1287" s="117" t="s">
        <v>59</v>
      </c>
      <c r="C1287" s="37">
        <f>VLOOKUP(A1287,Composición!C:I,5,FALSE)</f>
        <v>48370044</v>
      </c>
      <c r="D1287" s="37"/>
      <c r="E1287" s="37"/>
      <c r="F1287" s="37"/>
      <c r="G1287" s="37">
        <f t="shared" si="189"/>
        <v>48370044</v>
      </c>
      <c r="H1287" s="37"/>
      <c r="I1287" s="37"/>
      <c r="J1287" s="37"/>
      <c r="K1287" s="37"/>
      <c r="L1287" s="37"/>
      <c r="M1287" s="37"/>
      <c r="N1287" s="37"/>
      <c r="O1287" s="37"/>
      <c r="P1287" s="37"/>
      <c r="Q1287" s="37"/>
      <c r="R1287" s="37"/>
      <c r="S1287" s="37">
        <f t="shared" si="188"/>
        <v>-48370044</v>
      </c>
      <c r="T1287" s="37"/>
      <c r="U1287" s="37"/>
      <c r="V1287" s="37"/>
      <c r="W1287" s="37"/>
      <c r="X1287" s="37"/>
      <c r="Y1287" s="37"/>
      <c r="Z1287" s="37"/>
      <c r="AA1287" s="37">
        <f t="shared" si="187"/>
        <v>0</v>
      </c>
      <c r="AB1287" s="37">
        <f t="shared" si="175"/>
        <v>0</v>
      </c>
    </row>
    <row r="1288" spans="1:28" ht="14.4">
      <c r="A1288" s="117">
        <v>5110311306</v>
      </c>
      <c r="B1288" s="117" t="s">
        <v>60</v>
      </c>
      <c r="C1288" s="37">
        <f>VLOOKUP(A1288,Composición!C:I,5,FALSE)</f>
        <v>2733917</v>
      </c>
      <c r="D1288" s="37"/>
      <c r="E1288" s="37"/>
      <c r="F1288" s="37"/>
      <c r="G1288" s="37">
        <f t="shared" si="189"/>
        <v>2733917</v>
      </c>
      <c r="H1288" s="37"/>
      <c r="I1288" s="37"/>
      <c r="J1288" s="37"/>
      <c r="K1288" s="37"/>
      <c r="L1288" s="37"/>
      <c r="M1288" s="37"/>
      <c r="N1288" s="37"/>
      <c r="O1288" s="37"/>
      <c r="P1288" s="37"/>
      <c r="Q1288" s="37"/>
      <c r="R1288" s="37"/>
      <c r="S1288" s="37">
        <f t="shared" si="188"/>
        <v>-2733917</v>
      </c>
      <c r="T1288" s="37"/>
      <c r="U1288" s="37"/>
      <c r="V1288" s="37"/>
      <c r="W1288" s="37"/>
      <c r="X1288" s="37"/>
      <c r="Y1288" s="37"/>
      <c r="Z1288" s="37"/>
      <c r="AA1288" s="37">
        <f t="shared" si="187"/>
        <v>0</v>
      </c>
      <c r="AB1288" s="37">
        <f t="shared" si="175"/>
        <v>0</v>
      </c>
    </row>
    <row r="1289" spans="1:28" ht="14.4">
      <c r="A1289" s="117">
        <v>5110311307</v>
      </c>
      <c r="B1289" s="117" t="s">
        <v>63</v>
      </c>
      <c r="C1289" s="37">
        <f>VLOOKUP(A1289,Composición!C:I,5,FALSE)</f>
        <v>144590</v>
      </c>
      <c r="D1289" s="37"/>
      <c r="E1289" s="37"/>
      <c r="F1289" s="37"/>
      <c r="G1289" s="37">
        <f t="shared" si="189"/>
        <v>144590</v>
      </c>
      <c r="H1289" s="37"/>
      <c r="I1289" s="37"/>
      <c r="J1289" s="37"/>
      <c r="K1289" s="37"/>
      <c r="L1289" s="37"/>
      <c r="M1289" s="37"/>
      <c r="N1289" s="37"/>
      <c r="O1289" s="37"/>
      <c r="P1289" s="37"/>
      <c r="Q1289" s="37"/>
      <c r="R1289" s="37"/>
      <c r="S1289" s="37">
        <f t="shared" ref="S1289:S1290" si="191">-G1289</f>
        <v>-144590</v>
      </c>
      <c r="T1289" s="37"/>
      <c r="U1289" s="37"/>
      <c r="V1289" s="37"/>
      <c r="W1289" s="37"/>
      <c r="X1289" s="37"/>
      <c r="Y1289" s="37"/>
      <c r="Z1289" s="37"/>
      <c r="AA1289" s="37">
        <f t="shared" si="187"/>
        <v>0</v>
      </c>
      <c r="AB1289" s="37">
        <f t="shared" si="175"/>
        <v>0</v>
      </c>
    </row>
    <row r="1290" spans="1:28" ht="14.4">
      <c r="A1290" s="117">
        <v>5110311308</v>
      </c>
      <c r="B1290" s="117" t="s">
        <v>64</v>
      </c>
      <c r="C1290" s="37">
        <f>VLOOKUP(A1290,Composición!C:I,5,FALSE)</f>
        <v>0</v>
      </c>
      <c r="D1290" s="37"/>
      <c r="E1290" s="37"/>
      <c r="F1290" s="37"/>
      <c r="G1290" s="37">
        <f t="shared" si="189"/>
        <v>0</v>
      </c>
      <c r="H1290" s="37"/>
      <c r="I1290" s="37"/>
      <c r="J1290" s="37"/>
      <c r="K1290" s="37"/>
      <c r="L1290" s="37"/>
      <c r="M1290" s="37"/>
      <c r="N1290" s="37"/>
      <c r="O1290" s="37"/>
      <c r="P1290" s="37"/>
      <c r="Q1290" s="37"/>
      <c r="R1290" s="37"/>
      <c r="S1290" s="37">
        <f t="shared" si="191"/>
        <v>0</v>
      </c>
      <c r="T1290" s="37"/>
      <c r="U1290" s="37"/>
      <c r="V1290" s="37"/>
      <c r="W1290" s="37"/>
      <c r="X1290" s="37"/>
      <c r="Y1290" s="37"/>
      <c r="Z1290" s="37"/>
      <c r="AA1290" s="37">
        <f t="shared" si="187"/>
        <v>0</v>
      </c>
      <c r="AB1290" s="37">
        <f t="shared" si="175"/>
        <v>0</v>
      </c>
    </row>
    <row r="1291" spans="1:28" ht="14.4">
      <c r="A1291" s="1172">
        <v>5110311309</v>
      </c>
      <c r="B1291" s="1172" t="s">
        <v>66</v>
      </c>
      <c r="C1291" s="37">
        <f>VLOOKUP(A1291,Composición!C:I,5,FALSE)</f>
        <v>67791</v>
      </c>
      <c r="D1291" s="37"/>
      <c r="E1291" s="37"/>
      <c r="F1291" s="37"/>
      <c r="G1291" s="37">
        <f t="shared" ref="G1291" si="192">C1291+D1291-E1291-F1291</f>
        <v>67791</v>
      </c>
      <c r="H1291" s="37"/>
      <c r="I1291" s="37"/>
      <c r="J1291" s="37"/>
      <c r="K1291" s="37"/>
      <c r="L1291" s="37"/>
      <c r="M1291" s="37"/>
      <c r="N1291" s="37"/>
      <c r="O1291" s="37"/>
      <c r="P1291" s="37"/>
      <c r="Q1291" s="37"/>
      <c r="R1291" s="37"/>
      <c r="S1291" s="37">
        <f t="shared" ref="S1291" si="193">-G1291</f>
        <v>-67791</v>
      </c>
      <c r="T1291" s="37"/>
      <c r="U1291" s="37"/>
      <c r="V1291" s="37"/>
      <c r="W1291" s="37"/>
      <c r="X1291" s="37"/>
      <c r="Y1291" s="37"/>
      <c r="Z1291" s="37"/>
      <c r="AA1291" s="37">
        <f t="shared" si="187"/>
        <v>0</v>
      </c>
      <c r="AB1291" s="37">
        <f t="shared" si="175"/>
        <v>0</v>
      </c>
    </row>
    <row r="1292" spans="1:28" ht="14.4">
      <c r="A1292" s="117">
        <v>5110311313</v>
      </c>
      <c r="B1292" s="117" t="s">
        <v>1038</v>
      </c>
      <c r="C1292" s="37">
        <f>VLOOKUP(A1292,Composición!C:I,5,FALSE)</f>
        <v>0</v>
      </c>
      <c r="D1292" s="37"/>
      <c r="E1292" s="37"/>
      <c r="F1292" s="37"/>
      <c r="G1292" s="37">
        <f t="shared" si="189"/>
        <v>0</v>
      </c>
      <c r="H1292" s="37"/>
      <c r="I1292" s="37"/>
      <c r="J1292" s="37"/>
      <c r="K1292" s="37"/>
      <c r="L1292" s="37"/>
      <c r="M1292" s="37"/>
      <c r="N1292" s="37"/>
      <c r="O1292" s="37"/>
      <c r="P1292" s="37"/>
      <c r="Q1292" s="37"/>
      <c r="R1292" s="37"/>
      <c r="S1292" s="37"/>
      <c r="T1292" s="37"/>
      <c r="U1292" s="37"/>
      <c r="V1292" s="37"/>
      <c r="W1292" s="37"/>
      <c r="X1292" s="37"/>
      <c r="Y1292" s="37"/>
      <c r="Z1292" s="37"/>
      <c r="AA1292" s="37">
        <f t="shared" si="187"/>
        <v>0</v>
      </c>
      <c r="AB1292" s="37">
        <f t="shared" ref="AB1292:AB1359" si="194">SUM(G1292:Z1292)</f>
        <v>0</v>
      </c>
    </row>
    <row r="1293" spans="1:28" ht="14.4">
      <c r="A1293" s="1351">
        <v>5110311317</v>
      </c>
      <c r="B1293" s="1351" t="s">
        <v>2968</v>
      </c>
      <c r="C1293" s="37">
        <f>VLOOKUP(A1293,Composición!C:I,5,FALSE)</f>
        <v>361310</v>
      </c>
      <c r="D1293" s="37"/>
      <c r="E1293" s="37"/>
      <c r="F1293" s="37"/>
      <c r="G1293" s="37">
        <f t="shared" ref="G1293" si="195">C1293+D1293-E1293-F1293</f>
        <v>361310</v>
      </c>
      <c r="H1293" s="37"/>
      <c r="I1293" s="37"/>
      <c r="J1293" s="37"/>
      <c r="K1293" s="37"/>
      <c r="L1293" s="37"/>
      <c r="M1293" s="37"/>
      <c r="N1293" s="37"/>
      <c r="O1293" s="37"/>
      <c r="P1293" s="37"/>
      <c r="Q1293" s="37"/>
      <c r="R1293" s="37"/>
      <c r="S1293" s="37">
        <f>-G1293</f>
        <v>-361310</v>
      </c>
      <c r="T1293" s="37"/>
      <c r="U1293" s="37"/>
      <c r="V1293" s="37"/>
      <c r="W1293" s="37"/>
      <c r="X1293" s="37"/>
      <c r="Y1293" s="37"/>
      <c r="Z1293" s="37"/>
      <c r="AA1293" s="37">
        <f t="shared" ref="AA1293" si="196">SUM(G1293:Z1293)</f>
        <v>0</v>
      </c>
      <c r="AB1293" s="37">
        <f t="shared" ref="AB1293" si="197">SUM(G1293:Z1293)</f>
        <v>0</v>
      </c>
    </row>
    <row r="1294" spans="1:28" ht="14.4">
      <c r="A1294" s="836">
        <v>5110311321</v>
      </c>
      <c r="B1294" s="836" t="s">
        <v>417</v>
      </c>
      <c r="C1294" s="37">
        <f>VLOOKUP(A1294,Composición!C:I,5,FALSE)</f>
        <v>0</v>
      </c>
      <c r="D1294" s="37"/>
      <c r="E1294" s="37"/>
      <c r="F1294" s="37"/>
      <c r="G1294" s="37">
        <f t="shared" ref="G1294" si="198">C1294+D1294-E1294-F1294</f>
        <v>0</v>
      </c>
      <c r="H1294" s="37"/>
      <c r="I1294" s="37"/>
      <c r="J1294" s="37"/>
      <c r="K1294" s="37"/>
      <c r="L1294" s="37"/>
      <c r="M1294" s="37"/>
      <c r="N1294" s="37"/>
      <c r="O1294" s="37"/>
      <c r="P1294" s="37"/>
      <c r="Q1294" s="37"/>
      <c r="R1294" s="37"/>
      <c r="S1294" s="37">
        <f>-G1294</f>
        <v>0</v>
      </c>
      <c r="T1294" s="37"/>
      <c r="U1294" s="37"/>
      <c r="V1294" s="37"/>
      <c r="W1294" s="37"/>
      <c r="X1294" s="37"/>
      <c r="Y1294" s="37"/>
      <c r="Z1294" s="37"/>
      <c r="AA1294" s="37">
        <f t="shared" si="187"/>
        <v>0</v>
      </c>
      <c r="AB1294" s="37">
        <f t="shared" si="194"/>
        <v>0</v>
      </c>
    </row>
    <row r="1295" spans="1:28" ht="14.4">
      <c r="A1295" s="117">
        <v>5110311329</v>
      </c>
      <c r="B1295" s="117" t="s">
        <v>609</v>
      </c>
      <c r="C1295" s="37">
        <f>VLOOKUP(A1295,Composición!C:I,5,FALSE)</f>
        <v>2574473</v>
      </c>
      <c r="D1295" s="37"/>
      <c r="E1295" s="37"/>
      <c r="F1295" s="37"/>
      <c r="G1295" s="37">
        <f t="shared" si="189"/>
        <v>2574473</v>
      </c>
      <c r="H1295" s="37"/>
      <c r="I1295" s="37"/>
      <c r="J1295" s="37"/>
      <c r="K1295" s="37"/>
      <c r="L1295" s="37"/>
      <c r="M1295" s="37"/>
      <c r="N1295" s="37"/>
      <c r="O1295" s="37"/>
      <c r="P1295" s="37"/>
      <c r="Q1295" s="37"/>
      <c r="R1295" s="37"/>
      <c r="S1295" s="37">
        <f>-G1295</f>
        <v>-2574473</v>
      </c>
      <c r="T1295" s="37"/>
      <c r="U1295" s="37"/>
      <c r="V1295" s="37"/>
      <c r="W1295" s="37"/>
      <c r="X1295" s="37"/>
      <c r="Y1295" s="37"/>
      <c r="Z1295" s="37"/>
      <c r="AA1295" s="37">
        <f t="shared" si="187"/>
        <v>0</v>
      </c>
      <c r="AB1295" s="37">
        <f t="shared" si="194"/>
        <v>0</v>
      </c>
    </row>
    <row r="1296" spans="1:28" ht="14.4">
      <c r="A1296" s="117">
        <v>5110311334</v>
      </c>
      <c r="B1296" s="117" t="s">
        <v>1039</v>
      </c>
      <c r="C1296" s="37">
        <f>VLOOKUP(A1296,Composición!C:I,5,FALSE)</f>
        <v>0</v>
      </c>
      <c r="D1296" s="37"/>
      <c r="E1296" s="37"/>
      <c r="F1296" s="37"/>
      <c r="G1296" s="37">
        <f t="shared" si="189"/>
        <v>0</v>
      </c>
      <c r="H1296" s="37"/>
      <c r="I1296" s="37"/>
      <c r="J1296" s="37"/>
      <c r="K1296" s="37"/>
      <c r="L1296" s="37"/>
      <c r="M1296" s="37"/>
      <c r="N1296" s="37"/>
      <c r="O1296" s="37"/>
      <c r="P1296" s="37"/>
      <c r="Q1296" s="37"/>
      <c r="R1296" s="37"/>
      <c r="S1296" s="37">
        <f>-G1296</f>
        <v>0</v>
      </c>
      <c r="T1296" s="37"/>
      <c r="U1296" s="37"/>
      <c r="V1296" s="37"/>
      <c r="W1296" s="37"/>
      <c r="X1296" s="37"/>
      <c r="Y1296" s="37"/>
      <c r="Z1296" s="37"/>
      <c r="AA1296" s="37">
        <f t="shared" si="187"/>
        <v>0</v>
      </c>
      <c r="AB1296" s="37">
        <f t="shared" si="194"/>
        <v>0</v>
      </c>
    </row>
    <row r="1297" spans="1:28" ht="14.4">
      <c r="A1297" s="117">
        <v>5110311335</v>
      </c>
      <c r="B1297" s="117" t="s">
        <v>418</v>
      </c>
      <c r="C1297" s="37">
        <f>VLOOKUP(A1297,Composición!C:I,5,FALSE)</f>
        <v>1</v>
      </c>
      <c r="D1297" s="37"/>
      <c r="E1297" s="37"/>
      <c r="F1297" s="37"/>
      <c r="G1297" s="37">
        <f t="shared" ref="G1297:G1298" si="199">C1297+D1297-E1297-F1297</f>
        <v>1</v>
      </c>
      <c r="H1297" s="37"/>
      <c r="I1297" s="37"/>
      <c r="J1297" s="37"/>
      <c r="K1297" s="37"/>
      <c r="L1297" s="37"/>
      <c r="M1297" s="37"/>
      <c r="N1297" s="37"/>
      <c r="O1297" s="37"/>
      <c r="P1297" s="37"/>
      <c r="Q1297" s="37"/>
      <c r="R1297" s="37"/>
      <c r="S1297" s="37">
        <f t="shared" ref="S1297:S1298" si="200">-G1297</f>
        <v>-1</v>
      </c>
      <c r="T1297" s="37"/>
      <c r="U1297" s="37"/>
      <c r="V1297" s="37"/>
      <c r="W1297" s="37"/>
      <c r="X1297" s="37"/>
      <c r="Y1297" s="37"/>
      <c r="Z1297" s="37"/>
      <c r="AA1297" s="37">
        <f t="shared" ref="AA1297:AA1298" si="201">SUM(G1297:Z1297)</f>
        <v>0</v>
      </c>
      <c r="AB1297" s="37">
        <f t="shared" ref="AB1297:AB1298" si="202">SUM(G1297:Z1297)</f>
        <v>0</v>
      </c>
    </row>
    <row r="1298" spans="1:28" ht="14.4">
      <c r="A1298" s="1351">
        <v>5110311338</v>
      </c>
      <c r="B1298" s="1351" t="s">
        <v>338</v>
      </c>
      <c r="C1298" s="37">
        <f>VLOOKUP(A1298,Composición!C:I,5,FALSE)</f>
        <v>11254283</v>
      </c>
      <c r="D1298" s="37"/>
      <c r="E1298" s="37"/>
      <c r="F1298" s="37"/>
      <c r="G1298" s="37">
        <f t="shared" si="199"/>
        <v>11254283</v>
      </c>
      <c r="H1298" s="37"/>
      <c r="I1298" s="37"/>
      <c r="J1298" s="37"/>
      <c r="K1298" s="37"/>
      <c r="L1298" s="37"/>
      <c r="M1298" s="37"/>
      <c r="N1298" s="37"/>
      <c r="O1298" s="37"/>
      <c r="P1298" s="37"/>
      <c r="Q1298" s="37"/>
      <c r="R1298" s="37"/>
      <c r="S1298" s="37">
        <f t="shared" si="200"/>
        <v>-11254283</v>
      </c>
      <c r="T1298" s="37"/>
      <c r="U1298" s="37"/>
      <c r="V1298" s="37"/>
      <c r="W1298" s="37"/>
      <c r="X1298" s="37"/>
      <c r="Y1298" s="37"/>
      <c r="Z1298" s="37"/>
      <c r="AA1298" s="37">
        <f t="shared" si="201"/>
        <v>0</v>
      </c>
      <c r="AB1298" s="37">
        <f t="shared" si="202"/>
        <v>0</v>
      </c>
    </row>
    <row r="1299" spans="1:28" ht="14.4">
      <c r="A1299" s="1351">
        <v>5110311339</v>
      </c>
      <c r="B1299" s="1351" t="s">
        <v>2969</v>
      </c>
      <c r="C1299" s="37">
        <f>VLOOKUP(A1299,Composición!C:I,5,FALSE)</f>
        <v>5583618</v>
      </c>
      <c r="D1299" s="37"/>
      <c r="E1299" s="37"/>
      <c r="F1299" s="37"/>
      <c r="G1299" s="37">
        <f t="shared" si="189"/>
        <v>5583618</v>
      </c>
      <c r="H1299" s="37"/>
      <c r="I1299" s="37"/>
      <c r="J1299" s="37"/>
      <c r="K1299" s="37"/>
      <c r="L1299" s="37"/>
      <c r="M1299" s="37"/>
      <c r="N1299" s="37"/>
      <c r="O1299" s="37"/>
      <c r="P1299" s="37"/>
      <c r="Q1299" s="37"/>
      <c r="R1299" s="37"/>
      <c r="S1299" s="37">
        <f t="shared" ref="S1299:S1301" si="203">-G1299</f>
        <v>-5583618</v>
      </c>
      <c r="T1299" s="37"/>
      <c r="U1299" s="37"/>
      <c r="V1299" s="37"/>
      <c r="W1299" s="37"/>
      <c r="X1299" s="37"/>
      <c r="Y1299" s="37"/>
      <c r="Z1299" s="37"/>
      <c r="AA1299" s="37">
        <f t="shared" si="187"/>
        <v>0</v>
      </c>
      <c r="AB1299" s="37">
        <f t="shared" si="194"/>
        <v>0</v>
      </c>
    </row>
    <row r="1300" spans="1:28" ht="14.4">
      <c r="A1300" s="117">
        <v>51103115</v>
      </c>
      <c r="B1300" s="117" t="s">
        <v>419</v>
      </c>
      <c r="C1300" s="37">
        <f>VLOOKUP(A1300,Composición!C:I,5,FALSE)</f>
        <v>0</v>
      </c>
      <c r="D1300" s="37"/>
      <c r="E1300" s="37"/>
      <c r="F1300" s="37"/>
      <c r="G1300" s="37">
        <f t="shared" si="189"/>
        <v>0</v>
      </c>
      <c r="H1300" s="37"/>
      <c r="I1300" s="37"/>
      <c r="J1300" s="37"/>
      <c r="K1300" s="37"/>
      <c r="L1300" s="37"/>
      <c r="M1300" s="37"/>
      <c r="N1300" s="37"/>
      <c r="O1300" s="37"/>
      <c r="P1300" s="37"/>
      <c r="Q1300" s="37"/>
      <c r="R1300" s="37"/>
      <c r="S1300" s="37">
        <f>-G1300</f>
        <v>0</v>
      </c>
      <c r="T1300" s="37"/>
      <c r="U1300" s="37"/>
      <c r="V1300" s="37"/>
      <c r="W1300" s="37"/>
      <c r="X1300" s="37"/>
      <c r="Y1300" s="37"/>
      <c r="Z1300" s="37"/>
      <c r="AA1300" s="37">
        <f t="shared" si="187"/>
        <v>0</v>
      </c>
      <c r="AB1300" s="37">
        <f t="shared" si="194"/>
        <v>0</v>
      </c>
    </row>
    <row r="1301" spans="1:28" ht="14.4">
      <c r="A1301" s="117">
        <v>5110311501</v>
      </c>
      <c r="B1301" s="117" t="s">
        <v>1040</v>
      </c>
      <c r="C1301" s="37">
        <f>VLOOKUP(A1301,Composición!C:I,5,FALSE)</f>
        <v>0</v>
      </c>
      <c r="D1301" s="37"/>
      <c r="E1301" s="37"/>
      <c r="F1301" s="37"/>
      <c r="G1301" s="37">
        <f t="shared" si="189"/>
        <v>0</v>
      </c>
      <c r="H1301" s="37"/>
      <c r="I1301" s="37"/>
      <c r="J1301" s="37"/>
      <c r="K1301" s="37"/>
      <c r="L1301" s="37"/>
      <c r="M1301" s="37"/>
      <c r="N1301" s="37"/>
      <c r="O1301" s="37"/>
      <c r="P1301" s="37"/>
      <c r="Q1301" s="37"/>
      <c r="R1301" s="37"/>
      <c r="S1301" s="37">
        <f t="shared" si="203"/>
        <v>0</v>
      </c>
      <c r="T1301" s="37"/>
      <c r="U1301" s="37"/>
      <c r="V1301" s="37"/>
      <c r="W1301" s="37"/>
      <c r="X1301" s="37"/>
      <c r="Y1301" s="37"/>
      <c r="Z1301" s="37"/>
      <c r="AA1301" s="37">
        <f t="shared" si="187"/>
        <v>0</v>
      </c>
      <c r="AB1301" s="37">
        <f t="shared" si="194"/>
        <v>0</v>
      </c>
    </row>
    <row r="1302" spans="1:28" ht="14.4">
      <c r="A1302" s="117">
        <v>511032</v>
      </c>
      <c r="B1302" s="117" t="s">
        <v>106</v>
      </c>
      <c r="C1302" s="37">
        <f>VLOOKUP(A1302,Composición!C:I,5,FALSE)</f>
        <v>0</v>
      </c>
      <c r="D1302" s="37"/>
      <c r="E1302" s="37"/>
      <c r="F1302" s="37"/>
      <c r="G1302" s="37">
        <f t="shared" si="189"/>
        <v>0</v>
      </c>
      <c r="H1302" s="37"/>
      <c r="I1302" s="37"/>
      <c r="J1302" s="37"/>
      <c r="K1302" s="37"/>
      <c r="L1302" s="37"/>
      <c r="M1302" s="37"/>
      <c r="N1302" s="37"/>
      <c r="O1302" s="37"/>
      <c r="P1302" s="37"/>
      <c r="Q1302" s="37"/>
      <c r="R1302" s="37"/>
      <c r="S1302" s="37"/>
      <c r="T1302" s="37"/>
      <c r="U1302" s="37"/>
      <c r="V1302" s="37"/>
      <c r="W1302" s="37"/>
      <c r="X1302" s="37"/>
      <c r="Y1302" s="37"/>
      <c r="Z1302" s="37"/>
      <c r="AA1302" s="37">
        <f t="shared" si="187"/>
        <v>0</v>
      </c>
      <c r="AB1302" s="37">
        <f t="shared" si="194"/>
        <v>0</v>
      </c>
    </row>
    <row r="1303" spans="1:28" ht="14.4">
      <c r="A1303" s="117">
        <v>5110321</v>
      </c>
      <c r="B1303" s="117" t="s">
        <v>106</v>
      </c>
      <c r="C1303" s="37">
        <f>VLOOKUP(A1303,Composición!C:I,5,FALSE)</f>
        <v>0</v>
      </c>
      <c r="D1303" s="37"/>
      <c r="E1303" s="37"/>
      <c r="F1303" s="37"/>
      <c r="G1303" s="37">
        <f t="shared" si="189"/>
        <v>0</v>
      </c>
      <c r="H1303" s="37"/>
      <c r="I1303" s="37"/>
      <c r="J1303" s="37"/>
      <c r="K1303" s="37"/>
      <c r="L1303" s="37"/>
      <c r="M1303" s="37"/>
      <c r="N1303" s="37"/>
      <c r="O1303" s="37"/>
      <c r="P1303" s="37"/>
      <c r="Q1303" s="37"/>
      <c r="R1303" s="37"/>
      <c r="S1303" s="37"/>
      <c r="T1303" s="37"/>
      <c r="U1303" s="37"/>
      <c r="V1303" s="37"/>
      <c r="W1303" s="37"/>
      <c r="X1303" s="37"/>
      <c r="Y1303" s="37"/>
      <c r="Z1303" s="37"/>
      <c r="AA1303" s="37">
        <f t="shared" si="187"/>
        <v>0</v>
      </c>
      <c r="AB1303" s="37">
        <f t="shared" si="194"/>
        <v>0</v>
      </c>
    </row>
    <row r="1304" spans="1:28" ht="14.4">
      <c r="A1304" s="117">
        <v>51103211</v>
      </c>
      <c r="B1304" s="117" t="s">
        <v>106</v>
      </c>
      <c r="C1304" s="37">
        <f>VLOOKUP(A1304,Composición!C:I,5,FALSE)</f>
        <v>0</v>
      </c>
      <c r="D1304" s="37"/>
      <c r="E1304" s="37"/>
      <c r="F1304" s="37"/>
      <c r="G1304" s="37">
        <f t="shared" si="189"/>
        <v>0</v>
      </c>
      <c r="H1304" s="37"/>
      <c r="I1304" s="37"/>
      <c r="J1304" s="37"/>
      <c r="K1304" s="37"/>
      <c r="L1304" s="37"/>
      <c r="M1304" s="37"/>
      <c r="N1304" s="37"/>
      <c r="O1304" s="37"/>
      <c r="P1304" s="37"/>
      <c r="Q1304" s="37"/>
      <c r="R1304" s="37"/>
      <c r="S1304" s="37"/>
      <c r="T1304" s="37"/>
      <c r="U1304" s="37"/>
      <c r="V1304" s="37"/>
      <c r="W1304" s="37"/>
      <c r="X1304" s="37"/>
      <c r="Y1304" s="37"/>
      <c r="Z1304" s="37"/>
      <c r="AA1304" s="37">
        <f t="shared" si="187"/>
        <v>0</v>
      </c>
      <c r="AB1304" s="37">
        <f t="shared" si="194"/>
        <v>0</v>
      </c>
    </row>
    <row r="1305" spans="1:28" ht="14.4">
      <c r="A1305" s="117">
        <v>5110321101</v>
      </c>
      <c r="B1305" s="117" t="s">
        <v>1041</v>
      </c>
      <c r="C1305" s="37">
        <f>VLOOKUP(A1305,Composición!C:I,5,FALSE)</f>
        <v>0</v>
      </c>
      <c r="D1305" s="37"/>
      <c r="E1305" s="37"/>
      <c r="F1305" s="37"/>
      <c r="G1305" s="37">
        <f t="shared" si="189"/>
        <v>0</v>
      </c>
      <c r="H1305" s="37"/>
      <c r="I1305" s="37"/>
      <c r="J1305" s="37"/>
      <c r="K1305" s="37"/>
      <c r="L1305" s="37"/>
      <c r="M1305" s="37"/>
      <c r="N1305" s="37"/>
      <c r="O1305" s="37"/>
      <c r="P1305" s="37"/>
      <c r="Q1305" s="37"/>
      <c r="R1305" s="37"/>
      <c r="S1305" s="37"/>
      <c r="T1305" s="37"/>
      <c r="U1305" s="37"/>
      <c r="V1305" s="37"/>
      <c r="W1305" s="37"/>
      <c r="X1305" s="37"/>
      <c r="Y1305" s="37"/>
      <c r="Z1305" s="37"/>
      <c r="AA1305" s="37">
        <f t="shared" si="187"/>
        <v>0</v>
      </c>
      <c r="AB1305" s="37">
        <f t="shared" si="194"/>
        <v>0</v>
      </c>
    </row>
    <row r="1306" spans="1:28" ht="14.4">
      <c r="A1306" s="117">
        <v>5110321102</v>
      </c>
      <c r="B1306" s="117" t="s">
        <v>421</v>
      </c>
      <c r="C1306" s="37">
        <f>VLOOKUP(A1306,Composición!C:I,5,FALSE)</f>
        <v>228401350</v>
      </c>
      <c r="D1306" s="37"/>
      <c r="E1306" s="37">
        <f>+C1306</f>
        <v>228401350</v>
      </c>
      <c r="F1306" s="37"/>
      <c r="G1306" s="37">
        <f>C1306+D1306-E1306-F1306</f>
        <v>0</v>
      </c>
      <c r="H1306" s="37"/>
      <c r="I1306" s="37"/>
      <c r="J1306" s="37"/>
      <c r="K1306" s="37"/>
      <c r="L1306" s="37"/>
      <c r="M1306" s="37"/>
      <c r="N1306" s="37"/>
      <c r="O1306" s="37"/>
      <c r="P1306" s="37"/>
      <c r="Q1306" s="37"/>
      <c r="R1306" s="37"/>
      <c r="S1306" s="37">
        <f>-G1306</f>
        <v>0</v>
      </c>
      <c r="T1306" s="37"/>
      <c r="U1306" s="37"/>
      <c r="V1306" s="37"/>
      <c r="W1306" s="37"/>
      <c r="X1306" s="37"/>
      <c r="Y1306" s="37"/>
      <c r="Z1306" s="37"/>
      <c r="AA1306" s="37">
        <f t="shared" si="187"/>
        <v>0</v>
      </c>
      <c r="AB1306" s="37">
        <f t="shared" si="194"/>
        <v>0</v>
      </c>
    </row>
    <row r="1307" spans="1:28" ht="14.4">
      <c r="A1307" s="117">
        <v>51104</v>
      </c>
      <c r="B1307" s="117" t="s">
        <v>422</v>
      </c>
      <c r="C1307" s="37">
        <f>VLOOKUP(A1307,Composición!C:I,5,FALSE)</f>
        <v>0</v>
      </c>
      <c r="D1307" s="37"/>
      <c r="E1307" s="37"/>
      <c r="F1307" s="37"/>
      <c r="G1307" s="37">
        <f t="shared" si="189"/>
        <v>0</v>
      </c>
      <c r="H1307" s="37"/>
      <c r="I1307" s="37"/>
      <c r="J1307" s="37"/>
      <c r="K1307" s="37"/>
      <c r="L1307" s="37"/>
      <c r="M1307" s="37"/>
      <c r="N1307" s="37"/>
      <c r="O1307" s="37"/>
      <c r="P1307" s="37"/>
      <c r="Q1307" s="37"/>
      <c r="R1307" s="37"/>
      <c r="S1307" s="37"/>
      <c r="T1307" s="37"/>
      <c r="U1307" s="37"/>
      <c r="V1307" s="37"/>
      <c r="W1307" s="37"/>
      <c r="X1307" s="37"/>
      <c r="Y1307" s="37"/>
      <c r="Z1307" s="37"/>
      <c r="AA1307" s="37">
        <f t="shared" si="187"/>
        <v>0</v>
      </c>
      <c r="AB1307" s="37">
        <f t="shared" si="194"/>
        <v>0</v>
      </c>
    </row>
    <row r="1308" spans="1:28" ht="14.4">
      <c r="A1308" s="117">
        <v>511041</v>
      </c>
      <c r="B1308" s="117" t="s">
        <v>422</v>
      </c>
      <c r="C1308" s="37">
        <f>VLOOKUP(A1308,Composición!C:I,5,FALSE)</f>
        <v>0</v>
      </c>
      <c r="D1308" s="37"/>
      <c r="E1308" s="37"/>
      <c r="F1308" s="37"/>
      <c r="G1308" s="37">
        <f t="shared" si="189"/>
        <v>0</v>
      </c>
      <c r="H1308" s="37"/>
      <c r="I1308" s="37"/>
      <c r="J1308" s="37"/>
      <c r="K1308" s="37"/>
      <c r="L1308" s="37"/>
      <c r="M1308" s="37"/>
      <c r="N1308" s="37"/>
      <c r="O1308" s="37"/>
      <c r="P1308" s="37"/>
      <c r="Q1308" s="37"/>
      <c r="R1308" s="37"/>
      <c r="S1308" s="37"/>
      <c r="T1308" s="37"/>
      <c r="U1308" s="37"/>
      <c r="V1308" s="37"/>
      <c r="W1308" s="37"/>
      <c r="X1308" s="37"/>
      <c r="Y1308" s="37"/>
      <c r="Z1308" s="37"/>
      <c r="AA1308" s="37">
        <f t="shared" si="187"/>
        <v>0</v>
      </c>
      <c r="AB1308" s="37">
        <f t="shared" si="194"/>
        <v>0</v>
      </c>
    </row>
    <row r="1309" spans="1:28" ht="14.4">
      <c r="A1309" s="117">
        <v>5110411</v>
      </c>
      <c r="B1309" s="117" t="s">
        <v>422</v>
      </c>
      <c r="C1309" s="37">
        <f>VLOOKUP(A1309,Composición!C:I,5,FALSE)</f>
        <v>0</v>
      </c>
      <c r="D1309" s="37"/>
      <c r="E1309" s="37"/>
      <c r="F1309" s="37"/>
      <c r="G1309" s="37">
        <f t="shared" si="189"/>
        <v>0</v>
      </c>
      <c r="H1309" s="37"/>
      <c r="I1309" s="37"/>
      <c r="J1309" s="37"/>
      <c r="K1309" s="37"/>
      <c r="L1309" s="37"/>
      <c r="M1309" s="37"/>
      <c r="N1309" s="37"/>
      <c r="O1309" s="37"/>
      <c r="P1309" s="37"/>
      <c r="Q1309" s="37"/>
      <c r="R1309" s="37"/>
      <c r="S1309" s="37"/>
      <c r="T1309" s="37"/>
      <c r="U1309" s="37"/>
      <c r="V1309" s="37"/>
      <c r="W1309" s="37"/>
      <c r="X1309" s="37"/>
      <c r="Y1309" s="37"/>
      <c r="Z1309" s="37"/>
      <c r="AA1309" s="37">
        <f t="shared" si="187"/>
        <v>0</v>
      </c>
      <c r="AB1309" s="37">
        <f t="shared" si="194"/>
        <v>0</v>
      </c>
    </row>
    <row r="1310" spans="1:28" ht="14.4">
      <c r="A1310" s="117">
        <v>51104111</v>
      </c>
      <c r="B1310" s="117" t="s">
        <v>422</v>
      </c>
      <c r="C1310" s="37">
        <f>VLOOKUP(A1310,Composición!C:I,5,FALSE)</f>
        <v>0</v>
      </c>
      <c r="D1310" s="37"/>
      <c r="E1310" s="37"/>
      <c r="F1310" s="37"/>
      <c r="G1310" s="37">
        <f t="shared" si="189"/>
        <v>0</v>
      </c>
      <c r="H1310" s="37"/>
      <c r="I1310" s="37"/>
      <c r="J1310" s="37"/>
      <c r="K1310" s="37"/>
      <c r="L1310" s="37">
        <f>-G1310</f>
        <v>0</v>
      </c>
      <c r="M1310" s="37"/>
      <c r="N1310" s="37"/>
      <c r="O1310" s="37"/>
      <c r="P1310" s="37"/>
      <c r="Q1310" s="37"/>
      <c r="R1310" s="37"/>
      <c r="S1310" s="37"/>
      <c r="T1310" s="37"/>
      <c r="U1310" s="37"/>
      <c r="V1310" s="37"/>
      <c r="W1310" s="37"/>
      <c r="X1310" s="37"/>
      <c r="Y1310" s="37"/>
      <c r="Z1310" s="37"/>
      <c r="AA1310" s="37">
        <f t="shared" si="187"/>
        <v>0</v>
      </c>
      <c r="AB1310" s="37">
        <f t="shared" si="194"/>
        <v>0</v>
      </c>
    </row>
    <row r="1311" spans="1:28" ht="14.4">
      <c r="A1311" s="117">
        <v>5110411101</v>
      </c>
      <c r="B1311" s="117" t="s">
        <v>423</v>
      </c>
      <c r="C1311" s="37">
        <f>VLOOKUP(A1311,Composición!C:I,5,FALSE)</f>
        <v>3092730</v>
      </c>
      <c r="D1311" s="37"/>
      <c r="E1311" s="37"/>
      <c r="F1311" s="37"/>
      <c r="G1311" s="37">
        <f t="shared" si="189"/>
        <v>3092730</v>
      </c>
      <c r="H1311" s="37"/>
      <c r="I1311" s="37"/>
      <c r="J1311" s="37"/>
      <c r="K1311" s="37"/>
      <c r="L1311" s="37">
        <f>-G1311</f>
        <v>-3092730</v>
      </c>
      <c r="M1311" s="37"/>
      <c r="N1311" s="37"/>
      <c r="O1311" s="37"/>
      <c r="P1311" s="37"/>
      <c r="Q1311" s="37"/>
      <c r="R1311" s="37"/>
      <c r="S1311" s="37"/>
      <c r="T1311" s="37"/>
      <c r="U1311" s="37"/>
      <c r="V1311" s="37"/>
      <c r="W1311" s="37"/>
      <c r="X1311" s="37"/>
      <c r="Y1311" s="37"/>
      <c r="Z1311" s="37"/>
      <c r="AA1311" s="37">
        <f t="shared" si="187"/>
        <v>0</v>
      </c>
      <c r="AB1311" s="37">
        <f t="shared" si="194"/>
        <v>0</v>
      </c>
    </row>
    <row r="1312" spans="1:28" ht="14.4">
      <c r="A1312" s="117">
        <v>51105</v>
      </c>
      <c r="B1312" s="117" t="s">
        <v>1043</v>
      </c>
      <c r="C1312" s="37">
        <f>VLOOKUP(A1312,Composición!C:I,5,FALSE)</f>
        <v>0</v>
      </c>
      <c r="D1312" s="37"/>
      <c r="E1312" s="37"/>
      <c r="F1312" s="37"/>
      <c r="G1312" s="37">
        <f t="shared" si="189"/>
        <v>0</v>
      </c>
      <c r="H1312" s="37"/>
      <c r="I1312" s="37"/>
      <c r="J1312" s="37"/>
      <c r="K1312" s="37"/>
      <c r="L1312" s="37"/>
      <c r="M1312" s="37"/>
      <c r="N1312" s="37"/>
      <c r="O1312" s="37"/>
      <c r="P1312" s="37"/>
      <c r="Q1312" s="37"/>
      <c r="R1312" s="37"/>
      <c r="S1312" s="37"/>
      <c r="T1312" s="37"/>
      <c r="U1312" s="37"/>
      <c r="V1312" s="37"/>
      <c r="W1312" s="37"/>
      <c r="X1312" s="37"/>
      <c r="Y1312" s="37"/>
      <c r="Z1312" s="37"/>
      <c r="AA1312" s="37">
        <f t="shared" si="187"/>
        <v>0</v>
      </c>
      <c r="AB1312" s="37">
        <f t="shared" si="194"/>
        <v>0</v>
      </c>
    </row>
    <row r="1313" spans="1:28" ht="14.4">
      <c r="A1313" s="117">
        <v>511051</v>
      </c>
      <c r="B1313" s="117" t="s">
        <v>1043</v>
      </c>
      <c r="C1313" s="37">
        <f>VLOOKUP(A1313,Composición!C:I,5,FALSE)</f>
        <v>0</v>
      </c>
      <c r="D1313" s="37"/>
      <c r="E1313" s="37"/>
      <c r="F1313" s="37"/>
      <c r="G1313" s="37">
        <f t="shared" si="189"/>
        <v>0</v>
      </c>
      <c r="H1313" s="37"/>
      <c r="I1313" s="37"/>
      <c r="J1313" s="37"/>
      <c r="K1313" s="37"/>
      <c r="L1313" s="37"/>
      <c r="M1313" s="37"/>
      <c r="N1313" s="37"/>
      <c r="O1313" s="37"/>
      <c r="P1313" s="37"/>
      <c r="Q1313" s="37"/>
      <c r="R1313" s="37"/>
      <c r="S1313" s="37"/>
      <c r="T1313" s="37"/>
      <c r="U1313" s="37"/>
      <c r="V1313" s="37"/>
      <c r="W1313" s="37"/>
      <c r="X1313" s="37"/>
      <c r="Y1313" s="37"/>
      <c r="Z1313" s="37"/>
      <c r="AA1313" s="37">
        <f t="shared" si="187"/>
        <v>0</v>
      </c>
      <c r="AB1313" s="37">
        <f t="shared" si="194"/>
        <v>0</v>
      </c>
    </row>
    <row r="1314" spans="1:28" ht="14.4">
      <c r="A1314" s="117">
        <v>5110511</v>
      </c>
      <c r="B1314" s="117" t="s">
        <v>1043</v>
      </c>
      <c r="C1314" s="37">
        <f>VLOOKUP(A1314,Composición!C:I,5,FALSE)</f>
        <v>0</v>
      </c>
      <c r="D1314" s="37"/>
      <c r="E1314" s="37"/>
      <c r="F1314" s="37"/>
      <c r="G1314" s="37">
        <f t="shared" si="189"/>
        <v>0</v>
      </c>
      <c r="H1314" s="37"/>
      <c r="I1314" s="37"/>
      <c r="J1314" s="37"/>
      <c r="K1314" s="37"/>
      <c r="L1314" s="37"/>
      <c r="M1314" s="37"/>
      <c r="N1314" s="37"/>
      <c r="O1314" s="37"/>
      <c r="P1314" s="37"/>
      <c r="Q1314" s="37"/>
      <c r="R1314" s="37"/>
      <c r="S1314" s="37"/>
      <c r="T1314" s="37"/>
      <c r="U1314" s="37"/>
      <c r="V1314" s="37"/>
      <c r="W1314" s="37"/>
      <c r="X1314" s="37"/>
      <c r="Y1314" s="37"/>
      <c r="Z1314" s="37"/>
      <c r="AA1314" s="37">
        <f t="shared" si="187"/>
        <v>0</v>
      </c>
      <c r="AB1314" s="37">
        <f t="shared" si="194"/>
        <v>0</v>
      </c>
    </row>
    <row r="1315" spans="1:28" ht="14.4">
      <c r="A1315" s="117">
        <v>51105111</v>
      </c>
      <c r="B1315" s="117" t="s">
        <v>1043</v>
      </c>
      <c r="C1315" s="37">
        <f>VLOOKUP(A1315,Composición!C:I,5,FALSE)</f>
        <v>0</v>
      </c>
      <c r="D1315" s="37"/>
      <c r="E1315" s="37"/>
      <c r="F1315" s="37"/>
      <c r="G1315" s="37">
        <f t="shared" si="189"/>
        <v>0</v>
      </c>
      <c r="H1315" s="37"/>
      <c r="I1315" s="37"/>
      <c r="J1315" s="37"/>
      <c r="K1315" s="37"/>
      <c r="L1315" s="37"/>
      <c r="M1315" s="37"/>
      <c r="N1315" s="37"/>
      <c r="O1315" s="37"/>
      <c r="P1315" s="37"/>
      <c r="Q1315" s="37"/>
      <c r="R1315" s="37"/>
      <c r="S1315" s="37"/>
      <c r="T1315" s="37"/>
      <c r="U1315" s="37"/>
      <c r="V1315" s="37"/>
      <c r="W1315" s="37"/>
      <c r="X1315" s="37"/>
      <c r="Y1315" s="37"/>
      <c r="Z1315" s="37"/>
      <c r="AA1315" s="37">
        <f t="shared" si="187"/>
        <v>0</v>
      </c>
      <c r="AB1315" s="37">
        <f t="shared" si="194"/>
        <v>0</v>
      </c>
    </row>
    <row r="1316" spans="1:28" ht="14.4">
      <c r="A1316" s="117">
        <v>5110511101</v>
      </c>
      <c r="B1316" s="117" t="s">
        <v>1044</v>
      </c>
      <c r="C1316" s="37">
        <f>VLOOKUP(A1316,Composición!C:I,5,FALSE)</f>
        <v>229370770</v>
      </c>
      <c r="D1316" s="37"/>
      <c r="E1316" s="37"/>
      <c r="F1316" s="37"/>
      <c r="G1316" s="37">
        <f t="shared" si="189"/>
        <v>229370770</v>
      </c>
      <c r="H1316" s="37">
        <f>-G1316</f>
        <v>-229370770</v>
      </c>
      <c r="I1316" s="37"/>
      <c r="J1316" s="37"/>
      <c r="K1316" s="37"/>
      <c r="L1316" s="37"/>
      <c r="M1316" s="37"/>
      <c r="N1316" s="37"/>
      <c r="O1316" s="37"/>
      <c r="P1316" s="37"/>
      <c r="Q1316" s="37"/>
      <c r="R1316" s="37"/>
      <c r="S1316" s="37"/>
      <c r="T1316" s="37"/>
      <c r="U1316" s="37"/>
      <c r="V1316" s="37"/>
      <c r="W1316" s="37"/>
      <c r="X1316" s="37"/>
      <c r="Y1316" s="37"/>
      <c r="Z1316" s="37"/>
      <c r="AA1316" s="37">
        <f t="shared" si="187"/>
        <v>0</v>
      </c>
      <c r="AB1316" s="37">
        <f t="shared" si="194"/>
        <v>0</v>
      </c>
    </row>
    <row r="1317" spans="1:28" ht="14.4">
      <c r="A1317" s="117">
        <v>5110511102</v>
      </c>
      <c r="B1317" s="117" t="s">
        <v>1045</v>
      </c>
      <c r="C1317" s="37">
        <f>VLOOKUP(A1317,Composición!C:I,5,FALSE)</f>
        <v>2410982950</v>
      </c>
      <c r="D1317" s="37"/>
      <c r="E1317" s="37"/>
      <c r="F1317" s="37"/>
      <c r="G1317" s="37">
        <f t="shared" si="189"/>
        <v>2410982950</v>
      </c>
      <c r="H1317" s="37">
        <f>-G1317</f>
        <v>-2410982950</v>
      </c>
      <c r="I1317" s="37"/>
      <c r="J1317" s="37"/>
      <c r="K1317" s="37"/>
      <c r="L1317" s="37"/>
      <c r="M1317" s="37"/>
      <c r="N1317" s="37"/>
      <c r="O1317" s="37"/>
      <c r="P1317" s="37"/>
      <c r="Q1317" s="37"/>
      <c r="R1317" s="37"/>
      <c r="S1317" s="37"/>
      <c r="T1317" s="37"/>
      <c r="U1317" s="37"/>
      <c r="V1317" s="37"/>
      <c r="W1317" s="37"/>
      <c r="X1317" s="37"/>
      <c r="Y1317" s="37"/>
      <c r="Z1317" s="37"/>
      <c r="AA1317" s="37">
        <f t="shared" si="187"/>
        <v>0</v>
      </c>
      <c r="AB1317" s="37">
        <f t="shared" si="194"/>
        <v>0</v>
      </c>
    </row>
    <row r="1318" spans="1:28" ht="14.4">
      <c r="A1318" s="117">
        <v>512</v>
      </c>
      <c r="B1318" s="117" t="s">
        <v>425</v>
      </c>
      <c r="C1318" s="37">
        <f>VLOOKUP(A1318,Composición!C:I,5,FALSE)</f>
        <v>0</v>
      </c>
      <c r="D1318" s="37"/>
      <c r="E1318" s="37"/>
      <c r="F1318" s="37"/>
      <c r="G1318" s="37">
        <f t="shared" si="189"/>
        <v>0</v>
      </c>
      <c r="H1318" s="37"/>
      <c r="I1318" s="37"/>
      <c r="J1318" s="37"/>
      <c r="K1318" s="37"/>
      <c r="L1318" s="37"/>
      <c r="M1318" s="37"/>
      <c r="N1318" s="37"/>
      <c r="O1318" s="37"/>
      <c r="P1318" s="37"/>
      <c r="Q1318" s="37"/>
      <c r="R1318" s="37"/>
      <c r="S1318" s="37"/>
      <c r="T1318" s="37"/>
      <c r="U1318" s="37"/>
      <c r="V1318" s="37"/>
      <c r="W1318" s="37"/>
      <c r="X1318" s="37"/>
      <c r="Y1318" s="37"/>
      <c r="Z1318" s="37"/>
      <c r="AA1318" s="37">
        <f t="shared" si="187"/>
        <v>0</v>
      </c>
      <c r="AB1318" s="37">
        <f t="shared" si="194"/>
        <v>0</v>
      </c>
    </row>
    <row r="1319" spans="1:28" ht="14.4">
      <c r="A1319" s="117">
        <v>51201</v>
      </c>
      <c r="B1319" s="117" t="s">
        <v>426</v>
      </c>
      <c r="C1319" s="37">
        <f>VLOOKUP(A1319,Composición!C:I,5,FALSE)</f>
        <v>0</v>
      </c>
      <c r="D1319" s="37"/>
      <c r="E1319" s="37"/>
      <c r="F1319" s="37"/>
      <c r="G1319" s="37">
        <f t="shared" si="189"/>
        <v>0</v>
      </c>
      <c r="H1319" s="37"/>
      <c r="I1319" s="37"/>
      <c r="J1319" s="37"/>
      <c r="K1319" s="37"/>
      <c r="L1319" s="37"/>
      <c r="M1319" s="37"/>
      <c r="N1319" s="37"/>
      <c r="O1319" s="37"/>
      <c r="P1319" s="37"/>
      <c r="Q1319" s="37"/>
      <c r="R1319" s="37"/>
      <c r="S1319" s="37"/>
      <c r="T1319" s="37"/>
      <c r="U1319" s="37"/>
      <c r="V1319" s="37"/>
      <c r="W1319" s="37"/>
      <c r="X1319" s="37"/>
      <c r="Y1319" s="37"/>
      <c r="Z1319" s="37"/>
      <c r="AA1319" s="37">
        <f t="shared" si="187"/>
        <v>0</v>
      </c>
      <c r="AB1319" s="37">
        <f t="shared" si="194"/>
        <v>0</v>
      </c>
    </row>
    <row r="1320" spans="1:28" ht="14.4">
      <c r="A1320" s="117">
        <v>512011</v>
      </c>
      <c r="B1320" s="117" t="s">
        <v>426</v>
      </c>
      <c r="C1320" s="37">
        <f>VLOOKUP(A1320,Composición!C:I,5,FALSE)</f>
        <v>0</v>
      </c>
      <c r="D1320" s="37"/>
      <c r="E1320" s="37"/>
      <c r="F1320" s="37"/>
      <c r="G1320" s="37">
        <f t="shared" si="189"/>
        <v>0</v>
      </c>
      <c r="H1320" s="37"/>
      <c r="I1320" s="37"/>
      <c r="J1320" s="37"/>
      <c r="K1320" s="37"/>
      <c r="L1320" s="37"/>
      <c r="M1320" s="37"/>
      <c r="N1320" s="37"/>
      <c r="O1320" s="37"/>
      <c r="P1320" s="37"/>
      <c r="Q1320" s="37"/>
      <c r="R1320" s="37"/>
      <c r="S1320" s="37"/>
      <c r="T1320" s="37"/>
      <c r="U1320" s="37"/>
      <c r="V1320" s="37"/>
      <c r="W1320" s="37"/>
      <c r="X1320" s="37"/>
      <c r="Y1320" s="37"/>
      <c r="Z1320" s="37"/>
      <c r="AA1320" s="37">
        <f t="shared" si="187"/>
        <v>0</v>
      </c>
      <c r="AB1320" s="37">
        <f t="shared" si="194"/>
        <v>0</v>
      </c>
    </row>
    <row r="1321" spans="1:28" ht="14.4">
      <c r="A1321" s="117">
        <v>5120111</v>
      </c>
      <c r="B1321" s="117" t="s">
        <v>426</v>
      </c>
      <c r="C1321" s="37">
        <f>VLOOKUP(A1321,Composición!C:I,5,FALSE)</f>
        <v>0</v>
      </c>
      <c r="D1321" s="37"/>
      <c r="E1321" s="37"/>
      <c r="F1321" s="37"/>
      <c r="G1321" s="37">
        <f t="shared" si="189"/>
        <v>0</v>
      </c>
      <c r="H1321" s="37"/>
      <c r="I1321" s="37"/>
      <c r="J1321" s="37"/>
      <c r="K1321" s="37"/>
      <c r="L1321" s="37"/>
      <c r="M1321" s="37"/>
      <c r="N1321" s="37"/>
      <c r="O1321" s="37"/>
      <c r="P1321" s="37"/>
      <c r="Q1321" s="37"/>
      <c r="R1321" s="37"/>
      <c r="S1321" s="37"/>
      <c r="T1321" s="37"/>
      <c r="U1321" s="37"/>
      <c r="V1321" s="37"/>
      <c r="W1321" s="37"/>
      <c r="X1321" s="37"/>
      <c r="Y1321" s="37"/>
      <c r="Z1321" s="37"/>
      <c r="AA1321" s="37">
        <f t="shared" si="187"/>
        <v>0</v>
      </c>
      <c r="AB1321" s="37">
        <f t="shared" si="194"/>
        <v>0</v>
      </c>
    </row>
    <row r="1322" spans="1:28" ht="14.4">
      <c r="A1322" s="117">
        <v>51201111</v>
      </c>
      <c r="B1322" s="117" t="s">
        <v>426</v>
      </c>
      <c r="C1322" s="37">
        <f>VLOOKUP(A1322,Composición!C:I,5,FALSE)</f>
        <v>0</v>
      </c>
      <c r="D1322" s="37"/>
      <c r="E1322" s="37"/>
      <c r="F1322" s="37"/>
      <c r="G1322" s="37">
        <f t="shared" si="189"/>
        <v>0</v>
      </c>
      <c r="H1322" s="37"/>
      <c r="I1322" s="37"/>
      <c r="J1322" s="37"/>
      <c r="K1322" s="37"/>
      <c r="L1322" s="37">
        <f t="shared" ref="L1322:L1327" si="204">-G1322</f>
        <v>0</v>
      </c>
      <c r="M1322" s="37"/>
      <c r="N1322" s="37"/>
      <c r="O1322" s="37"/>
      <c r="P1322" s="37"/>
      <c r="Q1322" s="37"/>
      <c r="R1322" s="37"/>
      <c r="S1322" s="37"/>
      <c r="T1322" s="37"/>
      <c r="U1322" s="37"/>
      <c r="V1322" s="37"/>
      <c r="W1322" s="37"/>
      <c r="X1322" s="37"/>
      <c r="Y1322" s="37"/>
      <c r="Z1322" s="37"/>
      <c r="AA1322" s="37">
        <f t="shared" si="187"/>
        <v>0</v>
      </c>
      <c r="AB1322" s="37">
        <f t="shared" si="194"/>
        <v>0</v>
      </c>
    </row>
    <row r="1323" spans="1:28" ht="14.4">
      <c r="A1323" s="117">
        <v>5120111101</v>
      </c>
      <c r="B1323" s="117" t="s">
        <v>427</v>
      </c>
      <c r="C1323" s="37">
        <f>VLOOKUP(A1323,Composición!C:I,5,FALSE)</f>
        <v>300115636</v>
      </c>
      <c r="D1323" s="37"/>
      <c r="E1323" s="37"/>
      <c r="F1323" s="37"/>
      <c r="G1323" s="37">
        <f t="shared" si="189"/>
        <v>300115636</v>
      </c>
      <c r="H1323" s="37"/>
      <c r="I1323" s="37"/>
      <c r="J1323" s="37"/>
      <c r="K1323" s="37"/>
      <c r="L1323" s="37">
        <f t="shared" si="204"/>
        <v>-300115636</v>
      </c>
      <c r="M1323" s="37"/>
      <c r="N1323" s="37"/>
      <c r="O1323" s="37"/>
      <c r="P1323" s="37"/>
      <c r="Q1323" s="37"/>
      <c r="R1323" s="37"/>
      <c r="S1323" s="37"/>
      <c r="T1323" s="37"/>
      <c r="U1323" s="37"/>
      <c r="V1323" s="37"/>
      <c r="W1323" s="37"/>
      <c r="X1323" s="37"/>
      <c r="Y1323" s="37"/>
      <c r="Z1323" s="37"/>
      <c r="AA1323" s="37">
        <f t="shared" si="187"/>
        <v>0</v>
      </c>
      <c r="AB1323" s="37">
        <f t="shared" si="194"/>
        <v>0</v>
      </c>
    </row>
    <row r="1324" spans="1:28" ht="14.4">
      <c r="A1324" s="117">
        <v>5120111102</v>
      </c>
      <c r="B1324" s="117" t="s">
        <v>1047</v>
      </c>
      <c r="C1324" s="37">
        <f>VLOOKUP(A1324,Composición!C:I,5,FALSE)</f>
        <v>0</v>
      </c>
      <c r="D1324" s="37"/>
      <c r="E1324" s="37"/>
      <c r="F1324" s="37"/>
      <c r="G1324" s="37">
        <f t="shared" si="189"/>
        <v>0</v>
      </c>
      <c r="H1324" s="37"/>
      <c r="I1324" s="37"/>
      <c r="J1324" s="37"/>
      <c r="K1324" s="37"/>
      <c r="L1324" s="37">
        <f t="shared" si="204"/>
        <v>0</v>
      </c>
      <c r="M1324" s="37"/>
      <c r="N1324" s="37"/>
      <c r="O1324" s="37"/>
      <c r="P1324" s="37"/>
      <c r="Q1324" s="37"/>
      <c r="R1324" s="37"/>
      <c r="S1324" s="37"/>
      <c r="T1324" s="37"/>
      <c r="U1324" s="37"/>
      <c r="V1324" s="37"/>
      <c r="W1324" s="37"/>
      <c r="X1324" s="37"/>
      <c r="Y1324" s="37"/>
      <c r="Z1324" s="37"/>
      <c r="AA1324" s="37">
        <f t="shared" si="187"/>
        <v>0</v>
      </c>
      <c r="AB1324" s="37">
        <f t="shared" si="194"/>
        <v>0</v>
      </c>
    </row>
    <row r="1325" spans="1:28" ht="14.4">
      <c r="A1325" s="117">
        <v>5120111103</v>
      </c>
      <c r="B1325" s="117" t="s">
        <v>428</v>
      </c>
      <c r="C1325" s="37">
        <f>VLOOKUP(A1325,Composición!C:I,5,FALSE)</f>
        <v>48127656</v>
      </c>
      <c r="D1325" s="37"/>
      <c r="E1325" s="37"/>
      <c r="F1325" s="37"/>
      <c r="G1325" s="37">
        <f t="shared" si="189"/>
        <v>48127656</v>
      </c>
      <c r="H1325" s="37"/>
      <c r="I1325" s="37"/>
      <c r="J1325" s="37"/>
      <c r="K1325" s="37"/>
      <c r="L1325" s="37">
        <f t="shared" si="204"/>
        <v>-48127656</v>
      </c>
      <c r="M1325" s="37"/>
      <c r="N1325" s="37"/>
      <c r="O1325" s="37"/>
      <c r="P1325" s="37"/>
      <c r="Q1325" s="37"/>
      <c r="R1325" s="37"/>
      <c r="S1325" s="37"/>
      <c r="T1325" s="37"/>
      <c r="U1325" s="37"/>
      <c r="V1325" s="37"/>
      <c r="W1325" s="37"/>
      <c r="X1325" s="37"/>
      <c r="Y1325" s="37"/>
      <c r="Z1325" s="37"/>
      <c r="AA1325" s="37">
        <f t="shared" si="187"/>
        <v>0</v>
      </c>
      <c r="AB1325" s="37">
        <f t="shared" si="194"/>
        <v>0</v>
      </c>
    </row>
    <row r="1326" spans="1:28" ht="14.4">
      <c r="A1326" s="117">
        <v>5120111104</v>
      </c>
      <c r="B1326" s="117" t="s">
        <v>429</v>
      </c>
      <c r="C1326" s="37">
        <f>VLOOKUP(A1326,Composición!C:I,5,FALSE)</f>
        <v>41412543</v>
      </c>
      <c r="D1326" s="37"/>
      <c r="E1326" s="37"/>
      <c r="F1326" s="37"/>
      <c r="G1326" s="37">
        <f t="shared" si="189"/>
        <v>41412543</v>
      </c>
      <c r="H1326" s="37"/>
      <c r="I1326" s="37"/>
      <c r="J1326" s="37"/>
      <c r="K1326" s="37"/>
      <c r="L1326" s="37">
        <f t="shared" si="204"/>
        <v>-41412543</v>
      </c>
      <c r="M1326" s="37"/>
      <c r="N1326" s="37"/>
      <c r="O1326" s="37"/>
      <c r="P1326" s="37"/>
      <c r="Q1326" s="37"/>
      <c r="R1326" s="37"/>
      <c r="S1326" s="37"/>
      <c r="T1326" s="37"/>
      <c r="U1326" s="37"/>
      <c r="V1326" s="37"/>
      <c r="W1326" s="37"/>
      <c r="X1326" s="37"/>
      <c r="Y1326" s="37"/>
      <c r="Z1326" s="37"/>
      <c r="AA1326" s="37">
        <f t="shared" si="187"/>
        <v>0</v>
      </c>
      <c r="AB1326" s="37">
        <f t="shared" si="194"/>
        <v>0</v>
      </c>
    </row>
    <row r="1327" spans="1:28" ht="14.4">
      <c r="A1327" s="117">
        <v>5120111105</v>
      </c>
      <c r="B1327" s="117" t="s">
        <v>430</v>
      </c>
      <c r="C1327" s="37">
        <f>VLOOKUP(A1327,Composición!C:I,5,FALSE)</f>
        <v>9600000</v>
      </c>
      <c r="D1327" s="37"/>
      <c r="E1327" s="37"/>
      <c r="F1327" s="37"/>
      <c r="G1327" s="37">
        <f t="shared" si="189"/>
        <v>9600000</v>
      </c>
      <c r="H1327" s="37"/>
      <c r="I1327" s="37"/>
      <c r="J1327" s="37"/>
      <c r="K1327" s="37"/>
      <c r="L1327" s="37">
        <f t="shared" si="204"/>
        <v>-9600000</v>
      </c>
      <c r="M1327" s="37"/>
      <c r="N1327" s="37"/>
      <c r="O1327" s="37"/>
      <c r="P1327" s="37"/>
      <c r="Q1327" s="37"/>
      <c r="R1327" s="37"/>
      <c r="S1327" s="37"/>
      <c r="T1327" s="37"/>
      <c r="U1327" s="37"/>
      <c r="V1327" s="37"/>
      <c r="W1327" s="37"/>
      <c r="X1327" s="37"/>
      <c r="Y1327" s="37"/>
      <c r="Z1327" s="37"/>
      <c r="AA1327" s="37">
        <f t="shared" si="187"/>
        <v>0</v>
      </c>
      <c r="AB1327" s="37">
        <f t="shared" si="194"/>
        <v>0</v>
      </c>
    </row>
    <row r="1328" spans="1:28" ht="14.4">
      <c r="A1328" s="117">
        <v>5120111106</v>
      </c>
      <c r="B1328" s="117" t="s">
        <v>1048</v>
      </c>
      <c r="C1328" s="37">
        <f>VLOOKUP(A1328,Composición!C:I,5,FALSE)</f>
        <v>0</v>
      </c>
      <c r="D1328" s="37"/>
      <c r="E1328" s="37"/>
      <c r="F1328" s="37"/>
      <c r="G1328" s="37">
        <f t="shared" si="189"/>
        <v>0</v>
      </c>
      <c r="H1328" s="37"/>
      <c r="I1328" s="37"/>
      <c r="J1328" s="37"/>
      <c r="K1328" s="37"/>
      <c r="L1328" s="37"/>
      <c r="M1328" s="37"/>
      <c r="N1328" s="37"/>
      <c r="O1328" s="37"/>
      <c r="P1328" s="37"/>
      <c r="Q1328" s="37"/>
      <c r="R1328" s="37"/>
      <c r="S1328" s="37"/>
      <c r="T1328" s="37"/>
      <c r="U1328" s="37"/>
      <c r="V1328" s="37"/>
      <c r="W1328" s="37"/>
      <c r="X1328" s="37"/>
      <c r="Y1328" s="37"/>
      <c r="Z1328" s="37"/>
      <c r="AA1328" s="37">
        <f t="shared" si="187"/>
        <v>0</v>
      </c>
      <c r="AB1328" s="37">
        <f t="shared" si="194"/>
        <v>0</v>
      </c>
    </row>
    <row r="1329" spans="1:28" ht="14.4">
      <c r="A1329" s="117">
        <v>513</v>
      </c>
      <c r="B1329" s="117" t="s">
        <v>431</v>
      </c>
      <c r="C1329" s="37">
        <f>VLOOKUP(A1329,Composición!C:I,5,FALSE)</f>
        <v>0</v>
      </c>
      <c r="D1329" s="37"/>
      <c r="E1329" s="37"/>
      <c r="F1329" s="37"/>
      <c r="G1329" s="37">
        <f t="shared" si="189"/>
        <v>0</v>
      </c>
      <c r="H1329" s="37"/>
      <c r="I1329" s="37"/>
      <c r="J1329" s="37"/>
      <c r="K1329" s="37"/>
      <c r="L1329" s="37"/>
      <c r="M1329" s="37"/>
      <c r="N1329" s="37"/>
      <c r="O1329" s="37"/>
      <c r="P1329" s="37"/>
      <c r="Q1329" s="37"/>
      <c r="R1329" s="37"/>
      <c r="S1329" s="37"/>
      <c r="T1329" s="37"/>
      <c r="U1329" s="37"/>
      <c r="V1329" s="37"/>
      <c r="W1329" s="37"/>
      <c r="X1329" s="37"/>
      <c r="Y1329" s="37"/>
      <c r="Z1329" s="37"/>
      <c r="AA1329" s="37">
        <f t="shared" si="187"/>
        <v>0</v>
      </c>
      <c r="AB1329" s="37">
        <f t="shared" si="194"/>
        <v>0</v>
      </c>
    </row>
    <row r="1330" spans="1:28" ht="14.4">
      <c r="A1330" s="117">
        <v>51301</v>
      </c>
      <c r="B1330" s="117" t="s">
        <v>432</v>
      </c>
      <c r="C1330" s="37">
        <f>VLOOKUP(A1330,Composición!C:I,5,FALSE)</f>
        <v>0</v>
      </c>
      <c r="D1330" s="37"/>
      <c r="E1330" s="37"/>
      <c r="F1330" s="37"/>
      <c r="G1330" s="37">
        <f t="shared" si="189"/>
        <v>0</v>
      </c>
      <c r="H1330" s="37"/>
      <c r="I1330" s="37"/>
      <c r="J1330" s="37"/>
      <c r="K1330" s="37"/>
      <c r="L1330" s="37"/>
      <c r="M1330" s="37"/>
      <c r="N1330" s="37"/>
      <c r="O1330" s="37"/>
      <c r="P1330" s="37"/>
      <c r="Q1330" s="37"/>
      <c r="R1330" s="37"/>
      <c r="S1330" s="37"/>
      <c r="T1330" s="37"/>
      <c r="U1330" s="37"/>
      <c r="V1330" s="37"/>
      <c r="W1330" s="37"/>
      <c r="X1330" s="37"/>
      <c r="Y1330" s="37"/>
      <c r="Z1330" s="37"/>
      <c r="AA1330" s="37">
        <f t="shared" si="187"/>
        <v>0</v>
      </c>
      <c r="AB1330" s="37">
        <f t="shared" si="194"/>
        <v>0</v>
      </c>
    </row>
    <row r="1331" spans="1:28" ht="14.4">
      <c r="A1331" s="117">
        <v>513011</v>
      </c>
      <c r="B1331" s="117" t="s">
        <v>432</v>
      </c>
      <c r="C1331" s="37">
        <f>VLOOKUP(A1331,Composición!C:I,5,FALSE)</f>
        <v>0</v>
      </c>
      <c r="D1331" s="37"/>
      <c r="E1331" s="37"/>
      <c r="F1331" s="37"/>
      <c r="G1331" s="37">
        <f t="shared" si="189"/>
        <v>0</v>
      </c>
      <c r="H1331" s="37"/>
      <c r="I1331" s="37"/>
      <c r="J1331" s="37"/>
      <c r="K1331" s="37"/>
      <c r="L1331" s="37"/>
      <c r="M1331" s="37"/>
      <c r="N1331" s="37"/>
      <c r="O1331" s="37"/>
      <c r="P1331" s="37"/>
      <c r="Q1331" s="37"/>
      <c r="R1331" s="37"/>
      <c r="S1331" s="37"/>
      <c r="T1331" s="37"/>
      <c r="U1331" s="37"/>
      <c r="V1331" s="37"/>
      <c r="W1331" s="37"/>
      <c r="X1331" s="37"/>
      <c r="Y1331" s="37"/>
      <c r="Z1331" s="37"/>
      <c r="AA1331" s="37">
        <f t="shared" si="187"/>
        <v>0</v>
      </c>
      <c r="AB1331" s="37">
        <f t="shared" si="194"/>
        <v>0</v>
      </c>
    </row>
    <row r="1332" spans="1:28" ht="14.4">
      <c r="A1332" s="117">
        <v>5130111</v>
      </c>
      <c r="B1332" s="117" t="s">
        <v>432</v>
      </c>
      <c r="C1332" s="37">
        <f>VLOOKUP(A1332,Composición!C:I,5,FALSE)</f>
        <v>0</v>
      </c>
      <c r="D1332" s="37"/>
      <c r="E1332" s="37"/>
      <c r="F1332" s="37"/>
      <c r="G1332" s="37">
        <f t="shared" si="189"/>
        <v>0</v>
      </c>
      <c r="H1332" s="37"/>
      <c r="I1332" s="37"/>
      <c r="J1332" s="37"/>
      <c r="K1332" s="37"/>
      <c r="L1332" s="37"/>
      <c r="M1332" s="37"/>
      <c r="N1332" s="37"/>
      <c r="O1332" s="37"/>
      <c r="P1332" s="37"/>
      <c r="Q1332" s="37"/>
      <c r="R1332" s="37"/>
      <c r="S1332" s="37"/>
      <c r="T1332" s="37"/>
      <c r="U1332" s="37"/>
      <c r="V1332" s="37"/>
      <c r="W1332" s="37"/>
      <c r="X1332" s="37"/>
      <c r="Y1332" s="37"/>
      <c r="Z1332" s="37"/>
      <c r="AA1332" s="37">
        <f t="shared" si="187"/>
        <v>0</v>
      </c>
      <c r="AB1332" s="37">
        <f t="shared" si="194"/>
        <v>0</v>
      </c>
    </row>
    <row r="1333" spans="1:28" ht="14.4">
      <c r="A1333" s="117">
        <v>51301111</v>
      </c>
      <c r="B1333" s="117" t="s">
        <v>432</v>
      </c>
      <c r="C1333" s="37">
        <f>VLOOKUP(A1333,Composición!C:I,5,FALSE)</f>
        <v>0</v>
      </c>
      <c r="D1333" s="37"/>
      <c r="E1333" s="37"/>
      <c r="F1333" s="37"/>
      <c r="G1333" s="37">
        <f t="shared" si="189"/>
        <v>0</v>
      </c>
      <c r="H1333" s="37"/>
      <c r="I1333" s="37">
        <f>-G1333</f>
        <v>0</v>
      </c>
      <c r="J1333" s="37"/>
      <c r="K1333" s="37"/>
      <c r="L1333" s="37"/>
      <c r="M1333" s="37"/>
      <c r="N1333" s="37"/>
      <c r="O1333" s="37"/>
      <c r="P1333" s="37"/>
      <c r="Q1333" s="37"/>
      <c r="R1333" s="37"/>
      <c r="S1333" s="37"/>
      <c r="T1333" s="37"/>
      <c r="U1333" s="37"/>
      <c r="V1333" s="37"/>
      <c r="W1333" s="37"/>
      <c r="X1333" s="37"/>
      <c r="Y1333" s="37"/>
      <c r="Z1333" s="37"/>
      <c r="AA1333" s="37">
        <f t="shared" si="187"/>
        <v>0</v>
      </c>
      <c r="AB1333" s="37">
        <f t="shared" si="194"/>
        <v>0</v>
      </c>
    </row>
    <row r="1334" spans="1:28" ht="14.4">
      <c r="A1334" s="117">
        <v>5130111101</v>
      </c>
      <c r="B1334" s="117" t="s">
        <v>433</v>
      </c>
      <c r="C1334" s="37">
        <f>+Composición!G1345</f>
        <v>1477522313</v>
      </c>
      <c r="D1334" s="37"/>
      <c r="E1334" s="37"/>
      <c r="F1334" s="37"/>
      <c r="G1334" s="37">
        <f t="shared" si="189"/>
        <v>1477522313</v>
      </c>
      <c r="H1334" s="37"/>
      <c r="I1334" s="37">
        <f>-G1334</f>
        <v>-1477522313</v>
      </c>
      <c r="J1334" s="37"/>
      <c r="K1334" s="37"/>
      <c r="L1334" s="37"/>
      <c r="M1334" s="37"/>
      <c r="N1334" s="37"/>
      <c r="O1334" s="37"/>
      <c r="P1334" s="37"/>
      <c r="Q1334" s="37"/>
      <c r="R1334" s="37"/>
      <c r="S1334" s="37"/>
      <c r="T1334" s="37"/>
      <c r="U1334" s="37"/>
      <c r="V1334" s="37"/>
      <c r="W1334" s="37"/>
      <c r="X1334" s="37"/>
      <c r="Y1334" s="37"/>
      <c r="Z1334" s="37"/>
      <c r="AA1334" s="37">
        <f t="shared" si="187"/>
        <v>0</v>
      </c>
      <c r="AB1334" s="37">
        <f t="shared" si="194"/>
        <v>0</v>
      </c>
    </row>
    <row r="1335" spans="1:28" ht="14.4">
      <c r="A1335" s="117">
        <v>5130111101</v>
      </c>
      <c r="B1335" s="117" t="s">
        <v>1050</v>
      </c>
      <c r="C1335" s="37">
        <f>VLOOKUP(A1335,Composición!C:I,5,FALSE)</f>
        <v>2456520949</v>
      </c>
      <c r="D1335" s="37"/>
      <c r="E1335" s="37"/>
      <c r="F1335" s="37"/>
      <c r="G1335" s="37">
        <f t="shared" si="189"/>
        <v>2456520949</v>
      </c>
      <c r="H1335" s="37"/>
      <c r="I1335" s="37">
        <f>-G1335</f>
        <v>-2456520949</v>
      </c>
      <c r="J1335" s="37"/>
      <c r="K1335" s="37"/>
      <c r="L1335" s="37"/>
      <c r="M1335" s="37"/>
      <c r="N1335" s="37"/>
      <c r="O1335" s="37"/>
      <c r="P1335" s="37"/>
      <c r="Q1335" s="37"/>
      <c r="R1335" s="37"/>
      <c r="S1335" s="37"/>
      <c r="T1335" s="37"/>
      <c r="U1335" s="37"/>
      <c r="V1335" s="37"/>
      <c r="W1335" s="37"/>
      <c r="X1335" s="37"/>
      <c r="Y1335" s="37"/>
      <c r="Z1335" s="37"/>
      <c r="AA1335" s="37">
        <f t="shared" si="187"/>
        <v>0</v>
      </c>
      <c r="AB1335" s="37">
        <f t="shared" si="194"/>
        <v>0</v>
      </c>
    </row>
    <row r="1336" spans="1:28" ht="14.4">
      <c r="A1336" s="117">
        <v>5130111102</v>
      </c>
      <c r="B1336" s="117" t="s">
        <v>434</v>
      </c>
      <c r="C1336" s="37">
        <f>VLOOKUP(A1336,Composición!C:I,5,FALSE)</f>
        <v>16479689</v>
      </c>
      <c r="D1336" s="37"/>
      <c r="E1336" s="37"/>
      <c r="F1336" s="37"/>
      <c r="G1336" s="37">
        <f t="shared" si="189"/>
        <v>16479689</v>
      </c>
      <c r="H1336" s="37"/>
      <c r="I1336" s="37">
        <f>-G1336</f>
        <v>-16479689</v>
      </c>
      <c r="J1336" s="37"/>
      <c r="K1336" s="37"/>
      <c r="L1336" s="37"/>
      <c r="M1336" s="37"/>
      <c r="N1336" s="37"/>
      <c r="O1336" s="37"/>
      <c r="P1336" s="37"/>
      <c r="Q1336" s="37"/>
      <c r="R1336" s="37"/>
      <c r="S1336" s="37"/>
      <c r="T1336" s="37"/>
      <c r="U1336" s="37"/>
      <c r="V1336" s="37"/>
      <c r="W1336" s="37"/>
      <c r="X1336" s="37"/>
      <c r="Y1336" s="37"/>
      <c r="Z1336" s="37"/>
      <c r="AA1336" s="37">
        <f t="shared" si="187"/>
        <v>0</v>
      </c>
      <c r="AB1336" s="37">
        <f t="shared" si="194"/>
        <v>0</v>
      </c>
    </row>
    <row r="1337" spans="1:28" ht="14.4">
      <c r="A1337" s="117">
        <v>5130111103</v>
      </c>
      <c r="B1337" s="117" t="s">
        <v>1052</v>
      </c>
      <c r="C1337" s="37">
        <f>VLOOKUP(A1337,Composición!C:I,5,FALSE)</f>
        <v>0</v>
      </c>
      <c r="D1337" s="37"/>
      <c r="E1337" s="37"/>
      <c r="F1337" s="37"/>
      <c r="G1337" s="37">
        <f t="shared" si="189"/>
        <v>0</v>
      </c>
      <c r="H1337" s="37"/>
      <c r="I1337" s="37">
        <f t="shared" ref="I1337:I1344" si="205">-G1337</f>
        <v>0</v>
      </c>
      <c r="J1337" s="37"/>
      <c r="K1337" s="37"/>
      <c r="L1337" s="37"/>
      <c r="M1337" s="37"/>
      <c r="N1337" s="37"/>
      <c r="O1337" s="37"/>
      <c r="P1337" s="37"/>
      <c r="Q1337" s="37"/>
      <c r="R1337" s="37"/>
      <c r="S1337" s="37"/>
      <c r="T1337" s="37"/>
      <c r="U1337" s="37"/>
      <c r="V1337" s="37"/>
      <c r="W1337" s="37"/>
      <c r="X1337" s="37"/>
      <c r="Y1337" s="37"/>
      <c r="Z1337" s="37"/>
      <c r="AA1337" s="37">
        <f t="shared" si="187"/>
        <v>0</v>
      </c>
      <c r="AB1337" s="37">
        <f t="shared" si="194"/>
        <v>0</v>
      </c>
    </row>
    <row r="1338" spans="1:28" ht="14.4">
      <c r="A1338" s="117">
        <v>5130111104</v>
      </c>
      <c r="B1338" s="117" t="s">
        <v>435</v>
      </c>
      <c r="C1338" s="37">
        <f>+Composición!G1349</f>
        <v>180606859.41666669</v>
      </c>
      <c r="D1338" s="37"/>
      <c r="E1338" s="37"/>
      <c r="F1338" s="37"/>
      <c r="G1338" s="37">
        <f t="shared" si="189"/>
        <v>180606859.41666669</v>
      </c>
      <c r="H1338" s="37"/>
      <c r="I1338" s="37">
        <f t="shared" si="205"/>
        <v>-180606859.41666669</v>
      </c>
      <c r="J1338" s="37"/>
      <c r="K1338" s="37"/>
      <c r="L1338" s="37"/>
      <c r="M1338" s="37"/>
      <c r="N1338" s="37"/>
      <c r="O1338" s="37"/>
      <c r="P1338" s="37"/>
      <c r="Q1338" s="37"/>
      <c r="R1338" s="37"/>
      <c r="S1338" s="37"/>
      <c r="T1338" s="37"/>
      <c r="U1338" s="37"/>
      <c r="V1338" s="37"/>
      <c r="W1338" s="37"/>
      <c r="X1338" s="37"/>
      <c r="Y1338" s="37"/>
      <c r="Z1338" s="37"/>
      <c r="AA1338" s="37">
        <f t="shared" si="187"/>
        <v>0</v>
      </c>
      <c r="AB1338" s="37">
        <f t="shared" si="194"/>
        <v>0</v>
      </c>
    </row>
    <row r="1339" spans="1:28" ht="14.4">
      <c r="A1339" s="117">
        <v>5130111104</v>
      </c>
      <c r="B1339" s="117" t="s">
        <v>1053</v>
      </c>
      <c r="C1339" s="37">
        <f>VLOOKUP(A1339,Composición!C:I,5,FALSE)</f>
        <v>265743168.58333331</v>
      </c>
      <c r="D1339" s="37"/>
      <c r="E1339" s="37"/>
      <c r="F1339" s="37"/>
      <c r="G1339" s="37">
        <f t="shared" si="189"/>
        <v>265743168.58333331</v>
      </c>
      <c r="H1339" s="37"/>
      <c r="I1339" s="37">
        <f t="shared" si="205"/>
        <v>-265743168.58333331</v>
      </c>
      <c r="J1339" s="37"/>
      <c r="K1339" s="37"/>
      <c r="L1339" s="37"/>
      <c r="M1339" s="37"/>
      <c r="N1339" s="37"/>
      <c r="O1339" s="37"/>
      <c r="P1339" s="37"/>
      <c r="Q1339" s="37"/>
      <c r="R1339" s="37"/>
      <c r="S1339" s="37"/>
      <c r="T1339" s="37"/>
      <c r="U1339" s="37"/>
      <c r="V1339" s="37"/>
      <c r="W1339" s="37"/>
      <c r="X1339" s="37"/>
      <c r="Y1339" s="37"/>
      <c r="Z1339" s="37"/>
      <c r="AA1339" s="37">
        <f t="shared" si="187"/>
        <v>0</v>
      </c>
      <c r="AB1339" s="37">
        <f t="shared" si="194"/>
        <v>0</v>
      </c>
    </row>
    <row r="1340" spans="1:28" ht="14.4">
      <c r="A1340" s="117">
        <v>5130111105</v>
      </c>
      <c r="B1340" s="117" t="s">
        <v>436</v>
      </c>
      <c r="C1340" s="37">
        <f>+Composición!G1351</f>
        <v>91079252.704166681</v>
      </c>
      <c r="D1340" s="37"/>
      <c r="E1340" s="37"/>
      <c r="F1340" s="37"/>
      <c r="G1340" s="37">
        <f t="shared" si="189"/>
        <v>91079252.704166681</v>
      </c>
      <c r="H1340" s="37"/>
      <c r="I1340" s="37">
        <f t="shared" si="205"/>
        <v>-91079252.704166681</v>
      </c>
      <c r="J1340" s="37"/>
      <c r="K1340" s="37"/>
      <c r="L1340" s="37"/>
      <c r="M1340" s="37"/>
      <c r="N1340" s="37"/>
      <c r="O1340" s="37"/>
      <c r="P1340" s="37"/>
      <c r="Q1340" s="37"/>
      <c r="R1340" s="37"/>
      <c r="S1340" s="37"/>
      <c r="T1340" s="37"/>
      <c r="U1340" s="37"/>
      <c r="V1340" s="37"/>
      <c r="W1340" s="37"/>
      <c r="X1340" s="37"/>
      <c r="Y1340" s="37"/>
      <c r="Z1340" s="37"/>
      <c r="AA1340" s="37">
        <f t="shared" si="187"/>
        <v>0</v>
      </c>
      <c r="AB1340" s="37">
        <f t="shared" si="194"/>
        <v>0</v>
      </c>
    </row>
    <row r="1341" spans="1:28" ht="14.4">
      <c r="A1341" s="117">
        <v>5130111105</v>
      </c>
      <c r="B1341" s="117" t="s">
        <v>1054</v>
      </c>
      <c r="C1341" s="37">
        <f>VLOOKUP(A1341,Composición!C:I,5,FALSE)</f>
        <v>82068781.295833319</v>
      </c>
      <c r="D1341" s="37"/>
      <c r="E1341" s="37"/>
      <c r="F1341" s="37"/>
      <c r="G1341" s="37">
        <f t="shared" si="189"/>
        <v>82068781.295833319</v>
      </c>
      <c r="H1341" s="37"/>
      <c r="I1341" s="37">
        <f t="shared" si="205"/>
        <v>-82068781.295833319</v>
      </c>
      <c r="J1341" s="37"/>
      <c r="K1341" s="37"/>
      <c r="L1341" s="37"/>
      <c r="M1341" s="37"/>
      <c r="N1341" s="37"/>
      <c r="O1341" s="37"/>
      <c r="P1341" s="37"/>
      <c r="Q1341" s="37"/>
      <c r="R1341" s="37"/>
      <c r="S1341" s="37"/>
      <c r="T1341" s="37"/>
      <c r="U1341" s="37"/>
      <c r="V1341" s="37"/>
      <c r="W1341" s="37"/>
      <c r="X1341" s="37"/>
      <c r="Y1341" s="37"/>
      <c r="Z1341" s="37"/>
      <c r="AA1341" s="37">
        <f t="shared" si="187"/>
        <v>0</v>
      </c>
      <c r="AB1341" s="37">
        <f t="shared" si="194"/>
        <v>0</v>
      </c>
    </row>
    <row r="1342" spans="1:28" ht="14.4">
      <c r="A1342" s="117">
        <v>5130111106</v>
      </c>
      <c r="B1342" s="117" t="s">
        <v>437</v>
      </c>
      <c r="C1342" s="37">
        <f>+Composición!G1353</f>
        <v>10385905.299999997</v>
      </c>
      <c r="D1342" s="37"/>
      <c r="E1342" s="37"/>
      <c r="F1342" s="37"/>
      <c r="G1342" s="37">
        <f t="shared" si="189"/>
        <v>10385905.299999997</v>
      </c>
      <c r="H1342" s="37"/>
      <c r="I1342" s="37">
        <f t="shared" si="205"/>
        <v>-10385905.299999997</v>
      </c>
      <c r="J1342" s="37"/>
      <c r="K1342" s="37"/>
      <c r="L1342" s="37"/>
      <c r="M1342" s="37"/>
      <c r="N1342" s="37"/>
      <c r="O1342" s="37"/>
      <c r="P1342" s="37"/>
      <c r="Q1342" s="37"/>
      <c r="R1342" s="37"/>
      <c r="S1342" s="37"/>
      <c r="T1342" s="37"/>
      <c r="U1342" s="37"/>
      <c r="V1342" s="37"/>
      <c r="W1342" s="37"/>
      <c r="X1342" s="37"/>
      <c r="Y1342" s="37"/>
      <c r="Z1342" s="37"/>
      <c r="AA1342" s="37">
        <f t="shared" si="187"/>
        <v>0</v>
      </c>
      <c r="AB1342" s="37">
        <f t="shared" si="194"/>
        <v>0</v>
      </c>
    </row>
    <row r="1343" spans="1:28" ht="14.4">
      <c r="A1343" s="117">
        <v>5130111106</v>
      </c>
      <c r="B1343" s="117" t="s">
        <v>1055</v>
      </c>
      <c r="C1343" s="37">
        <f>VLOOKUP(A1343,Composición!C:I,5,FALSE)</f>
        <v>5460991.700000003</v>
      </c>
      <c r="D1343" s="37"/>
      <c r="E1343" s="37"/>
      <c r="F1343" s="37"/>
      <c r="G1343" s="37">
        <f t="shared" si="189"/>
        <v>5460991.700000003</v>
      </c>
      <c r="H1343" s="37"/>
      <c r="I1343" s="37">
        <f t="shared" si="205"/>
        <v>-5460991.700000003</v>
      </c>
      <c r="J1343" s="37"/>
      <c r="K1343" s="37"/>
      <c r="L1343" s="37"/>
      <c r="M1343" s="37"/>
      <c r="N1343" s="37"/>
      <c r="O1343" s="37"/>
      <c r="P1343" s="37"/>
      <c r="Q1343" s="37"/>
      <c r="R1343" s="37"/>
      <c r="S1343" s="37"/>
      <c r="T1343" s="37"/>
      <c r="U1343" s="37"/>
      <c r="V1343" s="37"/>
      <c r="W1343" s="37"/>
      <c r="X1343" s="37"/>
      <c r="Y1343" s="37"/>
      <c r="Z1343" s="37"/>
      <c r="AA1343" s="37">
        <f t="shared" si="187"/>
        <v>0</v>
      </c>
      <c r="AB1343" s="37">
        <f t="shared" si="194"/>
        <v>0</v>
      </c>
    </row>
    <row r="1344" spans="1:28" ht="14.4">
      <c r="A1344" s="117">
        <v>5130111107</v>
      </c>
      <c r="B1344" s="117" t="s">
        <v>438</v>
      </c>
      <c r="C1344" s="37">
        <f>VLOOKUP(A1344,Composición!C:I,5,FALSE)</f>
        <v>113400314</v>
      </c>
      <c r="D1344" s="37"/>
      <c r="E1344" s="37"/>
      <c r="F1344" s="37"/>
      <c r="G1344" s="37">
        <f t="shared" si="189"/>
        <v>113400314</v>
      </c>
      <c r="H1344" s="37"/>
      <c r="I1344" s="37">
        <f t="shared" si="205"/>
        <v>-113400314</v>
      </c>
      <c r="J1344" s="37"/>
      <c r="K1344" s="37"/>
      <c r="L1344" s="37"/>
      <c r="M1344" s="37"/>
      <c r="N1344" s="37"/>
      <c r="O1344" s="37"/>
      <c r="P1344" s="37"/>
      <c r="Q1344" s="37"/>
      <c r="R1344" s="37"/>
      <c r="S1344" s="37"/>
      <c r="T1344" s="37"/>
      <c r="U1344" s="37"/>
      <c r="V1344" s="37"/>
      <c r="W1344" s="37"/>
      <c r="X1344" s="37"/>
      <c r="Y1344" s="37"/>
      <c r="Z1344" s="37"/>
      <c r="AA1344" s="37">
        <f t="shared" si="187"/>
        <v>0</v>
      </c>
      <c r="AB1344" s="37">
        <f t="shared" si="194"/>
        <v>0</v>
      </c>
    </row>
    <row r="1345" spans="1:28" ht="14.4">
      <c r="A1345" s="117">
        <v>5130111108</v>
      </c>
      <c r="B1345" s="117" t="s">
        <v>1056</v>
      </c>
      <c r="C1345" s="37">
        <f>VLOOKUP(A1345,Composición!C:I,5,FALSE)</f>
        <v>0</v>
      </c>
      <c r="D1345" s="37"/>
      <c r="E1345" s="37"/>
      <c r="F1345" s="37"/>
      <c r="G1345" s="37">
        <f t="shared" si="189"/>
        <v>0</v>
      </c>
      <c r="H1345" s="37"/>
      <c r="I1345" s="37"/>
      <c r="J1345" s="37"/>
      <c r="K1345" s="37"/>
      <c r="L1345" s="37"/>
      <c r="M1345" s="37"/>
      <c r="N1345" s="37"/>
      <c r="O1345" s="37"/>
      <c r="P1345" s="37"/>
      <c r="Q1345" s="37"/>
      <c r="R1345" s="37"/>
      <c r="S1345" s="37"/>
      <c r="T1345" s="37"/>
      <c r="U1345" s="37"/>
      <c r="V1345" s="37"/>
      <c r="W1345" s="37"/>
      <c r="X1345" s="37"/>
      <c r="Y1345" s="37"/>
      <c r="Z1345" s="37"/>
      <c r="AA1345" s="37">
        <f t="shared" si="187"/>
        <v>0</v>
      </c>
      <c r="AB1345" s="37">
        <f t="shared" si="194"/>
        <v>0</v>
      </c>
    </row>
    <row r="1346" spans="1:28" ht="14.4">
      <c r="A1346" s="117">
        <v>51302</v>
      </c>
      <c r="B1346" s="117" t="s">
        <v>224</v>
      </c>
      <c r="C1346" s="37">
        <f>VLOOKUP(A1346,Composición!C:I,5,FALSE)</f>
        <v>0</v>
      </c>
      <c r="D1346" s="37"/>
      <c r="E1346" s="37"/>
      <c r="F1346" s="37"/>
      <c r="G1346" s="37">
        <f t="shared" si="189"/>
        <v>0</v>
      </c>
      <c r="H1346" s="37"/>
      <c r="I1346" s="37"/>
      <c r="J1346" s="37"/>
      <c r="K1346" s="37"/>
      <c r="L1346" s="37"/>
      <c r="M1346" s="37"/>
      <c r="N1346" s="37"/>
      <c r="O1346" s="37"/>
      <c r="P1346" s="37"/>
      <c r="Q1346" s="37"/>
      <c r="R1346" s="37"/>
      <c r="S1346" s="37"/>
      <c r="T1346" s="37"/>
      <c r="U1346" s="37"/>
      <c r="V1346" s="37"/>
      <c r="W1346" s="37"/>
      <c r="X1346" s="37"/>
      <c r="Y1346" s="37"/>
      <c r="Z1346" s="37"/>
      <c r="AA1346" s="37">
        <f t="shared" si="187"/>
        <v>0</v>
      </c>
      <c r="AB1346" s="37">
        <f t="shared" si="194"/>
        <v>0</v>
      </c>
    </row>
    <row r="1347" spans="1:28" ht="14.4">
      <c r="A1347" s="117">
        <v>513021</v>
      </c>
      <c r="B1347" s="117" t="s">
        <v>224</v>
      </c>
      <c r="C1347" s="37">
        <f>VLOOKUP(A1347,Composición!C:I,5,FALSE)</f>
        <v>0</v>
      </c>
      <c r="D1347" s="37"/>
      <c r="E1347" s="37"/>
      <c r="F1347" s="37"/>
      <c r="G1347" s="37">
        <f t="shared" si="189"/>
        <v>0</v>
      </c>
      <c r="H1347" s="37"/>
      <c r="I1347" s="37"/>
      <c r="J1347" s="37"/>
      <c r="K1347" s="37"/>
      <c r="L1347" s="37"/>
      <c r="M1347" s="37"/>
      <c r="N1347" s="37"/>
      <c r="O1347" s="37"/>
      <c r="P1347" s="37"/>
      <c r="Q1347" s="37"/>
      <c r="R1347" s="37"/>
      <c r="S1347" s="37"/>
      <c r="T1347" s="37"/>
      <c r="U1347" s="37"/>
      <c r="V1347" s="37"/>
      <c r="W1347" s="37"/>
      <c r="X1347" s="37"/>
      <c r="Y1347" s="37"/>
      <c r="Z1347" s="37"/>
      <c r="AA1347" s="37">
        <f t="shared" si="187"/>
        <v>0</v>
      </c>
      <c r="AB1347" s="37">
        <f t="shared" si="194"/>
        <v>0</v>
      </c>
    </row>
    <row r="1348" spans="1:28" ht="14.4">
      <c r="A1348" s="117">
        <v>5130211</v>
      </c>
      <c r="B1348" s="117" t="s">
        <v>224</v>
      </c>
      <c r="C1348" s="37">
        <f>VLOOKUP(A1348,Composición!C:I,5,FALSE)</f>
        <v>0</v>
      </c>
      <c r="D1348" s="37"/>
      <c r="E1348" s="37"/>
      <c r="F1348" s="37"/>
      <c r="G1348" s="37">
        <f t="shared" si="189"/>
        <v>0</v>
      </c>
      <c r="H1348" s="37"/>
      <c r="I1348" s="37"/>
      <c r="J1348" s="37"/>
      <c r="K1348" s="37"/>
      <c r="L1348" s="37"/>
      <c r="M1348" s="37"/>
      <c r="N1348" s="37"/>
      <c r="O1348" s="37"/>
      <c r="P1348" s="37"/>
      <c r="Q1348" s="37"/>
      <c r="R1348" s="37"/>
      <c r="S1348" s="37"/>
      <c r="T1348" s="37"/>
      <c r="U1348" s="37"/>
      <c r="V1348" s="37"/>
      <c r="W1348" s="37"/>
      <c r="X1348" s="37"/>
      <c r="Y1348" s="37"/>
      <c r="Z1348" s="37"/>
      <c r="AA1348" s="37">
        <f t="shared" si="187"/>
        <v>0</v>
      </c>
      <c r="AB1348" s="37">
        <f t="shared" si="194"/>
        <v>0</v>
      </c>
    </row>
    <row r="1349" spans="1:28" ht="14.4">
      <c r="A1349" s="117">
        <v>51302111</v>
      </c>
      <c r="B1349" s="117" t="s">
        <v>224</v>
      </c>
      <c r="C1349" s="37">
        <f>VLOOKUP(A1349,Composición!C:I,5,FALSE)</f>
        <v>0</v>
      </c>
      <c r="D1349" s="37"/>
      <c r="E1349" s="37"/>
      <c r="F1349" s="37"/>
      <c r="G1349" s="37">
        <f t="shared" si="189"/>
        <v>0</v>
      </c>
      <c r="H1349" s="37"/>
      <c r="I1349" s="37"/>
      <c r="J1349" s="37"/>
      <c r="K1349" s="37"/>
      <c r="L1349" s="37">
        <f>-G1349</f>
        <v>0</v>
      </c>
      <c r="M1349" s="37"/>
      <c r="N1349" s="37"/>
      <c r="O1349" s="37"/>
      <c r="P1349" s="37"/>
      <c r="Q1349" s="37"/>
      <c r="R1349" s="37"/>
      <c r="S1349" s="37"/>
      <c r="T1349" s="37"/>
      <c r="U1349" s="37"/>
      <c r="V1349" s="37"/>
      <c r="W1349" s="37"/>
      <c r="X1349" s="37"/>
      <c r="Y1349" s="37"/>
      <c r="Z1349" s="37"/>
      <c r="AA1349" s="37">
        <f t="shared" ref="AA1349:AA1413" si="206">SUM(G1349:Z1349)</f>
        <v>0</v>
      </c>
      <c r="AB1349" s="37">
        <f t="shared" si="194"/>
        <v>0</v>
      </c>
    </row>
    <row r="1350" spans="1:28" ht="14.4">
      <c r="A1350" s="117">
        <v>5130211101</v>
      </c>
      <c r="B1350" s="117" t="s">
        <v>439</v>
      </c>
      <c r="C1350" s="37">
        <f>VLOOKUP(A1350,Composición!C:I,5,FALSE)</f>
        <v>834071649</v>
      </c>
      <c r="D1350" s="37"/>
      <c r="E1350" s="37"/>
      <c r="F1350" s="37"/>
      <c r="G1350" s="37">
        <f t="shared" si="189"/>
        <v>834071649</v>
      </c>
      <c r="H1350" s="37"/>
      <c r="I1350" s="37"/>
      <c r="J1350" s="37"/>
      <c r="K1350" s="37"/>
      <c r="L1350" s="37">
        <f>-G1350</f>
        <v>-834071649</v>
      </c>
      <c r="M1350" s="37"/>
      <c r="N1350" s="37"/>
      <c r="O1350" s="37"/>
      <c r="P1350" s="37"/>
      <c r="Q1350" s="37"/>
      <c r="R1350" s="37"/>
      <c r="S1350" s="37"/>
      <c r="T1350" s="37"/>
      <c r="U1350" s="37"/>
      <c r="V1350" s="37"/>
      <c r="W1350" s="37"/>
      <c r="X1350" s="37"/>
      <c r="Y1350" s="37"/>
      <c r="Z1350" s="37"/>
      <c r="AA1350" s="37">
        <f t="shared" si="206"/>
        <v>0</v>
      </c>
      <c r="AB1350" s="37">
        <f t="shared" si="194"/>
        <v>0</v>
      </c>
    </row>
    <row r="1351" spans="1:28" ht="14.4">
      <c r="A1351" s="117">
        <v>5130211102</v>
      </c>
      <c r="B1351" s="117" t="s">
        <v>440</v>
      </c>
      <c r="C1351" s="37">
        <f>VLOOKUP(A1351,Composición!C:I,5,FALSE)</f>
        <v>41534116</v>
      </c>
      <c r="D1351" s="37"/>
      <c r="E1351" s="37"/>
      <c r="F1351" s="37"/>
      <c r="G1351" s="37">
        <f t="shared" si="189"/>
        <v>41534116</v>
      </c>
      <c r="H1351" s="37"/>
      <c r="I1351" s="37">
        <f>-G1351</f>
        <v>-41534116</v>
      </c>
      <c r="J1351" s="37"/>
      <c r="K1351" s="37"/>
      <c r="L1351" s="37"/>
      <c r="M1351" s="37"/>
      <c r="N1351" s="37"/>
      <c r="O1351" s="37"/>
      <c r="P1351" s="37"/>
      <c r="Q1351" s="37"/>
      <c r="R1351" s="37"/>
      <c r="S1351" s="37"/>
      <c r="T1351" s="37"/>
      <c r="U1351" s="37"/>
      <c r="V1351" s="37"/>
      <c r="W1351" s="37"/>
      <c r="X1351" s="37"/>
      <c r="Y1351" s="37"/>
      <c r="Z1351" s="37"/>
      <c r="AA1351" s="37">
        <f t="shared" si="206"/>
        <v>0</v>
      </c>
      <c r="AB1351" s="37">
        <f t="shared" si="194"/>
        <v>0</v>
      </c>
    </row>
    <row r="1352" spans="1:28" ht="14.4">
      <c r="A1352" s="117">
        <v>5130211103</v>
      </c>
      <c r="B1352" s="117" t="s">
        <v>441</v>
      </c>
      <c r="C1352" s="37">
        <f>VLOOKUP(A1352,Composición!C:I,5,FALSE)</f>
        <v>0</v>
      </c>
      <c r="D1352" s="37"/>
      <c r="E1352" s="37"/>
      <c r="F1352" s="37"/>
      <c r="G1352" s="37">
        <f t="shared" si="189"/>
        <v>0</v>
      </c>
      <c r="H1352" s="37"/>
      <c r="I1352" s="37">
        <f>-G1352</f>
        <v>0</v>
      </c>
      <c r="J1352" s="37"/>
      <c r="K1352" s="37"/>
      <c r="L1352" s="37"/>
      <c r="M1352" s="37"/>
      <c r="N1352" s="37"/>
      <c r="O1352" s="37"/>
      <c r="P1352" s="37"/>
      <c r="Q1352" s="37"/>
      <c r="R1352" s="37"/>
      <c r="S1352" s="37"/>
      <c r="T1352" s="37"/>
      <c r="U1352" s="37"/>
      <c r="V1352" s="37"/>
      <c r="W1352" s="37"/>
      <c r="X1352" s="37"/>
      <c r="Y1352" s="37"/>
      <c r="Z1352" s="37"/>
      <c r="AA1352" s="37">
        <f t="shared" si="206"/>
        <v>0</v>
      </c>
      <c r="AB1352" s="37">
        <f t="shared" si="194"/>
        <v>0</v>
      </c>
    </row>
    <row r="1353" spans="1:28" ht="14.4">
      <c r="A1353" s="117">
        <v>5130211104</v>
      </c>
      <c r="B1353" s="117" t="s">
        <v>442</v>
      </c>
      <c r="C1353" s="37">
        <f>VLOOKUP(A1353,Composición!C:I,5,FALSE)</f>
        <v>81955683</v>
      </c>
      <c r="D1353" s="37"/>
      <c r="E1353" s="37"/>
      <c r="F1353" s="37"/>
      <c r="G1353" s="37">
        <f t="shared" si="189"/>
        <v>81955683</v>
      </c>
      <c r="H1353" s="37"/>
      <c r="I1353" s="37"/>
      <c r="J1353" s="37"/>
      <c r="K1353" s="37"/>
      <c r="L1353" s="37">
        <f t="shared" ref="L1353:L1359" si="207">-G1353</f>
        <v>-81955683</v>
      </c>
      <c r="M1353" s="37"/>
      <c r="N1353" s="37"/>
      <c r="O1353" s="37"/>
      <c r="P1353" s="37"/>
      <c r="Q1353" s="37"/>
      <c r="R1353" s="37"/>
      <c r="S1353" s="37"/>
      <c r="T1353" s="37"/>
      <c r="U1353" s="37"/>
      <c r="V1353" s="37"/>
      <c r="W1353" s="37"/>
      <c r="X1353" s="37"/>
      <c r="Y1353" s="37"/>
      <c r="Z1353" s="37"/>
      <c r="AA1353" s="37">
        <f t="shared" si="206"/>
        <v>0</v>
      </c>
      <c r="AB1353" s="37">
        <f t="shared" si="194"/>
        <v>0</v>
      </c>
    </row>
    <row r="1354" spans="1:28" ht="14.4">
      <c r="A1354" s="117">
        <v>5130211105</v>
      </c>
      <c r="B1354" s="117" t="s">
        <v>443</v>
      </c>
      <c r="C1354" s="37">
        <f>VLOOKUP(A1354,Composición!C:I,5,FALSE)</f>
        <v>0</v>
      </c>
      <c r="D1354" s="37"/>
      <c r="E1354" s="37"/>
      <c r="F1354" s="37"/>
      <c r="G1354" s="37">
        <f t="shared" ref="G1354:G1419" si="208">C1354+D1354-E1354-F1354</f>
        <v>0</v>
      </c>
      <c r="H1354" s="37"/>
      <c r="I1354" s="37"/>
      <c r="J1354" s="37"/>
      <c r="K1354" s="37"/>
      <c r="L1354" s="37">
        <f t="shared" si="207"/>
        <v>0</v>
      </c>
      <c r="M1354" s="37"/>
      <c r="N1354" s="37"/>
      <c r="O1354" s="37"/>
      <c r="P1354" s="37"/>
      <c r="Q1354" s="37"/>
      <c r="R1354" s="37"/>
      <c r="S1354" s="37"/>
      <c r="T1354" s="37"/>
      <c r="U1354" s="37"/>
      <c r="V1354" s="37"/>
      <c r="W1354" s="37"/>
      <c r="X1354" s="37"/>
      <c r="Y1354" s="37"/>
      <c r="Z1354" s="37"/>
      <c r="AA1354" s="37">
        <f t="shared" si="206"/>
        <v>0</v>
      </c>
      <c r="AB1354" s="37">
        <f t="shared" si="194"/>
        <v>0</v>
      </c>
    </row>
    <row r="1355" spans="1:28" ht="14.4">
      <c r="A1355" s="117">
        <v>5130211106</v>
      </c>
      <c r="B1355" s="117" t="s">
        <v>444</v>
      </c>
      <c r="C1355" s="37">
        <f>VLOOKUP(A1355,Composición!C:I,5,FALSE)</f>
        <v>92194574</v>
      </c>
      <c r="D1355" s="37"/>
      <c r="E1355" s="37"/>
      <c r="F1355" s="37"/>
      <c r="G1355" s="37">
        <f t="shared" si="208"/>
        <v>92194574</v>
      </c>
      <c r="H1355" s="37"/>
      <c r="I1355" s="37"/>
      <c r="J1355" s="37"/>
      <c r="K1355" s="37"/>
      <c r="L1355" s="37">
        <f t="shared" si="207"/>
        <v>-92194574</v>
      </c>
      <c r="M1355" s="37"/>
      <c r="N1355" s="37"/>
      <c r="O1355" s="37"/>
      <c r="P1355" s="37"/>
      <c r="Q1355" s="37"/>
      <c r="R1355" s="37"/>
      <c r="S1355" s="37"/>
      <c r="T1355" s="37"/>
      <c r="U1355" s="37"/>
      <c r="V1355" s="37"/>
      <c r="W1355" s="37"/>
      <c r="X1355" s="37"/>
      <c r="Y1355" s="37"/>
      <c r="Z1355" s="37"/>
      <c r="AA1355" s="37">
        <f t="shared" si="206"/>
        <v>0</v>
      </c>
      <c r="AB1355" s="37">
        <f t="shared" si="194"/>
        <v>0</v>
      </c>
    </row>
    <row r="1356" spans="1:28" ht="14.4">
      <c r="A1356" s="117">
        <v>5130211107</v>
      </c>
      <c r="B1356" s="117" t="s">
        <v>445</v>
      </c>
      <c r="C1356" s="37">
        <f>VLOOKUP(A1356,Composición!C:I,5,FALSE)</f>
        <v>189018192</v>
      </c>
      <c r="D1356" s="37"/>
      <c r="E1356" s="37"/>
      <c r="F1356" s="37"/>
      <c r="G1356" s="37">
        <f t="shared" si="208"/>
        <v>189018192</v>
      </c>
      <c r="H1356" s="37"/>
      <c r="I1356" s="37"/>
      <c r="J1356" s="37">
        <f>-G1356</f>
        <v>-189018192</v>
      </c>
      <c r="K1356" s="37"/>
      <c r="L1356" s="37"/>
      <c r="M1356" s="37"/>
      <c r="N1356" s="37"/>
      <c r="O1356" s="37"/>
      <c r="P1356" s="37"/>
      <c r="Q1356" s="37"/>
      <c r="R1356" s="37"/>
      <c r="S1356" s="37"/>
      <c r="T1356" s="37"/>
      <c r="U1356" s="37"/>
      <c r="V1356" s="37"/>
      <c r="W1356" s="37"/>
      <c r="X1356" s="37"/>
      <c r="Y1356" s="37"/>
      <c r="Z1356" s="37"/>
      <c r="AA1356" s="37">
        <f t="shared" si="206"/>
        <v>0</v>
      </c>
      <c r="AB1356" s="37">
        <f t="shared" si="194"/>
        <v>0</v>
      </c>
    </row>
    <row r="1357" spans="1:28" ht="14.4">
      <c r="A1357" s="117">
        <v>5130211107</v>
      </c>
      <c r="B1357" s="117" t="s">
        <v>2799</v>
      </c>
      <c r="C1357" s="37">
        <f>+Composición!G1367</f>
        <v>47095660</v>
      </c>
      <c r="D1357" s="37"/>
      <c r="E1357" s="37"/>
      <c r="F1357" s="37"/>
      <c r="G1357" s="37">
        <f t="shared" ref="G1357" si="209">C1357+D1357-E1357-F1357</f>
        <v>47095660</v>
      </c>
      <c r="H1357" s="37"/>
      <c r="I1357" s="37"/>
      <c r="J1357" s="37">
        <f>-G1357</f>
        <v>-47095660</v>
      </c>
      <c r="K1357" s="37"/>
      <c r="L1357" s="37"/>
      <c r="M1357" s="37"/>
      <c r="N1357" s="37"/>
      <c r="O1357" s="37"/>
      <c r="P1357" s="37"/>
      <c r="Q1357" s="37"/>
      <c r="R1357" s="37"/>
      <c r="S1357" s="37"/>
      <c r="T1357" s="37"/>
      <c r="U1357" s="37"/>
      <c r="V1357" s="37"/>
      <c r="W1357" s="37"/>
      <c r="X1357" s="37"/>
      <c r="Y1357" s="37"/>
      <c r="Z1357" s="37"/>
      <c r="AA1357" s="37"/>
      <c r="AB1357" s="37"/>
    </row>
    <row r="1358" spans="1:28" ht="14.4">
      <c r="A1358" s="117">
        <v>5130211108</v>
      </c>
      <c r="B1358" s="117" t="s">
        <v>446</v>
      </c>
      <c r="C1358" s="37">
        <f>VLOOKUP(A1358,Composición!C:I,5,FALSE)</f>
        <v>380342101</v>
      </c>
      <c r="D1358" s="37"/>
      <c r="E1358" s="37"/>
      <c r="F1358" s="37"/>
      <c r="G1358" s="37">
        <f t="shared" si="208"/>
        <v>380342101</v>
      </c>
      <c r="H1358" s="37"/>
      <c r="I1358" s="37"/>
      <c r="J1358" s="37"/>
      <c r="K1358" s="37"/>
      <c r="L1358" s="37">
        <f t="shared" si="207"/>
        <v>-380342101</v>
      </c>
      <c r="M1358" s="37"/>
      <c r="N1358" s="37"/>
      <c r="O1358" s="37"/>
      <c r="P1358" s="37"/>
      <c r="Q1358" s="37"/>
      <c r="R1358" s="37"/>
      <c r="S1358" s="37"/>
      <c r="T1358" s="37"/>
      <c r="U1358" s="37"/>
      <c r="V1358" s="37"/>
      <c r="W1358" s="37"/>
      <c r="X1358" s="37"/>
      <c r="Y1358" s="37"/>
      <c r="Z1358" s="37"/>
      <c r="AA1358" s="37">
        <f t="shared" si="206"/>
        <v>0</v>
      </c>
      <c r="AB1358" s="37">
        <f t="shared" si="194"/>
        <v>0</v>
      </c>
    </row>
    <row r="1359" spans="1:28" ht="14.4">
      <c r="A1359" s="117">
        <v>5130211109</v>
      </c>
      <c r="B1359" s="117" t="s">
        <v>447</v>
      </c>
      <c r="C1359" s="37">
        <f>VLOOKUP(A1359,Composición!C:I,5,FALSE)</f>
        <v>818182</v>
      </c>
      <c r="D1359" s="37"/>
      <c r="E1359" s="37"/>
      <c r="F1359" s="37"/>
      <c r="G1359" s="37">
        <f t="shared" si="208"/>
        <v>818182</v>
      </c>
      <c r="H1359" s="37"/>
      <c r="I1359" s="37"/>
      <c r="J1359" s="37"/>
      <c r="K1359" s="37"/>
      <c r="L1359" s="37">
        <f t="shared" si="207"/>
        <v>-818182</v>
      </c>
      <c r="M1359" s="37"/>
      <c r="N1359" s="37"/>
      <c r="O1359" s="37"/>
      <c r="P1359" s="37"/>
      <c r="Q1359" s="37"/>
      <c r="R1359" s="37"/>
      <c r="S1359" s="37"/>
      <c r="T1359" s="37"/>
      <c r="U1359" s="37"/>
      <c r="V1359" s="37"/>
      <c r="W1359" s="37"/>
      <c r="X1359" s="37"/>
      <c r="Y1359" s="37"/>
      <c r="Z1359" s="37"/>
      <c r="AA1359" s="37">
        <f t="shared" si="206"/>
        <v>0</v>
      </c>
      <c r="AB1359" s="37">
        <f t="shared" si="194"/>
        <v>0</v>
      </c>
    </row>
    <row r="1360" spans="1:28" ht="14.4">
      <c r="A1360" s="117">
        <v>5130211110</v>
      </c>
      <c r="B1360" s="117" t="s">
        <v>1059</v>
      </c>
      <c r="C1360" s="37">
        <f>VLOOKUP(A1360,Composición!C:I,5,FALSE)</f>
        <v>0</v>
      </c>
      <c r="D1360" s="37"/>
      <c r="E1360" s="37"/>
      <c r="F1360" s="37"/>
      <c r="G1360" s="37">
        <f t="shared" si="208"/>
        <v>0</v>
      </c>
      <c r="H1360" s="37"/>
      <c r="I1360" s="37"/>
      <c r="J1360" s="37"/>
      <c r="K1360" s="37"/>
      <c r="L1360" s="37"/>
      <c r="M1360" s="37"/>
      <c r="N1360" s="37"/>
      <c r="O1360" s="37"/>
      <c r="P1360" s="37"/>
      <c r="Q1360" s="37"/>
      <c r="R1360" s="37"/>
      <c r="S1360" s="37"/>
      <c r="T1360" s="37"/>
      <c r="U1360" s="37"/>
      <c r="V1360" s="37"/>
      <c r="W1360" s="37"/>
      <c r="X1360" s="37"/>
      <c r="Y1360" s="37"/>
      <c r="Z1360" s="37"/>
      <c r="AA1360" s="37">
        <f t="shared" si="206"/>
        <v>0</v>
      </c>
      <c r="AB1360" s="37">
        <f t="shared" ref="AB1360:AB1423" si="210">SUM(G1360:Z1360)</f>
        <v>0</v>
      </c>
    </row>
    <row r="1361" spans="1:28" ht="14.4">
      <c r="A1361" s="117">
        <v>5130211111</v>
      </c>
      <c r="B1361" s="117" t="s">
        <v>448</v>
      </c>
      <c r="C1361" s="37">
        <f>VLOOKUP(A1361,Composición!C:I,5,FALSE)</f>
        <v>11900000</v>
      </c>
      <c r="D1361" s="37"/>
      <c r="E1361" s="37"/>
      <c r="F1361" s="37"/>
      <c r="G1361" s="37">
        <f t="shared" si="208"/>
        <v>11900000</v>
      </c>
      <c r="H1361" s="37"/>
      <c r="I1361" s="37"/>
      <c r="J1361" s="37">
        <f>-G1361</f>
        <v>-11900000</v>
      </c>
      <c r="K1361" s="37"/>
      <c r="L1361" s="37"/>
      <c r="M1361" s="37"/>
      <c r="N1361" s="37"/>
      <c r="O1361" s="37"/>
      <c r="P1361" s="37"/>
      <c r="Q1361" s="37"/>
      <c r="R1361" s="37"/>
      <c r="S1361" s="37"/>
      <c r="T1361" s="37"/>
      <c r="U1361" s="37"/>
      <c r="V1361" s="37"/>
      <c r="W1361" s="37"/>
      <c r="X1361" s="37"/>
      <c r="Y1361" s="37"/>
      <c r="Z1361" s="37"/>
      <c r="AA1361" s="37">
        <f t="shared" si="206"/>
        <v>0</v>
      </c>
      <c r="AB1361" s="37">
        <f t="shared" si="210"/>
        <v>0</v>
      </c>
    </row>
    <row r="1362" spans="1:28" ht="14.4">
      <c r="A1362" s="117">
        <v>5130211111</v>
      </c>
      <c r="B1362" s="117" t="s">
        <v>1329</v>
      </c>
      <c r="C1362" s="37">
        <f>+Composición!G1372</f>
        <v>10200000</v>
      </c>
      <c r="D1362" s="37"/>
      <c r="E1362" s="37"/>
      <c r="F1362" s="37"/>
      <c r="G1362" s="37">
        <f t="shared" si="208"/>
        <v>10200000</v>
      </c>
      <c r="H1362" s="37"/>
      <c r="I1362" s="37"/>
      <c r="J1362" s="37">
        <f>-G1362</f>
        <v>-10200000</v>
      </c>
      <c r="K1362" s="37"/>
      <c r="L1362" s="37"/>
      <c r="M1362" s="37"/>
      <c r="N1362" s="37"/>
      <c r="O1362" s="37"/>
      <c r="P1362" s="37"/>
      <c r="Q1362" s="37"/>
      <c r="R1362" s="37"/>
      <c r="S1362" s="37"/>
      <c r="T1362" s="37"/>
      <c r="U1362" s="37"/>
      <c r="V1362" s="37"/>
      <c r="W1362" s="37"/>
      <c r="X1362" s="37"/>
      <c r="Y1362" s="37"/>
      <c r="Z1362" s="37"/>
      <c r="AA1362" s="37">
        <f t="shared" si="206"/>
        <v>0</v>
      </c>
      <c r="AB1362" s="37">
        <f t="shared" si="210"/>
        <v>0</v>
      </c>
    </row>
    <row r="1363" spans="1:28" ht="14.4">
      <c r="A1363" s="117">
        <v>51303</v>
      </c>
      <c r="B1363" s="117" t="s">
        <v>438</v>
      </c>
      <c r="C1363" s="37">
        <f>VLOOKUP(A1363,Composición!C:I,5,FALSE)</f>
        <v>0</v>
      </c>
      <c r="D1363" s="37"/>
      <c r="E1363" s="37"/>
      <c r="F1363" s="37"/>
      <c r="G1363" s="37">
        <f t="shared" si="208"/>
        <v>0</v>
      </c>
      <c r="H1363" s="37"/>
      <c r="I1363" s="37"/>
      <c r="J1363" s="37"/>
      <c r="K1363" s="37"/>
      <c r="L1363" s="37"/>
      <c r="M1363" s="37"/>
      <c r="N1363" s="37"/>
      <c r="O1363" s="37"/>
      <c r="P1363" s="37"/>
      <c r="Q1363" s="37"/>
      <c r="R1363" s="37"/>
      <c r="S1363" s="37"/>
      <c r="T1363" s="37"/>
      <c r="U1363" s="37"/>
      <c r="V1363" s="37"/>
      <c r="W1363" s="37"/>
      <c r="X1363" s="37"/>
      <c r="Y1363" s="37"/>
      <c r="Z1363" s="37"/>
      <c r="AA1363" s="37">
        <f t="shared" si="206"/>
        <v>0</v>
      </c>
      <c r="AB1363" s="37">
        <f t="shared" si="210"/>
        <v>0</v>
      </c>
    </row>
    <row r="1364" spans="1:28" ht="14.4">
      <c r="A1364" s="117">
        <v>513031</v>
      </c>
      <c r="B1364" s="117" t="s">
        <v>438</v>
      </c>
      <c r="C1364" s="37">
        <f>VLOOKUP(A1364,Composición!C:I,5,FALSE)</f>
        <v>0</v>
      </c>
      <c r="D1364" s="37"/>
      <c r="E1364" s="37"/>
      <c r="F1364" s="37"/>
      <c r="G1364" s="37">
        <f t="shared" si="208"/>
        <v>0</v>
      </c>
      <c r="H1364" s="37"/>
      <c r="I1364" s="37"/>
      <c r="J1364" s="37"/>
      <c r="K1364" s="37"/>
      <c r="L1364" s="37"/>
      <c r="M1364" s="37"/>
      <c r="N1364" s="37"/>
      <c r="O1364" s="37"/>
      <c r="P1364" s="37"/>
      <c r="Q1364" s="37"/>
      <c r="R1364" s="37"/>
      <c r="S1364" s="37"/>
      <c r="T1364" s="37"/>
      <c r="U1364" s="37"/>
      <c r="V1364" s="37"/>
      <c r="W1364" s="37"/>
      <c r="X1364" s="37"/>
      <c r="Y1364" s="37"/>
      <c r="Z1364" s="37"/>
      <c r="AA1364" s="37">
        <f t="shared" si="206"/>
        <v>0</v>
      </c>
      <c r="AB1364" s="37">
        <f t="shared" si="210"/>
        <v>0</v>
      </c>
    </row>
    <row r="1365" spans="1:28" ht="14.4">
      <c r="A1365" s="117">
        <v>5130311</v>
      </c>
      <c r="B1365" s="117" t="s">
        <v>438</v>
      </c>
      <c r="C1365" s="37">
        <f>VLOOKUP(A1365,Composición!C:I,5,FALSE)</f>
        <v>0</v>
      </c>
      <c r="D1365" s="37"/>
      <c r="E1365" s="37"/>
      <c r="F1365" s="37"/>
      <c r="G1365" s="37">
        <f t="shared" si="208"/>
        <v>0</v>
      </c>
      <c r="H1365" s="37"/>
      <c r="I1365" s="37"/>
      <c r="J1365" s="37"/>
      <c r="K1365" s="37"/>
      <c r="L1365" s="37"/>
      <c r="M1365" s="37"/>
      <c r="N1365" s="37"/>
      <c r="O1365" s="37"/>
      <c r="P1365" s="37"/>
      <c r="Q1365" s="37"/>
      <c r="R1365" s="37"/>
      <c r="S1365" s="37"/>
      <c r="T1365" s="37"/>
      <c r="U1365" s="37"/>
      <c r="V1365" s="37"/>
      <c r="W1365" s="37"/>
      <c r="X1365" s="37"/>
      <c r="Y1365" s="37"/>
      <c r="Z1365" s="37"/>
      <c r="AA1365" s="37">
        <f t="shared" si="206"/>
        <v>0</v>
      </c>
      <c r="AB1365" s="37">
        <f t="shared" si="210"/>
        <v>0</v>
      </c>
    </row>
    <row r="1366" spans="1:28" ht="14.4">
      <c r="A1366" s="117">
        <v>51303111</v>
      </c>
      <c r="B1366" s="117" t="s">
        <v>438</v>
      </c>
      <c r="C1366" s="37">
        <f>VLOOKUP(A1366,Composición!C:I,5,FALSE)</f>
        <v>0</v>
      </c>
      <c r="D1366" s="37"/>
      <c r="E1366" s="37"/>
      <c r="F1366" s="37"/>
      <c r="G1366" s="37">
        <f t="shared" si="208"/>
        <v>0</v>
      </c>
      <c r="H1366" s="37"/>
      <c r="I1366" s="37"/>
      <c r="J1366" s="37"/>
      <c r="K1366" s="37"/>
      <c r="L1366" s="37"/>
      <c r="M1366" s="37"/>
      <c r="N1366" s="37"/>
      <c r="O1366" s="37"/>
      <c r="P1366" s="37"/>
      <c r="Q1366" s="37"/>
      <c r="R1366" s="37"/>
      <c r="S1366" s="37"/>
      <c r="T1366" s="37"/>
      <c r="U1366" s="37"/>
      <c r="V1366" s="37"/>
      <c r="W1366" s="37"/>
      <c r="X1366" s="37"/>
      <c r="Y1366" s="37"/>
      <c r="Z1366" s="37"/>
      <c r="AA1366" s="37">
        <f t="shared" si="206"/>
        <v>0</v>
      </c>
      <c r="AB1366" s="37">
        <f t="shared" si="210"/>
        <v>0</v>
      </c>
    </row>
    <row r="1367" spans="1:28" ht="14.4">
      <c r="A1367" s="117">
        <v>5130311101</v>
      </c>
      <c r="B1367" s="117" t="s">
        <v>1062</v>
      </c>
      <c r="C1367" s="37">
        <f>VLOOKUP(A1367,Composición!C:I,5,FALSE)</f>
        <v>0</v>
      </c>
      <c r="D1367" s="37"/>
      <c r="E1367" s="37"/>
      <c r="F1367" s="37"/>
      <c r="G1367" s="37">
        <f t="shared" si="208"/>
        <v>0</v>
      </c>
      <c r="H1367" s="37"/>
      <c r="I1367" s="37">
        <f>-G1367</f>
        <v>0</v>
      </c>
      <c r="J1367" s="37"/>
      <c r="K1367" s="37"/>
      <c r="L1367" s="37"/>
      <c r="M1367" s="37"/>
      <c r="N1367" s="37"/>
      <c r="O1367" s="37"/>
      <c r="P1367" s="37"/>
      <c r="Q1367" s="37"/>
      <c r="R1367" s="37"/>
      <c r="S1367" s="37"/>
      <c r="T1367" s="37"/>
      <c r="U1367" s="37"/>
      <c r="V1367" s="37"/>
      <c r="W1367" s="37"/>
      <c r="X1367" s="37"/>
      <c r="Y1367" s="37"/>
      <c r="Z1367" s="37"/>
      <c r="AA1367" s="37">
        <f t="shared" si="206"/>
        <v>0</v>
      </c>
      <c r="AB1367" s="37">
        <f t="shared" si="210"/>
        <v>0</v>
      </c>
    </row>
    <row r="1368" spans="1:28" ht="14.4">
      <c r="A1368" s="117">
        <v>5130311102</v>
      </c>
      <c r="B1368" s="117" t="s">
        <v>449</v>
      </c>
      <c r="C1368" s="37">
        <f>VLOOKUP(A1368,Composición!C:I,5,FALSE)</f>
        <v>665464000</v>
      </c>
      <c r="D1368" s="37"/>
      <c r="E1368" s="37"/>
      <c r="F1368" s="37"/>
      <c r="G1368" s="37">
        <f t="shared" si="208"/>
        <v>665464000</v>
      </c>
      <c r="H1368" s="37"/>
      <c r="I1368" s="37">
        <f>-G1368</f>
        <v>-665464000</v>
      </c>
      <c r="J1368" s="37"/>
      <c r="K1368" s="37"/>
      <c r="L1368" s="37"/>
      <c r="M1368" s="37"/>
      <c r="N1368" s="37"/>
      <c r="O1368" s="37"/>
      <c r="P1368" s="37"/>
      <c r="Q1368" s="37"/>
      <c r="R1368" s="37"/>
      <c r="S1368" s="37"/>
      <c r="T1368" s="37"/>
      <c r="U1368" s="37"/>
      <c r="V1368" s="37"/>
      <c r="W1368" s="37"/>
      <c r="X1368" s="37"/>
      <c r="Y1368" s="37"/>
      <c r="Z1368" s="37"/>
      <c r="AA1368" s="37">
        <f t="shared" si="206"/>
        <v>0</v>
      </c>
      <c r="AB1368" s="37">
        <f t="shared" si="210"/>
        <v>0</v>
      </c>
    </row>
    <row r="1369" spans="1:28" ht="14.4">
      <c r="A1369" s="117">
        <v>5130311103</v>
      </c>
      <c r="B1369" s="117" t="s">
        <v>450</v>
      </c>
      <c r="C1369" s="37">
        <f>VLOOKUP(A1369,Composición!C:I,5,FALSE)</f>
        <v>60000000</v>
      </c>
      <c r="D1369" s="37"/>
      <c r="E1369" s="37"/>
      <c r="F1369" s="37"/>
      <c r="G1369" s="37">
        <f t="shared" si="208"/>
        <v>60000000</v>
      </c>
      <c r="H1369" s="37"/>
      <c r="I1369" s="37"/>
      <c r="J1369" s="37"/>
      <c r="K1369" s="37"/>
      <c r="L1369" s="37">
        <f>-G1369</f>
        <v>-60000000</v>
      </c>
      <c r="M1369" s="37"/>
      <c r="N1369" s="37"/>
      <c r="O1369" s="37"/>
      <c r="P1369" s="37"/>
      <c r="Q1369" s="37"/>
      <c r="R1369" s="37"/>
      <c r="S1369" s="37"/>
      <c r="T1369" s="37"/>
      <c r="U1369" s="37"/>
      <c r="V1369" s="37"/>
      <c r="W1369" s="37"/>
      <c r="X1369" s="37"/>
      <c r="Y1369" s="37"/>
      <c r="Z1369" s="37"/>
      <c r="AA1369" s="37">
        <f t="shared" si="206"/>
        <v>0</v>
      </c>
      <c r="AB1369" s="37">
        <f t="shared" si="210"/>
        <v>0</v>
      </c>
    </row>
    <row r="1370" spans="1:28" ht="14.4">
      <c r="A1370" s="117">
        <v>5130311104</v>
      </c>
      <c r="B1370" s="117" t="s">
        <v>451</v>
      </c>
      <c r="C1370" s="37">
        <f>VLOOKUP(A1370,Composición!C:I,5,FALSE)</f>
        <v>1319754167</v>
      </c>
      <c r="D1370" s="37"/>
      <c r="E1370" s="37"/>
      <c r="F1370" s="37"/>
      <c r="G1370" s="37">
        <f t="shared" si="208"/>
        <v>1319754167</v>
      </c>
      <c r="H1370" s="37"/>
      <c r="I1370" s="37">
        <f>-G1370</f>
        <v>-1319754167</v>
      </c>
      <c r="J1370" s="37"/>
      <c r="K1370" s="37"/>
      <c r="L1370" s="37"/>
      <c r="M1370" s="37"/>
      <c r="N1370" s="37"/>
      <c r="O1370" s="37"/>
      <c r="P1370" s="37"/>
      <c r="Q1370" s="37"/>
      <c r="R1370" s="37"/>
      <c r="S1370" s="37"/>
      <c r="T1370" s="37"/>
      <c r="U1370" s="37"/>
      <c r="V1370" s="37"/>
      <c r="W1370" s="37"/>
      <c r="X1370" s="37"/>
      <c r="Y1370" s="37"/>
      <c r="Z1370" s="37"/>
      <c r="AA1370" s="37">
        <f t="shared" si="206"/>
        <v>0</v>
      </c>
      <c r="AB1370" s="37">
        <f t="shared" si="210"/>
        <v>0</v>
      </c>
    </row>
    <row r="1371" spans="1:28" ht="14.4">
      <c r="A1371" s="117">
        <v>5130311105</v>
      </c>
      <c r="B1371" s="117" t="s">
        <v>610</v>
      </c>
      <c r="C1371" s="37">
        <f>VLOOKUP(A1371,Composición!C:I,5,FALSE)</f>
        <v>95891927</v>
      </c>
      <c r="D1371" s="37"/>
      <c r="E1371" s="37"/>
      <c r="F1371" s="37"/>
      <c r="G1371" s="37">
        <f t="shared" ref="G1371" si="211">C1371+D1371-E1371-F1371</f>
        <v>95891927</v>
      </c>
      <c r="H1371" s="37"/>
      <c r="I1371" s="37">
        <f>-G1371</f>
        <v>-95891927</v>
      </c>
      <c r="J1371" s="37"/>
      <c r="K1371" s="37"/>
      <c r="L1371" s="37"/>
      <c r="M1371" s="37"/>
      <c r="N1371" s="37"/>
      <c r="O1371" s="37"/>
      <c r="P1371" s="37"/>
      <c r="Q1371" s="37"/>
      <c r="R1371" s="37"/>
      <c r="S1371" s="37"/>
      <c r="T1371" s="37"/>
      <c r="U1371" s="37"/>
      <c r="V1371" s="37"/>
      <c r="W1371" s="37"/>
      <c r="X1371" s="37"/>
      <c r="Y1371" s="37"/>
      <c r="Z1371" s="37"/>
      <c r="AA1371" s="37">
        <f t="shared" si="206"/>
        <v>0</v>
      </c>
      <c r="AB1371" s="37">
        <f t="shared" si="210"/>
        <v>0</v>
      </c>
    </row>
    <row r="1372" spans="1:28" ht="14.4">
      <c r="A1372" s="117">
        <v>51304</v>
      </c>
      <c r="B1372" s="117" t="s">
        <v>452</v>
      </c>
      <c r="C1372" s="37">
        <f>VLOOKUP(A1372,Composición!C:I,5,FALSE)</f>
        <v>0</v>
      </c>
      <c r="D1372" s="37"/>
      <c r="E1372" s="37"/>
      <c r="F1372" s="37"/>
      <c r="G1372" s="37">
        <f t="shared" si="208"/>
        <v>0</v>
      </c>
      <c r="H1372" s="37"/>
      <c r="I1372" s="37"/>
      <c r="J1372" s="37"/>
      <c r="K1372" s="37"/>
      <c r="L1372" s="37"/>
      <c r="M1372" s="37"/>
      <c r="N1372" s="37"/>
      <c r="O1372" s="37"/>
      <c r="P1372" s="37"/>
      <c r="Q1372" s="37"/>
      <c r="R1372" s="37"/>
      <c r="S1372" s="37"/>
      <c r="T1372" s="37"/>
      <c r="U1372" s="37"/>
      <c r="V1372" s="37"/>
      <c r="W1372" s="37"/>
      <c r="X1372" s="37"/>
      <c r="Y1372" s="37"/>
      <c r="Z1372" s="37"/>
      <c r="AA1372" s="37">
        <f t="shared" si="206"/>
        <v>0</v>
      </c>
      <c r="AB1372" s="37">
        <f t="shared" si="210"/>
        <v>0</v>
      </c>
    </row>
    <row r="1373" spans="1:28" ht="14.4">
      <c r="A1373" s="117">
        <v>513041</v>
      </c>
      <c r="B1373" s="117" t="s">
        <v>452</v>
      </c>
      <c r="C1373" s="37">
        <f>VLOOKUP(A1373,Composición!C:I,5,FALSE)</f>
        <v>0</v>
      </c>
      <c r="D1373" s="37"/>
      <c r="E1373" s="37"/>
      <c r="F1373" s="37"/>
      <c r="G1373" s="37">
        <f t="shared" si="208"/>
        <v>0</v>
      </c>
      <c r="H1373" s="37"/>
      <c r="I1373" s="37"/>
      <c r="J1373" s="37"/>
      <c r="K1373" s="37"/>
      <c r="L1373" s="37"/>
      <c r="M1373" s="37"/>
      <c r="N1373" s="37"/>
      <c r="O1373" s="37"/>
      <c r="P1373" s="37"/>
      <c r="Q1373" s="37"/>
      <c r="R1373" s="37"/>
      <c r="S1373" s="37"/>
      <c r="T1373" s="37"/>
      <c r="U1373" s="37"/>
      <c r="V1373" s="37"/>
      <c r="W1373" s="37"/>
      <c r="X1373" s="37"/>
      <c r="Y1373" s="37"/>
      <c r="Z1373" s="37"/>
      <c r="AA1373" s="37">
        <f t="shared" si="206"/>
        <v>0</v>
      </c>
      <c r="AB1373" s="37">
        <f t="shared" si="210"/>
        <v>0</v>
      </c>
    </row>
    <row r="1374" spans="1:28" ht="14.4">
      <c r="A1374" s="117">
        <v>5130411</v>
      </c>
      <c r="B1374" s="117" t="s">
        <v>452</v>
      </c>
      <c r="C1374" s="37">
        <f>VLOOKUP(A1374,Composición!C:I,5,FALSE)</f>
        <v>0</v>
      </c>
      <c r="D1374" s="37"/>
      <c r="E1374" s="37"/>
      <c r="F1374" s="37"/>
      <c r="G1374" s="37">
        <f t="shared" si="208"/>
        <v>0</v>
      </c>
      <c r="H1374" s="37"/>
      <c r="I1374" s="37"/>
      <c r="J1374" s="37"/>
      <c r="K1374" s="37"/>
      <c r="L1374" s="37"/>
      <c r="M1374" s="37"/>
      <c r="N1374" s="37"/>
      <c r="O1374" s="37"/>
      <c r="P1374" s="37"/>
      <c r="Q1374" s="37"/>
      <c r="R1374" s="37"/>
      <c r="S1374" s="37"/>
      <c r="T1374" s="37"/>
      <c r="U1374" s="37"/>
      <c r="V1374" s="37"/>
      <c r="W1374" s="37"/>
      <c r="X1374" s="37"/>
      <c r="Y1374" s="37"/>
      <c r="Z1374" s="37"/>
      <c r="AA1374" s="37">
        <f t="shared" si="206"/>
        <v>0</v>
      </c>
      <c r="AB1374" s="37">
        <f t="shared" si="210"/>
        <v>0</v>
      </c>
    </row>
    <row r="1375" spans="1:28" ht="14.4">
      <c r="A1375" s="117">
        <v>51304111</v>
      </c>
      <c r="B1375" s="117" t="s">
        <v>452</v>
      </c>
      <c r="C1375" s="37">
        <f>VLOOKUP(A1375,Composición!C:I,5,FALSE)</f>
        <v>0</v>
      </c>
      <c r="D1375" s="37"/>
      <c r="E1375" s="37"/>
      <c r="F1375" s="37"/>
      <c r="G1375" s="37">
        <f t="shared" si="208"/>
        <v>0</v>
      </c>
      <c r="H1375" s="37"/>
      <c r="I1375" s="37"/>
      <c r="J1375" s="37"/>
      <c r="K1375" s="37"/>
      <c r="L1375" s="37">
        <f>-G1375</f>
        <v>0</v>
      </c>
      <c r="M1375" s="37"/>
      <c r="N1375" s="37"/>
      <c r="O1375" s="37"/>
      <c r="P1375" s="37"/>
      <c r="Q1375" s="37"/>
      <c r="R1375" s="37"/>
      <c r="S1375" s="37"/>
      <c r="T1375" s="37"/>
      <c r="U1375" s="37"/>
      <c r="V1375" s="37"/>
      <c r="W1375" s="37"/>
      <c r="X1375" s="37"/>
      <c r="Y1375" s="37"/>
      <c r="Z1375" s="37"/>
      <c r="AA1375" s="37">
        <f t="shared" si="206"/>
        <v>0</v>
      </c>
      <c r="AB1375" s="37">
        <f t="shared" si="210"/>
        <v>0</v>
      </c>
    </row>
    <row r="1376" spans="1:28" ht="14.4">
      <c r="A1376" s="117">
        <v>5130411101</v>
      </c>
      <c r="B1376" s="117" t="s">
        <v>453</v>
      </c>
      <c r="C1376" s="37">
        <f>VLOOKUP(A1376,Composición!C:I,5,FALSE)</f>
        <v>237432629</v>
      </c>
      <c r="D1376" s="37"/>
      <c r="E1376" s="37"/>
      <c r="F1376" s="37"/>
      <c r="G1376" s="37">
        <f t="shared" si="208"/>
        <v>237432629</v>
      </c>
      <c r="H1376" s="37"/>
      <c r="I1376" s="37"/>
      <c r="J1376" s="37"/>
      <c r="K1376" s="37"/>
      <c r="L1376" s="37">
        <f t="shared" ref="L1376:L1385" si="212">-G1376</f>
        <v>-237432629</v>
      </c>
      <c r="M1376" s="37"/>
      <c r="N1376" s="37"/>
      <c r="O1376" s="37"/>
      <c r="P1376" s="37"/>
      <c r="Q1376" s="37"/>
      <c r="R1376" s="37"/>
      <c r="S1376" s="37"/>
      <c r="T1376" s="37"/>
      <c r="U1376" s="37"/>
      <c r="V1376" s="37"/>
      <c r="W1376" s="37"/>
      <c r="X1376" s="37"/>
      <c r="Y1376" s="37"/>
      <c r="Z1376" s="37"/>
      <c r="AA1376" s="37">
        <f t="shared" si="206"/>
        <v>0</v>
      </c>
      <c r="AB1376" s="37">
        <f t="shared" si="210"/>
        <v>0</v>
      </c>
    </row>
    <row r="1377" spans="1:28" ht="14.4">
      <c r="A1377" s="117">
        <v>5130411102</v>
      </c>
      <c r="B1377" s="117" t="s">
        <v>909</v>
      </c>
      <c r="C1377" s="37">
        <f>VLOOKUP(A1377,Composición!C:I,5,FALSE)</f>
        <v>0</v>
      </c>
      <c r="D1377" s="37"/>
      <c r="E1377" s="37"/>
      <c r="F1377" s="37"/>
      <c r="G1377" s="37">
        <f t="shared" si="208"/>
        <v>0</v>
      </c>
      <c r="H1377" s="37"/>
      <c r="I1377" s="37"/>
      <c r="J1377" s="37"/>
      <c r="K1377" s="37"/>
      <c r="L1377" s="37">
        <f t="shared" si="212"/>
        <v>0</v>
      </c>
      <c r="M1377" s="37"/>
      <c r="N1377" s="37"/>
      <c r="O1377" s="37"/>
      <c r="P1377" s="37"/>
      <c r="Q1377" s="37"/>
      <c r="R1377" s="37"/>
      <c r="S1377" s="37"/>
      <c r="T1377" s="37"/>
      <c r="U1377" s="37"/>
      <c r="V1377" s="37"/>
      <c r="W1377" s="37"/>
      <c r="X1377" s="37"/>
      <c r="Y1377" s="37"/>
      <c r="Z1377" s="37"/>
      <c r="AA1377" s="37">
        <f t="shared" si="206"/>
        <v>0</v>
      </c>
      <c r="AB1377" s="37">
        <f t="shared" si="210"/>
        <v>0</v>
      </c>
    </row>
    <row r="1378" spans="1:28" ht="14.4">
      <c r="A1378" s="117">
        <v>5130411103</v>
      </c>
      <c r="B1378" s="117" t="s">
        <v>1064</v>
      </c>
      <c r="C1378" s="37">
        <f>VLOOKUP(A1378,Composición!C:I,5,FALSE)</f>
        <v>35525284</v>
      </c>
      <c r="D1378" s="37"/>
      <c r="E1378" s="37"/>
      <c r="F1378" s="37"/>
      <c r="G1378" s="37">
        <f t="shared" si="208"/>
        <v>35525284</v>
      </c>
      <c r="H1378" s="37"/>
      <c r="I1378" s="37"/>
      <c r="J1378" s="37"/>
      <c r="K1378" s="37"/>
      <c r="L1378" s="37">
        <f t="shared" si="212"/>
        <v>-35525284</v>
      </c>
      <c r="M1378" s="37"/>
      <c r="N1378" s="37"/>
      <c r="O1378" s="37"/>
      <c r="P1378" s="37"/>
      <c r="Q1378" s="37"/>
      <c r="R1378" s="37"/>
      <c r="S1378" s="37"/>
      <c r="T1378" s="37"/>
      <c r="U1378" s="37"/>
      <c r="V1378" s="37"/>
      <c r="W1378" s="37"/>
      <c r="X1378" s="37"/>
      <c r="Y1378" s="37"/>
      <c r="Z1378" s="37"/>
      <c r="AA1378" s="37">
        <f t="shared" si="206"/>
        <v>0</v>
      </c>
      <c r="AB1378" s="37">
        <f t="shared" si="210"/>
        <v>0</v>
      </c>
    </row>
    <row r="1379" spans="1:28" ht="14.4">
      <c r="A1379" s="117">
        <v>5130411104</v>
      </c>
      <c r="B1379" s="117" t="s">
        <v>455</v>
      </c>
      <c r="C1379" s="37">
        <f>VLOOKUP(A1379,Composición!C:I,5,FALSE)</f>
        <v>9530953</v>
      </c>
      <c r="D1379" s="37"/>
      <c r="E1379" s="37"/>
      <c r="F1379" s="37"/>
      <c r="G1379" s="37">
        <f t="shared" si="208"/>
        <v>9530953</v>
      </c>
      <c r="H1379" s="37"/>
      <c r="I1379" s="37"/>
      <c r="J1379" s="37"/>
      <c r="K1379" s="37"/>
      <c r="L1379" s="37">
        <f t="shared" si="212"/>
        <v>-9530953</v>
      </c>
      <c r="M1379" s="37"/>
      <c r="N1379" s="37"/>
      <c r="O1379" s="37"/>
      <c r="P1379" s="37"/>
      <c r="Q1379" s="37"/>
      <c r="R1379" s="37"/>
      <c r="S1379" s="37"/>
      <c r="T1379" s="37"/>
      <c r="U1379" s="37"/>
      <c r="V1379" s="37"/>
      <c r="W1379" s="37"/>
      <c r="X1379" s="37"/>
      <c r="Y1379" s="37"/>
      <c r="Z1379" s="37"/>
      <c r="AA1379" s="37">
        <f t="shared" si="206"/>
        <v>0</v>
      </c>
      <c r="AB1379" s="37">
        <f t="shared" si="210"/>
        <v>0</v>
      </c>
    </row>
    <row r="1380" spans="1:28" ht="14.4">
      <c r="A1380" s="117">
        <v>5130411105</v>
      </c>
      <c r="B1380" s="117" t="s">
        <v>456</v>
      </c>
      <c r="C1380" s="37">
        <f>VLOOKUP(A1380,Composición!C:I,5,FALSE)</f>
        <v>294499271</v>
      </c>
      <c r="D1380" s="37"/>
      <c r="E1380" s="37"/>
      <c r="F1380" s="37"/>
      <c r="G1380" s="37">
        <f t="shared" si="208"/>
        <v>294499271</v>
      </c>
      <c r="H1380" s="37"/>
      <c r="I1380" s="37"/>
      <c r="J1380" s="37"/>
      <c r="K1380" s="37"/>
      <c r="L1380" s="37">
        <f t="shared" si="212"/>
        <v>-294499271</v>
      </c>
      <c r="M1380" s="37"/>
      <c r="N1380" s="37"/>
      <c r="O1380" s="37"/>
      <c r="P1380" s="37"/>
      <c r="Q1380" s="37"/>
      <c r="R1380" s="37"/>
      <c r="S1380" s="37"/>
      <c r="T1380" s="37"/>
      <c r="U1380" s="37"/>
      <c r="V1380" s="37"/>
      <c r="W1380" s="37"/>
      <c r="X1380" s="37"/>
      <c r="Y1380" s="37"/>
      <c r="Z1380" s="37"/>
      <c r="AA1380" s="37">
        <f t="shared" si="206"/>
        <v>0</v>
      </c>
      <c r="AB1380" s="37">
        <f t="shared" si="210"/>
        <v>0</v>
      </c>
    </row>
    <row r="1381" spans="1:28" ht="14.4">
      <c r="A1381" s="117">
        <v>5130411106</v>
      </c>
      <c r="B1381" s="117" t="s">
        <v>457</v>
      </c>
      <c r="C1381" s="37">
        <f>VLOOKUP(A1381,Composición!C:I,5,FALSE)</f>
        <v>482961688</v>
      </c>
      <c r="D1381" s="37"/>
      <c r="E1381" s="37"/>
      <c r="F1381" s="37"/>
      <c r="G1381" s="37">
        <f t="shared" si="208"/>
        <v>482961688</v>
      </c>
      <c r="H1381" s="37"/>
      <c r="I1381" s="37"/>
      <c r="J1381" s="37"/>
      <c r="K1381" s="37"/>
      <c r="L1381" s="37">
        <f t="shared" si="212"/>
        <v>-482961688</v>
      </c>
      <c r="M1381" s="37"/>
      <c r="N1381" s="37"/>
      <c r="O1381" s="37"/>
      <c r="P1381" s="37"/>
      <c r="Q1381" s="37"/>
      <c r="R1381" s="37"/>
      <c r="S1381" s="37"/>
      <c r="T1381" s="37"/>
      <c r="U1381" s="37"/>
      <c r="V1381" s="37"/>
      <c r="W1381" s="37"/>
      <c r="X1381" s="37"/>
      <c r="Y1381" s="37"/>
      <c r="Z1381" s="37"/>
      <c r="AA1381" s="37">
        <f t="shared" si="206"/>
        <v>0</v>
      </c>
      <c r="AB1381" s="37">
        <f t="shared" si="210"/>
        <v>0</v>
      </c>
    </row>
    <row r="1382" spans="1:28" ht="14.4">
      <c r="A1382" s="117">
        <v>5130411107</v>
      </c>
      <c r="B1382" s="117" t="s">
        <v>1065</v>
      </c>
      <c r="C1382" s="37">
        <f>VLOOKUP(A1382,Composición!C:I,5,FALSE)</f>
        <v>979190159</v>
      </c>
      <c r="D1382" s="37"/>
      <c r="E1382" s="37"/>
      <c r="F1382" s="37"/>
      <c r="G1382" s="37">
        <f t="shared" si="208"/>
        <v>979190159</v>
      </c>
      <c r="H1382" s="37"/>
      <c r="I1382" s="37"/>
      <c r="J1382" s="37"/>
      <c r="K1382" s="37"/>
      <c r="L1382" s="37">
        <f t="shared" si="212"/>
        <v>-979190159</v>
      </c>
      <c r="M1382" s="37"/>
      <c r="N1382" s="37"/>
      <c r="O1382" s="37"/>
      <c r="P1382" s="37"/>
      <c r="Q1382" s="37"/>
      <c r="R1382" s="37"/>
      <c r="S1382" s="37"/>
      <c r="T1382" s="37"/>
      <c r="U1382" s="37"/>
      <c r="V1382" s="37"/>
      <c r="W1382" s="37"/>
      <c r="X1382" s="37"/>
      <c r="Y1382" s="37"/>
      <c r="Z1382" s="37"/>
      <c r="AA1382" s="37">
        <f t="shared" si="206"/>
        <v>0</v>
      </c>
      <c r="AB1382" s="37">
        <f t="shared" si="210"/>
        <v>0</v>
      </c>
    </row>
    <row r="1383" spans="1:28" ht="14.4">
      <c r="A1383" s="117">
        <v>5130411108</v>
      </c>
      <c r="B1383" s="117" t="s">
        <v>1066</v>
      </c>
      <c r="C1383" s="37">
        <f>VLOOKUP(A1383,Composición!C:I,5,FALSE)</f>
        <v>0</v>
      </c>
      <c r="D1383" s="37"/>
      <c r="E1383" s="37"/>
      <c r="F1383" s="37"/>
      <c r="G1383" s="37">
        <f t="shared" si="208"/>
        <v>0</v>
      </c>
      <c r="H1383" s="37"/>
      <c r="I1383" s="37"/>
      <c r="J1383" s="37"/>
      <c r="K1383" s="37"/>
      <c r="L1383" s="37">
        <f t="shared" si="212"/>
        <v>0</v>
      </c>
      <c r="M1383" s="37"/>
      <c r="N1383" s="37"/>
      <c r="O1383" s="37"/>
      <c r="P1383" s="37"/>
      <c r="Q1383" s="37"/>
      <c r="R1383" s="37"/>
      <c r="S1383" s="37"/>
      <c r="T1383" s="37"/>
      <c r="U1383" s="37"/>
      <c r="V1383" s="37"/>
      <c r="W1383" s="37"/>
      <c r="X1383" s="37"/>
      <c r="Y1383" s="37"/>
      <c r="Z1383" s="37"/>
      <c r="AA1383" s="37">
        <f t="shared" si="206"/>
        <v>0</v>
      </c>
      <c r="AB1383" s="37">
        <f t="shared" si="210"/>
        <v>0</v>
      </c>
    </row>
    <row r="1384" spans="1:28" ht="14.4">
      <c r="A1384" s="117">
        <v>5130411109</v>
      </c>
      <c r="B1384" s="117" t="s">
        <v>459</v>
      </c>
      <c r="C1384" s="37">
        <f>VLOOKUP(A1384,Composición!C:I,5,FALSE)</f>
        <v>329433478</v>
      </c>
      <c r="D1384" s="37"/>
      <c r="E1384" s="37"/>
      <c r="F1384" s="37"/>
      <c r="G1384" s="37">
        <f t="shared" si="208"/>
        <v>329433478</v>
      </c>
      <c r="H1384" s="37"/>
      <c r="I1384" s="37"/>
      <c r="J1384" s="37"/>
      <c r="K1384" s="37"/>
      <c r="L1384" s="37">
        <f t="shared" ref="L1384" si="213">-G1384</f>
        <v>-329433478</v>
      </c>
      <c r="M1384" s="37"/>
      <c r="N1384" s="37"/>
      <c r="O1384" s="37"/>
      <c r="P1384" s="37"/>
      <c r="Q1384" s="37"/>
      <c r="R1384" s="37"/>
      <c r="S1384" s="37"/>
      <c r="T1384" s="37"/>
      <c r="U1384" s="37"/>
      <c r="V1384" s="37"/>
      <c r="W1384" s="37"/>
      <c r="X1384" s="37"/>
      <c r="Y1384" s="37"/>
      <c r="Z1384" s="37"/>
      <c r="AA1384" s="37">
        <f t="shared" si="206"/>
        <v>0</v>
      </c>
      <c r="AB1384" s="37">
        <f t="shared" si="210"/>
        <v>0</v>
      </c>
    </row>
    <row r="1385" spans="1:28" ht="14.4">
      <c r="A1385" s="117">
        <v>5130411110</v>
      </c>
      <c r="B1385" s="117" t="s">
        <v>1068</v>
      </c>
      <c r="C1385" s="37">
        <f>VLOOKUP(A1385,Composición!C:I,5,FALSE)</f>
        <v>0</v>
      </c>
      <c r="D1385" s="37"/>
      <c r="E1385" s="37"/>
      <c r="F1385" s="37"/>
      <c r="G1385" s="37">
        <f t="shared" si="208"/>
        <v>0</v>
      </c>
      <c r="H1385" s="37"/>
      <c r="I1385" s="37"/>
      <c r="J1385" s="37"/>
      <c r="K1385" s="37"/>
      <c r="L1385" s="37">
        <f t="shared" si="212"/>
        <v>0</v>
      </c>
      <c r="M1385" s="37"/>
      <c r="N1385" s="37"/>
      <c r="O1385" s="37"/>
      <c r="P1385" s="37"/>
      <c r="Q1385" s="37"/>
      <c r="R1385" s="37"/>
      <c r="S1385" s="37"/>
      <c r="T1385" s="37"/>
      <c r="U1385" s="37"/>
      <c r="V1385" s="37"/>
      <c r="W1385" s="37"/>
      <c r="X1385" s="37"/>
      <c r="Y1385" s="37"/>
      <c r="Z1385" s="37"/>
      <c r="AA1385" s="37">
        <f t="shared" si="206"/>
        <v>0</v>
      </c>
      <c r="AB1385" s="37">
        <f t="shared" si="210"/>
        <v>0</v>
      </c>
    </row>
    <row r="1386" spans="1:28" ht="14.4">
      <c r="A1386" s="117">
        <v>51305</v>
      </c>
      <c r="B1386" s="117" t="s">
        <v>461</v>
      </c>
      <c r="C1386" s="37">
        <f>VLOOKUP(A1386,Composición!C:I,5,FALSE)</f>
        <v>0</v>
      </c>
      <c r="D1386" s="37"/>
      <c r="E1386" s="37"/>
      <c r="F1386" s="37"/>
      <c r="G1386" s="37">
        <f t="shared" si="208"/>
        <v>0</v>
      </c>
      <c r="H1386" s="37"/>
      <c r="I1386" s="37"/>
      <c r="J1386" s="37"/>
      <c r="K1386" s="37"/>
      <c r="L1386" s="37"/>
      <c r="M1386" s="37"/>
      <c r="N1386" s="37"/>
      <c r="O1386" s="37"/>
      <c r="P1386" s="37"/>
      <c r="Q1386" s="37"/>
      <c r="R1386" s="37"/>
      <c r="S1386" s="37"/>
      <c r="T1386" s="37"/>
      <c r="U1386" s="37"/>
      <c r="V1386" s="37"/>
      <c r="W1386" s="37"/>
      <c r="X1386" s="37"/>
      <c r="Y1386" s="37"/>
      <c r="Z1386" s="37"/>
      <c r="AA1386" s="37">
        <f t="shared" si="206"/>
        <v>0</v>
      </c>
      <c r="AB1386" s="37">
        <f t="shared" si="210"/>
        <v>0</v>
      </c>
    </row>
    <row r="1387" spans="1:28" ht="14.4">
      <c r="A1387" s="117">
        <v>513051</v>
      </c>
      <c r="B1387" s="117" t="s">
        <v>1069</v>
      </c>
      <c r="C1387" s="37">
        <f>VLOOKUP(A1387,Composición!C:I,5,FALSE)</f>
        <v>0</v>
      </c>
      <c r="D1387" s="37"/>
      <c r="E1387" s="37"/>
      <c r="F1387" s="37"/>
      <c r="G1387" s="37">
        <f t="shared" si="208"/>
        <v>0</v>
      </c>
      <c r="H1387" s="37"/>
      <c r="I1387" s="37"/>
      <c r="J1387" s="37"/>
      <c r="K1387" s="37"/>
      <c r="L1387" s="37"/>
      <c r="M1387" s="37"/>
      <c r="N1387" s="37"/>
      <c r="O1387" s="37"/>
      <c r="P1387" s="37"/>
      <c r="Q1387" s="37"/>
      <c r="R1387" s="37"/>
      <c r="S1387" s="37"/>
      <c r="T1387" s="37"/>
      <c r="U1387" s="37"/>
      <c r="V1387" s="37"/>
      <c r="W1387" s="37"/>
      <c r="X1387" s="37"/>
      <c r="Y1387" s="37"/>
      <c r="Z1387" s="37"/>
      <c r="AA1387" s="37">
        <f t="shared" si="206"/>
        <v>0</v>
      </c>
      <c r="AB1387" s="37">
        <f t="shared" si="210"/>
        <v>0</v>
      </c>
    </row>
    <row r="1388" spans="1:28" ht="14.4">
      <c r="A1388" s="117">
        <v>5130511</v>
      </c>
      <c r="B1388" s="117" t="s">
        <v>1069</v>
      </c>
      <c r="C1388" s="37">
        <f>VLOOKUP(A1388,Composición!C:I,5,FALSE)</f>
        <v>0</v>
      </c>
      <c r="D1388" s="37"/>
      <c r="E1388" s="37"/>
      <c r="F1388" s="37"/>
      <c r="G1388" s="37">
        <f t="shared" si="208"/>
        <v>0</v>
      </c>
      <c r="H1388" s="37"/>
      <c r="I1388" s="37"/>
      <c r="J1388" s="37"/>
      <c r="K1388" s="37"/>
      <c r="L1388" s="37"/>
      <c r="M1388" s="37"/>
      <c r="N1388" s="37"/>
      <c r="O1388" s="37"/>
      <c r="P1388" s="37"/>
      <c r="Q1388" s="37"/>
      <c r="R1388" s="37"/>
      <c r="S1388" s="37"/>
      <c r="T1388" s="37"/>
      <c r="U1388" s="37"/>
      <c r="V1388" s="37"/>
      <c r="W1388" s="37"/>
      <c r="X1388" s="37"/>
      <c r="Y1388" s="37"/>
      <c r="Z1388" s="37"/>
      <c r="AA1388" s="37">
        <f t="shared" si="206"/>
        <v>0</v>
      </c>
      <c r="AB1388" s="37">
        <f t="shared" si="210"/>
        <v>0</v>
      </c>
    </row>
    <row r="1389" spans="1:28" ht="14.4">
      <c r="A1389" s="117">
        <v>51305111</v>
      </c>
      <c r="B1389" s="117" t="s">
        <v>1069</v>
      </c>
      <c r="C1389" s="37">
        <f>VLOOKUP(A1389,Composición!C:I,5,FALSE)</f>
        <v>0</v>
      </c>
      <c r="D1389" s="37"/>
      <c r="E1389" s="37"/>
      <c r="F1389" s="37"/>
      <c r="G1389" s="37">
        <f t="shared" si="208"/>
        <v>0</v>
      </c>
      <c r="H1389" s="37"/>
      <c r="I1389" s="37"/>
      <c r="J1389" s="37"/>
      <c r="K1389" s="37"/>
      <c r="L1389" s="37"/>
      <c r="M1389" s="37"/>
      <c r="N1389" s="37"/>
      <c r="O1389" s="37"/>
      <c r="P1389" s="37"/>
      <c r="Q1389" s="37"/>
      <c r="R1389" s="37"/>
      <c r="S1389" s="37"/>
      <c r="T1389" s="37"/>
      <c r="U1389" s="37"/>
      <c r="V1389" s="37"/>
      <c r="W1389" s="37"/>
      <c r="X1389" s="37"/>
      <c r="Y1389" s="37"/>
      <c r="Z1389" s="37"/>
      <c r="AA1389" s="37">
        <f t="shared" si="206"/>
        <v>0</v>
      </c>
      <c r="AB1389" s="37">
        <f t="shared" si="210"/>
        <v>0</v>
      </c>
    </row>
    <row r="1390" spans="1:28" ht="14.4">
      <c r="A1390" s="117">
        <v>5130511101</v>
      </c>
      <c r="B1390" s="117" t="s">
        <v>1070</v>
      </c>
      <c r="C1390" s="37">
        <f>VLOOKUP(A1390,Composición!C:I,5,FALSE)</f>
        <v>0</v>
      </c>
      <c r="D1390" s="37"/>
      <c r="E1390" s="37"/>
      <c r="F1390" s="37"/>
      <c r="G1390" s="37">
        <f t="shared" si="208"/>
        <v>0</v>
      </c>
      <c r="H1390" s="37"/>
      <c r="I1390" s="37"/>
      <c r="J1390" s="37"/>
      <c r="K1390" s="37"/>
      <c r="L1390" s="37"/>
      <c r="M1390" s="37"/>
      <c r="N1390" s="37"/>
      <c r="O1390" s="37"/>
      <c r="P1390" s="37"/>
      <c r="Q1390" s="37"/>
      <c r="R1390" s="37"/>
      <c r="S1390" s="37">
        <f>-G1390</f>
        <v>0</v>
      </c>
      <c r="T1390" s="37"/>
      <c r="U1390" s="37"/>
      <c r="V1390" s="37"/>
      <c r="W1390" s="37"/>
      <c r="X1390" s="37"/>
      <c r="Y1390" s="37"/>
      <c r="Z1390" s="37"/>
      <c r="AA1390" s="37">
        <f t="shared" si="206"/>
        <v>0</v>
      </c>
      <c r="AB1390" s="37">
        <f t="shared" si="210"/>
        <v>0</v>
      </c>
    </row>
    <row r="1391" spans="1:28" ht="14.4">
      <c r="A1391" s="117">
        <v>5130511102</v>
      </c>
      <c r="B1391" s="117" t="s">
        <v>1071</v>
      </c>
      <c r="C1391" s="37">
        <f>VLOOKUP(A1391,Composición!C:I,5,FALSE)</f>
        <v>0</v>
      </c>
      <c r="D1391" s="37"/>
      <c r="E1391" s="37"/>
      <c r="F1391" s="37"/>
      <c r="G1391" s="37">
        <f t="shared" si="208"/>
        <v>0</v>
      </c>
      <c r="H1391" s="37"/>
      <c r="I1391" s="37"/>
      <c r="J1391" s="37"/>
      <c r="K1391" s="37"/>
      <c r="L1391" s="37"/>
      <c r="M1391" s="37"/>
      <c r="N1391" s="37"/>
      <c r="O1391" s="37"/>
      <c r="P1391" s="37"/>
      <c r="Q1391" s="37"/>
      <c r="R1391" s="37"/>
      <c r="S1391" s="37">
        <f>-G1391</f>
        <v>0</v>
      </c>
      <c r="T1391" s="37"/>
      <c r="U1391" s="37"/>
      <c r="V1391" s="37"/>
      <c r="W1391" s="37"/>
      <c r="X1391" s="37"/>
      <c r="Y1391" s="37"/>
      <c r="Z1391" s="37"/>
      <c r="AA1391" s="37">
        <f t="shared" si="206"/>
        <v>0</v>
      </c>
      <c r="AB1391" s="37">
        <f t="shared" si="210"/>
        <v>0</v>
      </c>
    </row>
    <row r="1392" spans="1:28" ht="14.4">
      <c r="A1392" s="117">
        <v>5130511103</v>
      </c>
      <c r="B1392" s="117" t="s">
        <v>1072</v>
      </c>
      <c r="C1392" s="37">
        <f>VLOOKUP(A1392,Composición!C:I,5,FALSE)</f>
        <v>0</v>
      </c>
      <c r="D1392" s="37"/>
      <c r="E1392" s="37"/>
      <c r="F1392" s="37"/>
      <c r="G1392" s="37">
        <f t="shared" si="208"/>
        <v>0</v>
      </c>
      <c r="H1392" s="37"/>
      <c r="I1392" s="37"/>
      <c r="J1392" s="37"/>
      <c r="K1392" s="37"/>
      <c r="L1392" s="37"/>
      <c r="M1392" s="37"/>
      <c r="N1392" s="37"/>
      <c r="O1392" s="37"/>
      <c r="P1392" s="37"/>
      <c r="Q1392" s="37"/>
      <c r="R1392" s="37"/>
      <c r="S1392" s="37">
        <f>-G1392</f>
        <v>0</v>
      </c>
      <c r="T1392" s="37"/>
      <c r="U1392" s="37"/>
      <c r="V1392" s="37"/>
      <c r="W1392" s="37"/>
      <c r="X1392" s="37"/>
      <c r="Y1392" s="37"/>
      <c r="Z1392" s="37"/>
      <c r="AA1392" s="37">
        <f t="shared" si="206"/>
        <v>0</v>
      </c>
      <c r="AB1392" s="37">
        <f t="shared" si="210"/>
        <v>0</v>
      </c>
    </row>
    <row r="1393" spans="1:28" ht="14.4">
      <c r="A1393" s="117">
        <v>5130511104</v>
      </c>
      <c r="B1393" s="117" t="s">
        <v>1073</v>
      </c>
      <c r="C1393" s="37">
        <f>VLOOKUP(A1393,Composición!C:I,5,FALSE)</f>
        <v>0</v>
      </c>
      <c r="D1393" s="37"/>
      <c r="E1393" s="37"/>
      <c r="F1393" s="37"/>
      <c r="G1393" s="37">
        <f t="shared" si="208"/>
        <v>0</v>
      </c>
      <c r="H1393" s="37"/>
      <c r="I1393" s="37"/>
      <c r="J1393" s="37"/>
      <c r="K1393" s="37"/>
      <c r="L1393" s="37"/>
      <c r="M1393" s="37"/>
      <c r="N1393" s="37"/>
      <c r="O1393" s="37"/>
      <c r="P1393" s="37"/>
      <c r="Q1393" s="37"/>
      <c r="R1393" s="37"/>
      <c r="S1393" s="37"/>
      <c r="T1393" s="37">
        <f>-G1393</f>
        <v>0</v>
      </c>
      <c r="U1393" s="37"/>
      <c r="V1393" s="37"/>
      <c r="W1393" s="37"/>
      <c r="X1393" s="37"/>
      <c r="Y1393" s="37"/>
      <c r="Z1393" s="37"/>
      <c r="AA1393" s="37">
        <f t="shared" si="206"/>
        <v>0</v>
      </c>
      <c r="AB1393" s="37">
        <f t="shared" si="210"/>
        <v>0</v>
      </c>
    </row>
    <row r="1394" spans="1:28" ht="14.4">
      <c r="A1394" s="117">
        <v>5130511105</v>
      </c>
      <c r="B1394" s="117" t="s">
        <v>1074</v>
      </c>
      <c r="C1394" s="37">
        <f>VLOOKUP(A1394,Composición!C:I,5,FALSE)</f>
        <v>0</v>
      </c>
      <c r="D1394" s="37"/>
      <c r="E1394" s="37"/>
      <c r="F1394" s="37"/>
      <c r="G1394" s="37">
        <f t="shared" si="208"/>
        <v>0</v>
      </c>
      <c r="H1394" s="37"/>
      <c r="I1394" s="37"/>
      <c r="J1394" s="37"/>
      <c r="K1394" s="37"/>
      <c r="L1394" s="37"/>
      <c r="M1394" s="37"/>
      <c r="N1394" s="37"/>
      <c r="O1394" s="37"/>
      <c r="P1394" s="37"/>
      <c r="Q1394" s="37"/>
      <c r="R1394" s="37"/>
      <c r="S1394" s="37"/>
      <c r="T1394" s="37">
        <f>-G1394</f>
        <v>0</v>
      </c>
      <c r="U1394" s="37"/>
      <c r="V1394" s="37"/>
      <c r="W1394" s="37"/>
      <c r="X1394" s="37"/>
      <c r="Y1394" s="37"/>
      <c r="Z1394" s="37"/>
      <c r="AA1394" s="37">
        <f t="shared" si="206"/>
        <v>0</v>
      </c>
      <c r="AB1394" s="37">
        <f t="shared" si="210"/>
        <v>0</v>
      </c>
    </row>
    <row r="1395" spans="1:28" ht="14.4">
      <c r="A1395" s="117">
        <v>5130511106</v>
      </c>
      <c r="B1395" s="117" t="s">
        <v>1075</v>
      </c>
      <c r="C1395" s="37">
        <f>VLOOKUP(A1395,Composición!C:I,5,FALSE)</f>
        <v>0</v>
      </c>
      <c r="D1395" s="37"/>
      <c r="E1395" s="37"/>
      <c r="F1395" s="37"/>
      <c r="G1395" s="37">
        <f t="shared" si="208"/>
        <v>0</v>
      </c>
      <c r="H1395" s="37"/>
      <c r="I1395" s="37"/>
      <c r="J1395" s="37"/>
      <c r="K1395" s="37"/>
      <c r="L1395" s="37"/>
      <c r="M1395" s="37"/>
      <c r="N1395" s="37"/>
      <c r="O1395" s="37"/>
      <c r="P1395" s="37"/>
      <c r="Q1395" s="37"/>
      <c r="R1395" s="37"/>
      <c r="S1395" s="37">
        <v>0</v>
      </c>
      <c r="T1395" s="37">
        <f>-G1395</f>
        <v>0</v>
      </c>
      <c r="U1395" s="37"/>
      <c r="V1395" s="37"/>
      <c r="W1395" s="37"/>
      <c r="X1395" s="37"/>
      <c r="Y1395" s="37"/>
      <c r="Z1395" s="37"/>
      <c r="AA1395" s="37">
        <f t="shared" si="206"/>
        <v>0</v>
      </c>
      <c r="AB1395" s="37">
        <f t="shared" si="210"/>
        <v>0</v>
      </c>
    </row>
    <row r="1396" spans="1:28" ht="14.4">
      <c r="A1396" s="117">
        <v>5130511107</v>
      </c>
      <c r="B1396" s="117" t="s">
        <v>1076</v>
      </c>
      <c r="C1396" s="37">
        <f>VLOOKUP(A1396,Composición!C:I,5,FALSE)</f>
        <v>0</v>
      </c>
      <c r="D1396" s="37"/>
      <c r="E1396" s="37"/>
      <c r="F1396" s="37"/>
      <c r="G1396" s="37">
        <f t="shared" si="208"/>
        <v>0</v>
      </c>
      <c r="H1396" s="37"/>
      <c r="I1396" s="37"/>
      <c r="J1396" s="37"/>
      <c r="K1396" s="37"/>
      <c r="L1396" s="37"/>
      <c r="M1396" s="37"/>
      <c r="N1396" s="37"/>
      <c r="O1396" s="37"/>
      <c r="P1396" s="37"/>
      <c r="Q1396" s="37"/>
      <c r="R1396" s="37"/>
      <c r="S1396" s="37"/>
      <c r="T1396" s="37"/>
      <c r="U1396" s="37"/>
      <c r="V1396" s="37"/>
      <c r="W1396" s="37"/>
      <c r="X1396" s="37"/>
      <c r="Y1396" s="37"/>
      <c r="Z1396" s="37"/>
      <c r="AA1396" s="37">
        <f t="shared" si="206"/>
        <v>0</v>
      </c>
      <c r="AB1396" s="37">
        <f t="shared" si="210"/>
        <v>0</v>
      </c>
    </row>
    <row r="1397" spans="1:28" ht="14.4">
      <c r="A1397" s="117">
        <v>5130511108</v>
      </c>
      <c r="B1397" s="117" t="s">
        <v>1077</v>
      </c>
      <c r="C1397" s="37">
        <f>VLOOKUP(A1397,Composición!C:I,5,FALSE)</f>
        <v>0</v>
      </c>
      <c r="D1397" s="37"/>
      <c r="E1397" s="37"/>
      <c r="F1397" s="37"/>
      <c r="G1397" s="37">
        <f t="shared" si="208"/>
        <v>0</v>
      </c>
      <c r="H1397" s="37"/>
      <c r="I1397" s="37"/>
      <c r="J1397" s="37"/>
      <c r="K1397" s="37"/>
      <c r="L1397" s="37"/>
      <c r="M1397" s="37"/>
      <c r="N1397" s="37"/>
      <c r="O1397" s="37"/>
      <c r="P1397" s="37"/>
      <c r="Q1397" s="37"/>
      <c r="R1397" s="37"/>
      <c r="S1397" s="37"/>
      <c r="T1397" s="37"/>
      <c r="U1397" s="37"/>
      <c r="V1397" s="37"/>
      <c r="W1397" s="37"/>
      <c r="X1397" s="37"/>
      <c r="Y1397" s="37"/>
      <c r="Z1397" s="37"/>
      <c r="AA1397" s="37">
        <f t="shared" si="206"/>
        <v>0</v>
      </c>
      <c r="AB1397" s="37">
        <f t="shared" si="210"/>
        <v>0</v>
      </c>
    </row>
    <row r="1398" spans="1:28" ht="14.4">
      <c r="A1398" s="117">
        <v>513052</v>
      </c>
      <c r="B1398" s="117" t="s">
        <v>462</v>
      </c>
      <c r="C1398" s="37">
        <f>VLOOKUP(A1398,Composición!C:I,5,FALSE)</f>
        <v>0</v>
      </c>
      <c r="D1398" s="37"/>
      <c r="E1398" s="37"/>
      <c r="F1398" s="37"/>
      <c r="G1398" s="37">
        <f t="shared" si="208"/>
        <v>0</v>
      </c>
      <c r="H1398" s="37"/>
      <c r="I1398" s="37"/>
      <c r="J1398" s="37"/>
      <c r="K1398" s="37"/>
      <c r="L1398" s="37"/>
      <c r="M1398" s="37"/>
      <c r="N1398" s="37"/>
      <c r="O1398" s="37"/>
      <c r="P1398" s="37"/>
      <c r="Q1398" s="37"/>
      <c r="R1398" s="37"/>
      <c r="S1398" s="37"/>
      <c r="T1398" s="37"/>
      <c r="U1398" s="37"/>
      <c r="V1398" s="37"/>
      <c r="W1398" s="37"/>
      <c r="X1398" s="37"/>
      <c r="Y1398" s="37"/>
      <c r="Z1398" s="37"/>
      <c r="AA1398" s="37">
        <f t="shared" si="206"/>
        <v>0</v>
      </c>
      <c r="AB1398" s="37">
        <f t="shared" si="210"/>
        <v>0</v>
      </c>
    </row>
    <row r="1399" spans="1:28" ht="14.4">
      <c r="A1399" s="117">
        <v>5130521</v>
      </c>
      <c r="B1399" s="117" t="s">
        <v>462</v>
      </c>
      <c r="C1399" s="37">
        <f>VLOOKUP(A1399,Composición!C:I,5,FALSE)</f>
        <v>0</v>
      </c>
      <c r="D1399" s="37"/>
      <c r="E1399" s="37"/>
      <c r="F1399" s="37"/>
      <c r="G1399" s="37">
        <f t="shared" si="208"/>
        <v>0</v>
      </c>
      <c r="H1399" s="37"/>
      <c r="I1399" s="37"/>
      <c r="J1399" s="37"/>
      <c r="K1399" s="37"/>
      <c r="L1399" s="37"/>
      <c r="M1399" s="37"/>
      <c r="N1399" s="37"/>
      <c r="O1399" s="37"/>
      <c r="P1399" s="37"/>
      <c r="Q1399" s="37"/>
      <c r="R1399" s="37"/>
      <c r="S1399" s="37">
        <f>-G1399</f>
        <v>0</v>
      </c>
      <c r="T1399" s="37"/>
      <c r="U1399" s="37"/>
      <c r="V1399" s="37"/>
      <c r="W1399" s="37"/>
      <c r="X1399" s="37"/>
      <c r="Y1399" s="37"/>
      <c r="Z1399" s="37"/>
      <c r="AA1399" s="37">
        <f t="shared" si="206"/>
        <v>0</v>
      </c>
      <c r="AB1399" s="37">
        <f t="shared" si="210"/>
        <v>0</v>
      </c>
    </row>
    <row r="1400" spans="1:28" ht="14.4">
      <c r="A1400" s="117">
        <v>51305211</v>
      </c>
      <c r="B1400" s="117" t="s">
        <v>462</v>
      </c>
      <c r="C1400" s="37">
        <f>VLOOKUP(A1400,Composición!C:I,5,FALSE)</f>
        <v>0</v>
      </c>
      <c r="D1400" s="37"/>
      <c r="E1400" s="37"/>
      <c r="F1400" s="37"/>
      <c r="G1400" s="37">
        <f t="shared" si="208"/>
        <v>0</v>
      </c>
      <c r="H1400" s="37"/>
      <c r="I1400" s="37"/>
      <c r="J1400" s="37"/>
      <c r="K1400" s="37"/>
      <c r="L1400" s="37"/>
      <c r="M1400" s="37"/>
      <c r="N1400" s="37"/>
      <c r="O1400" s="37"/>
      <c r="P1400" s="37"/>
      <c r="Q1400" s="37"/>
      <c r="R1400" s="37"/>
      <c r="S1400" s="37"/>
      <c r="T1400" s="37"/>
      <c r="U1400" s="37"/>
      <c r="V1400" s="37"/>
      <c r="W1400" s="37"/>
      <c r="X1400" s="37"/>
      <c r="Y1400" s="37"/>
      <c r="Z1400" s="37"/>
      <c r="AA1400" s="37">
        <f t="shared" si="206"/>
        <v>0</v>
      </c>
      <c r="AB1400" s="37">
        <f t="shared" si="210"/>
        <v>0</v>
      </c>
    </row>
    <row r="1401" spans="1:28" ht="14.4">
      <c r="A1401" s="117">
        <v>5130521101</v>
      </c>
      <c r="B1401" s="117" t="s">
        <v>1078</v>
      </c>
      <c r="C1401" s="37">
        <f>VLOOKUP(A1401,Composición!C:I,5,FALSE)</f>
        <v>0</v>
      </c>
      <c r="D1401" s="37"/>
      <c r="E1401" s="37">
        <f>+C1401</f>
        <v>0</v>
      </c>
      <c r="F1401" s="37"/>
      <c r="G1401" s="37">
        <f t="shared" si="208"/>
        <v>0</v>
      </c>
      <c r="H1401" s="37"/>
      <c r="I1401" s="37"/>
      <c r="J1401" s="37"/>
      <c r="K1401" s="37"/>
      <c r="L1401" s="37"/>
      <c r="M1401" s="37"/>
      <c r="N1401" s="37"/>
      <c r="O1401" s="37"/>
      <c r="P1401" s="37"/>
      <c r="Q1401" s="37"/>
      <c r="R1401" s="37">
        <f>-G1401</f>
        <v>0</v>
      </c>
      <c r="S1401" s="37"/>
      <c r="T1401" s="37"/>
      <c r="U1401" s="37"/>
      <c r="V1401" s="37"/>
      <c r="W1401" s="37"/>
      <c r="X1401" s="37"/>
      <c r="Y1401" s="37"/>
      <c r="Z1401" s="37"/>
      <c r="AA1401" s="37">
        <f t="shared" si="206"/>
        <v>0</v>
      </c>
      <c r="AB1401" s="37">
        <f t="shared" si="210"/>
        <v>0</v>
      </c>
    </row>
    <row r="1402" spans="1:28" ht="14.4">
      <c r="A1402" s="117">
        <v>5130521102</v>
      </c>
      <c r="B1402" s="117" t="s">
        <v>463</v>
      </c>
      <c r="C1402" s="37">
        <f>VLOOKUP(A1402,Composición!C:I,5,FALSE)</f>
        <v>388269778</v>
      </c>
      <c r="D1402" s="37"/>
      <c r="E1402" s="131">
        <f>+C1402</f>
        <v>388269778</v>
      </c>
      <c r="F1402" s="37"/>
      <c r="G1402" s="37">
        <f t="shared" si="208"/>
        <v>0</v>
      </c>
      <c r="H1402" s="37"/>
      <c r="I1402" s="37"/>
      <c r="J1402" s="37"/>
      <c r="K1402" s="37"/>
      <c r="L1402" s="37"/>
      <c r="M1402" s="37"/>
      <c r="N1402" s="37"/>
      <c r="O1402" s="37"/>
      <c r="P1402" s="37"/>
      <c r="Q1402" s="37"/>
      <c r="R1402" s="37"/>
      <c r="S1402" s="37"/>
      <c r="T1402" s="37"/>
      <c r="U1402" s="37"/>
      <c r="V1402" s="37"/>
      <c r="W1402" s="37"/>
      <c r="X1402" s="37"/>
      <c r="Y1402" s="37"/>
      <c r="Z1402" s="37"/>
      <c r="AA1402" s="37">
        <f t="shared" si="206"/>
        <v>0</v>
      </c>
      <c r="AB1402" s="37">
        <f t="shared" si="210"/>
        <v>0</v>
      </c>
    </row>
    <row r="1403" spans="1:28" ht="14.4">
      <c r="A1403" s="117">
        <v>5130521103</v>
      </c>
      <c r="B1403" s="117" t="s">
        <v>1079</v>
      </c>
      <c r="C1403" s="37">
        <f>VLOOKUP(A1403,Composición!C:I,5,FALSE)</f>
        <v>0</v>
      </c>
      <c r="D1403" s="37"/>
      <c r="E1403" s="37">
        <f>+C1403</f>
        <v>0</v>
      </c>
      <c r="F1403" s="37"/>
      <c r="G1403" s="37">
        <f t="shared" si="208"/>
        <v>0</v>
      </c>
      <c r="H1403" s="37"/>
      <c r="I1403" s="37"/>
      <c r="J1403" s="37"/>
      <c r="K1403" s="37"/>
      <c r="L1403" s="37"/>
      <c r="M1403" s="37"/>
      <c r="N1403" s="37"/>
      <c r="O1403" s="37"/>
      <c r="P1403" s="37"/>
      <c r="Q1403" s="37"/>
      <c r="R1403" s="37">
        <f>-G1403</f>
        <v>0</v>
      </c>
      <c r="S1403" s="37"/>
      <c r="T1403" s="37"/>
      <c r="U1403" s="37"/>
      <c r="V1403" s="37"/>
      <c r="W1403" s="37"/>
      <c r="X1403" s="37"/>
      <c r="Y1403" s="37"/>
      <c r="Z1403" s="37"/>
      <c r="AA1403" s="37">
        <f t="shared" si="206"/>
        <v>0</v>
      </c>
      <c r="AB1403" s="37">
        <f t="shared" si="210"/>
        <v>0</v>
      </c>
    </row>
    <row r="1404" spans="1:28" ht="14.4">
      <c r="A1404" s="117">
        <v>5130521104</v>
      </c>
      <c r="B1404" s="117" t="s">
        <v>464</v>
      </c>
      <c r="C1404" s="37">
        <f>VLOOKUP(A1404,Composición!C:I,5,FALSE)</f>
        <v>596516932</v>
      </c>
      <c r="D1404" s="37"/>
      <c r="E1404" s="131">
        <f>+C1404</f>
        <v>596516932</v>
      </c>
      <c r="F1404" s="37"/>
      <c r="G1404" s="37">
        <f t="shared" si="208"/>
        <v>0</v>
      </c>
      <c r="H1404" s="37"/>
      <c r="I1404" s="37"/>
      <c r="J1404" s="37"/>
      <c r="K1404" s="37"/>
      <c r="L1404" s="37"/>
      <c r="M1404" s="37"/>
      <c r="N1404" s="37"/>
      <c r="O1404" s="37"/>
      <c r="P1404" s="37"/>
      <c r="Q1404" s="37"/>
      <c r="R1404" s="37"/>
      <c r="S1404" s="37">
        <f>-G1404</f>
        <v>0</v>
      </c>
      <c r="T1404" s="37"/>
      <c r="U1404" s="37"/>
      <c r="V1404" s="37"/>
      <c r="W1404" s="37"/>
      <c r="X1404" s="37"/>
      <c r="Y1404" s="37"/>
      <c r="Z1404" s="37"/>
      <c r="AA1404" s="37">
        <f t="shared" si="206"/>
        <v>0</v>
      </c>
      <c r="AB1404" s="37">
        <f t="shared" si="210"/>
        <v>0</v>
      </c>
    </row>
    <row r="1405" spans="1:28" ht="14.4">
      <c r="A1405" s="117">
        <v>5130521105</v>
      </c>
      <c r="B1405" s="117" t="s">
        <v>465</v>
      </c>
      <c r="C1405" s="37">
        <f>VLOOKUP(A1405,Composición!C:I,5,FALSE)</f>
        <v>0</v>
      </c>
      <c r="D1405" s="37"/>
      <c r="E1405" s="37">
        <f>+C1405</f>
        <v>0</v>
      </c>
      <c r="F1405" s="37"/>
      <c r="G1405" s="37">
        <f t="shared" si="208"/>
        <v>0</v>
      </c>
      <c r="H1405" s="37"/>
      <c r="I1405" s="37"/>
      <c r="J1405" s="37"/>
      <c r="K1405" s="37"/>
      <c r="L1405" s="37"/>
      <c r="M1405" s="37"/>
      <c r="N1405" s="37"/>
      <c r="O1405" s="37"/>
      <c r="P1405" s="37"/>
      <c r="Q1405" s="37"/>
      <c r="R1405" s="37"/>
      <c r="S1405" s="37"/>
      <c r="T1405" s="37"/>
      <c r="U1405" s="37"/>
      <c r="V1405" s="37"/>
      <c r="W1405" s="37"/>
      <c r="X1405" s="37"/>
      <c r="Y1405" s="37"/>
      <c r="Z1405" s="37"/>
      <c r="AA1405" s="37">
        <f t="shared" si="206"/>
        <v>0</v>
      </c>
      <c r="AB1405" s="37">
        <f t="shared" si="210"/>
        <v>0</v>
      </c>
    </row>
    <row r="1406" spans="1:28" ht="14.4">
      <c r="A1406" s="117">
        <v>51306</v>
      </c>
      <c r="B1406" s="117" t="s">
        <v>466</v>
      </c>
      <c r="C1406" s="37">
        <f>VLOOKUP(A1406,Composición!C:I,5,FALSE)</f>
        <v>0</v>
      </c>
      <c r="D1406" s="37"/>
      <c r="E1406" s="37"/>
      <c r="F1406" s="37"/>
      <c r="G1406" s="37">
        <f t="shared" si="208"/>
        <v>0</v>
      </c>
      <c r="H1406" s="37"/>
      <c r="I1406" s="37"/>
      <c r="J1406" s="37"/>
      <c r="K1406" s="37"/>
      <c r="L1406" s="37"/>
      <c r="M1406" s="37"/>
      <c r="N1406" s="37"/>
      <c r="O1406" s="37"/>
      <c r="P1406" s="37"/>
      <c r="Q1406" s="37"/>
      <c r="R1406" s="37"/>
      <c r="S1406" s="37"/>
      <c r="T1406" s="37"/>
      <c r="U1406" s="37"/>
      <c r="V1406" s="37"/>
      <c r="W1406" s="37"/>
      <c r="X1406" s="37"/>
      <c r="Y1406" s="37"/>
      <c r="Z1406" s="37"/>
      <c r="AA1406" s="37">
        <f t="shared" si="206"/>
        <v>0</v>
      </c>
      <c r="AB1406" s="37">
        <f t="shared" si="210"/>
        <v>0</v>
      </c>
    </row>
    <row r="1407" spans="1:28" ht="14.4">
      <c r="A1407" s="117">
        <v>513061</v>
      </c>
      <c r="B1407" s="117" t="s">
        <v>466</v>
      </c>
      <c r="C1407" s="37">
        <f>VLOOKUP(A1407,Composición!C:I,5,FALSE)</f>
        <v>0</v>
      </c>
      <c r="D1407" s="37"/>
      <c r="E1407" s="37"/>
      <c r="F1407" s="37"/>
      <c r="G1407" s="37">
        <f t="shared" si="208"/>
        <v>0</v>
      </c>
      <c r="H1407" s="37"/>
      <c r="I1407" s="37"/>
      <c r="J1407" s="37"/>
      <c r="K1407" s="37"/>
      <c r="L1407" s="37"/>
      <c r="M1407" s="37"/>
      <c r="N1407" s="37"/>
      <c r="O1407" s="37"/>
      <c r="P1407" s="37"/>
      <c r="Q1407" s="37"/>
      <c r="R1407" s="37"/>
      <c r="S1407" s="37"/>
      <c r="T1407" s="37"/>
      <c r="U1407" s="37"/>
      <c r="V1407" s="37"/>
      <c r="W1407" s="37"/>
      <c r="X1407" s="37"/>
      <c r="Y1407" s="37"/>
      <c r="Z1407" s="37"/>
      <c r="AA1407" s="37">
        <f t="shared" si="206"/>
        <v>0</v>
      </c>
      <c r="AB1407" s="37">
        <f t="shared" si="210"/>
        <v>0</v>
      </c>
    </row>
    <row r="1408" spans="1:28" ht="14.4">
      <c r="A1408" s="117">
        <v>5130611</v>
      </c>
      <c r="B1408" s="117" t="s">
        <v>466</v>
      </c>
      <c r="C1408" s="37">
        <f>VLOOKUP(A1408,Composición!C:I,5,FALSE)</f>
        <v>0</v>
      </c>
      <c r="D1408" s="37"/>
      <c r="E1408" s="37"/>
      <c r="F1408" s="37"/>
      <c r="G1408" s="37">
        <f t="shared" si="208"/>
        <v>0</v>
      </c>
      <c r="H1408" s="37"/>
      <c r="I1408" s="37"/>
      <c r="J1408" s="37"/>
      <c r="K1408" s="37"/>
      <c r="L1408" s="37"/>
      <c r="M1408" s="37"/>
      <c r="N1408" s="37"/>
      <c r="O1408" s="37"/>
      <c r="P1408" s="37"/>
      <c r="Q1408" s="37"/>
      <c r="R1408" s="37"/>
      <c r="S1408" s="37"/>
      <c r="T1408" s="37"/>
      <c r="U1408" s="37"/>
      <c r="V1408" s="37"/>
      <c r="W1408" s="37">
        <f>-G1408</f>
        <v>0</v>
      </c>
      <c r="X1408" s="37"/>
      <c r="Y1408" s="37"/>
      <c r="Z1408" s="37"/>
      <c r="AA1408" s="37">
        <f t="shared" si="206"/>
        <v>0</v>
      </c>
      <c r="AB1408" s="37">
        <f t="shared" si="210"/>
        <v>0</v>
      </c>
    </row>
    <row r="1409" spans="1:28" ht="14.4">
      <c r="A1409" s="117">
        <v>51306111</v>
      </c>
      <c r="B1409" s="117" t="s">
        <v>466</v>
      </c>
      <c r="C1409" s="37">
        <f>VLOOKUP(A1409,Composición!C:I,5,FALSE)</f>
        <v>0</v>
      </c>
      <c r="D1409" s="37"/>
      <c r="E1409" s="37"/>
      <c r="F1409" s="37"/>
      <c r="G1409" s="37">
        <f t="shared" si="208"/>
        <v>0</v>
      </c>
      <c r="H1409" s="37"/>
      <c r="I1409" s="37"/>
      <c r="J1409" s="37"/>
      <c r="K1409" s="37"/>
      <c r="L1409" s="37">
        <v>0</v>
      </c>
      <c r="M1409" s="37"/>
      <c r="N1409" s="37"/>
      <c r="O1409" s="37"/>
      <c r="P1409" s="37"/>
      <c r="Q1409" s="37"/>
      <c r="R1409" s="37"/>
      <c r="S1409" s="37"/>
      <c r="T1409" s="37"/>
      <c r="U1409" s="37"/>
      <c r="V1409" s="37"/>
      <c r="W1409" s="37"/>
      <c r="X1409" s="37"/>
      <c r="Y1409" s="37"/>
      <c r="Z1409" s="37"/>
      <c r="AA1409" s="37">
        <f t="shared" si="206"/>
        <v>0</v>
      </c>
      <c r="AB1409" s="37">
        <f t="shared" si="210"/>
        <v>0</v>
      </c>
    </row>
    <row r="1410" spans="1:28" ht="14.4">
      <c r="A1410" s="117">
        <v>5130611101</v>
      </c>
      <c r="B1410" s="117" t="s">
        <v>1080</v>
      </c>
      <c r="C1410" s="37">
        <f>VLOOKUP(A1410,Composición!C:I,5,FALSE)</f>
        <v>0</v>
      </c>
      <c r="D1410" s="37"/>
      <c r="E1410" s="37"/>
      <c r="F1410" s="37"/>
      <c r="G1410" s="37">
        <f t="shared" si="208"/>
        <v>0</v>
      </c>
      <c r="H1410" s="37"/>
      <c r="I1410" s="37"/>
      <c r="J1410" s="37"/>
      <c r="K1410" s="37"/>
      <c r="L1410" s="37"/>
      <c r="M1410" s="37"/>
      <c r="N1410" s="37"/>
      <c r="O1410" s="37"/>
      <c r="P1410" s="37"/>
      <c r="Q1410" s="37"/>
      <c r="R1410" s="37"/>
      <c r="S1410" s="37"/>
      <c r="T1410" s="37"/>
      <c r="U1410" s="37"/>
      <c r="V1410" s="37"/>
      <c r="W1410" s="37"/>
      <c r="X1410" s="37"/>
      <c r="Y1410" s="37"/>
      <c r="Z1410" s="37"/>
      <c r="AA1410" s="37">
        <f t="shared" si="206"/>
        <v>0</v>
      </c>
      <c r="AB1410" s="37">
        <f t="shared" si="210"/>
        <v>0</v>
      </c>
    </row>
    <row r="1411" spans="1:28" ht="14.4">
      <c r="A1411" s="117">
        <v>5130611102</v>
      </c>
      <c r="B1411" s="117" t="s">
        <v>1081</v>
      </c>
      <c r="C1411" s="37">
        <f>VLOOKUP(A1411,Composición!C:I,5,FALSE)</f>
        <v>0</v>
      </c>
      <c r="D1411" s="37"/>
      <c r="E1411" s="37"/>
      <c r="F1411" s="37"/>
      <c r="G1411" s="37">
        <f t="shared" si="208"/>
        <v>0</v>
      </c>
      <c r="H1411" s="37"/>
      <c r="I1411" s="37"/>
      <c r="J1411" s="37"/>
      <c r="K1411" s="37"/>
      <c r="L1411" s="37"/>
      <c r="M1411" s="37"/>
      <c r="N1411" s="37"/>
      <c r="O1411" s="37"/>
      <c r="P1411" s="37"/>
      <c r="Q1411" s="37"/>
      <c r="R1411" s="37"/>
      <c r="S1411" s="37"/>
      <c r="T1411" s="37"/>
      <c r="U1411" s="37"/>
      <c r="V1411" s="37"/>
      <c r="W1411" s="37">
        <v>0</v>
      </c>
      <c r="X1411" s="37"/>
      <c r="Y1411" s="37"/>
      <c r="Z1411" s="37"/>
      <c r="AA1411" s="37">
        <f t="shared" si="206"/>
        <v>0</v>
      </c>
      <c r="AB1411" s="37">
        <f t="shared" si="210"/>
        <v>0</v>
      </c>
    </row>
    <row r="1412" spans="1:28" ht="14.4">
      <c r="A1412" s="117">
        <v>5130611103</v>
      </c>
      <c r="B1412" s="117" t="s">
        <v>843</v>
      </c>
      <c r="C1412" s="37">
        <f>VLOOKUP(A1412,Composición!C:I,5,FALSE)</f>
        <v>0</v>
      </c>
      <c r="D1412" s="37"/>
      <c r="E1412" s="37"/>
      <c r="F1412" s="37"/>
      <c r="G1412" s="37">
        <f t="shared" si="208"/>
        <v>0</v>
      </c>
      <c r="H1412" s="37"/>
      <c r="I1412" s="37"/>
      <c r="J1412" s="37"/>
      <c r="K1412" s="37"/>
      <c r="L1412" s="37">
        <v>0</v>
      </c>
      <c r="M1412" s="37"/>
      <c r="N1412" s="37"/>
      <c r="O1412" s="37"/>
      <c r="P1412" s="37"/>
      <c r="Q1412" s="37"/>
      <c r="R1412" s="37"/>
      <c r="S1412" s="37"/>
      <c r="T1412" s="37"/>
      <c r="U1412" s="37"/>
      <c r="V1412" s="37"/>
      <c r="W1412" s="37"/>
      <c r="X1412" s="37"/>
      <c r="Y1412" s="37"/>
      <c r="Z1412" s="37"/>
      <c r="AA1412" s="37">
        <f t="shared" si="206"/>
        <v>0</v>
      </c>
      <c r="AB1412" s="37">
        <f t="shared" si="210"/>
        <v>0</v>
      </c>
    </row>
    <row r="1413" spans="1:28" ht="14.4">
      <c r="A1413" s="117">
        <v>5130611104</v>
      </c>
      <c r="B1413" s="117" t="s">
        <v>844</v>
      </c>
      <c r="C1413" s="37">
        <f>VLOOKUP(A1413,Composición!C:I,5,FALSE)</f>
        <v>0</v>
      </c>
      <c r="D1413" s="37"/>
      <c r="E1413" s="37"/>
      <c r="F1413" s="37"/>
      <c r="G1413" s="37">
        <f t="shared" si="208"/>
        <v>0</v>
      </c>
      <c r="H1413" s="37"/>
      <c r="I1413" s="37"/>
      <c r="J1413" s="37"/>
      <c r="K1413" s="37"/>
      <c r="L1413" s="37">
        <f>-G1413</f>
        <v>0</v>
      </c>
      <c r="M1413" s="37"/>
      <c r="N1413" s="37"/>
      <c r="O1413" s="37"/>
      <c r="P1413" s="37"/>
      <c r="Q1413" s="37"/>
      <c r="R1413" s="37"/>
      <c r="S1413" s="37"/>
      <c r="T1413" s="37"/>
      <c r="U1413" s="37"/>
      <c r="V1413" s="37"/>
      <c r="W1413" s="37"/>
      <c r="X1413" s="37"/>
      <c r="Y1413" s="37"/>
      <c r="Z1413" s="37"/>
      <c r="AA1413" s="37">
        <f t="shared" si="206"/>
        <v>0</v>
      </c>
      <c r="AB1413" s="37">
        <f t="shared" si="210"/>
        <v>0</v>
      </c>
    </row>
    <row r="1414" spans="1:28" ht="14.4">
      <c r="A1414" s="117">
        <v>5130611105</v>
      </c>
      <c r="B1414" s="117" t="s">
        <v>1083</v>
      </c>
      <c r="C1414" s="37">
        <f>VLOOKUP(A1414,Composición!C:I,5,FALSE)</f>
        <v>7787910</v>
      </c>
      <c r="D1414" s="37"/>
      <c r="E1414" s="37"/>
      <c r="F1414" s="37"/>
      <c r="G1414" s="37">
        <f t="shared" si="208"/>
        <v>7787910</v>
      </c>
      <c r="H1414" s="37"/>
      <c r="I1414" s="37"/>
      <c r="J1414" s="37"/>
      <c r="K1414" s="37"/>
      <c r="L1414" s="37">
        <f>-G1414</f>
        <v>-7787910</v>
      </c>
      <c r="M1414" s="37"/>
      <c r="N1414" s="37"/>
      <c r="O1414" s="37"/>
      <c r="P1414" s="37"/>
      <c r="Q1414" s="37"/>
      <c r="R1414" s="37"/>
      <c r="S1414" s="37"/>
      <c r="T1414" s="37"/>
      <c r="U1414" s="37"/>
      <c r="V1414" s="37"/>
      <c r="W1414" s="37">
        <v>0</v>
      </c>
      <c r="X1414" s="37"/>
      <c r="Y1414" s="37"/>
      <c r="Z1414" s="37"/>
      <c r="AA1414" s="37">
        <f t="shared" ref="AA1414:AA1477" si="214">SUM(G1414:Z1414)</f>
        <v>0</v>
      </c>
      <c r="AB1414" s="37">
        <f t="shared" si="210"/>
        <v>0</v>
      </c>
    </row>
    <row r="1415" spans="1:28" ht="14.4">
      <c r="A1415" s="117">
        <v>51307</v>
      </c>
      <c r="B1415" s="117" t="s">
        <v>468</v>
      </c>
      <c r="C1415" s="37">
        <f>VLOOKUP(A1415,Composición!C:I,5,FALSE)</f>
        <v>0</v>
      </c>
      <c r="D1415" s="37"/>
      <c r="E1415" s="37"/>
      <c r="F1415" s="37"/>
      <c r="G1415" s="37">
        <f t="shared" si="208"/>
        <v>0</v>
      </c>
      <c r="H1415" s="37"/>
      <c r="I1415" s="37"/>
      <c r="J1415" s="37"/>
      <c r="K1415" s="37"/>
      <c r="L1415" s="37"/>
      <c r="M1415" s="37"/>
      <c r="N1415" s="37"/>
      <c r="O1415" s="37"/>
      <c r="P1415" s="37"/>
      <c r="Q1415" s="37"/>
      <c r="R1415" s="37"/>
      <c r="S1415" s="37"/>
      <c r="T1415" s="37"/>
      <c r="U1415" s="37"/>
      <c r="V1415" s="37"/>
      <c r="W1415" s="37"/>
      <c r="X1415" s="37"/>
      <c r="Y1415" s="37"/>
      <c r="Z1415" s="37"/>
      <c r="AA1415" s="37">
        <f t="shared" si="214"/>
        <v>0</v>
      </c>
      <c r="AB1415" s="37">
        <f t="shared" si="210"/>
        <v>0</v>
      </c>
    </row>
    <row r="1416" spans="1:28" ht="14.4">
      <c r="A1416" s="117">
        <v>513071</v>
      </c>
      <c r="B1416" s="117" t="s">
        <v>468</v>
      </c>
      <c r="C1416" s="37">
        <f>VLOOKUP(A1416,Composición!C:I,5,FALSE)</f>
        <v>0</v>
      </c>
      <c r="D1416" s="37"/>
      <c r="E1416" s="37"/>
      <c r="F1416" s="37"/>
      <c r="G1416" s="37">
        <f t="shared" si="208"/>
        <v>0</v>
      </c>
      <c r="H1416" s="37"/>
      <c r="I1416" s="37"/>
      <c r="J1416" s="37"/>
      <c r="K1416" s="37"/>
      <c r="L1416" s="37">
        <v>0</v>
      </c>
      <c r="M1416" s="37"/>
      <c r="N1416" s="37"/>
      <c r="O1416" s="37"/>
      <c r="P1416" s="37"/>
      <c r="Q1416" s="37"/>
      <c r="R1416" s="37"/>
      <c r="S1416" s="37"/>
      <c r="T1416" s="37"/>
      <c r="U1416" s="37"/>
      <c r="V1416" s="37"/>
      <c r="W1416" s="37"/>
      <c r="X1416" s="37"/>
      <c r="Y1416" s="37"/>
      <c r="Z1416" s="37"/>
      <c r="AA1416" s="37">
        <f t="shared" si="214"/>
        <v>0</v>
      </c>
      <c r="AB1416" s="37">
        <f t="shared" si="210"/>
        <v>0</v>
      </c>
    </row>
    <row r="1417" spans="1:28" ht="14.4">
      <c r="A1417" s="117">
        <v>5130711</v>
      </c>
      <c r="B1417" s="117" t="s">
        <v>468</v>
      </c>
      <c r="C1417" s="37">
        <f>VLOOKUP(A1417,Composición!C:I,5,FALSE)</f>
        <v>0</v>
      </c>
      <c r="D1417" s="37"/>
      <c r="E1417" s="37"/>
      <c r="F1417" s="37"/>
      <c r="G1417" s="37">
        <f t="shared" si="208"/>
        <v>0</v>
      </c>
      <c r="H1417" s="37"/>
      <c r="I1417" s="37"/>
      <c r="J1417" s="37"/>
      <c r="K1417" s="37"/>
      <c r="L1417" s="37">
        <f>+G1417</f>
        <v>0</v>
      </c>
      <c r="M1417" s="37"/>
      <c r="N1417" s="37"/>
      <c r="O1417" s="37"/>
      <c r="P1417" s="37"/>
      <c r="Q1417" s="37"/>
      <c r="R1417" s="37"/>
      <c r="S1417" s="37"/>
      <c r="T1417" s="37"/>
      <c r="U1417" s="37"/>
      <c r="V1417" s="37"/>
      <c r="W1417" s="37"/>
      <c r="X1417" s="37"/>
      <c r="Y1417" s="37"/>
      <c r="Z1417" s="37"/>
      <c r="AA1417" s="37">
        <f t="shared" si="214"/>
        <v>0</v>
      </c>
      <c r="AB1417" s="37">
        <f t="shared" si="210"/>
        <v>0</v>
      </c>
    </row>
    <row r="1418" spans="1:28" ht="14.4">
      <c r="A1418" s="117">
        <v>51307111</v>
      </c>
      <c r="B1418" s="117" t="s">
        <v>468</v>
      </c>
      <c r="C1418" s="37">
        <f>VLOOKUP(A1418,Composición!C:I,5,FALSE)</f>
        <v>0</v>
      </c>
      <c r="D1418" s="37"/>
      <c r="E1418" s="37"/>
      <c r="F1418" s="37"/>
      <c r="G1418" s="37">
        <f t="shared" si="208"/>
        <v>0</v>
      </c>
      <c r="H1418" s="37"/>
      <c r="I1418" s="37"/>
      <c r="J1418" s="37"/>
      <c r="K1418" s="37"/>
      <c r="L1418" s="37">
        <f>-G1418</f>
        <v>0</v>
      </c>
      <c r="M1418" s="37"/>
      <c r="N1418" s="37"/>
      <c r="O1418" s="37"/>
      <c r="P1418" s="37"/>
      <c r="Q1418" s="37"/>
      <c r="R1418" s="37"/>
      <c r="S1418" s="37"/>
      <c r="T1418" s="37"/>
      <c r="U1418" s="37"/>
      <c r="V1418" s="37"/>
      <c r="W1418" s="37"/>
      <c r="X1418" s="37"/>
      <c r="Y1418" s="37"/>
      <c r="Z1418" s="37"/>
      <c r="AA1418" s="37">
        <f t="shared" si="214"/>
        <v>0</v>
      </c>
      <c r="AB1418" s="37">
        <f t="shared" si="210"/>
        <v>0</v>
      </c>
    </row>
    <row r="1419" spans="1:28" ht="14.4">
      <c r="A1419" s="117">
        <v>5130711101</v>
      </c>
      <c r="B1419" s="117" t="s">
        <v>1085</v>
      </c>
      <c r="C1419" s="37">
        <f>VLOOKUP(A1419,Composición!C:I,5,FALSE)</f>
        <v>347896370</v>
      </c>
      <c r="D1419" s="37"/>
      <c r="E1419" s="37"/>
      <c r="F1419" s="37"/>
      <c r="G1419" s="37">
        <f t="shared" si="208"/>
        <v>347896370</v>
      </c>
      <c r="H1419" s="37"/>
      <c r="I1419" s="37"/>
      <c r="J1419" s="37"/>
      <c r="K1419" s="37"/>
      <c r="L1419" s="37">
        <f>-G1419</f>
        <v>-347896370</v>
      </c>
      <c r="M1419" s="37"/>
      <c r="N1419" s="37"/>
      <c r="O1419" s="37"/>
      <c r="P1419" s="37"/>
      <c r="Q1419" s="37"/>
      <c r="R1419" s="37"/>
      <c r="S1419" s="37"/>
      <c r="T1419" s="37"/>
      <c r="U1419" s="37"/>
      <c r="V1419" s="37"/>
      <c r="W1419" s="37"/>
      <c r="X1419" s="37"/>
      <c r="Y1419" s="37"/>
      <c r="Z1419" s="37"/>
      <c r="AA1419" s="37">
        <f t="shared" si="214"/>
        <v>0</v>
      </c>
      <c r="AB1419" s="37">
        <f t="shared" si="210"/>
        <v>0</v>
      </c>
    </row>
    <row r="1420" spans="1:28" ht="14.4">
      <c r="A1420" s="117">
        <v>5130711102</v>
      </c>
      <c r="B1420" s="117" t="s">
        <v>1086</v>
      </c>
      <c r="C1420" s="37">
        <f>VLOOKUP(A1420,Composición!C:I,5,FALSE)</f>
        <v>75397480</v>
      </c>
      <c r="D1420" s="37"/>
      <c r="E1420" s="37"/>
      <c r="F1420" s="37"/>
      <c r="G1420" s="37">
        <f t="shared" ref="G1420:G1483" si="215">C1420+D1420-E1420-F1420</f>
        <v>75397480</v>
      </c>
      <c r="H1420" s="37"/>
      <c r="I1420" s="37"/>
      <c r="J1420" s="37"/>
      <c r="K1420" s="37"/>
      <c r="L1420" s="37">
        <f>-G1420</f>
        <v>-75397480</v>
      </c>
      <c r="M1420" s="37"/>
      <c r="N1420" s="37"/>
      <c r="O1420" s="37"/>
      <c r="P1420" s="37"/>
      <c r="Q1420" s="37"/>
      <c r="R1420" s="37"/>
      <c r="S1420" s="37"/>
      <c r="T1420" s="37"/>
      <c r="U1420" s="37"/>
      <c r="V1420" s="37"/>
      <c r="W1420" s="37"/>
      <c r="X1420" s="37"/>
      <c r="Y1420" s="37"/>
      <c r="Z1420" s="37"/>
      <c r="AA1420" s="37">
        <f t="shared" si="214"/>
        <v>0</v>
      </c>
      <c r="AB1420" s="37">
        <f t="shared" si="210"/>
        <v>0</v>
      </c>
    </row>
    <row r="1421" spans="1:28" ht="14.4">
      <c r="A1421" s="117">
        <v>5130711103</v>
      </c>
      <c r="B1421" s="117" t="s">
        <v>472</v>
      </c>
      <c r="C1421" s="37">
        <f>VLOOKUP(A1421,Composición!C:I,5,FALSE)</f>
        <v>309453386</v>
      </c>
      <c r="D1421" s="37"/>
      <c r="E1421" s="37"/>
      <c r="F1421" s="37"/>
      <c r="G1421" s="37">
        <f t="shared" si="215"/>
        <v>309453386</v>
      </c>
      <c r="H1421" s="37"/>
      <c r="I1421" s="37"/>
      <c r="J1421" s="37"/>
      <c r="K1421" s="37"/>
      <c r="L1421" s="37">
        <f>-G1421</f>
        <v>-309453386</v>
      </c>
      <c r="M1421" s="37"/>
      <c r="N1421" s="37"/>
      <c r="O1421" s="37"/>
      <c r="P1421" s="37"/>
      <c r="Q1421" s="37"/>
      <c r="R1421" s="37"/>
      <c r="S1421" s="37"/>
      <c r="T1421" s="37"/>
      <c r="U1421" s="37"/>
      <c r="V1421" s="37"/>
      <c r="W1421" s="37"/>
      <c r="X1421" s="37"/>
      <c r="Y1421" s="37"/>
      <c r="Z1421" s="37"/>
      <c r="AA1421" s="37">
        <f t="shared" si="214"/>
        <v>0</v>
      </c>
      <c r="AB1421" s="37">
        <f t="shared" si="210"/>
        <v>0</v>
      </c>
    </row>
    <row r="1422" spans="1:28" ht="14.4">
      <c r="A1422" s="117">
        <v>51308</v>
      </c>
      <c r="B1422" s="117" t="s">
        <v>1087</v>
      </c>
      <c r="C1422" s="37">
        <f>VLOOKUP(A1422,Composición!C:I,5,FALSE)</f>
        <v>0</v>
      </c>
      <c r="D1422" s="37"/>
      <c r="E1422" s="37"/>
      <c r="F1422" s="37"/>
      <c r="G1422" s="37">
        <f t="shared" si="215"/>
        <v>0</v>
      </c>
      <c r="H1422" s="37"/>
      <c r="I1422" s="37"/>
      <c r="J1422" s="37"/>
      <c r="K1422" s="37"/>
      <c r="L1422" s="37"/>
      <c r="M1422" s="37"/>
      <c r="N1422" s="37"/>
      <c r="O1422" s="37"/>
      <c r="P1422" s="37"/>
      <c r="Q1422" s="37"/>
      <c r="R1422" s="37"/>
      <c r="S1422" s="37"/>
      <c r="T1422" s="37"/>
      <c r="U1422" s="37"/>
      <c r="V1422" s="37"/>
      <c r="W1422" s="37"/>
      <c r="X1422" s="37"/>
      <c r="Y1422" s="37"/>
      <c r="Z1422" s="37"/>
      <c r="AA1422" s="37">
        <f t="shared" si="214"/>
        <v>0</v>
      </c>
      <c r="AB1422" s="37">
        <f t="shared" si="210"/>
        <v>0</v>
      </c>
    </row>
    <row r="1423" spans="1:28" ht="14.4">
      <c r="A1423" s="117">
        <v>513081</v>
      </c>
      <c r="B1423" s="117" t="s">
        <v>1087</v>
      </c>
      <c r="C1423" s="37">
        <f>VLOOKUP(A1423,Composición!C:I,5,FALSE)</f>
        <v>0</v>
      </c>
      <c r="D1423" s="37"/>
      <c r="E1423" s="37"/>
      <c r="F1423" s="37"/>
      <c r="G1423" s="37">
        <f t="shared" si="215"/>
        <v>0</v>
      </c>
      <c r="H1423" s="37"/>
      <c r="I1423" s="37"/>
      <c r="J1423" s="37"/>
      <c r="K1423" s="37"/>
      <c r="L1423" s="37"/>
      <c r="M1423" s="37"/>
      <c r="N1423" s="37"/>
      <c r="O1423" s="37"/>
      <c r="P1423" s="37"/>
      <c r="Q1423" s="37"/>
      <c r="R1423" s="37"/>
      <c r="S1423" s="37"/>
      <c r="T1423" s="37"/>
      <c r="U1423" s="37"/>
      <c r="V1423" s="37"/>
      <c r="W1423" s="37"/>
      <c r="X1423" s="37"/>
      <c r="Y1423" s="37"/>
      <c r="Z1423" s="37"/>
      <c r="AA1423" s="37">
        <f t="shared" si="214"/>
        <v>0</v>
      </c>
      <c r="AB1423" s="37">
        <f t="shared" si="210"/>
        <v>0</v>
      </c>
    </row>
    <row r="1424" spans="1:28" ht="14.4">
      <c r="A1424" s="117">
        <v>5130811</v>
      </c>
      <c r="B1424" s="117" t="s">
        <v>1087</v>
      </c>
      <c r="C1424" s="37">
        <f>VLOOKUP(A1424,Composición!C:I,5,FALSE)</f>
        <v>0</v>
      </c>
      <c r="D1424" s="37"/>
      <c r="E1424" s="37"/>
      <c r="F1424" s="37"/>
      <c r="G1424" s="37">
        <f t="shared" si="215"/>
        <v>0</v>
      </c>
      <c r="H1424" s="37"/>
      <c r="I1424" s="37"/>
      <c r="J1424" s="37"/>
      <c r="K1424" s="37"/>
      <c r="L1424" s="37"/>
      <c r="M1424" s="37"/>
      <c r="N1424" s="37"/>
      <c r="O1424" s="37"/>
      <c r="P1424" s="37"/>
      <c r="Q1424" s="37"/>
      <c r="R1424" s="37"/>
      <c r="S1424" s="37"/>
      <c r="T1424" s="37"/>
      <c r="U1424" s="37"/>
      <c r="V1424" s="37"/>
      <c r="W1424" s="37"/>
      <c r="X1424" s="37"/>
      <c r="Y1424" s="37"/>
      <c r="Z1424" s="37"/>
      <c r="AA1424" s="37">
        <f t="shared" si="214"/>
        <v>0</v>
      </c>
      <c r="AB1424" s="37">
        <f t="shared" ref="AB1424:AB1487" si="216">SUM(G1424:Z1424)</f>
        <v>0</v>
      </c>
    </row>
    <row r="1425" spans="1:28" ht="14.4">
      <c r="A1425" s="117">
        <v>51308111</v>
      </c>
      <c r="B1425" s="117" t="s">
        <v>1087</v>
      </c>
      <c r="C1425" s="37">
        <f>VLOOKUP(A1425,Composición!C:I,5,FALSE)</f>
        <v>0</v>
      </c>
      <c r="D1425" s="37"/>
      <c r="E1425" s="37"/>
      <c r="F1425" s="37"/>
      <c r="G1425" s="37">
        <f t="shared" si="215"/>
        <v>0</v>
      </c>
      <c r="H1425" s="37"/>
      <c r="I1425" s="37"/>
      <c r="J1425" s="37"/>
      <c r="K1425" s="37"/>
      <c r="L1425" s="37">
        <f>-G1425</f>
        <v>0</v>
      </c>
      <c r="M1425" s="37"/>
      <c r="N1425" s="37"/>
      <c r="O1425" s="37"/>
      <c r="P1425" s="37"/>
      <c r="Q1425" s="37"/>
      <c r="R1425" s="37"/>
      <c r="S1425" s="37"/>
      <c r="T1425" s="37"/>
      <c r="U1425" s="37"/>
      <c r="V1425" s="37"/>
      <c r="W1425" s="37"/>
      <c r="X1425" s="37"/>
      <c r="Y1425" s="37"/>
      <c r="Z1425" s="37"/>
      <c r="AA1425" s="37">
        <f t="shared" si="214"/>
        <v>0</v>
      </c>
      <c r="AB1425" s="37">
        <f t="shared" si="216"/>
        <v>0</v>
      </c>
    </row>
    <row r="1426" spans="1:28" ht="14.4">
      <c r="A1426" s="117">
        <v>5130811101</v>
      </c>
      <c r="B1426" s="117" t="s">
        <v>1088</v>
      </c>
      <c r="C1426" s="37">
        <f>VLOOKUP(A1426,Composición!C:I,5,FALSE)</f>
        <v>0</v>
      </c>
      <c r="D1426" s="37"/>
      <c r="E1426" s="37"/>
      <c r="F1426" s="37"/>
      <c r="G1426" s="37">
        <f t="shared" si="215"/>
        <v>0</v>
      </c>
      <c r="H1426" s="37"/>
      <c r="I1426" s="37"/>
      <c r="J1426" s="37"/>
      <c r="K1426" s="37"/>
      <c r="L1426" s="37"/>
      <c r="M1426" s="37"/>
      <c r="N1426" s="37"/>
      <c r="O1426" s="37"/>
      <c r="P1426" s="37"/>
      <c r="Q1426" s="37"/>
      <c r="R1426" s="37"/>
      <c r="S1426" s="37"/>
      <c r="T1426" s="37"/>
      <c r="U1426" s="37"/>
      <c r="V1426" s="37"/>
      <c r="W1426" s="37"/>
      <c r="X1426" s="37"/>
      <c r="Y1426" s="37"/>
      <c r="Z1426" s="37"/>
      <c r="AA1426" s="37">
        <f t="shared" si="214"/>
        <v>0</v>
      </c>
      <c r="AB1426" s="37">
        <f t="shared" si="216"/>
        <v>0</v>
      </c>
    </row>
    <row r="1427" spans="1:28" ht="14.4">
      <c r="A1427" s="117">
        <v>51309</v>
      </c>
      <c r="B1427" s="117" t="s">
        <v>473</v>
      </c>
      <c r="C1427" s="37">
        <f>VLOOKUP(A1427,Composición!C:I,5,FALSE)</f>
        <v>0</v>
      </c>
      <c r="D1427" s="37"/>
      <c r="E1427" s="37"/>
      <c r="F1427" s="37"/>
      <c r="G1427" s="37">
        <f t="shared" si="215"/>
        <v>0</v>
      </c>
      <c r="H1427" s="37"/>
      <c r="I1427" s="37"/>
      <c r="J1427" s="37"/>
      <c r="K1427" s="37"/>
      <c r="L1427" s="37"/>
      <c r="M1427" s="37"/>
      <c r="N1427" s="37"/>
      <c r="O1427" s="37"/>
      <c r="P1427" s="37"/>
      <c r="Q1427" s="37"/>
      <c r="R1427" s="37"/>
      <c r="S1427" s="37"/>
      <c r="T1427" s="37"/>
      <c r="U1427" s="37"/>
      <c r="V1427" s="37"/>
      <c r="W1427" s="37"/>
      <c r="X1427" s="37"/>
      <c r="Y1427" s="37"/>
      <c r="Z1427" s="37"/>
      <c r="AA1427" s="37">
        <f t="shared" si="214"/>
        <v>0</v>
      </c>
      <c r="AB1427" s="37">
        <f t="shared" si="216"/>
        <v>0</v>
      </c>
    </row>
    <row r="1428" spans="1:28" ht="14.4">
      <c r="A1428" s="117">
        <v>513091</v>
      </c>
      <c r="B1428" s="117" t="s">
        <v>473</v>
      </c>
      <c r="C1428" s="37">
        <f>VLOOKUP(A1428,Composición!C:I,5,FALSE)</f>
        <v>0</v>
      </c>
      <c r="D1428" s="37"/>
      <c r="E1428" s="37"/>
      <c r="F1428" s="37"/>
      <c r="G1428" s="37">
        <f t="shared" si="215"/>
        <v>0</v>
      </c>
      <c r="H1428" s="37"/>
      <c r="I1428" s="37"/>
      <c r="J1428" s="37"/>
      <c r="K1428" s="37"/>
      <c r="L1428" s="37"/>
      <c r="M1428" s="37"/>
      <c r="N1428" s="37"/>
      <c r="O1428" s="37"/>
      <c r="P1428" s="37"/>
      <c r="Q1428" s="37"/>
      <c r="R1428" s="37"/>
      <c r="S1428" s="37"/>
      <c r="T1428" s="37"/>
      <c r="U1428" s="37"/>
      <c r="V1428" s="37"/>
      <c r="W1428" s="37"/>
      <c r="X1428" s="37"/>
      <c r="Y1428" s="37"/>
      <c r="Z1428" s="37"/>
      <c r="AA1428" s="37">
        <f t="shared" si="214"/>
        <v>0</v>
      </c>
      <c r="AB1428" s="37">
        <f t="shared" si="216"/>
        <v>0</v>
      </c>
    </row>
    <row r="1429" spans="1:28" ht="14.4">
      <c r="A1429" s="117">
        <v>5130911</v>
      </c>
      <c r="B1429" s="117" t="s">
        <v>473</v>
      </c>
      <c r="C1429" s="37">
        <f>VLOOKUP(A1429,Composición!C:I,5,FALSE)</f>
        <v>0</v>
      </c>
      <c r="D1429" s="37"/>
      <c r="E1429" s="37"/>
      <c r="F1429" s="37"/>
      <c r="G1429" s="37">
        <f t="shared" si="215"/>
        <v>0</v>
      </c>
      <c r="H1429" s="37"/>
      <c r="I1429" s="37"/>
      <c r="J1429" s="37"/>
      <c r="K1429" s="37"/>
      <c r="L1429" s="37"/>
      <c r="M1429" s="37"/>
      <c r="N1429" s="37"/>
      <c r="O1429" s="37"/>
      <c r="P1429" s="37"/>
      <c r="Q1429" s="37"/>
      <c r="R1429" s="37"/>
      <c r="S1429" s="37"/>
      <c r="T1429" s="37"/>
      <c r="U1429" s="37"/>
      <c r="V1429" s="37">
        <f>-G1429</f>
        <v>0</v>
      </c>
      <c r="W1429" s="37"/>
      <c r="X1429" s="37"/>
      <c r="Y1429" s="37"/>
      <c r="Z1429" s="37"/>
      <c r="AA1429" s="37">
        <f t="shared" si="214"/>
        <v>0</v>
      </c>
      <c r="AB1429" s="37">
        <f t="shared" si="216"/>
        <v>0</v>
      </c>
    </row>
    <row r="1430" spans="1:28" ht="14.4">
      <c r="A1430" s="117">
        <v>51309111</v>
      </c>
      <c r="B1430" s="117" t="s">
        <v>473</v>
      </c>
      <c r="C1430" s="37">
        <f>VLOOKUP(A1430,Composición!C:I,5,FALSE)</f>
        <v>0</v>
      </c>
      <c r="D1430" s="37"/>
      <c r="E1430" s="37"/>
      <c r="F1430" s="37"/>
      <c r="G1430" s="37">
        <f t="shared" si="215"/>
        <v>0</v>
      </c>
      <c r="H1430" s="37"/>
      <c r="I1430" s="37"/>
      <c r="J1430" s="37"/>
      <c r="K1430" s="37"/>
      <c r="L1430" s="37"/>
      <c r="M1430" s="37"/>
      <c r="N1430" s="37"/>
      <c r="O1430" s="37"/>
      <c r="P1430" s="37"/>
      <c r="Q1430" s="37"/>
      <c r="R1430" s="37"/>
      <c r="S1430" s="37"/>
      <c r="T1430" s="37"/>
      <c r="U1430" s="37"/>
      <c r="V1430" s="37"/>
      <c r="W1430" s="37"/>
      <c r="X1430" s="37"/>
      <c r="Y1430" s="37"/>
      <c r="Z1430" s="37"/>
      <c r="AA1430" s="37">
        <f t="shared" si="214"/>
        <v>0</v>
      </c>
      <c r="AB1430" s="37">
        <f t="shared" si="216"/>
        <v>0</v>
      </c>
    </row>
    <row r="1431" spans="1:28" ht="14.4">
      <c r="A1431" s="117">
        <v>5130911101</v>
      </c>
      <c r="B1431" s="117" t="s">
        <v>1089</v>
      </c>
      <c r="C1431" s="37">
        <f>VLOOKUP(A1431,Composición!C:I,5,FALSE)</f>
        <v>0</v>
      </c>
      <c r="D1431" s="37"/>
      <c r="E1431" s="37"/>
      <c r="F1431" s="37"/>
      <c r="G1431" s="37">
        <f t="shared" si="215"/>
        <v>0</v>
      </c>
      <c r="H1431" s="37"/>
      <c r="I1431" s="37"/>
      <c r="J1431" s="37"/>
      <c r="K1431" s="37"/>
      <c r="L1431" s="37">
        <f>-G1431</f>
        <v>0</v>
      </c>
      <c r="M1431" s="37"/>
      <c r="N1431" s="37"/>
      <c r="O1431" s="37"/>
      <c r="P1431" s="37"/>
      <c r="Q1431" s="37"/>
      <c r="R1431" s="37"/>
      <c r="S1431" s="37"/>
      <c r="T1431" s="37"/>
      <c r="U1431" s="37"/>
      <c r="V1431" s="37"/>
      <c r="W1431" s="37"/>
      <c r="X1431" s="37"/>
      <c r="Y1431" s="37"/>
      <c r="Z1431" s="37"/>
      <c r="AA1431" s="37">
        <f t="shared" si="214"/>
        <v>0</v>
      </c>
      <c r="AB1431" s="37">
        <f t="shared" si="216"/>
        <v>0</v>
      </c>
    </row>
    <row r="1432" spans="1:28" ht="14.4">
      <c r="A1432" s="117">
        <v>5130911102</v>
      </c>
      <c r="B1432" s="117" t="s">
        <v>474</v>
      </c>
      <c r="C1432" s="37">
        <f>VLOOKUP(A1432,Composición!C:I,5,FALSE)</f>
        <v>15266398</v>
      </c>
      <c r="D1432" s="37"/>
      <c r="E1432" s="37"/>
      <c r="F1432" s="37"/>
      <c r="G1432" s="37">
        <f t="shared" si="215"/>
        <v>15266398</v>
      </c>
      <c r="H1432" s="37"/>
      <c r="I1432" s="37"/>
      <c r="J1432" s="37"/>
      <c r="K1432" s="37"/>
      <c r="L1432" s="37">
        <f>-G1432</f>
        <v>-15266398</v>
      </c>
      <c r="M1432" s="37"/>
      <c r="N1432" s="37"/>
      <c r="O1432" s="37"/>
      <c r="P1432" s="37"/>
      <c r="Q1432" s="37"/>
      <c r="R1432" s="37"/>
      <c r="S1432" s="37"/>
      <c r="T1432" s="37"/>
      <c r="U1432" s="37"/>
      <c r="V1432" s="37"/>
      <c r="W1432" s="37"/>
      <c r="X1432" s="37"/>
      <c r="Y1432" s="37"/>
      <c r="Z1432" s="37"/>
      <c r="AA1432" s="37">
        <f t="shared" si="214"/>
        <v>0</v>
      </c>
      <c r="AB1432" s="37">
        <f t="shared" si="216"/>
        <v>0</v>
      </c>
    </row>
    <row r="1433" spans="1:28" ht="14.4">
      <c r="A1433" s="117">
        <v>5130911103</v>
      </c>
      <c r="B1433" s="117" t="s">
        <v>1090</v>
      </c>
      <c r="C1433" s="37">
        <f>VLOOKUP(A1433,Composición!C:I,5,FALSE)</f>
        <v>0</v>
      </c>
      <c r="D1433" s="37"/>
      <c r="E1433" s="37"/>
      <c r="F1433" s="37"/>
      <c r="G1433" s="37">
        <f t="shared" si="215"/>
        <v>0</v>
      </c>
      <c r="H1433" s="37"/>
      <c r="I1433" s="37"/>
      <c r="J1433" s="37"/>
      <c r="K1433" s="37"/>
      <c r="L1433" s="37">
        <f>-G1433</f>
        <v>0</v>
      </c>
      <c r="M1433" s="37"/>
      <c r="N1433" s="37"/>
      <c r="O1433" s="37"/>
      <c r="P1433" s="37"/>
      <c r="Q1433" s="37"/>
      <c r="R1433" s="37"/>
      <c r="S1433" s="37"/>
      <c r="T1433" s="37"/>
      <c r="U1433" s="37"/>
      <c r="V1433" s="37"/>
      <c r="W1433" s="37"/>
      <c r="X1433" s="37"/>
      <c r="Y1433" s="37"/>
      <c r="Z1433" s="37"/>
      <c r="AA1433" s="37">
        <f t="shared" si="214"/>
        <v>0</v>
      </c>
      <c r="AB1433" s="37">
        <f t="shared" si="216"/>
        <v>0</v>
      </c>
    </row>
    <row r="1434" spans="1:28" ht="14.4">
      <c r="A1434" s="117">
        <v>5130911104</v>
      </c>
      <c r="B1434" s="117" t="s">
        <v>611</v>
      </c>
      <c r="C1434" s="37">
        <f>VLOOKUP(A1434,Composición!C:I,5,FALSE)</f>
        <v>4731917</v>
      </c>
      <c r="D1434" s="37"/>
      <c r="E1434" s="37"/>
      <c r="F1434" s="37"/>
      <c r="G1434" s="37">
        <f t="shared" si="215"/>
        <v>4731917</v>
      </c>
      <c r="H1434" s="37"/>
      <c r="I1434" s="37"/>
      <c r="J1434" s="37"/>
      <c r="K1434" s="37"/>
      <c r="L1434" s="37">
        <f>-G1434</f>
        <v>-4731917</v>
      </c>
      <c r="M1434" s="37"/>
      <c r="N1434" s="37"/>
      <c r="O1434" s="37"/>
      <c r="P1434" s="37"/>
      <c r="Q1434" s="37"/>
      <c r="R1434" s="37"/>
      <c r="S1434" s="37"/>
      <c r="T1434" s="37"/>
      <c r="U1434" s="37"/>
      <c r="V1434" s="37"/>
      <c r="W1434" s="37"/>
      <c r="X1434" s="37"/>
      <c r="Y1434" s="37"/>
      <c r="Z1434" s="37"/>
      <c r="AA1434" s="37">
        <f t="shared" si="214"/>
        <v>0</v>
      </c>
      <c r="AB1434" s="37">
        <f t="shared" si="216"/>
        <v>0</v>
      </c>
    </row>
    <row r="1435" spans="1:28" ht="14.4">
      <c r="A1435" s="117">
        <v>5130911105</v>
      </c>
      <c r="B1435" s="117" t="s">
        <v>475</v>
      </c>
      <c r="C1435" s="37">
        <f>VLOOKUP(A1435,Composición!C:I,5,FALSE)</f>
        <v>4082346</v>
      </c>
      <c r="D1435" s="37"/>
      <c r="E1435" s="37"/>
      <c r="F1435" s="37"/>
      <c r="G1435" s="37">
        <f t="shared" si="215"/>
        <v>4082346</v>
      </c>
      <c r="H1435" s="37"/>
      <c r="I1435" s="37"/>
      <c r="J1435" s="37"/>
      <c r="K1435" s="37"/>
      <c r="L1435" s="37">
        <f>-G1435</f>
        <v>-4082346</v>
      </c>
      <c r="M1435" s="37"/>
      <c r="N1435" s="37"/>
      <c r="O1435" s="37"/>
      <c r="P1435" s="37"/>
      <c r="Q1435" s="37"/>
      <c r="R1435" s="37"/>
      <c r="S1435" s="37"/>
      <c r="T1435" s="37"/>
      <c r="U1435" s="37"/>
      <c r="V1435" s="37"/>
      <c r="W1435" s="37"/>
      <c r="X1435" s="37"/>
      <c r="Y1435" s="37"/>
      <c r="Z1435" s="37"/>
      <c r="AA1435" s="37">
        <f t="shared" si="214"/>
        <v>0</v>
      </c>
      <c r="AB1435" s="37">
        <f t="shared" si="216"/>
        <v>0</v>
      </c>
    </row>
    <row r="1436" spans="1:28" ht="14.4">
      <c r="A1436" s="117">
        <v>51310</v>
      </c>
      <c r="B1436" s="117" t="s">
        <v>476</v>
      </c>
      <c r="C1436" s="37">
        <f>VLOOKUP(A1436,Composición!C:I,5,FALSE)</f>
        <v>0</v>
      </c>
      <c r="D1436" s="37"/>
      <c r="E1436" s="37"/>
      <c r="F1436" s="37"/>
      <c r="G1436" s="37">
        <f t="shared" si="215"/>
        <v>0</v>
      </c>
      <c r="H1436" s="37"/>
      <c r="I1436" s="37"/>
      <c r="J1436" s="37"/>
      <c r="K1436" s="37"/>
      <c r="L1436" s="37"/>
      <c r="M1436" s="37"/>
      <c r="N1436" s="37"/>
      <c r="O1436" s="37"/>
      <c r="P1436" s="37"/>
      <c r="Q1436" s="37"/>
      <c r="R1436" s="37"/>
      <c r="S1436" s="37"/>
      <c r="T1436" s="37"/>
      <c r="U1436" s="37"/>
      <c r="V1436" s="37"/>
      <c r="W1436" s="37"/>
      <c r="X1436" s="37"/>
      <c r="Y1436" s="37"/>
      <c r="Z1436" s="37"/>
      <c r="AA1436" s="37">
        <f t="shared" si="214"/>
        <v>0</v>
      </c>
      <c r="AB1436" s="37">
        <f t="shared" si="216"/>
        <v>0</v>
      </c>
    </row>
    <row r="1437" spans="1:28" ht="14.4">
      <c r="A1437" s="117">
        <v>513101</v>
      </c>
      <c r="B1437" s="117" t="s">
        <v>476</v>
      </c>
      <c r="C1437" s="37">
        <f>VLOOKUP(A1437,Composición!C:I,5,FALSE)</f>
        <v>0</v>
      </c>
      <c r="D1437" s="37"/>
      <c r="E1437" s="37"/>
      <c r="F1437" s="37"/>
      <c r="G1437" s="37">
        <f t="shared" si="215"/>
        <v>0</v>
      </c>
      <c r="H1437" s="37"/>
      <c r="I1437" s="37"/>
      <c r="J1437" s="37"/>
      <c r="K1437" s="37"/>
      <c r="L1437" s="37"/>
      <c r="M1437" s="37"/>
      <c r="N1437" s="37"/>
      <c r="O1437" s="37"/>
      <c r="P1437" s="37"/>
      <c r="Q1437" s="37"/>
      <c r="R1437" s="37"/>
      <c r="S1437" s="37"/>
      <c r="T1437" s="37"/>
      <c r="U1437" s="37"/>
      <c r="V1437" s="37"/>
      <c r="W1437" s="37"/>
      <c r="X1437" s="37"/>
      <c r="Y1437" s="37"/>
      <c r="Z1437" s="37"/>
      <c r="AA1437" s="37">
        <f t="shared" si="214"/>
        <v>0</v>
      </c>
      <c r="AB1437" s="37">
        <f t="shared" si="216"/>
        <v>0</v>
      </c>
    </row>
    <row r="1438" spans="1:28" ht="14.4">
      <c r="A1438" s="117">
        <v>5131011</v>
      </c>
      <c r="B1438" s="117" t="s">
        <v>476</v>
      </c>
      <c r="C1438" s="37">
        <f>VLOOKUP(A1438,Composición!C:I,5,FALSE)</f>
        <v>0</v>
      </c>
      <c r="D1438" s="37"/>
      <c r="E1438" s="37"/>
      <c r="F1438" s="37"/>
      <c r="G1438" s="37">
        <f t="shared" si="215"/>
        <v>0</v>
      </c>
      <c r="H1438" s="37">
        <f>-G1438</f>
        <v>0</v>
      </c>
      <c r="I1438" s="37"/>
      <c r="J1438" s="37"/>
      <c r="K1438" s="37"/>
      <c r="L1438" s="37"/>
      <c r="M1438" s="37"/>
      <c r="N1438" s="37"/>
      <c r="O1438" s="37"/>
      <c r="P1438" s="37"/>
      <c r="Q1438" s="37"/>
      <c r="R1438" s="37"/>
      <c r="S1438" s="37"/>
      <c r="T1438" s="37"/>
      <c r="U1438" s="37"/>
      <c r="V1438" s="37"/>
      <c r="W1438" s="37"/>
      <c r="X1438" s="37"/>
      <c r="Y1438" s="37"/>
      <c r="Z1438" s="37"/>
      <c r="AA1438" s="37">
        <f t="shared" si="214"/>
        <v>0</v>
      </c>
      <c r="AB1438" s="37">
        <f t="shared" si="216"/>
        <v>0</v>
      </c>
    </row>
    <row r="1439" spans="1:28" ht="14.4">
      <c r="A1439" s="117">
        <v>51310111</v>
      </c>
      <c r="B1439" s="117" t="s">
        <v>476</v>
      </c>
      <c r="C1439" s="37">
        <f>VLOOKUP(A1439,Composición!C:I,5,FALSE)</f>
        <v>0</v>
      </c>
      <c r="D1439" s="37"/>
      <c r="E1439" s="37"/>
      <c r="F1439" s="37"/>
      <c r="G1439" s="37">
        <f t="shared" si="215"/>
        <v>0</v>
      </c>
      <c r="H1439" s="37"/>
      <c r="I1439" s="37"/>
      <c r="J1439" s="37"/>
      <c r="K1439" s="37"/>
      <c r="L1439" s="37">
        <f t="shared" ref="L1439:L1448" si="217">-G1439</f>
        <v>0</v>
      </c>
      <c r="M1439" s="37"/>
      <c r="N1439" s="37"/>
      <c r="O1439" s="37"/>
      <c r="P1439" s="37"/>
      <c r="Q1439" s="37"/>
      <c r="R1439" s="37"/>
      <c r="S1439" s="37"/>
      <c r="T1439" s="37"/>
      <c r="U1439" s="37"/>
      <c r="V1439" s="37"/>
      <c r="W1439" s="37"/>
      <c r="X1439" s="37"/>
      <c r="Y1439" s="37"/>
      <c r="Z1439" s="37"/>
      <c r="AA1439" s="37">
        <f t="shared" si="214"/>
        <v>0</v>
      </c>
      <c r="AB1439" s="37">
        <f t="shared" si="216"/>
        <v>0</v>
      </c>
    </row>
    <row r="1440" spans="1:28" ht="14.4">
      <c r="A1440" s="117">
        <v>5131011101</v>
      </c>
      <c r="B1440" s="117" t="s">
        <v>1092</v>
      </c>
      <c r="C1440" s="37">
        <f>VLOOKUP(A1440,Composición!C:I,5,FALSE)</f>
        <v>13932024</v>
      </c>
      <c r="D1440" s="37"/>
      <c r="E1440" s="37"/>
      <c r="F1440" s="37"/>
      <c r="G1440" s="37">
        <f t="shared" si="215"/>
        <v>13932024</v>
      </c>
      <c r="H1440" s="37"/>
      <c r="I1440" s="37"/>
      <c r="J1440" s="37"/>
      <c r="K1440" s="37"/>
      <c r="L1440" s="37">
        <f t="shared" si="217"/>
        <v>-13932024</v>
      </c>
      <c r="M1440" s="37"/>
      <c r="N1440" s="37"/>
      <c r="O1440" s="37"/>
      <c r="P1440" s="37"/>
      <c r="Q1440" s="37"/>
      <c r="R1440" s="37"/>
      <c r="S1440" s="37"/>
      <c r="T1440" s="37"/>
      <c r="U1440" s="37"/>
      <c r="V1440" s="37"/>
      <c r="W1440" s="37"/>
      <c r="X1440" s="37"/>
      <c r="Y1440" s="37"/>
      <c r="Z1440" s="37"/>
      <c r="AA1440" s="37">
        <f t="shared" si="214"/>
        <v>0</v>
      </c>
      <c r="AB1440" s="37">
        <f t="shared" si="216"/>
        <v>0</v>
      </c>
    </row>
    <row r="1441" spans="1:28" ht="14.4">
      <c r="A1441" s="117">
        <v>5131011102</v>
      </c>
      <c r="B1441" s="117" t="s">
        <v>478</v>
      </c>
      <c r="C1441" s="37">
        <f>VLOOKUP(A1441,Composición!C:I,5,FALSE)</f>
        <v>26790173</v>
      </c>
      <c r="D1441" s="37"/>
      <c r="E1441" s="37"/>
      <c r="F1441" s="37"/>
      <c r="G1441" s="37">
        <f t="shared" si="215"/>
        <v>26790173</v>
      </c>
      <c r="H1441" s="37"/>
      <c r="I1441" s="37"/>
      <c r="J1441" s="37"/>
      <c r="K1441" s="37"/>
      <c r="L1441" s="37">
        <f t="shared" si="217"/>
        <v>-26790173</v>
      </c>
      <c r="M1441" s="37"/>
      <c r="N1441" s="37"/>
      <c r="O1441" s="37"/>
      <c r="P1441" s="37"/>
      <c r="Q1441" s="37"/>
      <c r="R1441" s="37"/>
      <c r="S1441" s="37"/>
      <c r="T1441" s="37"/>
      <c r="U1441" s="37"/>
      <c r="V1441" s="37"/>
      <c r="W1441" s="37"/>
      <c r="X1441" s="37"/>
      <c r="Y1441" s="37"/>
      <c r="Z1441" s="37"/>
      <c r="AA1441" s="37">
        <f t="shared" si="214"/>
        <v>0</v>
      </c>
      <c r="AB1441" s="37">
        <f t="shared" si="216"/>
        <v>0</v>
      </c>
    </row>
    <row r="1442" spans="1:28" ht="14.4">
      <c r="A1442" s="117">
        <v>5131011103</v>
      </c>
      <c r="B1442" s="117" t="s">
        <v>1093</v>
      </c>
      <c r="C1442" s="37">
        <f>VLOOKUP(A1442,Composición!C:I,5,FALSE)</f>
        <v>0</v>
      </c>
      <c r="D1442" s="37">
        <v>0</v>
      </c>
      <c r="E1442" s="37"/>
      <c r="F1442" s="37"/>
      <c r="G1442" s="37">
        <f t="shared" si="215"/>
        <v>0</v>
      </c>
      <c r="H1442" s="37"/>
      <c r="I1442" s="37"/>
      <c r="J1442" s="37"/>
      <c r="K1442" s="37"/>
      <c r="L1442" s="37">
        <f t="shared" si="217"/>
        <v>0</v>
      </c>
      <c r="M1442" s="37"/>
      <c r="N1442" s="37"/>
      <c r="O1442" s="37"/>
      <c r="P1442" s="37"/>
      <c r="Q1442" s="37"/>
      <c r="R1442" s="37"/>
      <c r="S1442" s="37"/>
      <c r="T1442" s="37"/>
      <c r="U1442" s="37"/>
      <c r="V1442" s="37"/>
      <c r="W1442" s="37"/>
      <c r="X1442" s="37"/>
      <c r="Y1442" s="37"/>
      <c r="Z1442" s="37"/>
      <c r="AA1442" s="37">
        <f t="shared" si="214"/>
        <v>0</v>
      </c>
      <c r="AB1442" s="37">
        <f t="shared" si="216"/>
        <v>0</v>
      </c>
    </row>
    <row r="1443" spans="1:28" ht="14.4">
      <c r="A1443" s="117">
        <v>5131011104</v>
      </c>
      <c r="B1443" s="117" t="s">
        <v>479</v>
      </c>
      <c r="C1443" s="37">
        <f>VLOOKUP(A1443,Composición!C:I,5,FALSE)</f>
        <v>132307994</v>
      </c>
      <c r="D1443" s="37"/>
      <c r="E1443" s="37"/>
      <c r="F1443" s="37"/>
      <c r="G1443" s="37">
        <f t="shared" si="215"/>
        <v>132307994</v>
      </c>
      <c r="H1443" s="37"/>
      <c r="I1443" s="37"/>
      <c r="J1443" s="37"/>
      <c r="K1443" s="37"/>
      <c r="L1443" s="37">
        <f t="shared" si="217"/>
        <v>-132307994</v>
      </c>
      <c r="M1443" s="37"/>
      <c r="N1443" s="37"/>
      <c r="O1443" s="37"/>
      <c r="P1443" s="37"/>
      <c r="Q1443" s="37"/>
      <c r="R1443" s="37"/>
      <c r="S1443" s="37"/>
      <c r="T1443" s="37"/>
      <c r="U1443" s="37"/>
      <c r="V1443" s="37"/>
      <c r="W1443" s="37"/>
      <c r="X1443" s="37"/>
      <c r="Y1443" s="37"/>
      <c r="Z1443" s="37"/>
      <c r="AA1443" s="37">
        <f t="shared" si="214"/>
        <v>0</v>
      </c>
      <c r="AB1443" s="37">
        <f t="shared" si="216"/>
        <v>0</v>
      </c>
    </row>
    <row r="1444" spans="1:28" ht="14.4">
      <c r="A1444" s="117">
        <v>5131011105</v>
      </c>
      <c r="B1444" s="117" t="s">
        <v>480</v>
      </c>
      <c r="C1444" s="37">
        <f>VLOOKUP(A1444,Composición!C:I,5,FALSE)</f>
        <v>1872848</v>
      </c>
      <c r="D1444" s="37"/>
      <c r="E1444" s="37"/>
      <c r="F1444" s="37"/>
      <c r="G1444" s="37">
        <f t="shared" si="215"/>
        <v>1872848</v>
      </c>
      <c r="H1444" s="37"/>
      <c r="I1444" s="37"/>
      <c r="J1444" s="37"/>
      <c r="K1444" s="37"/>
      <c r="L1444" s="37">
        <f t="shared" si="217"/>
        <v>-1872848</v>
      </c>
      <c r="M1444" s="37"/>
      <c r="N1444" s="37"/>
      <c r="O1444" s="37"/>
      <c r="P1444" s="37"/>
      <c r="Q1444" s="37"/>
      <c r="R1444" s="37"/>
      <c r="S1444" s="37"/>
      <c r="T1444" s="37"/>
      <c r="U1444" s="37"/>
      <c r="V1444" s="37"/>
      <c r="W1444" s="37"/>
      <c r="X1444" s="37"/>
      <c r="Y1444" s="37"/>
      <c r="Z1444" s="37"/>
      <c r="AA1444" s="37">
        <f t="shared" si="214"/>
        <v>0</v>
      </c>
      <c r="AB1444" s="37">
        <f t="shared" si="216"/>
        <v>0</v>
      </c>
    </row>
    <row r="1445" spans="1:28" ht="14.4">
      <c r="A1445" s="117">
        <v>5131011106</v>
      </c>
      <c r="B1445" s="117" t="s">
        <v>481</v>
      </c>
      <c r="C1445" s="37">
        <f>VLOOKUP(A1445,Composición!C:I,5,FALSE)</f>
        <v>7913999</v>
      </c>
      <c r="D1445" s="37"/>
      <c r="E1445" s="37"/>
      <c r="F1445" s="37"/>
      <c r="G1445" s="37">
        <f t="shared" si="215"/>
        <v>7913999</v>
      </c>
      <c r="H1445" s="37"/>
      <c r="I1445" s="37"/>
      <c r="J1445" s="37"/>
      <c r="K1445" s="37"/>
      <c r="L1445" s="37">
        <f t="shared" si="217"/>
        <v>-7913999</v>
      </c>
      <c r="M1445" s="37"/>
      <c r="N1445" s="37"/>
      <c r="O1445" s="37"/>
      <c r="P1445" s="37"/>
      <c r="Q1445" s="37"/>
      <c r="R1445" s="37"/>
      <c r="S1445" s="37"/>
      <c r="T1445" s="37"/>
      <c r="U1445" s="37"/>
      <c r="V1445" s="37"/>
      <c r="W1445" s="37"/>
      <c r="X1445" s="37"/>
      <c r="Y1445" s="37"/>
      <c r="Z1445" s="37"/>
      <c r="AA1445" s="37">
        <f t="shared" si="214"/>
        <v>0</v>
      </c>
      <c r="AB1445" s="37">
        <f t="shared" si="216"/>
        <v>0</v>
      </c>
    </row>
    <row r="1446" spans="1:28" ht="14.4">
      <c r="A1446" s="117">
        <v>5131011107</v>
      </c>
      <c r="B1446" s="117" t="s">
        <v>482</v>
      </c>
      <c r="C1446" s="37">
        <f>VLOOKUP(A1446,Composición!C:I,5,FALSE)</f>
        <v>86364</v>
      </c>
      <c r="D1446" s="37"/>
      <c r="E1446" s="37"/>
      <c r="F1446" s="37"/>
      <c r="G1446" s="37">
        <f t="shared" si="215"/>
        <v>86364</v>
      </c>
      <c r="H1446" s="37"/>
      <c r="I1446" s="37"/>
      <c r="J1446" s="37"/>
      <c r="K1446" s="37"/>
      <c r="L1446" s="37">
        <f t="shared" si="217"/>
        <v>-86364</v>
      </c>
      <c r="M1446" s="37"/>
      <c r="N1446" s="37"/>
      <c r="O1446" s="37"/>
      <c r="P1446" s="37"/>
      <c r="Q1446" s="37"/>
      <c r="R1446" s="37"/>
      <c r="S1446" s="37"/>
      <c r="T1446" s="37"/>
      <c r="U1446" s="37"/>
      <c r="V1446" s="37"/>
      <c r="W1446" s="37"/>
      <c r="X1446" s="37"/>
      <c r="Y1446" s="37"/>
      <c r="Z1446" s="37"/>
      <c r="AA1446" s="37">
        <f t="shared" si="214"/>
        <v>0</v>
      </c>
      <c r="AB1446" s="37">
        <f t="shared" si="216"/>
        <v>0</v>
      </c>
    </row>
    <row r="1447" spans="1:28" ht="14.4">
      <c r="A1447" s="117">
        <v>5131011108</v>
      </c>
      <c r="B1447" s="117" t="s">
        <v>1094</v>
      </c>
      <c r="C1447" s="37">
        <f>VLOOKUP(A1447,Composición!C:I,5,FALSE)</f>
        <v>26649600</v>
      </c>
      <c r="D1447" s="37"/>
      <c r="E1447" s="37"/>
      <c r="F1447" s="37"/>
      <c r="G1447" s="37">
        <f t="shared" si="215"/>
        <v>26649600</v>
      </c>
      <c r="H1447" s="37"/>
      <c r="I1447" s="37"/>
      <c r="J1447" s="37"/>
      <c r="K1447" s="37"/>
      <c r="L1447" s="37">
        <f t="shared" si="217"/>
        <v>-26649600</v>
      </c>
      <c r="M1447" s="37"/>
      <c r="N1447" s="37"/>
      <c r="O1447" s="37"/>
      <c r="P1447" s="37"/>
      <c r="Q1447" s="37"/>
      <c r="R1447" s="37"/>
      <c r="S1447" s="37"/>
      <c r="T1447" s="37"/>
      <c r="U1447" s="37"/>
      <c r="V1447" s="37"/>
      <c r="W1447" s="37"/>
      <c r="X1447" s="37"/>
      <c r="Y1447" s="37"/>
      <c r="Z1447" s="37"/>
      <c r="AA1447" s="37">
        <f t="shared" si="214"/>
        <v>0</v>
      </c>
      <c r="AB1447" s="37">
        <f t="shared" si="216"/>
        <v>0</v>
      </c>
    </row>
    <row r="1448" spans="1:28" ht="14.4">
      <c r="A1448" s="117">
        <v>5131011109</v>
      </c>
      <c r="B1448" s="117" t="s">
        <v>1095</v>
      </c>
      <c r="C1448" s="37">
        <f>VLOOKUP(A1448,Composición!C:I,5,FALSE)</f>
        <v>0</v>
      </c>
      <c r="D1448" s="37"/>
      <c r="E1448" s="37"/>
      <c r="F1448" s="37"/>
      <c r="G1448" s="37">
        <f t="shared" si="215"/>
        <v>0</v>
      </c>
      <c r="H1448" s="37"/>
      <c r="I1448" s="37"/>
      <c r="J1448" s="37"/>
      <c r="K1448" s="37"/>
      <c r="L1448" s="37">
        <f t="shared" si="217"/>
        <v>0</v>
      </c>
      <c r="M1448" s="37"/>
      <c r="N1448" s="37"/>
      <c r="O1448" s="37"/>
      <c r="P1448" s="37"/>
      <c r="Q1448" s="37"/>
      <c r="R1448" s="37"/>
      <c r="S1448" s="37"/>
      <c r="T1448" s="37"/>
      <c r="U1448" s="37"/>
      <c r="V1448" s="37"/>
      <c r="W1448" s="37"/>
      <c r="X1448" s="37"/>
      <c r="Y1448" s="37"/>
      <c r="Z1448" s="37"/>
      <c r="AA1448" s="37">
        <f t="shared" si="214"/>
        <v>0</v>
      </c>
      <c r="AB1448" s="37">
        <f t="shared" si="216"/>
        <v>0</v>
      </c>
    </row>
    <row r="1449" spans="1:28" ht="14.4">
      <c r="A1449" s="117">
        <v>51310111</v>
      </c>
      <c r="B1449" s="117" t="s">
        <v>476</v>
      </c>
      <c r="C1449" s="37">
        <f>VLOOKUP(A1449,Composición!C:I,5,FALSE)</f>
        <v>0</v>
      </c>
      <c r="D1449" s="37"/>
      <c r="E1449" s="37"/>
      <c r="F1449" s="37"/>
      <c r="G1449" s="37">
        <f t="shared" si="215"/>
        <v>0</v>
      </c>
      <c r="H1449" s="37"/>
      <c r="I1449" s="37"/>
      <c r="J1449" s="37"/>
      <c r="K1449" s="37"/>
      <c r="L1449" s="37"/>
      <c r="M1449" s="37"/>
      <c r="N1449" s="37"/>
      <c r="O1449" s="37"/>
      <c r="P1449" s="37"/>
      <c r="Q1449" s="37"/>
      <c r="R1449" s="37"/>
      <c r="S1449" s="37"/>
      <c r="T1449" s="37"/>
      <c r="U1449" s="37"/>
      <c r="V1449" s="37"/>
      <c r="W1449" s="37"/>
      <c r="X1449" s="37"/>
      <c r="Y1449" s="37"/>
      <c r="Z1449" s="37"/>
      <c r="AA1449" s="37">
        <f t="shared" si="214"/>
        <v>0</v>
      </c>
      <c r="AB1449" s="37">
        <f t="shared" si="216"/>
        <v>0</v>
      </c>
    </row>
    <row r="1450" spans="1:28" ht="14.4">
      <c r="A1450" s="117">
        <v>5131011110</v>
      </c>
      <c r="B1450" s="117" t="s">
        <v>484</v>
      </c>
      <c r="C1450" s="37">
        <f>VLOOKUP(A1450,Composición!C:I,5,FALSE)</f>
        <v>57681507</v>
      </c>
      <c r="D1450" s="37"/>
      <c r="E1450" s="37"/>
      <c r="F1450" s="37"/>
      <c r="G1450" s="37">
        <f t="shared" si="215"/>
        <v>57681507</v>
      </c>
      <c r="H1450" s="37"/>
      <c r="I1450" s="37"/>
      <c r="J1450" s="37"/>
      <c r="K1450" s="37"/>
      <c r="L1450" s="37">
        <f>-G1450</f>
        <v>-57681507</v>
      </c>
      <c r="M1450" s="37"/>
      <c r="N1450" s="37"/>
      <c r="O1450" s="37"/>
      <c r="P1450" s="37"/>
      <c r="Q1450" s="37"/>
      <c r="R1450" s="37"/>
      <c r="S1450" s="37"/>
      <c r="T1450" s="37"/>
      <c r="U1450" s="37"/>
      <c r="V1450" s="37"/>
      <c r="W1450" s="37"/>
      <c r="X1450" s="37"/>
      <c r="Y1450" s="37"/>
      <c r="Z1450" s="37"/>
      <c r="AA1450" s="37">
        <f t="shared" si="214"/>
        <v>0</v>
      </c>
      <c r="AB1450" s="37">
        <f t="shared" si="216"/>
        <v>0</v>
      </c>
    </row>
    <row r="1451" spans="1:28" ht="14.4">
      <c r="A1451" s="117">
        <v>5131011111</v>
      </c>
      <c r="B1451" s="117" t="s">
        <v>1096</v>
      </c>
      <c r="C1451" s="37">
        <f>VLOOKUP(A1451,Composición!C:I,5,FALSE)</f>
        <v>0</v>
      </c>
      <c r="D1451" s="37"/>
      <c r="E1451" s="37"/>
      <c r="F1451" s="37"/>
      <c r="G1451" s="37">
        <f t="shared" si="215"/>
        <v>0</v>
      </c>
      <c r="H1451" s="37"/>
      <c r="I1451" s="37"/>
      <c r="J1451" s="37"/>
      <c r="K1451" s="37"/>
      <c r="L1451" s="37">
        <f t="shared" ref="L1451:L1463" si="218">-G1451</f>
        <v>0</v>
      </c>
      <c r="M1451" s="37"/>
      <c r="N1451" s="37"/>
      <c r="O1451" s="37"/>
      <c r="P1451" s="37"/>
      <c r="Q1451" s="37"/>
      <c r="R1451" s="37"/>
      <c r="S1451" s="37"/>
      <c r="T1451" s="37"/>
      <c r="U1451" s="37"/>
      <c r="V1451" s="37"/>
      <c r="W1451" s="37"/>
      <c r="X1451" s="37"/>
      <c r="Y1451" s="37"/>
      <c r="Z1451" s="37"/>
      <c r="AA1451" s="37">
        <f t="shared" si="214"/>
        <v>0</v>
      </c>
      <c r="AB1451" s="37">
        <f t="shared" si="216"/>
        <v>0</v>
      </c>
    </row>
    <row r="1452" spans="1:28" ht="14.4">
      <c r="A1452" s="117">
        <v>5131011112</v>
      </c>
      <c r="B1452" s="117" t="s">
        <v>485</v>
      </c>
      <c r="C1452" s="37">
        <f>VLOOKUP(A1452,Composición!C:I,5,FALSE)</f>
        <v>65979091</v>
      </c>
      <c r="D1452" s="37"/>
      <c r="E1452" s="37"/>
      <c r="F1452" s="37"/>
      <c r="G1452" s="37">
        <f t="shared" si="215"/>
        <v>65979091</v>
      </c>
      <c r="H1452" s="37"/>
      <c r="I1452" s="37"/>
      <c r="J1452" s="37"/>
      <c r="K1452" s="37"/>
      <c r="L1452" s="37">
        <f t="shared" si="218"/>
        <v>-65979091</v>
      </c>
      <c r="M1452" s="37"/>
      <c r="N1452" s="37"/>
      <c r="O1452" s="37"/>
      <c r="P1452" s="37"/>
      <c r="Q1452" s="37"/>
      <c r="R1452" s="37"/>
      <c r="S1452" s="37"/>
      <c r="T1452" s="37"/>
      <c r="U1452" s="37"/>
      <c r="V1452" s="37"/>
      <c r="W1452" s="37"/>
      <c r="X1452" s="37"/>
      <c r="Y1452" s="37"/>
      <c r="Z1452" s="37"/>
      <c r="AA1452" s="37">
        <f t="shared" si="214"/>
        <v>0</v>
      </c>
      <c r="AB1452" s="37">
        <f t="shared" si="216"/>
        <v>0</v>
      </c>
    </row>
    <row r="1453" spans="1:28" ht="14.4">
      <c r="A1453" s="117">
        <v>5131011113</v>
      </c>
      <c r="B1453" s="117" t="s">
        <v>486</v>
      </c>
      <c r="C1453" s="37">
        <f>VLOOKUP(A1453,Composición!C:I,5,FALSE)</f>
        <v>3308073</v>
      </c>
      <c r="D1453" s="37"/>
      <c r="E1453" s="37"/>
      <c r="F1453" s="37"/>
      <c r="G1453" s="37">
        <f t="shared" si="215"/>
        <v>3308073</v>
      </c>
      <c r="H1453" s="37"/>
      <c r="I1453" s="37"/>
      <c r="J1453" s="37"/>
      <c r="K1453" s="37"/>
      <c r="L1453" s="37">
        <f t="shared" si="218"/>
        <v>-3308073</v>
      </c>
      <c r="M1453" s="37"/>
      <c r="N1453" s="37"/>
      <c r="O1453" s="37"/>
      <c r="P1453" s="37"/>
      <c r="Q1453" s="37"/>
      <c r="R1453" s="37"/>
      <c r="S1453" s="37"/>
      <c r="T1453" s="37"/>
      <c r="U1453" s="37"/>
      <c r="V1453" s="37"/>
      <c r="W1453" s="37"/>
      <c r="X1453" s="37"/>
      <c r="Y1453" s="37"/>
      <c r="Z1453" s="37"/>
      <c r="AA1453" s="37">
        <f t="shared" si="214"/>
        <v>0</v>
      </c>
      <c r="AB1453" s="37">
        <f t="shared" si="216"/>
        <v>0</v>
      </c>
    </row>
    <row r="1454" spans="1:28" ht="14.4">
      <c r="A1454" s="117">
        <v>5131011114</v>
      </c>
      <c r="B1454" s="117" t="s">
        <v>487</v>
      </c>
      <c r="C1454" s="37">
        <f>VLOOKUP(A1454,Composición!C:I,5,FALSE)</f>
        <v>7104903</v>
      </c>
      <c r="D1454" s="37"/>
      <c r="E1454" s="37"/>
      <c r="F1454" s="37"/>
      <c r="G1454" s="37">
        <f t="shared" si="215"/>
        <v>7104903</v>
      </c>
      <c r="H1454" s="37"/>
      <c r="I1454" s="37"/>
      <c r="J1454" s="37"/>
      <c r="K1454" s="37"/>
      <c r="L1454" s="37">
        <f t="shared" si="218"/>
        <v>-7104903</v>
      </c>
      <c r="M1454" s="37"/>
      <c r="N1454" s="37"/>
      <c r="O1454" s="37"/>
      <c r="P1454" s="37"/>
      <c r="Q1454" s="37"/>
      <c r="R1454" s="37"/>
      <c r="S1454" s="37">
        <v>0</v>
      </c>
      <c r="T1454" s="37"/>
      <c r="U1454" s="37"/>
      <c r="V1454" s="37"/>
      <c r="W1454" s="37"/>
      <c r="X1454" s="37"/>
      <c r="Y1454" s="37"/>
      <c r="Z1454" s="37"/>
      <c r="AA1454" s="37">
        <f t="shared" si="214"/>
        <v>0</v>
      </c>
      <c r="AB1454" s="37">
        <f t="shared" si="216"/>
        <v>0</v>
      </c>
    </row>
    <row r="1455" spans="1:28" ht="14.4">
      <c r="A1455" s="117">
        <v>5131011115</v>
      </c>
      <c r="B1455" s="117" t="s">
        <v>488</v>
      </c>
      <c r="C1455" s="37">
        <f>VLOOKUP(A1455,Composición!C:I,5,FALSE)</f>
        <v>54938090</v>
      </c>
      <c r="D1455" s="37"/>
      <c r="E1455" s="37"/>
      <c r="F1455" s="37"/>
      <c r="G1455" s="37">
        <f t="shared" si="215"/>
        <v>54938090</v>
      </c>
      <c r="H1455" s="37"/>
      <c r="I1455" s="37"/>
      <c r="J1455" s="37"/>
      <c r="K1455" s="37"/>
      <c r="L1455" s="37">
        <f t="shared" si="218"/>
        <v>-54938090</v>
      </c>
      <c r="M1455" s="37"/>
      <c r="N1455" s="37"/>
      <c r="O1455" s="37"/>
      <c r="P1455" s="37"/>
      <c r="Q1455" s="37"/>
      <c r="R1455" s="37"/>
      <c r="S1455" s="37"/>
      <c r="T1455" s="37"/>
      <c r="U1455" s="37"/>
      <c r="V1455" s="37"/>
      <c r="W1455" s="37"/>
      <c r="X1455" s="37"/>
      <c r="Y1455" s="37"/>
      <c r="Z1455" s="37"/>
      <c r="AA1455" s="37">
        <f t="shared" si="214"/>
        <v>0</v>
      </c>
      <c r="AB1455" s="37">
        <f t="shared" si="216"/>
        <v>0</v>
      </c>
    </row>
    <row r="1456" spans="1:28" ht="14.4">
      <c r="A1456" s="117">
        <v>5131011116</v>
      </c>
      <c r="B1456" s="117" t="s">
        <v>489</v>
      </c>
      <c r="C1456" s="37">
        <f>VLOOKUP(A1456,Composición!C:I,5,FALSE)</f>
        <v>49882726</v>
      </c>
      <c r="D1456" s="37"/>
      <c r="E1456" s="37"/>
      <c r="F1456" s="37"/>
      <c r="G1456" s="37">
        <f t="shared" si="215"/>
        <v>49882726</v>
      </c>
      <c r="H1456" s="37"/>
      <c r="I1456" s="37"/>
      <c r="J1456" s="37"/>
      <c r="K1456" s="37"/>
      <c r="L1456" s="37">
        <f t="shared" si="218"/>
        <v>-49882726</v>
      </c>
      <c r="M1456" s="37"/>
      <c r="N1456" s="37"/>
      <c r="O1456" s="37"/>
      <c r="P1456" s="37"/>
      <c r="Q1456" s="37"/>
      <c r="R1456" s="37"/>
      <c r="S1456" s="37"/>
      <c r="T1456" s="37"/>
      <c r="U1456" s="37"/>
      <c r="V1456" s="37"/>
      <c r="W1456" s="37"/>
      <c r="X1456" s="37"/>
      <c r="Y1456" s="37"/>
      <c r="Z1456" s="37"/>
      <c r="AA1456" s="37">
        <f t="shared" si="214"/>
        <v>0</v>
      </c>
      <c r="AB1456" s="37">
        <f t="shared" si="216"/>
        <v>0</v>
      </c>
    </row>
    <row r="1457" spans="1:28" ht="14.4">
      <c r="A1457" s="117">
        <v>5131011117</v>
      </c>
      <c r="B1457" s="117" t="s">
        <v>612</v>
      </c>
      <c r="C1457" s="37">
        <f>VLOOKUP(A1457,Composición!C:I,5,FALSE)</f>
        <v>2180700</v>
      </c>
      <c r="D1457" s="37"/>
      <c r="E1457" s="37"/>
      <c r="F1457" s="37"/>
      <c r="G1457" s="37">
        <f t="shared" si="215"/>
        <v>2180700</v>
      </c>
      <c r="H1457" s="37"/>
      <c r="I1457" s="37"/>
      <c r="J1457" s="37"/>
      <c r="K1457" s="37"/>
      <c r="L1457" s="37">
        <f t="shared" si="218"/>
        <v>-2180700</v>
      </c>
      <c r="M1457" s="37"/>
      <c r="N1457" s="37"/>
      <c r="O1457" s="37"/>
      <c r="P1457" s="37"/>
      <c r="Q1457" s="37"/>
      <c r="R1457" s="37"/>
      <c r="S1457" s="37"/>
      <c r="T1457" s="37"/>
      <c r="U1457" s="37"/>
      <c r="V1457" s="37"/>
      <c r="W1457" s="37"/>
      <c r="X1457" s="37"/>
      <c r="Y1457" s="37"/>
      <c r="Z1457" s="37"/>
      <c r="AA1457" s="37">
        <f t="shared" si="214"/>
        <v>0</v>
      </c>
      <c r="AB1457" s="37">
        <f t="shared" si="216"/>
        <v>0</v>
      </c>
    </row>
    <row r="1458" spans="1:28" ht="14.4">
      <c r="A1458" s="117">
        <v>5131011119</v>
      </c>
      <c r="B1458" s="117" t="s">
        <v>490</v>
      </c>
      <c r="C1458" s="37">
        <f>VLOOKUP(A1458,Composición!C:I,5,FALSE)</f>
        <v>429654525</v>
      </c>
      <c r="D1458" s="37"/>
      <c r="E1458" s="37"/>
      <c r="F1458" s="37"/>
      <c r="G1458" s="37">
        <f t="shared" si="215"/>
        <v>429654525</v>
      </c>
      <c r="H1458" s="37"/>
      <c r="I1458" s="37"/>
      <c r="J1458" s="37"/>
      <c r="K1458" s="37"/>
      <c r="L1458" s="37">
        <f t="shared" ref="L1458:L1459" si="219">-G1458</f>
        <v>-429654525</v>
      </c>
      <c r="M1458" s="37"/>
      <c r="N1458" s="37"/>
      <c r="O1458" s="37"/>
      <c r="P1458" s="37"/>
      <c r="Q1458" s="37"/>
      <c r="R1458" s="37"/>
      <c r="S1458" s="37"/>
      <c r="T1458" s="37"/>
      <c r="U1458" s="37"/>
      <c r="V1458" s="37"/>
      <c r="W1458" s="37"/>
      <c r="X1458" s="37"/>
      <c r="Y1458" s="37"/>
      <c r="Z1458" s="37"/>
      <c r="AA1458" s="37">
        <f t="shared" si="214"/>
        <v>0</v>
      </c>
      <c r="AB1458" s="37">
        <f t="shared" si="216"/>
        <v>0</v>
      </c>
    </row>
    <row r="1459" spans="1:28" ht="14.4">
      <c r="A1459" s="117">
        <v>5131011121</v>
      </c>
      <c r="B1459" s="117" t="s">
        <v>1097</v>
      </c>
      <c r="C1459" s="37">
        <f>VLOOKUP(A1459,Composición!C:I,5,FALSE)</f>
        <v>0</v>
      </c>
      <c r="D1459" s="37"/>
      <c r="E1459" s="37"/>
      <c r="F1459" s="37"/>
      <c r="G1459" s="37">
        <f t="shared" si="215"/>
        <v>0</v>
      </c>
      <c r="H1459" s="37"/>
      <c r="I1459" s="37"/>
      <c r="J1459" s="37"/>
      <c r="K1459" s="37"/>
      <c r="L1459" s="37">
        <f t="shared" si="219"/>
        <v>0</v>
      </c>
      <c r="M1459" s="37"/>
      <c r="N1459" s="37"/>
      <c r="O1459" s="37"/>
      <c r="P1459" s="37"/>
      <c r="Q1459" s="37"/>
      <c r="R1459" s="37"/>
      <c r="S1459" s="37"/>
      <c r="T1459" s="37"/>
      <c r="U1459" s="37"/>
      <c r="V1459" s="37"/>
      <c r="W1459" s="37"/>
      <c r="X1459" s="37"/>
      <c r="Y1459" s="37"/>
      <c r="Z1459" s="37"/>
      <c r="AA1459" s="37">
        <f t="shared" si="214"/>
        <v>0</v>
      </c>
      <c r="AB1459" s="37">
        <f t="shared" si="216"/>
        <v>0</v>
      </c>
    </row>
    <row r="1460" spans="1:28" ht="14.4">
      <c r="A1460" s="117">
        <v>5131011122</v>
      </c>
      <c r="B1460" s="117" t="s">
        <v>169</v>
      </c>
      <c r="C1460" s="37">
        <f>VLOOKUP(A1460,Composición!C:I,5,FALSE)</f>
        <v>97336181</v>
      </c>
      <c r="D1460" s="37"/>
      <c r="E1460" s="37"/>
      <c r="F1460" s="37"/>
      <c r="G1460" s="37">
        <f t="shared" si="215"/>
        <v>97336181</v>
      </c>
      <c r="H1460" s="37"/>
      <c r="I1460" s="37"/>
      <c r="J1460" s="37"/>
      <c r="K1460" s="37"/>
      <c r="L1460" s="37">
        <f t="shared" si="218"/>
        <v>-97336181</v>
      </c>
      <c r="M1460" s="37"/>
      <c r="N1460" s="37"/>
      <c r="O1460" s="37"/>
      <c r="P1460" s="37"/>
      <c r="Q1460" s="37"/>
      <c r="R1460" s="37"/>
      <c r="S1460" s="37"/>
      <c r="T1460" s="37"/>
      <c r="U1460" s="37"/>
      <c r="V1460" s="37"/>
      <c r="W1460" s="37"/>
      <c r="X1460" s="37"/>
      <c r="Y1460" s="37"/>
      <c r="Z1460" s="37"/>
      <c r="AA1460" s="37">
        <f t="shared" si="214"/>
        <v>0</v>
      </c>
      <c r="AB1460" s="37">
        <f t="shared" si="216"/>
        <v>0</v>
      </c>
    </row>
    <row r="1461" spans="1:28" ht="14.4">
      <c r="A1461" s="117">
        <v>5131011123</v>
      </c>
      <c r="B1461" s="117" t="s">
        <v>170</v>
      </c>
      <c r="C1461" s="37">
        <f>VLOOKUP(A1461,Composición!C:I,5,FALSE)</f>
        <v>11068644</v>
      </c>
      <c r="D1461" s="37"/>
      <c r="E1461" s="37"/>
      <c r="F1461" s="37"/>
      <c r="G1461" s="37">
        <f t="shared" si="215"/>
        <v>11068644</v>
      </c>
      <c r="H1461" s="37"/>
      <c r="I1461" s="37"/>
      <c r="J1461" s="37"/>
      <c r="K1461" s="37"/>
      <c r="L1461" s="37">
        <f t="shared" si="218"/>
        <v>-11068644</v>
      </c>
      <c r="M1461" s="37"/>
      <c r="N1461" s="37"/>
      <c r="O1461" s="37"/>
      <c r="P1461" s="37"/>
      <c r="Q1461" s="37"/>
      <c r="R1461" s="37"/>
      <c r="S1461" s="37"/>
      <c r="T1461" s="37"/>
      <c r="U1461" s="37"/>
      <c r="V1461" s="37"/>
      <c r="W1461" s="37"/>
      <c r="X1461" s="37"/>
      <c r="Y1461" s="37"/>
      <c r="Z1461" s="37"/>
      <c r="AA1461" s="37">
        <f t="shared" si="214"/>
        <v>0</v>
      </c>
      <c r="AB1461" s="37">
        <f t="shared" si="216"/>
        <v>0</v>
      </c>
    </row>
    <row r="1462" spans="1:28" ht="14.4">
      <c r="A1462" s="117">
        <v>5131011124</v>
      </c>
      <c r="B1462" s="117" t="s">
        <v>498</v>
      </c>
      <c r="C1462" s="37">
        <f>VLOOKUP(A1462,Composición!C:I,5,FALSE)</f>
        <v>0</v>
      </c>
      <c r="D1462" s="37"/>
      <c r="E1462" s="37"/>
      <c r="F1462" s="37"/>
      <c r="G1462" s="37">
        <f t="shared" si="215"/>
        <v>0</v>
      </c>
      <c r="H1462" s="37"/>
      <c r="I1462" s="37"/>
      <c r="J1462" s="37"/>
      <c r="K1462" s="37"/>
      <c r="L1462" s="37">
        <f t="shared" si="218"/>
        <v>0</v>
      </c>
      <c r="M1462" s="37"/>
      <c r="N1462" s="37"/>
      <c r="O1462" s="37"/>
      <c r="P1462" s="37"/>
      <c r="Q1462" s="37"/>
      <c r="R1462" s="37"/>
      <c r="S1462" s="37"/>
      <c r="T1462" s="37"/>
      <c r="U1462" s="37"/>
      <c r="V1462" s="37"/>
      <c r="W1462" s="37"/>
      <c r="X1462" s="37"/>
      <c r="Y1462" s="37"/>
      <c r="Z1462" s="37"/>
      <c r="AA1462" s="37">
        <f t="shared" si="214"/>
        <v>0</v>
      </c>
      <c r="AB1462" s="37">
        <f t="shared" si="216"/>
        <v>0</v>
      </c>
    </row>
    <row r="1463" spans="1:28" ht="14.4">
      <c r="A1463" s="117">
        <v>5131011199</v>
      </c>
      <c r="B1463" s="117" t="s">
        <v>492</v>
      </c>
      <c r="C1463" s="37">
        <f>VLOOKUP(A1463,Composición!C:I,5,FALSE)</f>
        <v>17766499</v>
      </c>
      <c r="D1463" s="37"/>
      <c r="E1463" s="37"/>
      <c r="F1463" s="37"/>
      <c r="G1463" s="37">
        <f t="shared" si="215"/>
        <v>17766499</v>
      </c>
      <c r="H1463" s="37"/>
      <c r="I1463" s="37"/>
      <c r="J1463" s="37"/>
      <c r="K1463" s="37"/>
      <c r="L1463" s="37">
        <f t="shared" si="218"/>
        <v>-17766499</v>
      </c>
      <c r="M1463" s="37"/>
      <c r="N1463" s="37"/>
      <c r="O1463" s="37"/>
      <c r="P1463" s="37"/>
      <c r="Q1463" s="37"/>
      <c r="R1463" s="37"/>
      <c r="S1463" s="37"/>
      <c r="T1463" s="37"/>
      <c r="U1463" s="37"/>
      <c r="V1463" s="37"/>
      <c r="W1463" s="37"/>
      <c r="X1463" s="37"/>
      <c r="Y1463" s="37"/>
      <c r="Z1463" s="37"/>
      <c r="AA1463" s="37">
        <f t="shared" si="214"/>
        <v>0</v>
      </c>
      <c r="AB1463" s="37">
        <f t="shared" si="216"/>
        <v>0</v>
      </c>
    </row>
    <row r="1464" spans="1:28" ht="14.4">
      <c r="A1464" s="117">
        <v>514</v>
      </c>
      <c r="B1464" s="117" t="s">
        <v>493</v>
      </c>
      <c r="C1464" s="37">
        <f>VLOOKUP(A1464,Composición!C:I,5,FALSE)</f>
        <v>0</v>
      </c>
      <c r="D1464" s="37"/>
      <c r="E1464" s="37"/>
      <c r="F1464" s="37"/>
      <c r="G1464" s="37">
        <f t="shared" si="215"/>
        <v>0</v>
      </c>
      <c r="H1464" s="37"/>
      <c r="I1464" s="37"/>
      <c r="J1464" s="37"/>
      <c r="K1464" s="37"/>
      <c r="L1464" s="37"/>
      <c r="M1464" s="37"/>
      <c r="N1464" s="37"/>
      <c r="O1464" s="37"/>
      <c r="P1464" s="37"/>
      <c r="Q1464" s="37"/>
      <c r="R1464" s="37"/>
      <c r="S1464" s="37"/>
      <c r="T1464" s="37"/>
      <c r="U1464" s="37"/>
      <c r="V1464" s="37"/>
      <c r="W1464" s="37"/>
      <c r="X1464" s="37"/>
      <c r="Y1464" s="37"/>
      <c r="Z1464" s="37"/>
      <c r="AA1464" s="37">
        <f t="shared" si="214"/>
        <v>0</v>
      </c>
      <c r="AB1464" s="37">
        <f t="shared" si="216"/>
        <v>0</v>
      </c>
    </row>
    <row r="1465" spans="1:28" ht="14.4">
      <c r="A1465" s="117">
        <v>51401</v>
      </c>
      <c r="B1465" s="117" t="s">
        <v>494</v>
      </c>
      <c r="C1465" s="37">
        <f>VLOOKUP(A1465,Composición!C:I,5,FALSE)</f>
        <v>0</v>
      </c>
      <c r="D1465" s="37"/>
      <c r="E1465" s="37"/>
      <c r="F1465" s="37"/>
      <c r="G1465" s="37">
        <f t="shared" si="215"/>
        <v>0</v>
      </c>
      <c r="H1465" s="37"/>
      <c r="I1465" s="37"/>
      <c r="J1465" s="37"/>
      <c r="K1465" s="37"/>
      <c r="L1465" s="37"/>
      <c r="M1465" s="37"/>
      <c r="N1465" s="37"/>
      <c r="O1465" s="37"/>
      <c r="P1465" s="37"/>
      <c r="Q1465" s="37"/>
      <c r="R1465" s="37"/>
      <c r="S1465" s="37"/>
      <c r="T1465" s="37"/>
      <c r="U1465" s="37"/>
      <c r="V1465" s="37"/>
      <c r="W1465" s="37"/>
      <c r="X1465" s="37"/>
      <c r="Y1465" s="37"/>
      <c r="Z1465" s="37"/>
      <c r="AA1465" s="37">
        <f t="shared" si="214"/>
        <v>0</v>
      </c>
      <c r="AB1465" s="37">
        <f t="shared" si="216"/>
        <v>0</v>
      </c>
    </row>
    <row r="1466" spans="1:28" ht="14.4">
      <c r="A1466" s="117">
        <v>514011</v>
      </c>
      <c r="B1466" s="117" t="s">
        <v>494</v>
      </c>
      <c r="C1466" s="37">
        <f>VLOOKUP(A1466,Composición!C:I,5,FALSE)</f>
        <v>0</v>
      </c>
      <c r="D1466" s="37"/>
      <c r="E1466" s="37"/>
      <c r="F1466" s="37"/>
      <c r="G1466" s="37">
        <f t="shared" si="215"/>
        <v>0</v>
      </c>
      <c r="H1466" s="37"/>
      <c r="I1466" s="37">
        <f>-G1466</f>
        <v>0</v>
      </c>
      <c r="J1466" s="37"/>
      <c r="K1466" s="37"/>
      <c r="L1466" s="37"/>
      <c r="M1466" s="37"/>
      <c r="N1466" s="37"/>
      <c r="O1466" s="37"/>
      <c r="P1466" s="37"/>
      <c r="Q1466" s="37"/>
      <c r="R1466" s="37"/>
      <c r="S1466" s="37"/>
      <c r="T1466" s="37"/>
      <c r="U1466" s="37"/>
      <c r="V1466" s="37"/>
      <c r="W1466" s="37"/>
      <c r="X1466" s="37"/>
      <c r="Y1466" s="37"/>
      <c r="Z1466" s="37"/>
      <c r="AA1466" s="37">
        <f t="shared" si="214"/>
        <v>0</v>
      </c>
      <c r="AB1466" s="37">
        <f t="shared" si="216"/>
        <v>0</v>
      </c>
    </row>
    <row r="1467" spans="1:28" ht="14.4">
      <c r="A1467" s="117">
        <v>5140111</v>
      </c>
      <c r="B1467" s="117" t="s">
        <v>494</v>
      </c>
      <c r="C1467" s="37">
        <f>VLOOKUP(A1467,Composición!C:I,5,FALSE)</f>
        <v>0</v>
      </c>
      <c r="D1467" s="37"/>
      <c r="E1467" s="37"/>
      <c r="F1467" s="37"/>
      <c r="G1467" s="37">
        <f t="shared" si="215"/>
        <v>0</v>
      </c>
      <c r="H1467" s="37"/>
      <c r="I1467" s="37"/>
      <c r="J1467" s="37"/>
      <c r="K1467" s="37"/>
      <c r="L1467" s="37"/>
      <c r="M1467" s="37"/>
      <c r="N1467" s="37"/>
      <c r="O1467" s="37"/>
      <c r="P1467" s="37"/>
      <c r="Q1467" s="37"/>
      <c r="R1467" s="37"/>
      <c r="S1467" s="37"/>
      <c r="T1467" s="37"/>
      <c r="U1467" s="37"/>
      <c r="V1467" s="37"/>
      <c r="W1467" s="37"/>
      <c r="X1467" s="37"/>
      <c r="Y1467" s="37">
        <f>-G1467</f>
        <v>0</v>
      </c>
      <c r="Z1467" s="37"/>
      <c r="AA1467" s="37">
        <f t="shared" si="214"/>
        <v>0</v>
      </c>
      <c r="AB1467" s="37">
        <f t="shared" si="216"/>
        <v>0</v>
      </c>
    </row>
    <row r="1468" spans="1:28" ht="14.4">
      <c r="A1468" s="117">
        <v>51401111</v>
      </c>
      <c r="B1468" s="117" t="s">
        <v>495</v>
      </c>
      <c r="C1468" s="37">
        <f>VLOOKUP(A1468,Composición!C:I,5,FALSE)</f>
        <v>0</v>
      </c>
      <c r="D1468" s="37"/>
      <c r="E1468" s="37"/>
      <c r="F1468" s="37"/>
      <c r="G1468" s="37">
        <f t="shared" si="215"/>
        <v>0</v>
      </c>
      <c r="H1468" s="37"/>
      <c r="I1468" s="37"/>
      <c r="J1468" s="37"/>
      <c r="K1468" s="37"/>
      <c r="L1468" s="37"/>
      <c r="M1468" s="37"/>
      <c r="N1468" s="37"/>
      <c r="O1468" s="37"/>
      <c r="P1468" s="37"/>
      <c r="Q1468" s="37"/>
      <c r="R1468" s="37"/>
      <c r="S1468" s="37"/>
      <c r="T1468" s="37"/>
      <c r="U1468" s="37"/>
      <c r="V1468" s="37"/>
      <c r="W1468" s="37"/>
      <c r="X1468" s="37"/>
      <c r="Y1468" s="37"/>
      <c r="Z1468" s="37"/>
      <c r="AA1468" s="37">
        <f t="shared" si="214"/>
        <v>0</v>
      </c>
      <c r="AB1468" s="37">
        <f t="shared" si="216"/>
        <v>0</v>
      </c>
    </row>
    <row r="1469" spans="1:28" ht="14.4">
      <c r="A1469" s="117">
        <v>5140111101</v>
      </c>
      <c r="B1469" s="117" t="s">
        <v>495</v>
      </c>
      <c r="C1469" s="37">
        <f>VLOOKUP(A1469,Composición!C:I,5,FALSE)</f>
        <v>93953719</v>
      </c>
      <c r="D1469" s="37"/>
      <c r="E1469" s="37"/>
      <c r="F1469" s="37"/>
      <c r="G1469" s="37">
        <f t="shared" si="215"/>
        <v>93953719</v>
      </c>
      <c r="H1469" s="37"/>
      <c r="I1469" s="37"/>
      <c r="J1469" s="37"/>
      <c r="K1469" s="37"/>
      <c r="L1469" s="37">
        <f>-G1469</f>
        <v>-93953719</v>
      </c>
      <c r="M1469" s="37"/>
      <c r="N1469" s="37"/>
      <c r="O1469" s="37"/>
      <c r="P1469" s="37"/>
      <c r="Q1469" s="37"/>
      <c r="R1469" s="37"/>
      <c r="S1469" s="37"/>
      <c r="T1469" s="37"/>
      <c r="U1469" s="37"/>
      <c r="V1469" s="37"/>
      <c r="W1469" s="37"/>
      <c r="X1469" s="37"/>
      <c r="Y1469" s="37"/>
      <c r="Z1469" s="37"/>
      <c r="AA1469" s="37">
        <f t="shared" si="214"/>
        <v>0</v>
      </c>
      <c r="AB1469" s="37">
        <f t="shared" si="216"/>
        <v>0</v>
      </c>
    </row>
    <row r="1470" spans="1:28" ht="14.4">
      <c r="A1470" s="117">
        <v>5140111102</v>
      </c>
      <c r="B1470" s="117" t="s">
        <v>1100</v>
      </c>
      <c r="C1470" s="37">
        <f>VLOOKUP(A1470,Composición!C:I,5,FALSE)</f>
        <v>1763637804</v>
      </c>
      <c r="D1470" s="37"/>
      <c r="E1470" s="37"/>
      <c r="F1470" s="37"/>
      <c r="G1470" s="37">
        <f t="shared" si="215"/>
        <v>1763637804</v>
      </c>
      <c r="H1470" s="37"/>
      <c r="I1470" s="37"/>
      <c r="J1470" s="37"/>
      <c r="K1470" s="37"/>
      <c r="L1470" s="37"/>
      <c r="M1470" s="37"/>
      <c r="N1470" s="37"/>
      <c r="O1470" s="37"/>
      <c r="P1470" s="37"/>
      <c r="Q1470" s="37"/>
      <c r="R1470" s="37"/>
      <c r="S1470" s="37"/>
      <c r="T1470" s="37"/>
      <c r="U1470" s="37"/>
      <c r="V1470" s="37"/>
      <c r="W1470" s="37"/>
      <c r="X1470" s="37"/>
      <c r="Y1470" s="37">
        <f>-G1470</f>
        <v>-1763637804</v>
      </c>
      <c r="Z1470" s="37"/>
      <c r="AA1470" s="37">
        <f t="shared" si="214"/>
        <v>0</v>
      </c>
      <c r="AB1470" s="37">
        <f t="shared" si="216"/>
        <v>0</v>
      </c>
    </row>
    <row r="1471" spans="1:28" ht="14.4">
      <c r="A1471" s="117">
        <v>51401112</v>
      </c>
      <c r="B1471" s="117" t="s">
        <v>497</v>
      </c>
      <c r="C1471" s="37">
        <f>VLOOKUP(A1471,Composición!C:I,5,FALSE)</f>
        <v>0</v>
      </c>
      <c r="D1471" s="37"/>
      <c r="E1471" s="37"/>
      <c r="F1471" s="37"/>
      <c r="G1471" s="37">
        <f t="shared" si="215"/>
        <v>0</v>
      </c>
      <c r="H1471" s="37"/>
      <c r="I1471" s="37"/>
      <c r="J1471" s="37"/>
      <c r="K1471" s="37"/>
      <c r="L1471" s="37">
        <f>-G1471</f>
        <v>0</v>
      </c>
      <c r="M1471" s="37"/>
      <c r="N1471" s="37"/>
      <c r="O1471" s="37"/>
      <c r="P1471" s="37"/>
      <c r="Q1471" s="37"/>
      <c r="R1471" s="37"/>
      <c r="S1471" s="37"/>
      <c r="T1471" s="37"/>
      <c r="U1471" s="37"/>
      <c r="V1471" s="37"/>
      <c r="W1471" s="37"/>
      <c r="X1471" s="37"/>
      <c r="Y1471" s="37"/>
      <c r="Z1471" s="37"/>
      <c r="AA1471" s="37">
        <f t="shared" si="214"/>
        <v>0</v>
      </c>
      <c r="AB1471" s="37">
        <f t="shared" si="216"/>
        <v>0</v>
      </c>
    </row>
    <row r="1472" spans="1:28" ht="14.4">
      <c r="A1472" s="117">
        <v>5140111201</v>
      </c>
      <c r="B1472" s="117" t="s">
        <v>1102</v>
      </c>
      <c r="C1472" s="37">
        <f>VLOOKUP(A1472,Composición!C:I,5,FALSE)</f>
        <v>60889923</v>
      </c>
      <c r="D1472" s="37"/>
      <c r="E1472" s="37"/>
      <c r="F1472" s="37"/>
      <c r="G1472" s="37">
        <f t="shared" si="215"/>
        <v>60889923</v>
      </c>
      <c r="H1472" s="37"/>
      <c r="I1472" s="37"/>
      <c r="J1472" s="37"/>
      <c r="K1472" s="37"/>
      <c r="L1472" s="37">
        <f>-G1472</f>
        <v>-60889923</v>
      </c>
      <c r="M1472" s="37"/>
      <c r="N1472" s="37"/>
      <c r="O1472" s="37"/>
      <c r="P1472" s="37"/>
      <c r="Q1472" s="37"/>
      <c r="R1472" s="37"/>
      <c r="S1472" s="37"/>
      <c r="T1472" s="37"/>
      <c r="U1472" s="37"/>
      <c r="V1472" s="37"/>
      <c r="W1472" s="37"/>
      <c r="X1472" s="37"/>
      <c r="Y1472" s="37"/>
      <c r="Z1472" s="37"/>
      <c r="AA1472" s="37">
        <f t="shared" si="214"/>
        <v>0</v>
      </c>
      <c r="AB1472" s="37">
        <f t="shared" si="216"/>
        <v>0</v>
      </c>
    </row>
    <row r="1473" spans="1:28" ht="14.4">
      <c r="A1473" s="117">
        <v>5140111202</v>
      </c>
      <c r="B1473" s="117" t="s">
        <v>1103</v>
      </c>
      <c r="C1473" s="37">
        <f>VLOOKUP(A1473,Composición!C:I,5,FALSE)</f>
        <v>0</v>
      </c>
      <c r="D1473" s="37"/>
      <c r="E1473" s="37"/>
      <c r="F1473" s="37"/>
      <c r="G1473" s="37">
        <f t="shared" si="215"/>
        <v>0</v>
      </c>
      <c r="H1473" s="37"/>
      <c r="I1473" s="37"/>
      <c r="J1473" s="37"/>
      <c r="K1473" s="37"/>
      <c r="L1473" s="37"/>
      <c r="M1473" s="37"/>
      <c r="N1473" s="37"/>
      <c r="O1473" s="37"/>
      <c r="P1473" s="37"/>
      <c r="Q1473" s="37"/>
      <c r="R1473" s="37"/>
      <c r="S1473" s="37"/>
      <c r="T1473" s="37"/>
      <c r="U1473" s="37"/>
      <c r="V1473" s="37"/>
      <c r="W1473" s="37"/>
      <c r="X1473" s="37"/>
      <c r="Y1473" s="37"/>
      <c r="Z1473" s="37"/>
      <c r="AA1473" s="37">
        <f t="shared" si="214"/>
        <v>0</v>
      </c>
      <c r="AB1473" s="37">
        <f t="shared" si="216"/>
        <v>0</v>
      </c>
    </row>
    <row r="1474" spans="1:28" ht="14.4">
      <c r="A1474" s="117">
        <v>5140111203</v>
      </c>
      <c r="B1474" s="117" t="s">
        <v>1104</v>
      </c>
      <c r="C1474" s="37">
        <f>VLOOKUP(A1474,Composición!C:I,5,FALSE)</f>
        <v>21839152</v>
      </c>
      <c r="D1474" s="37"/>
      <c r="E1474" s="37">
        <f>+(D385+D409-E1305)</f>
        <v>0</v>
      </c>
      <c r="F1474" s="37"/>
      <c r="G1474" s="37">
        <f t="shared" si="215"/>
        <v>21839152</v>
      </c>
      <c r="H1474" s="37"/>
      <c r="I1474" s="37"/>
      <c r="J1474" s="37"/>
      <c r="K1474" s="37"/>
      <c r="L1474" s="37">
        <f t="shared" ref="L1474:L1475" si="220">-G1474</f>
        <v>-21839152</v>
      </c>
      <c r="M1474" s="37"/>
      <c r="N1474" s="37"/>
      <c r="O1474" s="37"/>
      <c r="P1474" s="37"/>
      <c r="Q1474" s="37"/>
      <c r="R1474" s="37"/>
      <c r="S1474" s="37"/>
      <c r="T1474" s="37"/>
      <c r="U1474" s="37"/>
      <c r="V1474" s="37"/>
      <c r="W1474" s="37"/>
      <c r="X1474" s="37"/>
      <c r="Y1474" s="37"/>
      <c r="Z1474" s="37"/>
      <c r="AA1474" s="37">
        <f t="shared" si="214"/>
        <v>0</v>
      </c>
      <c r="AB1474" s="37">
        <f t="shared" si="216"/>
        <v>0</v>
      </c>
    </row>
    <row r="1475" spans="1:28" ht="14.4">
      <c r="A1475" s="117">
        <v>5140111204</v>
      </c>
      <c r="B1475" s="117" t="s">
        <v>500</v>
      </c>
      <c r="C1475" s="37">
        <f>VLOOKUP(A1475,Composición!C:I,5,FALSE)</f>
        <v>16662375</v>
      </c>
      <c r="D1475" s="37"/>
      <c r="E1475" s="37"/>
      <c r="F1475" s="37"/>
      <c r="G1475" s="37">
        <f t="shared" si="215"/>
        <v>16662375</v>
      </c>
      <c r="H1475" s="37"/>
      <c r="I1475" s="37"/>
      <c r="J1475" s="37"/>
      <c r="K1475" s="37"/>
      <c r="L1475" s="37">
        <f t="shared" si="220"/>
        <v>-16662375</v>
      </c>
      <c r="M1475" s="37"/>
      <c r="N1475" s="37"/>
      <c r="O1475" s="37"/>
      <c r="P1475" s="37"/>
      <c r="Q1475" s="37"/>
      <c r="R1475" s="37"/>
      <c r="S1475" s="37"/>
      <c r="T1475" s="37"/>
      <c r="U1475" s="37"/>
      <c r="V1475" s="37"/>
      <c r="W1475" s="37"/>
      <c r="X1475" s="37"/>
      <c r="Y1475" s="37"/>
      <c r="Z1475" s="37"/>
      <c r="AA1475" s="37">
        <f t="shared" si="214"/>
        <v>0</v>
      </c>
      <c r="AB1475" s="37">
        <f t="shared" si="216"/>
        <v>0</v>
      </c>
    </row>
    <row r="1476" spans="1:28" ht="14.4">
      <c r="A1476" s="117">
        <v>51401113</v>
      </c>
      <c r="B1476" s="117" t="s">
        <v>501</v>
      </c>
      <c r="C1476" s="37">
        <f>VLOOKUP(A1476,Composición!C:I,5,FALSE)</f>
        <v>0</v>
      </c>
      <c r="D1476" s="37"/>
      <c r="E1476" s="37"/>
      <c r="F1476" s="37"/>
      <c r="G1476" s="37">
        <f t="shared" si="215"/>
        <v>0</v>
      </c>
      <c r="H1476" s="37"/>
      <c r="I1476" s="37"/>
      <c r="J1476" s="37"/>
      <c r="K1476" s="37"/>
      <c r="L1476" s="37"/>
      <c r="M1476" s="37"/>
      <c r="N1476" s="37"/>
      <c r="O1476" s="37"/>
      <c r="P1476" s="37"/>
      <c r="Q1476" s="37"/>
      <c r="R1476" s="37"/>
      <c r="S1476" s="37"/>
      <c r="T1476" s="37"/>
      <c r="U1476" s="37"/>
      <c r="V1476" s="37"/>
      <c r="W1476" s="37"/>
      <c r="X1476" s="37"/>
      <c r="Y1476" s="37"/>
      <c r="Z1476" s="37"/>
      <c r="AA1476" s="37">
        <f t="shared" si="214"/>
        <v>0</v>
      </c>
      <c r="AB1476" s="37">
        <f t="shared" si="216"/>
        <v>0</v>
      </c>
    </row>
    <row r="1477" spans="1:28" ht="14.4">
      <c r="A1477" s="117">
        <v>5140111301</v>
      </c>
      <c r="B1477" s="117" t="s">
        <v>385</v>
      </c>
      <c r="C1477" s="37">
        <f>VLOOKUP(A1477,Composición!C:I,5,FALSE)</f>
        <v>8825477002</v>
      </c>
      <c r="D1477" s="37"/>
      <c r="E1477" s="37"/>
      <c r="F1477" s="37"/>
      <c r="G1477" s="37">
        <f t="shared" si="215"/>
        <v>8825477002</v>
      </c>
      <c r="H1477" s="37"/>
      <c r="I1477" s="37"/>
      <c r="J1477" s="37"/>
      <c r="K1477" s="37"/>
      <c r="L1477" s="37"/>
      <c r="M1477" s="37"/>
      <c r="N1477" s="37"/>
      <c r="O1477" s="37"/>
      <c r="P1477" s="37"/>
      <c r="Q1477" s="37"/>
      <c r="R1477" s="37"/>
      <c r="S1477" s="37"/>
      <c r="T1477" s="37"/>
      <c r="U1477" s="37"/>
      <c r="V1477" s="37"/>
      <c r="W1477" s="37"/>
      <c r="X1477" s="37"/>
      <c r="Y1477" s="37"/>
      <c r="Z1477" s="37">
        <f>-G1477</f>
        <v>-8825477002</v>
      </c>
      <c r="AA1477" s="37">
        <f t="shared" si="214"/>
        <v>0</v>
      </c>
      <c r="AB1477" s="37">
        <f t="shared" si="216"/>
        <v>0</v>
      </c>
    </row>
    <row r="1478" spans="1:28" ht="14.4">
      <c r="A1478" s="117">
        <v>5140111302</v>
      </c>
      <c r="B1478" s="117" t="s">
        <v>386</v>
      </c>
      <c r="C1478" s="37">
        <f>VLOOKUP(A1478,Composición!C:I,5,FALSE)</f>
        <v>7342337354</v>
      </c>
      <c r="D1478" s="37"/>
      <c r="E1478" s="733">
        <f>125088818+19343403-E390</f>
        <v>35674488</v>
      </c>
      <c r="F1478" s="37"/>
      <c r="G1478" s="37">
        <f t="shared" si="215"/>
        <v>7306662866</v>
      </c>
      <c r="H1478" s="37"/>
      <c r="I1478" s="37"/>
      <c r="J1478" s="37"/>
      <c r="K1478" s="37"/>
      <c r="L1478" s="37"/>
      <c r="M1478" s="37"/>
      <c r="N1478" s="37"/>
      <c r="O1478" s="37"/>
      <c r="P1478" s="37"/>
      <c r="Q1478" s="37"/>
      <c r="R1478" s="37"/>
      <c r="S1478" s="37"/>
      <c r="T1478" s="37"/>
      <c r="U1478" s="37"/>
      <c r="V1478" s="37"/>
      <c r="W1478" s="37"/>
      <c r="X1478" s="37"/>
      <c r="Y1478" s="37"/>
      <c r="Z1478" s="37">
        <f>-G1478</f>
        <v>-7306662866</v>
      </c>
      <c r="AA1478" s="37">
        <f t="shared" ref="AA1478:AA1508" si="221">SUM(G1478:Z1478)</f>
        <v>0</v>
      </c>
      <c r="AB1478" s="37">
        <f t="shared" si="216"/>
        <v>0</v>
      </c>
    </row>
    <row r="1479" spans="1:28" ht="14.4">
      <c r="A1479" s="117">
        <v>51401114</v>
      </c>
      <c r="B1479" s="117" t="s">
        <v>502</v>
      </c>
      <c r="C1479" s="37">
        <f>VLOOKUP(A1479,Composición!C:I,5,FALSE)</f>
        <v>0</v>
      </c>
      <c r="D1479" s="37"/>
      <c r="E1479" s="37"/>
      <c r="F1479" s="37"/>
      <c r="G1479" s="37">
        <f t="shared" si="215"/>
        <v>0</v>
      </c>
      <c r="H1479" s="37"/>
      <c r="I1479" s="37"/>
      <c r="J1479" s="37"/>
      <c r="K1479" s="37"/>
      <c r="L1479" s="37"/>
      <c r="M1479" s="37"/>
      <c r="N1479" s="37"/>
      <c r="O1479" s="37"/>
      <c r="P1479" s="37"/>
      <c r="Q1479" s="37"/>
      <c r="R1479" s="37"/>
      <c r="S1479" s="37"/>
      <c r="T1479" s="37"/>
      <c r="U1479" s="37"/>
      <c r="V1479" s="37"/>
      <c r="W1479" s="37"/>
      <c r="X1479" s="37"/>
      <c r="Y1479" s="37"/>
      <c r="Z1479" s="37">
        <f>-G1479</f>
        <v>0</v>
      </c>
      <c r="AA1479" s="37">
        <f t="shared" si="221"/>
        <v>0</v>
      </c>
      <c r="AB1479" s="37">
        <f t="shared" si="216"/>
        <v>0</v>
      </c>
    </row>
    <row r="1480" spans="1:28" ht="14.4">
      <c r="A1480" s="117">
        <v>5140111401</v>
      </c>
      <c r="B1480" s="117" t="s">
        <v>502</v>
      </c>
      <c r="C1480" s="37">
        <f>VLOOKUP(A1480,Composición!C:I,5,FALSE)</f>
        <v>0</v>
      </c>
      <c r="D1480" s="37"/>
      <c r="E1480" s="37"/>
      <c r="F1480" s="37"/>
      <c r="G1480" s="37">
        <f t="shared" si="215"/>
        <v>0</v>
      </c>
      <c r="H1480" s="37"/>
      <c r="I1480" s="37"/>
      <c r="J1480" s="37">
        <f>-G1480</f>
        <v>0</v>
      </c>
      <c r="K1480" s="37"/>
      <c r="L1480" s="37"/>
      <c r="M1480" s="37"/>
      <c r="N1480" s="37"/>
      <c r="O1480" s="37"/>
      <c r="P1480" s="37"/>
      <c r="Q1480" s="37"/>
      <c r="R1480" s="37"/>
      <c r="S1480" s="37"/>
      <c r="T1480" s="37"/>
      <c r="U1480" s="37"/>
      <c r="V1480" s="37"/>
      <c r="W1480" s="37"/>
      <c r="X1480" s="37"/>
      <c r="Y1480" s="37"/>
      <c r="Z1480" s="37"/>
      <c r="AA1480" s="37">
        <f t="shared" si="221"/>
        <v>0</v>
      </c>
      <c r="AB1480" s="37">
        <f t="shared" si="216"/>
        <v>0</v>
      </c>
    </row>
    <row r="1481" spans="1:28" ht="14.4">
      <c r="A1481" s="117">
        <v>515</v>
      </c>
      <c r="B1481" s="117" t="s">
        <v>503</v>
      </c>
      <c r="C1481" s="37">
        <f>VLOOKUP(A1481,Composición!C:I,5,FALSE)</f>
        <v>0</v>
      </c>
      <c r="D1481" s="37"/>
      <c r="E1481" s="37"/>
      <c r="F1481" s="37"/>
      <c r="G1481" s="37">
        <f t="shared" si="215"/>
        <v>0</v>
      </c>
      <c r="H1481" s="37"/>
      <c r="I1481" s="37"/>
      <c r="J1481" s="37"/>
      <c r="K1481" s="37"/>
      <c r="L1481" s="37">
        <f>-G1481</f>
        <v>0</v>
      </c>
      <c r="M1481" s="37"/>
      <c r="N1481" s="37"/>
      <c r="O1481" s="37"/>
      <c r="P1481" s="37"/>
      <c r="Q1481" s="37"/>
      <c r="R1481" s="37"/>
      <c r="S1481" s="37"/>
      <c r="T1481" s="37"/>
      <c r="U1481" s="37"/>
      <c r="V1481" s="37"/>
      <c r="W1481" s="37"/>
      <c r="X1481" s="37"/>
      <c r="Y1481" s="37"/>
      <c r="Z1481" s="37"/>
      <c r="AA1481" s="37">
        <f t="shared" si="221"/>
        <v>0</v>
      </c>
      <c r="AB1481" s="37">
        <f t="shared" si="216"/>
        <v>0</v>
      </c>
    </row>
    <row r="1482" spans="1:28" ht="14.4">
      <c r="A1482" s="117">
        <v>51501</v>
      </c>
      <c r="B1482" s="117" t="s">
        <v>504</v>
      </c>
      <c r="C1482" s="37">
        <f>VLOOKUP(A1482,Composición!C:I,5,FALSE)</f>
        <v>0</v>
      </c>
      <c r="D1482" s="37"/>
      <c r="E1482" s="37"/>
      <c r="F1482" s="37"/>
      <c r="G1482" s="37">
        <f t="shared" si="215"/>
        <v>0</v>
      </c>
      <c r="H1482" s="37"/>
      <c r="I1482" s="37"/>
      <c r="J1482" s="37"/>
      <c r="K1482" s="37"/>
      <c r="L1482" s="37">
        <f>-G1482</f>
        <v>0</v>
      </c>
      <c r="M1482" s="37"/>
      <c r="N1482" s="37"/>
      <c r="O1482" s="37"/>
      <c r="P1482" s="37"/>
      <c r="Q1482" s="37"/>
      <c r="R1482" s="37"/>
      <c r="S1482" s="37"/>
      <c r="T1482" s="37"/>
      <c r="U1482" s="37"/>
      <c r="V1482" s="37"/>
      <c r="W1482" s="37"/>
      <c r="X1482" s="37"/>
      <c r="Y1482" s="37"/>
      <c r="Z1482" s="37"/>
      <c r="AA1482" s="37">
        <f t="shared" si="221"/>
        <v>0</v>
      </c>
      <c r="AB1482" s="37">
        <f t="shared" si="216"/>
        <v>0</v>
      </c>
    </row>
    <row r="1483" spans="1:28" ht="14.4">
      <c r="A1483" s="117">
        <v>515011</v>
      </c>
      <c r="B1483" s="117" t="s">
        <v>504</v>
      </c>
      <c r="C1483" s="37">
        <f>VLOOKUP(A1483,Composición!C:I,5,FALSE)</f>
        <v>0</v>
      </c>
      <c r="D1483" s="37"/>
      <c r="E1483" s="37"/>
      <c r="F1483" s="37"/>
      <c r="G1483" s="37">
        <f t="shared" si="215"/>
        <v>0</v>
      </c>
      <c r="H1483" s="37"/>
      <c r="I1483" s="37"/>
      <c r="J1483" s="37"/>
      <c r="K1483" s="37"/>
      <c r="L1483" s="37">
        <f>-G1483</f>
        <v>0</v>
      </c>
      <c r="M1483" s="37"/>
      <c r="N1483" s="37"/>
      <c r="O1483" s="37"/>
      <c r="P1483" s="37"/>
      <c r="Q1483" s="37"/>
      <c r="R1483" s="37"/>
      <c r="S1483" s="37"/>
      <c r="T1483" s="37"/>
      <c r="U1483" s="37"/>
      <c r="V1483" s="37"/>
      <c r="W1483" s="37"/>
      <c r="X1483" s="37"/>
      <c r="Y1483" s="37"/>
      <c r="Z1483" s="37"/>
      <c r="AA1483" s="37">
        <f t="shared" si="221"/>
        <v>0</v>
      </c>
      <c r="AB1483" s="37">
        <f t="shared" si="216"/>
        <v>0</v>
      </c>
    </row>
    <row r="1484" spans="1:28" ht="14.4">
      <c r="A1484" s="117">
        <v>5150111</v>
      </c>
      <c r="B1484" s="117" t="s">
        <v>504</v>
      </c>
      <c r="C1484" s="37">
        <f>VLOOKUP(A1484,Composición!C:I,5,FALSE)</f>
        <v>0</v>
      </c>
      <c r="D1484" s="37"/>
      <c r="E1484" s="37"/>
      <c r="F1484" s="37"/>
      <c r="G1484" s="37">
        <f t="shared" ref="G1484:G1508" si="222">C1484+D1484-E1484-F1484</f>
        <v>0</v>
      </c>
      <c r="H1484" s="37"/>
      <c r="I1484" s="37"/>
      <c r="J1484" s="37"/>
      <c r="K1484" s="37"/>
      <c r="L1484" s="37"/>
      <c r="M1484" s="37"/>
      <c r="N1484" s="37"/>
      <c r="O1484" s="37"/>
      <c r="P1484" s="37"/>
      <c r="Q1484" s="37"/>
      <c r="R1484" s="37"/>
      <c r="S1484" s="37"/>
      <c r="T1484" s="37"/>
      <c r="U1484" s="37"/>
      <c r="V1484" s="37"/>
      <c r="W1484" s="37"/>
      <c r="X1484" s="37"/>
      <c r="Y1484" s="37"/>
      <c r="Z1484" s="37"/>
      <c r="AA1484" s="37">
        <f t="shared" si="221"/>
        <v>0</v>
      </c>
      <c r="AB1484" s="37">
        <f t="shared" si="216"/>
        <v>0</v>
      </c>
    </row>
    <row r="1485" spans="1:28" ht="14.4">
      <c r="A1485" s="117">
        <v>51501111</v>
      </c>
      <c r="B1485" s="117" t="s">
        <v>505</v>
      </c>
      <c r="C1485" s="37">
        <f>VLOOKUP(A1485,Composición!C:I,5,FALSE)</f>
        <v>0</v>
      </c>
      <c r="D1485" s="37"/>
      <c r="E1485" s="37"/>
      <c r="F1485" s="37"/>
      <c r="G1485" s="37">
        <f t="shared" si="222"/>
        <v>0</v>
      </c>
      <c r="H1485" s="37"/>
      <c r="I1485" s="37"/>
      <c r="J1485" s="37"/>
      <c r="K1485" s="37"/>
      <c r="L1485" s="37">
        <f>-G1485</f>
        <v>0</v>
      </c>
      <c r="M1485" s="37"/>
      <c r="N1485" s="37"/>
      <c r="O1485" s="37"/>
      <c r="P1485" s="37"/>
      <c r="Q1485" s="37"/>
      <c r="R1485" s="37"/>
      <c r="S1485" s="37"/>
      <c r="T1485" s="37"/>
      <c r="U1485" s="37"/>
      <c r="V1485" s="37"/>
      <c r="W1485" s="37"/>
      <c r="X1485" s="37"/>
      <c r="Y1485" s="37"/>
      <c r="Z1485" s="37"/>
      <c r="AA1485" s="37">
        <f t="shared" si="221"/>
        <v>0</v>
      </c>
      <c r="AB1485" s="37">
        <f t="shared" si="216"/>
        <v>0</v>
      </c>
    </row>
    <row r="1486" spans="1:28" ht="14.4">
      <c r="A1486" s="117">
        <v>5150111101</v>
      </c>
      <c r="B1486" s="117" t="s">
        <v>506</v>
      </c>
      <c r="C1486" s="37">
        <f>VLOOKUP(A1486,Composición!C:I,5,FALSE)</f>
        <v>1666191338</v>
      </c>
      <c r="D1486" s="37"/>
      <c r="E1486" s="37">
        <f>+C1486</f>
        <v>1666191338</v>
      </c>
      <c r="F1486" s="37"/>
      <c r="G1486" s="37">
        <f>C1486+D1486-E1486-F1486</f>
        <v>0</v>
      </c>
      <c r="H1486" s="37"/>
      <c r="I1486" s="37"/>
      <c r="J1486" s="37"/>
      <c r="K1486" s="37"/>
      <c r="L1486" s="37"/>
      <c r="M1486" s="37">
        <f>-G1486</f>
        <v>0</v>
      </c>
      <c r="N1486" s="37"/>
      <c r="O1486" s="37"/>
      <c r="P1486" s="37"/>
      <c r="Q1486" s="37"/>
      <c r="R1486" s="37"/>
      <c r="S1486" s="37"/>
      <c r="T1486" s="37"/>
      <c r="U1486" s="37"/>
      <c r="V1486" s="37"/>
      <c r="W1486" s="37"/>
      <c r="X1486" s="37"/>
      <c r="Y1486" s="37"/>
      <c r="Z1486" s="37"/>
      <c r="AA1486" s="37">
        <f t="shared" si="221"/>
        <v>0</v>
      </c>
      <c r="AB1486" s="37">
        <f t="shared" si="216"/>
        <v>0</v>
      </c>
    </row>
    <row r="1487" spans="1:28" ht="14.4">
      <c r="A1487" s="117">
        <v>5150111102</v>
      </c>
      <c r="B1487" s="117" t="s">
        <v>507</v>
      </c>
      <c r="C1487" s="37">
        <f>VLOOKUP(A1487,Composición!C:I,5,FALSE)</f>
        <v>35751827</v>
      </c>
      <c r="D1487" s="37"/>
      <c r="E1487" s="37"/>
      <c r="F1487" s="37"/>
      <c r="G1487" s="37">
        <f t="shared" si="222"/>
        <v>35751827</v>
      </c>
      <c r="H1487" s="37"/>
      <c r="I1487" s="37"/>
      <c r="J1487" s="37"/>
      <c r="K1487" s="37"/>
      <c r="L1487" s="37">
        <f>-G1487</f>
        <v>-35751827</v>
      </c>
      <c r="M1487" s="37"/>
      <c r="N1487" s="37"/>
      <c r="O1487" s="37"/>
      <c r="P1487" s="37"/>
      <c r="Q1487" s="37"/>
      <c r="R1487" s="37"/>
      <c r="S1487" s="37"/>
      <c r="T1487" s="37"/>
      <c r="U1487" s="37"/>
      <c r="V1487" s="37"/>
      <c r="W1487" s="37"/>
      <c r="X1487" s="37"/>
      <c r="Y1487" s="37"/>
      <c r="Z1487" s="37"/>
      <c r="AA1487" s="37">
        <f t="shared" si="221"/>
        <v>0</v>
      </c>
      <c r="AB1487" s="37">
        <f t="shared" si="216"/>
        <v>0</v>
      </c>
    </row>
    <row r="1488" spans="1:28" ht="14.4">
      <c r="A1488" s="117">
        <v>5150111103</v>
      </c>
      <c r="B1488" s="117" t="s">
        <v>508</v>
      </c>
      <c r="C1488" s="37">
        <f>VLOOKUP(A1488,Composición!C:I,5,FALSE)</f>
        <v>352222938</v>
      </c>
      <c r="D1488" s="37"/>
      <c r="E1488" s="37"/>
      <c r="F1488" s="37"/>
      <c r="G1488" s="37">
        <f t="shared" si="222"/>
        <v>352222938</v>
      </c>
      <c r="H1488" s="37"/>
      <c r="I1488" s="37"/>
      <c r="J1488" s="37"/>
      <c r="K1488" s="37"/>
      <c r="L1488" s="37">
        <f>-G1488</f>
        <v>-352222938</v>
      </c>
      <c r="M1488" s="37"/>
      <c r="N1488" s="37"/>
      <c r="O1488" s="37"/>
      <c r="P1488" s="37"/>
      <c r="Q1488" s="37"/>
      <c r="R1488" s="37"/>
      <c r="S1488" s="37"/>
      <c r="T1488" s="37"/>
      <c r="U1488" s="37"/>
      <c r="V1488" s="37"/>
      <c r="W1488" s="37"/>
      <c r="X1488" s="37"/>
      <c r="Y1488" s="37"/>
      <c r="Z1488" s="37"/>
      <c r="AA1488" s="37">
        <f t="shared" si="221"/>
        <v>0</v>
      </c>
      <c r="AB1488" s="37">
        <f t="shared" ref="AB1488:AB1504" si="223">SUM(G1488:Z1488)</f>
        <v>0</v>
      </c>
    </row>
    <row r="1489" spans="1:28" ht="14.4">
      <c r="A1489" s="117">
        <v>51501112</v>
      </c>
      <c r="B1489" s="117" t="s">
        <v>509</v>
      </c>
      <c r="C1489" s="37">
        <f>VLOOKUP(A1489,Composición!C:I,5,FALSE)</f>
        <v>0</v>
      </c>
      <c r="D1489" s="37"/>
      <c r="E1489" s="37"/>
      <c r="F1489" s="37"/>
      <c r="G1489" s="37">
        <f t="shared" si="222"/>
        <v>0</v>
      </c>
      <c r="H1489" s="37"/>
      <c r="I1489" s="37"/>
      <c r="J1489" s="37"/>
      <c r="K1489" s="37"/>
      <c r="L1489" s="37"/>
      <c r="M1489" s="37"/>
      <c r="N1489" s="37"/>
      <c r="O1489" s="37"/>
      <c r="P1489" s="37"/>
      <c r="Q1489" s="37"/>
      <c r="R1489" s="37"/>
      <c r="S1489" s="37"/>
      <c r="T1489" s="37"/>
      <c r="U1489" s="37"/>
      <c r="V1489" s="37"/>
      <c r="W1489" s="37"/>
      <c r="X1489" s="37"/>
      <c r="Y1489" s="37"/>
      <c r="Z1489" s="37"/>
      <c r="AA1489" s="37">
        <f t="shared" si="221"/>
        <v>0</v>
      </c>
      <c r="AB1489" s="37">
        <f t="shared" si="223"/>
        <v>0</v>
      </c>
    </row>
    <row r="1490" spans="1:28" ht="14.4">
      <c r="A1490" s="117">
        <v>5150111201</v>
      </c>
      <c r="B1490" s="117" t="s">
        <v>510</v>
      </c>
      <c r="C1490" s="37">
        <f>VLOOKUP(A1490,Composición!C:I,5,FALSE)</f>
        <v>58704317</v>
      </c>
      <c r="D1490" s="37"/>
      <c r="E1490" s="37"/>
      <c r="F1490" s="37"/>
      <c r="G1490" s="37">
        <f t="shared" si="222"/>
        <v>58704317</v>
      </c>
      <c r="H1490" s="37"/>
      <c r="I1490" s="37"/>
      <c r="J1490" s="37"/>
      <c r="K1490" s="37"/>
      <c r="L1490" s="37">
        <f>-G1490</f>
        <v>-58704317</v>
      </c>
      <c r="M1490" s="37"/>
      <c r="N1490" s="37"/>
      <c r="O1490" s="37"/>
      <c r="P1490" s="37"/>
      <c r="Q1490" s="37"/>
      <c r="R1490" s="37"/>
      <c r="S1490" s="37"/>
      <c r="T1490" s="37"/>
      <c r="U1490" s="37"/>
      <c r="V1490" s="37"/>
      <c r="W1490" s="37"/>
      <c r="X1490" s="37"/>
      <c r="Y1490" s="37"/>
      <c r="Z1490" s="37"/>
      <c r="AA1490" s="37">
        <f t="shared" si="221"/>
        <v>0</v>
      </c>
      <c r="AB1490" s="37">
        <f t="shared" si="223"/>
        <v>0</v>
      </c>
    </row>
    <row r="1491" spans="1:28" ht="14.4">
      <c r="A1491" s="117">
        <v>5150111202</v>
      </c>
      <c r="B1491" s="117" t="s">
        <v>1106</v>
      </c>
      <c r="C1491" s="37">
        <f>VLOOKUP(A1491,Composición!C:I,5,FALSE)</f>
        <v>22646</v>
      </c>
      <c r="D1491" s="37"/>
      <c r="E1491" s="37"/>
      <c r="F1491" s="37"/>
      <c r="G1491" s="37">
        <f t="shared" si="222"/>
        <v>22646</v>
      </c>
      <c r="H1491" s="37"/>
      <c r="I1491" s="37"/>
      <c r="J1491" s="37"/>
      <c r="K1491" s="37"/>
      <c r="L1491" s="37">
        <f>-G1491</f>
        <v>-22646</v>
      </c>
      <c r="M1491" s="37"/>
      <c r="N1491" s="37"/>
      <c r="O1491" s="37"/>
      <c r="P1491" s="37"/>
      <c r="Q1491" s="37"/>
      <c r="R1491" s="37"/>
      <c r="S1491" s="37"/>
      <c r="T1491" s="37"/>
      <c r="U1491" s="37"/>
      <c r="V1491" s="37"/>
      <c r="W1491" s="37"/>
      <c r="X1491" s="37"/>
      <c r="Y1491" s="37"/>
      <c r="Z1491" s="37"/>
      <c r="AA1491" s="37">
        <f t="shared" si="221"/>
        <v>0</v>
      </c>
      <c r="AB1491" s="37">
        <f t="shared" si="223"/>
        <v>0</v>
      </c>
    </row>
    <row r="1492" spans="1:28" ht="14.4">
      <c r="A1492" s="117">
        <v>5150111203</v>
      </c>
      <c r="B1492" s="117" t="s">
        <v>511</v>
      </c>
      <c r="C1492" s="37">
        <f>VLOOKUP(A1492,Composición!C:I,5,FALSE)</f>
        <v>39576503</v>
      </c>
      <c r="D1492" s="37"/>
      <c r="E1492" s="37"/>
      <c r="F1492" s="37"/>
      <c r="G1492" s="37">
        <f t="shared" si="222"/>
        <v>39576503</v>
      </c>
      <c r="H1492" s="37"/>
      <c r="I1492" s="37"/>
      <c r="J1492" s="37"/>
      <c r="K1492" s="37"/>
      <c r="L1492" s="37">
        <f>-G1492</f>
        <v>-39576503</v>
      </c>
      <c r="M1492" s="37"/>
      <c r="N1492" s="37"/>
      <c r="O1492" s="37"/>
      <c r="P1492" s="37"/>
      <c r="Q1492" s="37"/>
      <c r="R1492" s="37"/>
      <c r="S1492" s="37"/>
      <c r="T1492" s="37"/>
      <c r="U1492" s="37"/>
      <c r="V1492" s="37"/>
      <c r="W1492" s="37"/>
      <c r="X1492" s="37"/>
      <c r="Y1492" s="37"/>
      <c r="Z1492" s="37"/>
      <c r="AA1492" s="37">
        <f t="shared" si="221"/>
        <v>0</v>
      </c>
      <c r="AB1492" s="37">
        <f t="shared" si="223"/>
        <v>0</v>
      </c>
    </row>
    <row r="1493" spans="1:28" ht="14.4">
      <c r="A1493" s="117">
        <v>5150111204</v>
      </c>
      <c r="B1493" s="117" t="s">
        <v>512</v>
      </c>
      <c r="C1493" s="37">
        <f>VLOOKUP(A1493,Composición!C:I,5,FALSE)</f>
        <v>8466646</v>
      </c>
      <c r="D1493" s="37"/>
      <c r="E1493" s="37"/>
      <c r="F1493" s="37"/>
      <c r="G1493" s="37">
        <f t="shared" si="222"/>
        <v>8466646</v>
      </c>
      <c r="H1493" s="37"/>
      <c r="I1493" s="37"/>
      <c r="J1493" s="37"/>
      <c r="K1493" s="37"/>
      <c r="L1493" s="37">
        <f>-G1493</f>
        <v>-8466646</v>
      </c>
      <c r="M1493" s="37"/>
      <c r="N1493" s="37"/>
      <c r="O1493" s="37"/>
      <c r="P1493" s="37"/>
      <c r="Q1493" s="37"/>
      <c r="R1493" s="37"/>
      <c r="S1493" s="37"/>
      <c r="T1493" s="37"/>
      <c r="U1493" s="37"/>
      <c r="V1493" s="37"/>
      <c r="W1493" s="37"/>
      <c r="X1493" s="37"/>
      <c r="Y1493" s="37"/>
      <c r="Z1493" s="37"/>
      <c r="AA1493" s="37">
        <f t="shared" si="221"/>
        <v>0</v>
      </c>
      <c r="AB1493" s="37">
        <f t="shared" si="223"/>
        <v>0</v>
      </c>
    </row>
    <row r="1494" spans="1:28" ht="14.4">
      <c r="A1494" s="117">
        <v>51501113</v>
      </c>
      <c r="B1494" s="117" t="s">
        <v>513</v>
      </c>
      <c r="C1494" s="37">
        <f>VLOOKUP(A1494,Composición!C:I,5,FALSE)</f>
        <v>0</v>
      </c>
      <c r="D1494" s="37"/>
      <c r="E1494" s="37"/>
      <c r="F1494" s="37"/>
      <c r="G1494" s="37">
        <f t="shared" si="222"/>
        <v>0</v>
      </c>
      <c r="H1494" s="37"/>
      <c r="I1494" s="37"/>
      <c r="J1494" s="37"/>
      <c r="K1494" s="37"/>
      <c r="L1494" s="37"/>
      <c r="M1494" s="37"/>
      <c r="N1494" s="37"/>
      <c r="O1494" s="37"/>
      <c r="P1494" s="37"/>
      <c r="Q1494" s="37"/>
      <c r="R1494" s="37"/>
      <c r="S1494" s="37"/>
      <c r="T1494" s="37"/>
      <c r="U1494" s="37"/>
      <c r="V1494" s="37"/>
      <c r="W1494" s="37"/>
      <c r="X1494" s="37"/>
      <c r="Y1494" s="37"/>
      <c r="Z1494" s="37"/>
      <c r="AA1494" s="37">
        <f t="shared" si="221"/>
        <v>0</v>
      </c>
      <c r="AB1494" s="37">
        <f t="shared" si="223"/>
        <v>0</v>
      </c>
    </row>
    <row r="1495" spans="1:28" ht="14.4">
      <c r="A1495" s="117">
        <v>5150411101</v>
      </c>
      <c r="B1495" s="117" t="s">
        <v>1110</v>
      </c>
      <c r="C1495" s="37">
        <f>VLOOKUP(A1495,Composición!C:I,5,FALSE)</f>
        <v>0</v>
      </c>
      <c r="D1495" s="37"/>
      <c r="E1495" s="37"/>
      <c r="F1495" s="37"/>
      <c r="G1495" s="37">
        <f t="shared" si="222"/>
        <v>0</v>
      </c>
      <c r="H1495" s="37"/>
      <c r="I1495" s="37"/>
      <c r="J1495" s="37"/>
      <c r="K1495" s="37"/>
      <c r="L1495" s="37"/>
      <c r="M1495" s="37"/>
      <c r="N1495" s="37"/>
      <c r="O1495" s="37"/>
      <c r="P1495" s="37"/>
      <c r="Q1495" s="37"/>
      <c r="R1495" s="37"/>
      <c r="S1495" s="37"/>
      <c r="T1495" s="37"/>
      <c r="U1495" s="37"/>
      <c r="V1495" s="37"/>
      <c r="W1495" s="37"/>
      <c r="X1495" s="37"/>
      <c r="Y1495" s="37"/>
      <c r="Z1495" s="37"/>
      <c r="AA1495" s="37">
        <f t="shared" si="221"/>
        <v>0</v>
      </c>
      <c r="AB1495" s="37">
        <f t="shared" si="223"/>
        <v>0</v>
      </c>
    </row>
    <row r="1496" spans="1:28" ht="14.4">
      <c r="A1496" s="117">
        <v>5150411102</v>
      </c>
      <c r="B1496" s="117" t="s">
        <v>514</v>
      </c>
      <c r="C1496" s="37">
        <f>VLOOKUP(A1496,Composición!C:I,5,FALSE)</f>
        <v>0</v>
      </c>
      <c r="D1496" s="37"/>
      <c r="E1496" s="37"/>
      <c r="F1496" s="37"/>
      <c r="G1496" s="37">
        <f t="shared" si="222"/>
        <v>0</v>
      </c>
      <c r="H1496" s="37"/>
      <c r="I1496" s="37"/>
      <c r="J1496" s="37"/>
      <c r="K1496" s="37"/>
      <c r="L1496" s="37">
        <f>-G1496</f>
        <v>0</v>
      </c>
      <c r="M1496" s="37"/>
      <c r="N1496" s="37"/>
      <c r="O1496" s="37"/>
      <c r="P1496" s="37"/>
      <c r="Q1496" s="37"/>
      <c r="R1496" s="37"/>
      <c r="S1496" s="37"/>
      <c r="T1496" s="37"/>
      <c r="U1496" s="37"/>
      <c r="V1496" s="37"/>
      <c r="W1496" s="37"/>
      <c r="X1496" s="37"/>
      <c r="Y1496" s="37"/>
      <c r="Z1496" s="37"/>
      <c r="AA1496" s="37">
        <f t="shared" si="221"/>
        <v>0</v>
      </c>
      <c r="AB1496" s="37">
        <f t="shared" si="223"/>
        <v>0</v>
      </c>
    </row>
    <row r="1497" spans="1:28" ht="14.4">
      <c r="A1497" s="117">
        <v>5150411103</v>
      </c>
      <c r="B1497" s="117" t="s">
        <v>515</v>
      </c>
      <c r="C1497" s="37">
        <f>VLOOKUP(A1497,Composición!C:I,5,FALSE)</f>
        <v>365545</v>
      </c>
      <c r="D1497" s="37"/>
      <c r="E1497" s="37"/>
      <c r="F1497" s="37"/>
      <c r="G1497" s="37">
        <f t="shared" si="222"/>
        <v>365545</v>
      </c>
      <c r="H1497" s="37"/>
      <c r="I1497" s="37"/>
      <c r="J1497" s="37"/>
      <c r="K1497" s="37"/>
      <c r="L1497" s="37">
        <f>-G1497</f>
        <v>-365545</v>
      </c>
      <c r="M1497" s="37"/>
      <c r="N1497" s="37"/>
      <c r="O1497" s="37"/>
      <c r="P1497" s="37"/>
      <c r="Q1497" s="37"/>
      <c r="R1497" s="37"/>
      <c r="S1497" s="37"/>
      <c r="T1497" s="37"/>
      <c r="U1497" s="37"/>
      <c r="V1497" s="37"/>
      <c r="W1497" s="37"/>
      <c r="X1497" s="37"/>
      <c r="Y1497" s="37"/>
      <c r="Z1497" s="37"/>
      <c r="AA1497" s="37">
        <f t="shared" si="221"/>
        <v>0</v>
      </c>
      <c r="AB1497" s="37">
        <f t="shared" si="223"/>
        <v>0</v>
      </c>
    </row>
    <row r="1498" spans="1:28" ht="14.4">
      <c r="A1498" s="117">
        <v>52</v>
      </c>
      <c r="B1498" s="117" t="s">
        <v>516</v>
      </c>
      <c r="C1498" s="37">
        <f>VLOOKUP(A1498,Composición!C:I,5,FALSE)</f>
        <v>0</v>
      </c>
      <c r="D1498" s="37"/>
      <c r="E1498" s="37"/>
      <c r="F1498" s="37"/>
      <c r="G1498" s="37">
        <f t="shared" si="222"/>
        <v>0</v>
      </c>
      <c r="H1498" s="37"/>
      <c r="I1498" s="37"/>
      <c r="J1498" s="37"/>
      <c r="K1498" s="37">
        <v>0</v>
      </c>
      <c r="L1498" s="37">
        <v>0</v>
      </c>
      <c r="M1498" s="37"/>
      <c r="N1498" s="37"/>
      <c r="O1498" s="37"/>
      <c r="P1498" s="37"/>
      <c r="Q1498" s="37"/>
      <c r="R1498" s="37"/>
      <c r="S1498" s="37"/>
      <c r="T1498" s="37"/>
      <c r="U1498" s="37"/>
      <c r="V1498" s="37"/>
      <c r="W1498" s="37"/>
      <c r="X1498" s="37"/>
      <c r="Y1498" s="37"/>
      <c r="Z1498" s="37"/>
      <c r="AA1498" s="37">
        <f t="shared" si="221"/>
        <v>0</v>
      </c>
      <c r="AB1498" s="37">
        <f t="shared" si="223"/>
        <v>0</v>
      </c>
    </row>
    <row r="1499" spans="1:28" ht="14.4">
      <c r="A1499" s="117">
        <v>521</v>
      </c>
      <c r="B1499" s="117" t="s">
        <v>516</v>
      </c>
      <c r="C1499" s="37">
        <f>VLOOKUP(A1499,Composición!C:I,5,FALSE)</f>
        <v>0</v>
      </c>
      <c r="D1499" s="37"/>
      <c r="E1499" s="37"/>
      <c r="F1499" s="37"/>
      <c r="G1499" s="37">
        <f t="shared" si="222"/>
        <v>0</v>
      </c>
      <c r="H1499" s="37"/>
      <c r="I1499" s="37"/>
      <c r="J1499" s="37"/>
      <c r="K1499" s="37"/>
      <c r="L1499" s="37">
        <f t="shared" ref="L1499:L1508" si="224">-G1499</f>
        <v>0</v>
      </c>
      <c r="M1499" s="37"/>
      <c r="N1499" s="37"/>
      <c r="O1499" s="37"/>
      <c r="P1499" s="37"/>
      <c r="Q1499" s="37"/>
      <c r="R1499" s="37"/>
      <c r="S1499" s="37"/>
      <c r="T1499" s="37"/>
      <c r="U1499" s="37"/>
      <c r="V1499" s="37"/>
      <c r="W1499" s="37"/>
      <c r="X1499" s="37"/>
      <c r="Y1499" s="37"/>
      <c r="Z1499" s="37"/>
      <c r="AA1499" s="37">
        <f t="shared" si="221"/>
        <v>0</v>
      </c>
      <c r="AB1499" s="37">
        <f t="shared" si="223"/>
        <v>0</v>
      </c>
    </row>
    <row r="1500" spans="1:28" ht="14.4">
      <c r="A1500" s="117">
        <v>52101</v>
      </c>
      <c r="B1500" s="117" t="s">
        <v>516</v>
      </c>
      <c r="C1500" s="37">
        <f>VLOOKUP(A1500,Composición!C:I,5,FALSE)</f>
        <v>0</v>
      </c>
      <c r="D1500" s="37"/>
      <c r="E1500" s="37"/>
      <c r="F1500" s="37"/>
      <c r="G1500" s="37">
        <f t="shared" si="222"/>
        <v>0</v>
      </c>
      <c r="H1500" s="37"/>
      <c r="I1500" s="37"/>
      <c r="J1500" s="37"/>
      <c r="K1500" s="37"/>
      <c r="L1500" s="37">
        <f t="shared" si="224"/>
        <v>0</v>
      </c>
      <c r="M1500" s="37"/>
      <c r="N1500" s="37"/>
      <c r="O1500" s="37"/>
      <c r="P1500" s="37"/>
      <c r="Q1500" s="37"/>
      <c r="R1500" s="37"/>
      <c r="S1500" s="37"/>
      <c r="T1500" s="37"/>
      <c r="U1500" s="37"/>
      <c r="V1500" s="37"/>
      <c r="W1500" s="37"/>
      <c r="X1500" s="37"/>
      <c r="Y1500" s="37"/>
      <c r="Z1500" s="37"/>
      <c r="AA1500" s="37">
        <f t="shared" si="221"/>
        <v>0</v>
      </c>
      <c r="AB1500" s="37">
        <f t="shared" si="223"/>
        <v>0</v>
      </c>
    </row>
    <row r="1501" spans="1:28" ht="14.4">
      <c r="A1501" s="117">
        <v>521011</v>
      </c>
      <c r="B1501" s="117" t="s">
        <v>516</v>
      </c>
      <c r="C1501" s="37">
        <f>VLOOKUP(A1501,Composición!C:I,5,FALSE)</f>
        <v>0</v>
      </c>
      <c r="D1501" s="37"/>
      <c r="E1501" s="37"/>
      <c r="F1501" s="37"/>
      <c r="G1501" s="37">
        <f t="shared" si="222"/>
        <v>0</v>
      </c>
      <c r="H1501" s="37"/>
      <c r="I1501" s="37"/>
      <c r="J1501" s="37"/>
      <c r="K1501" s="37"/>
      <c r="L1501" s="37">
        <f t="shared" si="224"/>
        <v>0</v>
      </c>
      <c r="M1501" s="37"/>
      <c r="N1501" s="37"/>
      <c r="O1501" s="37"/>
      <c r="P1501" s="37"/>
      <c r="Q1501" s="37"/>
      <c r="R1501" s="37"/>
      <c r="S1501" s="37"/>
      <c r="T1501" s="37"/>
      <c r="U1501" s="37"/>
      <c r="V1501" s="37"/>
      <c r="W1501" s="37"/>
      <c r="X1501" s="37"/>
      <c r="Y1501" s="37"/>
      <c r="Z1501" s="37"/>
      <c r="AA1501" s="37">
        <f t="shared" si="221"/>
        <v>0</v>
      </c>
      <c r="AB1501" s="37">
        <f t="shared" si="223"/>
        <v>0</v>
      </c>
    </row>
    <row r="1502" spans="1:28" ht="14.4">
      <c r="A1502" s="117">
        <v>5210111</v>
      </c>
      <c r="B1502" s="117" t="s">
        <v>516</v>
      </c>
      <c r="C1502" s="37">
        <f>VLOOKUP(A1502,Composición!C:I,5,FALSE)</f>
        <v>0</v>
      </c>
      <c r="D1502" s="37"/>
      <c r="E1502" s="37"/>
      <c r="F1502" s="37"/>
      <c r="G1502" s="37">
        <f t="shared" si="222"/>
        <v>0</v>
      </c>
      <c r="H1502" s="37"/>
      <c r="I1502" s="37"/>
      <c r="J1502" s="37"/>
      <c r="K1502" s="37"/>
      <c r="L1502" s="37">
        <f t="shared" si="224"/>
        <v>0</v>
      </c>
      <c r="M1502" s="37"/>
      <c r="N1502" s="37"/>
      <c r="O1502" s="37"/>
      <c r="P1502" s="37"/>
      <c r="Q1502" s="37"/>
      <c r="R1502" s="37"/>
      <c r="S1502" s="37"/>
      <c r="T1502" s="37"/>
      <c r="U1502" s="37"/>
      <c r="V1502" s="37"/>
      <c r="W1502" s="37"/>
      <c r="X1502" s="37"/>
      <c r="Y1502" s="37"/>
      <c r="Z1502" s="37"/>
      <c r="AA1502" s="37">
        <f t="shared" si="221"/>
        <v>0</v>
      </c>
      <c r="AB1502" s="37">
        <f t="shared" si="223"/>
        <v>0</v>
      </c>
    </row>
    <row r="1503" spans="1:28" ht="14.4">
      <c r="A1503" s="117">
        <v>52101111</v>
      </c>
      <c r="B1503" s="117" t="s">
        <v>516</v>
      </c>
      <c r="C1503" s="37">
        <f>VLOOKUP(A1503,Composición!C:I,5,FALSE)</f>
        <v>0</v>
      </c>
      <c r="D1503" s="37"/>
      <c r="E1503" s="37"/>
      <c r="F1503" s="37"/>
      <c r="G1503" s="37">
        <f t="shared" si="222"/>
        <v>0</v>
      </c>
      <c r="H1503" s="37"/>
      <c r="I1503" s="37"/>
      <c r="J1503" s="37"/>
      <c r="K1503" s="37"/>
      <c r="L1503" s="37">
        <f t="shared" si="224"/>
        <v>0</v>
      </c>
      <c r="M1503" s="37"/>
      <c r="N1503" s="37"/>
      <c r="O1503" s="37"/>
      <c r="P1503" s="37"/>
      <c r="Q1503" s="37"/>
      <c r="R1503" s="37"/>
      <c r="S1503" s="37"/>
      <c r="T1503" s="37"/>
      <c r="U1503" s="37"/>
      <c r="V1503" s="37"/>
      <c r="W1503" s="37"/>
      <c r="X1503" s="37"/>
      <c r="Y1503" s="37"/>
      <c r="Z1503" s="37"/>
      <c r="AA1503" s="37">
        <f t="shared" si="221"/>
        <v>0</v>
      </c>
      <c r="AB1503" s="37">
        <f t="shared" si="223"/>
        <v>0</v>
      </c>
    </row>
    <row r="1504" spans="1:28" ht="14.4">
      <c r="A1504" s="117">
        <v>5210111101</v>
      </c>
      <c r="B1504" s="117" t="s">
        <v>517</v>
      </c>
      <c r="C1504" s="37">
        <f>VLOOKUP(A1504,Composición!C:I,5,FALSE)</f>
        <v>804356</v>
      </c>
      <c r="D1504" s="37"/>
      <c r="E1504" s="37"/>
      <c r="F1504" s="37"/>
      <c r="G1504" s="37">
        <f t="shared" si="222"/>
        <v>804356</v>
      </c>
      <c r="H1504" s="37"/>
      <c r="I1504" s="37"/>
      <c r="J1504" s="37"/>
      <c r="K1504" s="37"/>
      <c r="L1504" s="37">
        <f t="shared" si="224"/>
        <v>-804356</v>
      </c>
      <c r="M1504" s="37"/>
      <c r="N1504" s="37"/>
      <c r="O1504" s="37"/>
      <c r="P1504" s="37"/>
      <c r="Q1504" s="37"/>
      <c r="R1504" s="37"/>
      <c r="S1504" s="37"/>
      <c r="T1504" s="37"/>
      <c r="U1504" s="37"/>
      <c r="V1504" s="37"/>
      <c r="W1504" s="37"/>
      <c r="X1504" s="37"/>
      <c r="Y1504" s="37"/>
      <c r="Z1504" s="37"/>
      <c r="AA1504" s="37">
        <f t="shared" si="221"/>
        <v>0</v>
      </c>
      <c r="AB1504" s="37">
        <f t="shared" si="223"/>
        <v>0</v>
      </c>
    </row>
    <row r="1505" spans="1:28" ht="14.4">
      <c r="A1505" s="117">
        <v>5210111102</v>
      </c>
      <c r="B1505" s="1218" t="s">
        <v>1112</v>
      </c>
      <c r="C1505" s="37">
        <f>VLOOKUP(A1505,Composición!C:I,5,FALSE)</f>
        <v>20341178</v>
      </c>
      <c r="D1505" s="37"/>
      <c r="E1505" s="37"/>
      <c r="F1505" s="37"/>
      <c r="G1505" s="37">
        <f t="shared" si="222"/>
        <v>20341178</v>
      </c>
      <c r="H1505" s="37"/>
      <c r="I1505" s="37"/>
      <c r="J1505" s="37"/>
      <c r="K1505" s="37"/>
      <c r="L1505" s="37">
        <f t="shared" si="224"/>
        <v>-20341178</v>
      </c>
      <c r="M1505" s="37"/>
      <c r="N1505" s="37"/>
      <c r="O1505" s="37"/>
      <c r="P1505" s="37"/>
      <c r="Q1505" s="37"/>
      <c r="R1505" s="37"/>
      <c r="S1505" s="37"/>
      <c r="T1505" s="37"/>
      <c r="U1505" s="37"/>
      <c r="V1505" s="37"/>
      <c r="W1505" s="37"/>
      <c r="X1505" s="37"/>
      <c r="Y1505" s="37"/>
      <c r="Z1505" s="37"/>
      <c r="AA1505" s="37">
        <f t="shared" si="221"/>
        <v>0</v>
      </c>
      <c r="AB1505" s="37"/>
    </row>
    <row r="1506" spans="1:28" ht="14.4">
      <c r="A1506" s="117">
        <v>5210111103</v>
      </c>
      <c r="B1506" s="1218" t="s">
        <v>2716</v>
      </c>
      <c r="C1506" s="37">
        <f>VLOOKUP(A1506,Composición!C:I,5,FALSE)</f>
        <v>9253594</v>
      </c>
      <c r="D1506" s="37"/>
      <c r="E1506" s="37"/>
      <c r="F1506" s="37"/>
      <c r="G1506" s="37">
        <f t="shared" si="222"/>
        <v>9253594</v>
      </c>
      <c r="H1506" s="37"/>
      <c r="I1506" s="37"/>
      <c r="J1506" s="37"/>
      <c r="K1506" s="37"/>
      <c r="L1506" s="37">
        <f t="shared" si="224"/>
        <v>-9253594</v>
      </c>
      <c r="M1506" s="37"/>
      <c r="N1506" s="37"/>
      <c r="O1506" s="37"/>
      <c r="P1506" s="37"/>
      <c r="Q1506" s="37"/>
      <c r="R1506" s="37"/>
      <c r="S1506" s="37"/>
      <c r="T1506" s="37"/>
      <c r="U1506" s="37"/>
      <c r="V1506" s="37"/>
      <c r="W1506" s="37"/>
      <c r="X1506" s="37"/>
      <c r="Y1506" s="37"/>
      <c r="Z1506" s="37"/>
      <c r="AA1506" s="37">
        <f t="shared" si="221"/>
        <v>0</v>
      </c>
      <c r="AB1506" s="37"/>
    </row>
    <row r="1507" spans="1:28" ht="14.4">
      <c r="A1507" s="117">
        <v>5210111104</v>
      </c>
      <c r="B1507" s="117" t="s">
        <v>2717</v>
      </c>
      <c r="C1507" s="37">
        <f>VLOOKUP(A1507,Composición!C:I,5,FALSE)</f>
        <v>1541807</v>
      </c>
      <c r="D1507" s="37"/>
      <c r="E1507" s="37"/>
      <c r="F1507" s="37"/>
      <c r="G1507" s="37">
        <f t="shared" ref="G1507" si="225">C1507+D1507-E1507-F1507</f>
        <v>1541807</v>
      </c>
      <c r="H1507" s="37"/>
      <c r="I1507" s="37"/>
      <c r="J1507" s="37"/>
      <c r="K1507" s="37"/>
      <c r="L1507" s="37">
        <f t="shared" ref="L1507" si="226">-G1507</f>
        <v>-1541807</v>
      </c>
      <c r="M1507" s="37"/>
      <c r="N1507" s="37"/>
      <c r="O1507" s="37"/>
      <c r="P1507" s="37"/>
      <c r="Q1507" s="37"/>
      <c r="R1507" s="37"/>
      <c r="S1507" s="37"/>
      <c r="T1507" s="37"/>
      <c r="U1507" s="37"/>
      <c r="V1507" s="37"/>
      <c r="W1507" s="37"/>
      <c r="X1507" s="37"/>
      <c r="Y1507" s="37"/>
      <c r="Z1507" s="37"/>
      <c r="AA1507" s="37">
        <f t="shared" ref="AA1507" si="227">SUM(G1507:Z1507)</f>
        <v>0</v>
      </c>
      <c r="AB1507" s="37">
        <f>SUM(G1507:Z1507)</f>
        <v>0</v>
      </c>
    </row>
    <row r="1508" spans="1:28" ht="14.4">
      <c r="A1508" s="1351">
        <v>5210111106</v>
      </c>
      <c r="B1508" s="1351" t="s">
        <v>2970</v>
      </c>
      <c r="C1508" s="37">
        <f>VLOOKUP(A1508,Composición!C:I,5,FALSE)</f>
        <v>393830</v>
      </c>
      <c r="D1508" s="37"/>
      <c r="E1508" s="37"/>
      <c r="F1508" s="37"/>
      <c r="G1508" s="37">
        <f t="shared" si="222"/>
        <v>393830</v>
      </c>
      <c r="H1508" s="37"/>
      <c r="I1508" s="37"/>
      <c r="J1508" s="37"/>
      <c r="K1508" s="37"/>
      <c r="L1508" s="37">
        <f t="shared" si="224"/>
        <v>-393830</v>
      </c>
      <c r="M1508" s="37"/>
      <c r="N1508" s="37"/>
      <c r="O1508" s="37"/>
      <c r="P1508" s="37"/>
      <c r="Q1508" s="37"/>
      <c r="R1508" s="37"/>
      <c r="S1508" s="37"/>
      <c r="T1508" s="37"/>
      <c r="U1508" s="37"/>
      <c r="V1508" s="37"/>
      <c r="W1508" s="37"/>
      <c r="X1508" s="37"/>
      <c r="Y1508" s="37"/>
      <c r="Z1508" s="37"/>
      <c r="AA1508" s="37">
        <f t="shared" si="221"/>
        <v>0</v>
      </c>
      <c r="AB1508" s="37">
        <f>SUM(G1508:Z1508)</f>
        <v>0</v>
      </c>
    </row>
    <row r="1509" spans="1:28" ht="6.75" customHeight="1">
      <c r="A1509" s="12"/>
      <c r="B1509" s="137"/>
      <c r="C1509" s="139"/>
      <c r="D1509" s="139"/>
      <c r="E1509" s="139"/>
      <c r="F1509" s="139"/>
      <c r="G1509" s="139"/>
      <c r="H1509" s="139"/>
      <c r="I1509" s="139"/>
      <c r="J1509" s="139"/>
      <c r="K1509" s="139"/>
      <c r="L1509" s="139"/>
      <c r="M1509" s="139"/>
      <c r="N1509" s="139"/>
      <c r="O1509" s="139"/>
      <c r="P1509" s="139"/>
      <c r="Q1509" s="139"/>
      <c r="R1509" s="139"/>
      <c r="S1509" s="139"/>
      <c r="T1509" s="139"/>
      <c r="U1509" s="139"/>
      <c r="V1509" s="139"/>
      <c r="W1509" s="139"/>
      <c r="X1509" s="139"/>
      <c r="Y1509" s="139"/>
      <c r="Z1509" s="139"/>
      <c r="AA1509" s="139"/>
      <c r="AB1509" s="869"/>
    </row>
    <row r="1510" spans="1:28" ht="14.4">
      <c r="A1510" s="763"/>
      <c r="B1510" s="762" t="s">
        <v>1330</v>
      </c>
      <c r="C1510" s="405">
        <f>-SUM(C921:C1509)</f>
        <v>17464898424</v>
      </c>
      <c r="D1510" s="405">
        <f>-C1510</f>
        <v>-17464898424</v>
      </c>
      <c r="E1510" s="405"/>
      <c r="F1510" s="405"/>
      <c r="G1510" s="405">
        <f>C1510+D1510-E1510-F1510</f>
        <v>0</v>
      </c>
      <c r="H1510" s="405"/>
      <c r="I1510" s="405"/>
      <c r="J1510" s="405">
        <v>0</v>
      </c>
      <c r="K1510" s="405"/>
      <c r="L1510" s="405"/>
      <c r="M1510" s="405"/>
      <c r="N1510" s="405"/>
      <c r="O1510" s="405"/>
      <c r="P1510" s="405"/>
      <c r="Q1510" s="405"/>
      <c r="R1510" s="405"/>
      <c r="S1510" s="405"/>
      <c r="T1510" s="405"/>
      <c r="U1510" s="405"/>
      <c r="V1510" s="405"/>
      <c r="W1510" s="405"/>
      <c r="X1510" s="405"/>
      <c r="Y1510" s="405"/>
      <c r="Z1510" s="405"/>
      <c r="AA1510" s="405">
        <f>SUM(G1510:Z1510)</f>
        <v>0</v>
      </c>
      <c r="AB1510" s="869"/>
    </row>
    <row r="1511" spans="1:28" ht="7.5" customHeight="1">
      <c r="A1511" s="12"/>
      <c r="B1511" s="137"/>
      <c r="C1511" s="139"/>
      <c r="D1511" s="139"/>
      <c r="E1511" s="139"/>
      <c r="F1511" s="139"/>
      <c r="G1511" s="139"/>
      <c r="H1511" s="139"/>
      <c r="I1511" s="139"/>
      <c r="J1511" s="139"/>
      <c r="K1511" s="139"/>
      <c r="L1511" s="139"/>
      <c r="M1511" s="139"/>
      <c r="N1511" s="139"/>
      <c r="O1511" s="139"/>
      <c r="P1511" s="139"/>
      <c r="Q1511" s="139"/>
      <c r="R1511" s="139"/>
      <c r="S1511" s="139"/>
      <c r="T1511" s="139"/>
      <c r="U1511" s="139"/>
      <c r="V1511" s="139"/>
      <c r="W1511" s="139"/>
      <c r="X1511" s="139"/>
      <c r="Y1511" s="139"/>
      <c r="Z1511" s="139"/>
      <c r="AA1511" s="139"/>
      <c r="AB1511" s="869"/>
    </row>
    <row r="1512" spans="1:28" thickBot="1">
      <c r="A1512" s="761"/>
      <c r="B1512" s="760" t="s">
        <v>1331</v>
      </c>
      <c r="C1512" s="39">
        <f t="shared" ref="C1512:AA1512" si="228">+SUM(C5:C1511)</f>
        <v>0</v>
      </c>
      <c r="D1512" s="39">
        <f t="shared" si="228"/>
        <v>-17610254015</v>
      </c>
      <c r="E1512" s="39">
        <f t="shared" si="228"/>
        <v>-17610254015</v>
      </c>
      <c r="F1512" s="39">
        <f t="shared" si="228"/>
        <v>0</v>
      </c>
      <c r="G1512" s="39">
        <f t="shared" si="228"/>
        <v>0</v>
      </c>
      <c r="H1512" s="39">
        <f>+SUM(H5:H1511)</f>
        <v>22280724051</v>
      </c>
      <c r="I1512" s="39">
        <f t="shared" si="228"/>
        <v>-6416939427</v>
      </c>
      <c r="J1512" s="39">
        <f t="shared" si="228"/>
        <v>3271302533</v>
      </c>
      <c r="K1512" s="39">
        <f t="shared" si="228"/>
        <v>0</v>
      </c>
      <c r="L1512" s="39">
        <f>+SUM(L5:L1511)</f>
        <v>-6967978413</v>
      </c>
      <c r="M1512" s="39">
        <f t="shared" si="228"/>
        <v>-426755525</v>
      </c>
      <c r="N1512" s="39">
        <f t="shared" si="228"/>
        <v>0</v>
      </c>
      <c r="O1512" s="39">
        <f t="shared" si="228"/>
        <v>0</v>
      </c>
      <c r="P1512" s="39">
        <f t="shared" si="228"/>
        <v>0</v>
      </c>
      <c r="Q1512" s="39">
        <f t="shared" si="228"/>
        <v>0</v>
      </c>
      <c r="R1512" s="39">
        <f t="shared" si="228"/>
        <v>-1424100175</v>
      </c>
      <c r="S1512" s="39">
        <f t="shared" si="228"/>
        <v>-29661854421</v>
      </c>
      <c r="T1512" s="39">
        <f t="shared" si="228"/>
        <v>4888597277</v>
      </c>
      <c r="U1512" s="39">
        <f t="shared" si="228"/>
        <v>204138454</v>
      </c>
      <c r="V1512" s="39">
        <f t="shared" si="228"/>
        <v>0</v>
      </c>
      <c r="W1512" s="39">
        <f t="shared" si="228"/>
        <v>15603567126</v>
      </c>
      <c r="X1512" s="39">
        <f t="shared" si="228"/>
        <v>0</v>
      </c>
      <c r="Y1512" s="39">
        <f t="shared" si="228"/>
        <v>-1763637804</v>
      </c>
      <c r="Z1512" s="39">
        <f t="shared" si="228"/>
        <v>822892761</v>
      </c>
      <c r="AA1512" s="39">
        <f t="shared" si="228"/>
        <v>409956437</v>
      </c>
      <c r="AB1512" s="1183"/>
    </row>
    <row r="1513" spans="1:28" thickTop="1">
      <c r="A1513" s="759"/>
      <c r="B1513" s="758"/>
      <c r="C1513" s="1179"/>
      <c r="D1513" s="1180"/>
      <c r="E1513" s="1181">
        <f>+D1512-E1512</f>
        <v>0</v>
      </c>
      <c r="F1513" s="1181"/>
      <c r="G1513" s="1181">
        <f>+F1512+G1512</f>
        <v>0</v>
      </c>
      <c r="H1513" s="1182"/>
      <c r="I1513" s="1182"/>
      <c r="J1513" s="1182"/>
      <c r="K1513" s="1182"/>
      <c r="L1513" s="1182"/>
      <c r="M1513" s="1182">
        <f>SUM(H1512:M1512)</f>
        <v>11740353219</v>
      </c>
      <c r="N1513" s="1182"/>
      <c r="O1513" s="1182"/>
      <c r="P1513" s="1182"/>
      <c r="Q1513" s="1182"/>
      <c r="R1513" s="1182"/>
      <c r="S1513" s="1182"/>
      <c r="T1513" s="1182"/>
      <c r="U1513" s="1182">
        <f>SUM(N1512:U1512)</f>
        <v>-25993218865</v>
      </c>
      <c r="V1513" s="1182"/>
      <c r="W1513" s="1182"/>
      <c r="X1513" s="1182"/>
      <c r="Y1513" s="1182">
        <f>+SUM(V1512:Y1512)</f>
        <v>13839929322</v>
      </c>
      <c r="Z1513" s="1182">
        <f>+Z1512</f>
        <v>822892761</v>
      </c>
      <c r="AA1513" s="1182">
        <f>+SUM(H1512:Z1512)</f>
        <v>409956437</v>
      </c>
      <c r="AB1513" s="869"/>
    </row>
    <row r="1514" spans="1:28" ht="14.4">
      <c r="Z1514" s="869"/>
      <c r="AA1514" s="1183">
        <f>+AA1513-AA1512</f>
        <v>0</v>
      </c>
      <c r="AB1514" s="869"/>
    </row>
    <row r="1515" spans="1:28" ht="14.4">
      <c r="Z1515" s="869"/>
      <c r="AA1515" s="869">
        <f>+AA1514/2</f>
        <v>0</v>
      </c>
      <c r="AB1515" s="869"/>
    </row>
    <row r="1516" spans="1:28" ht="14.4">
      <c r="Z1516" s="869"/>
      <c r="AA1516" s="869"/>
      <c r="AB1516" s="869"/>
    </row>
    <row r="1517" spans="1:28" ht="14.4">
      <c r="Z1517" s="869"/>
      <c r="AA1517" s="869"/>
      <c r="AB1517" s="869"/>
    </row>
  </sheetData>
  <sheetProtection algorithmName="SHA-512" hashValue="2p7PWZD6SY3sKbH4U/GjDLTvRQ3ZsmHuVZwPm9EaQetgyAY5YfFWtWILQHcqWGGY9hDx6cFzE2yufs+YnXPKNw==" saltValue="QAhNn2ey5Y7ctxdnxS8bmA==" spinCount="100000" sheet="1" objects="1" scenarios="1"/>
  <autoFilter ref="A2:AA1516" xr:uid="{00000000-0001-0000-0900-000000000000}">
    <filterColumn colId="3"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mergeCells count="4">
    <mergeCell ref="D2:E2"/>
    <mergeCell ref="H2:M2"/>
    <mergeCell ref="N2:U2"/>
    <mergeCell ref="V2:Y2"/>
  </mergeCells>
  <conditionalFormatting sqref="A1:A1513">
    <cfRule type="duplicateValues" dxfId="38" priority="75"/>
  </conditionalFormatting>
  <conditionalFormatting sqref="A1:A1048576">
    <cfRule type="duplicateValues" dxfId="37" priority="4"/>
    <cfRule type="duplicateValues" dxfId="36" priority="5"/>
  </conditionalFormatting>
  <conditionalFormatting sqref="A513">
    <cfRule type="duplicateValues" dxfId="35" priority="51"/>
    <cfRule type="duplicateValues" dxfId="34" priority="52"/>
  </conditionalFormatting>
  <conditionalFormatting sqref="A520">
    <cfRule type="duplicateValues" dxfId="33" priority="49"/>
    <cfRule type="duplicateValues" dxfId="32" priority="50"/>
  </conditionalFormatting>
  <conditionalFormatting sqref="A526">
    <cfRule type="duplicateValues" dxfId="31" priority="47"/>
    <cfRule type="duplicateValues" dxfId="30" priority="48"/>
  </conditionalFormatting>
  <conditionalFormatting sqref="G1">
    <cfRule type="duplicateValues" dxfId="29" priority="1"/>
    <cfRule type="duplicateValues" dxfId="28" priority="2"/>
    <cfRule type="duplicateValues" dxfId="27" priority="3"/>
  </conditionalFormatting>
  <conditionalFormatting sqref="H1">
    <cfRule type="duplicateValues" dxfId="26" priority="15"/>
    <cfRule type="duplicateValues" dxfId="25" priority="16"/>
    <cfRule type="duplicateValues" dxfId="24" priority="17"/>
  </conditionalFormatting>
  <conditionalFormatting sqref="I1">
    <cfRule type="duplicateValues" dxfId="23" priority="33"/>
    <cfRule type="duplicateValues" dxfId="22" priority="34"/>
    <cfRule type="duplicateValues" dxfId="21" priority="35"/>
  </conditionalFormatting>
  <conditionalFormatting sqref="N1">
    <cfRule type="duplicateValues" dxfId="20" priority="39"/>
    <cfRule type="duplicateValues" dxfId="19" priority="40"/>
    <cfRule type="duplicateValues" dxfId="18" priority="41"/>
  </conditionalFormatting>
  <conditionalFormatting sqref="O1">
    <cfRule type="duplicateValues" dxfId="17" priority="9"/>
    <cfRule type="duplicateValues" dxfId="16" priority="10"/>
    <cfRule type="duplicateValues" dxfId="15" priority="11"/>
  </conditionalFormatting>
  <conditionalFormatting sqref="P1">
    <cfRule type="duplicateValues" dxfId="14" priority="6"/>
    <cfRule type="duplicateValues" dxfId="13" priority="7"/>
    <cfRule type="duplicateValues" dxfId="12" priority="8"/>
  </conditionalFormatting>
  <pageMargins left="0.7" right="0.7" top="0.75" bottom="0.75" header="0.3" footer="0.3"/>
  <pageSetup orientation="portrait" r:id="rId1"/>
  <ignoredErrors>
    <ignoredError sqref="F268 C273 C451 F451 C798 F80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DAEMSEngagementItemInfo xmlns="http://schemas.microsoft.com/DAEMSEngagementItemInfoXML">
  <EngagementID>5000003802</EngagementID>
  <LogicalEMSServerID>-109903338106937214</LogicalEMSServerID>
  <WorkingPaperID>3205748333300005521</WorkingPaperID>
</DAEMSEngagementItemInfo>
</file>

<file path=customXml/item2.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8" ma:contentTypeDescription="Create a new document." ma:contentTypeScope="" ma:versionID="621efc4aaeae152814e34596bf49522d">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5d53c0024d3df78b01838806b595567a"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5222CDA-2162-4B7F-8E91-F8B5DE776E76}">
  <ds:schemaRefs>
    <ds:schemaRef ds:uri="http://schemas.microsoft.com/DAEMSEngagementItemInfoXML"/>
  </ds:schemaRefs>
</ds:datastoreItem>
</file>

<file path=customXml/itemProps2.xml><?xml version="1.0" encoding="utf-8"?>
<ds:datastoreItem xmlns:ds="http://schemas.openxmlformats.org/officeDocument/2006/customXml" ds:itemID="{AF63E41A-E1FF-4B2E-955E-6FC1F62882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BE4128-05FE-4918-8201-C2AAD5065C47}">
  <ds:schemaRefs>
    <ds:schemaRef ds:uri="http://schemas.microsoft.com/sharepoint/v3/contenttype/forms"/>
  </ds:schemaRefs>
</ds:datastoreItem>
</file>

<file path=customXml/itemProps4.xml><?xml version="1.0" encoding="utf-8"?>
<ds:datastoreItem xmlns:ds="http://schemas.openxmlformats.org/officeDocument/2006/customXml" ds:itemID="{848DEDAA-7BCB-4FB7-BD63-C9E8CECA885D}">
  <ds:schemaRefs>
    <ds:schemaRef ds:uri="df3d6109-0b77-46d1-b89c-8b39010869f2"/>
    <ds:schemaRef ds:uri="b934fac7-a2ac-41e0-adc5-9ae2ade0ae87"/>
    <ds:schemaRef ds:uri="http://purl.org/dc/terms/"/>
    <ds:schemaRef ds:uri="http://purl.org/dc/elements/1.1/"/>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8702d130-4e2a-4fec-9734-ab737fc12858}" enabled="0" method="" siteId="{8702d130-4e2a-4fec-9734-ab737fc1285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vt:i4>
      </vt:variant>
    </vt:vector>
  </HeadingPairs>
  <TitlesOfParts>
    <vt:vector size="26" baseType="lpstr">
      <vt:lpstr>BG 2023</vt:lpstr>
      <vt:lpstr>BG 12.2023</vt:lpstr>
      <vt:lpstr>BG 12.2024</vt:lpstr>
      <vt:lpstr>No usar</vt:lpstr>
      <vt:lpstr>Índice</vt:lpstr>
      <vt:lpstr>Información general</vt:lpstr>
      <vt:lpstr>Hoja1</vt:lpstr>
      <vt:lpstr>Composición</vt:lpstr>
      <vt:lpstr>CA FE</vt:lpstr>
      <vt:lpstr>Balance General</vt:lpstr>
      <vt:lpstr>Estado de Resultados</vt:lpstr>
      <vt:lpstr>Flujo de Efectivo</vt:lpstr>
      <vt:lpstr>Variación Patrimonio Neto</vt:lpstr>
      <vt:lpstr>Notas</vt:lpstr>
      <vt:lpstr>Costeo de Títulos</vt:lpstr>
      <vt:lpstr>Control de Activos </vt:lpstr>
      <vt:lpstr>12 Cartera Propia AFS</vt:lpstr>
      <vt:lpstr>12 Cartera Propia</vt:lpstr>
      <vt:lpstr>Auxiliares</vt:lpstr>
      <vt:lpstr>12 Cartera Propia AFS 2023 </vt:lpstr>
      <vt:lpstr>Intereses 2023</vt:lpstr>
      <vt:lpstr>12 Cartera Propia 2023</vt:lpstr>
      <vt:lpstr>Intereses 2024</vt:lpstr>
      <vt:lpstr>'Estado de Resultados'!Área_de_impresión</vt:lpstr>
      <vt:lpstr>Notas!Área_de_impresión</vt:lpstr>
      <vt:lpstr>'Variación Patrimonio Neto'!Área_de_impresión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Ronaldo Aguero</dc:creator>
  <cp:keywords/>
  <dc:description/>
  <cp:lastModifiedBy>Idalia Perez</cp:lastModifiedBy>
  <cp:revision/>
  <dcterms:created xsi:type="dcterms:W3CDTF">2016-08-27T16:35:25Z</dcterms:created>
  <dcterms:modified xsi:type="dcterms:W3CDTF">2025-03-24T19:29:55Z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2023-09-11T14:09:36Z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ce7b33ac-f1f1-41dd-a039-f1354787b040</vt:lpwstr>
  </property>
  <property fmtid="{D5CDD505-2E9C-101B-9397-08002B2CF9AE}" pid="9" name="MSIP_Label_defa4170-0d19-0005-0004-bc88714345d2_ActionId">
    <vt:lpwstr>dbe91fda-c3bc-44d7-9521-e0a4e8068f87</vt:lpwstr>
  </property>
  <property fmtid="{D5CDD505-2E9C-101B-9397-08002B2CF9AE}" pid="10" name="MSIP_Label_defa4170-0d19-0005-0004-bc88714345d2_ContentBits">
    <vt:lpwstr>0</vt:lpwstr>
  </property>
</Properties>
</file>